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omments1.xml" ContentType="application/vnd.openxmlformats-officedocument.spreadsheetml.comments+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5.xml" ContentType="application/vnd.openxmlformats-officedocument.drawing+xml"/>
  <Override PartName="/xl/charts/chart9.xml" ContentType="application/vnd.openxmlformats-officedocument.drawingml.chart+xml"/>
  <Override PartName="/xl/drawings/drawing6.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AEA\AkAES\Working Documents\Data &amp; Analysis\Evaluation Tool\"/>
    </mc:Choice>
  </mc:AlternateContent>
  <bookViews>
    <workbookView xWindow="0" yWindow="0" windowWidth="25785" windowHeight="10740" tabRatio="941" activeTab="1"/>
  </bookViews>
  <sheets>
    <sheet name="Intro" sheetId="305" r:id="rId1"/>
    <sheet name="Community Summary Page" sheetId="291" r:id="rId2"/>
    <sheet name="Community Data Summary" sheetId="285" r:id="rId3"/>
    <sheet name="Community data" sheetId="286" r:id="rId4"/>
    <sheet name="Current Interties" sheetId="319" r:id="rId5"/>
    <sheet name="Forecast" sheetId="304" r:id="rId6"/>
    <sheet name="Forecast with cost eff projects" sheetId="325" r:id="rId7"/>
    <sheet name="Population Forecast" sheetId="324" r:id="rId8"/>
    <sheet name="Generation Forecast" sheetId="321" r:id="rId9"/>
    <sheet name="Eff (res)" sheetId="280" r:id="rId10"/>
    <sheet name="Res Model Data" sheetId="308" r:id="rId11"/>
    <sheet name="Residential Heat source" sheetId="318" r:id="rId12"/>
    <sheet name="Eff (com)" sheetId="282" r:id="rId13"/>
    <sheet name="Non-Res Data (Benchmark)" sheetId="310" r:id="rId14"/>
    <sheet name="NonResBuil Assumptions" sheetId="297" r:id="rId15"/>
    <sheet name="Eff (W &amp; WW)" sheetId="293" r:id="rId16"/>
    <sheet name="Water &amp; Sewer Data" sheetId="311" r:id="rId17"/>
    <sheet name="Streetlights" sheetId="295" r:id="rId18"/>
    <sheet name="Diesel eff" sheetId="279" r:id="rId19"/>
    <sheet name="Diesel Data" sheetId="317" r:id="rId20"/>
    <sheet name="Heat Recovery" sheetId="292" r:id="rId21"/>
    <sheet name="HR Data" sheetId="313" r:id="rId22"/>
    <sheet name="Wind" sheetId="275" r:id="rId23"/>
    <sheet name="Wind Data" sheetId="312" r:id="rId24"/>
    <sheet name="Exisiting Wind" sheetId="323" r:id="rId25"/>
    <sheet name="Biomass--Cord" sheetId="276" r:id="rId26"/>
    <sheet name="Biomass-pellet" sheetId="322" r:id="rId27"/>
    <sheet name="Biomass Data" sheetId="314" r:id="rId28"/>
    <sheet name="Biomass rate" sheetId="320" r:id="rId29"/>
    <sheet name="Hydro" sheetId="277" r:id="rId30"/>
    <sheet name="Hydro Data" sheetId="315" r:id="rId31"/>
    <sheet name="Solar" sheetId="278" r:id="rId32"/>
    <sheet name="Solar Data" sheetId="316" r:id="rId33"/>
    <sheet name="Interties" sheetId="284" r:id="rId34"/>
    <sheet name="Intertie Distance Data" sheetId="309" r:id="rId35"/>
    <sheet name="PCE" sheetId="290" r:id="rId36"/>
    <sheet name="LNG--in dev" sheetId="306" r:id="rId37"/>
    <sheet name="Bulk Fuel--in dev" sheetId="289" r:id="rId38"/>
    <sheet name="Assumptions" sheetId="117" r:id="rId39"/>
    <sheet name="HDD" sheetId="296" r:id="rId40"/>
    <sheet name="Diesel Fuel Prices" sheetId="299" r:id="rId41"/>
    <sheet name="Fuel Price Worksheet" sheetId="132" r:id="rId42"/>
    <sheet name="Urban heating oil coefs" sheetId="303" r:id="rId43"/>
    <sheet name="Community coefficients" sheetId="261" r:id="rId44"/>
    <sheet name="Railbelt Worksheet" sheetId="123" state="hidden" r:id="rId45"/>
    <sheet name="2014 Assumptions" sheetId="301" r:id="rId46"/>
    <sheet name="Biomass Units" sheetId="273" r:id="rId47"/>
    <sheet name="999-Calc" sheetId="119" state="hidden" r:id="rId48"/>
  </sheets>
  <externalReferences>
    <externalReference r:id="rId49"/>
    <externalReference r:id="rId50"/>
  </externalReferences>
  <definedNames>
    <definedName name="_xlnm._FilterDatabase" localSheetId="13" hidden="1">'Non-Res Data (Benchmark)'!$A$1:$Q$1246</definedName>
    <definedName name="Athletic_Facility_HF">'Community data'!#REF!</definedName>
    <definedName name="Athletic_Facility_sf">'Community data'!#REF!</definedName>
    <definedName name="availability_Percent">'Community data'!#REF!</definedName>
    <definedName name="Average_HF_Cost">'Community data'!#REF!</definedName>
    <definedName name="Average_Load">'Community data'!$B$19</definedName>
    <definedName name="AverageHHCost">'Eff (res)'!$N$34</definedName>
    <definedName name="Avg._Commercial_Consumption">'Community data'!$G$19</definedName>
    <definedName name="Avg._Commercial_cost_month">'Community data'!$G$20</definedName>
    <definedName name="Avg._PF_Consumption">'Community data'!$G$11</definedName>
    <definedName name="Avg._PF_cost">'Community data'!#REF!</definedName>
    <definedName name="Avg._Residential_Consumption_Mo">'Community data'!$G$6</definedName>
    <definedName name="Avg._Residential_cost_month">'Community data'!#REF!</definedName>
    <definedName name="Avg._Residential_Demand_month">'Community data'!$G$6</definedName>
    <definedName name="BF__C_Ratio">'Bulk Fuel--in dev'!$C$15</definedName>
    <definedName name="BF_NPV_Benefits">'Bulk Fuel--in dev'!$C$13</definedName>
    <definedName name="BF_NPV_Capital_Costs">'Bulk Fuel--in dev'!$C$14</definedName>
    <definedName name="BF_NPV_Net_Benefit">'Bulk Fuel--in dev'!$C$16</definedName>
    <definedName name="BF_Project_Life">'Bulk Fuel--in dev'!#REF!</definedName>
    <definedName name="BF_Project_STart">'Bulk Fuel--in dev'!#REF!</definedName>
    <definedName name="BF_Total_Volume">'Community data'!#REF!</definedName>
    <definedName name="Biomass_B_C_Ratio">'Biomass--Cord'!$C$15</definedName>
    <definedName name="Biomass_MMBtu_yr">'Community data'!$B$46</definedName>
    <definedName name="Biomass_NPV_Benefits">'Biomass--Cord'!$C$13</definedName>
    <definedName name="Biomass_NPV_Capital_Costs">'Biomass--Cord'!$C$14</definedName>
    <definedName name="Biomass_NPV_Net_Benefit">'Biomass--Cord'!$C$16</definedName>
    <definedName name="Biomass_price">'Community data'!$L$11</definedName>
    <definedName name="Biomass_Project_life">'Biomass--Cord'!#REF!</definedName>
    <definedName name="Biomass_Project_Start">'Biomass--Cord'!#REF!</definedName>
    <definedName name="Biomass_Type">'Community data'!$L$10</definedName>
    <definedName name="Building_Types">Assumptions!$E$53:$E$64</definedName>
    <definedName name="CarbonPricing">#REF!</definedName>
    <definedName name="Coal_B_C_Ratio">#REF!</definedName>
    <definedName name="Coal_NPV_Benefits">#REF!</definedName>
    <definedName name="Coal_NPV_Capital_Costs">#REF!</definedName>
    <definedName name="Coal_NPV_Net_Benefit">#REF!</definedName>
    <definedName name="Coal_price">'Community data'!$L$13</definedName>
    <definedName name="Coal_Project_Life">#REF!</definedName>
    <definedName name="Coal_Project_Start">#REF!</definedName>
    <definedName name="Commercial_price_kWh">'Community data'!$L$19</definedName>
    <definedName name="Community">#REF!</definedName>
    <definedName name="Community_Name">'Community data'!$B$3</definedName>
    <definedName name="Community_Retrofit_Cost">'Eff (res)'!$L$44</definedName>
    <definedName name="Cost_kW_if_not_known">Solar!$J$14</definedName>
    <definedName name="CrudeForecast">'Fuel Price Worksheet'!$A$5:$A$8</definedName>
    <definedName name="Current_PV_installed">Solar!$J$8</definedName>
    <definedName name="Demand_Charge_kW">'Community data'!$L$20</definedName>
    <definedName name="Diesel__retail_price">'Community data'!$L$6</definedName>
    <definedName name="Diesel__utility_price">'Community data'!$L$7</definedName>
    <definedName name="diesel_B_C_Ratio">'Diesel eff'!$C$15</definedName>
    <definedName name="Diesel_consumed__gallons">'Community data'!$B$20</definedName>
    <definedName name="Diesel_NPV_Benefits">'Diesel eff'!$C$13</definedName>
    <definedName name="Diesel_NPV_Capital_Costs">'Diesel eff'!$C$14</definedName>
    <definedName name="Diesel_NPV_Net_Benefit">'Diesel eff'!$C$16</definedName>
    <definedName name="Diesel_Project_Life">'Diesel eff'!#REF!</definedName>
    <definedName name="Diesel_Project_Start">'Heat Recovery'!#REF!</definedName>
    <definedName name="Diesel_Sizing">Assumptions!$A$66:$A$69</definedName>
    <definedName name="Diesel_Start_Year">'Diesel eff'!#REF!</definedName>
    <definedName name="DieselOM_per_kWh">'Diesel eff'!#REF!</definedName>
    <definedName name="Distance_to_Nearest_com">'Community data'!$B$6</definedName>
    <definedName name="Distance_to_T_D">Solar!$J$9</definedName>
    <definedName name="Education_HF">'Community data'!#REF!</definedName>
    <definedName name="Education_K_12_sf">'Community data'!#REF!</definedName>
    <definedName name="Education_kWh">'Community data'!#REF!</definedName>
    <definedName name="EE_Res_B_C_Ratio">'Eff (res)'!$C$15</definedName>
    <definedName name="EE_Res_NPV_Benefits">'Eff (res)'!$C$13</definedName>
    <definedName name="EE_Res_NPV_Capital_Costs">'Eff (res)'!$C$14</definedName>
    <definedName name="EE_Res_NPV_Net_Benefit">'Eff (res)'!$C$16</definedName>
    <definedName name="Eff_Com_B_C_Ratio">'Eff (com)'!$C$15</definedName>
    <definedName name="Eff_Com_Life_Years">'Eff (com)'!#REF!</definedName>
    <definedName name="Eff_com_NPV_Benefits">'Eff (com)'!$C$13</definedName>
    <definedName name="Eff_com_NPV_Capital_Costs">'Eff (com)'!$C$14</definedName>
    <definedName name="Eff_com_NPV_Net_Benefit">'Eff (com)'!$C$16</definedName>
    <definedName name="Eff_Com_Start_Year">'Eff (com)'!#REF!</definedName>
    <definedName name="Eff_Res_Life">'Eff (res)'!#REF!</definedName>
    <definedName name="Eff_Res_Start_Year">'Eff (res)'!#REF!</definedName>
    <definedName name="Eff_WW_B_C_Ratio">'Eff (W &amp; WW)'!$C$15</definedName>
    <definedName name="Eff_WW_NPV_Benefits">'Eff (W &amp; WW)'!$C$13</definedName>
    <definedName name="Eff_WW_NPV_Capital_Costs">'Eff (W &amp; WW)'!$C$14</definedName>
    <definedName name="Eff_WW_NPV_Net_Benefit">'Eff (W &amp; WW)'!$C$16</definedName>
    <definedName name="Electricity_Heat_price">'Community data'!$L$5</definedName>
    <definedName name="Electricity_price_kWh">'Community data'!$L$5</definedName>
    <definedName name="Electricity_Surcharges">'Community data'!$L$21</definedName>
    <definedName name="Energy_Region">'Community data'!$B$4</definedName>
    <definedName name="Energy_Regions">Assumptions!$A$53:$A$63</definedName>
    <definedName name="Fuel_Emergencies_in_past_5_years">'Community data'!#REF!</definedName>
    <definedName name="Fuel_Oil_price">'Community data'!$L$8</definedName>
    <definedName name="Gallons_HF_displaced">'Community data'!$B$40</definedName>
    <definedName name="Generation_Efficiency">'Community data'!$B$21</definedName>
    <definedName name="Generation_total">'Community data'!$B$16</definedName>
    <definedName name="HDD_List">HDD!$A$2:$B$286</definedName>
    <definedName name="Health_clinic_hf">'Community data'!#REF!</definedName>
    <definedName name="Health_Clinic_kWh">'Community data'!#REF!</definedName>
    <definedName name="Health_Clinic_sf">'Community data'!#REF!</definedName>
    <definedName name="Heating_Degree_Days">'Community data'!$B$12</definedName>
    <definedName name="HighMedLow">Assumptions!$H$51:$H$53</definedName>
    <definedName name="Hospital_HF">'Community data'!#REF!</definedName>
    <definedName name="Hospital_kWh">'Community data'!#REF!</definedName>
    <definedName name="Hospital_sf">'Community data'!#REF!</definedName>
    <definedName name="HR_B_C_Ratio">'Heat Recovery'!$C$15</definedName>
    <definedName name="HR_Btu_available">'Community data'!$B$42</definedName>
    <definedName name="HR_Installed">'Community data'!$B$38</definedName>
    <definedName name="HR_More">'Community data'!$B$41</definedName>
    <definedName name="HR_NPV_Benefits">'Heat Recovery'!$C$13</definedName>
    <definedName name="HR_NPV_Capital_Costs">'Heat Recovery'!$C$14</definedName>
    <definedName name="HR_NPV_Net_Benefit">'Heat Recovery'!$C$16</definedName>
    <definedName name="HR_Operational">'Community data'!$B$39</definedName>
    <definedName name="HR_Project_Start">'Heat Recovery'!#REF!</definedName>
    <definedName name="Hydro_B_C_Ratio">Hydro!$C$15</definedName>
    <definedName name="Hydro_NPV_Benefits">Hydro!$C$13</definedName>
    <definedName name="Hydro_NPV_Capital_Costs">Hydro!$C$14</definedName>
    <definedName name="Hydro_NPV_Net_Benefit">Hydro!$C$16</definedName>
    <definedName name="Hydro_Project_Life">Hydro!#REF!</definedName>
    <definedName name="Hydro_Project_Start">Hydro!#REF!</definedName>
    <definedName name="Intertie_B_C_Ratio">Interties!$C$15</definedName>
    <definedName name="Intertie_Costs">Interties!$C$14</definedName>
    <definedName name="Intertie_NPV_Benefits">Interties!$C$13</definedName>
    <definedName name="Intertie_NPV_Net_Benefit">Interties!$C$16</definedName>
    <definedName name="Intertie_Project_Life">Interties!#REF!</definedName>
    <definedName name="Intertie_Project_Start">Interties!#REF!</definedName>
    <definedName name="kW_proposed">Solar!$J$6</definedName>
    <definedName name="kWh_per_gallon">Solar!#REF!</definedName>
    <definedName name="kwh_sold">'Community data'!$B$17</definedName>
    <definedName name="kWh_trend">#REF!</definedName>
    <definedName name="kWh_year_from_PVWatts">Solar!$J$7</definedName>
    <definedName name="Lights_B_C_Ratio">Streetlights!$C$15</definedName>
    <definedName name="Lights_NPV_Benefits">Streetlights!$C$13</definedName>
    <definedName name="Lights_NPV_Capital_Costs">Streetlights!$C$14</definedName>
    <definedName name="Lights_NPV_Net_Benefit">Streetlights!$C$16</definedName>
    <definedName name="Line_Loss">'Community data'!$B$22</definedName>
    <definedName name="Load_Sizing">'Community data'!$B$28</definedName>
    <definedName name="Maintenance_kWh">'Community data'!#REF!</definedName>
    <definedName name="Maintenance_shop_HF">'Community data'!#REF!</definedName>
    <definedName name="Maintenance_Shop_sf">'Community data'!#REF!</definedName>
    <definedName name="Median_Household_Income">'Community data'!$B$11</definedName>
    <definedName name="Multi_Fam_kWh">'Community data'!#REF!</definedName>
    <definedName name="Name">'Community Data Summary'!$B$3</definedName>
    <definedName name="NaturalGasForecast">'Fuel Price Worksheet'!$A$18:$A$23</definedName>
    <definedName name="Non_Residential_Consumption">'Community data'!$G$7</definedName>
    <definedName name="Number_commercial_customers">'Community data'!$G$17</definedName>
    <definedName name="Number_Public_Facilities">'Community data'!$G$9</definedName>
    <definedName name="Number_Residential_Customers">'Community data'!$G$5</definedName>
    <definedName name="O_M____kWh">Solar!$J$17</definedName>
    <definedName name="O_M__kWh">Solar!$J$17</definedName>
    <definedName name="Office_HF">'Community data'!#REF!</definedName>
    <definedName name="Office_kWh">'Community data'!#REF!</definedName>
    <definedName name="Office_sf">'Community data'!#REF!</definedName>
    <definedName name="Other_building_HF">'Community data'!#REF!</definedName>
    <definedName name="Other_Building_kWh">'Community data'!#REF!</definedName>
    <definedName name="Other_sf">'Community data'!#REF!</definedName>
    <definedName name="PCE_B_C_Ratio">PCE!$C$15</definedName>
    <definedName name="PCE_Eligibile_kWh">'Community data'!$G$10</definedName>
    <definedName name="PCE_NPV_Benefits">PCE!$C$13</definedName>
    <definedName name="PCE_NPV_Capital_Costs">PCE!$C$14</definedName>
    <definedName name="PCE_NPV_Net_Benefit">PCE!$C$16</definedName>
    <definedName name="PCE_Project_Life">PCE!#REF!</definedName>
    <definedName name="PCE_Project_Start">PCE!#REF!</definedName>
    <definedName name="PCE_Subsidy">'Community data'!$L$17</definedName>
    <definedName name="Peak_kW">'Community data'!$B$18</definedName>
    <definedName name="Percent_of_Community_needs_not_met_by_Bulk_Fuel">'Community data'!#REF!</definedName>
    <definedName name="PF_PCE_kWh">'Community data'!$G$10</definedName>
    <definedName name="Phase_Imbalance">'Community data'!$B$23</definedName>
    <definedName name="Phase_Names">Assumptions!$A$43:$A$46</definedName>
    <definedName name="Pool_HF">'Community data'!#REF!</definedName>
    <definedName name="Pool_kWh">'Community data'!#REF!</definedName>
    <definedName name="Pool_sf">'Community data'!#REF!</definedName>
    <definedName name="Population">'Community data'!$B$10</definedName>
    <definedName name="Poverty_Rate">'Community data'!#REF!</definedName>
    <definedName name="Propane_price">'Community data'!$L$9</definedName>
    <definedName name="Properly_sized">'Community data'!$B$28</definedName>
    <definedName name="Public_Assembly_HF">'Community data'!#REF!</definedName>
    <definedName name="Public_Assembly_kWh">'Community data'!#REF!</definedName>
    <definedName name="Public_Assembly_sf">'Community data'!#REF!</definedName>
    <definedName name="Public_Order_HF">'Community data'!#REF!</definedName>
    <definedName name="Public_Order_kWh">'Community data'!#REF!</definedName>
    <definedName name="Public_Order_sf">'Community data'!#REF!</definedName>
    <definedName name="RE__Type">'Community data'!$B$33</definedName>
    <definedName name="RE_capacity_factor">'Community data'!#REF!</definedName>
    <definedName name="RE_Electric_Heat_MMBtu_yr">'Community data'!$B$44</definedName>
    <definedName name="RE_Generation__kWh_yr">'Community data'!$B$35</definedName>
    <definedName name="RE_Nameplate_Capacity">'Community data'!$B$34</definedName>
    <definedName name="RE_Peak">'Community data'!#REF!</definedName>
    <definedName name="RE_Technology">Assumptions!$A$4:$A$13</definedName>
    <definedName name="Region">Assumptions!$A$36:$A$38</definedName>
    <definedName name="ResEff_B_C_Ratio">'Eff (res)'!$C$15</definedName>
    <definedName name="ResEff_NPV_Benefits">'Eff (res)'!$C$13</definedName>
    <definedName name="ResEff_NPV_Capital_Costs">'Eff (res)'!$C$14</definedName>
    <definedName name="ResEff_NPV_Net_Benefit">'Eff (res)'!$C$16</definedName>
    <definedName name="Residential_Average_gallons_diesel_unit">'Community data'!#REF!</definedName>
    <definedName name="Residential_multi_fam_HF">'Community data'!#REF!</definedName>
    <definedName name="Residential_Multi_Fam_sf">'Community data'!#REF!</definedName>
    <definedName name="Residential_non_PCE_eligible_price">'Community data'!$L$16</definedName>
    <definedName name="Residential_price_w_PCE">'Community data'!$L$18</definedName>
    <definedName name="Residential_Total_Gallons_HF">'Community data'!#REF!</definedName>
    <definedName name="Residential_Units">'Community data'!$G$23</definedName>
    <definedName name="Residents_Household">'Community data'!#REF!</definedName>
    <definedName name="Road_needed">Solar!$J$10</definedName>
    <definedName name="Sanitaiton_RE_kWH">'Community data'!#REF!</definedName>
    <definedName name="Sanitation_Actual_Electricity">'Eff (W &amp; WW)'!$J$12</definedName>
    <definedName name="Sanitation_Actual_Heating_Fuel">'Eff (W &amp; WW)'!$J$13</definedName>
    <definedName name="Sanitation_Electric">'Community data'!#REF!</definedName>
    <definedName name="Sanitation_Estimated_Electricity">'Eff (W &amp; WW)'!$J$16</definedName>
    <definedName name="Sanitation_Estimated_Heating_Fuel">'Eff (W &amp; WW)'!$J$17</definedName>
    <definedName name="Sanitation_Heat_RE">'Community data'!#REF!</definedName>
    <definedName name="Sanitation_heating_fuel">'Community data'!#REF!</definedName>
    <definedName name="Sanitation_HF">'Community data'!#REF!</definedName>
    <definedName name="Sanitation_kWh">'Community data'!#REF!</definedName>
    <definedName name="Santiation_System_Type">'Community data'!#REF!</definedName>
    <definedName name="Solar_B_C_Ratio">Solar!$C$15</definedName>
    <definedName name="Solar_Life\">Solar!#REF!</definedName>
    <definedName name="Solar_NPV_Benefits">Solar!$C$13</definedName>
    <definedName name="Solar_NPV_Capital_Costs">Solar!$C$14</definedName>
    <definedName name="Solar_NPV_Net_Benefit">Solar!$C$16</definedName>
    <definedName name="Solar_Project_Life">Solar!$J$18</definedName>
    <definedName name="Solar_Project_Start">Solar!#REF!</definedName>
    <definedName name="Solar_total_cost">Solar!$K$29</definedName>
    <definedName name="Streetlight_Start_Year">Streetlights!#REF!</definedName>
    <definedName name="Streetlights_kWh">'Community data'!#REF!</definedName>
    <definedName name="Streetlights_number">'Community data'!#REF!</definedName>
    <definedName name="Streetlights_Project_Life">Streetlights!#REF!</definedName>
    <definedName name="Switchgear_suitable">Solar!$J$11</definedName>
    <definedName name="Swtichgear_RE">'Community data'!$B$30</definedName>
    <definedName name="Terminals_HF">'Community data'!#REF!</definedName>
    <definedName name="Terminals_kWh">'Community data'!#REF!</definedName>
    <definedName name="Terminals_sf">'Community data'!#REF!</definedName>
    <definedName name="Total___Generators">'Community data'!$B$27</definedName>
    <definedName name="Total_Commercial_Consumption">'Community data'!$G$18</definedName>
    <definedName name="Total_Cost_for_PV__if_known">Solar!$J$13</definedName>
    <definedName name="Total_Houses">'Eff (res)'!$I$16</definedName>
    <definedName name="Total_Res_HF">'Eff (res)'!$O$16</definedName>
    <definedName name="Total_Residential_Demand">'Community data'!$G$4</definedName>
    <definedName name="Warehouse_HF">'Community data'!#REF!</definedName>
    <definedName name="Warehouse_kWh">'Community data'!#REF!</definedName>
    <definedName name="Warehousing_sf">'Community data'!#REF!</definedName>
    <definedName name="Wind_B_C_Ratio">Wind!$C$15</definedName>
    <definedName name="Wind_Class">Assumptions!$C$53:$C$57</definedName>
    <definedName name="Wind_NPV_Benefits">Wind!$C$13</definedName>
    <definedName name="Wind_NPV_Capital_Costs">Wind!$C$14</definedName>
    <definedName name="Wind_NPV_Net_Benefit">Wind!$C$16</definedName>
    <definedName name="Wind_Project_Life">Wind!#REF!</definedName>
    <definedName name="Wind_Project_Start">Wind!#REF!</definedName>
    <definedName name="WW_project_life">'Eff (W &amp; WW)'!#REF!</definedName>
    <definedName name="WW_start_year">'Eff (W &amp; WW)'!#REF!</definedName>
    <definedName name="years">'Heat Recovery'!#REF!</definedName>
    <definedName name="Yes_No">Assumptions!$A$50:$A$51</definedName>
  </definedNames>
  <calcPr calcId="152511"/>
</workbook>
</file>

<file path=xl/calcChain.xml><?xml version="1.0" encoding="utf-8"?>
<calcChain xmlns="http://schemas.openxmlformats.org/spreadsheetml/2006/main">
  <c r="E85" i="291" l="1"/>
  <c r="U38" i="325"/>
  <c r="G104" i="291" s="1"/>
  <c r="G9" i="291"/>
  <c r="U38" i="304"/>
  <c r="J42" i="291"/>
  <c r="L42" i="291"/>
  <c r="M42" i="291"/>
  <c r="K42" i="291"/>
  <c r="K39" i="325" l="1"/>
  <c r="K40" i="325"/>
  <c r="K41" i="325"/>
  <c r="K42" i="325"/>
  <c r="K43" i="325"/>
  <c r="K44" i="325"/>
  <c r="K45" i="325"/>
  <c r="K46" i="325"/>
  <c r="K47" i="325"/>
  <c r="K48" i="325"/>
  <c r="K49" i="325"/>
  <c r="K50" i="325"/>
  <c r="K51" i="325"/>
  <c r="K52" i="325"/>
  <c r="K53" i="325"/>
  <c r="K54" i="325"/>
  <c r="K55" i="325"/>
  <c r="K56" i="325"/>
  <c r="K57" i="325"/>
  <c r="K58" i="325"/>
  <c r="K59" i="325"/>
  <c r="K60" i="325"/>
  <c r="K61" i="325"/>
  <c r="K62" i="325"/>
  <c r="K63" i="325"/>
  <c r="K64" i="325"/>
  <c r="K65" i="325"/>
  <c r="K66" i="325"/>
  <c r="K67" i="325"/>
  <c r="K68" i="325"/>
  <c r="K69" i="325"/>
  <c r="K70" i="325"/>
  <c r="K71" i="325"/>
  <c r="K72" i="325"/>
  <c r="K73" i="325"/>
  <c r="K74" i="325"/>
  <c r="K75" i="325"/>
  <c r="K76" i="325"/>
  <c r="K38" i="325"/>
  <c r="E39" i="325"/>
  <c r="E40" i="325"/>
  <c r="E41" i="325"/>
  <c r="E42" i="325"/>
  <c r="E43" i="325"/>
  <c r="E44" i="325"/>
  <c r="E45" i="325"/>
  <c r="E46" i="325"/>
  <c r="E47" i="325"/>
  <c r="E48" i="325"/>
  <c r="E49" i="325"/>
  <c r="E50" i="325"/>
  <c r="E51" i="325"/>
  <c r="E52" i="325"/>
  <c r="E53" i="325"/>
  <c r="E54" i="325"/>
  <c r="E55" i="325"/>
  <c r="E56" i="325"/>
  <c r="E57" i="325"/>
  <c r="E58" i="325"/>
  <c r="E59" i="325"/>
  <c r="E60" i="325"/>
  <c r="E61" i="325"/>
  <c r="E62" i="325"/>
  <c r="E63" i="325"/>
  <c r="E64" i="325"/>
  <c r="E65" i="325"/>
  <c r="E66" i="325"/>
  <c r="E67" i="325"/>
  <c r="E68" i="325"/>
  <c r="E69" i="325"/>
  <c r="E70" i="325"/>
  <c r="E71" i="325"/>
  <c r="E72" i="325"/>
  <c r="E73" i="325"/>
  <c r="E74" i="325"/>
  <c r="E75" i="325"/>
  <c r="E76" i="325"/>
  <c r="E38" i="325"/>
  <c r="D29" i="291"/>
  <c r="D28" i="291"/>
  <c r="D27" i="291"/>
  <c r="C15" i="275"/>
  <c r="C86" i="291"/>
  <c r="C87" i="291"/>
  <c r="C88" i="291"/>
  <c r="C89" i="291"/>
  <c r="C90" i="291"/>
  <c r="C92" i="291"/>
  <c r="C93" i="291"/>
  <c r="C94" i="291"/>
  <c r="C95" i="291"/>
  <c r="C96" i="291"/>
  <c r="C97" i="291"/>
  <c r="C85" i="291"/>
  <c r="B86" i="291"/>
  <c r="B87" i="291"/>
  <c r="B88" i="291"/>
  <c r="B89" i="291"/>
  <c r="B90" i="291"/>
  <c r="B91" i="291"/>
  <c r="B92" i="291"/>
  <c r="B93" i="291"/>
  <c r="B94" i="291"/>
  <c r="B95" i="291"/>
  <c r="B96" i="291"/>
  <c r="B97" i="291"/>
  <c r="B85" i="291"/>
  <c r="F95" i="291"/>
  <c r="E95" i="291"/>
  <c r="E94" i="291"/>
  <c r="E93" i="291"/>
  <c r="F91" i="291"/>
  <c r="E91" i="291"/>
  <c r="F89" i="291"/>
  <c r="F87" i="291"/>
  <c r="E87" i="291"/>
  <c r="D34" i="278"/>
  <c r="E90" i="291"/>
  <c r="F86" i="291"/>
  <c r="E86" i="291"/>
  <c r="L27" i="282" l="1"/>
  <c r="C141" i="317" l="1"/>
  <c r="N39" i="325" l="1"/>
  <c r="N40" i="325"/>
  <c r="N41" i="325"/>
  <c r="O41" i="325" s="1"/>
  <c r="N42" i="325"/>
  <c r="N43" i="325"/>
  <c r="N44" i="325"/>
  <c r="N45" i="325"/>
  <c r="O45" i="325" s="1"/>
  <c r="N46" i="325"/>
  <c r="O46" i="325" s="1"/>
  <c r="N47" i="325"/>
  <c r="N48" i="325"/>
  <c r="N49" i="325"/>
  <c r="N50" i="325"/>
  <c r="O50" i="325" s="1"/>
  <c r="N51" i="325"/>
  <c r="N52" i="325"/>
  <c r="N53" i="325"/>
  <c r="N54" i="325"/>
  <c r="N55" i="325"/>
  <c r="N56" i="325"/>
  <c r="N57" i="325"/>
  <c r="O57" i="325" s="1"/>
  <c r="N58" i="325"/>
  <c r="O58" i="325" s="1"/>
  <c r="N59" i="325"/>
  <c r="N60" i="325"/>
  <c r="N61" i="325"/>
  <c r="O61" i="325" s="1"/>
  <c r="N62" i="325"/>
  <c r="O62" i="325" s="1"/>
  <c r="N63" i="325"/>
  <c r="N64" i="325"/>
  <c r="N65" i="325"/>
  <c r="N66" i="325"/>
  <c r="N67" i="325"/>
  <c r="N68" i="325"/>
  <c r="N69" i="325"/>
  <c r="N70" i="325"/>
  <c r="O70" i="325" s="1"/>
  <c r="N71" i="325"/>
  <c r="N72" i="325"/>
  <c r="N73" i="325"/>
  <c r="O73" i="325" s="1"/>
  <c r="N74" i="325"/>
  <c r="O74" i="325" s="1"/>
  <c r="N75" i="325"/>
  <c r="N76" i="325"/>
  <c r="N38" i="325"/>
  <c r="O42" i="325"/>
  <c r="O44" i="325"/>
  <c r="O49" i="325"/>
  <c r="O52" i="325"/>
  <c r="O53" i="325"/>
  <c r="O54" i="325"/>
  <c r="O65" i="325"/>
  <c r="O66" i="325"/>
  <c r="J39" i="325"/>
  <c r="J40" i="325"/>
  <c r="J41" i="325"/>
  <c r="J42" i="325"/>
  <c r="J43" i="325"/>
  <c r="J44" i="325"/>
  <c r="J45" i="325"/>
  <c r="J46" i="325"/>
  <c r="J47" i="325"/>
  <c r="J48" i="325"/>
  <c r="J49" i="325"/>
  <c r="J50" i="325"/>
  <c r="J51" i="325"/>
  <c r="J52" i="325"/>
  <c r="J53" i="325"/>
  <c r="J54" i="325"/>
  <c r="J55" i="325"/>
  <c r="J56" i="325"/>
  <c r="J57" i="325"/>
  <c r="J58" i="325"/>
  <c r="J59" i="325"/>
  <c r="J60" i="325"/>
  <c r="J61" i="325"/>
  <c r="J62" i="325"/>
  <c r="J63" i="325"/>
  <c r="J64" i="325"/>
  <c r="J65" i="325"/>
  <c r="J66" i="325"/>
  <c r="J67" i="325"/>
  <c r="J68" i="325"/>
  <c r="J69" i="325"/>
  <c r="J70" i="325"/>
  <c r="J71" i="325"/>
  <c r="J72" i="325"/>
  <c r="J73" i="325"/>
  <c r="J74" i="325"/>
  <c r="J75" i="325"/>
  <c r="J76" i="325"/>
  <c r="J38" i="325"/>
  <c r="O69" i="325"/>
  <c r="S39" i="304"/>
  <c r="S40" i="304"/>
  <c r="S41" i="304"/>
  <c r="S42" i="304"/>
  <c r="S43" i="304"/>
  <c r="S44" i="304"/>
  <c r="S45" i="304"/>
  <c r="S46" i="304"/>
  <c r="S47" i="304"/>
  <c r="S48" i="304"/>
  <c r="S49" i="304"/>
  <c r="S50" i="304"/>
  <c r="S51" i="304"/>
  <c r="S52" i="304"/>
  <c r="S53" i="304"/>
  <c r="S54" i="304"/>
  <c r="S55" i="304"/>
  <c r="S56" i="304"/>
  <c r="S57" i="304"/>
  <c r="S58" i="304"/>
  <c r="S59" i="304"/>
  <c r="S60" i="304"/>
  <c r="S61" i="304"/>
  <c r="S62" i="304"/>
  <c r="S63" i="304"/>
  <c r="S64" i="304"/>
  <c r="S65" i="304"/>
  <c r="S66" i="304"/>
  <c r="S67" i="304"/>
  <c r="S68" i="304"/>
  <c r="S69" i="304"/>
  <c r="S70" i="304"/>
  <c r="S71" i="304"/>
  <c r="S72" i="304"/>
  <c r="S73" i="304"/>
  <c r="S74" i="304"/>
  <c r="S75" i="304"/>
  <c r="S76" i="304"/>
  <c r="S38" i="304"/>
  <c r="Q39" i="304"/>
  <c r="Q40" i="304"/>
  <c r="Q41" i="304"/>
  <c r="Q42" i="304"/>
  <c r="Q43" i="304"/>
  <c r="Q44" i="304"/>
  <c r="Q45" i="304"/>
  <c r="Q46" i="304"/>
  <c r="Q47" i="304"/>
  <c r="Q48" i="304"/>
  <c r="Q49" i="304"/>
  <c r="Q50" i="304"/>
  <c r="Q51" i="304"/>
  <c r="Q52" i="304"/>
  <c r="Q53" i="304"/>
  <c r="Q54" i="304"/>
  <c r="Q55" i="304"/>
  <c r="Q56" i="304"/>
  <c r="Q57" i="304"/>
  <c r="Q58" i="304"/>
  <c r="Q59" i="304"/>
  <c r="Q60" i="304"/>
  <c r="Q61" i="304"/>
  <c r="Q62" i="304"/>
  <c r="Q63" i="304"/>
  <c r="Q64" i="304"/>
  <c r="Q65" i="304"/>
  <c r="Q66" i="304"/>
  <c r="Q67" i="304"/>
  <c r="Q68" i="304"/>
  <c r="Q69" i="304"/>
  <c r="Q70" i="304"/>
  <c r="Q71" i="304"/>
  <c r="Q72" i="304"/>
  <c r="Q73" i="304"/>
  <c r="Q74" i="304"/>
  <c r="Q75" i="304"/>
  <c r="Q76" i="304"/>
  <c r="Q38" i="304"/>
  <c r="S76" i="325"/>
  <c r="Q76" i="325"/>
  <c r="O76" i="325"/>
  <c r="D76" i="325"/>
  <c r="C76" i="325"/>
  <c r="S75" i="325"/>
  <c r="Q75" i="325"/>
  <c r="O75" i="325"/>
  <c r="D75" i="325"/>
  <c r="C75" i="325"/>
  <c r="S74" i="325"/>
  <c r="Q74" i="325"/>
  <c r="D74" i="325"/>
  <c r="C74" i="325"/>
  <c r="S73" i="325"/>
  <c r="Q73" i="325"/>
  <c r="D73" i="325"/>
  <c r="C73" i="325"/>
  <c r="S72" i="325"/>
  <c r="Q72" i="325"/>
  <c r="O72" i="325"/>
  <c r="D72" i="325"/>
  <c r="C72" i="325"/>
  <c r="S71" i="325"/>
  <c r="Q71" i="325"/>
  <c r="O71" i="325"/>
  <c r="D71" i="325"/>
  <c r="C71" i="325"/>
  <c r="S70" i="325"/>
  <c r="Q70" i="325"/>
  <c r="D70" i="325"/>
  <c r="C70" i="325"/>
  <c r="S69" i="325"/>
  <c r="Q69" i="325"/>
  <c r="D69" i="325"/>
  <c r="C69" i="325"/>
  <c r="S68" i="325"/>
  <c r="Q68" i="325"/>
  <c r="O68" i="325"/>
  <c r="D68" i="325"/>
  <c r="C68" i="325"/>
  <c r="S67" i="325"/>
  <c r="Q67" i="325"/>
  <c r="O67" i="325"/>
  <c r="D67" i="325"/>
  <c r="C67" i="325"/>
  <c r="S66" i="325"/>
  <c r="Q66" i="325"/>
  <c r="D66" i="325"/>
  <c r="C66" i="325"/>
  <c r="S65" i="325"/>
  <c r="Q65" i="325"/>
  <c r="D65" i="325"/>
  <c r="C65" i="325"/>
  <c r="S64" i="325"/>
  <c r="Q64" i="325"/>
  <c r="O64" i="325"/>
  <c r="D64" i="325"/>
  <c r="C64" i="325"/>
  <c r="S63" i="325"/>
  <c r="Q63" i="325"/>
  <c r="O63" i="325"/>
  <c r="D63" i="325"/>
  <c r="C63" i="325"/>
  <c r="S62" i="325"/>
  <c r="Q62" i="325"/>
  <c r="D62" i="325"/>
  <c r="C62" i="325"/>
  <c r="S61" i="325"/>
  <c r="Q61" i="325"/>
  <c r="D61" i="325"/>
  <c r="C61" i="325"/>
  <c r="S60" i="325"/>
  <c r="Q60" i="325"/>
  <c r="O60" i="325"/>
  <c r="D60" i="325"/>
  <c r="C60" i="325"/>
  <c r="S59" i="325"/>
  <c r="Q59" i="325"/>
  <c r="O59" i="325"/>
  <c r="D59" i="325"/>
  <c r="C59" i="325"/>
  <c r="S58" i="325"/>
  <c r="Q58" i="325"/>
  <c r="D58" i="325"/>
  <c r="C58" i="325"/>
  <c r="S57" i="325"/>
  <c r="Q57" i="325"/>
  <c r="D57" i="325"/>
  <c r="C57" i="325"/>
  <c r="S56" i="325"/>
  <c r="Q56" i="325"/>
  <c r="O56" i="325"/>
  <c r="C56" i="325"/>
  <c r="S55" i="325"/>
  <c r="Q55" i="325"/>
  <c r="O55" i="325"/>
  <c r="D55" i="325"/>
  <c r="C55" i="325"/>
  <c r="S54" i="325"/>
  <c r="Q54" i="325"/>
  <c r="D54" i="325"/>
  <c r="C54" i="325"/>
  <c r="S53" i="325"/>
  <c r="Q53" i="325"/>
  <c r="D53" i="325"/>
  <c r="C53" i="325"/>
  <c r="S52" i="325"/>
  <c r="Q52" i="325"/>
  <c r="C52" i="325"/>
  <c r="S51" i="325"/>
  <c r="Q51" i="325"/>
  <c r="O51" i="325"/>
  <c r="D51" i="325"/>
  <c r="C51" i="325"/>
  <c r="S50" i="325"/>
  <c r="Q50" i="325"/>
  <c r="C50" i="325"/>
  <c r="S49" i="325"/>
  <c r="Q49" i="325"/>
  <c r="D49" i="325"/>
  <c r="C49" i="325"/>
  <c r="S48" i="325"/>
  <c r="Q48" i="325"/>
  <c r="O48" i="325"/>
  <c r="D48" i="325"/>
  <c r="C48" i="325"/>
  <c r="S47" i="325"/>
  <c r="Q47" i="325"/>
  <c r="O47" i="325"/>
  <c r="C47" i="325"/>
  <c r="S46" i="325"/>
  <c r="Q46" i="325"/>
  <c r="D46" i="325"/>
  <c r="C46" i="325"/>
  <c r="S45" i="325"/>
  <c r="Q45" i="325"/>
  <c r="D45" i="325"/>
  <c r="C45" i="325"/>
  <c r="S44" i="325"/>
  <c r="Q44" i="325"/>
  <c r="C44" i="325"/>
  <c r="S43" i="325"/>
  <c r="Q43" i="325"/>
  <c r="O43" i="325"/>
  <c r="D43" i="325"/>
  <c r="C43" i="325"/>
  <c r="S42" i="325"/>
  <c r="Q42" i="325"/>
  <c r="C42" i="325"/>
  <c r="S41" i="325"/>
  <c r="Q41" i="325"/>
  <c r="D41" i="325"/>
  <c r="C41" i="325"/>
  <c r="S40" i="325"/>
  <c r="Q40" i="325"/>
  <c r="O40" i="325"/>
  <c r="C40" i="325"/>
  <c r="S39" i="325"/>
  <c r="Q39" i="325"/>
  <c r="O39" i="325"/>
  <c r="D39" i="325"/>
  <c r="C39" i="325"/>
  <c r="S38" i="325"/>
  <c r="Q38" i="325"/>
  <c r="O38" i="325"/>
  <c r="C38" i="325"/>
  <c r="I30" i="325"/>
  <c r="H30" i="325"/>
  <c r="G30" i="325"/>
  <c r="F30" i="325"/>
  <c r="D30" i="325"/>
  <c r="C29" i="325"/>
  <c r="J28" i="325"/>
  <c r="E28" i="325"/>
  <c r="C28" i="325"/>
  <c r="J27" i="325"/>
  <c r="E27" i="325"/>
  <c r="C27" i="325"/>
  <c r="E26" i="325"/>
  <c r="J26" i="325" s="1"/>
  <c r="C26" i="325"/>
  <c r="E25" i="325"/>
  <c r="J25" i="325" s="1"/>
  <c r="C25" i="325"/>
  <c r="B34" i="325" s="1"/>
  <c r="J24" i="325"/>
  <c r="E24" i="325"/>
  <c r="C24" i="325"/>
  <c r="J23" i="325"/>
  <c r="E23" i="325"/>
  <c r="C23" i="325"/>
  <c r="E22" i="325"/>
  <c r="J22" i="325" s="1"/>
  <c r="C22" i="325"/>
  <c r="E21" i="325"/>
  <c r="J21" i="325" s="1"/>
  <c r="C21" i="325"/>
  <c r="J20" i="325"/>
  <c r="E20" i="325"/>
  <c r="C20" i="325"/>
  <c r="J19" i="325"/>
  <c r="E19" i="325"/>
  <c r="C19" i="325"/>
  <c r="E18" i="325"/>
  <c r="J18" i="325" s="1"/>
  <c r="C18" i="325"/>
  <c r="C17" i="325"/>
  <c r="C16" i="325"/>
  <c r="C15" i="325"/>
  <c r="C14" i="325"/>
  <c r="C13" i="325"/>
  <c r="C12" i="325"/>
  <c r="C11" i="325"/>
  <c r="C10" i="325"/>
  <c r="C9" i="325"/>
  <c r="C8" i="325"/>
  <c r="C7" i="325"/>
  <c r="C6" i="325"/>
  <c r="A1" i="291"/>
  <c r="D45" i="291"/>
  <c r="C45" i="291"/>
  <c r="B45" i="291"/>
  <c r="B41" i="291"/>
  <c r="B40" i="291"/>
  <c r="B39" i="291"/>
  <c r="D96" i="291"/>
  <c r="D92" i="291"/>
  <c r="D95" i="291"/>
  <c r="D89" i="291"/>
  <c r="D86" i="291"/>
  <c r="D85" i="291"/>
  <c r="B33" i="291"/>
  <c r="B34" i="291"/>
  <c r="B35" i="291"/>
  <c r="B36" i="291"/>
  <c r="B32" i="291"/>
  <c r="C29" i="291"/>
  <c r="B29" i="291"/>
  <c r="C28" i="291"/>
  <c r="B28" i="291"/>
  <c r="C27" i="291"/>
  <c r="B27" i="291"/>
  <c r="M41" i="291"/>
  <c r="M40" i="291"/>
  <c r="M28" i="291"/>
  <c r="M29" i="291"/>
  <c r="M30" i="291"/>
  <c r="M31" i="291"/>
  <c r="M32" i="291"/>
  <c r="M33" i="291"/>
  <c r="M34" i="291"/>
  <c r="M35" i="291"/>
  <c r="M36" i="291"/>
  <c r="M37" i="291"/>
  <c r="M38" i="291"/>
  <c r="M39" i="291"/>
  <c r="M27" i="291"/>
  <c r="L40" i="291"/>
  <c r="L28" i="291"/>
  <c r="L29" i="291"/>
  <c r="L30" i="291"/>
  <c r="L31" i="291"/>
  <c r="L32" i="291"/>
  <c r="L33" i="291"/>
  <c r="L34" i="291"/>
  <c r="L35" i="291"/>
  <c r="L36" i="291"/>
  <c r="L37" i="291"/>
  <c r="L38" i="291"/>
  <c r="L39" i="291"/>
  <c r="L27" i="291"/>
  <c r="K27" i="291"/>
  <c r="K28" i="291"/>
  <c r="K29" i="291"/>
  <c r="K30" i="291"/>
  <c r="K31" i="291"/>
  <c r="K32" i="291"/>
  <c r="K33" i="291"/>
  <c r="K34" i="291"/>
  <c r="K35" i="291"/>
  <c r="K36" i="291"/>
  <c r="K37" i="291"/>
  <c r="K38" i="291"/>
  <c r="K39" i="291"/>
  <c r="K40" i="291"/>
  <c r="K41" i="291"/>
  <c r="J41" i="291"/>
  <c r="J40" i="291"/>
  <c r="J28" i="291"/>
  <c r="J29" i="291"/>
  <c r="J30" i="291"/>
  <c r="J31" i="291"/>
  <c r="J32" i="291"/>
  <c r="J33" i="291"/>
  <c r="J34" i="291"/>
  <c r="J35" i="291"/>
  <c r="J36" i="291"/>
  <c r="J37" i="291"/>
  <c r="J38" i="291"/>
  <c r="J39" i="291"/>
  <c r="J27" i="291"/>
  <c r="O39" i="304"/>
  <c r="O40" i="304"/>
  <c r="O41" i="304"/>
  <c r="O42" i="304"/>
  <c r="O43" i="304"/>
  <c r="O44" i="304"/>
  <c r="O45" i="304"/>
  <c r="O46" i="304"/>
  <c r="O47" i="304"/>
  <c r="O48" i="304"/>
  <c r="O49" i="304"/>
  <c r="O50" i="304"/>
  <c r="O51" i="304"/>
  <c r="O52" i="304"/>
  <c r="O53" i="304"/>
  <c r="O54" i="304"/>
  <c r="O55" i="304"/>
  <c r="O56" i="304"/>
  <c r="O57" i="304"/>
  <c r="O58" i="304"/>
  <c r="O59" i="304"/>
  <c r="O60" i="304"/>
  <c r="O61" i="304"/>
  <c r="O62" i="304"/>
  <c r="O63" i="304"/>
  <c r="O64" i="304"/>
  <c r="O65" i="304"/>
  <c r="O66" i="304"/>
  <c r="O67" i="304"/>
  <c r="O68" i="304"/>
  <c r="O69" i="304"/>
  <c r="O70" i="304"/>
  <c r="O71" i="304"/>
  <c r="O72" i="304"/>
  <c r="O73" i="304"/>
  <c r="O74" i="304"/>
  <c r="O75" i="304"/>
  <c r="O76" i="304"/>
  <c r="O38" i="304"/>
  <c r="N39" i="304"/>
  <c r="N40" i="304"/>
  <c r="N41" i="304"/>
  <c r="N42" i="304"/>
  <c r="N43" i="304"/>
  <c r="N44" i="304"/>
  <c r="N45" i="304"/>
  <c r="N46" i="304"/>
  <c r="N47" i="304"/>
  <c r="N48" i="304"/>
  <c r="N49" i="304"/>
  <c r="N50" i="304"/>
  <c r="N51" i="304"/>
  <c r="N52" i="304"/>
  <c r="N53" i="304"/>
  <c r="N54" i="304"/>
  <c r="N55" i="304"/>
  <c r="N56" i="304"/>
  <c r="N57" i="304"/>
  <c r="N58" i="304"/>
  <c r="N59" i="304"/>
  <c r="N60" i="304"/>
  <c r="N61" i="304"/>
  <c r="N62" i="304"/>
  <c r="N63" i="304"/>
  <c r="N64" i="304"/>
  <c r="N65" i="304"/>
  <c r="N66" i="304"/>
  <c r="N67" i="304"/>
  <c r="N68" i="304"/>
  <c r="N69" i="304"/>
  <c r="N70" i="304"/>
  <c r="N71" i="304"/>
  <c r="N72" i="304"/>
  <c r="N73" i="304"/>
  <c r="N74" i="304"/>
  <c r="N75" i="304"/>
  <c r="N76" i="304"/>
  <c r="N38" i="304"/>
  <c r="J39" i="304"/>
  <c r="J40" i="304"/>
  <c r="K40" i="304" s="1"/>
  <c r="J41" i="304"/>
  <c r="K41" i="304" s="1"/>
  <c r="J42" i="304"/>
  <c r="K42" i="304" s="1"/>
  <c r="J43" i="304"/>
  <c r="J44" i="304"/>
  <c r="K44" i="304" s="1"/>
  <c r="J45" i="304"/>
  <c r="K45" i="304" s="1"/>
  <c r="J46" i="304"/>
  <c r="K46" i="304" s="1"/>
  <c r="J47" i="304"/>
  <c r="J48" i="304"/>
  <c r="K48" i="304" s="1"/>
  <c r="J49" i="304"/>
  <c r="K49" i="304" s="1"/>
  <c r="J50" i="304"/>
  <c r="K50" i="304" s="1"/>
  <c r="J51" i="304"/>
  <c r="J52" i="304"/>
  <c r="K52" i="304" s="1"/>
  <c r="J53" i="304"/>
  <c r="K53" i="304" s="1"/>
  <c r="J54" i="304"/>
  <c r="K54" i="304" s="1"/>
  <c r="J55" i="304"/>
  <c r="J56" i="304"/>
  <c r="K56" i="304" s="1"/>
  <c r="J57" i="304"/>
  <c r="K57" i="304" s="1"/>
  <c r="J58" i="304"/>
  <c r="K58" i="304" s="1"/>
  <c r="J59" i="304"/>
  <c r="J60" i="304"/>
  <c r="K60" i="304" s="1"/>
  <c r="J61" i="304"/>
  <c r="K61" i="304" s="1"/>
  <c r="J62" i="304"/>
  <c r="K62" i="304" s="1"/>
  <c r="J63" i="304"/>
  <c r="J64" i="304"/>
  <c r="K64" i="304" s="1"/>
  <c r="J65" i="304"/>
  <c r="K65" i="304" s="1"/>
  <c r="J66" i="304"/>
  <c r="K66" i="304" s="1"/>
  <c r="J67" i="304"/>
  <c r="J68" i="304"/>
  <c r="K68" i="304" s="1"/>
  <c r="J69" i="304"/>
  <c r="K69" i="304" s="1"/>
  <c r="J70" i="304"/>
  <c r="K70" i="304" s="1"/>
  <c r="J71" i="304"/>
  <c r="J72" i="304"/>
  <c r="K72" i="304" s="1"/>
  <c r="J73" i="304"/>
  <c r="K73" i="304" s="1"/>
  <c r="J74" i="304"/>
  <c r="K74" i="304" s="1"/>
  <c r="J75" i="304"/>
  <c r="J76" i="304"/>
  <c r="K76" i="304" s="1"/>
  <c r="J38" i="304"/>
  <c r="K39" i="304"/>
  <c r="K43" i="304"/>
  <c r="K47" i="304"/>
  <c r="K51" i="304"/>
  <c r="K55" i="304"/>
  <c r="K59" i="304"/>
  <c r="K63" i="304"/>
  <c r="K67" i="304"/>
  <c r="K71" i="304"/>
  <c r="K75" i="304"/>
  <c r="K38" i="304"/>
  <c r="F39" i="304"/>
  <c r="F40" i="304"/>
  <c r="F41" i="304"/>
  <c r="F42" i="304"/>
  <c r="F43" i="304"/>
  <c r="F44" i="304"/>
  <c r="F45" i="304"/>
  <c r="F46" i="304"/>
  <c r="F47" i="304"/>
  <c r="F48" i="304"/>
  <c r="F49" i="304"/>
  <c r="F50" i="304"/>
  <c r="F51" i="304"/>
  <c r="F52" i="304"/>
  <c r="F53" i="304"/>
  <c r="F54" i="304"/>
  <c r="F55" i="304"/>
  <c r="F56" i="304"/>
  <c r="F57" i="304"/>
  <c r="F58" i="304"/>
  <c r="F59" i="304"/>
  <c r="F60" i="304"/>
  <c r="F61" i="304"/>
  <c r="F62" i="304"/>
  <c r="F63" i="304"/>
  <c r="F64" i="304"/>
  <c r="F65" i="304"/>
  <c r="F66" i="304"/>
  <c r="F67" i="304"/>
  <c r="F68" i="304"/>
  <c r="F69" i="304"/>
  <c r="F70" i="304"/>
  <c r="F71" i="304"/>
  <c r="F72" i="304"/>
  <c r="F73" i="304"/>
  <c r="F74" i="304"/>
  <c r="F75" i="304"/>
  <c r="F76" i="304"/>
  <c r="F38" i="304"/>
  <c r="C6" i="304"/>
  <c r="C7" i="304"/>
  <c r="C8" i="304"/>
  <c r="C9" i="304"/>
  <c r="C10" i="304"/>
  <c r="C11" i="304"/>
  <c r="C12" i="304"/>
  <c r="C13" i="304"/>
  <c r="C14" i="304"/>
  <c r="C15" i="304"/>
  <c r="C16" i="304"/>
  <c r="C17" i="304"/>
  <c r="C39" i="304"/>
  <c r="C40" i="304"/>
  <c r="C41" i="304"/>
  <c r="C42" i="304"/>
  <c r="C43" i="304"/>
  <c r="C44" i="304"/>
  <c r="C45" i="304"/>
  <c r="C46" i="304"/>
  <c r="C47" i="304"/>
  <c r="C48" i="304"/>
  <c r="C49" i="304"/>
  <c r="C50" i="304"/>
  <c r="C51" i="304"/>
  <c r="C52" i="304"/>
  <c r="C53" i="304"/>
  <c r="C54" i="304"/>
  <c r="C55" i="304"/>
  <c r="C56" i="304"/>
  <c r="C57" i="304"/>
  <c r="C58" i="304"/>
  <c r="C59" i="304"/>
  <c r="C60" i="304"/>
  <c r="C61" i="304"/>
  <c r="C62" i="304"/>
  <c r="C63" i="304"/>
  <c r="C64" i="304"/>
  <c r="C65" i="304"/>
  <c r="C66" i="304"/>
  <c r="C67" i="304"/>
  <c r="C68" i="304"/>
  <c r="C69" i="304"/>
  <c r="C70" i="304"/>
  <c r="C71" i="304"/>
  <c r="C72" i="304"/>
  <c r="C73" i="304"/>
  <c r="C74" i="304"/>
  <c r="C75" i="304"/>
  <c r="C76" i="304"/>
  <c r="C38" i="304"/>
  <c r="B33" i="325" l="1"/>
  <c r="J30" i="325"/>
  <c r="D47" i="325"/>
  <c r="D38" i="325"/>
  <c r="D40" i="325"/>
  <c r="D42" i="325"/>
  <c r="D44" i="325"/>
  <c r="D50" i="325"/>
  <c r="D52" i="325"/>
  <c r="D56" i="325"/>
  <c r="C19" i="304"/>
  <c r="C20" i="304"/>
  <c r="C21" i="304"/>
  <c r="C22" i="304"/>
  <c r="C23" i="304"/>
  <c r="C24" i="304"/>
  <c r="C25" i="304"/>
  <c r="C26" i="304"/>
  <c r="C27" i="304"/>
  <c r="C28" i="304"/>
  <c r="C29" i="304"/>
  <c r="C18" i="304"/>
  <c r="C38" i="285" l="1"/>
  <c r="C29" i="285"/>
  <c r="E36" i="285"/>
  <c r="C36" i="285"/>
  <c r="G66" i="325" l="1"/>
  <c r="H66" i="325" s="1"/>
  <c r="I66" i="325"/>
  <c r="F66" i="325"/>
  <c r="I50" i="325"/>
  <c r="G50" i="325"/>
  <c r="H50" i="325" s="1"/>
  <c r="F50" i="325"/>
  <c r="G47" i="325"/>
  <c r="H47" i="325" s="1"/>
  <c r="F47" i="325"/>
  <c r="I47" i="325"/>
  <c r="F48" i="325"/>
  <c r="I48" i="325"/>
  <c r="G48" i="325"/>
  <c r="H48" i="325" s="1"/>
  <c r="G45" i="325"/>
  <c r="H45" i="325" s="1"/>
  <c r="F45" i="325"/>
  <c r="I45" i="325"/>
  <c r="G49" i="325"/>
  <c r="H49" i="325" s="1"/>
  <c r="F49" i="325"/>
  <c r="I49" i="325"/>
  <c r="I61" i="325"/>
  <c r="G61" i="325"/>
  <c r="H61" i="325" s="1"/>
  <c r="F61" i="325"/>
  <c r="I69" i="325"/>
  <c r="G69" i="325"/>
  <c r="H69" i="325" s="1"/>
  <c r="F69" i="325"/>
  <c r="G60" i="325"/>
  <c r="H60" i="325" s="1"/>
  <c r="I60" i="325"/>
  <c r="F60" i="325"/>
  <c r="G68" i="325"/>
  <c r="H68" i="325" s="1"/>
  <c r="I68" i="325"/>
  <c r="F68" i="325"/>
  <c r="G76" i="325"/>
  <c r="H76" i="325" s="1"/>
  <c r="I76" i="325"/>
  <c r="F76" i="325"/>
  <c r="I56" i="325"/>
  <c r="G56" i="325"/>
  <c r="H56" i="325" s="1"/>
  <c r="F56" i="325"/>
  <c r="G74" i="325"/>
  <c r="H74" i="325" s="1"/>
  <c r="I74" i="325"/>
  <c r="F74" i="325"/>
  <c r="G39" i="325"/>
  <c r="H39" i="325" s="1"/>
  <c r="F39" i="325"/>
  <c r="I39" i="325"/>
  <c r="F46" i="325"/>
  <c r="G46" i="325"/>
  <c r="H46" i="325" s="1"/>
  <c r="I46" i="325"/>
  <c r="G53" i="325"/>
  <c r="H53" i="325" s="1"/>
  <c r="I53" i="325"/>
  <c r="F53" i="325"/>
  <c r="I63" i="325"/>
  <c r="G63" i="325"/>
  <c r="H63" i="325" s="1"/>
  <c r="F63" i="325"/>
  <c r="I71" i="325"/>
  <c r="G71" i="325"/>
  <c r="H71" i="325" s="1"/>
  <c r="F71" i="325"/>
  <c r="I42" i="325"/>
  <c r="G42" i="325"/>
  <c r="H42" i="325" s="1"/>
  <c r="F42" i="325"/>
  <c r="I52" i="325"/>
  <c r="G52" i="325"/>
  <c r="H52" i="325" s="1"/>
  <c r="F52" i="325"/>
  <c r="G62" i="325"/>
  <c r="H62" i="325" s="1"/>
  <c r="I62" i="325"/>
  <c r="F62" i="325"/>
  <c r="G72" i="325"/>
  <c r="H72" i="325" s="1"/>
  <c r="I72" i="325"/>
  <c r="F72" i="325"/>
  <c r="I54" i="325"/>
  <c r="G54" i="325"/>
  <c r="H54" i="325" s="1"/>
  <c r="F54" i="325"/>
  <c r="G41" i="325"/>
  <c r="H41" i="325" s="1"/>
  <c r="F41" i="325"/>
  <c r="I41" i="325"/>
  <c r="G51" i="325"/>
  <c r="H51" i="325" s="1"/>
  <c r="F51" i="325"/>
  <c r="I51" i="325"/>
  <c r="G57" i="325"/>
  <c r="H57" i="325" s="1"/>
  <c r="I57" i="325"/>
  <c r="F57" i="325"/>
  <c r="I65" i="325"/>
  <c r="G65" i="325"/>
  <c r="H65" i="325" s="1"/>
  <c r="F65" i="325"/>
  <c r="I73" i="325"/>
  <c r="G73" i="325"/>
  <c r="H73" i="325" s="1"/>
  <c r="F73" i="325"/>
  <c r="I44" i="325"/>
  <c r="G44" i="325"/>
  <c r="H44" i="325" s="1"/>
  <c r="F44" i="325"/>
  <c r="I40" i="325"/>
  <c r="G40" i="325"/>
  <c r="H40" i="325" s="1"/>
  <c r="F40" i="325"/>
  <c r="G64" i="325"/>
  <c r="H64" i="325" s="1"/>
  <c r="I64" i="325"/>
  <c r="F64" i="325"/>
  <c r="G70" i="325"/>
  <c r="H70" i="325" s="1"/>
  <c r="I70" i="325"/>
  <c r="F70" i="325"/>
  <c r="G58" i="325"/>
  <c r="H58" i="325" s="1"/>
  <c r="I58" i="325"/>
  <c r="F58" i="325"/>
  <c r="I38" i="325"/>
  <c r="G38" i="325"/>
  <c r="H38" i="325" s="1"/>
  <c r="F38" i="325"/>
  <c r="G43" i="325"/>
  <c r="H43" i="325" s="1"/>
  <c r="F43" i="325"/>
  <c r="I43" i="325"/>
  <c r="G55" i="325"/>
  <c r="H55" i="325" s="1"/>
  <c r="F55" i="325"/>
  <c r="I55" i="325"/>
  <c r="I59" i="325"/>
  <c r="G59" i="325"/>
  <c r="H59" i="325" s="1"/>
  <c r="F59" i="325"/>
  <c r="I67" i="325"/>
  <c r="G67" i="325"/>
  <c r="H67" i="325" s="1"/>
  <c r="F67" i="325"/>
  <c r="I75" i="325"/>
  <c r="G75" i="325"/>
  <c r="H75" i="325" s="1"/>
  <c r="F75" i="325"/>
  <c r="U7" i="282"/>
  <c r="V7" i="282"/>
  <c r="U8" i="282"/>
  <c r="V8" i="282"/>
  <c r="U9" i="282"/>
  <c r="V9" i="282"/>
  <c r="U10" i="282"/>
  <c r="V10" i="282"/>
  <c r="U11" i="282"/>
  <c r="V11" i="282"/>
  <c r="U12" i="282"/>
  <c r="V12" i="282"/>
  <c r="U13" i="282"/>
  <c r="V13" i="282"/>
  <c r="U14" i="282"/>
  <c r="V14" i="282"/>
  <c r="U15" i="282"/>
  <c r="V15" i="282"/>
  <c r="U16" i="282"/>
  <c r="V16" i="282"/>
  <c r="U17" i="282"/>
  <c r="V17" i="282"/>
  <c r="U18" i="282"/>
  <c r="V18" i="282"/>
  <c r="U19" i="282"/>
  <c r="V19" i="282"/>
  <c r="T19" i="282"/>
  <c r="T18" i="282"/>
  <c r="T17" i="282"/>
  <c r="T16" i="282"/>
  <c r="T15" i="282"/>
  <c r="T14" i="282"/>
  <c r="T13" i="282"/>
  <c r="T12" i="282"/>
  <c r="T11" i="282"/>
  <c r="T10" i="282"/>
  <c r="T9" i="282"/>
  <c r="T8" i="282"/>
  <c r="T7" i="282"/>
  <c r="R7" i="282"/>
  <c r="R8" i="282"/>
  <c r="R9" i="282"/>
  <c r="R10" i="282"/>
  <c r="R11" i="282"/>
  <c r="R12" i="282"/>
  <c r="R13" i="282"/>
  <c r="R14" i="282"/>
  <c r="R15" i="282"/>
  <c r="R16" i="282"/>
  <c r="R17" i="282"/>
  <c r="R18" i="282"/>
  <c r="R19" i="282"/>
  <c r="Q12" i="282"/>
  <c r="Q13" i="282"/>
  <c r="Q14" i="282"/>
  <c r="Q15" i="282"/>
  <c r="Q16" i="282"/>
  <c r="Q17" i="282"/>
  <c r="Q18" i="282"/>
  <c r="Q19" i="282"/>
  <c r="Q11" i="282"/>
  <c r="Q10" i="282"/>
  <c r="Q7" i="282"/>
  <c r="Q8" i="282"/>
  <c r="G96" i="282" l="1"/>
  <c r="G94" i="282"/>
  <c r="N8" i="282"/>
  <c r="O8" i="282"/>
  <c r="P8" i="282"/>
  <c r="N9" i="282"/>
  <c r="O9" i="282"/>
  <c r="P9" i="282"/>
  <c r="N10" i="282"/>
  <c r="O10" i="282"/>
  <c r="P10" i="282"/>
  <c r="N11" i="282"/>
  <c r="O11" i="282"/>
  <c r="P11" i="282"/>
  <c r="N12" i="282"/>
  <c r="O12" i="282"/>
  <c r="P12" i="282"/>
  <c r="N13" i="282"/>
  <c r="O13" i="282"/>
  <c r="P13" i="282"/>
  <c r="N14" i="282"/>
  <c r="O14" i="282"/>
  <c r="P14" i="282"/>
  <c r="N15" i="282"/>
  <c r="O15" i="282"/>
  <c r="P15" i="282"/>
  <c r="N16" i="282"/>
  <c r="O16" i="282"/>
  <c r="P16" i="282"/>
  <c r="N17" i="282"/>
  <c r="O17" i="282"/>
  <c r="P17" i="282"/>
  <c r="N18" i="282"/>
  <c r="O18" i="282"/>
  <c r="P18" i="282"/>
  <c r="N19" i="282"/>
  <c r="O19" i="282"/>
  <c r="P19" i="282"/>
  <c r="O7" i="282"/>
  <c r="P7" i="282"/>
  <c r="N7" i="282"/>
  <c r="L7" i="282"/>
  <c r="L8" i="282"/>
  <c r="L9" i="282"/>
  <c r="L10" i="282"/>
  <c r="L11" i="282"/>
  <c r="L12" i="282"/>
  <c r="L13" i="282"/>
  <c r="L14" i="282"/>
  <c r="L15" i="282"/>
  <c r="L16" i="282"/>
  <c r="L17" i="282"/>
  <c r="L18" i="282"/>
  <c r="L19" i="282"/>
  <c r="K8" i="282"/>
  <c r="K9" i="282"/>
  <c r="K10" i="282"/>
  <c r="K11" i="282"/>
  <c r="K12" i="282"/>
  <c r="K13" i="282"/>
  <c r="K14" i="282"/>
  <c r="K15" i="282"/>
  <c r="K16" i="282"/>
  <c r="K17" i="282"/>
  <c r="K18" i="282"/>
  <c r="K19" i="282"/>
  <c r="K7" i="282"/>
  <c r="M9" i="282"/>
  <c r="M10" i="282"/>
  <c r="M11" i="282"/>
  <c r="M12" i="282"/>
  <c r="M13" i="282"/>
  <c r="M14" i="282"/>
  <c r="M15" i="282"/>
  <c r="M16" i="282"/>
  <c r="M17" i="282"/>
  <c r="M18" i="282"/>
  <c r="M19" i="282"/>
  <c r="M7" i="282"/>
  <c r="M8" i="282"/>
  <c r="S7" i="282"/>
  <c r="W7" i="282"/>
  <c r="S8" i="282"/>
  <c r="W8" i="282"/>
  <c r="Q9" i="282"/>
  <c r="S9" i="282"/>
  <c r="W9" i="282"/>
  <c r="S10" i="282"/>
  <c r="W10" i="282"/>
  <c r="S11" i="282"/>
  <c r="W11" i="282"/>
  <c r="S12" i="282"/>
  <c r="W12" i="282"/>
  <c r="S13" i="282"/>
  <c r="W13" i="282"/>
  <c r="S14" i="282"/>
  <c r="W14" i="282"/>
  <c r="S15" i="282"/>
  <c r="W15" i="282"/>
  <c r="S16" i="282"/>
  <c r="W16" i="282"/>
  <c r="S17" i="282"/>
  <c r="W17" i="282"/>
  <c r="S18" i="282"/>
  <c r="W18" i="282"/>
  <c r="S19" i="282"/>
  <c r="W19" i="282"/>
  <c r="J7" i="282"/>
  <c r="J8" i="282"/>
  <c r="J9" i="282"/>
  <c r="J10" i="282"/>
  <c r="J11" i="282"/>
  <c r="J12" i="282"/>
  <c r="J13" i="282"/>
  <c r="J14" i="282"/>
  <c r="J15" i="282"/>
  <c r="J16" i="282"/>
  <c r="J17" i="282"/>
  <c r="J18" i="282"/>
  <c r="J19" i="282"/>
  <c r="I8" i="282"/>
  <c r="I9" i="282"/>
  <c r="I10" i="282"/>
  <c r="I11" i="282"/>
  <c r="I12" i="282"/>
  <c r="I13" i="282"/>
  <c r="I14" i="282"/>
  <c r="I15" i="282"/>
  <c r="I16" i="282"/>
  <c r="I17" i="282"/>
  <c r="I18" i="282"/>
  <c r="I19" i="282"/>
  <c r="I7" i="282"/>
  <c r="C3" i="310"/>
  <c r="C4" i="310"/>
  <c r="C5" i="310"/>
  <c r="C6" i="310"/>
  <c r="C7" i="310"/>
  <c r="C8" i="310"/>
  <c r="C9" i="310"/>
  <c r="C10" i="310"/>
  <c r="C11" i="310"/>
  <c r="C12" i="310"/>
  <c r="C13" i="310"/>
  <c r="C14" i="310"/>
  <c r="C15" i="310"/>
  <c r="C16" i="310"/>
  <c r="C17" i="310"/>
  <c r="C18" i="310"/>
  <c r="C19" i="310"/>
  <c r="C20" i="310"/>
  <c r="C21" i="310"/>
  <c r="C22" i="310"/>
  <c r="C23" i="310"/>
  <c r="C24" i="310"/>
  <c r="C25" i="310"/>
  <c r="C26" i="310"/>
  <c r="C27" i="310"/>
  <c r="C28" i="310"/>
  <c r="C29" i="310"/>
  <c r="C30" i="310"/>
  <c r="C31" i="310"/>
  <c r="C32" i="310"/>
  <c r="C33" i="310"/>
  <c r="C34" i="310"/>
  <c r="C35" i="310"/>
  <c r="C36" i="310"/>
  <c r="C37" i="310"/>
  <c r="C38" i="310"/>
  <c r="C39" i="310"/>
  <c r="C40" i="310"/>
  <c r="C41" i="310"/>
  <c r="C42" i="310"/>
  <c r="C43" i="310"/>
  <c r="C44" i="310"/>
  <c r="C45" i="310"/>
  <c r="C46" i="310"/>
  <c r="C47" i="310"/>
  <c r="C48" i="310"/>
  <c r="C49" i="310"/>
  <c r="C50" i="310"/>
  <c r="C51" i="310"/>
  <c r="C52" i="310"/>
  <c r="C53" i="310"/>
  <c r="C54" i="310"/>
  <c r="C55" i="310"/>
  <c r="C56" i="310"/>
  <c r="C57" i="310"/>
  <c r="C58" i="310"/>
  <c r="C59" i="310"/>
  <c r="C60" i="310"/>
  <c r="C61" i="310"/>
  <c r="C62" i="310"/>
  <c r="C63" i="310"/>
  <c r="C64" i="310"/>
  <c r="C65" i="310"/>
  <c r="C66" i="310"/>
  <c r="C67" i="310"/>
  <c r="C68" i="310"/>
  <c r="C69" i="310"/>
  <c r="C70" i="310"/>
  <c r="C71" i="310"/>
  <c r="C72" i="310"/>
  <c r="C73" i="310"/>
  <c r="C74" i="310"/>
  <c r="C75" i="310"/>
  <c r="C76" i="310"/>
  <c r="C77" i="310"/>
  <c r="C78" i="310"/>
  <c r="C79" i="310"/>
  <c r="C80" i="310"/>
  <c r="C81" i="310"/>
  <c r="C82" i="310"/>
  <c r="C83" i="310"/>
  <c r="C84" i="310"/>
  <c r="C85" i="310"/>
  <c r="C86" i="310"/>
  <c r="C87" i="310"/>
  <c r="C88" i="310"/>
  <c r="C89" i="310"/>
  <c r="C90" i="310"/>
  <c r="C91" i="310"/>
  <c r="C92" i="310"/>
  <c r="C93" i="310"/>
  <c r="C94" i="310"/>
  <c r="C95" i="310"/>
  <c r="C96" i="310"/>
  <c r="C97" i="310"/>
  <c r="C98" i="310"/>
  <c r="C99" i="310"/>
  <c r="C100" i="310"/>
  <c r="C101" i="310"/>
  <c r="C102" i="310"/>
  <c r="C103" i="310"/>
  <c r="C104" i="310"/>
  <c r="C105" i="310"/>
  <c r="C106" i="310"/>
  <c r="C107" i="310"/>
  <c r="C108" i="310"/>
  <c r="C109" i="310"/>
  <c r="C110" i="310"/>
  <c r="C111" i="310"/>
  <c r="C112" i="310"/>
  <c r="C113" i="310"/>
  <c r="C114" i="310"/>
  <c r="C115" i="310"/>
  <c r="C116" i="310"/>
  <c r="C117" i="310"/>
  <c r="C118" i="310"/>
  <c r="C119" i="310"/>
  <c r="C120" i="310"/>
  <c r="C121" i="310"/>
  <c r="C122" i="310"/>
  <c r="C123" i="310"/>
  <c r="C124" i="310"/>
  <c r="C125" i="310"/>
  <c r="C126" i="310"/>
  <c r="C127" i="310"/>
  <c r="C128" i="310"/>
  <c r="C129" i="310"/>
  <c r="C130" i="310"/>
  <c r="C131" i="310"/>
  <c r="C132" i="310"/>
  <c r="C133" i="310"/>
  <c r="C134" i="310"/>
  <c r="C135" i="310"/>
  <c r="C136" i="310"/>
  <c r="C137" i="310"/>
  <c r="C138" i="310"/>
  <c r="C139" i="310"/>
  <c r="C140" i="310"/>
  <c r="C141" i="310"/>
  <c r="C142" i="310"/>
  <c r="C143" i="310"/>
  <c r="C144" i="310"/>
  <c r="C145" i="310"/>
  <c r="C146" i="310"/>
  <c r="C147" i="310"/>
  <c r="C148" i="310"/>
  <c r="C149" i="310"/>
  <c r="C150" i="310"/>
  <c r="C151" i="310"/>
  <c r="C152" i="310"/>
  <c r="C153" i="310"/>
  <c r="C154" i="310"/>
  <c r="C155" i="310"/>
  <c r="C156" i="310"/>
  <c r="C157" i="310"/>
  <c r="C158" i="310"/>
  <c r="C159" i="310"/>
  <c r="C160" i="310"/>
  <c r="C161" i="310"/>
  <c r="C162" i="310"/>
  <c r="C163" i="310"/>
  <c r="C164" i="310"/>
  <c r="C165" i="310"/>
  <c r="C166" i="310"/>
  <c r="C167" i="310"/>
  <c r="C168" i="310"/>
  <c r="C169" i="310"/>
  <c r="C170" i="310"/>
  <c r="C171" i="310"/>
  <c r="C172" i="310"/>
  <c r="C173" i="310"/>
  <c r="C174" i="310"/>
  <c r="C175" i="310"/>
  <c r="C176" i="310"/>
  <c r="C177" i="310"/>
  <c r="C178" i="310"/>
  <c r="C179" i="310"/>
  <c r="C180" i="310"/>
  <c r="C181" i="310"/>
  <c r="C182" i="310"/>
  <c r="C183" i="310"/>
  <c r="C184" i="310"/>
  <c r="C185" i="310"/>
  <c r="C186" i="310"/>
  <c r="C187" i="310"/>
  <c r="C188" i="310"/>
  <c r="C189" i="310"/>
  <c r="C190" i="310"/>
  <c r="C191" i="310"/>
  <c r="C192" i="310"/>
  <c r="C193" i="310"/>
  <c r="C194" i="310"/>
  <c r="C195" i="310"/>
  <c r="C196" i="310"/>
  <c r="C197" i="310"/>
  <c r="C198" i="310"/>
  <c r="C199" i="310"/>
  <c r="C200" i="310"/>
  <c r="C201" i="310"/>
  <c r="C202" i="310"/>
  <c r="C203" i="310"/>
  <c r="C204" i="310"/>
  <c r="C205" i="310"/>
  <c r="C206" i="310"/>
  <c r="C207" i="310"/>
  <c r="C208" i="310"/>
  <c r="C209" i="310"/>
  <c r="C210" i="310"/>
  <c r="C211" i="310"/>
  <c r="C212" i="310"/>
  <c r="C213" i="310"/>
  <c r="C214" i="310"/>
  <c r="C215" i="310"/>
  <c r="C216" i="310"/>
  <c r="C217" i="310"/>
  <c r="C218" i="310"/>
  <c r="C219" i="310"/>
  <c r="C220" i="310"/>
  <c r="C221" i="310"/>
  <c r="C222" i="310"/>
  <c r="C223" i="310"/>
  <c r="C224" i="310"/>
  <c r="C225" i="310"/>
  <c r="C226" i="310"/>
  <c r="C227" i="310"/>
  <c r="C228" i="310"/>
  <c r="C229" i="310"/>
  <c r="C230" i="310"/>
  <c r="C231" i="310"/>
  <c r="C232" i="310"/>
  <c r="C233" i="310"/>
  <c r="C234" i="310"/>
  <c r="C235" i="310"/>
  <c r="C236" i="310"/>
  <c r="C237" i="310"/>
  <c r="C238" i="310"/>
  <c r="C239" i="310"/>
  <c r="C240" i="310"/>
  <c r="C241" i="310"/>
  <c r="C242" i="310"/>
  <c r="C243" i="310"/>
  <c r="C244" i="310"/>
  <c r="C245" i="310"/>
  <c r="C246" i="310"/>
  <c r="C247" i="310"/>
  <c r="C248" i="310"/>
  <c r="C249" i="310"/>
  <c r="C250" i="310"/>
  <c r="C251" i="310"/>
  <c r="C252" i="310"/>
  <c r="C253" i="310"/>
  <c r="C254" i="310"/>
  <c r="C255" i="310"/>
  <c r="C256" i="310"/>
  <c r="C257" i="310"/>
  <c r="C258" i="310"/>
  <c r="C259" i="310"/>
  <c r="C260" i="310"/>
  <c r="C261" i="310"/>
  <c r="C262" i="310"/>
  <c r="C263" i="310"/>
  <c r="C264" i="310"/>
  <c r="C265" i="310"/>
  <c r="C266" i="310"/>
  <c r="C267" i="310"/>
  <c r="C268" i="310"/>
  <c r="C269" i="310"/>
  <c r="C270" i="310"/>
  <c r="C271" i="310"/>
  <c r="C272" i="310"/>
  <c r="C273" i="310"/>
  <c r="C274" i="310"/>
  <c r="C275" i="310"/>
  <c r="C276" i="310"/>
  <c r="C277" i="310"/>
  <c r="C278" i="310"/>
  <c r="C279" i="310"/>
  <c r="C280" i="310"/>
  <c r="C281" i="310"/>
  <c r="C282" i="310"/>
  <c r="C283" i="310"/>
  <c r="C284" i="310"/>
  <c r="C285" i="310"/>
  <c r="C286" i="310"/>
  <c r="C287" i="310"/>
  <c r="C288" i="310"/>
  <c r="C289" i="310"/>
  <c r="C290" i="310"/>
  <c r="C291" i="310"/>
  <c r="C292" i="310"/>
  <c r="C293" i="310"/>
  <c r="C294" i="310"/>
  <c r="C295" i="310"/>
  <c r="C296" i="310"/>
  <c r="C297" i="310"/>
  <c r="C298" i="310"/>
  <c r="C299" i="310"/>
  <c r="C300" i="310"/>
  <c r="C301" i="310"/>
  <c r="C302" i="310"/>
  <c r="C303" i="310"/>
  <c r="C304" i="310"/>
  <c r="C305" i="310"/>
  <c r="C306" i="310"/>
  <c r="C307" i="310"/>
  <c r="C308" i="310"/>
  <c r="C309" i="310"/>
  <c r="C310" i="310"/>
  <c r="C311" i="310"/>
  <c r="C312" i="310"/>
  <c r="C313" i="310"/>
  <c r="C314" i="310"/>
  <c r="C315" i="310"/>
  <c r="C316" i="310"/>
  <c r="C317" i="310"/>
  <c r="C318" i="310"/>
  <c r="C319" i="310"/>
  <c r="C320" i="310"/>
  <c r="C321" i="310"/>
  <c r="C322" i="310"/>
  <c r="C323" i="310"/>
  <c r="C324" i="310"/>
  <c r="C325" i="310"/>
  <c r="C326" i="310"/>
  <c r="C327" i="310"/>
  <c r="C328" i="310"/>
  <c r="C329" i="310"/>
  <c r="C330" i="310"/>
  <c r="C331" i="310"/>
  <c r="C332" i="310"/>
  <c r="C333" i="310"/>
  <c r="C334" i="310"/>
  <c r="C335" i="310"/>
  <c r="C336" i="310"/>
  <c r="C337" i="310"/>
  <c r="C338" i="310"/>
  <c r="C339" i="310"/>
  <c r="C340" i="310"/>
  <c r="C341" i="310"/>
  <c r="C342" i="310"/>
  <c r="C343" i="310"/>
  <c r="C344" i="310"/>
  <c r="C345" i="310"/>
  <c r="C346" i="310"/>
  <c r="C347" i="310"/>
  <c r="C348" i="310"/>
  <c r="C349" i="310"/>
  <c r="C350" i="310"/>
  <c r="C351" i="310"/>
  <c r="C352" i="310"/>
  <c r="C353" i="310"/>
  <c r="C354" i="310"/>
  <c r="C355" i="310"/>
  <c r="C356" i="310"/>
  <c r="C357" i="310"/>
  <c r="C358" i="310"/>
  <c r="C359" i="310"/>
  <c r="C360" i="310"/>
  <c r="C361" i="310"/>
  <c r="C362" i="310"/>
  <c r="C363" i="310"/>
  <c r="C364" i="310"/>
  <c r="C365" i="310"/>
  <c r="C366" i="310"/>
  <c r="C367" i="310"/>
  <c r="C368" i="310"/>
  <c r="C369" i="310"/>
  <c r="C370" i="310"/>
  <c r="C371" i="310"/>
  <c r="C372" i="310"/>
  <c r="C373" i="310"/>
  <c r="C374" i="310"/>
  <c r="C375" i="310"/>
  <c r="C376" i="310"/>
  <c r="C377" i="310"/>
  <c r="C378" i="310"/>
  <c r="C379" i="310"/>
  <c r="C380" i="310"/>
  <c r="C381" i="310"/>
  <c r="C382" i="310"/>
  <c r="C383" i="310"/>
  <c r="C384" i="310"/>
  <c r="C385" i="310"/>
  <c r="C386" i="310"/>
  <c r="C387" i="310"/>
  <c r="C388" i="310"/>
  <c r="C389" i="310"/>
  <c r="C390" i="310"/>
  <c r="C391" i="310"/>
  <c r="C392" i="310"/>
  <c r="C393" i="310"/>
  <c r="C394" i="310"/>
  <c r="C395" i="310"/>
  <c r="C396" i="310"/>
  <c r="C397" i="310"/>
  <c r="C398" i="310"/>
  <c r="C399" i="310"/>
  <c r="C400" i="310"/>
  <c r="C401" i="310"/>
  <c r="C402" i="310"/>
  <c r="C403" i="310"/>
  <c r="C404" i="310"/>
  <c r="C405" i="310"/>
  <c r="C406" i="310"/>
  <c r="C407" i="310"/>
  <c r="C408" i="310"/>
  <c r="C409" i="310"/>
  <c r="C410" i="310"/>
  <c r="C411" i="310"/>
  <c r="C412" i="310"/>
  <c r="C413" i="310"/>
  <c r="C414" i="310"/>
  <c r="C415" i="310"/>
  <c r="C416" i="310"/>
  <c r="C417" i="310"/>
  <c r="C418" i="310"/>
  <c r="C419" i="310"/>
  <c r="C420" i="310"/>
  <c r="C421" i="310"/>
  <c r="C422" i="310"/>
  <c r="C423" i="310"/>
  <c r="C424" i="310"/>
  <c r="C425" i="310"/>
  <c r="C426" i="310"/>
  <c r="C427" i="310"/>
  <c r="C428" i="310"/>
  <c r="C429" i="310"/>
  <c r="C430" i="310"/>
  <c r="C431" i="310"/>
  <c r="C432" i="310"/>
  <c r="C433" i="310"/>
  <c r="C434" i="310"/>
  <c r="C435" i="310"/>
  <c r="C436" i="310"/>
  <c r="C437" i="310"/>
  <c r="C438" i="310"/>
  <c r="C439" i="310"/>
  <c r="C440" i="310"/>
  <c r="C441" i="310"/>
  <c r="C442" i="310"/>
  <c r="C443" i="310"/>
  <c r="C444" i="310"/>
  <c r="C445" i="310"/>
  <c r="C446" i="310"/>
  <c r="C447" i="310"/>
  <c r="C448" i="310"/>
  <c r="C449" i="310"/>
  <c r="C450" i="310"/>
  <c r="C451" i="310"/>
  <c r="C452" i="310"/>
  <c r="C453" i="310"/>
  <c r="C454" i="310"/>
  <c r="C455" i="310"/>
  <c r="C456" i="310"/>
  <c r="C457" i="310"/>
  <c r="C458" i="310"/>
  <c r="C459" i="310"/>
  <c r="C460" i="310"/>
  <c r="C461" i="310"/>
  <c r="C462" i="310"/>
  <c r="C463" i="310"/>
  <c r="C464" i="310"/>
  <c r="C465" i="310"/>
  <c r="C466" i="310"/>
  <c r="C467" i="310"/>
  <c r="C468" i="310"/>
  <c r="C469" i="310"/>
  <c r="C470" i="310"/>
  <c r="C471" i="310"/>
  <c r="C472" i="310"/>
  <c r="C473" i="310"/>
  <c r="C474" i="310"/>
  <c r="C475" i="310"/>
  <c r="C476" i="310"/>
  <c r="C477" i="310"/>
  <c r="C478" i="310"/>
  <c r="C479" i="310"/>
  <c r="C480" i="310"/>
  <c r="C481" i="310"/>
  <c r="C482" i="310"/>
  <c r="C483" i="310"/>
  <c r="C484" i="310"/>
  <c r="C485" i="310"/>
  <c r="C486" i="310"/>
  <c r="C487" i="310"/>
  <c r="C488" i="310"/>
  <c r="C489" i="310"/>
  <c r="C490" i="310"/>
  <c r="C491" i="310"/>
  <c r="C492" i="310"/>
  <c r="C493" i="310"/>
  <c r="C494" i="310"/>
  <c r="C495" i="310"/>
  <c r="C496" i="310"/>
  <c r="C497" i="310"/>
  <c r="C498" i="310"/>
  <c r="C499" i="310"/>
  <c r="C500" i="310"/>
  <c r="C501" i="310"/>
  <c r="C502" i="310"/>
  <c r="C503" i="310"/>
  <c r="C504" i="310"/>
  <c r="C505" i="310"/>
  <c r="C506" i="310"/>
  <c r="C507" i="310"/>
  <c r="C508" i="310"/>
  <c r="C509" i="310"/>
  <c r="C510" i="310"/>
  <c r="C511" i="310"/>
  <c r="C512" i="310"/>
  <c r="C513" i="310"/>
  <c r="C514" i="310"/>
  <c r="C515" i="310"/>
  <c r="C516" i="310"/>
  <c r="C517" i="310"/>
  <c r="C518" i="310"/>
  <c r="C519" i="310"/>
  <c r="C520" i="310"/>
  <c r="C521" i="310"/>
  <c r="C522" i="310"/>
  <c r="C523" i="310"/>
  <c r="C524" i="310"/>
  <c r="C525" i="310"/>
  <c r="C526" i="310"/>
  <c r="C527" i="310"/>
  <c r="C528" i="310"/>
  <c r="C529" i="310"/>
  <c r="C530" i="310"/>
  <c r="C531" i="310"/>
  <c r="C532" i="310"/>
  <c r="C533" i="310"/>
  <c r="C534" i="310"/>
  <c r="C535" i="310"/>
  <c r="C536" i="310"/>
  <c r="C537" i="310"/>
  <c r="C538" i="310"/>
  <c r="C539" i="310"/>
  <c r="C540" i="310"/>
  <c r="C541" i="310"/>
  <c r="C542" i="310"/>
  <c r="C543" i="310"/>
  <c r="C544" i="310"/>
  <c r="C545" i="310"/>
  <c r="C546" i="310"/>
  <c r="C547" i="310"/>
  <c r="C548" i="310"/>
  <c r="C549" i="310"/>
  <c r="C550" i="310"/>
  <c r="C551" i="310"/>
  <c r="C552" i="310"/>
  <c r="C553" i="310"/>
  <c r="C554" i="310"/>
  <c r="C555" i="310"/>
  <c r="C556" i="310"/>
  <c r="C557" i="310"/>
  <c r="C558" i="310"/>
  <c r="C559" i="310"/>
  <c r="C560" i="310"/>
  <c r="C561" i="310"/>
  <c r="C562" i="310"/>
  <c r="C563" i="310"/>
  <c r="C564" i="310"/>
  <c r="C565" i="310"/>
  <c r="C566" i="310"/>
  <c r="C567" i="310"/>
  <c r="C568" i="310"/>
  <c r="C569" i="310"/>
  <c r="C570" i="310"/>
  <c r="C571" i="310"/>
  <c r="C572" i="310"/>
  <c r="C573" i="310"/>
  <c r="C574" i="310"/>
  <c r="C575" i="310"/>
  <c r="C576" i="310"/>
  <c r="C577" i="310"/>
  <c r="C578" i="310"/>
  <c r="C579" i="310"/>
  <c r="C580" i="310"/>
  <c r="C581" i="310"/>
  <c r="C582" i="310"/>
  <c r="C583" i="310"/>
  <c r="C584" i="310"/>
  <c r="C585" i="310"/>
  <c r="C586" i="310"/>
  <c r="C587" i="310"/>
  <c r="C588" i="310"/>
  <c r="C589" i="310"/>
  <c r="C590" i="310"/>
  <c r="C591" i="310"/>
  <c r="C592" i="310"/>
  <c r="C593" i="310"/>
  <c r="C594" i="310"/>
  <c r="C595" i="310"/>
  <c r="C596" i="310"/>
  <c r="C597" i="310"/>
  <c r="C598" i="310"/>
  <c r="C599" i="310"/>
  <c r="C600" i="310"/>
  <c r="C601" i="310"/>
  <c r="C602" i="310"/>
  <c r="C603" i="310"/>
  <c r="C604" i="310"/>
  <c r="C605" i="310"/>
  <c r="C606" i="310"/>
  <c r="C607" i="310"/>
  <c r="C608" i="310"/>
  <c r="C609" i="310"/>
  <c r="C610" i="310"/>
  <c r="C611" i="310"/>
  <c r="C612" i="310"/>
  <c r="C613" i="310"/>
  <c r="C614" i="310"/>
  <c r="C615" i="310"/>
  <c r="C616" i="310"/>
  <c r="C617" i="310"/>
  <c r="C618" i="310"/>
  <c r="C619" i="310"/>
  <c r="C620" i="310"/>
  <c r="C621" i="310"/>
  <c r="C622" i="310"/>
  <c r="C623" i="310"/>
  <c r="C624" i="310"/>
  <c r="C625" i="310"/>
  <c r="C626" i="310"/>
  <c r="C627" i="310"/>
  <c r="C628" i="310"/>
  <c r="C629" i="310"/>
  <c r="C630" i="310"/>
  <c r="C631" i="310"/>
  <c r="C632" i="310"/>
  <c r="C633" i="310"/>
  <c r="C634" i="310"/>
  <c r="C635" i="310"/>
  <c r="C636" i="310"/>
  <c r="C637" i="310"/>
  <c r="C638" i="310"/>
  <c r="C639" i="310"/>
  <c r="C640" i="310"/>
  <c r="C641" i="310"/>
  <c r="C642" i="310"/>
  <c r="C643" i="310"/>
  <c r="C644" i="310"/>
  <c r="C645" i="310"/>
  <c r="C646" i="310"/>
  <c r="C647" i="310"/>
  <c r="C648" i="310"/>
  <c r="C649" i="310"/>
  <c r="C650" i="310"/>
  <c r="C651" i="310"/>
  <c r="C652" i="310"/>
  <c r="C653" i="310"/>
  <c r="C654" i="310"/>
  <c r="C655" i="310"/>
  <c r="C656" i="310"/>
  <c r="C657" i="310"/>
  <c r="C658" i="310"/>
  <c r="C659" i="310"/>
  <c r="C660" i="310"/>
  <c r="C661" i="310"/>
  <c r="C662" i="310"/>
  <c r="C663" i="310"/>
  <c r="C664" i="310"/>
  <c r="C665" i="310"/>
  <c r="C666" i="310"/>
  <c r="C667" i="310"/>
  <c r="C668" i="310"/>
  <c r="C669" i="310"/>
  <c r="C670" i="310"/>
  <c r="C671" i="310"/>
  <c r="C672" i="310"/>
  <c r="C673" i="310"/>
  <c r="C674" i="310"/>
  <c r="C675" i="310"/>
  <c r="C676" i="310"/>
  <c r="C677" i="310"/>
  <c r="C678" i="310"/>
  <c r="C679" i="310"/>
  <c r="C680" i="310"/>
  <c r="C681" i="310"/>
  <c r="C682" i="310"/>
  <c r="C683" i="310"/>
  <c r="C684" i="310"/>
  <c r="C685" i="310"/>
  <c r="C686" i="310"/>
  <c r="C687" i="310"/>
  <c r="C688" i="310"/>
  <c r="C689" i="310"/>
  <c r="C690" i="310"/>
  <c r="C691" i="310"/>
  <c r="C692" i="310"/>
  <c r="C693" i="310"/>
  <c r="C694" i="310"/>
  <c r="C695" i="310"/>
  <c r="C696" i="310"/>
  <c r="C697" i="310"/>
  <c r="C698" i="310"/>
  <c r="C699" i="310"/>
  <c r="C700" i="310"/>
  <c r="C701" i="310"/>
  <c r="C702" i="310"/>
  <c r="C703" i="310"/>
  <c r="C704" i="310"/>
  <c r="C705" i="310"/>
  <c r="C706" i="310"/>
  <c r="C707" i="310"/>
  <c r="C708" i="310"/>
  <c r="C709" i="310"/>
  <c r="C710" i="310"/>
  <c r="C711" i="310"/>
  <c r="C712" i="310"/>
  <c r="C713" i="310"/>
  <c r="C714" i="310"/>
  <c r="C715" i="310"/>
  <c r="C716" i="310"/>
  <c r="C717" i="310"/>
  <c r="C718" i="310"/>
  <c r="C719" i="310"/>
  <c r="C720" i="310"/>
  <c r="C721" i="310"/>
  <c r="C722" i="310"/>
  <c r="C723" i="310"/>
  <c r="C724" i="310"/>
  <c r="C725" i="310"/>
  <c r="C726" i="310"/>
  <c r="C727" i="310"/>
  <c r="C728" i="310"/>
  <c r="C729" i="310"/>
  <c r="C730" i="310"/>
  <c r="C731" i="310"/>
  <c r="C732" i="310"/>
  <c r="C733" i="310"/>
  <c r="C734" i="310"/>
  <c r="C735" i="310"/>
  <c r="C736" i="310"/>
  <c r="C737" i="310"/>
  <c r="C738" i="310"/>
  <c r="C739" i="310"/>
  <c r="C740" i="310"/>
  <c r="C741" i="310"/>
  <c r="C742" i="310"/>
  <c r="C743" i="310"/>
  <c r="C744" i="310"/>
  <c r="C745" i="310"/>
  <c r="C746" i="310"/>
  <c r="C747" i="310"/>
  <c r="C748" i="310"/>
  <c r="C749" i="310"/>
  <c r="C750" i="310"/>
  <c r="C751" i="310"/>
  <c r="C752" i="310"/>
  <c r="C753" i="310"/>
  <c r="C754" i="310"/>
  <c r="C755" i="310"/>
  <c r="C756" i="310"/>
  <c r="C757" i="310"/>
  <c r="C758" i="310"/>
  <c r="C759" i="310"/>
  <c r="C760" i="310"/>
  <c r="C761" i="310"/>
  <c r="C762" i="310"/>
  <c r="C763" i="310"/>
  <c r="C764" i="310"/>
  <c r="C765" i="310"/>
  <c r="C766" i="310"/>
  <c r="C767" i="310"/>
  <c r="C768" i="310"/>
  <c r="C769" i="310"/>
  <c r="C770" i="310"/>
  <c r="C771" i="310"/>
  <c r="C772" i="310"/>
  <c r="C773" i="310"/>
  <c r="C774" i="310"/>
  <c r="C775" i="310"/>
  <c r="C776" i="310"/>
  <c r="C777" i="310"/>
  <c r="C778" i="310"/>
  <c r="C779" i="310"/>
  <c r="C780" i="310"/>
  <c r="C781" i="310"/>
  <c r="C782" i="310"/>
  <c r="C783" i="310"/>
  <c r="C784" i="310"/>
  <c r="C785" i="310"/>
  <c r="C786" i="310"/>
  <c r="C787" i="310"/>
  <c r="C788" i="310"/>
  <c r="C789" i="310"/>
  <c r="C790" i="310"/>
  <c r="C791" i="310"/>
  <c r="C792" i="310"/>
  <c r="C793" i="310"/>
  <c r="C794" i="310"/>
  <c r="C795" i="310"/>
  <c r="C796" i="310"/>
  <c r="C797" i="310"/>
  <c r="C798" i="310"/>
  <c r="C799" i="310"/>
  <c r="C800" i="310"/>
  <c r="C801" i="310"/>
  <c r="C802" i="310"/>
  <c r="C803" i="310"/>
  <c r="C804" i="310"/>
  <c r="C805" i="310"/>
  <c r="C806" i="310"/>
  <c r="C807" i="310"/>
  <c r="C808" i="310"/>
  <c r="C809" i="310"/>
  <c r="C810" i="310"/>
  <c r="C811" i="310"/>
  <c r="C812" i="310"/>
  <c r="C813" i="310"/>
  <c r="C814" i="310"/>
  <c r="C815" i="310"/>
  <c r="C816" i="310"/>
  <c r="C817" i="310"/>
  <c r="C818" i="310"/>
  <c r="C819" i="310"/>
  <c r="C820" i="310"/>
  <c r="C821" i="310"/>
  <c r="C822" i="310"/>
  <c r="C823" i="310"/>
  <c r="C824" i="310"/>
  <c r="C825" i="310"/>
  <c r="C826" i="310"/>
  <c r="C827" i="310"/>
  <c r="C828" i="310"/>
  <c r="C829" i="310"/>
  <c r="C830" i="310"/>
  <c r="C831" i="310"/>
  <c r="C832" i="310"/>
  <c r="C833" i="310"/>
  <c r="C834" i="310"/>
  <c r="C835" i="310"/>
  <c r="C836" i="310"/>
  <c r="C837" i="310"/>
  <c r="C838" i="310"/>
  <c r="C839" i="310"/>
  <c r="C840" i="310"/>
  <c r="C841" i="310"/>
  <c r="C842" i="310"/>
  <c r="C843" i="310"/>
  <c r="C844" i="310"/>
  <c r="C845" i="310"/>
  <c r="C846" i="310"/>
  <c r="C847" i="310"/>
  <c r="C848" i="310"/>
  <c r="C849" i="310"/>
  <c r="C850" i="310"/>
  <c r="C851" i="310"/>
  <c r="C852" i="310"/>
  <c r="C853" i="310"/>
  <c r="C854" i="310"/>
  <c r="C855" i="310"/>
  <c r="C856" i="310"/>
  <c r="C857" i="310"/>
  <c r="C858" i="310"/>
  <c r="C859" i="310"/>
  <c r="C860" i="310"/>
  <c r="C861" i="310"/>
  <c r="C862" i="310"/>
  <c r="C863" i="310"/>
  <c r="C864" i="310"/>
  <c r="C865" i="310"/>
  <c r="C866" i="310"/>
  <c r="C867" i="310"/>
  <c r="C868" i="310"/>
  <c r="C869" i="310"/>
  <c r="C870" i="310"/>
  <c r="C871" i="310"/>
  <c r="C872" i="310"/>
  <c r="C873" i="310"/>
  <c r="C874" i="310"/>
  <c r="C875" i="310"/>
  <c r="C876" i="310"/>
  <c r="C877" i="310"/>
  <c r="C878" i="310"/>
  <c r="C879" i="310"/>
  <c r="C880" i="310"/>
  <c r="C881" i="310"/>
  <c r="C882" i="310"/>
  <c r="C883" i="310"/>
  <c r="C884" i="310"/>
  <c r="C885" i="310"/>
  <c r="C886" i="310"/>
  <c r="C887" i="310"/>
  <c r="C888" i="310"/>
  <c r="C889" i="310"/>
  <c r="C890" i="310"/>
  <c r="C891" i="310"/>
  <c r="C892" i="310"/>
  <c r="C893" i="310"/>
  <c r="C894" i="310"/>
  <c r="C895" i="310"/>
  <c r="C896" i="310"/>
  <c r="C897" i="310"/>
  <c r="C898" i="310"/>
  <c r="C899" i="310"/>
  <c r="C900" i="310"/>
  <c r="C901" i="310"/>
  <c r="C902" i="310"/>
  <c r="C903" i="310"/>
  <c r="C904" i="310"/>
  <c r="C905" i="310"/>
  <c r="C906" i="310"/>
  <c r="C907" i="310"/>
  <c r="C908" i="310"/>
  <c r="C909" i="310"/>
  <c r="C910" i="310"/>
  <c r="C911" i="310"/>
  <c r="C912" i="310"/>
  <c r="C913" i="310"/>
  <c r="C914" i="310"/>
  <c r="C915" i="310"/>
  <c r="C916" i="310"/>
  <c r="C917" i="310"/>
  <c r="C918" i="310"/>
  <c r="C919" i="310"/>
  <c r="C920" i="310"/>
  <c r="C921" i="310"/>
  <c r="C922" i="310"/>
  <c r="C923" i="310"/>
  <c r="C924" i="310"/>
  <c r="C925" i="310"/>
  <c r="C926" i="310"/>
  <c r="C927" i="310"/>
  <c r="C928" i="310"/>
  <c r="C929" i="310"/>
  <c r="C930" i="310"/>
  <c r="C931" i="310"/>
  <c r="C932" i="310"/>
  <c r="C933" i="310"/>
  <c r="C934" i="310"/>
  <c r="C935" i="310"/>
  <c r="C936" i="310"/>
  <c r="C937" i="310"/>
  <c r="C938" i="310"/>
  <c r="C939" i="310"/>
  <c r="C940" i="310"/>
  <c r="C941" i="310"/>
  <c r="C942" i="310"/>
  <c r="C943" i="310"/>
  <c r="C944" i="310"/>
  <c r="C945" i="310"/>
  <c r="C946" i="310"/>
  <c r="C947" i="310"/>
  <c r="C948" i="310"/>
  <c r="C949" i="310"/>
  <c r="C950" i="310"/>
  <c r="C951" i="310"/>
  <c r="C952" i="310"/>
  <c r="C953" i="310"/>
  <c r="C954" i="310"/>
  <c r="C955" i="310"/>
  <c r="C956" i="310"/>
  <c r="C957" i="310"/>
  <c r="C958" i="310"/>
  <c r="C959" i="310"/>
  <c r="C960" i="310"/>
  <c r="C961" i="310"/>
  <c r="C962" i="310"/>
  <c r="C963" i="310"/>
  <c r="C964" i="310"/>
  <c r="C965" i="310"/>
  <c r="C966" i="310"/>
  <c r="C967" i="310"/>
  <c r="C968" i="310"/>
  <c r="C969" i="310"/>
  <c r="C970" i="310"/>
  <c r="C971" i="310"/>
  <c r="C972" i="310"/>
  <c r="C973" i="310"/>
  <c r="C974" i="310"/>
  <c r="C975" i="310"/>
  <c r="C976" i="310"/>
  <c r="C977" i="310"/>
  <c r="C978" i="310"/>
  <c r="C979" i="310"/>
  <c r="C980" i="310"/>
  <c r="C981" i="310"/>
  <c r="C982" i="310"/>
  <c r="C983" i="310"/>
  <c r="C984" i="310"/>
  <c r="C985" i="310"/>
  <c r="C986" i="310"/>
  <c r="C987" i="310"/>
  <c r="C988" i="310"/>
  <c r="C989" i="310"/>
  <c r="C990" i="310"/>
  <c r="C991" i="310"/>
  <c r="C992" i="310"/>
  <c r="C993" i="310"/>
  <c r="C994" i="310"/>
  <c r="C995" i="310"/>
  <c r="C996" i="310"/>
  <c r="C997" i="310"/>
  <c r="C998" i="310"/>
  <c r="C999" i="310"/>
  <c r="C1000" i="310"/>
  <c r="C1001" i="310"/>
  <c r="C1002" i="310"/>
  <c r="C1003" i="310"/>
  <c r="C1004" i="310"/>
  <c r="C1005" i="310"/>
  <c r="C1006" i="310"/>
  <c r="C1007" i="310"/>
  <c r="C1008" i="310"/>
  <c r="C1009" i="310"/>
  <c r="C1010" i="310"/>
  <c r="C1011" i="310"/>
  <c r="C1012" i="310"/>
  <c r="C1013" i="310"/>
  <c r="C1014" i="310"/>
  <c r="C1015" i="310"/>
  <c r="C1016" i="310"/>
  <c r="C1017" i="310"/>
  <c r="C1018" i="310"/>
  <c r="C1019" i="310"/>
  <c r="C1020" i="310"/>
  <c r="C1021" i="310"/>
  <c r="C1022" i="310"/>
  <c r="C1023" i="310"/>
  <c r="C1024" i="310"/>
  <c r="C1025" i="310"/>
  <c r="C1026" i="310"/>
  <c r="C1027" i="310"/>
  <c r="C1028" i="310"/>
  <c r="C1029" i="310"/>
  <c r="C1030" i="310"/>
  <c r="C1031" i="310"/>
  <c r="C1032" i="310"/>
  <c r="C1033" i="310"/>
  <c r="C1034" i="310"/>
  <c r="C1035" i="310"/>
  <c r="C1036" i="310"/>
  <c r="C1037" i="310"/>
  <c r="C1038" i="310"/>
  <c r="C1039" i="310"/>
  <c r="C1040" i="310"/>
  <c r="C1041" i="310"/>
  <c r="C1042" i="310"/>
  <c r="C1043" i="310"/>
  <c r="C1044" i="310"/>
  <c r="C1045" i="310"/>
  <c r="C1046" i="310"/>
  <c r="C1047" i="310"/>
  <c r="C1048" i="310"/>
  <c r="C1049" i="310"/>
  <c r="C1050" i="310"/>
  <c r="C1051" i="310"/>
  <c r="C1052" i="310"/>
  <c r="C1053" i="310"/>
  <c r="C1054" i="310"/>
  <c r="C1055" i="310"/>
  <c r="C1056" i="310"/>
  <c r="C1057" i="310"/>
  <c r="C1058" i="310"/>
  <c r="C1059" i="310"/>
  <c r="C1060" i="310"/>
  <c r="C1061" i="310"/>
  <c r="C1062" i="310"/>
  <c r="C1063" i="310"/>
  <c r="C1064" i="310"/>
  <c r="C1065" i="310"/>
  <c r="C1066" i="310"/>
  <c r="C1067" i="310"/>
  <c r="C1068" i="310"/>
  <c r="C1069" i="310"/>
  <c r="C1070" i="310"/>
  <c r="C1071" i="310"/>
  <c r="C1072" i="310"/>
  <c r="C1073" i="310"/>
  <c r="C1074" i="310"/>
  <c r="C1075" i="310"/>
  <c r="C1076" i="310"/>
  <c r="C1077" i="310"/>
  <c r="C1078" i="310"/>
  <c r="C1079" i="310"/>
  <c r="C1080" i="310"/>
  <c r="C1081" i="310"/>
  <c r="C1082" i="310"/>
  <c r="C1083" i="310"/>
  <c r="C1084" i="310"/>
  <c r="C1085" i="310"/>
  <c r="C1086" i="310"/>
  <c r="C1087" i="310"/>
  <c r="C1088" i="310"/>
  <c r="C1089" i="310"/>
  <c r="C1090" i="310"/>
  <c r="C1091" i="310"/>
  <c r="C1092" i="310"/>
  <c r="C1093" i="310"/>
  <c r="C1094" i="310"/>
  <c r="C1095" i="310"/>
  <c r="C1096" i="310"/>
  <c r="C1097" i="310"/>
  <c r="C1098" i="310"/>
  <c r="C1099" i="310"/>
  <c r="C1100" i="310"/>
  <c r="C1101" i="310"/>
  <c r="C1102" i="310"/>
  <c r="C1103" i="310"/>
  <c r="C1104" i="310"/>
  <c r="C1105" i="310"/>
  <c r="C1106" i="310"/>
  <c r="C1107" i="310"/>
  <c r="C1108" i="310"/>
  <c r="C1109" i="310"/>
  <c r="C1110" i="310"/>
  <c r="C1111" i="310"/>
  <c r="C1112" i="310"/>
  <c r="C1113" i="310"/>
  <c r="C1114" i="310"/>
  <c r="C1115" i="310"/>
  <c r="C1116" i="310"/>
  <c r="C1117" i="310"/>
  <c r="C1118" i="310"/>
  <c r="C1119" i="310"/>
  <c r="C1120" i="310"/>
  <c r="C1121" i="310"/>
  <c r="C1122" i="310"/>
  <c r="C1123" i="310"/>
  <c r="C1124" i="310"/>
  <c r="C1125" i="310"/>
  <c r="C1126" i="310"/>
  <c r="C1127" i="310"/>
  <c r="C1128" i="310"/>
  <c r="C1129" i="310"/>
  <c r="C1130" i="310"/>
  <c r="C1131" i="310"/>
  <c r="C1132" i="310"/>
  <c r="C1133" i="310"/>
  <c r="C1134" i="310"/>
  <c r="C1135" i="310"/>
  <c r="C1136" i="310"/>
  <c r="C1137" i="310"/>
  <c r="C1138" i="310"/>
  <c r="C1139" i="310"/>
  <c r="C1140" i="310"/>
  <c r="C1141" i="310"/>
  <c r="C1142" i="310"/>
  <c r="C1143" i="310"/>
  <c r="C1144" i="310"/>
  <c r="C1145" i="310"/>
  <c r="C1146" i="310"/>
  <c r="C1147" i="310"/>
  <c r="C1148" i="310"/>
  <c r="C1149" i="310"/>
  <c r="C1150" i="310"/>
  <c r="C1151" i="310"/>
  <c r="C1152" i="310"/>
  <c r="C1153" i="310"/>
  <c r="C1154" i="310"/>
  <c r="C1155" i="310"/>
  <c r="C1156" i="310"/>
  <c r="C1157" i="310"/>
  <c r="C1158" i="310"/>
  <c r="C1159" i="310"/>
  <c r="C1160" i="310"/>
  <c r="C1161" i="310"/>
  <c r="C1162" i="310"/>
  <c r="C1163" i="310"/>
  <c r="C1164" i="310"/>
  <c r="C1165" i="310"/>
  <c r="C1166" i="310"/>
  <c r="C1167" i="310"/>
  <c r="C1168" i="310"/>
  <c r="C1169" i="310"/>
  <c r="C1170" i="310"/>
  <c r="C1171" i="310"/>
  <c r="C1172" i="310"/>
  <c r="C1173" i="310"/>
  <c r="C1174" i="310"/>
  <c r="C1175" i="310"/>
  <c r="C1176" i="310"/>
  <c r="C1177" i="310"/>
  <c r="C1178" i="310"/>
  <c r="C1179" i="310"/>
  <c r="C1180" i="310"/>
  <c r="C1181" i="310"/>
  <c r="C1182" i="310"/>
  <c r="C1183" i="310"/>
  <c r="C1184" i="310"/>
  <c r="C1185" i="310"/>
  <c r="C1186" i="310"/>
  <c r="C1187" i="310"/>
  <c r="C1188" i="310"/>
  <c r="C1189" i="310"/>
  <c r="C1190" i="310"/>
  <c r="C1191" i="310"/>
  <c r="C1192" i="310"/>
  <c r="C1193" i="310"/>
  <c r="C1194" i="310"/>
  <c r="C1195" i="310"/>
  <c r="C1196" i="310"/>
  <c r="C1197" i="310"/>
  <c r="C1198" i="310"/>
  <c r="C1199" i="310"/>
  <c r="C1200" i="310"/>
  <c r="C1201" i="310"/>
  <c r="C1202" i="310"/>
  <c r="C1203" i="310"/>
  <c r="C1204" i="310"/>
  <c r="C1205" i="310"/>
  <c r="C1206" i="310"/>
  <c r="C1207" i="310"/>
  <c r="C1208" i="310"/>
  <c r="C1209" i="310"/>
  <c r="C1210" i="310"/>
  <c r="C1211" i="310"/>
  <c r="C1212" i="310"/>
  <c r="C1213" i="310"/>
  <c r="C1214" i="310"/>
  <c r="C1215" i="310"/>
  <c r="C1216" i="310"/>
  <c r="C1217" i="310"/>
  <c r="C1218" i="310"/>
  <c r="C1219" i="310"/>
  <c r="C1220" i="310"/>
  <c r="C1221" i="310"/>
  <c r="C1222" i="310"/>
  <c r="C1223" i="310"/>
  <c r="C1224" i="310"/>
  <c r="C1225" i="310"/>
  <c r="C1226" i="310"/>
  <c r="C1227" i="310"/>
  <c r="C1228" i="310"/>
  <c r="C1229" i="310"/>
  <c r="C1230" i="310"/>
  <c r="C1231" i="310"/>
  <c r="C1232" i="310"/>
  <c r="C1233" i="310"/>
  <c r="C1234" i="310"/>
  <c r="C1235" i="310"/>
  <c r="C1236" i="310"/>
  <c r="C1237" i="310"/>
  <c r="C1238" i="310"/>
  <c r="C1239" i="310"/>
  <c r="C1240" i="310"/>
  <c r="C1241" i="310"/>
  <c r="C1242" i="310"/>
  <c r="C1243" i="310"/>
  <c r="C1244" i="310"/>
  <c r="C1245" i="310"/>
  <c r="C1246" i="310"/>
  <c r="C1247" i="310"/>
  <c r="C1248" i="310"/>
  <c r="C1249" i="310"/>
  <c r="C1250" i="310"/>
  <c r="C1251" i="310"/>
  <c r="C1252" i="310"/>
  <c r="C1253" i="310"/>
  <c r="C1254" i="310"/>
  <c r="C1255" i="310"/>
  <c r="C1256" i="310"/>
  <c r="C1257" i="310"/>
  <c r="C1258" i="310"/>
  <c r="C1259" i="310"/>
  <c r="C1260" i="310"/>
  <c r="C1261" i="310"/>
  <c r="C1262" i="310"/>
  <c r="C1263" i="310"/>
  <c r="C1264" i="310"/>
  <c r="C1265" i="310"/>
  <c r="C1266" i="310"/>
  <c r="C1267" i="310"/>
  <c r="C1268" i="310"/>
  <c r="C1269" i="310"/>
  <c r="C1270" i="310"/>
  <c r="C1271" i="310"/>
  <c r="C1272" i="310"/>
  <c r="C1273" i="310"/>
  <c r="C1274" i="310"/>
  <c r="C1275" i="310"/>
  <c r="C1276" i="310"/>
  <c r="C1277" i="310"/>
  <c r="C1278" i="310"/>
  <c r="C1279" i="310"/>
  <c r="C1280" i="310"/>
  <c r="C1281" i="310"/>
  <c r="C1282" i="310"/>
  <c r="C1283" i="310"/>
  <c r="C1284" i="310"/>
  <c r="C1285" i="310"/>
  <c r="C1286" i="310"/>
  <c r="C1287" i="310"/>
  <c r="C1288" i="310"/>
  <c r="C1289" i="310"/>
  <c r="C1290" i="310"/>
  <c r="C1291" i="310"/>
  <c r="C1292" i="310"/>
  <c r="C1293" i="310"/>
  <c r="C1294" i="310"/>
  <c r="C1295" i="310"/>
  <c r="C1296" i="310"/>
  <c r="C1297" i="310"/>
  <c r="C1298" i="310"/>
  <c r="C1299" i="310"/>
  <c r="C1300" i="310"/>
  <c r="C1301" i="310"/>
  <c r="C1302" i="310"/>
  <c r="C1303" i="310"/>
  <c r="C1304" i="310"/>
  <c r="C1305" i="310"/>
  <c r="C1306" i="310"/>
  <c r="C1307" i="310"/>
  <c r="C1308" i="310"/>
  <c r="C1309" i="310"/>
  <c r="C1310" i="310"/>
  <c r="C1311" i="310"/>
  <c r="C1312" i="310"/>
  <c r="C1313" i="310"/>
  <c r="C1314" i="310"/>
  <c r="C1315" i="310"/>
  <c r="C1316" i="310"/>
  <c r="C1317" i="310"/>
  <c r="C1318" i="310"/>
  <c r="C1319" i="310"/>
  <c r="C1320" i="310"/>
  <c r="C1321" i="310"/>
  <c r="C1322" i="310"/>
  <c r="C1323" i="310"/>
  <c r="C1324" i="310"/>
  <c r="C1325" i="310"/>
  <c r="C1326" i="310"/>
  <c r="C1327" i="310"/>
  <c r="C1328" i="310"/>
  <c r="C1329" i="310"/>
  <c r="C1330" i="310"/>
  <c r="C1331" i="310"/>
  <c r="C1332" i="310"/>
  <c r="C1333" i="310"/>
  <c r="C1334" i="310"/>
  <c r="C1335" i="310"/>
  <c r="C1336" i="310"/>
  <c r="C1337" i="310"/>
  <c r="C1338" i="310"/>
  <c r="C1339" i="310"/>
  <c r="C1340" i="310"/>
  <c r="C1341" i="310"/>
  <c r="C1342" i="310"/>
  <c r="C1343" i="310"/>
  <c r="C1344" i="310"/>
  <c r="C1345" i="310"/>
  <c r="C1346" i="310"/>
  <c r="C1347" i="310"/>
  <c r="C1348" i="310"/>
  <c r="C1349" i="310"/>
  <c r="C1350" i="310"/>
  <c r="C1351" i="310"/>
  <c r="C1352" i="310"/>
  <c r="C1353" i="310"/>
  <c r="C1354" i="310"/>
  <c r="C1355" i="310"/>
  <c r="C1356" i="310"/>
  <c r="C1357" i="310"/>
  <c r="C1358" i="310"/>
  <c r="C1359" i="310"/>
  <c r="C1360" i="310"/>
  <c r="C1361" i="310"/>
  <c r="C1362" i="310"/>
  <c r="C1363" i="310"/>
  <c r="C1364" i="310"/>
  <c r="C1365" i="310"/>
  <c r="C1366" i="310"/>
  <c r="C1367" i="310"/>
  <c r="C1368" i="310"/>
  <c r="C1369" i="310"/>
  <c r="C1370" i="310"/>
  <c r="C1371" i="310"/>
  <c r="C1372" i="310"/>
  <c r="C1373" i="310"/>
  <c r="C1374" i="310"/>
  <c r="C1375" i="310"/>
  <c r="C1376" i="310"/>
  <c r="C1377" i="310"/>
  <c r="C1378" i="310"/>
  <c r="C1379" i="310"/>
  <c r="C1380" i="310"/>
  <c r="C1381" i="310"/>
  <c r="C1382" i="310"/>
  <c r="C1383" i="310"/>
  <c r="C1384" i="310"/>
  <c r="C1385" i="310"/>
  <c r="C1386" i="310"/>
  <c r="C1387" i="310"/>
  <c r="C1388" i="310"/>
  <c r="C1389" i="310"/>
  <c r="C1390" i="310"/>
  <c r="C1391" i="310"/>
  <c r="C1392" i="310"/>
  <c r="C1393" i="310"/>
  <c r="C1394" i="310"/>
  <c r="C1395" i="310"/>
  <c r="C1396" i="310"/>
  <c r="C1397" i="310"/>
  <c r="C1398" i="310"/>
  <c r="C1399" i="310"/>
  <c r="C1400" i="310"/>
  <c r="C1401" i="310"/>
  <c r="C1402" i="310"/>
  <c r="C1403" i="310"/>
  <c r="C1404" i="310"/>
  <c r="C1405" i="310"/>
  <c r="C1406" i="310"/>
  <c r="C1407" i="310"/>
  <c r="C1408" i="310"/>
  <c r="C1409" i="310"/>
  <c r="C1410" i="310"/>
  <c r="C1411" i="310"/>
  <c r="C1412" i="310"/>
  <c r="C1413" i="310"/>
  <c r="C1414" i="310"/>
  <c r="C1415" i="310"/>
  <c r="C1416" i="310"/>
  <c r="C1417" i="310"/>
  <c r="C1418" i="310"/>
  <c r="C1419" i="310"/>
  <c r="C1420" i="310"/>
  <c r="C1421" i="310"/>
  <c r="C1422" i="310"/>
  <c r="C1423" i="310"/>
  <c r="C1424" i="310"/>
  <c r="C1425" i="310"/>
  <c r="C1426" i="310"/>
  <c r="C1427" i="310"/>
  <c r="C1428" i="310"/>
  <c r="C1429" i="310"/>
  <c r="C1430" i="310"/>
  <c r="C1431" i="310"/>
  <c r="C1432" i="310"/>
  <c r="C1433" i="310"/>
  <c r="C1434" i="310"/>
  <c r="C1435" i="310"/>
  <c r="C1436" i="310"/>
  <c r="C1437" i="310"/>
  <c r="C1438" i="310"/>
  <c r="C1439" i="310"/>
  <c r="C1440" i="310"/>
  <c r="C1441" i="310"/>
  <c r="C1442" i="310"/>
  <c r="C1443" i="310"/>
  <c r="C1444" i="310"/>
  <c r="C1445" i="310"/>
  <c r="C1446" i="310"/>
  <c r="C1447" i="310"/>
  <c r="C1448" i="310"/>
  <c r="C1449" i="310"/>
  <c r="C1450" i="310"/>
  <c r="C1451" i="310"/>
  <c r="C1452" i="310"/>
  <c r="C1453" i="310"/>
  <c r="C1454" i="310"/>
  <c r="C1455" i="310"/>
  <c r="C1456" i="310"/>
  <c r="C1457" i="310"/>
  <c r="C1458" i="310"/>
  <c r="C1459" i="310"/>
  <c r="C1460" i="310"/>
  <c r="C1461" i="310"/>
  <c r="C1462" i="310"/>
  <c r="C1463" i="310"/>
  <c r="C1464" i="310"/>
  <c r="C1465" i="310"/>
  <c r="C1466" i="310"/>
  <c r="C1467" i="310"/>
  <c r="C1468" i="310"/>
  <c r="C1469" i="310"/>
  <c r="C1470" i="310"/>
  <c r="C1471" i="310"/>
  <c r="C1472" i="310"/>
  <c r="C1473" i="310"/>
  <c r="C1474" i="310"/>
  <c r="C1475" i="310"/>
  <c r="C1476" i="310"/>
  <c r="C1477" i="310"/>
  <c r="C1478" i="310"/>
  <c r="C1479" i="310"/>
  <c r="C1480" i="310"/>
  <c r="C1481" i="310"/>
  <c r="C1482" i="310"/>
  <c r="C1483" i="310"/>
  <c r="C1484" i="310"/>
  <c r="C1485" i="310"/>
  <c r="C1486" i="310"/>
  <c r="C1487" i="310"/>
  <c r="C1488" i="310"/>
  <c r="C1489" i="310"/>
  <c r="C1490" i="310"/>
  <c r="C1491" i="310"/>
  <c r="C1492" i="310"/>
  <c r="C1493" i="310"/>
  <c r="C1494" i="310"/>
  <c r="C1495" i="310"/>
  <c r="C1496" i="310"/>
  <c r="C1497" i="310"/>
  <c r="C1498" i="310"/>
  <c r="C1499" i="310"/>
  <c r="C1500" i="310"/>
  <c r="C1501" i="310"/>
  <c r="C1502" i="310"/>
  <c r="C1503" i="310"/>
  <c r="C1504" i="310"/>
  <c r="C1505" i="310"/>
  <c r="C1506" i="310"/>
  <c r="C1507" i="310"/>
  <c r="C1508" i="310"/>
  <c r="C1509" i="310"/>
  <c r="C1510" i="310"/>
  <c r="C1511" i="310"/>
  <c r="C1512" i="310"/>
  <c r="C1513" i="310"/>
  <c r="C1514" i="310"/>
  <c r="C1515" i="310"/>
  <c r="C1516" i="310"/>
  <c r="C1517" i="310"/>
  <c r="C1518" i="310"/>
  <c r="C1519" i="310"/>
  <c r="C1520" i="310"/>
  <c r="C1521" i="310"/>
  <c r="C1522" i="310"/>
  <c r="C1523" i="310"/>
  <c r="C1524" i="310"/>
  <c r="C1525" i="310"/>
  <c r="C1526" i="310"/>
  <c r="C1527" i="310"/>
  <c r="C1528" i="310"/>
  <c r="C1529" i="310"/>
  <c r="C1530" i="310"/>
  <c r="C1531" i="310"/>
  <c r="C1532" i="310"/>
  <c r="C1533" i="310"/>
  <c r="C1534" i="310"/>
  <c r="C1535" i="310"/>
  <c r="C1536" i="310"/>
  <c r="C1537" i="310"/>
  <c r="C1538" i="310"/>
  <c r="C1539" i="310"/>
  <c r="C1540" i="310"/>
  <c r="C1541" i="310"/>
  <c r="C1542" i="310"/>
  <c r="C1543" i="310"/>
  <c r="C1544" i="310"/>
  <c r="C1545" i="310"/>
  <c r="C1546" i="310"/>
  <c r="C1547" i="310"/>
  <c r="C1548" i="310"/>
  <c r="C1549" i="310"/>
  <c r="C1550" i="310"/>
  <c r="C1551" i="310"/>
  <c r="C1552" i="310"/>
  <c r="C1553" i="310"/>
  <c r="C2" i="310"/>
  <c r="C5" i="293" l="1"/>
  <c r="W82" i="293"/>
  <c r="X82" i="293"/>
  <c r="Y82" i="293"/>
  <c r="Z82" i="293"/>
  <c r="AA82" i="293"/>
  <c r="AB82" i="293"/>
  <c r="AC82" i="293"/>
  <c r="AD82" i="293"/>
  <c r="AE82" i="293"/>
  <c r="AF82" i="293"/>
  <c r="AG82" i="293"/>
  <c r="AH82" i="293"/>
  <c r="AI82" i="293"/>
  <c r="AJ82" i="293"/>
  <c r="AK82" i="293"/>
  <c r="AL82" i="293"/>
  <c r="AM82" i="293"/>
  <c r="AN82" i="293"/>
  <c r="AO82" i="293"/>
  <c r="AP82" i="293"/>
  <c r="AQ82" i="293"/>
  <c r="AR82" i="293"/>
  <c r="AS82" i="293"/>
  <c r="AT82" i="293"/>
  <c r="AU82" i="293"/>
  <c r="AV82" i="293"/>
  <c r="AW82" i="293"/>
  <c r="AX82" i="293"/>
  <c r="AY82" i="293"/>
  <c r="AZ82" i="293"/>
  <c r="BA82" i="293"/>
  <c r="BB82" i="293"/>
  <c r="BC82" i="293"/>
  <c r="BD82" i="293"/>
  <c r="BE82" i="293"/>
  <c r="BF82" i="293"/>
  <c r="BG82" i="293"/>
  <c r="BH82" i="293"/>
  <c r="V86" i="293"/>
  <c r="W86" i="293"/>
  <c r="X86" i="293"/>
  <c r="Y86" i="293"/>
  <c r="Z86" i="293"/>
  <c r="AA86" i="293"/>
  <c r="AB86" i="293"/>
  <c r="AC86" i="293"/>
  <c r="AD86" i="293"/>
  <c r="AE86" i="293"/>
  <c r="AF86" i="293"/>
  <c r="AG86" i="293"/>
  <c r="AH86" i="293"/>
  <c r="AI86" i="293"/>
  <c r="AJ86" i="293"/>
  <c r="AK86" i="293"/>
  <c r="AL86" i="293"/>
  <c r="AM86" i="293"/>
  <c r="AN86" i="293"/>
  <c r="AO86" i="293"/>
  <c r="AP86" i="293"/>
  <c r="AQ86" i="293"/>
  <c r="AR86" i="293"/>
  <c r="AS86" i="293"/>
  <c r="AT86" i="293"/>
  <c r="AU86" i="293"/>
  <c r="AV86" i="293"/>
  <c r="AW86" i="293"/>
  <c r="AX86" i="293"/>
  <c r="AY86" i="293"/>
  <c r="AZ86" i="293"/>
  <c r="BA86" i="293"/>
  <c r="BB86" i="293"/>
  <c r="BC86" i="293"/>
  <c r="BD86" i="293"/>
  <c r="BE86" i="293"/>
  <c r="BF86" i="293"/>
  <c r="BG86" i="293"/>
  <c r="BH86" i="293"/>
  <c r="V96" i="293"/>
  <c r="W96" i="293"/>
  <c r="X96" i="293"/>
  <c r="Y96" i="293"/>
  <c r="Z96" i="293"/>
  <c r="AA96" i="293"/>
  <c r="AB96" i="293"/>
  <c r="AC96" i="293"/>
  <c r="AD96" i="293"/>
  <c r="AE96" i="293"/>
  <c r="AF96" i="293"/>
  <c r="AG96" i="293"/>
  <c r="AH96" i="293"/>
  <c r="AI96" i="293"/>
  <c r="AJ96" i="293"/>
  <c r="AK96" i="293"/>
  <c r="AL96" i="293"/>
  <c r="AM96" i="293"/>
  <c r="AN96" i="293"/>
  <c r="AO96" i="293"/>
  <c r="AP96" i="293"/>
  <c r="AQ96" i="293"/>
  <c r="AR96" i="293"/>
  <c r="AS96" i="293"/>
  <c r="AT96" i="293"/>
  <c r="AU96" i="293"/>
  <c r="AV96" i="293"/>
  <c r="AW96" i="293"/>
  <c r="AX96" i="293"/>
  <c r="AY96" i="293"/>
  <c r="AZ96" i="293"/>
  <c r="BA96" i="293"/>
  <c r="BB96" i="293"/>
  <c r="BC96" i="293"/>
  <c r="BD96" i="293"/>
  <c r="BE96" i="293"/>
  <c r="BF96" i="293"/>
  <c r="BG96" i="293"/>
  <c r="BH96" i="293"/>
  <c r="H93" i="293"/>
  <c r="I93" i="293"/>
  <c r="J93" i="293"/>
  <c r="K93" i="293"/>
  <c r="L93" i="293"/>
  <c r="M93" i="293"/>
  <c r="N93" i="293"/>
  <c r="O93" i="293"/>
  <c r="P93" i="293"/>
  <c r="Q93" i="293"/>
  <c r="R93" i="293"/>
  <c r="S93" i="293"/>
  <c r="T93" i="293"/>
  <c r="U93" i="293"/>
  <c r="V93" i="293"/>
  <c r="W93" i="293"/>
  <c r="X93" i="293"/>
  <c r="Y93" i="293"/>
  <c r="Z93" i="293"/>
  <c r="AA93" i="293"/>
  <c r="AB93" i="293"/>
  <c r="AC93" i="293"/>
  <c r="AD93" i="293"/>
  <c r="AE93" i="293"/>
  <c r="AF93" i="293"/>
  <c r="AG93" i="293"/>
  <c r="AH93" i="293"/>
  <c r="AI93" i="293"/>
  <c r="AJ93" i="293"/>
  <c r="AK93" i="293"/>
  <c r="AL93" i="293"/>
  <c r="AM93" i="293"/>
  <c r="AN93" i="293"/>
  <c r="AO93" i="293"/>
  <c r="AP93" i="293"/>
  <c r="AQ93" i="293"/>
  <c r="AR93" i="293"/>
  <c r="AS93" i="293"/>
  <c r="AT93" i="293"/>
  <c r="AU93" i="293"/>
  <c r="AV93" i="293"/>
  <c r="AW93" i="293"/>
  <c r="AX93" i="293"/>
  <c r="AY93" i="293"/>
  <c r="AZ93" i="293"/>
  <c r="BA93" i="293"/>
  <c r="BB93" i="293"/>
  <c r="BC93" i="293"/>
  <c r="BD93" i="293"/>
  <c r="BE93" i="293"/>
  <c r="BF93" i="293"/>
  <c r="BG93" i="293"/>
  <c r="BH93" i="293"/>
  <c r="G93" i="293"/>
  <c r="J4" i="275"/>
  <c r="T20" i="282"/>
  <c r="G83" i="282" s="1"/>
  <c r="O20" i="282"/>
  <c r="I94" i="282" s="1"/>
  <c r="H99" i="282"/>
  <c r="I99" i="282"/>
  <c r="J99" i="282"/>
  <c r="K99" i="282"/>
  <c r="L99" i="282"/>
  <c r="M99" i="282"/>
  <c r="N99" i="282"/>
  <c r="O99" i="282"/>
  <c r="P99" i="282"/>
  <c r="Q99" i="282"/>
  <c r="R99" i="282"/>
  <c r="S99" i="282"/>
  <c r="T99" i="282"/>
  <c r="U99" i="282"/>
  <c r="V99" i="282"/>
  <c r="W99" i="282"/>
  <c r="X99" i="282"/>
  <c r="Y99" i="282"/>
  <c r="Z99" i="282"/>
  <c r="AA99" i="282"/>
  <c r="AB99" i="282"/>
  <c r="AC99" i="282"/>
  <c r="AD99" i="282"/>
  <c r="AE99" i="282"/>
  <c r="AF99" i="282"/>
  <c r="AG99" i="282"/>
  <c r="AH99" i="282"/>
  <c r="AI99" i="282"/>
  <c r="AJ99" i="282"/>
  <c r="AK99" i="282"/>
  <c r="AL99" i="282"/>
  <c r="AM99" i="282"/>
  <c r="AN99" i="282"/>
  <c r="AO99" i="282"/>
  <c r="AP99" i="282"/>
  <c r="AQ99" i="282"/>
  <c r="AR99" i="282"/>
  <c r="AS99" i="282"/>
  <c r="AT99" i="282"/>
  <c r="AU99" i="282"/>
  <c r="AV99" i="282"/>
  <c r="AW99" i="282"/>
  <c r="AX99" i="282"/>
  <c r="AY99" i="282"/>
  <c r="AZ99" i="282"/>
  <c r="BA99" i="282"/>
  <c r="BB99" i="282"/>
  <c r="BC99" i="282"/>
  <c r="BD99" i="282"/>
  <c r="BE99" i="282"/>
  <c r="BF99" i="282"/>
  <c r="BG99" i="282"/>
  <c r="BH99" i="282"/>
  <c r="G99" i="282"/>
  <c r="H101" i="282"/>
  <c r="I101" i="282"/>
  <c r="J101" i="282"/>
  <c r="K101" i="282"/>
  <c r="L101" i="282"/>
  <c r="M101" i="282"/>
  <c r="N101" i="282"/>
  <c r="O101" i="282"/>
  <c r="P101" i="282"/>
  <c r="Q101" i="282"/>
  <c r="R101" i="282"/>
  <c r="S101" i="282"/>
  <c r="T101" i="282"/>
  <c r="U101" i="282"/>
  <c r="V101" i="282"/>
  <c r="W101" i="282"/>
  <c r="X101" i="282"/>
  <c r="Y101" i="282"/>
  <c r="Z101" i="282"/>
  <c r="AA101" i="282"/>
  <c r="AB101" i="282"/>
  <c r="AC101" i="282"/>
  <c r="AD101" i="282"/>
  <c r="AE101" i="282"/>
  <c r="AF101" i="282"/>
  <c r="AG101" i="282"/>
  <c r="AH101" i="282"/>
  <c r="AI101" i="282"/>
  <c r="AJ101" i="282"/>
  <c r="AK101" i="282"/>
  <c r="AL101" i="282"/>
  <c r="AM101" i="282"/>
  <c r="AN101" i="282"/>
  <c r="AO101" i="282"/>
  <c r="AP101" i="282"/>
  <c r="AQ101" i="282"/>
  <c r="AR101" i="282"/>
  <c r="AS101" i="282"/>
  <c r="AT101" i="282"/>
  <c r="AU101" i="282"/>
  <c r="AV101" i="282"/>
  <c r="AW101" i="282"/>
  <c r="AX101" i="282"/>
  <c r="AY101" i="282"/>
  <c r="AZ101" i="282"/>
  <c r="BA101" i="282"/>
  <c r="BB101" i="282"/>
  <c r="BC101" i="282"/>
  <c r="BD101" i="282"/>
  <c r="BE101" i="282"/>
  <c r="BF101" i="282"/>
  <c r="BG101" i="282"/>
  <c r="BH101" i="282"/>
  <c r="G101" i="282"/>
  <c r="W106" i="280"/>
  <c r="X106" i="280"/>
  <c r="Y106" i="280"/>
  <c r="Z106" i="280"/>
  <c r="AA106" i="280"/>
  <c r="AB106" i="280"/>
  <c r="AC106" i="280"/>
  <c r="AD106" i="280"/>
  <c r="AE106" i="280"/>
  <c r="AF106" i="280"/>
  <c r="AG106" i="280"/>
  <c r="AH106" i="280"/>
  <c r="AI106" i="280"/>
  <c r="AJ106" i="280"/>
  <c r="AK106" i="280"/>
  <c r="AL106" i="280"/>
  <c r="AM106" i="280"/>
  <c r="AN106" i="280"/>
  <c r="AO106" i="280"/>
  <c r="AP106" i="280"/>
  <c r="AQ106" i="280"/>
  <c r="AR106" i="280"/>
  <c r="AS106" i="280"/>
  <c r="AT106" i="280"/>
  <c r="AU106" i="280"/>
  <c r="AV106" i="280"/>
  <c r="AW106" i="280"/>
  <c r="AX106" i="280"/>
  <c r="AY106" i="280"/>
  <c r="AZ106" i="280"/>
  <c r="BA106" i="280"/>
  <c r="BB106" i="280"/>
  <c r="BC106" i="280"/>
  <c r="BD106" i="280"/>
  <c r="BE106" i="280"/>
  <c r="BF106" i="280"/>
  <c r="BG106" i="280"/>
  <c r="BH106" i="280"/>
  <c r="W90" i="280"/>
  <c r="X90" i="280"/>
  <c r="Y90" i="280"/>
  <c r="Z90" i="280"/>
  <c r="AA90" i="280"/>
  <c r="AB90" i="280"/>
  <c r="AC90" i="280"/>
  <c r="AD90" i="280"/>
  <c r="AE90" i="280"/>
  <c r="AF90" i="280"/>
  <c r="AG90" i="280"/>
  <c r="AH90" i="280"/>
  <c r="AI90" i="280"/>
  <c r="AJ90" i="280"/>
  <c r="AK90" i="280"/>
  <c r="AL90" i="280"/>
  <c r="AM90" i="280"/>
  <c r="AN90" i="280"/>
  <c r="AO90" i="280"/>
  <c r="AP90" i="280"/>
  <c r="AQ90" i="280"/>
  <c r="AR90" i="280"/>
  <c r="AS90" i="280"/>
  <c r="AT90" i="280"/>
  <c r="AU90" i="280"/>
  <c r="AV90" i="280"/>
  <c r="AW90" i="280"/>
  <c r="AX90" i="280"/>
  <c r="AY90" i="280"/>
  <c r="AZ90" i="280"/>
  <c r="BA90" i="280"/>
  <c r="BB90" i="280"/>
  <c r="BC90" i="280"/>
  <c r="BD90" i="280"/>
  <c r="BE90" i="280"/>
  <c r="BF90" i="280"/>
  <c r="BG90" i="280"/>
  <c r="BH90" i="280"/>
  <c r="AM94" i="282" l="1"/>
  <c r="BC94" i="282"/>
  <c r="W94" i="282"/>
  <c r="AE94" i="282"/>
  <c r="AU94" i="282"/>
  <c r="O94" i="282"/>
  <c r="V94" i="282"/>
  <c r="BB94" i="282"/>
  <c r="AT94" i="282"/>
  <c r="AL94" i="282"/>
  <c r="AD94" i="282"/>
  <c r="N94" i="282"/>
  <c r="BG94" i="282"/>
  <c r="AY94" i="282"/>
  <c r="AQ94" i="282"/>
  <c r="AI94" i="282"/>
  <c r="AA94" i="282"/>
  <c r="S94" i="282"/>
  <c r="K94" i="282"/>
  <c r="BF94" i="282"/>
  <c r="AX94" i="282"/>
  <c r="AP94" i="282"/>
  <c r="AH94" i="282"/>
  <c r="Z94" i="282"/>
  <c r="R94" i="282"/>
  <c r="J94" i="282"/>
  <c r="BH94" i="282"/>
  <c r="BD94" i="282"/>
  <c r="AZ94" i="282"/>
  <c r="AV94" i="282"/>
  <c r="AR94" i="282"/>
  <c r="AN94" i="282"/>
  <c r="AJ94" i="282"/>
  <c r="AF94" i="282"/>
  <c r="AB94" i="282"/>
  <c r="X94" i="282"/>
  <c r="T94" i="282"/>
  <c r="P94" i="282"/>
  <c r="L94" i="282"/>
  <c r="H94" i="282"/>
  <c r="BE94" i="282"/>
  <c r="BA94" i="282"/>
  <c r="AW94" i="282"/>
  <c r="AS94" i="282"/>
  <c r="AO94" i="282"/>
  <c r="AK94" i="282"/>
  <c r="AG94" i="282"/>
  <c r="AC94" i="282"/>
  <c r="Y94" i="282"/>
  <c r="U94" i="282"/>
  <c r="Q94" i="282"/>
  <c r="M94" i="282"/>
  <c r="C5" i="275"/>
  <c r="I4" i="322" l="1"/>
  <c r="C21" i="285" l="1"/>
  <c r="C20" i="285"/>
  <c r="C12" i="285"/>
  <c r="H69" i="276" l="1"/>
  <c r="AC85" i="322"/>
  <c r="AD85" i="322"/>
  <c r="AE85" i="322"/>
  <c r="AF85" i="322"/>
  <c r="AG85" i="322"/>
  <c r="AH85" i="322"/>
  <c r="AI85" i="322"/>
  <c r="AJ85" i="322"/>
  <c r="AK85" i="322"/>
  <c r="AL85" i="322"/>
  <c r="AM85" i="322"/>
  <c r="AN85" i="322"/>
  <c r="AO85" i="322"/>
  <c r="AP85" i="322"/>
  <c r="AQ85" i="322"/>
  <c r="AR85" i="322"/>
  <c r="AS85" i="322"/>
  <c r="AT85" i="322"/>
  <c r="AU85" i="322"/>
  <c r="AV85" i="322"/>
  <c r="AW85" i="322"/>
  <c r="AX85" i="322"/>
  <c r="AY85" i="322"/>
  <c r="AZ85" i="322"/>
  <c r="BA85" i="322"/>
  <c r="BB85" i="322"/>
  <c r="BC85" i="322"/>
  <c r="BD85" i="322"/>
  <c r="BE85" i="322"/>
  <c r="BF85" i="322"/>
  <c r="BG85" i="322"/>
  <c r="BH85" i="322"/>
  <c r="AC87" i="322"/>
  <c r="AD87" i="322"/>
  <c r="AE87" i="322"/>
  <c r="AF87" i="322"/>
  <c r="AG87" i="322"/>
  <c r="AH87" i="322"/>
  <c r="AI87" i="322"/>
  <c r="AJ87" i="322"/>
  <c r="AK87" i="322"/>
  <c r="AL87" i="322"/>
  <c r="AM87" i="322"/>
  <c r="AN87" i="322"/>
  <c r="AO87" i="322"/>
  <c r="AP87" i="322"/>
  <c r="AQ87" i="322"/>
  <c r="AR87" i="322"/>
  <c r="AS87" i="322"/>
  <c r="AT87" i="322"/>
  <c r="AU87" i="322"/>
  <c r="AV87" i="322"/>
  <c r="AW87" i="322"/>
  <c r="AX87" i="322"/>
  <c r="AY87" i="322"/>
  <c r="AZ87" i="322"/>
  <c r="BA87" i="322"/>
  <c r="BB87" i="322"/>
  <c r="BC87" i="322"/>
  <c r="BD87" i="322"/>
  <c r="BE87" i="322"/>
  <c r="BF87" i="322"/>
  <c r="BG87" i="322"/>
  <c r="BH87" i="322"/>
  <c r="I88" i="322"/>
  <c r="J88" i="322"/>
  <c r="K88" i="322"/>
  <c r="L88" i="322"/>
  <c r="M88" i="322"/>
  <c r="N88" i="322"/>
  <c r="O88" i="322"/>
  <c r="P88" i="322"/>
  <c r="Q88" i="322"/>
  <c r="R88" i="322"/>
  <c r="S88" i="322"/>
  <c r="T88" i="322"/>
  <c r="U88" i="322"/>
  <c r="V88" i="322"/>
  <c r="W88" i="322"/>
  <c r="X88" i="322"/>
  <c r="Y88" i="322"/>
  <c r="Z88" i="322"/>
  <c r="AA88" i="322"/>
  <c r="AB88" i="322"/>
  <c r="AC88" i="322"/>
  <c r="AD88" i="322"/>
  <c r="AE88" i="322"/>
  <c r="AF88" i="322"/>
  <c r="AG88" i="322"/>
  <c r="AH88" i="322"/>
  <c r="AI88" i="322"/>
  <c r="AJ88" i="322"/>
  <c r="AK88" i="322"/>
  <c r="AL88" i="322"/>
  <c r="AM88" i="322"/>
  <c r="AN88" i="322"/>
  <c r="AO88" i="322"/>
  <c r="AP88" i="322"/>
  <c r="AQ88" i="322"/>
  <c r="AR88" i="322"/>
  <c r="AS88" i="322"/>
  <c r="AT88" i="322"/>
  <c r="AU88" i="322"/>
  <c r="AV88" i="322"/>
  <c r="AW88" i="322"/>
  <c r="AX88" i="322"/>
  <c r="AY88" i="322"/>
  <c r="AZ88" i="322"/>
  <c r="BA88" i="322"/>
  <c r="BB88" i="322"/>
  <c r="BC88" i="322"/>
  <c r="BD88" i="322"/>
  <c r="BE88" i="322"/>
  <c r="BF88" i="322"/>
  <c r="BG88" i="322"/>
  <c r="BH88" i="322"/>
  <c r="AC89" i="322"/>
  <c r="AD89" i="322"/>
  <c r="AE89" i="322"/>
  <c r="AF89" i="322"/>
  <c r="AG89" i="322"/>
  <c r="AH89" i="322"/>
  <c r="AI89" i="322"/>
  <c r="AJ89" i="322"/>
  <c r="AK89" i="322"/>
  <c r="AL89" i="322"/>
  <c r="AM89" i="322"/>
  <c r="AN89" i="322"/>
  <c r="AO89" i="322"/>
  <c r="AP89" i="322"/>
  <c r="AQ89" i="322"/>
  <c r="AR89" i="322"/>
  <c r="AS89" i="322"/>
  <c r="AT89" i="322"/>
  <c r="AU89" i="322"/>
  <c r="AV89" i="322"/>
  <c r="AW89" i="322"/>
  <c r="AX89" i="322"/>
  <c r="AY89" i="322"/>
  <c r="AZ89" i="322"/>
  <c r="BA89" i="322"/>
  <c r="BB89" i="322"/>
  <c r="BC89" i="322"/>
  <c r="BD89" i="322"/>
  <c r="BE89" i="322"/>
  <c r="BF89" i="322"/>
  <c r="BG89" i="322"/>
  <c r="BH89" i="322"/>
  <c r="H88" i="322"/>
  <c r="G85" i="322"/>
  <c r="I14" i="322"/>
  <c r="I69" i="322"/>
  <c r="H69" i="322"/>
  <c r="BI96" i="322"/>
  <c r="BI95" i="322"/>
  <c r="AT94" i="322"/>
  <c r="R94" i="322"/>
  <c r="L94" i="322"/>
  <c r="E94" i="322"/>
  <c r="F93" i="322"/>
  <c r="F97" i="322" s="1"/>
  <c r="F98" i="322" s="1"/>
  <c r="F58" i="322" s="1"/>
  <c r="E93" i="322"/>
  <c r="F90" i="322"/>
  <c r="BI86" i="322"/>
  <c r="F85" i="322"/>
  <c r="G83" i="322"/>
  <c r="H83" i="322" s="1"/>
  <c r="I83" i="322" s="1"/>
  <c r="J83" i="322" s="1"/>
  <c r="K83" i="322" s="1"/>
  <c r="L83" i="322" s="1"/>
  <c r="M83" i="322" s="1"/>
  <c r="N83" i="322" s="1"/>
  <c r="O83" i="322" s="1"/>
  <c r="P83" i="322" s="1"/>
  <c r="Q83" i="322" s="1"/>
  <c r="R83" i="322" s="1"/>
  <c r="S83" i="322" s="1"/>
  <c r="T83" i="322" s="1"/>
  <c r="U83" i="322" s="1"/>
  <c r="V83" i="322" s="1"/>
  <c r="W83" i="322" s="1"/>
  <c r="X83" i="322" s="1"/>
  <c r="Y83" i="322" s="1"/>
  <c r="Z83" i="322" s="1"/>
  <c r="AA83" i="322" s="1"/>
  <c r="AB83" i="322" s="1"/>
  <c r="AC83" i="322" s="1"/>
  <c r="AD83" i="322" s="1"/>
  <c r="AE83" i="322" s="1"/>
  <c r="AF83" i="322" s="1"/>
  <c r="AG83" i="322" s="1"/>
  <c r="AH83" i="322" s="1"/>
  <c r="AI83" i="322" s="1"/>
  <c r="AJ83" i="322" s="1"/>
  <c r="AK83" i="322" s="1"/>
  <c r="AL83" i="322" s="1"/>
  <c r="AM83" i="322" s="1"/>
  <c r="AN83" i="322" s="1"/>
  <c r="AO83" i="322" s="1"/>
  <c r="AP83" i="322" s="1"/>
  <c r="AQ83" i="322" s="1"/>
  <c r="AR83" i="322" s="1"/>
  <c r="AS83" i="322" s="1"/>
  <c r="AT83" i="322" s="1"/>
  <c r="AU83" i="322" s="1"/>
  <c r="AV83" i="322" s="1"/>
  <c r="AW83" i="322" s="1"/>
  <c r="AX83" i="322" s="1"/>
  <c r="AY83" i="322" s="1"/>
  <c r="AZ83" i="322" s="1"/>
  <c r="BA83" i="322" s="1"/>
  <c r="BB83" i="322" s="1"/>
  <c r="BC83" i="322" s="1"/>
  <c r="BD83" i="322" s="1"/>
  <c r="BE83" i="322" s="1"/>
  <c r="BF83" i="322" s="1"/>
  <c r="BG83" i="322" s="1"/>
  <c r="BH83" i="322" s="1"/>
  <c r="F78" i="322"/>
  <c r="E78" i="322"/>
  <c r="D78" i="322"/>
  <c r="BI77" i="322"/>
  <c r="E77" i="322"/>
  <c r="BH76" i="322"/>
  <c r="BG76" i="322"/>
  <c r="BF76" i="322"/>
  <c r="BE76" i="322"/>
  <c r="BE78" i="322" s="1"/>
  <c r="BE79" i="322" s="1"/>
  <c r="BD76" i="322"/>
  <c r="BC76" i="322"/>
  <c r="BB76" i="322"/>
  <c r="BA76" i="322"/>
  <c r="AZ76" i="322"/>
  <c r="AY76" i="322"/>
  <c r="AX76" i="322"/>
  <c r="AW76" i="322"/>
  <c r="AV76" i="322"/>
  <c r="AU76" i="322"/>
  <c r="AT76" i="322"/>
  <c r="AT78" i="322" s="1"/>
  <c r="AT79" i="322" s="1"/>
  <c r="AS76" i="322"/>
  <c r="AR76" i="322"/>
  <c r="AQ76" i="322"/>
  <c r="AP76" i="322"/>
  <c r="AO76" i="322"/>
  <c r="AN76" i="322"/>
  <c r="AM76" i="322"/>
  <c r="AL76" i="322"/>
  <c r="AL78" i="322" s="1"/>
  <c r="AL79" i="322" s="1"/>
  <c r="AK76" i="322"/>
  <c r="AJ76" i="322"/>
  <c r="AJ78" i="322" s="1"/>
  <c r="AJ79" i="322" s="1"/>
  <c r="AI76" i="322"/>
  <c r="AH76" i="322"/>
  <c r="AG76" i="322"/>
  <c r="AF76" i="322"/>
  <c r="AE76" i="322"/>
  <c r="AD76" i="322"/>
  <c r="AC76" i="322"/>
  <c r="AB76" i="322"/>
  <c r="AA76" i="322"/>
  <c r="Z76" i="322"/>
  <c r="Y76" i="322"/>
  <c r="Y78" i="322" s="1"/>
  <c r="Y79" i="322" s="1"/>
  <c r="X76" i="322"/>
  <c r="W76" i="322"/>
  <c r="V76" i="322"/>
  <c r="U76" i="322"/>
  <c r="T76" i="322"/>
  <c r="S76" i="322"/>
  <c r="R76" i="322"/>
  <c r="Q76" i="322"/>
  <c r="P76" i="322"/>
  <c r="O76" i="322"/>
  <c r="N76" i="322"/>
  <c r="M76" i="322"/>
  <c r="L76" i="322"/>
  <c r="L78" i="322" s="1"/>
  <c r="L79" i="322" s="1"/>
  <c r="K76" i="322"/>
  <c r="J76" i="322"/>
  <c r="I76" i="322"/>
  <c r="H76" i="322"/>
  <c r="G76" i="322"/>
  <c r="F76" i="322"/>
  <c r="E76" i="322"/>
  <c r="BI75" i="322"/>
  <c r="BH74" i="322"/>
  <c r="BE74" i="322"/>
  <c r="BB74" i="322"/>
  <c r="AZ74" i="322"/>
  <c r="AZ94" i="322" s="1"/>
  <c r="AX74" i="322"/>
  <c r="AT74" i="322"/>
  <c r="AS74" i="322"/>
  <c r="AR74" i="322"/>
  <c r="AR94" i="322" s="1"/>
  <c r="AN74" i="322"/>
  <c r="AN94" i="322" s="1"/>
  <c r="AL74" i="322"/>
  <c r="AJ74" i="322"/>
  <c r="AG74" i="322"/>
  <c r="AD74" i="322"/>
  <c r="AC74" i="322"/>
  <c r="Y74" i="322"/>
  <c r="X74" i="322"/>
  <c r="X94" i="322" s="1"/>
  <c r="V74" i="322"/>
  <c r="R74" i="322"/>
  <c r="R78" i="322" s="1"/>
  <c r="R79" i="322" s="1"/>
  <c r="Q74" i="322"/>
  <c r="N74" i="322"/>
  <c r="L74" i="322"/>
  <c r="I74" i="322"/>
  <c r="H74" i="322"/>
  <c r="E74" i="322"/>
  <c r="D74" i="322"/>
  <c r="F69" i="322"/>
  <c r="F70" i="322" s="1"/>
  <c r="G67" i="322"/>
  <c r="F67" i="322"/>
  <c r="N65" i="322"/>
  <c r="O65" i="322" s="1"/>
  <c r="P65" i="322" s="1"/>
  <c r="Q65" i="322" s="1"/>
  <c r="R65" i="322" s="1"/>
  <c r="S65" i="322" s="1"/>
  <c r="T65" i="322" s="1"/>
  <c r="U65" i="322" s="1"/>
  <c r="V65" i="322" s="1"/>
  <c r="W65" i="322" s="1"/>
  <c r="X65" i="322" s="1"/>
  <c r="Y65" i="322" s="1"/>
  <c r="Z65" i="322" s="1"/>
  <c r="AA65" i="322" s="1"/>
  <c r="AB65" i="322" s="1"/>
  <c r="AC65" i="322" s="1"/>
  <c r="AD65" i="322" s="1"/>
  <c r="AE65" i="322" s="1"/>
  <c r="AF65" i="322" s="1"/>
  <c r="AG65" i="322" s="1"/>
  <c r="AH65" i="322" s="1"/>
  <c r="AI65" i="322" s="1"/>
  <c r="AJ65" i="322" s="1"/>
  <c r="AK65" i="322" s="1"/>
  <c r="AL65" i="322" s="1"/>
  <c r="AM65" i="322" s="1"/>
  <c r="AN65" i="322" s="1"/>
  <c r="AO65" i="322" s="1"/>
  <c r="AP65" i="322" s="1"/>
  <c r="AQ65" i="322" s="1"/>
  <c r="AR65" i="322" s="1"/>
  <c r="AS65" i="322" s="1"/>
  <c r="AT65" i="322" s="1"/>
  <c r="AU65" i="322" s="1"/>
  <c r="AV65" i="322" s="1"/>
  <c r="AW65" i="322" s="1"/>
  <c r="AX65" i="322" s="1"/>
  <c r="AY65" i="322" s="1"/>
  <c r="AZ65" i="322" s="1"/>
  <c r="BA65" i="322" s="1"/>
  <c r="BB65" i="322" s="1"/>
  <c r="BC65" i="322" s="1"/>
  <c r="BD65" i="322" s="1"/>
  <c r="BE65" i="322" s="1"/>
  <c r="BF65" i="322" s="1"/>
  <c r="BG65" i="322" s="1"/>
  <c r="BH65" i="322" s="1"/>
  <c r="H65" i="322"/>
  <c r="I65" i="322" s="1"/>
  <c r="J65" i="322" s="1"/>
  <c r="K65" i="322" s="1"/>
  <c r="L65" i="322" s="1"/>
  <c r="M65" i="322" s="1"/>
  <c r="G65" i="322"/>
  <c r="G55" i="322"/>
  <c r="H54" i="322"/>
  <c r="G54" i="322"/>
  <c r="D48" i="322"/>
  <c r="D47" i="322"/>
  <c r="D44" i="322"/>
  <c r="C34" i="322"/>
  <c r="F6" i="322"/>
  <c r="C6" i="322"/>
  <c r="F5" i="322"/>
  <c r="C5" i="322"/>
  <c r="F4" i="322"/>
  <c r="F79" i="322" l="1"/>
  <c r="F57" i="322"/>
  <c r="F59" i="322" s="1"/>
  <c r="V94" i="322"/>
  <c r="V78" i="322"/>
  <c r="V79" i="322" s="1"/>
  <c r="AD94" i="322"/>
  <c r="AD78" i="322"/>
  <c r="AD79" i="322" s="1"/>
  <c r="AX78" i="322"/>
  <c r="AX79" i="322" s="1"/>
  <c r="AX94" i="322"/>
  <c r="BH94" i="322"/>
  <c r="BH78" i="322"/>
  <c r="BH79" i="322" s="1"/>
  <c r="K78" i="322"/>
  <c r="K79" i="322" s="1"/>
  <c r="O78" i="322"/>
  <c r="O79" i="322" s="1"/>
  <c r="AA78" i="322"/>
  <c r="AA79" i="322" s="1"/>
  <c r="AE78" i="322"/>
  <c r="AE79" i="322" s="1"/>
  <c r="AU78" i="322"/>
  <c r="AU79" i="322" s="1"/>
  <c r="H68" i="322"/>
  <c r="H70" i="322" s="1"/>
  <c r="N94" i="322"/>
  <c r="N78" i="322"/>
  <c r="N79" i="322" s="1"/>
  <c r="AV78" i="322"/>
  <c r="AV79" i="322" s="1"/>
  <c r="AR78" i="322"/>
  <c r="AR79" i="322" s="1"/>
  <c r="I54" i="322"/>
  <c r="H94" i="322"/>
  <c r="Q94" i="322"/>
  <c r="AJ94" i="322"/>
  <c r="AS94" i="322"/>
  <c r="U78" i="322"/>
  <c r="U79" i="322" s="1"/>
  <c r="Q78" i="322"/>
  <c r="Q79" i="322" s="1"/>
  <c r="I94" i="322"/>
  <c r="AC94" i="322"/>
  <c r="AL94" i="322"/>
  <c r="BE94" i="322"/>
  <c r="I78" i="322"/>
  <c r="I79" i="322" s="1"/>
  <c r="AZ78" i="322"/>
  <c r="AZ79" i="322" s="1"/>
  <c r="Y94" i="322"/>
  <c r="AG94" i="322"/>
  <c r="BB94" i="322"/>
  <c r="H78" i="322"/>
  <c r="H79" i="322" s="1"/>
  <c r="H57" i="322" s="1"/>
  <c r="X78" i="322"/>
  <c r="X79" i="322" s="1"/>
  <c r="AN78" i="322"/>
  <c r="AN79" i="322" s="1"/>
  <c r="BD78" i="322"/>
  <c r="BD79" i="322" s="1"/>
  <c r="AG78" i="322"/>
  <c r="AG79" i="322" s="1"/>
  <c r="BB78" i="322"/>
  <c r="BB79" i="322" s="1"/>
  <c r="BG74" i="322"/>
  <c r="BG94" i="322" s="1"/>
  <c r="BC74" i="322"/>
  <c r="BC94" i="322" s="1"/>
  <c r="AY74" i="322"/>
  <c r="AY94" i="322" s="1"/>
  <c r="AU74" i="322"/>
  <c r="AU94" i="322" s="1"/>
  <c r="AQ74" i="322"/>
  <c r="AQ94" i="322" s="1"/>
  <c r="AM74" i="322"/>
  <c r="AM94" i="322" s="1"/>
  <c r="AI74" i="322"/>
  <c r="AI94" i="322" s="1"/>
  <c r="AE74" i="322"/>
  <c r="AE94" i="322" s="1"/>
  <c r="AA74" i="322"/>
  <c r="AA94" i="322" s="1"/>
  <c r="W74" i="322"/>
  <c r="W94" i="322" s="1"/>
  <c r="S74" i="322"/>
  <c r="S94" i="322" s="1"/>
  <c r="O74" i="322"/>
  <c r="O94" i="322" s="1"/>
  <c r="K74" i="322"/>
  <c r="K94" i="322" s="1"/>
  <c r="G74" i="322"/>
  <c r="G94" i="322" s="1"/>
  <c r="BF74" i="322"/>
  <c r="BA74" i="322"/>
  <c r="AV74" i="322"/>
  <c r="AV94" i="322" s="1"/>
  <c r="AP74" i="322"/>
  <c r="AK74" i="322"/>
  <c r="AF74" i="322"/>
  <c r="Z74" i="322"/>
  <c r="U74" i="322"/>
  <c r="U94" i="322" s="1"/>
  <c r="P74" i="322"/>
  <c r="J74" i="322"/>
  <c r="G93" i="322"/>
  <c r="G89" i="322"/>
  <c r="G87" i="322"/>
  <c r="G68" i="322"/>
  <c r="G69" i="322"/>
  <c r="BI69" i="322" s="1"/>
  <c r="M74" i="322"/>
  <c r="M94" i="322" s="1"/>
  <c r="T74" i="322"/>
  <c r="T94" i="322" s="1"/>
  <c r="AB74" i="322"/>
  <c r="AB94" i="322" s="1"/>
  <c r="AH74" i="322"/>
  <c r="AO74" i="322"/>
  <c r="AW74" i="322"/>
  <c r="AW94" i="322" s="1"/>
  <c r="BD74" i="322"/>
  <c r="BD94" i="322" s="1"/>
  <c r="AC78" i="322"/>
  <c r="AC79" i="322" s="1"/>
  <c r="AS78" i="322"/>
  <c r="AS79" i="322" s="1"/>
  <c r="G90" i="322" l="1"/>
  <c r="P94" i="322"/>
  <c r="P78" i="322"/>
  <c r="P79" i="322" s="1"/>
  <c r="AK94" i="322"/>
  <c r="AK78" i="322"/>
  <c r="AK79" i="322" s="1"/>
  <c r="BF94" i="322"/>
  <c r="BF78" i="322"/>
  <c r="BF79" i="322" s="1"/>
  <c r="T78" i="322"/>
  <c r="T79" i="322" s="1"/>
  <c r="AY78" i="322"/>
  <c r="AY79" i="322" s="1"/>
  <c r="AI78" i="322"/>
  <c r="AI79" i="322" s="1"/>
  <c r="AO94" i="322"/>
  <c r="AO78" i="322"/>
  <c r="AO79" i="322" s="1"/>
  <c r="AP94" i="322"/>
  <c r="AP78" i="322"/>
  <c r="AP79" i="322" s="1"/>
  <c r="M78" i="322"/>
  <c r="M79" i="322" s="1"/>
  <c r="AH94" i="322"/>
  <c r="AH78" i="322"/>
  <c r="AH79" i="322" s="1"/>
  <c r="G97" i="322"/>
  <c r="D22" i="322"/>
  <c r="Z94" i="322"/>
  <c r="Z78" i="322"/>
  <c r="Z79" i="322" s="1"/>
  <c r="BG78" i="322"/>
  <c r="BG79" i="322" s="1"/>
  <c r="AQ78" i="322"/>
  <c r="AQ79" i="322" s="1"/>
  <c r="F62" i="322"/>
  <c r="W78" i="322"/>
  <c r="W79" i="322" s="1"/>
  <c r="G78" i="322"/>
  <c r="G70" i="322"/>
  <c r="J94" i="322"/>
  <c r="J78" i="322"/>
  <c r="J79" i="322" s="1"/>
  <c r="AF94" i="322"/>
  <c r="AF78" i="322"/>
  <c r="AF79" i="322" s="1"/>
  <c r="BA94" i="322"/>
  <c r="BA78" i="322"/>
  <c r="BA79" i="322" s="1"/>
  <c r="AW78" i="322"/>
  <c r="AW79" i="322" s="1"/>
  <c r="I68" i="322"/>
  <c r="J54" i="322"/>
  <c r="AB78" i="322"/>
  <c r="AB79" i="322" s="1"/>
  <c r="BC78" i="322"/>
  <c r="BC79" i="322" s="1"/>
  <c r="AM78" i="322"/>
  <c r="AM79" i="322" s="1"/>
  <c r="S78" i="322"/>
  <c r="S79" i="322" s="1"/>
  <c r="G79" i="322" l="1"/>
  <c r="BI79" i="322" s="1"/>
  <c r="BI78" i="322"/>
  <c r="G98" i="322"/>
  <c r="I70" i="322"/>
  <c r="I57" i="322" s="1"/>
  <c r="K54" i="322"/>
  <c r="J68" i="322"/>
  <c r="J69" i="322"/>
  <c r="G57" i="322" l="1"/>
  <c r="BI70" i="322"/>
  <c r="K69" i="322"/>
  <c r="K68" i="322"/>
  <c r="L54" i="322"/>
  <c r="G58" i="322"/>
  <c r="J70" i="322"/>
  <c r="J57" i="322" s="1"/>
  <c r="L69" i="322" l="1"/>
  <c r="L68" i="322"/>
  <c r="M54" i="322"/>
  <c r="G59" i="322"/>
  <c r="K70" i="322"/>
  <c r="K57" i="322" s="1"/>
  <c r="G62" i="322" l="1"/>
  <c r="M69" i="322"/>
  <c r="M68" i="322"/>
  <c r="N54" i="322"/>
  <c r="L70" i="322"/>
  <c r="L57" i="322" s="1"/>
  <c r="N68" i="322" l="1"/>
  <c r="N70" i="322" s="1"/>
  <c r="N57" i="322" s="1"/>
  <c r="N69" i="322"/>
  <c r="O54" i="322"/>
  <c r="M70" i="322"/>
  <c r="M57" i="322" s="1"/>
  <c r="O68" i="322" l="1"/>
  <c r="O70" i="322" s="1"/>
  <c r="O57" i="322" s="1"/>
  <c r="P54" i="322"/>
  <c r="O69" i="322"/>
  <c r="P69" i="322" l="1"/>
  <c r="P68" i="322"/>
  <c r="Q54" i="322"/>
  <c r="P70" i="322" l="1"/>
  <c r="P57" i="322" s="1"/>
  <c r="Q69" i="322"/>
  <c r="R54" i="322"/>
  <c r="Q68" i="322"/>
  <c r="S54" i="322" l="1"/>
  <c r="R69" i="322"/>
  <c r="R68" i="322"/>
  <c r="Q70" i="322"/>
  <c r="Q57" i="322" s="1"/>
  <c r="S68" i="322" l="1"/>
  <c r="S69" i="322"/>
  <c r="T54" i="322"/>
  <c r="R70" i="322"/>
  <c r="R57" i="322" s="1"/>
  <c r="M18" i="273"/>
  <c r="S70" i="322" l="1"/>
  <c r="S57" i="322" s="1"/>
  <c r="T69" i="322"/>
  <c r="T68" i="322"/>
  <c r="T70" i="322" s="1"/>
  <c r="T57" i="322" s="1"/>
  <c r="U54" i="322"/>
  <c r="P405" i="314"/>
  <c r="O405" i="314"/>
  <c r="P404" i="314"/>
  <c r="O404" i="314"/>
  <c r="P403" i="314"/>
  <c r="O403" i="314"/>
  <c r="P402" i="314"/>
  <c r="O402" i="314"/>
  <c r="P401" i="314"/>
  <c r="O401" i="314"/>
  <c r="P400" i="314"/>
  <c r="O400" i="314"/>
  <c r="P399" i="314"/>
  <c r="O399" i="314"/>
  <c r="P398" i="314"/>
  <c r="O398" i="314"/>
  <c r="P397" i="314"/>
  <c r="O397" i="314"/>
  <c r="P396" i="314"/>
  <c r="O396" i="314"/>
  <c r="P395" i="314"/>
  <c r="O395" i="314"/>
  <c r="P394" i="314"/>
  <c r="O394" i="314"/>
  <c r="P393" i="314"/>
  <c r="O393" i="314"/>
  <c r="P392" i="314"/>
  <c r="O392" i="314"/>
  <c r="P391" i="314"/>
  <c r="O391" i="314"/>
  <c r="P390" i="314"/>
  <c r="O390" i="314"/>
  <c r="P389" i="314"/>
  <c r="O389" i="314"/>
  <c r="P388" i="314"/>
  <c r="O388" i="314"/>
  <c r="P387" i="314"/>
  <c r="O387" i="314"/>
  <c r="P386" i="314"/>
  <c r="O386" i="314"/>
  <c r="P385" i="314"/>
  <c r="O385" i="314"/>
  <c r="P384" i="314"/>
  <c r="O384" i="314"/>
  <c r="P383" i="314"/>
  <c r="O383" i="314"/>
  <c r="P382" i="314"/>
  <c r="O382" i="314"/>
  <c r="P381" i="314"/>
  <c r="O381" i="314"/>
  <c r="P380" i="314"/>
  <c r="O380" i="314"/>
  <c r="P379" i="314"/>
  <c r="O379" i="314"/>
  <c r="P378" i="314"/>
  <c r="O378" i="314"/>
  <c r="P377" i="314"/>
  <c r="O377" i="314"/>
  <c r="P376" i="314"/>
  <c r="O376" i="314"/>
  <c r="P375" i="314"/>
  <c r="O375" i="314"/>
  <c r="P374" i="314"/>
  <c r="O374" i="314"/>
  <c r="P373" i="314"/>
  <c r="O373" i="314"/>
  <c r="P372" i="314"/>
  <c r="O372" i="314"/>
  <c r="P371" i="314"/>
  <c r="O371" i="314"/>
  <c r="P370" i="314"/>
  <c r="O370" i="314"/>
  <c r="P369" i="314"/>
  <c r="O369" i="314"/>
  <c r="P368" i="314"/>
  <c r="O368" i="314"/>
  <c r="P367" i="314"/>
  <c r="O367" i="314"/>
  <c r="P366" i="314"/>
  <c r="O366" i="314"/>
  <c r="P365" i="314"/>
  <c r="O365" i="314"/>
  <c r="P364" i="314"/>
  <c r="O364" i="314"/>
  <c r="P363" i="314"/>
  <c r="O363" i="314"/>
  <c r="P362" i="314"/>
  <c r="O362" i="314"/>
  <c r="P361" i="314"/>
  <c r="O361" i="314"/>
  <c r="P360" i="314"/>
  <c r="O360" i="314"/>
  <c r="P359" i="314"/>
  <c r="O359" i="314"/>
  <c r="P358" i="314"/>
  <c r="O358" i="314"/>
  <c r="P357" i="314"/>
  <c r="O357" i="314"/>
  <c r="P356" i="314"/>
  <c r="O356" i="314"/>
  <c r="P355" i="314"/>
  <c r="O355" i="314"/>
  <c r="P354" i="314"/>
  <c r="O354" i="314"/>
  <c r="P353" i="314"/>
  <c r="O353" i="314"/>
  <c r="P352" i="314"/>
  <c r="O352" i="314"/>
  <c r="P351" i="314"/>
  <c r="O351" i="314"/>
  <c r="P350" i="314"/>
  <c r="O350" i="314"/>
  <c r="P349" i="314"/>
  <c r="O349" i="314"/>
  <c r="P348" i="314"/>
  <c r="O348" i="314"/>
  <c r="P347" i="314"/>
  <c r="O347" i="314"/>
  <c r="P346" i="314"/>
  <c r="O346" i="314"/>
  <c r="P345" i="314"/>
  <c r="O345" i="314"/>
  <c r="P344" i="314"/>
  <c r="O344" i="314"/>
  <c r="P343" i="314"/>
  <c r="O343" i="314"/>
  <c r="P342" i="314"/>
  <c r="O342" i="314"/>
  <c r="P341" i="314"/>
  <c r="O341" i="314"/>
  <c r="P340" i="314"/>
  <c r="O340" i="314"/>
  <c r="P339" i="314"/>
  <c r="O339" i="314"/>
  <c r="P338" i="314"/>
  <c r="O338" i="314"/>
  <c r="P337" i="314"/>
  <c r="O337" i="314"/>
  <c r="P336" i="314"/>
  <c r="O336" i="314"/>
  <c r="P335" i="314"/>
  <c r="O335" i="314"/>
  <c r="P334" i="314"/>
  <c r="O334" i="314"/>
  <c r="P333" i="314"/>
  <c r="O333" i="314"/>
  <c r="P332" i="314"/>
  <c r="O332" i="314"/>
  <c r="P331" i="314"/>
  <c r="O331" i="314"/>
  <c r="P330" i="314"/>
  <c r="O330" i="314"/>
  <c r="P329" i="314"/>
  <c r="O329" i="314"/>
  <c r="P328" i="314"/>
  <c r="O328" i="314"/>
  <c r="P327" i="314"/>
  <c r="O327" i="314"/>
  <c r="P326" i="314"/>
  <c r="O326" i="314"/>
  <c r="P325" i="314"/>
  <c r="O325" i="314"/>
  <c r="P324" i="314"/>
  <c r="O324" i="314"/>
  <c r="P323" i="314"/>
  <c r="O323" i="314"/>
  <c r="P322" i="314"/>
  <c r="O322" i="314"/>
  <c r="P321" i="314"/>
  <c r="O321" i="314"/>
  <c r="P320" i="314"/>
  <c r="O320" i="314"/>
  <c r="P319" i="314"/>
  <c r="O319" i="314"/>
  <c r="P318" i="314"/>
  <c r="O318" i="314"/>
  <c r="P317" i="314"/>
  <c r="O317" i="314"/>
  <c r="P316" i="314"/>
  <c r="O316" i="314"/>
  <c r="P315" i="314"/>
  <c r="O315" i="314"/>
  <c r="P314" i="314"/>
  <c r="O314" i="314"/>
  <c r="P313" i="314"/>
  <c r="O313" i="314"/>
  <c r="P312" i="314"/>
  <c r="O312" i="314"/>
  <c r="P311" i="314"/>
  <c r="O311" i="314"/>
  <c r="P310" i="314"/>
  <c r="O310" i="314"/>
  <c r="P309" i="314"/>
  <c r="O309" i="314"/>
  <c r="P308" i="314"/>
  <c r="O308" i="314"/>
  <c r="P307" i="314"/>
  <c r="O307" i="314"/>
  <c r="P306" i="314"/>
  <c r="O306" i="314"/>
  <c r="P305" i="314"/>
  <c r="O305" i="314"/>
  <c r="P304" i="314"/>
  <c r="O304" i="314"/>
  <c r="P303" i="314"/>
  <c r="O303" i="314"/>
  <c r="P302" i="314"/>
  <c r="O302" i="314"/>
  <c r="P301" i="314"/>
  <c r="O301" i="314"/>
  <c r="P300" i="314"/>
  <c r="O300" i="314"/>
  <c r="P299" i="314"/>
  <c r="O299" i="314"/>
  <c r="P298" i="314"/>
  <c r="O298" i="314"/>
  <c r="P297" i="314"/>
  <c r="O297" i="314"/>
  <c r="P296" i="314"/>
  <c r="O296" i="314"/>
  <c r="P295" i="314"/>
  <c r="O295" i="314"/>
  <c r="P294" i="314"/>
  <c r="O294" i="314"/>
  <c r="P293" i="314"/>
  <c r="O293" i="314"/>
  <c r="P292" i="314"/>
  <c r="O292" i="314"/>
  <c r="P291" i="314"/>
  <c r="O291" i="314"/>
  <c r="P290" i="314"/>
  <c r="O290" i="314"/>
  <c r="P289" i="314"/>
  <c r="O289" i="314"/>
  <c r="P288" i="314"/>
  <c r="O288" i="314"/>
  <c r="P287" i="314"/>
  <c r="O287" i="314"/>
  <c r="P286" i="314"/>
  <c r="O286" i="314"/>
  <c r="P285" i="314"/>
  <c r="O285" i="314"/>
  <c r="P284" i="314"/>
  <c r="O284" i="314"/>
  <c r="P283" i="314"/>
  <c r="O283" i="314"/>
  <c r="P282" i="314"/>
  <c r="O282" i="314"/>
  <c r="P281" i="314"/>
  <c r="O281" i="314"/>
  <c r="P280" i="314"/>
  <c r="O280" i="314"/>
  <c r="P279" i="314"/>
  <c r="O279" i="314"/>
  <c r="P278" i="314"/>
  <c r="O278" i="314"/>
  <c r="P277" i="314"/>
  <c r="O277" i="314"/>
  <c r="P276" i="314"/>
  <c r="O276" i="314"/>
  <c r="P275" i="314"/>
  <c r="O275" i="314"/>
  <c r="P274" i="314"/>
  <c r="O274" i="314"/>
  <c r="P273" i="314"/>
  <c r="O273" i="314"/>
  <c r="P272" i="314"/>
  <c r="O272" i="314"/>
  <c r="P271" i="314"/>
  <c r="O271" i="314"/>
  <c r="P270" i="314"/>
  <c r="O270" i="314"/>
  <c r="P269" i="314"/>
  <c r="O269" i="314"/>
  <c r="P268" i="314"/>
  <c r="O268" i="314"/>
  <c r="P267" i="314"/>
  <c r="O267" i="314"/>
  <c r="P266" i="314"/>
  <c r="O266" i="314"/>
  <c r="P265" i="314"/>
  <c r="O265" i="314"/>
  <c r="P264" i="314"/>
  <c r="O264" i="314"/>
  <c r="P263" i="314"/>
  <c r="O263" i="314"/>
  <c r="P262" i="314"/>
  <c r="O262" i="314"/>
  <c r="P261" i="314"/>
  <c r="O261" i="314"/>
  <c r="P260" i="314"/>
  <c r="O260" i="314"/>
  <c r="P259" i="314"/>
  <c r="O259" i="314"/>
  <c r="P258" i="314"/>
  <c r="O258" i="314"/>
  <c r="P257" i="314"/>
  <c r="O257" i="314"/>
  <c r="P256" i="314"/>
  <c r="O256" i="314"/>
  <c r="P255" i="314"/>
  <c r="O255" i="314"/>
  <c r="P254" i="314"/>
  <c r="O254" i="314"/>
  <c r="P253" i="314"/>
  <c r="O253" i="314"/>
  <c r="P252" i="314"/>
  <c r="O252" i="314"/>
  <c r="P251" i="314"/>
  <c r="O251" i="314"/>
  <c r="P250" i="314"/>
  <c r="O250" i="314"/>
  <c r="P249" i="314"/>
  <c r="O249" i="314"/>
  <c r="P248" i="314"/>
  <c r="O248" i="314"/>
  <c r="P247" i="314"/>
  <c r="O247" i="314"/>
  <c r="P246" i="314"/>
  <c r="O246" i="314"/>
  <c r="P245" i="314"/>
  <c r="O245" i="314"/>
  <c r="P244" i="314"/>
  <c r="O244" i="314"/>
  <c r="P243" i="314"/>
  <c r="O243" i="314"/>
  <c r="P242" i="314"/>
  <c r="O242" i="314"/>
  <c r="P241" i="314"/>
  <c r="O241" i="314"/>
  <c r="P240" i="314"/>
  <c r="O240" i="314"/>
  <c r="P239" i="314"/>
  <c r="O239" i="314"/>
  <c r="P238" i="314"/>
  <c r="O238" i="314"/>
  <c r="P237" i="314"/>
  <c r="O237" i="314"/>
  <c r="P236" i="314"/>
  <c r="O236" i="314"/>
  <c r="P235" i="314"/>
  <c r="O235" i="314"/>
  <c r="P234" i="314"/>
  <c r="O234" i="314"/>
  <c r="P233" i="314"/>
  <c r="O233" i="314"/>
  <c r="P232" i="314"/>
  <c r="O232" i="314"/>
  <c r="P231" i="314"/>
  <c r="O231" i="314"/>
  <c r="P230" i="314"/>
  <c r="O230" i="314"/>
  <c r="P229" i="314"/>
  <c r="O229" i="314"/>
  <c r="P228" i="314"/>
  <c r="O228" i="314"/>
  <c r="P227" i="314"/>
  <c r="O227" i="314"/>
  <c r="P226" i="314"/>
  <c r="O226" i="314"/>
  <c r="P225" i="314"/>
  <c r="O225" i="314"/>
  <c r="P224" i="314"/>
  <c r="O224" i="314"/>
  <c r="P223" i="314"/>
  <c r="O223" i="314"/>
  <c r="P222" i="314"/>
  <c r="O222" i="314"/>
  <c r="P221" i="314"/>
  <c r="O221" i="314"/>
  <c r="P220" i="314"/>
  <c r="O220" i="314"/>
  <c r="P219" i="314"/>
  <c r="Q7" i="322" s="1"/>
  <c r="O219" i="314"/>
  <c r="P218" i="314"/>
  <c r="O218" i="314"/>
  <c r="P217" i="314"/>
  <c r="O217" i="314"/>
  <c r="P216" i="314"/>
  <c r="O216" i="314"/>
  <c r="P215" i="314"/>
  <c r="O215" i="314"/>
  <c r="P214" i="314"/>
  <c r="O214" i="314"/>
  <c r="P213" i="314"/>
  <c r="O213" i="314"/>
  <c r="P212" i="314"/>
  <c r="O212" i="314"/>
  <c r="P211" i="314"/>
  <c r="O211" i="314"/>
  <c r="P210" i="314"/>
  <c r="O210" i="314"/>
  <c r="P209" i="314"/>
  <c r="O209" i="314"/>
  <c r="P208" i="314"/>
  <c r="O208" i="314"/>
  <c r="P207" i="314"/>
  <c r="O207" i="314"/>
  <c r="P206" i="314"/>
  <c r="O206" i="314"/>
  <c r="P205" i="314"/>
  <c r="O205" i="314"/>
  <c r="P204" i="314"/>
  <c r="O204" i="314"/>
  <c r="P203" i="314"/>
  <c r="O203" i="314"/>
  <c r="P202" i="314"/>
  <c r="O202" i="314"/>
  <c r="P201" i="314"/>
  <c r="O201" i="314"/>
  <c r="P200" i="314"/>
  <c r="O200" i="314"/>
  <c r="P199" i="314"/>
  <c r="O199" i="314"/>
  <c r="P198" i="314"/>
  <c r="O198" i="314"/>
  <c r="P197" i="314"/>
  <c r="O197" i="314"/>
  <c r="P196" i="314"/>
  <c r="O196" i="314"/>
  <c r="P195" i="314"/>
  <c r="O195" i="314"/>
  <c r="P194" i="314"/>
  <c r="O194" i="314"/>
  <c r="P193" i="314"/>
  <c r="O193" i="314"/>
  <c r="P192" i="314"/>
  <c r="O192" i="314"/>
  <c r="P191" i="314"/>
  <c r="O191" i="314"/>
  <c r="P190" i="314"/>
  <c r="O190" i="314"/>
  <c r="P189" i="314"/>
  <c r="O189" i="314"/>
  <c r="P188" i="314"/>
  <c r="O188" i="314"/>
  <c r="P187" i="314"/>
  <c r="O187" i="314"/>
  <c r="P186" i="314"/>
  <c r="O186" i="314"/>
  <c r="P185" i="314"/>
  <c r="O185" i="314"/>
  <c r="P184" i="314"/>
  <c r="O184" i="314"/>
  <c r="P183" i="314"/>
  <c r="O183" i="314"/>
  <c r="P182" i="314"/>
  <c r="O182" i="314"/>
  <c r="P181" i="314"/>
  <c r="O181" i="314"/>
  <c r="P180" i="314"/>
  <c r="O180" i="314"/>
  <c r="P179" i="314"/>
  <c r="O179" i="314"/>
  <c r="P178" i="314"/>
  <c r="O178" i="314"/>
  <c r="P177" i="314"/>
  <c r="O177" i="314"/>
  <c r="P176" i="314"/>
  <c r="O176" i="314"/>
  <c r="P175" i="314"/>
  <c r="O175" i="314"/>
  <c r="P174" i="314"/>
  <c r="O174" i="314"/>
  <c r="P173" i="314"/>
  <c r="O173" i="314"/>
  <c r="P172" i="314"/>
  <c r="O172" i="314"/>
  <c r="P171" i="314"/>
  <c r="O171" i="314"/>
  <c r="P170" i="314"/>
  <c r="O170" i="314"/>
  <c r="P169" i="314"/>
  <c r="O169" i="314"/>
  <c r="P168" i="314"/>
  <c r="O168" i="314"/>
  <c r="P167" i="314"/>
  <c r="O167" i="314"/>
  <c r="P166" i="314"/>
  <c r="O166" i="314"/>
  <c r="P165" i="314"/>
  <c r="O165" i="314"/>
  <c r="P164" i="314"/>
  <c r="O164" i="314"/>
  <c r="P163" i="314"/>
  <c r="O163" i="314"/>
  <c r="P162" i="314"/>
  <c r="O162" i="314"/>
  <c r="P161" i="314"/>
  <c r="O161" i="314"/>
  <c r="P160" i="314"/>
  <c r="O160" i="314"/>
  <c r="P159" i="314"/>
  <c r="O159" i="314"/>
  <c r="P158" i="314"/>
  <c r="O158" i="314"/>
  <c r="P157" i="314"/>
  <c r="O157" i="314"/>
  <c r="P156" i="314"/>
  <c r="O156" i="314"/>
  <c r="P155" i="314"/>
  <c r="O155" i="314"/>
  <c r="P154" i="314"/>
  <c r="O154" i="314"/>
  <c r="P153" i="314"/>
  <c r="O153" i="314"/>
  <c r="P152" i="314"/>
  <c r="O152" i="314"/>
  <c r="P151" i="314"/>
  <c r="O151" i="314"/>
  <c r="P150" i="314"/>
  <c r="O150" i="314"/>
  <c r="P149" i="314"/>
  <c r="O149" i="314"/>
  <c r="P148" i="314"/>
  <c r="O148" i="314"/>
  <c r="P147" i="314"/>
  <c r="O147" i="314"/>
  <c r="P146" i="314"/>
  <c r="O146" i="314"/>
  <c r="P145" i="314"/>
  <c r="O145" i="314"/>
  <c r="P144" i="314"/>
  <c r="O144" i="314"/>
  <c r="P143" i="314"/>
  <c r="O143" i="314"/>
  <c r="P142" i="314"/>
  <c r="O142" i="314"/>
  <c r="P141" i="314"/>
  <c r="O141" i="314"/>
  <c r="P140" i="314"/>
  <c r="O140" i="314"/>
  <c r="P139" i="314"/>
  <c r="O139" i="314"/>
  <c r="P138" i="314"/>
  <c r="O138" i="314"/>
  <c r="P137" i="314"/>
  <c r="O137" i="314"/>
  <c r="P136" i="314"/>
  <c r="O136" i="314"/>
  <c r="P135" i="314"/>
  <c r="O135" i="314"/>
  <c r="P134" i="314"/>
  <c r="O134" i="314"/>
  <c r="P133" i="314"/>
  <c r="O133" i="314"/>
  <c r="P132" i="314"/>
  <c r="O132" i="314"/>
  <c r="P131" i="314"/>
  <c r="O131" i="314"/>
  <c r="P130" i="314"/>
  <c r="O130" i="314"/>
  <c r="P129" i="314"/>
  <c r="O129" i="314"/>
  <c r="P128" i="314"/>
  <c r="O128" i="314"/>
  <c r="P127" i="314"/>
  <c r="O127" i="314"/>
  <c r="P126" i="314"/>
  <c r="O126" i="314"/>
  <c r="P125" i="314"/>
  <c r="O125" i="314"/>
  <c r="P124" i="314"/>
  <c r="O124" i="314"/>
  <c r="P123" i="314"/>
  <c r="O123" i="314"/>
  <c r="P122" i="314"/>
  <c r="O122" i="314"/>
  <c r="P121" i="314"/>
  <c r="O121" i="314"/>
  <c r="P120" i="314"/>
  <c r="O120" i="314"/>
  <c r="P119" i="314"/>
  <c r="O119" i="314"/>
  <c r="P118" i="314"/>
  <c r="O118" i="314"/>
  <c r="P117" i="314"/>
  <c r="O117" i="314"/>
  <c r="P116" i="314"/>
  <c r="O116" i="314"/>
  <c r="P115" i="314"/>
  <c r="O115" i="314"/>
  <c r="P114" i="314"/>
  <c r="O114" i="314"/>
  <c r="P113" i="314"/>
  <c r="O113" i="314"/>
  <c r="P112" i="314"/>
  <c r="O112" i="314"/>
  <c r="P111" i="314"/>
  <c r="O111" i="314"/>
  <c r="P110" i="314"/>
  <c r="O110" i="314"/>
  <c r="P109" i="314"/>
  <c r="O109" i="314"/>
  <c r="P108" i="314"/>
  <c r="O108" i="314"/>
  <c r="P107" i="314"/>
  <c r="O107" i="314"/>
  <c r="P106" i="314"/>
  <c r="O106" i="314"/>
  <c r="P105" i="314"/>
  <c r="O105" i="314"/>
  <c r="P104" i="314"/>
  <c r="O104" i="314"/>
  <c r="P103" i="314"/>
  <c r="O103" i="314"/>
  <c r="P102" i="314"/>
  <c r="O102" i="314"/>
  <c r="P101" i="314"/>
  <c r="O101" i="314"/>
  <c r="P100" i="314"/>
  <c r="O100" i="314"/>
  <c r="P99" i="314"/>
  <c r="O99" i="314"/>
  <c r="P98" i="314"/>
  <c r="O98" i="314"/>
  <c r="P97" i="314"/>
  <c r="O97" i="314"/>
  <c r="P96" i="314"/>
  <c r="O96" i="314"/>
  <c r="P95" i="314"/>
  <c r="O95" i="314"/>
  <c r="P94" i="314"/>
  <c r="O94" i="314"/>
  <c r="P93" i="314"/>
  <c r="O93" i="314"/>
  <c r="P92" i="314"/>
  <c r="O92" i="314"/>
  <c r="P91" i="314"/>
  <c r="O91" i="314"/>
  <c r="P90" i="314"/>
  <c r="O90" i="314"/>
  <c r="P89" i="314"/>
  <c r="O89" i="314"/>
  <c r="P88" i="314"/>
  <c r="O88" i="314"/>
  <c r="P87" i="314"/>
  <c r="O87" i="314"/>
  <c r="P86" i="314"/>
  <c r="O86" i="314"/>
  <c r="P85" i="314"/>
  <c r="O85" i="314"/>
  <c r="P84" i="314"/>
  <c r="O84" i="314"/>
  <c r="P83" i="314"/>
  <c r="O83" i="314"/>
  <c r="P82" i="314"/>
  <c r="O82" i="314"/>
  <c r="P81" i="314"/>
  <c r="O81" i="314"/>
  <c r="P80" i="314"/>
  <c r="O80" i="314"/>
  <c r="P79" i="314"/>
  <c r="O79" i="314"/>
  <c r="P78" i="314"/>
  <c r="O78" i="314"/>
  <c r="P77" i="314"/>
  <c r="O77" i="314"/>
  <c r="P76" i="314"/>
  <c r="O76" i="314"/>
  <c r="P75" i="314"/>
  <c r="O75" i="314"/>
  <c r="P74" i="314"/>
  <c r="O74" i="314"/>
  <c r="P73" i="314"/>
  <c r="O73" i="314"/>
  <c r="P72" i="314"/>
  <c r="O72" i="314"/>
  <c r="P71" i="314"/>
  <c r="O71" i="314"/>
  <c r="P70" i="314"/>
  <c r="O70" i="314"/>
  <c r="P69" i="314"/>
  <c r="O69" i="314"/>
  <c r="P68" i="314"/>
  <c r="O68" i="314"/>
  <c r="P67" i="314"/>
  <c r="O67" i="314"/>
  <c r="P66" i="314"/>
  <c r="O66" i="314"/>
  <c r="P65" i="314"/>
  <c r="O65" i="314"/>
  <c r="P64" i="314"/>
  <c r="O64" i="314"/>
  <c r="P63" i="314"/>
  <c r="O63" i="314"/>
  <c r="P62" i="314"/>
  <c r="O62" i="314"/>
  <c r="P61" i="314"/>
  <c r="O61" i="314"/>
  <c r="P60" i="314"/>
  <c r="O60" i="314"/>
  <c r="P59" i="314"/>
  <c r="O59" i="314"/>
  <c r="P58" i="314"/>
  <c r="O58" i="314"/>
  <c r="P57" i="314"/>
  <c r="O57" i="314"/>
  <c r="P56" i="314"/>
  <c r="O56" i="314"/>
  <c r="P55" i="314"/>
  <c r="O55" i="314"/>
  <c r="P54" i="314"/>
  <c r="O54" i="314"/>
  <c r="P53" i="314"/>
  <c r="O53" i="314"/>
  <c r="P52" i="314"/>
  <c r="O52" i="314"/>
  <c r="P51" i="314"/>
  <c r="O51" i="314"/>
  <c r="P50" i="314"/>
  <c r="O50" i="314"/>
  <c r="P49" i="314"/>
  <c r="O49" i="314"/>
  <c r="P48" i="314"/>
  <c r="O48" i="314"/>
  <c r="P47" i="314"/>
  <c r="O47" i="314"/>
  <c r="P46" i="314"/>
  <c r="O46" i="314"/>
  <c r="P45" i="314"/>
  <c r="O45" i="314"/>
  <c r="P44" i="314"/>
  <c r="O44" i="314"/>
  <c r="P43" i="314"/>
  <c r="O43" i="314"/>
  <c r="P42" i="314"/>
  <c r="O42" i="314"/>
  <c r="P41" i="314"/>
  <c r="O41" i="314"/>
  <c r="P40" i="314"/>
  <c r="O40" i="314"/>
  <c r="P39" i="314"/>
  <c r="O39" i="314"/>
  <c r="P38" i="314"/>
  <c r="O38" i="314"/>
  <c r="P37" i="314"/>
  <c r="O37" i="314"/>
  <c r="P36" i="314"/>
  <c r="O36" i="314"/>
  <c r="P35" i="314"/>
  <c r="O35" i="314"/>
  <c r="P34" i="314"/>
  <c r="O34" i="314"/>
  <c r="P33" i="314"/>
  <c r="O33" i="314"/>
  <c r="P32" i="314"/>
  <c r="O32" i="314"/>
  <c r="P31" i="314"/>
  <c r="O31" i="314"/>
  <c r="P30" i="314"/>
  <c r="O30" i="314"/>
  <c r="P29" i="314"/>
  <c r="O29" i="314"/>
  <c r="P28" i="314"/>
  <c r="O28" i="314"/>
  <c r="P27" i="314"/>
  <c r="O27" i="314"/>
  <c r="P26" i="314"/>
  <c r="O26" i="314"/>
  <c r="P25" i="314"/>
  <c r="O25" i="314"/>
  <c r="P24" i="314"/>
  <c r="O24" i="314"/>
  <c r="P23" i="314"/>
  <c r="O23" i="314"/>
  <c r="P22" i="314"/>
  <c r="O22" i="314"/>
  <c r="P21" i="314"/>
  <c r="O21" i="314"/>
  <c r="P20" i="314"/>
  <c r="O20" i="314"/>
  <c r="P19" i="314"/>
  <c r="O19" i="314"/>
  <c r="P18" i="314"/>
  <c r="O18" i="314"/>
  <c r="P17" i="314"/>
  <c r="O17" i="314"/>
  <c r="P16" i="314"/>
  <c r="O16" i="314"/>
  <c r="P15" i="314"/>
  <c r="O15" i="314"/>
  <c r="P14" i="314"/>
  <c r="O14" i="314"/>
  <c r="P13" i="314"/>
  <c r="O13" i="314"/>
  <c r="P12" i="314"/>
  <c r="O12" i="314"/>
  <c r="P11" i="314"/>
  <c r="O11" i="314"/>
  <c r="P10" i="314"/>
  <c r="O10" i="314"/>
  <c r="P9" i="314"/>
  <c r="O9" i="314"/>
  <c r="P8" i="314"/>
  <c r="O8" i="314"/>
  <c r="P7" i="314"/>
  <c r="O7" i="314"/>
  <c r="P6" i="314"/>
  <c r="O6" i="314"/>
  <c r="P5" i="314"/>
  <c r="O5" i="314"/>
  <c r="P4" i="314"/>
  <c r="O4" i="314"/>
  <c r="P3" i="314"/>
  <c r="O3" i="314"/>
  <c r="P2" i="314"/>
  <c r="O2" i="314"/>
  <c r="U69" i="322" l="1"/>
  <c r="U68" i="322"/>
  <c r="V54" i="322"/>
  <c r="T7" i="276"/>
  <c r="U7" i="276" s="1"/>
  <c r="AC87" i="276"/>
  <c r="AD87" i="276"/>
  <c r="AE87" i="276"/>
  <c r="AF87" i="276"/>
  <c r="AG87" i="276"/>
  <c r="AH87" i="276"/>
  <c r="AI87" i="276"/>
  <c r="AJ87" i="276"/>
  <c r="AK87" i="276"/>
  <c r="AL87" i="276"/>
  <c r="AM87" i="276"/>
  <c r="AN87" i="276"/>
  <c r="AO87" i="276"/>
  <c r="AP87" i="276"/>
  <c r="AQ87" i="276"/>
  <c r="AR87" i="276"/>
  <c r="AS87" i="276"/>
  <c r="AT87" i="276"/>
  <c r="AU87" i="276"/>
  <c r="AV87" i="276"/>
  <c r="AW87" i="276"/>
  <c r="AX87" i="276"/>
  <c r="AY87" i="276"/>
  <c r="AZ87" i="276"/>
  <c r="BA87" i="276"/>
  <c r="BB87" i="276"/>
  <c r="BC87" i="276"/>
  <c r="BD87" i="276"/>
  <c r="BE87" i="276"/>
  <c r="BF87" i="276"/>
  <c r="BG87" i="276"/>
  <c r="BH87" i="276"/>
  <c r="I88" i="276"/>
  <c r="J88" i="276"/>
  <c r="K88" i="276"/>
  <c r="L88" i="276"/>
  <c r="M88" i="276"/>
  <c r="N88" i="276"/>
  <c r="O88" i="276"/>
  <c r="P88" i="276"/>
  <c r="Q88" i="276"/>
  <c r="R88" i="276"/>
  <c r="S88" i="276"/>
  <c r="T88" i="276"/>
  <c r="U88" i="276"/>
  <c r="V88" i="276"/>
  <c r="W88" i="276"/>
  <c r="X88" i="276"/>
  <c r="Y88" i="276"/>
  <c r="Z88" i="276"/>
  <c r="AA88" i="276"/>
  <c r="AB88" i="276"/>
  <c r="AC88" i="276"/>
  <c r="AD88" i="276"/>
  <c r="AE88" i="276"/>
  <c r="AF88" i="276"/>
  <c r="AG88" i="276"/>
  <c r="AH88" i="276"/>
  <c r="AI88" i="276"/>
  <c r="AJ88" i="276"/>
  <c r="AK88" i="276"/>
  <c r="AL88" i="276"/>
  <c r="AM88" i="276"/>
  <c r="AN88" i="276"/>
  <c r="AO88" i="276"/>
  <c r="AP88" i="276"/>
  <c r="AQ88" i="276"/>
  <c r="AR88" i="276"/>
  <c r="AS88" i="276"/>
  <c r="AT88" i="276"/>
  <c r="AU88" i="276"/>
  <c r="AV88" i="276"/>
  <c r="AW88" i="276"/>
  <c r="AX88" i="276"/>
  <c r="AY88" i="276"/>
  <c r="AZ88" i="276"/>
  <c r="BA88" i="276"/>
  <c r="BB88" i="276"/>
  <c r="BC88" i="276"/>
  <c r="BD88" i="276"/>
  <c r="BE88" i="276"/>
  <c r="BF88" i="276"/>
  <c r="BG88" i="276"/>
  <c r="BH88" i="276"/>
  <c r="AC89" i="276"/>
  <c r="AD89" i="276"/>
  <c r="AE89" i="276"/>
  <c r="AF89" i="276"/>
  <c r="AG89" i="276"/>
  <c r="AH89" i="276"/>
  <c r="AI89" i="276"/>
  <c r="AJ89" i="276"/>
  <c r="AK89" i="276"/>
  <c r="AL89" i="276"/>
  <c r="AM89" i="276"/>
  <c r="AN89" i="276"/>
  <c r="AO89" i="276"/>
  <c r="AP89" i="276"/>
  <c r="AQ89" i="276"/>
  <c r="AR89" i="276"/>
  <c r="AS89" i="276"/>
  <c r="AT89" i="276"/>
  <c r="AU89" i="276"/>
  <c r="AV89" i="276"/>
  <c r="AW89" i="276"/>
  <c r="AX89" i="276"/>
  <c r="AY89" i="276"/>
  <c r="AZ89" i="276"/>
  <c r="BA89" i="276"/>
  <c r="BB89" i="276"/>
  <c r="BC89" i="276"/>
  <c r="BD89" i="276"/>
  <c r="BE89" i="276"/>
  <c r="BF89" i="276"/>
  <c r="BG89" i="276"/>
  <c r="BH89" i="276"/>
  <c r="H88" i="276"/>
  <c r="G87" i="276"/>
  <c r="V69" i="322" l="1"/>
  <c r="V68" i="322"/>
  <c r="V70" i="322" s="1"/>
  <c r="V57" i="322" s="1"/>
  <c r="W54" i="322"/>
  <c r="U70" i="322"/>
  <c r="U57" i="322" s="1"/>
  <c r="W69" i="322" l="1"/>
  <c r="W68" i="322"/>
  <c r="W70" i="322" s="1"/>
  <c r="W57" i="322" s="1"/>
  <c r="X54" i="322"/>
  <c r="H13" i="321"/>
  <c r="H3" i="321"/>
  <c r="H4" i="321"/>
  <c r="H5" i="321"/>
  <c r="H6" i="321"/>
  <c r="H7" i="321"/>
  <c r="H8" i="321"/>
  <c r="H9" i="321"/>
  <c r="H10" i="321"/>
  <c r="H11" i="321"/>
  <c r="H2" i="321"/>
  <c r="X69" i="322" l="1"/>
  <c r="X68" i="322"/>
  <c r="X70" i="322" s="1"/>
  <c r="X57" i="322" s="1"/>
  <c r="Y54" i="322"/>
  <c r="L11" i="286"/>
  <c r="Y68" i="322" l="1"/>
  <c r="Z54" i="322"/>
  <c r="Y69" i="322"/>
  <c r="L4" i="313"/>
  <c r="L5" i="313"/>
  <c r="L6" i="313"/>
  <c r="L7" i="313"/>
  <c r="L8" i="313"/>
  <c r="L9" i="313"/>
  <c r="L10" i="313"/>
  <c r="L11" i="313"/>
  <c r="L12" i="313"/>
  <c r="L13" i="313"/>
  <c r="L14" i="313"/>
  <c r="L15" i="313"/>
  <c r="L16" i="313"/>
  <c r="L17" i="313"/>
  <c r="L18" i="313"/>
  <c r="L19" i="313"/>
  <c r="L20" i="313"/>
  <c r="L21" i="313"/>
  <c r="L22" i="313"/>
  <c r="L23" i="313"/>
  <c r="L24" i="313"/>
  <c r="L25" i="313"/>
  <c r="L26" i="313"/>
  <c r="L27" i="313"/>
  <c r="L28" i="313"/>
  <c r="L29" i="313"/>
  <c r="L30" i="313"/>
  <c r="L31" i="313"/>
  <c r="L32" i="313"/>
  <c r="L33" i="313"/>
  <c r="L34" i="313"/>
  <c r="L35" i="313"/>
  <c r="L36" i="313"/>
  <c r="L37" i="313"/>
  <c r="L38" i="313"/>
  <c r="L39" i="313"/>
  <c r="L40" i="313"/>
  <c r="L41" i="313"/>
  <c r="L42" i="313"/>
  <c r="L43" i="313"/>
  <c r="L44" i="313"/>
  <c r="L45" i="313"/>
  <c r="L46" i="313"/>
  <c r="L47" i="313"/>
  <c r="L48" i="313"/>
  <c r="L49" i="313"/>
  <c r="L50" i="313"/>
  <c r="L51" i="313"/>
  <c r="L52" i="313"/>
  <c r="L53" i="313"/>
  <c r="L54" i="313"/>
  <c r="L55" i="313"/>
  <c r="L56" i="313"/>
  <c r="L57" i="313"/>
  <c r="L58" i="313"/>
  <c r="L59" i="313"/>
  <c r="L60" i="313"/>
  <c r="L61" i="313"/>
  <c r="L62" i="313"/>
  <c r="L63" i="313"/>
  <c r="L64" i="313"/>
  <c r="L65" i="313"/>
  <c r="L66" i="313"/>
  <c r="L67" i="313"/>
  <c r="L68" i="313"/>
  <c r="L69" i="313"/>
  <c r="L70" i="313"/>
  <c r="L71" i="313"/>
  <c r="L72" i="313"/>
  <c r="L73" i="313"/>
  <c r="L74" i="313"/>
  <c r="L75" i="313"/>
  <c r="L76" i="313"/>
  <c r="L77" i="313"/>
  <c r="L78" i="313"/>
  <c r="L79" i="313"/>
  <c r="L80" i="313"/>
  <c r="L81" i="313"/>
  <c r="L82" i="313"/>
  <c r="L83" i="313"/>
  <c r="L84" i="313"/>
  <c r="L85" i="313"/>
  <c r="L86" i="313"/>
  <c r="L87" i="313"/>
  <c r="L88" i="313"/>
  <c r="L89" i="313"/>
  <c r="L90" i="313"/>
  <c r="L91" i="313"/>
  <c r="L92" i="313"/>
  <c r="L93" i="313"/>
  <c r="L94" i="313"/>
  <c r="L95" i="313"/>
  <c r="L96" i="313"/>
  <c r="L97" i="313"/>
  <c r="L98" i="313"/>
  <c r="L99" i="313"/>
  <c r="L100" i="313"/>
  <c r="L101" i="313"/>
  <c r="L102" i="313"/>
  <c r="L103" i="313"/>
  <c r="L104" i="313"/>
  <c r="L105" i="313"/>
  <c r="L106" i="313"/>
  <c r="L107" i="313"/>
  <c r="L108" i="313"/>
  <c r="L109" i="313"/>
  <c r="L110" i="313"/>
  <c r="L111" i="313"/>
  <c r="L112" i="313"/>
  <c r="L113" i="313"/>
  <c r="L114" i="313"/>
  <c r="L115" i="313"/>
  <c r="L116" i="313"/>
  <c r="L117" i="313"/>
  <c r="L118" i="313"/>
  <c r="L119" i="313"/>
  <c r="L120" i="313"/>
  <c r="L121" i="313"/>
  <c r="L122" i="313"/>
  <c r="L123" i="313"/>
  <c r="L124" i="313"/>
  <c r="L125" i="313"/>
  <c r="L126" i="313"/>
  <c r="L127" i="313"/>
  <c r="L128" i="313"/>
  <c r="L129" i="313"/>
  <c r="L130" i="313"/>
  <c r="L131" i="313"/>
  <c r="L132" i="313"/>
  <c r="L133" i="313"/>
  <c r="L134" i="313"/>
  <c r="L135" i="313"/>
  <c r="L136" i="313"/>
  <c r="L137" i="313"/>
  <c r="L138" i="313"/>
  <c r="L139" i="313"/>
  <c r="L140" i="313"/>
  <c r="L141" i="313"/>
  <c r="L142" i="313"/>
  <c r="L143" i="313"/>
  <c r="L144" i="313"/>
  <c r="L145" i="313"/>
  <c r="L146" i="313"/>
  <c r="L147" i="313"/>
  <c r="L148" i="313"/>
  <c r="L149" i="313"/>
  <c r="L150" i="313"/>
  <c r="L151" i="313"/>
  <c r="L152" i="313"/>
  <c r="L153" i="313"/>
  <c r="L154" i="313"/>
  <c r="L155" i="313"/>
  <c r="L156" i="313"/>
  <c r="L157" i="313"/>
  <c r="L158" i="313"/>
  <c r="L159" i="313"/>
  <c r="L160" i="313"/>
  <c r="L161" i="313"/>
  <c r="L162" i="313"/>
  <c r="L163" i="313"/>
  <c r="L164" i="313"/>
  <c r="L165" i="313"/>
  <c r="L166" i="313"/>
  <c r="L167" i="313"/>
  <c r="L168" i="313"/>
  <c r="L169" i="313"/>
  <c r="L170" i="313"/>
  <c r="L171" i="313"/>
  <c r="L172" i="313"/>
  <c r="L173" i="313"/>
  <c r="L174" i="313"/>
  <c r="L175" i="313"/>
  <c r="L176" i="313"/>
  <c r="L177" i="313"/>
  <c r="L178" i="313"/>
  <c r="L179" i="313"/>
  <c r="L180" i="313"/>
  <c r="L181" i="313"/>
  <c r="L182" i="313"/>
  <c r="L183" i="313"/>
  <c r="L184" i="313"/>
  <c r="L185" i="313"/>
  <c r="L186" i="313"/>
  <c r="L187" i="313"/>
  <c r="L188" i="313"/>
  <c r="L189" i="313"/>
  <c r="L190" i="313"/>
  <c r="L191" i="313"/>
  <c r="L192" i="313"/>
  <c r="L193" i="313"/>
  <c r="L194" i="313"/>
  <c r="L195" i="313"/>
  <c r="L196" i="313"/>
  <c r="L197" i="313"/>
  <c r="L198" i="313"/>
  <c r="L199" i="313"/>
  <c r="L200" i="313"/>
  <c r="L201" i="313"/>
  <c r="L202" i="313"/>
  <c r="L203" i="313"/>
  <c r="L204" i="313"/>
  <c r="L205" i="313"/>
  <c r="L206" i="313"/>
  <c r="L207" i="313"/>
  <c r="L208" i="313"/>
  <c r="L209" i="313"/>
  <c r="L210" i="313"/>
  <c r="L211" i="313"/>
  <c r="L212" i="313"/>
  <c r="L213" i="313"/>
  <c r="L214" i="313"/>
  <c r="L215" i="313"/>
  <c r="L216" i="313"/>
  <c r="L217" i="313"/>
  <c r="L218" i="313"/>
  <c r="L219" i="313"/>
  <c r="L220" i="313"/>
  <c r="L221" i="313"/>
  <c r="L222" i="313"/>
  <c r="L223" i="313"/>
  <c r="L224" i="313"/>
  <c r="L225" i="313"/>
  <c r="L226" i="313"/>
  <c r="L227" i="313"/>
  <c r="L228" i="313"/>
  <c r="L229" i="313"/>
  <c r="L230" i="313"/>
  <c r="L231" i="313"/>
  <c r="L232" i="313"/>
  <c r="L233" i="313"/>
  <c r="L234" i="313"/>
  <c r="L235" i="313"/>
  <c r="L236" i="313"/>
  <c r="L237" i="313"/>
  <c r="L238" i="313"/>
  <c r="L239" i="313"/>
  <c r="L240" i="313"/>
  <c r="L241" i="313"/>
  <c r="L242" i="313"/>
  <c r="L243" i="313"/>
  <c r="L244" i="313"/>
  <c r="L245" i="313"/>
  <c r="L246" i="313"/>
  <c r="L247" i="313"/>
  <c r="L248" i="313"/>
  <c r="L249" i="313"/>
  <c r="L250" i="313"/>
  <c r="L251" i="313"/>
  <c r="L252" i="313"/>
  <c r="L253" i="313"/>
  <c r="L254" i="313"/>
  <c r="L255" i="313"/>
  <c r="L256" i="313"/>
  <c r="L257" i="313"/>
  <c r="L258" i="313"/>
  <c r="L259" i="313"/>
  <c r="L260" i="313"/>
  <c r="L261" i="313"/>
  <c r="L262" i="313"/>
  <c r="L263" i="313"/>
  <c r="L264" i="313"/>
  <c r="L265" i="313"/>
  <c r="L266" i="313"/>
  <c r="L267" i="313"/>
  <c r="L268" i="313"/>
  <c r="L269" i="313"/>
  <c r="L270" i="313"/>
  <c r="L271" i="313"/>
  <c r="L272" i="313"/>
  <c r="L273" i="313"/>
  <c r="L274" i="313"/>
  <c r="L275" i="313"/>
  <c r="L276" i="313"/>
  <c r="L277" i="313"/>
  <c r="L278" i="313"/>
  <c r="L279" i="313"/>
  <c r="L280" i="313"/>
  <c r="L281" i="313"/>
  <c r="L282" i="313"/>
  <c r="L283" i="313"/>
  <c r="L284" i="313"/>
  <c r="L285" i="313"/>
  <c r="L286" i="313"/>
  <c r="L287" i="313"/>
  <c r="L288" i="313"/>
  <c r="L289" i="313"/>
  <c r="L290" i="313"/>
  <c r="L291" i="313"/>
  <c r="L292" i="313"/>
  <c r="L293" i="313"/>
  <c r="L294" i="313"/>
  <c r="L295" i="313"/>
  <c r="L296" i="313"/>
  <c r="L297" i="313"/>
  <c r="L298" i="313"/>
  <c r="L299" i="313"/>
  <c r="L300" i="313"/>
  <c r="L301" i="313"/>
  <c r="L302" i="313"/>
  <c r="L303" i="313"/>
  <c r="L304" i="313"/>
  <c r="L305" i="313"/>
  <c r="L306" i="313"/>
  <c r="L307" i="313"/>
  <c r="L308" i="313"/>
  <c r="L309" i="313"/>
  <c r="L310" i="313"/>
  <c r="L311" i="313"/>
  <c r="L312" i="313"/>
  <c r="L313" i="313"/>
  <c r="L314" i="313"/>
  <c r="L315" i="313"/>
  <c r="L316" i="313"/>
  <c r="L317" i="313"/>
  <c r="L318" i="313"/>
  <c r="L319" i="313"/>
  <c r="L320" i="313"/>
  <c r="L321" i="313"/>
  <c r="L322" i="313"/>
  <c r="L323" i="313"/>
  <c r="L324" i="313"/>
  <c r="L325" i="313"/>
  <c r="L326" i="313"/>
  <c r="L327" i="313"/>
  <c r="L328" i="313"/>
  <c r="L329" i="313"/>
  <c r="L330" i="313"/>
  <c r="L331" i="313"/>
  <c r="L332" i="313"/>
  <c r="L333" i="313"/>
  <c r="L334" i="313"/>
  <c r="L335" i="313"/>
  <c r="L336" i="313"/>
  <c r="L337" i="313"/>
  <c r="L338" i="313"/>
  <c r="L339" i="313"/>
  <c r="L340" i="313"/>
  <c r="L341" i="313"/>
  <c r="L342" i="313"/>
  <c r="L343" i="313"/>
  <c r="L344" i="313"/>
  <c r="L345" i="313"/>
  <c r="L346" i="313"/>
  <c r="L347" i="313"/>
  <c r="L348" i="313"/>
  <c r="L349" i="313"/>
  <c r="L350" i="313"/>
  <c r="L351" i="313"/>
  <c r="L352" i="313"/>
  <c r="L353" i="313"/>
  <c r="L354" i="313"/>
  <c r="L355" i="313"/>
  <c r="L356" i="313"/>
  <c r="L357" i="313"/>
  <c r="L358" i="313"/>
  <c r="L359" i="313"/>
  <c r="L360" i="313"/>
  <c r="L361" i="313"/>
  <c r="L362" i="313"/>
  <c r="L363" i="313"/>
  <c r="L364" i="313"/>
  <c r="L365" i="313"/>
  <c r="L366" i="313"/>
  <c r="L367" i="313"/>
  <c r="L368" i="313"/>
  <c r="L369" i="313"/>
  <c r="L370" i="313"/>
  <c r="L371" i="313"/>
  <c r="L372" i="313"/>
  <c r="L373" i="313"/>
  <c r="L374" i="313"/>
  <c r="L375" i="313"/>
  <c r="L376" i="313"/>
  <c r="L377" i="313"/>
  <c r="L378" i="313"/>
  <c r="L379" i="313"/>
  <c r="L380" i="313"/>
  <c r="L381" i="313"/>
  <c r="L382" i="313"/>
  <c r="L383" i="313"/>
  <c r="L384" i="313"/>
  <c r="L385" i="313"/>
  <c r="L386" i="313"/>
  <c r="L387" i="313"/>
  <c r="L388" i="313"/>
  <c r="L389" i="313"/>
  <c r="L390" i="313"/>
  <c r="L391" i="313"/>
  <c r="L392" i="313"/>
  <c r="L393" i="313"/>
  <c r="L394" i="313"/>
  <c r="L395" i="313"/>
  <c r="L396" i="313"/>
  <c r="L397" i="313"/>
  <c r="L398" i="313"/>
  <c r="L399" i="313"/>
  <c r="L400" i="313"/>
  <c r="L401" i="313"/>
  <c r="L402" i="313"/>
  <c r="L403" i="313"/>
  <c r="L404" i="313"/>
  <c r="L405" i="313"/>
  <c r="L406" i="313"/>
  <c r="L407" i="313"/>
  <c r="L408" i="313"/>
  <c r="L409" i="313"/>
  <c r="L3" i="313"/>
  <c r="AA54" i="322" l="1"/>
  <c r="Z69" i="322"/>
  <c r="Z68" i="322"/>
  <c r="Z70" i="322" s="1"/>
  <c r="Z57" i="322" s="1"/>
  <c r="Y70" i="322"/>
  <c r="Y57" i="322" s="1"/>
  <c r="H68" i="275"/>
  <c r="I68" i="275"/>
  <c r="J68" i="275"/>
  <c r="K68" i="275"/>
  <c r="L68" i="275"/>
  <c r="M68" i="275"/>
  <c r="N68" i="275"/>
  <c r="O68" i="275"/>
  <c r="P68" i="275"/>
  <c r="Q68" i="275"/>
  <c r="R68" i="275"/>
  <c r="S68" i="275"/>
  <c r="T68" i="275"/>
  <c r="U68" i="275"/>
  <c r="V68" i="275"/>
  <c r="W68" i="275"/>
  <c r="X68" i="275"/>
  <c r="Y68" i="275"/>
  <c r="Z68" i="275"/>
  <c r="AA68" i="275"/>
  <c r="AB68" i="275"/>
  <c r="AC68" i="275"/>
  <c r="AD68" i="275"/>
  <c r="AE68" i="275"/>
  <c r="AF68" i="275"/>
  <c r="AG68" i="275"/>
  <c r="AH68" i="275"/>
  <c r="AI68" i="275"/>
  <c r="AJ68" i="275"/>
  <c r="AK68" i="275"/>
  <c r="AL68" i="275"/>
  <c r="AM68" i="275"/>
  <c r="AN68" i="275"/>
  <c r="AO68" i="275"/>
  <c r="AP68" i="275"/>
  <c r="AQ68" i="275"/>
  <c r="AR68" i="275"/>
  <c r="AS68" i="275"/>
  <c r="AT68" i="275"/>
  <c r="AU68" i="275"/>
  <c r="AV68" i="275"/>
  <c r="AW68" i="275"/>
  <c r="AX68" i="275"/>
  <c r="AY68" i="275"/>
  <c r="AZ68" i="275"/>
  <c r="BA68" i="275"/>
  <c r="BB68" i="275"/>
  <c r="BC68" i="275"/>
  <c r="BD68" i="275"/>
  <c r="BE68" i="275"/>
  <c r="BF68" i="275"/>
  <c r="BG68" i="275"/>
  <c r="BH68" i="275"/>
  <c r="AA69" i="322" l="1"/>
  <c r="AA68" i="322"/>
  <c r="AA70" i="322" s="1"/>
  <c r="AA57" i="322" s="1"/>
  <c r="AB54" i="322"/>
  <c r="P4" i="311"/>
  <c r="P5" i="311"/>
  <c r="P6" i="311"/>
  <c r="P7" i="311"/>
  <c r="P8" i="311"/>
  <c r="P10" i="311"/>
  <c r="P11" i="311"/>
  <c r="P12" i="311"/>
  <c r="P13" i="311"/>
  <c r="P14" i="311"/>
  <c r="P15" i="311"/>
  <c r="P16" i="311"/>
  <c r="P17" i="311"/>
  <c r="P18" i="311"/>
  <c r="P3" i="311"/>
  <c r="AB69" i="322" l="1"/>
  <c r="AB68" i="322"/>
  <c r="AB70" i="322" s="1"/>
  <c r="AB57" i="322" s="1"/>
  <c r="AC54" i="322"/>
  <c r="AC93" i="322" l="1"/>
  <c r="AC97" i="322" s="1"/>
  <c r="AC69" i="322"/>
  <c r="AC68" i="322"/>
  <c r="AC55" i="322"/>
  <c r="AC90" i="322"/>
  <c r="AD54" i="322"/>
  <c r="AC67" i="322"/>
  <c r="AD67" i="322" l="1"/>
  <c r="AD93" i="322"/>
  <c r="AD97" i="322" s="1"/>
  <c r="AD90" i="322"/>
  <c r="AD68" i="322"/>
  <c r="AE54" i="322"/>
  <c r="AD55" i="322"/>
  <c r="AD69" i="322"/>
  <c r="AC98" i="322"/>
  <c r="AC58" i="322" s="1"/>
  <c r="AC70" i="322"/>
  <c r="AC57" i="322" s="1"/>
  <c r="AC59" i="322" l="1"/>
  <c r="AC62" i="322" s="1"/>
  <c r="AD98" i="322"/>
  <c r="AD58" i="322" s="1"/>
  <c r="AE93" i="322"/>
  <c r="AE97" i="322" s="1"/>
  <c r="AE90" i="322"/>
  <c r="AE67" i="322"/>
  <c r="AE55" i="322"/>
  <c r="AF54" i="322"/>
  <c r="AE69" i="322"/>
  <c r="AE68" i="322"/>
  <c r="AE70" i="322" s="1"/>
  <c r="AE57" i="322" s="1"/>
  <c r="AD70" i="322"/>
  <c r="AD57" i="322" s="1"/>
  <c r="AD59" i="322" s="1"/>
  <c r="AD62" i="322" s="1"/>
  <c r="AF93" i="322" l="1"/>
  <c r="AF97" i="322" s="1"/>
  <c r="AF90" i="322"/>
  <c r="AF69" i="322"/>
  <c r="AF68" i="322"/>
  <c r="AF70" i="322" s="1"/>
  <c r="AF57" i="322" s="1"/>
  <c r="AF67" i="322"/>
  <c r="AG54" i="322"/>
  <c r="AF55" i="322"/>
  <c r="AE98" i="322"/>
  <c r="AE58" i="322" s="1"/>
  <c r="AE59" i="322" s="1"/>
  <c r="AE62" i="322" s="1"/>
  <c r="P13" i="284"/>
  <c r="AG93" i="322" l="1"/>
  <c r="AG97" i="322" s="1"/>
  <c r="AG90" i="322"/>
  <c r="AG69" i="322"/>
  <c r="AG67" i="322"/>
  <c r="AG55" i="322"/>
  <c r="AG68" i="322"/>
  <c r="AG70" i="322" s="1"/>
  <c r="AG57" i="322" s="1"/>
  <c r="AH54" i="322"/>
  <c r="AF98" i="322"/>
  <c r="AF58" i="322" s="1"/>
  <c r="AF59" i="322" s="1"/>
  <c r="AF62" i="322" s="1"/>
  <c r="J6" i="278"/>
  <c r="AH67" i="322" l="1"/>
  <c r="AH93" i="322"/>
  <c r="AH97" i="322" s="1"/>
  <c r="AI54" i="322"/>
  <c r="AH69" i="322"/>
  <c r="AH68" i="322"/>
  <c r="AH70" i="322" s="1"/>
  <c r="AH57" i="322" s="1"/>
  <c r="AH90" i="322"/>
  <c r="AH55" i="322"/>
  <c r="AG98" i="322"/>
  <c r="AG58" i="322" s="1"/>
  <c r="AG59" i="322" s="1"/>
  <c r="AG62" i="322" s="1"/>
  <c r="B8" i="286"/>
  <c r="B7" i="286"/>
  <c r="AH98" i="322" l="1"/>
  <c r="AH58" i="322" s="1"/>
  <c r="AH59" i="322" s="1"/>
  <c r="AH62" i="322" s="1"/>
  <c r="AI93" i="322"/>
  <c r="AI97" i="322" s="1"/>
  <c r="AI68" i="322"/>
  <c r="AI70" i="322" s="1"/>
  <c r="AI57" i="322" s="1"/>
  <c r="AI69" i="322"/>
  <c r="AI90" i="322"/>
  <c r="AI67" i="322"/>
  <c r="AI55" i="322"/>
  <c r="AJ54" i="322"/>
  <c r="E19" i="304"/>
  <c r="J19" i="304" s="1"/>
  <c r="E20" i="304"/>
  <c r="J20" i="304" s="1"/>
  <c r="E21" i="304"/>
  <c r="J21" i="304" s="1"/>
  <c r="E22" i="304"/>
  <c r="J22" i="304" s="1"/>
  <c r="E23" i="304"/>
  <c r="J23" i="304" s="1"/>
  <c r="E24" i="304"/>
  <c r="J24" i="304" s="1"/>
  <c r="E25" i="304"/>
  <c r="J25" i="304" s="1"/>
  <c r="E26" i="304"/>
  <c r="J26" i="304" s="1"/>
  <c r="E27" i="304"/>
  <c r="J27" i="304" s="1"/>
  <c r="E28" i="304"/>
  <c r="J28" i="304" s="1"/>
  <c r="H12" i="321" s="1"/>
  <c r="E18" i="304"/>
  <c r="J18" i="304" s="1"/>
  <c r="B34" i="304" l="1"/>
  <c r="AJ93" i="322"/>
  <c r="AJ97" i="322" s="1"/>
  <c r="AJ90" i="322"/>
  <c r="AJ69" i="322"/>
  <c r="AJ68" i="322"/>
  <c r="AJ70" i="322" s="1"/>
  <c r="AJ57" i="322" s="1"/>
  <c r="AJ67" i="322"/>
  <c r="AJ55" i="322"/>
  <c r="AK54" i="322"/>
  <c r="AI98" i="322"/>
  <c r="AI58" i="322" s="1"/>
  <c r="AI59" i="322" s="1"/>
  <c r="AI62" i="322" s="1"/>
  <c r="AK90" i="322" l="1"/>
  <c r="AK68" i="322"/>
  <c r="AK55" i="322"/>
  <c r="AK93" i="322"/>
  <c r="AK97" i="322" s="1"/>
  <c r="AK69" i="322"/>
  <c r="AK67" i="322"/>
  <c r="AL54" i="322"/>
  <c r="AJ98" i="322"/>
  <c r="AJ58" i="322" s="1"/>
  <c r="AJ59" i="322" s="1"/>
  <c r="AJ62" i="322" s="1"/>
  <c r="N16" i="292"/>
  <c r="N7" i="292"/>
  <c r="J4" i="313"/>
  <c r="K4" i="313"/>
  <c r="J5" i="313"/>
  <c r="K5" i="313"/>
  <c r="J6" i="313"/>
  <c r="K6" i="313"/>
  <c r="J7" i="313"/>
  <c r="K7" i="313"/>
  <c r="J8" i="313"/>
  <c r="K8" i="313"/>
  <c r="J9" i="313"/>
  <c r="K9" i="313"/>
  <c r="J10" i="313"/>
  <c r="K10" i="313"/>
  <c r="J11" i="313"/>
  <c r="K11" i="313"/>
  <c r="J12" i="313"/>
  <c r="K12" i="313"/>
  <c r="J13" i="313"/>
  <c r="K13" i="313"/>
  <c r="J14" i="313"/>
  <c r="K14" i="313"/>
  <c r="J15" i="313"/>
  <c r="K15" i="313"/>
  <c r="J16" i="313"/>
  <c r="K16" i="313"/>
  <c r="J17" i="313"/>
  <c r="K17" i="313"/>
  <c r="J18" i="313"/>
  <c r="K18" i="313"/>
  <c r="J19" i="313"/>
  <c r="K19" i="313"/>
  <c r="J20" i="313"/>
  <c r="K20" i="313"/>
  <c r="J21" i="313"/>
  <c r="K21" i="313"/>
  <c r="J22" i="313"/>
  <c r="K22" i="313"/>
  <c r="J23" i="313"/>
  <c r="K23" i="313"/>
  <c r="J24" i="313"/>
  <c r="K24" i="313"/>
  <c r="J25" i="313"/>
  <c r="K25" i="313"/>
  <c r="J26" i="313"/>
  <c r="K26" i="313"/>
  <c r="J27" i="313"/>
  <c r="K27" i="313"/>
  <c r="J28" i="313"/>
  <c r="K28" i="313"/>
  <c r="J29" i="313"/>
  <c r="K29" i="313"/>
  <c r="J30" i="313"/>
  <c r="K30" i="313"/>
  <c r="J31" i="313"/>
  <c r="K31" i="313"/>
  <c r="J32" i="313"/>
  <c r="K32" i="313"/>
  <c r="J33" i="313"/>
  <c r="K33" i="313"/>
  <c r="J34" i="313"/>
  <c r="K34" i="313"/>
  <c r="J35" i="313"/>
  <c r="K35" i="313"/>
  <c r="J36" i="313"/>
  <c r="K36" i="313"/>
  <c r="J37" i="313"/>
  <c r="K37" i="313"/>
  <c r="J38" i="313"/>
  <c r="K38" i="313"/>
  <c r="J39" i="313"/>
  <c r="K39" i="313"/>
  <c r="J40" i="313"/>
  <c r="K40" i="313"/>
  <c r="J41" i="313"/>
  <c r="K41" i="313"/>
  <c r="J42" i="313"/>
  <c r="K42" i="313"/>
  <c r="J43" i="313"/>
  <c r="K43" i="313"/>
  <c r="J44" i="313"/>
  <c r="K44" i="313"/>
  <c r="J45" i="313"/>
  <c r="K45" i="313"/>
  <c r="J46" i="313"/>
  <c r="K46" i="313"/>
  <c r="J47" i="313"/>
  <c r="K47" i="313"/>
  <c r="J48" i="313"/>
  <c r="K48" i="313"/>
  <c r="J49" i="313"/>
  <c r="K49" i="313"/>
  <c r="J50" i="313"/>
  <c r="K50" i="313"/>
  <c r="J51" i="313"/>
  <c r="K51" i="313"/>
  <c r="J52" i="313"/>
  <c r="K52" i="313"/>
  <c r="J53" i="313"/>
  <c r="K53" i="313"/>
  <c r="J54" i="313"/>
  <c r="K54" i="313"/>
  <c r="J55" i="313"/>
  <c r="K55" i="313"/>
  <c r="J56" i="313"/>
  <c r="K56" i="313"/>
  <c r="J57" i="313"/>
  <c r="K57" i="313"/>
  <c r="J58" i="313"/>
  <c r="K58" i="313"/>
  <c r="J59" i="313"/>
  <c r="K59" i="313"/>
  <c r="J60" i="313"/>
  <c r="K60" i="313"/>
  <c r="J61" i="313"/>
  <c r="K61" i="313"/>
  <c r="J62" i="313"/>
  <c r="K62" i="313"/>
  <c r="J63" i="313"/>
  <c r="K63" i="313"/>
  <c r="J64" i="313"/>
  <c r="K64" i="313"/>
  <c r="J65" i="313"/>
  <c r="K65" i="313"/>
  <c r="J66" i="313"/>
  <c r="K66" i="313"/>
  <c r="J67" i="313"/>
  <c r="K67" i="313"/>
  <c r="J68" i="313"/>
  <c r="K68" i="313"/>
  <c r="J69" i="313"/>
  <c r="K69" i="313"/>
  <c r="J70" i="313"/>
  <c r="K70" i="313"/>
  <c r="J71" i="313"/>
  <c r="K71" i="313"/>
  <c r="J72" i="313"/>
  <c r="K72" i="313"/>
  <c r="J73" i="313"/>
  <c r="K73" i="313"/>
  <c r="J74" i="313"/>
  <c r="K74" i="313"/>
  <c r="J75" i="313"/>
  <c r="K75" i="313"/>
  <c r="J76" i="313"/>
  <c r="K76" i="313"/>
  <c r="J77" i="313"/>
  <c r="K77" i="313"/>
  <c r="J78" i="313"/>
  <c r="K78" i="313"/>
  <c r="J79" i="313"/>
  <c r="K79" i="313"/>
  <c r="J80" i="313"/>
  <c r="K80" i="313"/>
  <c r="J81" i="313"/>
  <c r="K81" i="313"/>
  <c r="J82" i="313"/>
  <c r="K82" i="313"/>
  <c r="J83" i="313"/>
  <c r="K83" i="313"/>
  <c r="J84" i="313"/>
  <c r="K84" i="313"/>
  <c r="J85" i="313"/>
  <c r="K85" i="313"/>
  <c r="J86" i="313"/>
  <c r="K86" i="313"/>
  <c r="J87" i="313"/>
  <c r="K87" i="313"/>
  <c r="J88" i="313"/>
  <c r="K88" i="313"/>
  <c r="J89" i="313"/>
  <c r="K89" i="313"/>
  <c r="J90" i="313"/>
  <c r="K90" i="313"/>
  <c r="J91" i="313"/>
  <c r="K91" i="313"/>
  <c r="J92" i="313"/>
  <c r="K92" i="313"/>
  <c r="J93" i="313"/>
  <c r="K93" i="313"/>
  <c r="J94" i="313"/>
  <c r="K94" i="313"/>
  <c r="J95" i="313"/>
  <c r="K95" i="313"/>
  <c r="J96" i="313"/>
  <c r="K96" i="313"/>
  <c r="J97" i="313"/>
  <c r="K97" i="313"/>
  <c r="J98" i="313"/>
  <c r="K98" i="313"/>
  <c r="J99" i="313"/>
  <c r="K99" i="313"/>
  <c r="J100" i="313"/>
  <c r="K100" i="313"/>
  <c r="J101" i="313"/>
  <c r="K101" i="313"/>
  <c r="J102" i="313"/>
  <c r="K102" i="313"/>
  <c r="J103" i="313"/>
  <c r="K103" i="313"/>
  <c r="J104" i="313"/>
  <c r="K104" i="313"/>
  <c r="J105" i="313"/>
  <c r="K105" i="313"/>
  <c r="J106" i="313"/>
  <c r="K106" i="313"/>
  <c r="J107" i="313"/>
  <c r="K107" i="313"/>
  <c r="J108" i="313"/>
  <c r="K108" i="313"/>
  <c r="J109" i="313"/>
  <c r="K109" i="313"/>
  <c r="J110" i="313"/>
  <c r="K110" i="313"/>
  <c r="J111" i="313"/>
  <c r="K111" i="313"/>
  <c r="J112" i="313"/>
  <c r="K112" i="313"/>
  <c r="J113" i="313"/>
  <c r="K113" i="313"/>
  <c r="J114" i="313"/>
  <c r="K114" i="313"/>
  <c r="J115" i="313"/>
  <c r="K115" i="313"/>
  <c r="J116" i="313"/>
  <c r="K116" i="313"/>
  <c r="J117" i="313"/>
  <c r="K117" i="313"/>
  <c r="J118" i="313"/>
  <c r="K118" i="313"/>
  <c r="J119" i="313"/>
  <c r="K119" i="313"/>
  <c r="J120" i="313"/>
  <c r="K120" i="313"/>
  <c r="J121" i="313"/>
  <c r="K121" i="313"/>
  <c r="J122" i="313"/>
  <c r="K122" i="313"/>
  <c r="J123" i="313"/>
  <c r="K123" i="313"/>
  <c r="J124" i="313"/>
  <c r="K124" i="313"/>
  <c r="J125" i="313"/>
  <c r="K125" i="313"/>
  <c r="J126" i="313"/>
  <c r="K126" i="313"/>
  <c r="J127" i="313"/>
  <c r="K127" i="313"/>
  <c r="J128" i="313"/>
  <c r="K128" i="313"/>
  <c r="J129" i="313"/>
  <c r="K129" i="313"/>
  <c r="J130" i="313"/>
  <c r="K130" i="313"/>
  <c r="J131" i="313"/>
  <c r="K131" i="313"/>
  <c r="J132" i="313"/>
  <c r="K132" i="313"/>
  <c r="J133" i="313"/>
  <c r="K133" i="313"/>
  <c r="J134" i="313"/>
  <c r="K134" i="313"/>
  <c r="J135" i="313"/>
  <c r="K135" i="313"/>
  <c r="J136" i="313"/>
  <c r="K136" i="313"/>
  <c r="J137" i="313"/>
  <c r="K137" i="313"/>
  <c r="J138" i="313"/>
  <c r="K138" i="313"/>
  <c r="J139" i="313"/>
  <c r="K139" i="313"/>
  <c r="J140" i="313"/>
  <c r="K140" i="313"/>
  <c r="J141" i="313"/>
  <c r="K141" i="313"/>
  <c r="J142" i="313"/>
  <c r="K142" i="313"/>
  <c r="J143" i="313"/>
  <c r="K143" i="313"/>
  <c r="J144" i="313"/>
  <c r="K144" i="313"/>
  <c r="J145" i="313"/>
  <c r="K145" i="313"/>
  <c r="J146" i="313"/>
  <c r="K146" i="313"/>
  <c r="J147" i="313"/>
  <c r="K147" i="313"/>
  <c r="J148" i="313"/>
  <c r="K148" i="313"/>
  <c r="J149" i="313"/>
  <c r="K149" i="313"/>
  <c r="J150" i="313"/>
  <c r="K150" i="313"/>
  <c r="J151" i="313"/>
  <c r="K151" i="313"/>
  <c r="J152" i="313"/>
  <c r="K152" i="313"/>
  <c r="J153" i="313"/>
  <c r="K153" i="313"/>
  <c r="J154" i="313"/>
  <c r="K154" i="313"/>
  <c r="J155" i="313"/>
  <c r="K155" i="313"/>
  <c r="J156" i="313"/>
  <c r="K156" i="313"/>
  <c r="J157" i="313"/>
  <c r="K157" i="313"/>
  <c r="J158" i="313"/>
  <c r="K158" i="313"/>
  <c r="J159" i="313"/>
  <c r="K159" i="313"/>
  <c r="J160" i="313"/>
  <c r="K160" i="313"/>
  <c r="J161" i="313"/>
  <c r="K161" i="313"/>
  <c r="J162" i="313"/>
  <c r="K162" i="313"/>
  <c r="J163" i="313"/>
  <c r="K163" i="313"/>
  <c r="J164" i="313"/>
  <c r="K164" i="313"/>
  <c r="J165" i="313"/>
  <c r="K165" i="313"/>
  <c r="J166" i="313"/>
  <c r="K166" i="313"/>
  <c r="J167" i="313"/>
  <c r="K167" i="313"/>
  <c r="J168" i="313"/>
  <c r="K168" i="313"/>
  <c r="J169" i="313"/>
  <c r="K169" i="313"/>
  <c r="J170" i="313"/>
  <c r="K170" i="313"/>
  <c r="J171" i="313"/>
  <c r="K171" i="313"/>
  <c r="J172" i="313"/>
  <c r="K172" i="313"/>
  <c r="J173" i="313"/>
  <c r="K173" i="313"/>
  <c r="J174" i="313"/>
  <c r="K174" i="313"/>
  <c r="J175" i="313"/>
  <c r="K175" i="313"/>
  <c r="J176" i="313"/>
  <c r="K176" i="313"/>
  <c r="J177" i="313"/>
  <c r="K177" i="313"/>
  <c r="J178" i="313"/>
  <c r="K178" i="313"/>
  <c r="J179" i="313"/>
  <c r="K179" i="313"/>
  <c r="J180" i="313"/>
  <c r="K180" i="313"/>
  <c r="J181" i="313"/>
  <c r="K181" i="313"/>
  <c r="J182" i="313"/>
  <c r="K182" i="313"/>
  <c r="J183" i="313"/>
  <c r="K183" i="313"/>
  <c r="J184" i="313"/>
  <c r="K184" i="313"/>
  <c r="J185" i="313"/>
  <c r="K185" i="313"/>
  <c r="J186" i="313"/>
  <c r="K186" i="313"/>
  <c r="J187" i="313"/>
  <c r="K187" i="313"/>
  <c r="J188" i="313"/>
  <c r="K188" i="313"/>
  <c r="J189" i="313"/>
  <c r="K189" i="313"/>
  <c r="J190" i="313"/>
  <c r="K190" i="313"/>
  <c r="J191" i="313"/>
  <c r="K191" i="313"/>
  <c r="J192" i="313"/>
  <c r="K192" i="313"/>
  <c r="J193" i="313"/>
  <c r="K193" i="313"/>
  <c r="J194" i="313"/>
  <c r="K194" i="313"/>
  <c r="J195" i="313"/>
  <c r="K195" i="313"/>
  <c r="J196" i="313"/>
  <c r="K196" i="313"/>
  <c r="J197" i="313"/>
  <c r="K197" i="313"/>
  <c r="J198" i="313"/>
  <c r="K198" i="313"/>
  <c r="J199" i="313"/>
  <c r="K199" i="313"/>
  <c r="J200" i="313"/>
  <c r="K200" i="313"/>
  <c r="J201" i="313"/>
  <c r="K201" i="313"/>
  <c r="J202" i="313"/>
  <c r="K202" i="313"/>
  <c r="J203" i="313"/>
  <c r="K203" i="313"/>
  <c r="J204" i="313"/>
  <c r="K204" i="313"/>
  <c r="J205" i="313"/>
  <c r="K205" i="313"/>
  <c r="J206" i="313"/>
  <c r="K206" i="313"/>
  <c r="J207" i="313"/>
  <c r="K207" i="313"/>
  <c r="J208" i="313"/>
  <c r="K208" i="313"/>
  <c r="J209" i="313"/>
  <c r="K209" i="313"/>
  <c r="J210" i="313"/>
  <c r="K210" i="313"/>
  <c r="J211" i="313"/>
  <c r="K211" i="313"/>
  <c r="J212" i="313"/>
  <c r="K212" i="313"/>
  <c r="J213" i="313"/>
  <c r="K213" i="313"/>
  <c r="J214" i="313"/>
  <c r="K214" i="313"/>
  <c r="J215" i="313"/>
  <c r="K215" i="313"/>
  <c r="J216" i="313"/>
  <c r="K216" i="313"/>
  <c r="J217" i="313"/>
  <c r="K217" i="313"/>
  <c r="J218" i="313"/>
  <c r="K218" i="313"/>
  <c r="J219" i="313"/>
  <c r="K219" i="313"/>
  <c r="J220" i="313"/>
  <c r="K220" i="313"/>
  <c r="J221" i="313"/>
  <c r="K221" i="313"/>
  <c r="J222" i="313"/>
  <c r="K222" i="313"/>
  <c r="J223" i="313"/>
  <c r="K223" i="313"/>
  <c r="J224" i="313"/>
  <c r="K224" i="313"/>
  <c r="J225" i="313"/>
  <c r="K225" i="313"/>
  <c r="J226" i="313"/>
  <c r="K226" i="313"/>
  <c r="J227" i="313"/>
  <c r="K227" i="313"/>
  <c r="J228" i="313"/>
  <c r="K228" i="313"/>
  <c r="J229" i="313"/>
  <c r="K229" i="313"/>
  <c r="J230" i="313"/>
  <c r="K230" i="313"/>
  <c r="J231" i="313"/>
  <c r="K231" i="313"/>
  <c r="J232" i="313"/>
  <c r="K232" i="313"/>
  <c r="J233" i="313"/>
  <c r="K233" i="313"/>
  <c r="J234" i="313"/>
  <c r="K234" i="313"/>
  <c r="J235" i="313"/>
  <c r="K235" i="313"/>
  <c r="J236" i="313"/>
  <c r="K236" i="313"/>
  <c r="J237" i="313"/>
  <c r="K237" i="313"/>
  <c r="J238" i="313"/>
  <c r="K238" i="313"/>
  <c r="J239" i="313"/>
  <c r="K239" i="313"/>
  <c r="J240" i="313"/>
  <c r="K240" i="313"/>
  <c r="J241" i="313"/>
  <c r="K241" i="313"/>
  <c r="J242" i="313"/>
  <c r="K242" i="313"/>
  <c r="J243" i="313"/>
  <c r="K243" i="313"/>
  <c r="J244" i="313"/>
  <c r="K244" i="313"/>
  <c r="J245" i="313"/>
  <c r="K245" i="313"/>
  <c r="J246" i="313"/>
  <c r="K246" i="313"/>
  <c r="J247" i="313"/>
  <c r="K247" i="313"/>
  <c r="J248" i="313"/>
  <c r="K248" i="313"/>
  <c r="J249" i="313"/>
  <c r="K249" i="313"/>
  <c r="J250" i="313"/>
  <c r="K250" i="313"/>
  <c r="J251" i="313"/>
  <c r="K251" i="313"/>
  <c r="J252" i="313"/>
  <c r="K252" i="313"/>
  <c r="J253" i="313"/>
  <c r="K253" i="313"/>
  <c r="J254" i="313"/>
  <c r="K254" i="313"/>
  <c r="J255" i="313"/>
  <c r="K255" i="313"/>
  <c r="J256" i="313"/>
  <c r="K256" i="313"/>
  <c r="J257" i="313"/>
  <c r="K257" i="313"/>
  <c r="J258" i="313"/>
  <c r="K258" i="313"/>
  <c r="J259" i="313"/>
  <c r="K259" i="313"/>
  <c r="J260" i="313"/>
  <c r="K260" i="313"/>
  <c r="J261" i="313"/>
  <c r="K261" i="313"/>
  <c r="J262" i="313"/>
  <c r="K262" i="313"/>
  <c r="J263" i="313"/>
  <c r="K263" i="313"/>
  <c r="J264" i="313"/>
  <c r="K264" i="313"/>
  <c r="J265" i="313"/>
  <c r="K265" i="313"/>
  <c r="J266" i="313"/>
  <c r="K266" i="313"/>
  <c r="J267" i="313"/>
  <c r="K267" i="313"/>
  <c r="J268" i="313"/>
  <c r="K268" i="313"/>
  <c r="J269" i="313"/>
  <c r="K269" i="313"/>
  <c r="J270" i="313"/>
  <c r="K270" i="313"/>
  <c r="J271" i="313"/>
  <c r="K271" i="313"/>
  <c r="J272" i="313"/>
  <c r="K272" i="313"/>
  <c r="J273" i="313"/>
  <c r="K273" i="313"/>
  <c r="J274" i="313"/>
  <c r="K274" i="313"/>
  <c r="J275" i="313"/>
  <c r="K275" i="313"/>
  <c r="J276" i="313"/>
  <c r="K276" i="313"/>
  <c r="J277" i="313"/>
  <c r="K277" i="313"/>
  <c r="J278" i="313"/>
  <c r="K278" i="313"/>
  <c r="J279" i="313"/>
  <c r="K279" i="313"/>
  <c r="J280" i="313"/>
  <c r="K280" i="313"/>
  <c r="J281" i="313"/>
  <c r="K281" i="313"/>
  <c r="J282" i="313"/>
  <c r="K282" i="313"/>
  <c r="J283" i="313"/>
  <c r="K283" i="313"/>
  <c r="J284" i="313"/>
  <c r="K284" i="313"/>
  <c r="J285" i="313"/>
  <c r="K285" i="313"/>
  <c r="J286" i="313"/>
  <c r="K286" i="313"/>
  <c r="J287" i="313"/>
  <c r="K287" i="313"/>
  <c r="J288" i="313"/>
  <c r="K288" i="313"/>
  <c r="J289" i="313"/>
  <c r="K289" i="313"/>
  <c r="J290" i="313"/>
  <c r="K290" i="313"/>
  <c r="J291" i="313"/>
  <c r="K291" i="313"/>
  <c r="J292" i="313"/>
  <c r="K292" i="313"/>
  <c r="J293" i="313"/>
  <c r="K293" i="313"/>
  <c r="J294" i="313"/>
  <c r="K294" i="313"/>
  <c r="J295" i="313"/>
  <c r="K295" i="313"/>
  <c r="J296" i="313"/>
  <c r="K296" i="313"/>
  <c r="J297" i="313"/>
  <c r="K297" i="313"/>
  <c r="J298" i="313"/>
  <c r="K298" i="313"/>
  <c r="J299" i="313"/>
  <c r="K299" i="313"/>
  <c r="J300" i="313"/>
  <c r="K300" i="313"/>
  <c r="J301" i="313"/>
  <c r="K301" i="313"/>
  <c r="J302" i="313"/>
  <c r="K302" i="313"/>
  <c r="J303" i="313"/>
  <c r="K303" i="313"/>
  <c r="J304" i="313"/>
  <c r="K304" i="313"/>
  <c r="J305" i="313"/>
  <c r="K305" i="313"/>
  <c r="J306" i="313"/>
  <c r="K306" i="313"/>
  <c r="J307" i="313"/>
  <c r="K307" i="313"/>
  <c r="J308" i="313"/>
  <c r="K308" i="313"/>
  <c r="J309" i="313"/>
  <c r="K309" i="313"/>
  <c r="J310" i="313"/>
  <c r="K310" i="313"/>
  <c r="J311" i="313"/>
  <c r="K311" i="313"/>
  <c r="J312" i="313"/>
  <c r="K312" i="313"/>
  <c r="J313" i="313"/>
  <c r="K313" i="313"/>
  <c r="J314" i="313"/>
  <c r="K314" i="313"/>
  <c r="J315" i="313"/>
  <c r="K315" i="313"/>
  <c r="J316" i="313"/>
  <c r="K316" i="313"/>
  <c r="J317" i="313"/>
  <c r="K317" i="313"/>
  <c r="J318" i="313"/>
  <c r="K318" i="313"/>
  <c r="J319" i="313"/>
  <c r="K319" i="313"/>
  <c r="J320" i="313"/>
  <c r="K320" i="313"/>
  <c r="J321" i="313"/>
  <c r="K321" i="313"/>
  <c r="J322" i="313"/>
  <c r="K322" i="313"/>
  <c r="J323" i="313"/>
  <c r="K323" i="313"/>
  <c r="J324" i="313"/>
  <c r="K324" i="313"/>
  <c r="J325" i="313"/>
  <c r="K325" i="313"/>
  <c r="J326" i="313"/>
  <c r="K326" i="313"/>
  <c r="J327" i="313"/>
  <c r="K327" i="313"/>
  <c r="J328" i="313"/>
  <c r="K328" i="313"/>
  <c r="J329" i="313"/>
  <c r="K329" i="313"/>
  <c r="J330" i="313"/>
  <c r="K330" i="313"/>
  <c r="J331" i="313"/>
  <c r="K331" i="313"/>
  <c r="J332" i="313"/>
  <c r="K332" i="313"/>
  <c r="J333" i="313"/>
  <c r="K333" i="313"/>
  <c r="J334" i="313"/>
  <c r="K334" i="313"/>
  <c r="J335" i="313"/>
  <c r="K335" i="313"/>
  <c r="J336" i="313"/>
  <c r="K336" i="313"/>
  <c r="J337" i="313"/>
  <c r="K337" i="313"/>
  <c r="J338" i="313"/>
  <c r="K338" i="313"/>
  <c r="J339" i="313"/>
  <c r="K339" i="313"/>
  <c r="J340" i="313"/>
  <c r="K340" i="313"/>
  <c r="J341" i="313"/>
  <c r="K341" i="313"/>
  <c r="J342" i="313"/>
  <c r="K342" i="313"/>
  <c r="J343" i="313"/>
  <c r="K343" i="313"/>
  <c r="J344" i="313"/>
  <c r="K344" i="313"/>
  <c r="J345" i="313"/>
  <c r="K345" i="313"/>
  <c r="J346" i="313"/>
  <c r="K346" i="313"/>
  <c r="J347" i="313"/>
  <c r="K347" i="313"/>
  <c r="J348" i="313"/>
  <c r="K348" i="313"/>
  <c r="J349" i="313"/>
  <c r="K349" i="313"/>
  <c r="J350" i="313"/>
  <c r="K350" i="313"/>
  <c r="J351" i="313"/>
  <c r="K351" i="313"/>
  <c r="J352" i="313"/>
  <c r="K352" i="313"/>
  <c r="J353" i="313"/>
  <c r="K353" i="313"/>
  <c r="J354" i="313"/>
  <c r="K354" i="313"/>
  <c r="J355" i="313"/>
  <c r="K355" i="313"/>
  <c r="J356" i="313"/>
  <c r="K356" i="313"/>
  <c r="J357" i="313"/>
  <c r="K357" i="313"/>
  <c r="J358" i="313"/>
  <c r="K358" i="313"/>
  <c r="J359" i="313"/>
  <c r="K359" i="313"/>
  <c r="J360" i="313"/>
  <c r="K360" i="313"/>
  <c r="J361" i="313"/>
  <c r="K361" i="313"/>
  <c r="J362" i="313"/>
  <c r="K362" i="313"/>
  <c r="J363" i="313"/>
  <c r="K363" i="313"/>
  <c r="J364" i="313"/>
  <c r="K364" i="313"/>
  <c r="J365" i="313"/>
  <c r="K365" i="313"/>
  <c r="J366" i="313"/>
  <c r="K366" i="313"/>
  <c r="J367" i="313"/>
  <c r="K367" i="313"/>
  <c r="J368" i="313"/>
  <c r="K368" i="313"/>
  <c r="J369" i="313"/>
  <c r="K369" i="313"/>
  <c r="J370" i="313"/>
  <c r="K370" i="313"/>
  <c r="J371" i="313"/>
  <c r="K371" i="313"/>
  <c r="J372" i="313"/>
  <c r="K372" i="313"/>
  <c r="J373" i="313"/>
  <c r="K373" i="313"/>
  <c r="J374" i="313"/>
  <c r="K374" i="313"/>
  <c r="J375" i="313"/>
  <c r="K375" i="313"/>
  <c r="J376" i="313"/>
  <c r="K376" i="313"/>
  <c r="J377" i="313"/>
  <c r="K377" i="313"/>
  <c r="J378" i="313"/>
  <c r="K378" i="313"/>
  <c r="J379" i="313"/>
  <c r="K379" i="313"/>
  <c r="J380" i="313"/>
  <c r="K380" i="313"/>
  <c r="J381" i="313"/>
  <c r="K381" i="313"/>
  <c r="J382" i="313"/>
  <c r="K382" i="313"/>
  <c r="J383" i="313"/>
  <c r="K383" i="313"/>
  <c r="J384" i="313"/>
  <c r="K384" i="313"/>
  <c r="J385" i="313"/>
  <c r="K385" i="313"/>
  <c r="J386" i="313"/>
  <c r="K386" i="313"/>
  <c r="J387" i="313"/>
  <c r="K387" i="313"/>
  <c r="J388" i="313"/>
  <c r="K388" i="313"/>
  <c r="J389" i="313"/>
  <c r="K389" i="313"/>
  <c r="J390" i="313"/>
  <c r="K390" i="313"/>
  <c r="J391" i="313"/>
  <c r="K391" i="313"/>
  <c r="J392" i="313"/>
  <c r="K392" i="313"/>
  <c r="J393" i="313"/>
  <c r="K393" i="313"/>
  <c r="J394" i="313"/>
  <c r="K394" i="313"/>
  <c r="J395" i="313"/>
  <c r="K395" i="313"/>
  <c r="J396" i="313"/>
  <c r="K396" i="313"/>
  <c r="J397" i="313"/>
  <c r="K397" i="313"/>
  <c r="J398" i="313"/>
  <c r="K398" i="313"/>
  <c r="J399" i="313"/>
  <c r="K399" i="313"/>
  <c r="J400" i="313"/>
  <c r="K400" i="313"/>
  <c r="J401" i="313"/>
  <c r="K401" i="313"/>
  <c r="J402" i="313"/>
  <c r="K402" i="313"/>
  <c r="J403" i="313"/>
  <c r="K403" i="313"/>
  <c r="J404" i="313"/>
  <c r="K404" i="313"/>
  <c r="J405" i="313"/>
  <c r="K405" i="313"/>
  <c r="J406" i="313"/>
  <c r="K406" i="313"/>
  <c r="J407" i="313"/>
  <c r="K407" i="313"/>
  <c r="J408" i="313"/>
  <c r="K408" i="313"/>
  <c r="J409" i="313"/>
  <c r="K409" i="313"/>
  <c r="K3" i="313"/>
  <c r="J3" i="313"/>
  <c r="AK98" i="322" l="1"/>
  <c r="AK58" i="322" s="1"/>
  <c r="AK70" i="322"/>
  <c r="AK57" i="322" s="1"/>
  <c r="AL93" i="322"/>
  <c r="AL97" i="322" s="1"/>
  <c r="AL90" i="322"/>
  <c r="AL67" i="322"/>
  <c r="AL69" i="322"/>
  <c r="AM54" i="322"/>
  <c r="AL68" i="322"/>
  <c r="AL70" i="322" s="1"/>
  <c r="AL57" i="322" s="1"/>
  <c r="AL55" i="322"/>
  <c r="AB67" i="278"/>
  <c r="AC67" i="278"/>
  <c r="AD67" i="278"/>
  <c r="AE67" i="278"/>
  <c r="AF67" i="278"/>
  <c r="AG67" i="278"/>
  <c r="AH67" i="278"/>
  <c r="AI67" i="278"/>
  <c r="AJ67" i="278"/>
  <c r="AK67" i="278"/>
  <c r="AL67" i="278"/>
  <c r="AM67" i="278"/>
  <c r="AN67" i="278"/>
  <c r="AO67" i="278"/>
  <c r="AP67" i="278"/>
  <c r="AQ67" i="278"/>
  <c r="AR67" i="278"/>
  <c r="AS67" i="278"/>
  <c r="AT67" i="278"/>
  <c r="AU67" i="278"/>
  <c r="AV67" i="278"/>
  <c r="AW67" i="278"/>
  <c r="AX67" i="278"/>
  <c r="AY67" i="278"/>
  <c r="AZ67" i="278"/>
  <c r="BA67" i="278"/>
  <c r="BB67" i="278"/>
  <c r="BC67" i="278"/>
  <c r="BD67" i="278"/>
  <c r="BE67" i="278"/>
  <c r="BF67" i="278"/>
  <c r="BG67" i="278"/>
  <c r="BH67" i="278"/>
  <c r="AK59" i="322" l="1"/>
  <c r="AK62" i="322" s="1"/>
  <c r="AM90" i="322"/>
  <c r="AM67" i="322"/>
  <c r="AM68" i="322"/>
  <c r="AM55" i="322"/>
  <c r="AN54" i="322"/>
  <c r="AM93" i="322"/>
  <c r="AM97" i="322" s="1"/>
  <c r="AM69" i="322"/>
  <c r="AL98" i="322"/>
  <c r="AL58" i="322" s="1"/>
  <c r="AL59" i="322" s="1"/>
  <c r="AL62" i="322" s="1"/>
  <c r="I21" i="280"/>
  <c r="I20" i="280"/>
  <c r="I19" i="280"/>
  <c r="D47" i="306"/>
  <c r="D47" i="290"/>
  <c r="D47" i="284"/>
  <c r="D47" i="278"/>
  <c r="D47" i="277"/>
  <c r="D47" i="276"/>
  <c r="D47" i="275"/>
  <c r="D47" i="292"/>
  <c r="D47" i="279"/>
  <c r="D47" i="293"/>
  <c r="D47" i="282"/>
  <c r="D47" i="280"/>
  <c r="AM98" i="322" l="1"/>
  <c r="AM58" i="322" s="1"/>
  <c r="AN93" i="322"/>
  <c r="AN97" i="322" s="1"/>
  <c r="AN90" i="322"/>
  <c r="AN69" i="322"/>
  <c r="AN68" i="322"/>
  <c r="AN70" i="322" s="1"/>
  <c r="AN57" i="322" s="1"/>
  <c r="AN67" i="322"/>
  <c r="AN55" i="322"/>
  <c r="AO54" i="322"/>
  <c r="AM70" i="322"/>
  <c r="AM57" i="322" s="1"/>
  <c r="AM59" i="322" s="1"/>
  <c r="AM62" i="322" s="1"/>
  <c r="P27" i="282"/>
  <c r="X19" i="282"/>
  <c r="X18" i="282"/>
  <c r="X8" i="282"/>
  <c r="X9" i="282"/>
  <c r="X10" i="282"/>
  <c r="X11" i="282"/>
  <c r="X12" i="282"/>
  <c r="X13" i="282"/>
  <c r="X14" i="282"/>
  <c r="X15" i="282"/>
  <c r="X16" i="282"/>
  <c r="X17" i="282"/>
  <c r="X7" i="282"/>
  <c r="AO93" i="322" l="1"/>
  <c r="AO97" i="322" s="1"/>
  <c r="AO90" i="322"/>
  <c r="AO68" i="322"/>
  <c r="AO67" i="322"/>
  <c r="AO55" i="322"/>
  <c r="AO69" i="322"/>
  <c r="AP54" i="322"/>
  <c r="AN98" i="322"/>
  <c r="AN58" i="322" s="1"/>
  <c r="AN59" i="322" s="1"/>
  <c r="AN62" i="322" s="1"/>
  <c r="B29" i="286"/>
  <c r="B30" i="286"/>
  <c r="B28" i="286"/>
  <c r="F45" i="291" s="1"/>
  <c r="B27" i="286"/>
  <c r="B42" i="286"/>
  <c r="N8" i="292" s="1"/>
  <c r="N13" i="292" s="1"/>
  <c r="B41" i="286"/>
  <c r="B40" i="286"/>
  <c r="B39" i="286"/>
  <c r="J5" i="275" s="1"/>
  <c r="D90" i="291" l="1"/>
  <c r="N20" i="292"/>
  <c r="N19" i="292"/>
  <c r="AP93" i="322"/>
  <c r="AP97" i="322" s="1"/>
  <c r="AP67" i="322"/>
  <c r="AP69" i="322"/>
  <c r="AQ54" i="322"/>
  <c r="AP68" i="322"/>
  <c r="AP70" i="322" s="1"/>
  <c r="AP57" i="322" s="1"/>
  <c r="AP55" i="322"/>
  <c r="AP90" i="322"/>
  <c r="AO70" i="322"/>
  <c r="AO57" i="322" s="1"/>
  <c r="AO98" i="322"/>
  <c r="AO58" i="322" s="1"/>
  <c r="G103" i="280"/>
  <c r="I18" i="280"/>
  <c r="I17" i="280"/>
  <c r="AO59" i="322" l="1"/>
  <c r="AO62" i="322" s="1"/>
  <c r="AQ93" i="322"/>
  <c r="AQ97" i="322" s="1"/>
  <c r="AQ90" i="322"/>
  <c r="AQ69" i="322"/>
  <c r="AQ68" i="322"/>
  <c r="AQ70" i="322" s="1"/>
  <c r="AQ57" i="322" s="1"/>
  <c r="AQ55" i="322"/>
  <c r="AQ67" i="322"/>
  <c r="AR54" i="322"/>
  <c r="AP98" i="322"/>
  <c r="AP58" i="322" s="1"/>
  <c r="AP59" i="322" s="1"/>
  <c r="AP62" i="322" s="1"/>
  <c r="BH55" i="290"/>
  <c r="BG55" i="290"/>
  <c r="BF55" i="290"/>
  <c r="BE55" i="290"/>
  <c r="BD55" i="290"/>
  <c r="BC55" i="290"/>
  <c r="BB55" i="290"/>
  <c r="BA55" i="290"/>
  <c r="AZ55" i="290"/>
  <c r="AY55" i="290"/>
  <c r="AX55" i="290"/>
  <c r="AW55" i="290"/>
  <c r="AV55" i="290"/>
  <c r="AU55" i="290"/>
  <c r="AT55" i="290"/>
  <c r="AS55" i="290"/>
  <c r="AR55" i="290"/>
  <c r="AQ55" i="290"/>
  <c r="AP55" i="290"/>
  <c r="AO55" i="290"/>
  <c r="AN55" i="290"/>
  <c r="AM55" i="290"/>
  <c r="AL55" i="290"/>
  <c r="AK55" i="290"/>
  <c r="AJ55" i="290"/>
  <c r="AI55" i="290"/>
  <c r="AH55" i="290"/>
  <c r="AG55" i="290"/>
  <c r="AF55" i="290"/>
  <c r="AE55" i="290"/>
  <c r="AD55" i="290"/>
  <c r="AC55" i="290"/>
  <c r="AB55" i="290"/>
  <c r="AA55" i="290"/>
  <c r="Z55" i="290"/>
  <c r="Y55" i="290"/>
  <c r="X55" i="290"/>
  <c r="W55" i="290"/>
  <c r="V55" i="290"/>
  <c r="U55" i="290"/>
  <c r="T55" i="290"/>
  <c r="S55" i="290"/>
  <c r="R55" i="290"/>
  <c r="Q55" i="290"/>
  <c r="P55" i="290"/>
  <c r="O55" i="290"/>
  <c r="N55" i="290"/>
  <c r="M55" i="290"/>
  <c r="L55" i="290"/>
  <c r="K55" i="290"/>
  <c r="J55" i="290"/>
  <c r="I55" i="290"/>
  <c r="H55" i="290"/>
  <c r="G55" i="290"/>
  <c r="BH55" i="284"/>
  <c r="BG55" i="284"/>
  <c r="BF55" i="284"/>
  <c r="BE55" i="284"/>
  <c r="BD55" i="284"/>
  <c r="BC55" i="284"/>
  <c r="BB55" i="284"/>
  <c r="BA55" i="284"/>
  <c r="AZ55" i="284"/>
  <c r="AY55" i="284"/>
  <c r="AX55" i="284"/>
  <c r="AW55" i="284"/>
  <c r="AV55" i="284"/>
  <c r="AU55" i="284"/>
  <c r="AT55" i="284"/>
  <c r="AS55" i="284"/>
  <c r="AR55" i="284"/>
  <c r="AQ55" i="284"/>
  <c r="AP55" i="284"/>
  <c r="AO55" i="284"/>
  <c r="AN55" i="284"/>
  <c r="AM55" i="284"/>
  <c r="AL55" i="284"/>
  <c r="AK55" i="284"/>
  <c r="AJ55" i="284"/>
  <c r="AI55" i="284"/>
  <c r="AH55" i="284"/>
  <c r="AG55" i="284"/>
  <c r="AF55" i="284"/>
  <c r="AE55" i="284"/>
  <c r="AD55" i="284"/>
  <c r="AC55" i="284"/>
  <c r="G55" i="284"/>
  <c r="BH55" i="278"/>
  <c r="BG55" i="278"/>
  <c r="BF55" i="278"/>
  <c r="BE55" i="278"/>
  <c r="BD55" i="278"/>
  <c r="BC55" i="278"/>
  <c r="BB55" i="278"/>
  <c r="BA55" i="278"/>
  <c r="AZ55" i="278"/>
  <c r="AY55" i="278"/>
  <c r="AX55" i="278"/>
  <c r="AW55" i="278"/>
  <c r="AV55" i="278"/>
  <c r="AU55" i="278"/>
  <c r="AT55" i="278"/>
  <c r="AS55" i="278"/>
  <c r="AR55" i="278"/>
  <c r="AQ55" i="278"/>
  <c r="AP55" i="278"/>
  <c r="AO55" i="278"/>
  <c r="AN55" i="278"/>
  <c r="AM55" i="278"/>
  <c r="AL55" i="278"/>
  <c r="AK55" i="278"/>
  <c r="AJ55" i="278"/>
  <c r="AI55" i="278"/>
  <c r="AH55" i="278"/>
  <c r="AG55" i="278"/>
  <c r="AF55" i="278"/>
  <c r="AE55" i="278"/>
  <c r="AD55" i="278"/>
  <c r="AC55" i="278"/>
  <c r="AB55" i="278"/>
  <c r="BH55" i="277"/>
  <c r="BG55" i="277"/>
  <c r="BF55" i="277"/>
  <c r="BE55" i="277"/>
  <c r="BD55" i="277"/>
  <c r="BC55" i="277"/>
  <c r="BB55" i="277"/>
  <c r="BA55" i="277"/>
  <c r="AZ55" i="277"/>
  <c r="AY55" i="277"/>
  <c r="AX55" i="277"/>
  <c r="AW55" i="277"/>
  <c r="AV55" i="277"/>
  <c r="AU55" i="277"/>
  <c r="AT55" i="277"/>
  <c r="AS55" i="277"/>
  <c r="AR55" i="277"/>
  <c r="AQ55" i="277"/>
  <c r="AP55" i="277"/>
  <c r="AO55" i="277"/>
  <c r="AN55" i="277"/>
  <c r="AM55" i="277"/>
  <c r="AL55" i="277"/>
  <c r="AK55" i="277"/>
  <c r="AJ55" i="277"/>
  <c r="AI55" i="277"/>
  <c r="AH55" i="277"/>
  <c r="AG55" i="277"/>
  <c r="AF55" i="277"/>
  <c r="AE55" i="277"/>
  <c r="AD55" i="277"/>
  <c r="AC55" i="277"/>
  <c r="AB55" i="277"/>
  <c r="AA55" i="277"/>
  <c r="Z55" i="277"/>
  <c r="Y55" i="277"/>
  <c r="X55" i="277"/>
  <c r="W55" i="277"/>
  <c r="V55" i="277"/>
  <c r="U55" i="277"/>
  <c r="T55" i="277"/>
  <c r="S55" i="277"/>
  <c r="R55" i="277"/>
  <c r="Q55" i="277"/>
  <c r="P55" i="277"/>
  <c r="O55" i="277"/>
  <c r="N55" i="277"/>
  <c r="M55" i="277"/>
  <c r="L55" i="277"/>
  <c r="K55" i="277"/>
  <c r="J55" i="277"/>
  <c r="I55" i="277"/>
  <c r="H55" i="277"/>
  <c r="G55" i="277"/>
  <c r="BH55" i="275"/>
  <c r="BG55" i="275"/>
  <c r="BF55" i="275"/>
  <c r="BE55" i="275"/>
  <c r="BD55" i="275"/>
  <c r="BC55" i="275"/>
  <c r="BB55" i="275"/>
  <c r="BA55" i="275"/>
  <c r="AZ55" i="275"/>
  <c r="AY55" i="275"/>
  <c r="AX55" i="275"/>
  <c r="AW55" i="275"/>
  <c r="AV55" i="275"/>
  <c r="AU55" i="275"/>
  <c r="AT55" i="275"/>
  <c r="AS55" i="275"/>
  <c r="AR55" i="275"/>
  <c r="AQ55" i="275"/>
  <c r="AP55" i="275"/>
  <c r="AO55" i="275"/>
  <c r="AN55" i="275"/>
  <c r="AM55" i="275"/>
  <c r="AL55" i="275"/>
  <c r="AK55" i="275"/>
  <c r="AJ55" i="275"/>
  <c r="AI55" i="275"/>
  <c r="AH55" i="275"/>
  <c r="AG55" i="275"/>
  <c r="AF55" i="275"/>
  <c r="AE55" i="275"/>
  <c r="AD55" i="275"/>
  <c r="AC55" i="275"/>
  <c r="AB55" i="275"/>
  <c r="AA55" i="275"/>
  <c r="Z55" i="275"/>
  <c r="Y55" i="275"/>
  <c r="X55" i="275"/>
  <c r="W55" i="275"/>
  <c r="V55" i="275"/>
  <c r="U55" i="275"/>
  <c r="T55" i="275"/>
  <c r="S55" i="275"/>
  <c r="R55" i="275"/>
  <c r="Q55" i="275"/>
  <c r="P55" i="275"/>
  <c r="O55" i="275"/>
  <c r="N55" i="275"/>
  <c r="M55" i="275"/>
  <c r="L55" i="275"/>
  <c r="K55" i="275"/>
  <c r="J55" i="275"/>
  <c r="I55" i="275"/>
  <c r="H55" i="275"/>
  <c r="G55" i="275"/>
  <c r="BH55" i="292"/>
  <c r="BG55" i="292"/>
  <c r="BF55" i="292"/>
  <c r="BE55" i="292"/>
  <c r="BD55" i="292"/>
  <c r="BC55" i="292"/>
  <c r="BB55" i="292"/>
  <c r="BA55" i="292"/>
  <c r="AZ55" i="292"/>
  <c r="AY55" i="292"/>
  <c r="AX55" i="292"/>
  <c r="AW55" i="292"/>
  <c r="AV55" i="292"/>
  <c r="AU55" i="292"/>
  <c r="AT55" i="292"/>
  <c r="AS55" i="292"/>
  <c r="AR55" i="292"/>
  <c r="AQ55" i="292"/>
  <c r="AP55" i="292"/>
  <c r="AO55" i="292"/>
  <c r="AN55" i="292"/>
  <c r="AM55" i="292"/>
  <c r="AL55" i="292"/>
  <c r="AK55" i="292"/>
  <c r="AJ55" i="292"/>
  <c r="AI55" i="292"/>
  <c r="AH55" i="292"/>
  <c r="AG55" i="292"/>
  <c r="AF55" i="292"/>
  <c r="AE55" i="292"/>
  <c r="AD55" i="292"/>
  <c r="AC55" i="292"/>
  <c r="AB55" i="292"/>
  <c r="BH55" i="295"/>
  <c r="BG55" i="295"/>
  <c r="BF55" i="295"/>
  <c r="BE55" i="295"/>
  <c r="BD55" i="295"/>
  <c r="BC55" i="295"/>
  <c r="BB55" i="295"/>
  <c r="BA55" i="295"/>
  <c r="AZ55" i="295"/>
  <c r="AY55" i="295"/>
  <c r="AX55" i="295"/>
  <c r="AW55" i="295"/>
  <c r="AV55" i="295"/>
  <c r="AU55" i="295"/>
  <c r="AT55" i="295"/>
  <c r="AS55" i="295"/>
  <c r="AR55" i="295"/>
  <c r="AQ55" i="295"/>
  <c r="AP55" i="295"/>
  <c r="AO55" i="295"/>
  <c r="AN55" i="295"/>
  <c r="AM55" i="295"/>
  <c r="AL55" i="295"/>
  <c r="AK55" i="295"/>
  <c r="AJ55" i="295"/>
  <c r="AI55" i="295"/>
  <c r="AH55" i="295"/>
  <c r="AG55" i="295"/>
  <c r="AF55" i="295"/>
  <c r="AE55" i="295"/>
  <c r="AD55" i="295"/>
  <c r="AC55" i="295"/>
  <c r="AB55" i="295"/>
  <c r="AA55" i="295"/>
  <c r="Z55" i="295"/>
  <c r="Y55" i="295"/>
  <c r="X55" i="295"/>
  <c r="W55" i="295"/>
  <c r="V55" i="295"/>
  <c r="U55" i="295"/>
  <c r="T55" i="295"/>
  <c r="S55" i="295"/>
  <c r="R55" i="295"/>
  <c r="Q55" i="295"/>
  <c r="P55" i="295"/>
  <c r="O55" i="295"/>
  <c r="N55" i="295"/>
  <c r="M55" i="295"/>
  <c r="L55" i="295"/>
  <c r="K55" i="295"/>
  <c r="J55" i="295"/>
  <c r="I55" i="295"/>
  <c r="H55" i="295"/>
  <c r="G55" i="295"/>
  <c r="W55" i="293"/>
  <c r="X55" i="293"/>
  <c r="Y55" i="293"/>
  <c r="Z55" i="293"/>
  <c r="AA55" i="293"/>
  <c r="AB55" i="293"/>
  <c r="AC55" i="293"/>
  <c r="AD55" i="293"/>
  <c r="AE55" i="293"/>
  <c r="AF55" i="293"/>
  <c r="AG55" i="293"/>
  <c r="AH55" i="293"/>
  <c r="AI55" i="293"/>
  <c r="AJ55" i="293"/>
  <c r="AK55" i="293"/>
  <c r="AL55" i="293"/>
  <c r="AM55" i="293"/>
  <c r="AN55" i="293"/>
  <c r="AO55" i="293"/>
  <c r="AP55" i="293"/>
  <c r="AQ55" i="293"/>
  <c r="AR55" i="293"/>
  <c r="AS55" i="293"/>
  <c r="AT55" i="293"/>
  <c r="AU55" i="293"/>
  <c r="AV55" i="293"/>
  <c r="AW55" i="293"/>
  <c r="AX55" i="293"/>
  <c r="AY55" i="293"/>
  <c r="AZ55" i="293"/>
  <c r="BA55" i="293"/>
  <c r="BB55" i="293"/>
  <c r="BC55" i="293"/>
  <c r="BD55" i="293"/>
  <c r="BE55" i="293"/>
  <c r="BF55" i="293"/>
  <c r="BG55" i="293"/>
  <c r="BH55" i="293"/>
  <c r="I23" i="132"/>
  <c r="J23" i="132"/>
  <c r="K23" i="132"/>
  <c r="L23" i="132"/>
  <c r="M23" i="132"/>
  <c r="N23" i="132"/>
  <c r="O23" i="132"/>
  <c r="P23" i="132"/>
  <c r="Q23" i="132"/>
  <c r="R23" i="132"/>
  <c r="S23" i="132"/>
  <c r="T23" i="132"/>
  <c r="U23" i="132"/>
  <c r="V23" i="132"/>
  <c r="W23" i="132"/>
  <c r="X23" i="132"/>
  <c r="Y23" i="132"/>
  <c r="Z23" i="132"/>
  <c r="AA23" i="132"/>
  <c r="AB23" i="132"/>
  <c r="AC23" i="132"/>
  <c r="AD23" i="132"/>
  <c r="AE23" i="132"/>
  <c r="AF23" i="132"/>
  <c r="AG23" i="132"/>
  <c r="AH23" i="132"/>
  <c r="AI23" i="132"/>
  <c r="AJ23" i="132"/>
  <c r="AK23" i="132"/>
  <c r="AL23" i="132"/>
  <c r="AM23" i="132"/>
  <c r="AN23" i="132"/>
  <c r="AO23" i="132"/>
  <c r="AP23" i="132"/>
  <c r="AQ23" i="132"/>
  <c r="AR23" i="132"/>
  <c r="AS23" i="132"/>
  <c r="AT23" i="132"/>
  <c r="AU23" i="132"/>
  <c r="AV23" i="132"/>
  <c r="AW23" i="132"/>
  <c r="AX23" i="132"/>
  <c r="AY23" i="132"/>
  <c r="AZ23" i="132"/>
  <c r="BA23" i="132"/>
  <c r="BB23" i="132"/>
  <c r="BC23" i="132"/>
  <c r="BD23" i="132"/>
  <c r="BE23" i="132"/>
  <c r="BF23" i="132"/>
  <c r="BG23" i="132"/>
  <c r="BH23" i="132"/>
  <c r="BI23" i="132"/>
  <c r="BJ23" i="132"/>
  <c r="BK23" i="132"/>
  <c r="BL23" i="132"/>
  <c r="BM23" i="132"/>
  <c r="BN23" i="132"/>
  <c r="BO23" i="132"/>
  <c r="H23" i="132"/>
  <c r="AQ98" i="322" l="1"/>
  <c r="AQ58" i="322" s="1"/>
  <c r="AQ59" i="322" s="1"/>
  <c r="AQ62" i="322" s="1"/>
  <c r="AR93" i="322"/>
  <c r="AR97" i="322" s="1"/>
  <c r="AR90" i="322"/>
  <c r="AR69" i="322"/>
  <c r="AR68" i="322"/>
  <c r="AR67" i="322"/>
  <c r="AR55" i="322"/>
  <c r="AS54" i="322"/>
  <c r="AS93" i="322" l="1"/>
  <c r="AS97" i="322" s="1"/>
  <c r="AS55" i="322"/>
  <c r="AS67" i="322"/>
  <c r="AT54" i="322"/>
  <c r="AS90" i="322"/>
  <c r="AS69" i="322"/>
  <c r="AS68" i="322"/>
  <c r="AR70" i="322"/>
  <c r="AR57" i="322" s="1"/>
  <c r="AR98" i="322"/>
  <c r="AR58" i="322" s="1"/>
  <c r="AR59" i="322" l="1"/>
  <c r="AR62" i="322" s="1"/>
  <c r="AS70" i="322"/>
  <c r="AS57" i="322" s="1"/>
  <c r="AT90" i="322"/>
  <c r="AT67" i="322"/>
  <c r="AT68" i="322"/>
  <c r="AU54" i="322"/>
  <c r="AT93" i="322"/>
  <c r="AT97" i="322" s="1"/>
  <c r="AT98" i="322" s="1"/>
  <c r="AT58" i="322" s="1"/>
  <c r="AT69" i="322"/>
  <c r="AT55" i="322"/>
  <c r="AS98" i="322"/>
  <c r="AS58" i="322" s="1"/>
  <c r="F93" i="276"/>
  <c r="J11" i="293" l="1"/>
  <c r="J10" i="293"/>
  <c r="J6" i="293"/>
  <c r="J9" i="293"/>
  <c r="AU67" i="322"/>
  <c r="AU93" i="322"/>
  <c r="AU97" i="322" s="1"/>
  <c r="AU90" i="322"/>
  <c r="AU69" i="322"/>
  <c r="AU55" i="322"/>
  <c r="AV54" i="322"/>
  <c r="AU68" i="322"/>
  <c r="AU70" i="322" s="1"/>
  <c r="AU57" i="322" s="1"/>
  <c r="AT70" i="322"/>
  <c r="AT57" i="322" s="1"/>
  <c r="AT59" i="322" s="1"/>
  <c r="AT62" i="322" s="1"/>
  <c r="AS59" i="322"/>
  <c r="AS62" i="322" s="1"/>
  <c r="J20" i="293"/>
  <c r="J21" i="293" s="1"/>
  <c r="J18" i="293" l="1"/>
  <c r="J14" i="293"/>
  <c r="J12" i="293"/>
  <c r="J13" i="293"/>
  <c r="K16" i="293"/>
  <c r="K17" i="293"/>
  <c r="AU98" i="322"/>
  <c r="AU58" i="322" s="1"/>
  <c r="AU59" i="322" s="1"/>
  <c r="AU62" i="322" s="1"/>
  <c r="AV93" i="322"/>
  <c r="AV97" i="322" s="1"/>
  <c r="AV90" i="322"/>
  <c r="AV69" i="322"/>
  <c r="AV68" i="322"/>
  <c r="AV70" i="322" s="1"/>
  <c r="AV57" i="322" s="1"/>
  <c r="AV67" i="322"/>
  <c r="AW54" i="322"/>
  <c r="AV55" i="322"/>
  <c r="J22" i="293"/>
  <c r="J28" i="293" l="1"/>
  <c r="G91" i="293"/>
  <c r="G82" i="293" s="1"/>
  <c r="AV98" i="322"/>
  <c r="AV58" i="322" s="1"/>
  <c r="AV59" i="322" s="1"/>
  <c r="AV62" i="322" s="1"/>
  <c r="AW93" i="322"/>
  <c r="AW97" i="322" s="1"/>
  <c r="AW90" i="322"/>
  <c r="AW69" i="322"/>
  <c r="AW55" i="322"/>
  <c r="AW68" i="322"/>
  <c r="AW67" i="322"/>
  <c r="AX54" i="322"/>
  <c r="E16" i="297"/>
  <c r="B16" i="297"/>
  <c r="G15" i="297"/>
  <c r="D15" i="297"/>
  <c r="F6" i="297"/>
  <c r="F16" i="297" s="1"/>
  <c r="C6" i="297"/>
  <c r="C16" i="297" s="1"/>
  <c r="G3" i="297"/>
  <c r="G16" i="297" s="1"/>
  <c r="D3" i="297"/>
  <c r="AW98" i="322" l="1"/>
  <c r="AW58" i="322" s="1"/>
  <c r="AX93" i="322"/>
  <c r="AX97" i="322" s="1"/>
  <c r="AX67" i="322"/>
  <c r="AX90" i="322"/>
  <c r="AX69" i="322"/>
  <c r="AX68" i="322"/>
  <c r="AX70" i="322" s="1"/>
  <c r="AX57" i="322" s="1"/>
  <c r="AY54" i="322"/>
  <c r="AX55" i="322"/>
  <c r="AW70" i="322"/>
  <c r="AW57" i="322" s="1"/>
  <c r="AW59" i="322" s="1"/>
  <c r="AW62" i="322" s="1"/>
  <c r="D16" i="297"/>
  <c r="AX98" i="322" l="1"/>
  <c r="AX58" i="322" s="1"/>
  <c r="AX59" i="322" s="1"/>
  <c r="AX62" i="322" s="1"/>
  <c r="AY93" i="322"/>
  <c r="AY97" i="322" s="1"/>
  <c r="AY68" i="322"/>
  <c r="AY70" i="322" s="1"/>
  <c r="AY57" i="322" s="1"/>
  <c r="AY90" i="322"/>
  <c r="AY69" i="322"/>
  <c r="AY67" i="322"/>
  <c r="AY55" i="322"/>
  <c r="AZ54" i="322"/>
  <c r="J23" i="293"/>
  <c r="AZ93" i="322" l="1"/>
  <c r="AZ97" i="322" s="1"/>
  <c r="AZ90" i="322"/>
  <c r="AZ69" i="322"/>
  <c r="AZ68" i="322"/>
  <c r="AZ70" i="322" s="1"/>
  <c r="AZ57" i="322" s="1"/>
  <c r="AZ67" i="322"/>
  <c r="AZ55" i="322"/>
  <c r="BA54" i="322"/>
  <c r="AY98" i="322"/>
  <c r="AY58" i="322" s="1"/>
  <c r="AY59" i="322" s="1"/>
  <c r="AY62" i="322" s="1"/>
  <c r="C6" i="293"/>
  <c r="C5" i="282"/>
  <c r="AZ98" i="322" l="1"/>
  <c r="AZ58" i="322" s="1"/>
  <c r="AZ59" i="322" s="1"/>
  <c r="AZ62" i="322" s="1"/>
  <c r="BA90" i="322"/>
  <c r="BA55" i="322"/>
  <c r="BA67" i="322"/>
  <c r="BA68" i="322"/>
  <c r="BA70" i="322" s="1"/>
  <c r="BA57" i="322" s="1"/>
  <c r="BA93" i="322"/>
  <c r="BA97" i="322" s="1"/>
  <c r="BA69" i="322"/>
  <c r="BB54" i="322"/>
  <c r="C5" i="284"/>
  <c r="J5" i="284" s="1"/>
  <c r="C14" i="284" s="1"/>
  <c r="U20" i="282" l="1"/>
  <c r="G84" i="282" s="1"/>
  <c r="S20" i="282"/>
  <c r="R20" i="282"/>
  <c r="G85" i="282" s="1"/>
  <c r="BB93" i="322"/>
  <c r="BB97" i="322" s="1"/>
  <c r="BB90" i="322"/>
  <c r="BB67" i="322"/>
  <c r="BB69" i="322"/>
  <c r="BC54" i="322"/>
  <c r="BB68" i="322"/>
  <c r="BB55" i="322"/>
  <c r="BA98" i="322"/>
  <c r="BA58" i="322" s="1"/>
  <c r="BA59" i="322" s="1"/>
  <c r="BA62" i="322" s="1"/>
  <c r="J7" i="284"/>
  <c r="J6" i="284"/>
  <c r="I20" i="282"/>
  <c r="I27" i="282" s="1"/>
  <c r="N20" i="282"/>
  <c r="P20" i="282"/>
  <c r="V20" i="282"/>
  <c r="G82" i="282" s="1"/>
  <c r="M20" i="282"/>
  <c r="L20" i="282"/>
  <c r="K20" i="282"/>
  <c r="J20" i="282"/>
  <c r="C13" i="284"/>
  <c r="AC73" i="284"/>
  <c r="AD73" i="284"/>
  <c r="AE73" i="284"/>
  <c r="AF73" i="284"/>
  <c r="AG73" i="284"/>
  <c r="AH73" i="284"/>
  <c r="AI73" i="284"/>
  <c r="AJ73" i="284"/>
  <c r="AK73" i="284"/>
  <c r="AL73" i="284"/>
  <c r="AM73" i="284"/>
  <c r="AN73" i="284"/>
  <c r="AO73" i="284"/>
  <c r="AP73" i="284"/>
  <c r="AQ73" i="284"/>
  <c r="AR73" i="284"/>
  <c r="AS73" i="284"/>
  <c r="AT73" i="284"/>
  <c r="AU73" i="284"/>
  <c r="AV73" i="284"/>
  <c r="AW73" i="284"/>
  <c r="AX73" i="284"/>
  <c r="AY73" i="284"/>
  <c r="AZ73" i="284"/>
  <c r="BA73" i="284"/>
  <c r="BB73" i="284"/>
  <c r="BC73" i="284"/>
  <c r="BD73" i="284"/>
  <c r="BE73" i="284"/>
  <c r="BF73" i="284"/>
  <c r="BG73" i="284"/>
  <c r="BH73" i="284"/>
  <c r="G73" i="284"/>
  <c r="AC67" i="284"/>
  <c r="AD67" i="284"/>
  <c r="AE67" i="284"/>
  <c r="AF67" i="284"/>
  <c r="AG67" i="284"/>
  <c r="AH67" i="284"/>
  <c r="AI67" i="284"/>
  <c r="AJ67" i="284"/>
  <c r="AK67" i="284"/>
  <c r="AL67" i="284"/>
  <c r="AM67" i="284"/>
  <c r="AN67" i="284"/>
  <c r="AO67" i="284"/>
  <c r="AP67" i="284"/>
  <c r="AQ67" i="284"/>
  <c r="AR67" i="284"/>
  <c r="AS67" i="284"/>
  <c r="AT67" i="284"/>
  <c r="AU67" i="284"/>
  <c r="AV67" i="284"/>
  <c r="AW67" i="284"/>
  <c r="AX67" i="284"/>
  <c r="AY67" i="284"/>
  <c r="AZ67" i="284"/>
  <c r="BA67" i="284"/>
  <c r="BB67" i="284"/>
  <c r="BC67" i="284"/>
  <c r="BD67" i="284"/>
  <c r="BE67" i="284"/>
  <c r="BF67" i="284"/>
  <c r="BG67" i="284"/>
  <c r="BH67" i="284"/>
  <c r="G67" i="284"/>
  <c r="I97" i="282" l="1"/>
  <c r="M97" i="282"/>
  <c r="Q97" i="282"/>
  <c r="U97" i="282"/>
  <c r="Y97" i="282"/>
  <c r="AC97" i="282"/>
  <c r="AG97" i="282"/>
  <c r="AK97" i="282"/>
  <c r="AO97" i="282"/>
  <c r="AS97" i="282"/>
  <c r="AW97" i="282"/>
  <c r="BA97" i="282"/>
  <c r="BE97" i="282"/>
  <c r="G97" i="282"/>
  <c r="J97" i="282"/>
  <c r="R97" i="282"/>
  <c r="V97" i="282"/>
  <c r="AD97" i="282"/>
  <c r="AH97" i="282"/>
  <c r="AP97" i="282"/>
  <c r="AX97" i="282"/>
  <c r="BB97" i="282"/>
  <c r="H97" i="282"/>
  <c r="L97" i="282"/>
  <c r="P97" i="282"/>
  <c r="T97" i="282"/>
  <c r="X97" i="282"/>
  <c r="AB97" i="282"/>
  <c r="AF97" i="282"/>
  <c r="AJ97" i="282"/>
  <c r="AN97" i="282"/>
  <c r="AR97" i="282"/>
  <c r="AV97" i="282"/>
  <c r="AZ97" i="282"/>
  <c r="BD97" i="282"/>
  <c r="BH97" i="282"/>
  <c r="N97" i="282"/>
  <c r="Z97" i="282"/>
  <c r="AL97" i="282"/>
  <c r="AT97" i="282"/>
  <c r="BF97" i="282"/>
  <c r="S97" i="282"/>
  <c r="AI97" i="282"/>
  <c r="AY97" i="282"/>
  <c r="W97" i="282"/>
  <c r="AM97" i="282"/>
  <c r="BC97" i="282"/>
  <c r="K97" i="282"/>
  <c r="AA97" i="282"/>
  <c r="AQ97" i="282"/>
  <c r="BG97" i="282"/>
  <c r="O97" i="282"/>
  <c r="AE97" i="282"/>
  <c r="AU97" i="282"/>
  <c r="K95" i="282"/>
  <c r="O95" i="282"/>
  <c r="S95" i="282"/>
  <c r="W95" i="282"/>
  <c r="AA95" i="282"/>
  <c r="AE95" i="282"/>
  <c r="AI95" i="282"/>
  <c r="AM95" i="282"/>
  <c r="AQ95" i="282"/>
  <c r="AU95" i="282"/>
  <c r="AY95" i="282"/>
  <c r="BC95" i="282"/>
  <c r="BG95" i="282"/>
  <c r="G95" i="282"/>
  <c r="H95" i="282"/>
  <c r="P95" i="282"/>
  <c r="T95" i="282"/>
  <c r="X95" i="282"/>
  <c r="AF95" i="282"/>
  <c r="AJ95" i="282"/>
  <c r="AR95" i="282"/>
  <c r="AV95" i="282"/>
  <c r="BD95" i="282"/>
  <c r="BH95" i="282"/>
  <c r="J95" i="282"/>
  <c r="N95" i="282"/>
  <c r="R95" i="282"/>
  <c r="V95" i="282"/>
  <c r="Z95" i="282"/>
  <c r="AD95" i="282"/>
  <c r="AH95" i="282"/>
  <c r="AL95" i="282"/>
  <c r="AP95" i="282"/>
  <c r="AT95" i="282"/>
  <c r="AX95" i="282"/>
  <c r="BB95" i="282"/>
  <c r="BF95" i="282"/>
  <c r="L95" i="282"/>
  <c r="AB95" i="282"/>
  <c r="AN95" i="282"/>
  <c r="AZ95" i="282"/>
  <c r="M95" i="282"/>
  <c r="AC95" i="282"/>
  <c r="AS95" i="282"/>
  <c r="Q95" i="282"/>
  <c r="AG95" i="282"/>
  <c r="AW95" i="282"/>
  <c r="U95" i="282"/>
  <c r="AK95" i="282"/>
  <c r="BA95" i="282"/>
  <c r="I95" i="282"/>
  <c r="Y95" i="282"/>
  <c r="AO95" i="282"/>
  <c r="BE95" i="282"/>
  <c r="J96" i="282"/>
  <c r="N96" i="282"/>
  <c r="R96" i="282"/>
  <c r="V96" i="282"/>
  <c r="Z96" i="282"/>
  <c r="AD96" i="282"/>
  <c r="AH96" i="282"/>
  <c r="AL96" i="282"/>
  <c r="AP96" i="282"/>
  <c r="AT96" i="282"/>
  <c r="AX96" i="282"/>
  <c r="BB96" i="282"/>
  <c r="BF96" i="282"/>
  <c r="O96" i="282"/>
  <c r="S96" i="282"/>
  <c r="AA96" i="282"/>
  <c r="AE96" i="282"/>
  <c r="AM96" i="282"/>
  <c r="AU96" i="282"/>
  <c r="AY96" i="282"/>
  <c r="BG96" i="282"/>
  <c r="I96" i="282"/>
  <c r="M96" i="282"/>
  <c r="Q96" i="282"/>
  <c r="U96" i="282"/>
  <c r="Y96" i="282"/>
  <c r="AC96" i="282"/>
  <c r="AG96" i="282"/>
  <c r="AK96" i="282"/>
  <c r="AO96" i="282"/>
  <c r="AS96" i="282"/>
  <c r="AW96" i="282"/>
  <c r="BA96" i="282"/>
  <c r="BE96" i="282"/>
  <c r="K96" i="282"/>
  <c r="W96" i="282"/>
  <c r="AI96" i="282"/>
  <c r="AQ96" i="282"/>
  <c r="BC96" i="282"/>
  <c r="H96" i="282"/>
  <c r="X96" i="282"/>
  <c r="AN96" i="282"/>
  <c r="BD96" i="282"/>
  <c r="L96" i="282"/>
  <c r="AB96" i="282"/>
  <c r="AR96" i="282"/>
  <c r="BH96" i="282"/>
  <c r="P96" i="282"/>
  <c r="AF96" i="282"/>
  <c r="AV96" i="282"/>
  <c r="T96" i="282"/>
  <c r="AJ96" i="282"/>
  <c r="AZ96" i="282"/>
  <c r="BB98" i="322"/>
  <c r="BB58" i="322" s="1"/>
  <c r="BB70" i="322"/>
  <c r="BB57" i="322" s="1"/>
  <c r="BC93" i="322"/>
  <c r="BC97" i="322" s="1"/>
  <c r="BC67" i="322"/>
  <c r="BC69" i="322"/>
  <c r="BC68" i="322"/>
  <c r="BC70" i="322" s="1"/>
  <c r="BC57" i="322" s="1"/>
  <c r="BC90" i="322"/>
  <c r="BC55" i="322"/>
  <c r="BD54" i="322"/>
  <c r="Q20" i="282"/>
  <c r="BB59" i="322" l="1"/>
  <c r="BB62" i="322" s="1"/>
  <c r="BC98" i="322"/>
  <c r="BC58" i="322" s="1"/>
  <c r="BC59" i="322" s="1"/>
  <c r="BC62" i="322" s="1"/>
  <c r="BD93" i="322"/>
  <c r="BD97" i="322" s="1"/>
  <c r="BD90" i="322"/>
  <c r="BD69" i="322"/>
  <c r="BD68" i="322"/>
  <c r="BD70" i="322" s="1"/>
  <c r="BD57" i="322" s="1"/>
  <c r="BD55" i="322"/>
  <c r="BE54" i="322"/>
  <c r="BD67" i="322"/>
  <c r="BD98" i="322" l="1"/>
  <c r="BD58" i="322" s="1"/>
  <c r="BD59" i="322" s="1"/>
  <c r="BD62" i="322" s="1"/>
  <c r="BE93" i="322"/>
  <c r="BE97" i="322" s="1"/>
  <c r="BE68" i="322"/>
  <c r="BE67" i="322"/>
  <c r="BE69" i="322"/>
  <c r="BE55" i="322"/>
  <c r="BE90" i="322"/>
  <c r="BF54" i="322"/>
  <c r="L22" i="286"/>
  <c r="L23" i="286" s="1"/>
  <c r="BF67" i="322" l="1"/>
  <c r="BF90" i="322"/>
  <c r="BF68" i="322"/>
  <c r="BG54" i="322"/>
  <c r="BF93" i="322"/>
  <c r="BF97" i="322" s="1"/>
  <c r="BF55" i="322"/>
  <c r="BF69" i="322"/>
  <c r="BE70" i="322"/>
  <c r="BE57" i="322" s="1"/>
  <c r="BE98" i="322"/>
  <c r="BE58" i="322" s="1"/>
  <c r="AL183" i="299"/>
  <c r="AM183" i="299" s="1"/>
  <c r="AN183" i="299" s="1"/>
  <c r="AO183" i="299" s="1"/>
  <c r="AP183" i="299" s="1"/>
  <c r="AQ183" i="299" s="1"/>
  <c r="AR183" i="299" s="1"/>
  <c r="AS183" i="299" s="1"/>
  <c r="AT183" i="299" s="1"/>
  <c r="AU183" i="299" s="1"/>
  <c r="AV183" i="299" s="1"/>
  <c r="AW183" i="299" s="1"/>
  <c r="AX183" i="299" s="1"/>
  <c r="AY183" i="299" s="1"/>
  <c r="AZ183" i="299" s="1"/>
  <c r="BA183" i="299" s="1"/>
  <c r="BB183" i="299" s="1"/>
  <c r="BC183" i="299" s="1"/>
  <c r="BD183" i="299" s="1"/>
  <c r="BE183" i="299" s="1"/>
  <c r="BF183" i="299" s="1"/>
  <c r="BG183" i="299" s="1"/>
  <c r="BH183" i="299" s="1"/>
  <c r="BI183" i="299" s="1"/>
  <c r="BJ183" i="299" s="1"/>
  <c r="BK183" i="299" s="1"/>
  <c r="BL183" i="299" s="1"/>
  <c r="BM183" i="299" s="1"/>
  <c r="BN183" i="299" s="1"/>
  <c r="AE183" i="299"/>
  <c r="AF183" i="299" s="1"/>
  <c r="AG183" i="299" s="1"/>
  <c r="AH183" i="299" s="1"/>
  <c r="AI183" i="299" s="1"/>
  <c r="AJ183" i="299" s="1"/>
  <c r="AK183" i="299" s="1"/>
  <c r="AT182" i="299"/>
  <c r="AU182" i="299" s="1"/>
  <c r="AV182" i="299" s="1"/>
  <c r="AW182" i="299" s="1"/>
  <c r="AX182" i="299" s="1"/>
  <c r="AY182" i="299" s="1"/>
  <c r="AZ182" i="299" s="1"/>
  <c r="BA182" i="299" s="1"/>
  <c r="BB182" i="299" s="1"/>
  <c r="BC182" i="299" s="1"/>
  <c r="BD182" i="299" s="1"/>
  <c r="BE182" i="299" s="1"/>
  <c r="BF182" i="299" s="1"/>
  <c r="BG182" i="299" s="1"/>
  <c r="BH182" i="299" s="1"/>
  <c r="BI182" i="299" s="1"/>
  <c r="BJ182" i="299" s="1"/>
  <c r="BK182" i="299" s="1"/>
  <c r="BL182" i="299" s="1"/>
  <c r="BM182" i="299" s="1"/>
  <c r="BN182" i="299" s="1"/>
  <c r="AE182" i="299"/>
  <c r="AF182" i="299" s="1"/>
  <c r="AG182" i="299" s="1"/>
  <c r="AH182" i="299" s="1"/>
  <c r="AI182" i="299" s="1"/>
  <c r="AJ182" i="299" s="1"/>
  <c r="AK182" i="299" s="1"/>
  <c r="AL182" i="299" s="1"/>
  <c r="AM182" i="299" s="1"/>
  <c r="AN182" i="299" s="1"/>
  <c r="AO182" i="299" s="1"/>
  <c r="AP182" i="299" s="1"/>
  <c r="AQ182" i="299" s="1"/>
  <c r="AR182" i="299" s="1"/>
  <c r="AS182" i="299" s="1"/>
  <c r="AM181" i="299"/>
  <c r="AN181" i="299" s="1"/>
  <c r="AO181" i="299" s="1"/>
  <c r="AP181" i="299" s="1"/>
  <c r="AQ181" i="299" s="1"/>
  <c r="AR181" i="299" s="1"/>
  <c r="AS181" i="299" s="1"/>
  <c r="AT181" i="299" s="1"/>
  <c r="AU181" i="299" s="1"/>
  <c r="AV181" i="299" s="1"/>
  <c r="AW181" i="299" s="1"/>
  <c r="AX181" i="299" s="1"/>
  <c r="AY181" i="299" s="1"/>
  <c r="AZ181" i="299" s="1"/>
  <c r="BA181" i="299" s="1"/>
  <c r="BB181" i="299" s="1"/>
  <c r="BC181" i="299" s="1"/>
  <c r="BD181" i="299" s="1"/>
  <c r="BE181" i="299" s="1"/>
  <c r="BF181" i="299" s="1"/>
  <c r="BG181" i="299" s="1"/>
  <c r="BH181" i="299" s="1"/>
  <c r="BI181" i="299" s="1"/>
  <c r="BJ181" i="299" s="1"/>
  <c r="BK181" i="299" s="1"/>
  <c r="BL181" i="299" s="1"/>
  <c r="BM181" i="299" s="1"/>
  <c r="BN181" i="299" s="1"/>
  <c r="AI181" i="299"/>
  <c r="AJ181" i="299" s="1"/>
  <c r="AK181" i="299" s="1"/>
  <c r="AL181" i="299" s="1"/>
  <c r="AH181" i="299"/>
  <c r="AE181" i="299"/>
  <c r="AF181" i="299" s="1"/>
  <c r="AG181" i="299" s="1"/>
  <c r="BB180" i="299"/>
  <c r="BC180" i="299" s="1"/>
  <c r="BD180" i="299" s="1"/>
  <c r="BE180" i="299" s="1"/>
  <c r="BF180" i="299" s="1"/>
  <c r="BG180" i="299" s="1"/>
  <c r="BH180" i="299" s="1"/>
  <c r="BI180" i="299" s="1"/>
  <c r="BJ180" i="299" s="1"/>
  <c r="BK180" i="299" s="1"/>
  <c r="BL180" i="299" s="1"/>
  <c r="BM180" i="299" s="1"/>
  <c r="BN180" i="299" s="1"/>
  <c r="AS180" i="299"/>
  <c r="AT180" i="299" s="1"/>
  <c r="AU180" i="299" s="1"/>
  <c r="AV180" i="299" s="1"/>
  <c r="AW180" i="299" s="1"/>
  <c r="AX180" i="299" s="1"/>
  <c r="AY180" i="299" s="1"/>
  <c r="AZ180" i="299" s="1"/>
  <c r="BA180" i="299" s="1"/>
  <c r="AG180" i="299"/>
  <c r="AH180" i="299" s="1"/>
  <c r="AI180" i="299" s="1"/>
  <c r="AJ180" i="299" s="1"/>
  <c r="AK180" i="299" s="1"/>
  <c r="AL180" i="299" s="1"/>
  <c r="AM180" i="299" s="1"/>
  <c r="AN180" i="299" s="1"/>
  <c r="AO180" i="299" s="1"/>
  <c r="AP180" i="299" s="1"/>
  <c r="AQ180" i="299" s="1"/>
  <c r="AR180" i="299" s="1"/>
  <c r="AE180" i="299"/>
  <c r="AF180" i="299" s="1"/>
  <c r="AE179" i="299"/>
  <c r="AF179" i="299" s="1"/>
  <c r="AG179" i="299" s="1"/>
  <c r="AH179" i="299" s="1"/>
  <c r="AI179" i="299" s="1"/>
  <c r="AJ179" i="299" s="1"/>
  <c r="AK179" i="299" s="1"/>
  <c r="AL179" i="299" s="1"/>
  <c r="AM179" i="299" s="1"/>
  <c r="AN179" i="299" s="1"/>
  <c r="AO179" i="299" s="1"/>
  <c r="AP179" i="299" s="1"/>
  <c r="AQ179" i="299" s="1"/>
  <c r="AR179" i="299" s="1"/>
  <c r="AS179" i="299" s="1"/>
  <c r="AT179" i="299" s="1"/>
  <c r="AU179" i="299" s="1"/>
  <c r="AV179" i="299" s="1"/>
  <c r="AW179" i="299" s="1"/>
  <c r="AX179" i="299" s="1"/>
  <c r="AY179" i="299" s="1"/>
  <c r="AZ179" i="299" s="1"/>
  <c r="BA179" i="299" s="1"/>
  <c r="BB179" i="299" s="1"/>
  <c r="BC179" i="299" s="1"/>
  <c r="BD179" i="299" s="1"/>
  <c r="BE179" i="299" s="1"/>
  <c r="BF179" i="299" s="1"/>
  <c r="BG179" i="299" s="1"/>
  <c r="BH179" i="299" s="1"/>
  <c r="BI179" i="299" s="1"/>
  <c r="BJ179" i="299" s="1"/>
  <c r="BK179" i="299" s="1"/>
  <c r="BL179" i="299" s="1"/>
  <c r="BM179" i="299" s="1"/>
  <c r="BN179" i="299" s="1"/>
  <c r="AT178" i="299"/>
  <c r="AU178" i="299" s="1"/>
  <c r="AV178" i="299" s="1"/>
  <c r="AW178" i="299" s="1"/>
  <c r="AX178" i="299" s="1"/>
  <c r="AY178" i="299" s="1"/>
  <c r="AZ178" i="299" s="1"/>
  <c r="BA178" i="299" s="1"/>
  <c r="BB178" i="299" s="1"/>
  <c r="BC178" i="299" s="1"/>
  <c r="BD178" i="299" s="1"/>
  <c r="BE178" i="299" s="1"/>
  <c r="BF178" i="299" s="1"/>
  <c r="BG178" i="299" s="1"/>
  <c r="BH178" i="299" s="1"/>
  <c r="BI178" i="299" s="1"/>
  <c r="BJ178" i="299" s="1"/>
  <c r="BK178" i="299" s="1"/>
  <c r="BL178" i="299" s="1"/>
  <c r="BM178" i="299" s="1"/>
  <c r="BN178" i="299" s="1"/>
  <c r="AP178" i="299"/>
  <c r="AQ178" i="299" s="1"/>
  <c r="AR178" i="299" s="1"/>
  <c r="AS178" i="299" s="1"/>
  <c r="AI178" i="299"/>
  <c r="AJ178" i="299" s="1"/>
  <c r="AK178" i="299" s="1"/>
  <c r="AL178" i="299" s="1"/>
  <c r="AM178" i="299" s="1"/>
  <c r="AN178" i="299" s="1"/>
  <c r="AO178" i="299" s="1"/>
  <c r="AE178" i="299"/>
  <c r="AF178" i="299" s="1"/>
  <c r="AG178" i="299" s="1"/>
  <c r="AH178" i="299" s="1"/>
  <c r="AI177" i="299"/>
  <c r="AJ177" i="299" s="1"/>
  <c r="AK177" i="299" s="1"/>
  <c r="AL177" i="299" s="1"/>
  <c r="AM177" i="299" s="1"/>
  <c r="AN177" i="299" s="1"/>
  <c r="AO177" i="299" s="1"/>
  <c r="AP177" i="299" s="1"/>
  <c r="AQ177" i="299" s="1"/>
  <c r="AR177" i="299" s="1"/>
  <c r="AS177" i="299" s="1"/>
  <c r="AT177" i="299" s="1"/>
  <c r="AU177" i="299" s="1"/>
  <c r="AV177" i="299" s="1"/>
  <c r="AW177" i="299" s="1"/>
  <c r="AX177" i="299" s="1"/>
  <c r="AY177" i="299" s="1"/>
  <c r="AZ177" i="299" s="1"/>
  <c r="BA177" i="299" s="1"/>
  <c r="BB177" i="299" s="1"/>
  <c r="BC177" i="299" s="1"/>
  <c r="BD177" i="299" s="1"/>
  <c r="BE177" i="299" s="1"/>
  <c r="BF177" i="299" s="1"/>
  <c r="BG177" i="299" s="1"/>
  <c r="BH177" i="299" s="1"/>
  <c r="BI177" i="299" s="1"/>
  <c r="BJ177" i="299" s="1"/>
  <c r="BK177" i="299" s="1"/>
  <c r="BL177" i="299" s="1"/>
  <c r="BM177" i="299" s="1"/>
  <c r="BN177" i="299" s="1"/>
  <c r="AH177" i="299"/>
  <c r="AE177" i="299"/>
  <c r="AF177" i="299" s="1"/>
  <c r="AG177" i="299" s="1"/>
  <c r="AS176" i="299"/>
  <c r="AT176" i="299" s="1"/>
  <c r="AU176" i="299" s="1"/>
  <c r="AV176" i="299" s="1"/>
  <c r="AW176" i="299" s="1"/>
  <c r="AX176" i="299" s="1"/>
  <c r="AY176" i="299" s="1"/>
  <c r="AZ176" i="299" s="1"/>
  <c r="BA176" i="299" s="1"/>
  <c r="BB176" i="299" s="1"/>
  <c r="BC176" i="299" s="1"/>
  <c r="BD176" i="299" s="1"/>
  <c r="BE176" i="299" s="1"/>
  <c r="BF176" i="299" s="1"/>
  <c r="BG176" i="299" s="1"/>
  <c r="BH176" i="299" s="1"/>
  <c r="BI176" i="299" s="1"/>
  <c r="BJ176" i="299" s="1"/>
  <c r="BK176" i="299" s="1"/>
  <c r="BL176" i="299" s="1"/>
  <c r="BM176" i="299" s="1"/>
  <c r="BN176" i="299" s="1"/>
  <c r="AQ176" i="299"/>
  <c r="AR176" i="299" s="1"/>
  <c r="AH176" i="299"/>
  <c r="AI176" i="299" s="1"/>
  <c r="AJ176" i="299" s="1"/>
  <c r="AK176" i="299" s="1"/>
  <c r="AL176" i="299" s="1"/>
  <c r="AM176" i="299" s="1"/>
  <c r="AN176" i="299" s="1"/>
  <c r="AO176" i="299" s="1"/>
  <c r="AP176" i="299" s="1"/>
  <c r="AG176" i="299"/>
  <c r="AE176" i="299"/>
  <c r="AF176" i="299" s="1"/>
  <c r="AP175" i="299"/>
  <c r="AQ175" i="299" s="1"/>
  <c r="AR175" i="299" s="1"/>
  <c r="AS175" i="299" s="1"/>
  <c r="AT175" i="299" s="1"/>
  <c r="AU175" i="299" s="1"/>
  <c r="AV175" i="299" s="1"/>
  <c r="AW175" i="299" s="1"/>
  <c r="AX175" i="299" s="1"/>
  <c r="AY175" i="299" s="1"/>
  <c r="AZ175" i="299" s="1"/>
  <c r="BA175" i="299" s="1"/>
  <c r="BB175" i="299" s="1"/>
  <c r="BC175" i="299" s="1"/>
  <c r="BD175" i="299" s="1"/>
  <c r="BE175" i="299" s="1"/>
  <c r="BF175" i="299" s="1"/>
  <c r="BG175" i="299" s="1"/>
  <c r="BH175" i="299" s="1"/>
  <c r="BI175" i="299" s="1"/>
  <c r="BJ175" i="299" s="1"/>
  <c r="BK175" i="299" s="1"/>
  <c r="BL175" i="299" s="1"/>
  <c r="BM175" i="299" s="1"/>
  <c r="BN175" i="299" s="1"/>
  <c r="AL175" i="299"/>
  <c r="AM175" i="299" s="1"/>
  <c r="AN175" i="299" s="1"/>
  <c r="AO175" i="299" s="1"/>
  <c r="AE175" i="299"/>
  <c r="AF175" i="299" s="1"/>
  <c r="AG175" i="299" s="1"/>
  <c r="AH175" i="299" s="1"/>
  <c r="AI175" i="299" s="1"/>
  <c r="AJ175" i="299" s="1"/>
  <c r="AK175" i="299" s="1"/>
  <c r="AR174" i="299"/>
  <c r="AS174" i="299" s="1"/>
  <c r="AT174" i="299" s="1"/>
  <c r="AU174" i="299" s="1"/>
  <c r="AV174" i="299" s="1"/>
  <c r="AW174" i="299" s="1"/>
  <c r="AX174" i="299" s="1"/>
  <c r="AY174" i="299" s="1"/>
  <c r="AZ174" i="299" s="1"/>
  <c r="BA174" i="299" s="1"/>
  <c r="BB174" i="299" s="1"/>
  <c r="BC174" i="299" s="1"/>
  <c r="BD174" i="299" s="1"/>
  <c r="BE174" i="299" s="1"/>
  <c r="BF174" i="299" s="1"/>
  <c r="BG174" i="299" s="1"/>
  <c r="BH174" i="299" s="1"/>
  <c r="BI174" i="299" s="1"/>
  <c r="BJ174" i="299" s="1"/>
  <c r="BK174" i="299" s="1"/>
  <c r="BL174" i="299" s="1"/>
  <c r="BM174" i="299" s="1"/>
  <c r="BN174" i="299" s="1"/>
  <c r="AM174" i="299"/>
  <c r="AN174" i="299" s="1"/>
  <c r="AO174" i="299" s="1"/>
  <c r="AP174" i="299" s="1"/>
  <c r="AQ174" i="299" s="1"/>
  <c r="AJ174" i="299"/>
  <c r="AK174" i="299" s="1"/>
  <c r="AL174" i="299" s="1"/>
  <c r="AE174" i="299"/>
  <c r="AF174" i="299" s="1"/>
  <c r="AG174" i="299" s="1"/>
  <c r="AH174" i="299" s="1"/>
  <c r="AI174" i="299" s="1"/>
  <c r="BL173" i="299"/>
  <c r="BM173" i="299" s="1"/>
  <c r="BN173" i="299" s="1"/>
  <c r="AF173" i="299"/>
  <c r="AG173" i="299" s="1"/>
  <c r="AH173" i="299" s="1"/>
  <c r="AI173" i="299" s="1"/>
  <c r="AJ173" i="299" s="1"/>
  <c r="AK173" i="299" s="1"/>
  <c r="AL173" i="299" s="1"/>
  <c r="AM173" i="299" s="1"/>
  <c r="AN173" i="299" s="1"/>
  <c r="AO173" i="299" s="1"/>
  <c r="AP173" i="299" s="1"/>
  <c r="AQ173" i="299" s="1"/>
  <c r="AR173" i="299" s="1"/>
  <c r="AS173" i="299" s="1"/>
  <c r="AT173" i="299" s="1"/>
  <c r="AU173" i="299" s="1"/>
  <c r="AV173" i="299" s="1"/>
  <c r="AW173" i="299" s="1"/>
  <c r="AX173" i="299" s="1"/>
  <c r="AY173" i="299" s="1"/>
  <c r="AZ173" i="299" s="1"/>
  <c r="BA173" i="299" s="1"/>
  <c r="BB173" i="299" s="1"/>
  <c r="BC173" i="299" s="1"/>
  <c r="BD173" i="299" s="1"/>
  <c r="BE173" i="299" s="1"/>
  <c r="BF173" i="299" s="1"/>
  <c r="BG173" i="299" s="1"/>
  <c r="BH173" i="299" s="1"/>
  <c r="BI173" i="299" s="1"/>
  <c r="BJ173" i="299" s="1"/>
  <c r="BK173" i="299" s="1"/>
  <c r="AE173" i="299"/>
  <c r="AE172" i="299"/>
  <c r="AF172" i="299" s="1"/>
  <c r="AG172" i="299" s="1"/>
  <c r="AH172" i="299" s="1"/>
  <c r="AI172" i="299" s="1"/>
  <c r="AJ172" i="299" s="1"/>
  <c r="AK172" i="299" s="1"/>
  <c r="AL172" i="299" s="1"/>
  <c r="AM172" i="299" s="1"/>
  <c r="AN172" i="299" s="1"/>
  <c r="AO172" i="299" s="1"/>
  <c r="AP172" i="299" s="1"/>
  <c r="AQ172" i="299" s="1"/>
  <c r="AR172" i="299" s="1"/>
  <c r="AS172" i="299" s="1"/>
  <c r="AT172" i="299" s="1"/>
  <c r="AU172" i="299" s="1"/>
  <c r="AV172" i="299" s="1"/>
  <c r="AW172" i="299" s="1"/>
  <c r="AX172" i="299" s="1"/>
  <c r="AY172" i="299" s="1"/>
  <c r="AZ172" i="299" s="1"/>
  <c r="BA172" i="299" s="1"/>
  <c r="BB172" i="299" s="1"/>
  <c r="BC172" i="299" s="1"/>
  <c r="BD172" i="299" s="1"/>
  <c r="BE172" i="299" s="1"/>
  <c r="BF172" i="299" s="1"/>
  <c r="BG172" i="299" s="1"/>
  <c r="BH172" i="299" s="1"/>
  <c r="BI172" i="299" s="1"/>
  <c r="BJ172" i="299" s="1"/>
  <c r="BK172" i="299" s="1"/>
  <c r="BL172" i="299" s="1"/>
  <c r="BM172" i="299" s="1"/>
  <c r="BN172" i="299" s="1"/>
  <c r="AG171" i="299"/>
  <c r="AH171" i="299" s="1"/>
  <c r="AI171" i="299" s="1"/>
  <c r="AJ171" i="299" s="1"/>
  <c r="AK171" i="299" s="1"/>
  <c r="AL171" i="299" s="1"/>
  <c r="AM171" i="299" s="1"/>
  <c r="AN171" i="299" s="1"/>
  <c r="AO171" i="299" s="1"/>
  <c r="AP171" i="299" s="1"/>
  <c r="AQ171" i="299" s="1"/>
  <c r="AR171" i="299" s="1"/>
  <c r="AS171" i="299" s="1"/>
  <c r="AT171" i="299" s="1"/>
  <c r="AU171" i="299" s="1"/>
  <c r="AV171" i="299" s="1"/>
  <c r="AW171" i="299" s="1"/>
  <c r="AX171" i="299" s="1"/>
  <c r="AY171" i="299" s="1"/>
  <c r="AZ171" i="299" s="1"/>
  <c r="BA171" i="299" s="1"/>
  <c r="BB171" i="299" s="1"/>
  <c r="BC171" i="299" s="1"/>
  <c r="BD171" i="299" s="1"/>
  <c r="BE171" i="299" s="1"/>
  <c r="BF171" i="299" s="1"/>
  <c r="BG171" i="299" s="1"/>
  <c r="BH171" i="299" s="1"/>
  <c r="BI171" i="299" s="1"/>
  <c r="BJ171" i="299" s="1"/>
  <c r="BK171" i="299" s="1"/>
  <c r="BL171" i="299" s="1"/>
  <c r="BM171" i="299" s="1"/>
  <c r="BN171" i="299" s="1"/>
  <c r="AF171" i="299"/>
  <c r="AE171" i="299"/>
  <c r="AF170" i="299"/>
  <c r="AG170" i="299" s="1"/>
  <c r="AH170" i="299" s="1"/>
  <c r="AI170" i="299" s="1"/>
  <c r="AJ170" i="299" s="1"/>
  <c r="AK170" i="299" s="1"/>
  <c r="AL170" i="299" s="1"/>
  <c r="AM170" i="299" s="1"/>
  <c r="AN170" i="299" s="1"/>
  <c r="AO170" i="299" s="1"/>
  <c r="AP170" i="299" s="1"/>
  <c r="AQ170" i="299" s="1"/>
  <c r="AR170" i="299" s="1"/>
  <c r="AS170" i="299" s="1"/>
  <c r="AT170" i="299" s="1"/>
  <c r="AU170" i="299" s="1"/>
  <c r="AV170" i="299" s="1"/>
  <c r="AW170" i="299" s="1"/>
  <c r="AX170" i="299" s="1"/>
  <c r="AY170" i="299" s="1"/>
  <c r="AZ170" i="299" s="1"/>
  <c r="BA170" i="299" s="1"/>
  <c r="BB170" i="299" s="1"/>
  <c r="BC170" i="299" s="1"/>
  <c r="BD170" i="299" s="1"/>
  <c r="BE170" i="299" s="1"/>
  <c r="BF170" i="299" s="1"/>
  <c r="BG170" i="299" s="1"/>
  <c r="BH170" i="299" s="1"/>
  <c r="BI170" i="299" s="1"/>
  <c r="BJ170" i="299" s="1"/>
  <c r="BK170" i="299" s="1"/>
  <c r="BL170" i="299" s="1"/>
  <c r="BM170" i="299" s="1"/>
  <c r="BN170" i="299" s="1"/>
  <c r="AE170" i="299"/>
  <c r="AK169" i="299"/>
  <c r="AL169" i="299" s="1"/>
  <c r="AM169" i="299" s="1"/>
  <c r="AN169" i="299" s="1"/>
  <c r="AO169" i="299" s="1"/>
  <c r="AP169" i="299" s="1"/>
  <c r="AQ169" i="299" s="1"/>
  <c r="AR169" i="299" s="1"/>
  <c r="AS169" i="299" s="1"/>
  <c r="AT169" i="299" s="1"/>
  <c r="AU169" i="299" s="1"/>
  <c r="AV169" i="299" s="1"/>
  <c r="AW169" i="299" s="1"/>
  <c r="AX169" i="299" s="1"/>
  <c r="AY169" i="299" s="1"/>
  <c r="AZ169" i="299" s="1"/>
  <c r="BA169" i="299" s="1"/>
  <c r="BB169" i="299" s="1"/>
  <c r="BC169" i="299" s="1"/>
  <c r="BD169" i="299" s="1"/>
  <c r="BE169" i="299" s="1"/>
  <c r="BF169" i="299" s="1"/>
  <c r="BG169" i="299" s="1"/>
  <c r="BH169" i="299" s="1"/>
  <c r="BI169" i="299" s="1"/>
  <c r="BJ169" i="299" s="1"/>
  <c r="BK169" i="299" s="1"/>
  <c r="BL169" i="299" s="1"/>
  <c r="BM169" i="299" s="1"/>
  <c r="BN169" i="299" s="1"/>
  <c r="AF169" i="299"/>
  <c r="AG169" i="299" s="1"/>
  <c r="AH169" i="299" s="1"/>
  <c r="AI169" i="299" s="1"/>
  <c r="AJ169" i="299" s="1"/>
  <c r="AE169" i="299"/>
  <c r="AS168" i="299"/>
  <c r="AT168" i="299" s="1"/>
  <c r="AU168" i="299" s="1"/>
  <c r="AV168" i="299" s="1"/>
  <c r="AW168" i="299" s="1"/>
  <c r="AX168" i="299" s="1"/>
  <c r="AY168" i="299" s="1"/>
  <c r="AZ168" i="299" s="1"/>
  <c r="BA168" i="299" s="1"/>
  <c r="BB168" i="299" s="1"/>
  <c r="BC168" i="299" s="1"/>
  <c r="BD168" i="299" s="1"/>
  <c r="BE168" i="299" s="1"/>
  <c r="BF168" i="299" s="1"/>
  <c r="BG168" i="299" s="1"/>
  <c r="BH168" i="299" s="1"/>
  <c r="BI168" i="299" s="1"/>
  <c r="BJ168" i="299" s="1"/>
  <c r="BK168" i="299" s="1"/>
  <c r="BL168" i="299" s="1"/>
  <c r="BM168" i="299" s="1"/>
  <c r="BN168" i="299" s="1"/>
  <c r="AJ168" i="299"/>
  <c r="AK168" i="299" s="1"/>
  <c r="AL168" i="299" s="1"/>
  <c r="AM168" i="299" s="1"/>
  <c r="AN168" i="299" s="1"/>
  <c r="AO168" i="299" s="1"/>
  <c r="AP168" i="299" s="1"/>
  <c r="AQ168" i="299" s="1"/>
  <c r="AR168" i="299" s="1"/>
  <c r="AG168" i="299"/>
  <c r="AH168" i="299" s="1"/>
  <c r="AI168" i="299" s="1"/>
  <c r="AF168" i="299"/>
  <c r="AE168" i="299"/>
  <c r="AG167" i="299"/>
  <c r="AH167" i="299" s="1"/>
  <c r="AI167" i="299" s="1"/>
  <c r="AJ167" i="299" s="1"/>
  <c r="AK167" i="299" s="1"/>
  <c r="AL167" i="299" s="1"/>
  <c r="AM167" i="299" s="1"/>
  <c r="AN167" i="299" s="1"/>
  <c r="AO167" i="299" s="1"/>
  <c r="AP167" i="299" s="1"/>
  <c r="AQ167" i="299" s="1"/>
  <c r="AR167" i="299" s="1"/>
  <c r="AS167" i="299" s="1"/>
  <c r="AT167" i="299" s="1"/>
  <c r="AU167" i="299" s="1"/>
  <c r="AV167" i="299" s="1"/>
  <c r="AW167" i="299" s="1"/>
  <c r="AX167" i="299" s="1"/>
  <c r="AY167" i="299" s="1"/>
  <c r="AZ167" i="299" s="1"/>
  <c r="BA167" i="299" s="1"/>
  <c r="BB167" i="299" s="1"/>
  <c r="BC167" i="299" s="1"/>
  <c r="BD167" i="299" s="1"/>
  <c r="BE167" i="299" s="1"/>
  <c r="BF167" i="299" s="1"/>
  <c r="BG167" i="299" s="1"/>
  <c r="BH167" i="299" s="1"/>
  <c r="BI167" i="299" s="1"/>
  <c r="BJ167" i="299" s="1"/>
  <c r="BK167" i="299" s="1"/>
  <c r="BL167" i="299" s="1"/>
  <c r="BM167" i="299" s="1"/>
  <c r="BN167" i="299" s="1"/>
  <c r="AF167" i="299"/>
  <c r="AE167" i="299"/>
  <c r="AP166" i="299"/>
  <c r="AQ166" i="299" s="1"/>
  <c r="AR166" i="299" s="1"/>
  <c r="AS166" i="299" s="1"/>
  <c r="AT166" i="299" s="1"/>
  <c r="AU166" i="299" s="1"/>
  <c r="AV166" i="299" s="1"/>
  <c r="AW166" i="299" s="1"/>
  <c r="AX166" i="299" s="1"/>
  <c r="AY166" i="299" s="1"/>
  <c r="AZ166" i="299" s="1"/>
  <c r="BA166" i="299" s="1"/>
  <c r="BB166" i="299" s="1"/>
  <c r="BC166" i="299" s="1"/>
  <c r="BD166" i="299" s="1"/>
  <c r="BE166" i="299" s="1"/>
  <c r="BF166" i="299" s="1"/>
  <c r="BG166" i="299" s="1"/>
  <c r="BH166" i="299" s="1"/>
  <c r="BI166" i="299" s="1"/>
  <c r="BJ166" i="299" s="1"/>
  <c r="BK166" i="299" s="1"/>
  <c r="BL166" i="299" s="1"/>
  <c r="BM166" i="299" s="1"/>
  <c r="BN166" i="299" s="1"/>
  <c r="AG166" i="299"/>
  <c r="AH166" i="299" s="1"/>
  <c r="AI166" i="299" s="1"/>
  <c r="AJ166" i="299" s="1"/>
  <c r="AK166" i="299" s="1"/>
  <c r="AL166" i="299" s="1"/>
  <c r="AM166" i="299" s="1"/>
  <c r="AN166" i="299" s="1"/>
  <c r="AO166" i="299" s="1"/>
  <c r="AF166" i="299"/>
  <c r="AE166" i="299"/>
  <c r="AG165" i="299"/>
  <c r="AH165" i="299" s="1"/>
  <c r="AI165" i="299" s="1"/>
  <c r="AJ165" i="299" s="1"/>
  <c r="AK165" i="299" s="1"/>
  <c r="AL165" i="299" s="1"/>
  <c r="AM165" i="299" s="1"/>
  <c r="AN165" i="299" s="1"/>
  <c r="AO165" i="299" s="1"/>
  <c r="AP165" i="299" s="1"/>
  <c r="AQ165" i="299" s="1"/>
  <c r="AR165" i="299" s="1"/>
  <c r="AS165" i="299" s="1"/>
  <c r="AT165" i="299" s="1"/>
  <c r="AU165" i="299" s="1"/>
  <c r="AV165" i="299" s="1"/>
  <c r="AW165" i="299" s="1"/>
  <c r="AX165" i="299" s="1"/>
  <c r="AY165" i="299" s="1"/>
  <c r="AZ165" i="299" s="1"/>
  <c r="BA165" i="299" s="1"/>
  <c r="BB165" i="299" s="1"/>
  <c r="BC165" i="299" s="1"/>
  <c r="BD165" i="299" s="1"/>
  <c r="BE165" i="299" s="1"/>
  <c r="BF165" i="299" s="1"/>
  <c r="BG165" i="299" s="1"/>
  <c r="BH165" i="299" s="1"/>
  <c r="BI165" i="299" s="1"/>
  <c r="BJ165" i="299" s="1"/>
  <c r="BK165" i="299" s="1"/>
  <c r="BL165" i="299" s="1"/>
  <c r="BM165" i="299" s="1"/>
  <c r="BN165" i="299" s="1"/>
  <c r="AF165" i="299"/>
  <c r="AE165" i="299"/>
  <c r="BF164" i="299"/>
  <c r="BG164" i="299" s="1"/>
  <c r="BH164" i="299" s="1"/>
  <c r="BI164" i="299" s="1"/>
  <c r="BJ164" i="299" s="1"/>
  <c r="BK164" i="299" s="1"/>
  <c r="BL164" i="299" s="1"/>
  <c r="BM164" i="299" s="1"/>
  <c r="BN164" i="299" s="1"/>
  <c r="AG164" i="299"/>
  <c r="AH164" i="299" s="1"/>
  <c r="AI164" i="299" s="1"/>
  <c r="AJ164" i="299" s="1"/>
  <c r="AK164" i="299" s="1"/>
  <c r="AL164" i="299" s="1"/>
  <c r="AM164" i="299" s="1"/>
  <c r="AN164" i="299" s="1"/>
  <c r="AO164" i="299" s="1"/>
  <c r="AP164" i="299" s="1"/>
  <c r="AQ164" i="299" s="1"/>
  <c r="AR164" i="299" s="1"/>
  <c r="AS164" i="299" s="1"/>
  <c r="AT164" i="299" s="1"/>
  <c r="AU164" i="299" s="1"/>
  <c r="AV164" i="299" s="1"/>
  <c r="AW164" i="299" s="1"/>
  <c r="AX164" i="299" s="1"/>
  <c r="AY164" i="299" s="1"/>
  <c r="AZ164" i="299" s="1"/>
  <c r="BA164" i="299" s="1"/>
  <c r="BB164" i="299" s="1"/>
  <c r="BC164" i="299" s="1"/>
  <c r="BD164" i="299" s="1"/>
  <c r="BE164" i="299" s="1"/>
  <c r="AE164" i="299"/>
  <c r="AF164" i="299" s="1"/>
  <c r="AL163" i="299"/>
  <c r="AM163" i="299" s="1"/>
  <c r="AN163" i="299" s="1"/>
  <c r="AO163" i="299" s="1"/>
  <c r="AP163" i="299" s="1"/>
  <c r="AQ163" i="299" s="1"/>
  <c r="AR163" i="299" s="1"/>
  <c r="AS163" i="299" s="1"/>
  <c r="AT163" i="299" s="1"/>
  <c r="AU163" i="299" s="1"/>
  <c r="AV163" i="299" s="1"/>
  <c r="AW163" i="299" s="1"/>
  <c r="AX163" i="299" s="1"/>
  <c r="AY163" i="299" s="1"/>
  <c r="AZ163" i="299" s="1"/>
  <c r="BA163" i="299" s="1"/>
  <c r="BB163" i="299" s="1"/>
  <c r="BC163" i="299" s="1"/>
  <c r="BD163" i="299" s="1"/>
  <c r="BE163" i="299" s="1"/>
  <c r="BF163" i="299" s="1"/>
  <c r="BG163" i="299" s="1"/>
  <c r="BH163" i="299" s="1"/>
  <c r="BI163" i="299" s="1"/>
  <c r="BJ163" i="299" s="1"/>
  <c r="BK163" i="299" s="1"/>
  <c r="BL163" i="299" s="1"/>
  <c r="BM163" i="299" s="1"/>
  <c r="BN163" i="299" s="1"/>
  <c r="AE163" i="299"/>
  <c r="AF163" i="299" s="1"/>
  <c r="AG163" i="299" s="1"/>
  <c r="AH163" i="299" s="1"/>
  <c r="AI163" i="299" s="1"/>
  <c r="AJ163" i="299" s="1"/>
  <c r="AK163" i="299" s="1"/>
  <c r="AE162" i="299"/>
  <c r="AF162" i="299" s="1"/>
  <c r="AG162" i="299" s="1"/>
  <c r="AH162" i="299" s="1"/>
  <c r="AI162" i="299" s="1"/>
  <c r="AJ162" i="299" s="1"/>
  <c r="AK162" i="299" s="1"/>
  <c r="AL162" i="299" s="1"/>
  <c r="AM162" i="299" s="1"/>
  <c r="AN162" i="299" s="1"/>
  <c r="AO162" i="299" s="1"/>
  <c r="AP162" i="299" s="1"/>
  <c r="AQ162" i="299" s="1"/>
  <c r="AR162" i="299" s="1"/>
  <c r="AS162" i="299" s="1"/>
  <c r="AT162" i="299" s="1"/>
  <c r="AU162" i="299" s="1"/>
  <c r="AV162" i="299" s="1"/>
  <c r="AW162" i="299" s="1"/>
  <c r="AX162" i="299" s="1"/>
  <c r="AY162" i="299" s="1"/>
  <c r="AZ162" i="299" s="1"/>
  <c r="BA162" i="299" s="1"/>
  <c r="BB162" i="299" s="1"/>
  <c r="BC162" i="299" s="1"/>
  <c r="BD162" i="299" s="1"/>
  <c r="BE162" i="299" s="1"/>
  <c r="BF162" i="299" s="1"/>
  <c r="BG162" i="299" s="1"/>
  <c r="BH162" i="299" s="1"/>
  <c r="BI162" i="299" s="1"/>
  <c r="BJ162" i="299" s="1"/>
  <c r="BK162" i="299" s="1"/>
  <c r="BL162" i="299" s="1"/>
  <c r="BM162" i="299" s="1"/>
  <c r="BN162" i="299" s="1"/>
  <c r="AH161" i="299"/>
  <c r="AI161" i="299" s="1"/>
  <c r="AJ161" i="299" s="1"/>
  <c r="AK161" i="299" s="1"/>
  <c r="AL161" i="299" s="1"/>
  <c r="AM161" i="299" s="1"/>
  <c r="AN161" i="299" s="1"/>
  <c r="AO161" i="299" s="1"/>
  <c r="AP161" i="299" s="1"/>
  <c r="AQ161" i="299" s="1"/>
  <c r="AR161" i="299" s="1"/>
  <c r="AS161" i="299" s="1"/>
  <c r="AT161" i="299" s="1"/>
  <c r="AU161" i="299" s="1"/>
  <c r="AV161" i="299" s="1"/>
  <c r="AW161" i="299" s="1"/>
  <c r="AX161" i="299" s="1"/>
  <c r="AY161" i="299" s="1"/>
  <c r="AZ161" i="299" s="1"/>
  <c r="BA161" i="299" s="1"/>
  <c r="BB161" i="299" s="1"/>
  <c r="BC161" i="299" s="1"/>
  <c r="BD161" i="299" s="1"/>
  <c r="BE161" i="299" s="1"/>
  <c r="BF161" i="299" s="1"/>
  <c r="BG161" i="299" s="1"/>
  <c r="BH161" i="299" s="1"/>
  <c r="BI161" i="299" s="1"/>
  <c r="BJ161" i="299" s="1"/>
  <c r="BK161" i="299" s="1"/>
  <c r="BL161" i="299" s="1"/>
  <c r="BM161" i="299" s="1"/>
  <c r="BN161" i="299" s="1"/>
  <c r="AE161" i="299"/>
  <c r="AF161" i="299" s="1"/>
  <c r="AG161" i="299" s="1"/>
  <c r="AP160" i="299"/>
  <c r="AQ160" i="299" s="1"/>
  <c r="AR160" i="299" s="1"/>
  <c r="AS160" i="299" s="1"/>
  <c r="AT160" i="299" s="1"/>
  <c r="AU160" i="299" s="1"/>
  <c r="AV160" i="299" s="1"/>
  <c r="AW160" i="299" s="1"/>
  <c r="AX160" i="299" s="1"/>
  <c r="AY160" i="299" s="1"/>
  <c r="AZ160" i="299" s="1"/>
  <c r="BA160" i="299" s="1"/>
  <c r="BB160" i="299" s="1"/>
  <c r="BC160" i="299" s="1"/>
  <c r="BD160" i="299" s="1"/>
  <c r="BE160" i="299" s="1"/>
  <c r="BF160" i="299" s="1"/>
  <c r="BG160" i="299" s="1"/>
  <c r="BH160" i="299" s="1"/>
  <c r="BI160" i="299" s="1"/>
  <c r="BJ160" i="299" s="1"/>
  <c r="BK160" i="299" s="1"/>
  <c r="BL160" i="299" s="1"/>
  <c r="BM160" i="299" s="1"/>
  <c r="BN160" i="299" s="1"/>
  <c r="AG160" i="299"/>
  <c r="AH160" i="299" s="1"/>
  <c r="AI160" i="299" s="1"/>
  <c r="AJ160" i="299" s="1"/>
  <c r="AK160" i="299" s="1"/>
  <c r="AL160" i="299" s="1"/>
  <c r="AM160" i="299" s="1"/>
  <c r="AN160" i="299" s="1"/>
  <c r="AO160" i="299" s="1"/>
  <c r="AE160" i="299"/>
  <c r="AF160" i="299" s="1"/>
  <c r="AE159" i="299"/>
  <c r="AF159" i="299" s="1"/>
  <c r="AG159" i="299" s="1"/>
  <c r="AH159" i="299" s="1"/>
  <c r="AI159" i="299" s="1"/>
  <c r="AJ159" i="299" s="1"/>
  <c r="AK159" i="299" s="1"/>
  <c r="AL159" i="299" s="1"/>
  <c r="AM159" i="299" s="1"/>
  <c r="AN159" i="299" s="1"/>
  <c r="AO159" i="299" s="1"/>
  <c r="AP159" i="299" s="1"/>
  <c r="AQ159" i="299" s="1"/>
  <c r="AR159" i="299" s="1"/>
  <c r="AS159" i="299" s="1"/>
  <c r="AT159" i="299" s="1"/>
  <c r="AU159" i="299" s="1"/>
  <c r="AV159" i="299" s="1"/>
  <c r="AW159" i="299" s="1"/>
  <c r="AX159" i="299" s="1"/>
  <c r="AY159" i="299" s="1"/>
  <c r="AZ159" i="299" s="1"/>
  <c r="BA159" i="299" s="1"/>
  <c r="BB159" i="299" s="1"/>
  <c r="BC159" i="299" s="1"/>
  <c r="BD159" i="299" s="1"/>
  <c r="BE159" i="299" s="1"/>
  <c r="BF159" i="299" s="1"/>
  <c r="BG159" i="299" s="1"/>
  <c r="BH159" i="299" s="1"/>
  <c r="BI159" i="299" s="1"/>
  <c r="BJ159" i="299" s="1"/>
  <c r="BK159" i="299" s="1"/>
  <c r="BL159" i="299" s="1"/>
  <c r="BM159" i="299" s="1"/>
  <c r="BN159" i="299" s="1"/>
  <c r="AE158" i="299"/>
  <c r="AF158" i="299" s="1"/>
  <c r="AG158" i="299" s="1"/>
  <c r="AH158" i="299" s="1"/>
  <c r="AI158" i="299" s="1"/>
  <c r="AJ158" i="299" s="1"/>
  <c r="AK158" i="299" s="1"/>
  <c r="AL158" i="299" s="1"/>
  <c r="AM158" i="299" s="1"/>
  <c r="AN158" i="299" s="1"/>
  <c r="AO158" i="299" s="1"/>
  <c r="AP158" i="299" s="1"/>
  <c r="AQ158" i="299" s="1"/>
  <c r="AR158" i="299" s="1"/>
  <c r="AS158" i="299" s="1"/>
  <c r="AT158" i="299" s="1"/>
  <c r="AU158" i="299" s="1"/>
  <c r="AV158" i="299" s="1"/>
  <c r="AW158" i="299" s="1"/>
  <c r="AX158" i="299" s="1"/>
  <c r="AY158" i="299" s="1"/>
  <c r="AZ158" i="299" s="1"/>
  <c r="BA158" i="299" s="1"/>
  <c r="BB158" i="299" s="1"/>
  <c r="BC158" i="299" s="1"/>
  <c r="BD158" i="299" s="1"/>
  <c r="BE158" i="299" s="1"/>
  <c r="BF158" i="299" s="1"/>
  <c r="BG158" i="299" s="1"/>
  <c r="BH158" i="299" s="1"/>
  <c r="BI158" i="299" s="1"/>
  <c r="BJ158" i="299" s="1"/>
  <c r="BK158" i="299" s="1"/>
  <c r="BL158" i="299" s="1"/>
  <c r="BM158" i="299" s="1"/>
  <c r="BN158" i="299" s="1"/>
  <c r="AK157" i="299"/>
  <c r="AL157" i="299" s="1"/>
  <c r="AM157" i="299" s="1"/>
  <c r="AN157" i="299" s="1"/>
  <c r="AO157" i="299" s="1"/>
  <c r="AP157" i="299" s="1"/>
  <c r="AQ157" i="299" s="1"/>
  <c r="AR157" i="299" s="1"/>
  <c r="AS157" i="299" s="1"/>
  <c r="AT157" i="299" s="1"/>
  <c r="AU157" i="299" s="1"/>
  <c r="AV157" i="299" s="1"/>
  <c r="AW157" i="299" s="1"/>
  <c r="AX157" i="299" s="1"/>
  <c r="AY157" i="299" s="1"/>
  <c r="AZ157" i="299" s="1"/>
  <c r="BA157" i="299" s="1"/>
  <c r="BB157" i="299" s="1"/>
  <c r="BC157" i="299" s="1"/>
  <c r="BD157" i="299" s="1"/>
  <c r="BE157" i="299" s="1"/>
  <c r="BF157" i="299" s="1"/>
  <c r="BG157" i="299" s="1"/>
  <c r="BH157" i="299" s="1"/>
  <c r="BI157" i="299" s="1"/>
  <c r="BJ157" i="299" s="1"/>
  <c r="BK157" i="299" s="1"/>
  <c r="BL157" i="299" s="1"/>
  <c r="BM157" i="299" s="1"/>
  <c r="BN157" i="299" s="1"/>
  <c r="AH157" i="299"/>
  <c r="AI157" i="299" s="1"/>
  <c r="AJ157" i="299" s="1"/>
  <c r="AE157" i="299"/>
  <c r="AF157" i="299" s="1"/>
  <c r="AG157" i="299" s="1"/>
  <c r="BF156" i="299"/>
  <c r="BG156" i="299" s="1"/>
  <c r="BH156" i="299" s="1"/>
  <c r="BI156" i="299" s="1"/>
  <c r="BJ156" i="299" s="1"/>
  <c r="BK156" i="299" s="1"/>
  <c r="BL156" i="299" s="1"/>
  <c r="BM156" i="299" s="1"/>
  <c r="BN156" i="299" s="1"/>
  <c r="AG156" i="299"/>
  <c r="AH156" i="299" s="1"/>
  <c r="AI156" i="299" s="1"/>
  <c r="AJ156" i="299" s="1"/>
  <c r="AK156" i="299" s="1"/>
  <c r="AL156" i="299" s="1"/>
  <c r="AM156" i="299" s="1"/>
  <c r="AN156" i="299" s="1"/>
  <c r="AO156" i="299" s="1"/>
  <c r="AP156" i="299" s="1"/>
  <c r="AQ156" i="299" s="1"/>
  <c r="AR156" i="299" s="1"/>
  <c r="AS156" i="299" s="1"/>
  <c r="AT156" i="299" s="1"/>
  <c r="AU156" i="299" s="1"/>
  <c r="AV156" i="299" s="1"/>
  <c r="AW156" i="299" s="1"/>
  <c r="AX156" i="299" s="1"/>
  <c r="AY156" i="299" s="1"/>
  <c r="AZ156" i="299" s="1"/>
  <c r="BA156" i="299" s="1"/>
  <c r="BB156" i="299" s="1"/>
  <c r="BC156" i="299" s="1"/>
  <c r="BD156" i="299" s="1"/>
  <c r="BE156" i="299" s="1"/>
  <c r="AE156" i="299"/>
  <c r="AF156" i="299" s="1"/>
  <c r="AL155" i="299"/>
  <c r="AM155" i="299" s="1"/>
  <c r="AN155" i="299" s="1"/>
  <c r="AO155" i="299" s="1"/>
  <c r="AP155" i="299" s="1"/>
  <c r="AQ155" i="299" s="1"/>
  <c r="AR155" i="299" s="1"/>
  <c r="AS155" i="299" s="1"/>
  <c r="AT155" i="299" s="1"/>
  <c r="AU155" i="299" s="1"/>
  <c r="AV155" i="299" s="1"/>
  <c r="AW155" i="299" s="1"/>
  <c r="AX155" i="299" s="1"/>
  <c r="AY155" i="299" s="1"/>
  <c r="AZ155" i="299" s="1"/>
  <c r="BA155" i="299" s="1"/>
  <c r="BB155" i="299" s="1"/>
  <c r="BC155" i="299" s="1"/>
  <c r="BD155" i="299" s="1"/>
  <c r="BE155" i="299" s="1"/>
  <c r="BF155" i="299" s="1"/>
  <c r="BG155" i="299" s="1"/>
  <c r="BH155" i="299" s="1"/>
  <c r="BI155" i="299" s="1"/>
  <c r="BJ155" i="299" s="1"/>
  <c r="BK155" i="299" s="1"/>
  <c r="BL155" i="299" s="1"/>
  <c r="BM155" i="299" s="1"/>
  <c r="BN155" i="299" s="1"/>
  <c r="AE155" i="299"/>
  <c r="AF155" i="299" s="1"/>
  <c r="AG155" i="299" s="1"/>
  <c r="AH155" i="299" s="1"/>
  <c r="AI155" i="299" s="1"/>
  <c r="AJ155" i="299" s="1"/>
  <c r="AK155" i="299" s="1"/>
  <c r="AE154" i="299"/>
  <c r="AF154" i="299" s="1"/>
  <c r="AG154" i="299" s="1"/>
  <c r="AH154" i="299" s="1"/>
  <c r="AI154" i="299" s="1"/>
  <c r="AJ154" i="299" s="1"/>
  <c r="AK154" i="299" s="1"/>
  <c r="AL154" i="299" s="1"/>
  <c r="AM154" i="299" s="1"/>
  <c r="AN154" i="299" s="1"/>
  <c r="AO154" i="299" s="1"/>
  <c r="AP154" i="299" s="1"/>
  <c r="AQ154" i="299" s="1"/>
  <c r="AR154" i="299" s="1"/>
  <c r="AS154" i="299" s="1"/>
  <c r="AT154" i="299" s="1"/>
  <c r="AU154" i="299" s="1"/>
  <c r="AV154" i="299" s="1"/>
  <c r="AW154" i="299" s="1"/>
  <c r="AX154" i="299" s="1"/>
  <c r="AY154" i="299" s="1"/>
  <c r="AZ154" i="299" s="1"/>
  <c r="BA154" i="299" s="1"/>
  <c r="BB154" i="299" s="1"/>
  <c r="BC154" i="299" s="1"/>
  <c r="BD154" i="299" s="1"/>
  <c r="BE154" i="299" s="1"/>
  <c r="BF154" i="299" s="1"/>
  <c r="BG154" i="299" s="1"/>
  <c r="BH154" i="299" s="1"/>
  <c r="BI154" i="299" s="1"/>
  <c r="BJ154" i="299" s="1"/>
  <c r="BK154" i="299" s="1"/>
  <c r="BL154" i="299" s="1"/>
  <c r="BM154" i="299" s="1"/>
  <c r="BN154" i="299" s="1"/>
  <c r="AH153" i="299"/>
  <c r="AI153" i="299" s="1"/>
  <c r="AJ153" i="299" s="1"/>
  <c r="AK153" i="299" s="1"/>
  <c r="AL153" i="299" s="1"/>
  <c r="AM153" i="299" s="1"/>
  <c r="AN153" i="299" s="1"/>
  <c r="AO153" i="299" s="1"/>
  <c r="AP153" i="299" s="1"/>
  <c r="AQ153" i="299" s="1"/>
  <c r="AR153" i="299" s="1"/>
  <c r="AS153" i="299" s="1"/>
  <c r="AT153" i="299" s="1"/>
  <c r="AU153" i="299" s="1"/>
  <c r="AV153" i="299" s="1"/>
  <c r="AW153" i="299" s="1"/>
  <c r="AX153" i="299" s="1"/>
  <c r="AY153" i="299" s="1"/>
  <c r="AZ153" i="299" s="1"/>
  <c r="BA153" i="299" s="1"/>
  <c r="BB153" i="299" s="1"/>
  <c r="BC153" i="299" s="1"/>
  <c r="BD153" i="299" s="1"/>
  <c r="BE153" i="299" s="1"/>
  <c r="BF153" i="299" s="1"/>
  <c r="BG153" i="299" s="1"/>
  <c r="BH153" i="299" s="1"/>
  <c r="BI153" i="299" s="1"/>
  <c r="BJ153" i="299" s="1"/>
  <c r="BK153" i="299" s="1"/>
  <c r="BL153" i="299" s="1"/>
  <c r="BM153" i="299" s="1"/>
  <c r="BN153" i="299" s="1"/>
  <c r="AE153" i="299"/>
  <c r="AF153" i="299" s="1"/>
  <c r="AG153" i="299" s="1"/>
  <c r="AF152" i="299"/>
  <c r="AG152" i="299" s="1"/>
  <c r="AH152" i="299" s="1"/>
  <c r="AI152" i="299" s="1"/>
  <c r="AJ152" i="299" s="1"/>
  <c r="AK152" i="299" s="1"/>
  <c r="AL152" i="299" s="1"/>
  <c r="AM152" i="299" s="1"/>
  <c r="AN152" i="299" s="1"/>
  <c r="AO152" i="299" s="1"/>
  <c r="AP152" i="299" s="1"/>
  <c r="AQ152" i="299" s="1"/>
  <c r="AR152" i="299" s="1"/>
  <c r="AS152" i="299" s="1"/>
  <c r="AT152" i="299" s="1"/>
  <c r="AU152" i="299" s="1"/>
  <c r="AV152" i="299" s="1"/>
  <c r="AW152" i="299" s="1"/>
  <c r="AX152" i="299" s="1"/>
  <c r="AY152" i="299" s="1"/>
  <c r="AZ152" i="299" s="1"/>
  <c r="BA152" i="299" s="1"/>
  <c r="BB152" i="299" s="1"/>
  <c r="BC152" i="299" s="1"/>
  <c r="BD152" i="299" s="1"/>
  <c r="BE152" i="299" s="1"/>
  <c r="BF152" i="299" s="1"/>
  <c r="BG152" i="299" s="1"/>
  <c r="BH152" i="299" s="1"/>
  <c r="BI152" i="299" s="1"/>
  <c r="BJ152" i="299" s="1"/>
  <c r="BK152" i="299" s="1"/>
  <c r="BL152" i="299" s="1"/>
  <c r="BM152" i="299" s="1"/>
  <c r="BN152" i="299" s="1"/>
  <c r="AE152" i="299"/>
  <c r="AU151" i="299"/>
  <c r="AV151" i="299" s="1"/>
  <c r="AW151" i="299" s="1"/>
  <c r="AX151" i="299" s="1"/>
  <c r="AY151" i="299" s="1"/>
  <c r="AZ151" i="299" s="1"/>
  <c r="BA151" i="299" s="1"/>
  <c r="BB151" i="299" s="1"/>
  <c r="BC151" i="299" s="1"/>
  <c r="BD151" i="299" s="1"/>
  <c r="BE151" i="299" s="1"/>
  <c r="BF151" i="299" s="1"/>
  <c r="BG151" i="299" s="1"/>
  <c r="BH151" i="299" s="1"/>
  <c r="BI151" i="299" s="1"/>
  <c r="BJ151" i="299" s="1"/>
  <c r="BK151" i="299" s="1"/>
  <c r="BL151" i="299" s="1"/>
  <c r="BM151" i="299" s="1"/>
  <c r="BN151" i="299" s="1"/>
  <c r="AJ151" i="299"/>
  <c r="AK151" i="299" s="1"/>
  <c r="AL151" i="299" s="1"/>
  <c r="AM151" i="299" s="1"/>
  <c r="AN151" i="299" s="1"/>
  <c r="AO151" i="299" s="1"/>
  <c r="AP151" i="299" s="1"/>
  <c r="AQ151" i="299" s="1"/>
  <c r="AR151" i="299" s="1"/>
  <c r="AS151" i="299" s="1"/>
  <c r="AT151" i="299" s="1"/>
  <c r="AE151" i="299"/>
  <c r="AF151" i="299" s="1"/>
  <c r="AG151" i="299" s="1"/>
  <c r="AH151" i="299" s="1"/>
  <c r="AI151" i="299" s="1"/>
  <c r="AN150" i="299"/>
  <c r="AO150" i="299" s="1"/>
  <c r="AP150" i="299" s="1"/>
  <c r="AQ150" i="299" s="1"/>
  <c r="AR150" i="299" s="1"/>
  <c r="AS150" i="299" s="1"/>
  <c r="AT150" i="299" s="1"/>
  <c r="AU150" i="299" s="1"/>
  <c r="AV150" i="299" s="1"/>
  <c r="AW150" i="299" s="1"/>
  <c r="AX150" i="299" s="1"/>
  <c r="AY150" i="299" s="1"/>
  <c r="AZ150" i="299" s="1"/>
  <c r="BA150" i="299" s="1"/>
  <c r="BB150" i="299" s="1"/>
  <c r="BC150" i="299" s="1"/>
  <c r="BD150" i="299" s="1"/>
  <c r="BE150" i="299" s="1"/>
  <c r="BF150" i="299" s="1"/>
  <c r="BG150" i="299" s="1"/>
  <c r="BH150" i="299" s="1"/>
  <c r="BI150" i="299" s="1"/>
  <c r="BJ150" i="299" s="1"/>
  <c r="BK150" i="299" s="1"/>
  <c r="BL150" i="299" s="1"/>
  <c r="BM150" i="299" s="1"/>
  <c r="BN150" i="299" s="1"/>
  <c r="AI150" i="299"/>
  <c r="AJ150" i="299" s="1"/>
  <c r="AK150" i="299" s="1"/>
  <c r="AL150" i="299" s="1"/>
  <c r="AM150" i="299" s="1"/>
  <c r="AF150" i="299"/>
  <c r="AG150" i="299" s="1"/>
  <c r="AH150" i="299" s="1"/>
  <c r="AE150" i="299"/>
  <c r="AE149" i="299"/>
  <c r="AF149" i="299" s="1"/>
  <c r="AG149" i="299" s="1"/>
  <c r="AH149" i="299" s="1"/>
  <c r="AI149" i="299" s="1"/>
  <c r="AJ149" i="299" s="1"/>
  <c r="AK149" i="299" s="1"/>
  <c r="AL149" i="299" s="1"/>
  <c r="AM149" i="299" s="1"/>
  <c r="AN149" i="299" s="1"/>
  <c r="AO149" i="299" s="1"/>
  <c r="AP149" i="299" s="1"/>
  <c r="AQ149" i="299" s="1"/>
  <c r="AR149" i="299" s="1"/>
  <c r="AS149" i="299" s="1"/>
  <c r="AT149" i="299" s="1"/>
  <c r="AU149" i="299" s="1"/>
  <c r="AV149" i="299" s="1"/>
  <c r="AW149" i="299" s="1"/>
  <c r="AX149" i="299" s="1"/>
  <c r="AY149" i="299" s="1"/>
  <c r="AZ149" i="299" s="1"/>
  <c r="BA149" i="299" s="1"/>
  <c r="BB149" i="299" s="1"/>
  <c r="BC149" i="299" s="1"/>
  <c r="BD149" i="299" s="1"/>
  <c r="BE149" i="299" s="1"/>
  <c r="BF149" i="299" s="1"/>
  <c r="BG149" i="299" s="1"/>
  <c r="BH149" i="299" s="1"/>
  <c r="BI149" i="299" s="1"/>
  <c r="BJ149" i="299" s="1"/>
  <c r="BK149" i="299" s="1"/>
  <c r="BL149" i="299" s="1"/>
  <c r="BM149" i="299" s="1"/>
  <c r="BN149" i="299" s="1"/>
  <c r="AV148" i="299"/>
  <c r="AW148" i="299" s="1"/>
  <c r="AX148" i="299" s="1"/>
  <c r="AY148" i="299" s="1"/>
  <c r="AZ148" i="299" s="1"/>
  <c r="BA148" i="299" s="1"/>
  <c r="BB148" i="299" s="1"/>
  <c r="BC148" i="299" s="1"/>
  <c r="BD148" i="299" s="1"/>
  <c r="BE148" i="299" s="1"/>
  <c r="BF148" i="299" s="1"/>
  <c r="BG148" i="299" s="1"/>
  <c r="BH148" i="299" s="1"/>
  <c r="BI148" i="299" s="1"/>
  <c r="BJ148" i="299" s="1"/>
  <c r="BK148" i="299" s="1"/>
  <c r="BL148" i="299" s="1"/>
  <c r="BM148" i="299" s="1"/>
  <c r="BN148" i="299" s="1"/>
  <c r="AI148" i="299"/>
  <c r="AJ148" i="299" s="1"/>
  <c r="AK148" i="299" s="1"/>
  <c r="AL148" i="299" s="1"/>
  <c r="AM148" i="299" s="1"/>
  <c r="AN148" i="299" s="1"/>
  <c r="AO148" i="299" s="1"/>
  <c r="AP148" i="299" s="1"/>
  <c r="AQ148" i="299" s="1"/>
  <c r="AR148" i="299" s="1"/>
  <c r="AS148" i="299" s="1"/>
  <c r="AT148" i="299" s="1"/>
  <c r="AU148" i="299" s="1"/>
  <c r="AF148" i="299"/>
  <c r="AG148" i="299" s="1"/>
  <c r="AH148" i="299" s="1"/>
  <c r="AE148" i="299"/>
  <c r="BH147" i="299"/>
  <c r="BI147" i="299" s="1"/>
  <c r="BJ147" i="299" s="1"/>
  <c r="BK147" i="299" s="1"/>
  <c r="BL147" i="299" s="1"/>
  <c r="BM147" i="299" s="1"/>
  <c r="BN147" i="299" s="1"/>
  <c r="BC147" i="299"/>
  <c r="BD147" i="299" s="1"/>
  <c r="BE147" i="299" s="1"/>
  <c r="BF147" i="299" s="1"/>
  <c r="BG147" i="299" s="1"/>
  <c r="AE147" i="299"/>
  <c r="AF147" i="299" s="1"/>
  <c r="AG147" i="299" s="1"/>
  <c r="AH147" i="299" s="1"/>
  <c r="AI147" i="299" s="1"/>
  <c r="AJ147" i="299" s="1"/>
  <c r="AK147" i="299" s="1"/>
  <c r="AL147" i="299" s="1"/>
  <c r="AM147" i="299" s="1"/>
  <c r="AN147" i="299" s="1"/>
  <c r="AO147" i="299" s="1"/>
  <c r="AP147" i="299" s="1"/>
  <c r="AQ147" i="299" s="1"/>
  <c r="AR147" i="299" s="1"/>
  <c r="AS147" i="299" s="1"/>
  <c r="AT147" i="299" s="1"/>
  <c r="AU147" i="299" s="1"/>
  <c r="AV147" i="299" s="1"/>
  <c r="AW147" i="299" s="1"/>
  <c r="AX147" i="299" s="1"/>
  <c r="AY147" i="299" s="1"/>
  <c r="AZ147" i="299" s="1"/>
  <c r="BA147" i="299" s="1"/>
  <c r="BB147" i="299" s="1"/>
  <c r="AF146" i="299"/>
  <c r="AG146" i="299" s="1"/>
  <c r="AH146" i="299" s="1"/>
  <c r="AI146" i="299" s="1"/>
  <c r="AJ146" i="299" s="1"/>
  <c r="AK146" i="299" s="1"/>
  <c r="AL146" i="299" s="1"/>
  <c r="AM146" i="299" s="1"/>
  <c r="AN146" i="299" s="1"/>
  <c r="AO146" i="299" s="1"/>
  <c r="AP146" i="299" s="1"/>
  <c r="AQ146" i="299" s="1"/>
  <c r="AR146" i="299" s="1"/>
  <c r="AS146" i="299" s="1"/>
  <c r="AT146" i="299" s="1"/>
  <c r="AU146" i="299" s="1"/>
  <c r="AV146" i="299" s="1"/>
  <c r="AW146" i="299" s="1"/>
  <c r="AX146" i="299" s="1"/>
  <c r="AY146" i="299" s="1"/>
  <c r="AZ146" i="299" s="1"/>
  <c r="BA146" i="299" s="1"/>
  <c r="BB146" i="299" s="1"/>
  <c r="BC146" i="299" s="1"/>
  <c r="BD146" i="299" s="1"/>
  <c r="BE146" i="299" s="1"/>
  <c r="BF146" i="299" s="1"/>
  <c r="BG146" i="299" s="1"/>
  <c r="BH146" i="299" s="1"/>
  <c r="BI146" i="299" s="1"/>
  <c r="BJ146" i="299" s="1"/>
  <c r="BK146" i="299" s="1"/>
  <c r="BL146" i="299" s="1"/>
  <c r="BM146" i="299" s="1"/>
  <c r="BN146" i="299" s="1"/>
  <c r="AE146" i="299"/>
  <c r="AM145" i="299"/>
  <c r="AN145" i="299" s="1"/>
  <c r="AO145" i="299" s="1"/>
  <c r="AP145" i="299" s="1"/>
  <c r="AQ145" i="299" s="1"/>
  <c r="AR145" i="299" s="1"/>
  <c r="AS145" i="299" s="1"/>
  <c r="AT145" i="299" s="1"/>
  <c r="AU145" i="299" s="1"/>
  <c r="AV145" i="299" s="1"/>
  <c r="AW145" i="299" s="1"/>
  <c r="AX145" i="299" s="1"/>
  <c r="AY145" i="299" s="1"/>
  <c r="AZ145" i="299" s="1"/>
  <c r="BA145" i="299" s="1"/>
  <c r="BB145" i="299" s="1"/>
  <c r="BC145" i="299" s="1"/>
  <c r="BD145" i="299" s="1"/>
  <c r="BE145" i="299" s="1"/>
  <c r="BF145" i="299" s="1"/>
  <c r="BG145" i="299" s="1"/>
  <c r="BH145" i="299" s="1"/>
  <c r="BI145" i="299" s="1"/>
  <c r="BJ145" i="299" s="1"/>
  <c r="BK145" i="299" s="1"/>
  <c r="BL145" i="299" s="1"/>
  <c r="BM145" i="299" s="1"/>
  <c r="BN145" i="299" s="1"/>
  <c r="AJ145" i="299"/>
  <c r="AK145" i="299" s="1"/>
  <c r="AL145" i="299" s="1"/>
  <c r="AE145" i="299"/>
  <c r="AF145" i="299" s="1"/>
  <c r="AG145" i="299" s="1"/>
  <c r="AH145" i="299" s="1"/>
  <c r="AI145" i="299" s="1"/>
  <c r="AF144" i="299"/>
  <c r="AG144" i="299" s="1"/>
  <c r="AH144" i="299" s="1"/>
  <c r="AI144" i="299" s="1"/>
  <c r="AJ144" i="299" s="1"/>
  <c r="AK144" i="299" s="1"/>
  <c r="AL144" i="299" s="1"/>
  <c r="AM144" i="299" s="1"/>
  <c r="AN144" i="299" s="1"/>
  <c r="AO144" i="299" s="1"/>
  <c r="AP144" i="299" s="1"/>
  <c r="AQ144" i="299" s="1"/>
  <c r="AR144" i="299" s="1"/>
  <c r="AS144" i="299" s="1"/>
  <c r="AT144" i="299" s="1"/>
  <c r="AU144" i="299" s="1"/>
  <c r="AV144" i="299" s="1"/>
  <c r="AW144" i="299" s="1"/>
  <c r="AX144" i="299" s="1"/>
  <c r="AY144" i="299" s="1"/>
  <c r="AZ144" i="299" s="1"/>
  <c r="BA144" i="299" s="1"/>
  <c r="BB144" i="299" s="1"/>
  <c r="BC144" i="299" s="1"/>
  <c r="BD144" i="299" s="1"/>
  <c r="BE144" i="299" s="1"/>
  <c r="BF144" i="299" s="1"/>
  <c r="BG144" i="299" s="1"/>
  <c r="BH144" i="299" s="1"/>
  <c r="BI144" i="299" s="1"/>
  <c r="BJ144" i="299" s="1"/>
  <c r="BK144" i="299" s="1"/>
  <c r="BL144" i="299" s="1"/>
  <c r="BM144" i="299" s="1"/>
  <c r="BN144" i="299" s="1"/>
  <c r="AE144" i="299"/>
  <c r="AJ143" i="299"/>
  <c r="AK143" i="299" s="1"/>
  <c r="AL143" i="299" s="1"/>
  <c r="AM143" i="299" s="1"/>
  <c r="AN143" i="299" s="1"/>
  <c r="AO143" i="299" s="1"/>
  <c r="AP143" i="299" s="1"/>
  <c r="AQ143" i="299" s="1"/>
  <c r="AR143" i="299" s="1"/>
  <c r="AS143" i="299" s="1"/>
  <c r="AT143" i="299" s="1"/>
  <c r="AU143" i="299" s="1"/>
  <c r="AV143" i="299" s="1"/>
  <c r="AW143" i="299" s="1"/>
  <c r="AX143" i="299" s="1"/>
  <c r="AY143" i="299" s="1"/>
  <c r="AZ143" i="299" s="1"/>
  <c r="BA143" i="299" s="1"/>
  <c r="BB143" i="299" s="1"/>
  <c r="BC143" i="299" s="1"/>
  <c r="BD143" i="299" s="1"/>
  <c r="BE143" i="299" s="1"/>
  <c r="BF143" i="299" s="1"/>
  <c r="BG143" i="299" s="1"/>
  <c r="BH143" i="299" s="1"/>
  <c r="BI143" i="299" s="1"/>
  <c r="BJ143" i="299" s="1"/>
  <c r="BK143" i="299" s="1"/>
  <c r="BL143" i="299" s="1"/>
  <c r="BM143" i="299" s="1"/>
  <c r="BN143" i="299" s="1"/>
  <c r="AF143" i="299"/>
  <c r="AG143" i="299" s="1"/>
  <c r="AH143" i="299" s="1"/>
  <c r="AI143" i="299" s="1"/>
  <c r="AE143" i="299"/>
  <c r="AV142" i="299"/>
  <c r="AW142" i="299" s="1"/>
  <c r="AX142" i="299" s="1"/>
  <c r="AY142" i="299" s="1"/>
  <c r="AZ142" i="299" s="1"/>
  <c r="BA142" i="299" s="1"/>
  <c r="BB142" i="299" s="1"/>
  <c r="BC142" i="299" s="1"/>
  <c r="BD142" i="299" s="1"/>
  <c r="BE142" i="299" s="1"/>
  <c r="BF142" i="299" s="1"/>
  <c r="BG142" i="299" s="1"/>
  <c r="BH142" i="299" s="1"/>
  <c r="BI142" i="299" s="1"/>
  <c r="BJ142" i="299" s="1"/>
  <c r="BK142" i="299" s="1"/>
  <c r="BL142" i="299" s="1"/>
  <c r="BM142" i="299" s="1"/>
  <c r="BN142" i="299" s="1"/>
  <c r="AJ142" i="299"/>
  <c r="AK142" i="299" s="1"/>
  <c r="AL142" i="299" s="1"/>
  <c r="AM142" i="299" s="1"/>
  <c r="AN142" i="299" s="1"/>
  <c r="AO142" i="299" s="1"/>
  <c r="AP142" i="299" s="1"/>
  <c r="AQ142" i="299" s="1"/>
  <c r="AR142" i="299" s="1"/>
  <c r="AS142" i="299" s="1"/>
  <c r="AT142" i="299" s="1"/>
  <c r="AU142" i="299" s="1"/>
  <c r="AF142" i="299"/>
  <c r="AG142" i="299" s="1"/>
  <c r="AH142" i="299" s="1"/>
  <c r="AI142" i="299" s="1"/>
  <c r="AE142" i="299"/>
  <c r="AF141" i="299"/>
  <c r="AG141" i="299" s="1"/>
  <c r="AH141" i="299" s="1"/>
  <c r="AI141" i="299" s="1"/>
  <c r="AJ141" i="299" s="1"/>
  <c r="AK141" i="299" s="1"/>
  <c r="AL141" i="299" s="1"/>
  <c r="AM141" i="299" s="1"/>
  <c r="AN141" i="299" s="1"/>
  <c r="AO141" i="299" s="1"/>
  <c r="AP141" i="299" s="1"/>
  <c r="AQ141" i="299" s="1"/>
  <c r="AR141" i="299" s="1"/>
  <c r="AS141" i="299" s="1"/>
  <c r="AT141" i="299" s="1"/>
  <c r="AU141" i="299" s="1"/>
  <c r="AV141" i="299" s="1"/>
  <c r="AW141" i="299" s="1"/>
  <c r="AX141" i="299" s="1"/>
  <c r="AY141" i="299" s="1"/>
  <c r="AZ141" i="299" s="1"/>
  <c r="BA141" i="299" s="1"/>
  <c r="BB141" i="299" s="1"/>
  <c r="BC141" i="299" s="1"/>
  <c r="BD141" i="299" s="1"/>
  <c r="BE141" i="299" s="1"/>
  <c r="BF141" i="299" s="1"/>
  <c r="BG141" i="299" s="1"/>
  <c r="BH141" i="299" s="1"/>
  <c r="BI141" i="299" s="1"/>
  <c r="BJ141" i="299" s="1"/>
  <c r="BK141" i="299" s="1"/>
  <c r="BL141" i="299" s="1"/>
  <c r="BM141" i="299" s="1"/>
  <c r="BN141" i="299" s="1"/>
  <c r="AE141" i="299"/>
  <c r="AJ140" i="299"/>
  <c r="AK140" i="299" s="1"/>
  <c r="AL140" i="299" s="1"/>
  <c r="AM140" i="299" s="1"/>
  <c r="AN140" i="299" s="1"/>
  <c r="AO140" i="299" s="1"/>
  <c r="AP140" i="299" s="1"/>
  <c r="AQ140" i="299" s="1"/>
  <c r="AR140" i="299" s="1"/>
  <c r="AS140" i="299" s="1"/>
  <c r="AT140" i="299" s="1"/>
  <c r="AU140" i="299" s="1"/>
  <c r="AV140" i="299" s="1"/>
  <c r="AW140" i="299" s="1"/>
  <c r="AX140" i="299" s="1"/>
  <c r="AY140" i="299" s="1"/>
  <c r="AZ140" i="299" s="1"/>
  <c r="BA140" i="299" s="1"/>
  <c r="BB140" i="299" s="1"/>
  <c r="BC140" i="299" s="1"/>
  <c r="BD140" i="299" s="1"/>
  <c r="BE140" i="299" s="1"/>
  <c r="BF140" i="299" s="1"/>
  <c r="BG140" i="299" s="1"/>
  <c r="BH140" i="299" s="1"/>
  <c r="BI140" i="299" s="1"/>
  <c r="BJ140" i="299" s="1"/>
  <c r="BK140" i="299" s="1"/>
  <c r="BL140" i="299" s="1"/>
  <c r="BM140" i="299" s="1"/>
  <c r="BN140" i="299" s="1"/>
  <c r="AF140" i="299"/>
  <c r="AG140" i="299" s="1"/>
  <c r="AH140" i="299" s="1"/>
  <c r="AI140" i="299" s="1"/>
  <c r="AE140" i="299"/>
  <c r="AO139" i="299"/>
  <c r="AP139" i="299" s="1"/>
  <c r="AQ139" i="299" s="1"/>
  <c r="AR139" i="299" s="1"/>
  <c r="AS139" i="299" s="1"/>
  <c r="AT139" i="299" s="1"/>
  <c r="AU139" i="299" s="1"/>
  <c r="AV139" i="299" s="1"/>
  <c r="AW139" i="299" s="1"/>
  <c r="AX139" i="299" s="1"/>
  <c r="AY139" i="299" s="1"/>
  <c r="AZ139" i="299" s="1"/>
  <c r="BA139" i="299" s="1"/>
  <c r="BB139" i="299" s="1"/>
  <c r="BC139" i="299" s="1"/>
  <c r="BD139" i="299" s="1"/>
  <c r="BE139" i="299" s="1"/>
  <c r="BF139" i="299" s="1"/>
  <c r="BG139" i="299" s="1"/>
  <c r="BH139" i="299" s="1"/>
  <c r="BI139" i="299" s="1"/>
  <c r="BJ139" i="299" s="1"/>
  <c r="BK139" i="299" s="1"/>
  <c r="BL139" i="299" s="1"/>
  <c r="BM139" i="299" s="1"/>
  <c r="BN139" i="299" s="1"/>
  <c r="AF139" i="299"/>
  <c r="AG139" i="299" s="1"/>
  <c r="AH139" i="299" s="1"/>
  <c r="AI139" i="299" s="1"/>
  <c r="AJ139" i="299" s="1"/>
  <c r="AK139" i="299" s="1"/>
  <c r="AL139" i="299" s="1"/>
  <c r="AM139" i="299" s="1"/>
  <c r="AN139" i="299" s="1"/>
  <c r="AE139" i="299"/>
  <c r="AV138" i="299"/>
  <c r="AW138" i="299" s="1"/>
  <c r="AX138" i="299" s="1"/>
  <c r="AY138" i="299" s="1"/>
  <c r="AZ138" i="299" s="1"/>
  <c r="BA138" i="299" s="1"/>
  <c r="BB138" i="299" s="1"/>
  <c r="BC138" i="299" s="1"/>
  <c r="BD138" i="299" s="1"/>
  <c r="BE138" i="299" s="1"/>
  <c r="BF138" i="299" s="1"/>
  <c r="BG138" i="299" s="1"/>
  <c r="BH138" i="299" s="1"/>
  <c r="BI138" i="299" s="1"/>
  <c r="BJ138" i="299" s="1"/>
  <c r="BK138" i="299" s="1"/>
  <c r="BL138" i="299" s="1"/>
  <c r="BM138" i="299" s="1"/>
  <c r="BN138" i="299" s="1"/>
  <c r="AJ138" i="299"/>
  <c r="AK138" i="299" s="1"/>
  <c r="AL138" i="299" s="1"/>
  <c r="AM138" i="299" s="1"/>
  <c r="AN138" i="299" s="1"/>
  <c r="AO138" i="299" s="1"/>
  <c r="AP138" i="299" s="1"/>
  <c r="AQ138" i="299" s="1"/>
  <c r="AR138" i="299" s="1"/>
  <c r="AS138" i="299" s="1"/>
  <c r="AT138" i="299" s="1"/>
  <c r="AU138" i="299" s="1"/>
  <c r="AF138" i="299"/>
  <c r="AG138" i="299" s="1"/>
  <c r="AH138" i="299" s="1"/>
  <c r="AI138" i="299" s="1"/>
  <c r="AE138" i="299"/>
  <c r="BJ137" i="299"/>
  <c r="BK137" i="299" s="1"/>
  <c r="BL137" i="299" s="1"/>
  <c r="BM137" i="299" s="1"/>
  <c r="BN137" i="299" s="1"/>
  <c r="AF137" i="299"/>
  <c r="AG137" i="299" s="1"/>
  <c r="AH137" i="299" s="1"/>
  <c r="AI137" i="299" s="1"/>
  <c r="AJ137" i="299" s="1"/>
  <c r="AK137" i="299" s="1"/>
  <c r="AL137" i="299" s="1"/>
  <c r="AM137" i="299" s="1"/>
  <c r="AN137" i="299" s="1"/>
  <c r="AO137" i="299" s="1"/>
  <c r="AP137" i="299" s="1"/>
  <c r="AQ137" i="299" s="1"/>
  <c r="AR137" i="299" s="1"/>
  <c r="AS137" i="299" s="1"/>
  <c r="AT137" i="299" s="1"/>
  <c r="AU137" i="299" s="1"/>
  <c r="AV137" i="299" s="1"/>
  <c r="AW137" i="299" s="1"/>
  <c r="AX137" i="299" s="1"/>
  <c r="AY137" i="299" s="1"/>
  <c r="AZ137" i="299" s="1"/>
  <c r="BA137" i="299" s="1"/>
  <c r="BB137" i="299" s="1"/>
  <c r="BC137" i="299" s="1"/>
  <c r="BD137" i="299" s="1"/>
  <c r="BE137" i="299" s="1"/>
  <c r="BF137" i="299" s="1"/>
  <c r="BG137" i="299" s="1"/>
  <c r="BH137" i="299" s="1"/>
  <c r="BI137" i="299" s="1"/>
  <c r="AE137" i="299"/>
  <c r="AJ136" i="299"/>
  <c r="AK136" i="299" s="1"/>
  <c r="AL136" i="299" s="1"/>
  <c r="AM136" i="299" s="1"/>
  <c r="AN136" i="299" s="1"/>
  <c r="AO136" i="299" s="1"/>
  <c r="AP136" i="299" s="1"/>
  <c r="AQ136" i="299" s="1"/>
  <c r="AR136" i="299" s="1"/>
  <c r="AS136" i="299" s="1"/>
  <c r="AT136" i="299" s="1"/>
  <c r="AU136" i="299" s="1"/>
  <c r="AV136" i="299" s="1"/>
  <c r="AW136" i="299" s="1"/>
  <c r="AX136" i="299" s="1"/>
  <c r="AY136" i="299" s="1"/>
  <c r="AZ136" i="299" s="1"/>
  <c r="BA136" i="299" s="1"/>
  <c r="BB136" i="299" s="1"/>
  <c r="BC136" i="299" s="1"/>
  <c r="BD136" i="299" s="1"/>
  <c r="BE136" i="299" s="1"/>
  <c r="BF136" i="299" s="1"/>
  <c r="BG136" i="299" s="1"/>
  <c r="BH136" i="299" s="1"/>
  <c r="BI136" i="299" s="1"/>
  <c r="BJ136" i="299" s="1"/>
  <c r="BK136" i="299" s="1"/>
  <c r="BL136" i="299" s="1"/>
  <c r="BM136" i="299" s="1"/>
  <c r="BN136" i="299" s="1"/>
  <c r="AI136" i="299"/>
  <c r="AF136" i="299"/>
  <c r="AG136" i="299" s="1"/>
  <c r="AH136" i="299" s="1"/>
  <c r="AE136" i="299"/>
  <c r="AF135" i="299"/>
  <c r="AG135" i="299" s="1"/>
  <c r="AH135" i="299" s="1"/>
  <c r="AI135" i="299" s="1"/>
  <c r="AJ135" i="299" s="1"/>
  <c r="AK135" i="299" s="1"/>
  <c r="AL135" i="299" s="1"/>
  <c r="AM135" i="299" s="1"/>
  <c r="AN135" i="299" s="1"/>
  <c r="AO135" i="299" s="1"/>
  <c r="AP135" i="299" s="1"/>
  <c r="AQ135" i="299" s="1"/>
  <c r="AR135" i="299" s="1"/>
  <c r="AS135" i="299" s="1"/>
  <c r="AT135" i="299" s="1"/>
  <c r="AU135" i="299" s="1"/>
  <c r="AV135" i="299" s="1"/>
  <c r="AW135" i="299" s="1"/>
  <c r="AX135" i="299" s="1"/>
  <c r="AY135" i="299" s="1"/>
  <c r="AZ135" i="299" s="1"/>
  <c r="BA135" i="299" s="1"/>
  <c r="BB135" i="299" s="1"/>
  <c r="BC135" i="299" s="1"/>
  <c r="BD135" i="299" s="1"/>
  <c r="BE135" i="299" s="1"/>
  <c r="BF135" i="299" s="1"/>
  <c r="BG135" i="299" s="1"/>
  <c r="BH135" i="299" s="1"/>
  <c r="BI135" i="299" s="1"/>
  <c r="BJ135" i="299" s="1"/>
  <c r="BK135" i="299" s="1"/>
  <c r="BL135" i="299" s="1"/>
  <c r="BM135" i="299" s="1"/>
  <c r="BN135" i="299" s="1"/>
  <c r="AE135" i="299"/>
  <c r="AQ134" i="299"/>
  <c r="AR134" i="299" s="1"/>
  <c r="AS134" i="299" s="1"/>
  <c r="AT134" i="299" s="1"/>
  <c r="AU134" i="299" s="1"/>
  <c r="AV134" i="299" s="1"/>
  <c r="AW134" i="299" s="1"/>
  <c r="AX134" i="299" s="1"/>
  <c r="AY134" i="299" s="1"/>
  <c r="AZ134" i="299" s="1"/>
  <c r="BA134" i="299" s="1"/>
  <c r="BB134" i="299" s="1"/>
  <c r="BC134" i="299" s="1"/>
  <c r="BD134" i="299" s="1"/>
  <c r="BE134" i="299" s="1"/>
  <c r="BF134" i="299" s="1"/>
  <c r="BG134" i="299" s="1"/>
  <c r="BH134" i="299" s="1"/>
  <c r="BI134" i="299" s="1"/>
  <c r="BJ134" i="299" s="1"/>
  <c r="BK134" i="299" s="1"/>
  <c r="BL134" i="299" s="1"/>
  <c r="BM134" i="299" s="1"/>
  <c r="BN134" i="299" s="1"/>
  <c r="AJ134" i="299"/>
  <c r="AK134" i="299" s="1"/>
  <c r="AL134" i="299" s="1"/>
  <c r="AM134" i="299" s="1"/>
  <c r="AN134" i="299" s="1"/>
  <c r="AO134" i="299" s="1"/>
  <c r="AP134" i="299" s="1"/>
  <c r="AI134" i="299"/>
  <c r="AF134" i="299"/>
  <c r="AG134" i="299" s="1"/>
  <c r="AH134" i="299" s="1"/>
  <c r="AE134" i="299"/>
  <c r="AM133" i="299"/>
  <c r="AN133" i="299" s="1"/>
  <c r="AO133" i="299" s="1"/>
  <c r="AP133" i="299" s="1"/>
  <c r="AQ133" i="299" s="1"/>
  <c r="AR133" i="299" s="1"/>
  <c r="AS133" i="299" s="1"/>
  <c r="AT133" i="299" s="1"/>
  <c r="AU133" i="299" s="1"/>
  <c r="AV133" i="299" s="1"/>
  <c r="AW133" i="299" s="1"/>
  <c r="AX133" i="299" s="1"/>
  <c r="AY133" i="299" s="1"/>
  <c r="AZ133" i="299" s="1"/>
  <c r="BA133" i="299" s="1"/>
  <c r="BB133" i="299" s="1"/>
  <c r="BC133" i="299" s="1"/>
  <c r="BD133" i="299" s="1"/>
  <c r="BE133" i="299" s="1"/>
  <c r="BF133" i="299" s="1"/>
  <c r="BG133" i="299" s="1"/>
  <c r="BH133" i="299" s="1"/>
  <c r="BI133" i="299" s="1"/>
  <c r="BJ133" i="299" s="1"/>
  <c r="BK133" i="299" s="1"/>
  <c r="BL133" i="299" s="1"/>
  <c r="BM133" i="299" s="1"/>
  <c r="BN133" i="299" s="1"/>
  <c r="AF133" i="299"/>
  <c r="AG133" i="299" s="1"/>
  <c r="AH133" i="299" s="1"/>
  <c r="AI133" i="299" s="1"/>
  <c r="AJ133" i="299" s="1"/>
  <c r="AK133" i="299" s="1"/>
  <c r="AL133" i="299" s="1"/>
  <c r="AE133" i="299"/>
  <c r="AJ132" i="299"/>
  <c r="AK132" i="299" s="1"/>
  <c r="AL132" i="299" s="1"/>
  <c r="AM132" i="299" s="1"/>
  <c r="AN132" i="299" s="1"/>
  <c r="AO132" i="299" s="1"/>
  <c r="AP132" i="299" s="1"/>
  <c r="AQ132" i="299" s="1"/>
  <c r="AR132" i="299" s="1"/>
  <c r="AS132" i="299" s="1"/>
  <c r="AT132" i="299" s="1"/>
  <c r="AU132" i="299" s="1"/>
  <c r="AV132" i="299" s="1"/>
  <c r="AW132" i="299" s="1"/>
  <c r="AX132" i="299" s="1"/>
  <c r="AY132" i="299" s="1"/>
  <c r="AZ132" i="299" s="1"/>
  <c r="BA132" i="299" s="1"/>
  <c r="BB132" i="299" s="1"/>
  <c r="BC132" i="299" s="1"/>
  <c r="BD132" i="299" s="1"/>
  <c r="BE132" i="299" s="1"/>
  <c r="BF132" i="299" s="1"/>
  <c r="BG132" i="299" s="1"/>
  <c r="BH132" i="299" s="1"/>
  <c r="BI132" i="299" s="1"/>
  <c r="BJ132" i="299" s="1"/>
  <c r="BK132" i="299" s="1"/>
  <c r="BL132" i="299" s="1"/>
  <c r="BM132" i="299" s="1"/>
  <c r="BN132" i="299" s="1"/>
  <c r="AI132" i="299"/>
  <c r="AF132" i="299"/>
  <c r="AG132" i="299" s="1"/>
  <c r="AH132" i="299" s="1"/>
  <c r="AE132" i="299"/>
  <c r="AF131" i="299"/>
  <c r="AG131" i="299" s="1"/>
  <c r="AH131" i="299" s="1"/>
  <c r="AI131" i="299" s="1"/>
  <c r="AJ131" i="299" s="1"/>
  <c r="AK131" i="299" s="1"/>
  <c r="AL131" i="299" s="1"/>
  <c r="AM131" i="299" s="1"/>
  <c r="AN131" i="299" s="1"/>
  <c r="AO131" i="299" s="1"/>
  <c r="AP131" i="299" s="1"/>
  <c r="AQ131" i="299" s="1"/>
  <c r="AR131" i="299" s="1"/>
  <c r="AS131" i="299" s="1"/>
  <c r="AT131" i="299" s="1"/>
  <c r="AU131" i="299" s="1"/>
  <c r="AV131" i="299" s="1"/>
  <c r="AW131" i="299" s="1"/>
  <c r="AX131" i="299" s="1"/>
  <c r="AY131" i="299" s="1"/>
  <c r="AZ131" i="299" s="1"/>
  <c r="BA131" i="299" s="1"/>
  <c r="BB131" i="299" s="1"/>
  <c r="BC131" i="299" s="1"/>
  <c r="BD131" i="299" s="1"/>
  <c r="BE131" i="299" s="1"/>
  <c r="BF131" i="299" s="1"/>
  <c r="BG131" i="299" s="1"/>
  <c r="BH131" i="299" s="1"/>
  <c r="BI131" i="299" s="1"/>
  <c r="BJ131" i="299" s="1"/>
  <c r="BK131" i="299" s="1"/>
  <c r="BL131" i="299" s="1"/>
  <c r="BM131" i="299" s="1"/>
  <c r="BN131" i="299" s="1"/>
  <c r="AE131" i="299"/>
  <c r="AJ130" i="299"/>
  <c r="AK130" i="299" s="1"/>
  <c r="AL130" i="299" s="1"/>
  <c r="AM130" i="299" s="1"/>
  <c r="AN130" i="299" s="1"/>
  <c r="AO130" i="299" s="1"/>
  <c r="AP130" i="299" s="1"/>
  <c r="AQ130" i="299" s="1"/>
  <c r="AR130" i="299" s="1"/>
  <c r="AS130" i="299" s="1"/>
  <c r="AT130" i="299" s="1"/>
  <c r="AU130" i="299" s="1"/>
  <c r="AV130" i="299" s="1"/>
  <c r="AW130" i="299" s="1"/>
  <c r="AX130" i="299" s="1"/>
  <c r="AY130" i="299" s="1"/>
  <c r="AZ130" i="299" s="1"/>
  <c r="BA130" i="299" s="1"/>
  <c r="BB130" i="299" s="1"/>
  <c r="BC130" i="299" s="1"/>
  <c r="BD130" i="299" s="1"/>
  <c r="BE130" i="299" s="1"/>
  <c r="BF130" i="299" s="1"/>
  <c r="BG130" i="299" s="1"/>
  <c r="BH130" i="299" s="1"/>
  <c r="BI130" i="299" s="1"/>
  <c r="BJ130" i="299" s="1"/>
  <c r="BK130" i="299" s="1"/>
  <c r="BL130" i="299" s="1"/>
  <c r="BM130" i="299" s="1"/>
  <c r="BN130" i="299" s="1"/>
  <c r="AI130" i="299"/>
  <c r="AF130" i="299"/>
  <c r="AG130" i="299" s="1"/>
  <c r="AH130" i="299" s="1"/>
  <c r="AE130" i="299"/>
  <c r="AF129" i="299"/>
  <c r="AG129" i="299" s="1"/>
  <c r="AH129" i="299" s="1"/>
  <c r="AI129" i="299" s="1"/>
  <c r="AJ129" i="299" s="1"/>
  <c r="AK129" i="299" s="1"/>
  <c r="AL129" i="299" s="1"/>
  <c r="AM129" i="299" s="1"/>
  <c r="AN129" i="299" s="1"/>
  <c r="AO129" i="299" s="1"/>
  <c r="AP129" i="299" s="1"/>
  <c r="AQ129" i="299" s="1"/>
  <c r="AR129" i="299" s="1"/>
  <c r="AS129" i="299" s="1"/>
  <c r="AT129" i="299" s="1"/>
  <c r="AU129" i="299" s="1"/>
  <c r="AV129" i="299" s="1"/>
  <c r="AW129" i="299" s="1"/>
  <c r="AX129" i="299" s="1"/>
  <c r="AY129" i="299" s="1"/>
  <c r="AZ129" i="299" s="1"/>
  <c r="BA129" i="299" s="1"/>
  <c r="BB129" i="299" s="1"/>
  <c r="BC129" i="299" s="1"/>
  <c r="BD129" i="299" s="1"/>
  <c r="BE129" i="299" s="1"/>
  <c r="BF129" i="299" s="1"/>
  <c r="BG129" i="299" s="1"/>
  <c r="BH129" i="299" s="1"/>
  <c r="BI129" i="299" s="1"/>
  <c r="BJ129" i="299" s="1"/>
  <c r="BK129" i="299" s="1"/>
  <c r="BL129" i="299" s="1"/>
  <c r="BM129" i="299" s="1"/>
  <c r="BN129" i="299" s="1"/>
  <c r="AE129" i="299"/>
  <c r="AJ128" i="299"/>
  <c r="AK128" i="299" s="1"/>
  <c r="AL128" i="299" s="1"/>
  <c r="AM128" i="299" s="1"/>
  <c r="AN128" i="299" s="1"/>
  <c r="AO128" i="299" s="1"/>
  <c r="AP128" i="299" s="1"/>
  <c r="AQ128" i="299" s="1"/>
  <c r="AR128" i="299" s="1"/>
  <c r="AS128" i="299" s="1"/>
  <c r="AT128" i="299" s="1"/>
  <c r="AU128" i="299" s="1"/>
  <c r="AV128" i="299" s="1"/>
  <c r="AW128" i="299" s="1"/>
  <c r="AX128" i="299" s="1"/>
  <c r="AY128" i="299" s="1"/>
  <c r="AZ128" i="299" s="1"/>
  <c r="BA128" i="299" s="1"/>
  <c r="BB128" i="299" s="1"/>
  <c r="BC128" i="299" s="1"/>
  <c r="BD128" i="299" s="1"/>
  <c r="BE128" i="299" s="1"/>
  <c r="BF128" i="299" s="1"/>
  <c r="BG128" i="299" s="1"/>
  <c r="BH128" i="299" s="1"/>
  <c r="BI128" i="299" s="1"/>
  <c r="BJ128" i="299" s="1"/>
  <c r="BK128" i="299" s="1"/>
  <c r="BL128" i="299" s="1"/>
  <c r="BM128" i="299" s="1"/>
  <c r="BN128" i="299" s="1"/>
  <c r="AI128" i="299"/>
  <c r="AF128" i="299"/>
  <c r="AG128" i="299" s="1"/>
  <c r="AH128" i="299" s="1"/>
  <c r="AE128" i="299"/>
  <c r="AF127" i="299"/>
  <c r="AG127" i="299" s="1"/>
  <c r="AH127" i="299" s="1"/>
  <c r="AI127" i="299" s="1"/>
  <c r="AJ127" i="299" s="1"/>
  <c r="AK127" i="299" s="1"/>
  <c r="AL127" i="299" s="1"/>
  <c r="AM127" i="299" s="1"/>
  <c r="AN127" i="299" s="1"/>
  <c r="AO127" i="299" s="1"/>
  <c r="AP127" i="299" s="1"/>
  <c r="AQ127" i="299" s="1"/>
  <c r="AR127" i="299" s="1"/>
  <c r="AS127" i="299" s="1"/>
  <c r="AT127" i="299" s="1"/>
  <c r="AU127" i="299" s="1"/>
  <c r="AV127" i="299" s="1"/>
  <c r="AW127" i="299" s="1"/>
  <c r="AX127" i="299" s="1"/>
  <c r="AY127" i="299" s="1"/>
  <c r="AZ127" i="299" s="1"/>
  <c r="BA127" i="299" s="1"/>
  <c r="BB127" i="299" s="1"/>
  <c r="BC127" i="299" s="1"/>
  <c r="BD127" i="299" s="1"/>
  <c r="BE127" i="299" s="1"/>
  <c r="BF127" i="299" s="1"/>
  <c r="BG127" i="299" s="1"/>
  <c r="BH127" i="299" s="1"/>
  <c r="BI127" i="299" s="1"/>
  <c r="BJ127" i="299" s="1"/>
  <c r="BK127" i="299" s="1"/>
  <c r="BL127" i="299" s="1"/>
  <c r="BM127" i="299" s="1"/>
  <c r="BN127" i="299" s="1"/>
  <c r="AE127" i="299"/>
  <c r="AQ126" i="299"/>
  <c r="AR126" i="299" s="1"/>
  <c r="AS126" i="299" s="1"/>
  <c r="AT126" i="299" s="1"/>
  <c r="AU126" i="299" s="1"/>
  <c r="AV126" i="299" s="1"/>
  <c r="AW126" i="299" s="1"/>
  <c r="AX126" i="299" s="1"/>
  <c r="AY126" i="299" s="1"/>
  <c r="AZ126" i="299" s="1"/>
  <c r="BA126" i="299" s="1"/>
  <c r="BB126" i="299" s="1"/>
  <c r="BC126" i="299" s="1"/>
  <c r="BD126" i="299" s="1"/>
  <c r="BE126" i="299" s="1"/>
  <c r="BF126" i="299" s="1"/>
  <c r="BG126" i="299" s="1"/>
  <c r="BH126" i="299" s="1"/>
  <c r="BI126" i="299" s="1"/>
  <c r="BJ126" i="299" s="1"/>
  <c r="BK126" i="299" s="1"/>
  <c r="BL126" i="299" s="1"/>
  <c r="BM126" i="299" s="1"/>
  <c r="BN126" i="299" s="1"/>
  <c r="AJ126" i="299"/>
  <c r="AK126" i="299" s="1"/>
  <c r="AL126" i="299" s="1"/>
  <c r="AM126" i="299" s="1"/>
  <c r="AN126" i="299" s="1"/>
  <c r="AO126" i="299" s="1"/>
  <c r="AP126" i="299" s="1"/>
  <c r="AI126" i="299"/>
  <c r="AF126" i="299"/>
  <c r="AG126" i="299" s="1"/>
  <c r="AH126" i="299" s="1"/>
  <c r="AE126" i="299"/>
  <c r="AM125" i="299"/>
  <c r="AN125" i="299" s="1"/>
  <c r="AO125" i="299" s="1"/>
  <c r="AP125" i="299" s="1"/>
  <c r="AQ125" i="299" s="1"/>
  <c r="AR125" i="299" s="1"/>
  <c r="AS125" i="299" s="1"/>
  <c r="AT125" i="299" s="1"/>
  <c r="AU125" i="299" s="1"/>
  <c r="AV125" i="299" s="1"/>
  <c r="AW125" i="299" s="1"/>
  <c r="AX125" i="299" s="1"/>
  <c r="AY125" i="299" s="1"/>
  <c r="AZ125" i="299" s="1"/>
  <c r="BA125" i="299" s="1"/>
  <c r="BB125" i="299" s="1"/>
  <c r="BC125" i="299" s="1"/>
  <c r="BD125" i="299" s="1"/>
  <c r="BE125" i="299" s="1"/>
  <c r="BF125" i="299" s="1"/>
  <c r="BG125" i="299" s="1"/>
  <c r="BH125" i="299" s="1"/>
  <c r="BI125" i="299" s="1"/>
  <c r="BJ125" i="299" s="1"/>
  <c r="BK125" i="299" s="1"/>
  <c r="BL125" i="299" s="1"/>
  <c r="BM125" i="299" s="1"/>
  <c r="BN125" i="299" s="1"/>
  <c r="AF125" i="299"/>
  <c r="AG125" i="299" s="1"/>
  <c r="AH125" i="299" s="1"/>
  <c r="AI125" i="299" s="1"/>
  <c r="AJ125" i="299" s="1"/>
  <c r="AK125" i="299" s="1"/>
  <c r="AL125" i="299" s="1"/>
  <c r="AE125" i="299"/>
  <c r="AJ124" i="299"/>
  <c r="AK124" i="299" s="1"/>
  <c r="AL124" i="299" s="1"/>
  <c r="AM124" i="299" s="1"/>
  <c r="AN124" i="299" s="1"/>
  <c r="AO124" i="299" s="1"/>
  <c r="AP124" i="299" s="1"/>
  <c r="AQ124" i="299" s="1"/>
  <c r="AR124" i="299" s="1"/>
  <c r="AS124" i="299" s="1"/>
  <c r="AT124" i="299" s="1"/>
  <c r="AU124" i="299" s="1"/>
  <c r="AV124" i="299" s="1"/>
  <c r="AW124" i="299" s="1"/>
  <c r="AX124" i="299" s="1"/>
  <c r="AY124" i="299" s="1"/>
  <c r="AZ124" i="299" s="1"/>
  <c r="BA124" i="299" s="1"/>
  <c r="BB124" i="299" s="1"/>
  <c r="BC124" i="299" s="1"/>
  <c r="BD124" i="299" s="1"/>
  <c r="BE124" i="299" s="1"/>
  <c r="BF124" i="299" s="1"/>
  <c r="BG124" i="299" s="1"/>
  <c r="BH124" i="299" s="1"/>
  <c r="BI124" i="299" s="1"/>
  <c r="BJ124" i="299" s="1"/>
  <c r="BK124" i="299" s="1"/>
  <c r="BL124" i="299" s="1"/>
  <c r="BM124" i="299" s="1"/>
  <c r="BN124" i="299" s="1"/>
  <c r="AI124" i="299"/>
  <c r="AF124" i="299"/>
  <c r="AG124" i="299" s="1"/>
  <c r="AH124" i="299" s="1"/>
  <c r="AE124" i="299"/>
  <c r="AF123" i="299"/>
  <c r="AG123" i="299" s="1"/>
  <c r="AH123" i="299" s="1"/>
  <c r="AI123" i="299" s="1"/>
  <c r="AJ123" i="299" s="1"/>
  <c r="AK123" i="299" s="1"/>
  <c r="AL123" i="299" s="1"/>
  <c r="AM123" i="299" s="1"/>
  <c r="AN123" i="299" s="1"/>
  <c r="AO123" i="299" s="1"/>
  <c r="AP123" i="299" s="1"/>
  <c r="AQ123" i="299" s="1"/>
  <c r="AR123" i="299" s="1"/>
  <c r="AS123" i="299" s="1"/>
  <c r="AT123" i="299" s="1"/>
  <c r="AU123" i="299" s="1"/>
  <c r="AV123" i="299" s="1"/>
  <c r="AW123" i="299" s="1"/>
  <c r="AX123" i="299" s="1"/>
  <c r="AY123" i="299" s="1"/>
  <c r="AZ123" i="299" s="1"/>
  <c r="BA123" i="299" s="1"/>
  <c r="BB123" i="299" s="1"/>
  <c r="BC123" i="299" s="1"/>
  <c r="BD123" i="299" s="1"/>
  <c r="BE123" i="299" s="1"/>
  <c r="BF123" i="299" s="1"/>
  <c r="BG123" i="299" s="1"/>
  <c r="BH123" i="299" s="1"/>
  <c r="BI123" i="299" s="1"/>
  <c r="BJ123" i="299" s="1"/>
  <c r="BK123" i="299" s="1"/>
  <c r="BL123" i="299" s="1"/>
  <c r="BM123" i="299" s="1"/>
  <c r="BN123" i="299" s="1"/>
  <c r="AE123" i="299"/>
  <c r="AJ122" i="299"/>
  <c r="AK122" i="299" s="1"/>
  <c r="AL122" i="299" s="1"/>
  <c r="AM122" i="299" s="1"/>
  <c r="AN122" i="299" s="1"/>
  <c r="AO122" i="299" s="1"/>
  <c r="AP122" i="299" s="1"/>
  <c r="AQ122" i="299" s="1"/>
  <c r="AR122" i="299" s="1"/>
  <c r="AS122" i="299" s="1"/>
  <c r="AT122" i="299" s="1"/>
  <c r="AU122" i="299" s="1"/>
  <c r="AV122" i="299" s="1"/>
  <c r="AW122" i="299" s="1"/>
  <c r="AX122" i="299" s="1"/>
  <c r="AY122" i="299" s="1"/>
  <c r="AZ122" i="299" s="1"/>
  <c r="BA122" i="299" s="1"/>
  <c r="BB122" i="299" s="1"/>
  <c r="BC122" i="299" s="1"/>
  <c r="BD122" i="299" s="1"/>
  <c r="BE122" i="299" s="1"/>
  <c r="BF122" i="299" s="1"/>
  <c r="BG122" i="299" s="1"/>
  <c r="BH122" i="299" s="1"/>
  <c r="BI122" i="299" s="1"/>
  <c r="BJ122" i="299" s="1"/>
  <c r="BK122" i="299" s="1"/>
  <c r="BL122" i="299" s="1"/>
  <c r="BM122" i="299" s="1"/>
  <c r="BN122" i="299" s="1"/>
  <c r="AI122" i="299"/>
  <c r="AF122" i="299"/>
  <c r="AG122" i="299" s="1"/>
  <c r="AH122" i="299" s="1"/>
  <c r="AE122" i="299"/>
  <c r="AF121" i="299"/>
  <c r="AG121" i="299" s="1"/>
  <c r="AH121" i="299" s="1"/>
  <c r="AI121" i="299" s="1"/>
  <c r="AJ121" i="299" s="1"/>
  <c r="AK121" i="299" s="1"/>
  <c r="AL121" i="299" s="1"/>
  <c r="AM121" i="299" s="1"/>
  <c r="AN121" i="299" s="1"/>
  <c r="AO121" i="299" s="1"/>
  <c r="AP121" i="299" s="1"/>
  <c r="AQ121" i="299" s="1"/>
  <c r="AR121" i="299" s="1"/>
  <c r="AS121" i="299" s="1"/>
  <c r="AT121" i="299" s="1"/>
  <c r="AU121" i="299" s="1"/>
  <c r="AV121" i="299" s="1"/>
  <c r="AW121" i="299" s="1"/>
  <c r="AX121" i="299" s="1"/>
  <c r="AY121" i="299" s="1"/>
  <c r="AZ121" i="299" s="1"/>
  <c r="BA121" i="299" s="1"/>
  <c r="BB121" i="299" s="1"/>
  <c r="BC121" i="299" s="1"/>
  <c r="BD121" i="299" s="1"/>
  <c r="BE121" i="299" s="1"/>
  <c r="BF121" i="299" s="1"/>
  <c r="BG121" i="299" s="1"/>
  <c r="BH121" i="299" s="1"/>
  <c r="BI121" i="299" s="1"/>
  <c r="BJ121" i="299" s="1"/>
  <c r="BK121" i="299" s="1"/>
  <c r="BL121" i="299" s="1"/>
  <c r="BM121" i="299" s="1"/>
  <c r="BN121" i="299" s="1"/>
  <c r="AE121" i="299"/>
  <c r="AJ120" i="299"/>
  <c r="AK120" i="299" s="1"/>
  <c r="AL120" i="299" s="1"/>
  <c r="AM120" i="299" s="1"/>
  <c r="AN120" i="299" s="1"/>
  <c r="AO120" i="299" s="1"/>
  <c r="AP120" i="299" s="1"/>
  <c r="AQ120" i="299" s="1"/>
  <c r="AR120" i="299" s="1"/>
  <c r="AS120" i="299" s="1"/>
  <c r="AT120" i="299" s="1"/>
  <c r="AU120" i="299" s="1"/>
  <c r="AV120" i="299" s="1"/>
  <c r="AW120" i="299" s="1"/>
  <c r="AX120" i="299" s="1"/>
  <c r="AY120" i="299" s="1"/>
  <c r="AZ120" i="299" s="1"/>
  <c r="BA120" i="299" s="1"/>
  <c r="BB120" i="299" s="1"/>
  <c r="BC120" i="299" s="1"/>
  <c r="BD120" i="299" s="1"/>
  <c r="BE120" i="299" s="1"/>
  <c r="BF120" i="299" s="1"/>
  <c r="BG120" i="299" s="1"/>
  <c r="BH120" i="299" s="1"/>
  <c r="BI120" i="299" s="1"/>
  <c r="BJ120" i="299" s="1"/>
  <c r="BK120" i="299" s="1"/>
  <c r="BL120" i="299" s="1"/>
  <c r="BM120" i="299" s="1"/>
  <c r="BN120" i="299" s="1"/>
  <c r="AI120" i="299"/>
  <c r="AF120" i="299"/>
  <c r="AG120" i="299" s="1"/>
  <c r="AH120" i="299" s="1"/>
  <c r="AE120" i="299"/>
  <c r="AF119" i="299"/>
  <c r="AG119" i="299" s="1"/>
  <c r="AH119" i="299" s="1"/>
  <c r="AI119" i="299" s="1"/>
  <c r="AJ119" i="299" s="1"/>
  <c r="AK119" i="299" s="1"/>
  <c r="AL119" i="299" s="1"/>
  <c r="AM119" i="299" s="1"/>
  <c r="AN119" i="299" s="1"/>
  <c r="AO119" i="299" s="1"/>
  <c r="AP119" i="299" s="1"/>
  <c r="AQ119" i="299" s="1"/>
  <c r="AR119" i="299" s="1"/>
  <c r="AS119" i="299" s="1"/>
  <c r="AT119" i="299" s="1"/>
  <c r="AU119" i="299" s="1"/>
  <c r="AV119" i="299" s="1"/>
  <c r="AW119" i="299" s="1"/>
  <c r="AX119" i="299" s="1"/>
  <c r="AY119" i="299" s="1"/>
  <c r="AZ119" i="299" s="1"/>
  <c r="BA119" i="299" s="1"/>
  <c r="BB119" i="299" s="1"/>
  <c r="BC119" i="299" s="1"/>
  <c r="BD119" i="299" s="1"/>
  <c r="BE119" i="299" s="1"/>
  <c r="BF119" i="299" s="1"/>
  <c r="BG119" i="299" s="1"/>
  <c r="BH119" i="299" s="1"/>
  <c r="BI119" i="299" s="1"/>
  <c r="BJ119" i="299" s="1"/>
  <c r="BK119" i="299" s="1"/>
  <c r="BL119" i="299" s="1"/>
  <c r="BM119" i="299" s="1"/>
  <c r="BN119" i="299" s="1"/>
  <c r="AE119" i="299"/>
  <c r="AQ118" i="299"/>
  <c r="AR118" i="299" s="1"/>
  <c r="AS118" i="299" s="1"/>
  <c r="AT118" i="299" s="1"/>
  <c r="AU118" i="299" s="1"/>
  <c r="AV118" i="299" s="1"/>
  <c r="AW118" i="299" s="1"/>
  <c r="AX118" i="299" s="1"/>
  <c r="AY118" i="299" s="1"/>
  <c r="AZ118" i="299" s="1"/>
  <c r="BA118" i="299" s="1"/>
  <c r="BB118" i="299" s="1"/>
  <c r="BC118" i="299" s="1"/>
  <c r="BD118" i="299" s="1"/>
  <c r="BE118" i="299" s="1"/>
  <c r="BF118" i="299" s="1"/>
  <c r="BG118" i="299" s="1"/>
  <c r="BH118" i="299" s="1"/>
  <c r="BI118" i="299" s="1"/>
  <c r="BJ118" i="299" s="1"/>
  <c r="BK118" i="299" s="1"/>
  <c r="BL118" i="299" s="1"/>
  <c r="BM118" i="299" s="1"/>
  <c r="BN118" i="299" s="1"/>
  <c r="AJ118" i="299"/>
  <c r="AK118" i="299" s="1"/>
  <c r="AL118" i="299" s="1"/>
  <c r="AM118" i="299" s="1"/>
  <c r="AN118" i="299" s="1"/>
  <c r="AO118" i="299" s="1"/>
  <c r="AP118" i="299" s="1"/>
  <c r="AI118" i="299"/>
  <c r="AF118" i="299"/>
  <c r="AG118" i="299" s="1"/>
  <c r="AH118" i="299" s="1"/>
  <c r="AE118" i="299"/>
  <c r="AM117" i="299"/>
  <c r="AN117" i="299" s="1"/>
  <c r="AO117" i="299" s="1"/>
  <c r="AP117" i="299" s="1"/>
  <c r="AQ117" i="299" s="1"/>
  <c r="AR117" i="299" s="1"/>
  <c r="AS117" i="299" s="1"/>
  <c r="AT117" i="299" s="1"/>
  <c r="AU117" i="299" s="1"/>
  <c r="AV117" i="299" s="1"/>
  <c r="AW117" i="299" s="1"/>
  <c r="AX117" i="299" s="1"/>
  <c r="AY117" i="299" s="1"/>
  <c r="AZ117" i="299" s="1"/>
  <c r="BA117" i="299" s="1"/>
  <c r="BB117" i="299" s="1"/>
  <c r="BC117" i="299" s="1"/>
  <c r="BD117" i="299" s="1"/>
  <c r="BE117" i="299" s="1"/>
  <c r="BF117" i="299" s="1"/>
  <c r="BG117" i="299" s="1"/>
  <c r="BH117" i="299" s="1"/>
  <c r="BI117" i="299" s="1"/>
  <c r="BJ117" i="299" s="1"/>
  <c r="BK117" i="299" s="1"/>
  <c r="BL117" i="299" s="1"/>
  <c r="BM117" i="299" s="1"/>
  <c r="BN117" i="299" s="1"/>
  <c r="AF117" i="299"/>
  <c r="AG117" i="299" s="1"/>
  <c r="AH117" i="299" s="1"/>
  <c r="AI117" i="299" s="1"/>
  <c r="AJ117" i="299" s="1"/>
  <c r="AK117" i="299" s="1"/>
  <c r="AL117" i="299" s="1"/>
  <c r="AE117" i="299"/>
  <c r="AZ116" i="299"/>
  <c r="BA116" i="299" s="1"/>
  <c r="BB116" i="299" s="1"/>
  <c r="BC116" i="299" s="1"/>
  <c r="BD116" i="299" s="1"/>
  <c r="BE116" i="299" s="1"/>
  <c r="BF116" i="299" s="1"/>
  <c r="BG116" i="299" s="1"/>
  <c r="BH116" i="299" s="1"/>
  <c r="BI116" i="299" s="1"/>
  <c r="BJ116" i="299" s="1"/>
  <c r="BK116" i="299" s="1"/>
  <c r="BL116" i="299" s="1"/>
  <c r="BM116" i="299" s="1"/>
  <c r="BN116" i="299" s="1"/>
  <c r="AJ116" i="299"/>
  <c r="AK116" i="299" s="1"/>
  <c r="AL116" i="299" s="1"/>
  <c r="AM116" i="299" s="1"/>
  <c r="AN116" i="299" s="1"/>
  <c r="AO116" i="299" s="1"/>
  <c r="AP116" i="299" s="1"/>
  <c r="AQ116" i="299" s="1"/>
  <c r="AR116" i="299" s="1"/>
  <c r="AS116" i="299" s="1"/>
  <c r="AT116" i="299" s="1"/>
  <c r="AU116" i="299" s="1"/>
  <c r="AV116" i="299" s="1"/>
  <c r="AW116" i="299" s="1"/>
  <c r="AX116" i="299" s="1"/>
  <c r="AY116" i="299" s="1"/>
  <c r="AI116" i="299"/>
  <c r="AF116" i="299"/>
  <c r="AG116" i="299" s="1"/>
  <c r="AH116" i="299" s="1"/>
  <c r="AE116" i="299"/>
  <c r="AV115" i="299"/>
  <c r="AW115" i="299" s="1"/>
  <c r="AX115" i="299" s="1"/>
  <c r="AY115" i="299" s="1"/>
  <c r="AZ115" i="299" s="1"/>
  <c r="BA115" i="299" s="1"/>
  <c r="BB115" i="299" s="1"/>
  <c r="BC115" i="299" s="1"/>
  <c r="BD115" i="299" s="1"/>
  <c r="BE115" i="299" s="1"/>
  <c r="BF115" i="299" s="1"/>
  <c r="BG115" i="299" s="1"/>
  <c r="BH115" i="299" s="1"/>
  <c r="BI115" i="299" s="1"/>
  <c r="BJ115" i="299" s="1"/>
  <c r="BK115" i="299" s="1"/>
  <c r="BL115" i="299" s="1"/>
  <c r="BM115" i="299" s="1"/>
  <c r="BN115" i="299" s="1"/>
  <c r="AF115" i="299"/>
  <c r="AG115" i="299" s="1"/>
  <c r="AH115" i="299" s="1"/>
  <c r="AI115" i="299" s="1"/>
  <c r="AJ115" i="299" s="1"/>
  <c r="AK115" i="299" s="1"/>
  <c r="AL115" i="299" s="1"/>
  <c r="AM115" i="299" s="1"/>
  <c r="AN115" i="299" s="1"/>
  <c r="AO115" i="299" s="1"/>
  <c r="AP115" i="299" s="1"/>
  <c r="AQ115" i="299" s="1"/>
  <c r="AR115" i="299" s="1"/>
  <c r="AS115" i="299" s="1"/>
  <c r="AT115" i="299" s="1"/>
  <c r="AU115" i="299" s="1"/>
  <c r="AE115" i="299"/>
  <c r="BG114" i="299"/>
  <c r="BH114" i="299" s="1"/>
  <c r="BI114" i="299" s="1"/>
  <c r="BJ114" i="299" s="1"/>
  <c r="BK114" i="299" s="1"/>
  <c r="BL114" i="299" s="1"/>
  <c r="BM114" i="299" s="1"/>
  <c r="BN114" i="299" s="1"/>
  <c r="AJ114" i="299"/>
  <c r="AK114" i="299" s="1"/>
  <c r="AL114" i="299" s="1"/>
  <c r="AM114" i="299" s="1"/>
  <c r="AN114" i="299" s="1"/>
  <c r="AO114" i="299" s="1"/>
  <c r="AP114" i="299" s="1"/>
  <c r="AQ114" i="299" s="1"/>
  <c r="AR114" i="299" s="1"/>
  <c r="AS114" i="299" s="1"/>
  <c r="AT114" i="299" s="1"/>
  <c r="AU114" i="299" s="1"/>
  <c r="AV114" i="299" s="1"/>
  <c r="AW114" i="299" s="1"/>
  <c r="AX114" i="299" s="1"/>
  <c r="AY114" i="299" s="1"/>
  <c r="AZ114" i="299" s="1"/>
  <c r="BA114" i="299" s="1"/>
  <c r="BB114" i="299" s="1"/>
  <c r="BC114" i="299" s="1"/>
  <c r="BD114" i="299" s="1"/>
  <c r="BE114" i="299" s="1"/>
  <c r="BF114" i="299" s="1"/>
  <c r="AI114" i="299"/>
  <c r="AF114" i="299"/>
  <c r="AG114" i="299" s="1"/>
  <c r="AH114" i="299" s="1"/>
  <c r="AE114" i="299"/>
  <c r="BC113" i="299"/>
  <c r="BD113" i="299" s="1"/>
  <c r="BE113" i="299" s="1"/>
  <c r="BF113" i="299" s="1"/>
  <c r="BG113" i="299" s="1"/>
  <c r="BH113" i="299" s="1"/>
  <c r="BI113" i="299" s="1"/>
  <c r="BJ113" i="299" s="1"/>
  <c r="BK113" i="299" s="1"/>
  <c r="BL113" i="299" s="1"/>
  <c r="BM113" i="299" s="1"/>
  <c r="BN113" i="299" s="1"/>
  <c r="AF113" i="299"/>
  <c r="AG113" i="299" s="1"/>
  <c r="AH113" i="299" s="1"/>
  <c r="AI113" i="299" s="1"/>
  <c r="AJ113" i="299" s="1"/>
  <c r="AK113" i="299" s="1"/>
  <c r="AL113" i="299" s="1"/>
  <c r="AM113" i="299" s="1"/>
  <c r="AN113" i="299" s="1"/>
  <c r="AO113" i="299" s="1"/>
  <c r="AP113" i="299" s="1"/>
  <c r="AQ113" i="299" s="1"/>
  <c r="AR113" i="299" s="1"/>
  <c r="AS113" i="299" s="1"/>
  <c r="AT113" i="299" s="1"/>
  <c r="AU113" i="299" s="1"/>
  <c r="AV113" i="299" s="1"/>
  <c r="AW113" i="299" s="1"/>
  <c r="AX113" i="299" s="1"/>
  <c r="AY113" i="299" s="1"/>
  <c r="AZ113" i="299" s="1"/>
  <c r="BA113" i="299" s="1"/>
  <c r="BB113" i="299" s="1"/>
  <c r="AE113" i="299"/>
  <c r="AJ112" i="299"/>
  <c r="AK112" i="299" s="1"/>
  <c r="AL112" i="299" s="1"/>
  <c r="AM112" i="299" s="1"/>
  <c r="AN112" i="299" s="1"/>
  <c r="AO112" i="299" s="1"/>
  <c r="AP112" i="299" s="1"/>
  <c r="AQ112" i="299" s="1"/>
  <c r="AR112" i="299" s="1"/>
  <c r="AS112" i="299" s="1"/>
  <c r="AT112" i="299" s="1"/>
  <c r="AU112" i="299" s="1"/>
  <c r="AV112" i="299" s="1"/>
  <c r="AW112" i="299" s="1"/>
  <c r="AX112" i="299" s="1"/>
  <c r="AY112" i="299" s="1"/>
  <c r="AZ112" i="299" s="1"/>
  <c r="BA112" i="299" s="1"/>
  <c r="BB112" i="299" s="1"/>
  <c r="BC112" i="299" s="1"/>
  <c r="BD112" i="299" s="1"/>
  <c r="BE112" i="299" s="1"/>
  <c r="BF112" i="299" s="1"/>
  <c r="BG112" i="299" s="1"/>
  <c r="BH112" i="299" s="1"/>
  <c r="BI112" i="299" s="1"/>
  <c r="BJ112" i="299" s="1"/>
  <c r="BK112" i="299" s="1"/>
  <c r="BL112" i="299" s="1"/>
  <c r="BM112" i="299" s="1"/>
  <c r="BN112" i="299" s="1"/>
  <c r="AI112" i="299"/>
  <c r="AF112" i="299"/>
  <c r="AG112" i="299" s="1"/>
  <c r="AH112" i="299" s="1"/>
  <c r="AE112" i="299"/>
  <c r="BL111" i="299"/>
  <c r="BM111" i="299" s="1"/>
  <c r="BN111" i="299" s="1"/>
  <c r="AF111" i="299"/>
  <c r="AG111" i="299" s="1"/>
  <c r="AH111" i="299" s="1"/>
  <c r="AI111" i="299" s="1"/>
  <c r="AJ111" i="299" s="1"/>
  <c r="AK111" i="299" s="1"/>
  <c r="AL111" i="299" s="1"/>
  <c r="AM111" i="299" s="1"/>
  <c r="AN111" i="299" s="1"/>
  <c r="AO111" i="299" s="1"/>
  <c r="AP111" i="299" s="1"/>
  <c r="AQ111" i="299" s="1"/>
  <c r="AR111" i="299" s="1"/>
  <c r="AS111" i="299" s="1"/>
  <c r="AT111" i="299" s="1"/>
  <c r="AU111" i="299" s="1"/>
  <c r="AV111" i="299" s="1"/>
  <c r="AW111" i="299" s="1"/>
  <c r="AX111" i="299" s="1"/>
  <c r="AY111" i="299" s="1"/>
  <c r="AZ111" i="299" s="1"/>
  <c r="BA111" i="299" s="1"/>
  <c r="BB111" i="299" s="1"/>
  <c r="BC111" i="299" s="1"/>
  <c r="BD111" i="299" s="1"/>
  <c r="BE111" i="299" s="1"/>
  <c r="BF111" i="299" s="1"/>
  <c r="BG111" i="299" s="1"/>
  <c r="BH111" i="299" s="1"/>
  <c r="BI111" i="299" s="1"/>
  <c r="BJ111" i="299" s="1"/>
  <c r="BK111" i="299" s="1"/>
  <c r="AE111" i="299"/>
  <c r="AQ110" i="299"/>
  <c r="AR110" i="299" s="1"/>
  <c r="AS110" i="299" s="1"/>
  <c r="AT110" i="299" s="1"/>
  <c r="AU110" i="299" s="1"/>
  <c r="AV110" i="299" s="1"/>
  <c r="AW110" i="299" s="1"/>
  <c r="AX110" i="299" s="1"/>
  <c r="AY110" i="299" s="1"/>
  <c r="AZ110" i="299" s="1"/>
  <c r="BA110" i="299" s="1"/>
  <c r="BB110" i="299" s="1"/>
  <c r="BC110" i="299" s="1"/>
  <c r="BD110" i="299" s="1"/>
  <c r="BE110" i="299" s="1"/>
  <c r="BF110" i="299" s="1"/>
  <c r="BG110" i="299" s="1"/>
  <c r="BH110" i="299" s="1"/>
  <c r="BI110" i="299" s="1"/>
  <c r="BJ110" i="299" s="1"/>
  <c r="BK110" i="299" s="1"/>
  <c r="BL110" i="299" s="1"/>
  <c r="BM110" i="299" s="1"/>
  <c r="BN110" i="299" s="1"/>
  <c r="AJ110" i="299"/>
  <c r="AK110" i="299" s="1"/>
  <c r="AL110" i="299" s="1"/>
  <c r="AM110" i="299" s="1"/>
  <c r="AN110" i="299" s="1"/>
  <c r="AO110" i="299" s="1"/>
  <c r="AP110" i="299" s="1"/>
  <c r="AI110" i="299"/>
  <c r="AF110" i="299"/>
  <c r="AG110" i="299" s="1"/>
  <c r="AH110" i="299" s="1"/>
  <c r="AE110" i="299"/>
  <c r="AN109" i="299"/>
  <c r="AO109" i="299" s="1"/>
  <c r="AP109" i="299" s="1"/>
  <c r="AQ109" i="299" s="1"/>
  <c r="AR109" i="299" s="1"/>
  <c r="AS109" i="299" s="1"/>
  <c r="AT109" i="299" s="1"/>
  <c r="AU109" i="299" s="1"/>
  <c r="AV109" i="299" s="1"/>
  <c r="AW109" i="299" s="1"/>
  <c r="AX109" i="299" s="1"/>
  <c r="AY109" i="299" s="1"/>
  <c r="AZ109" i="299" s="1"/>
  <c r="BA109" i="299" s="1"/>
  <c r="BB109" i="299" s="1"/>
  <c r="BC109" i="299" s="1"/>
  <c r="BD109" i="299" s="1"/>
  <c r="BE109" i="299" s="1"/>
  <c r="BF109" i="299" s="1"/>
  <c r="BG109" i="299" s="1"/>
  <c r="BH109" i="299" s="1"/>
  <c r="BI109" i="299" s="1"/>
  <c r="BJ109" i="299" s="1"/>
  <c r="BK109" i="299" s="1"/>
  <c r="BL109" i="299" s="1"/>
  <c r="BM109" i="299" s="1"/>
  <c r="BN109" i="299" s="1"/>
  <c r="AE109" i="299"/>
  <c r="AF109" i="299" s="1"/>
  <c r="AG109" i="299" s="1"/>
  <c r="AH109" i="299" s="1"/>
  <c r="AI109" i="299" s="1"/>
  <c r="AJ109" i="299" s="1"/>
  <c r="AK109" i="299" s="1"/>
  <c r="AL109" i="299" s="1"/>
  <c r="AM109" i="299" s="1"/>
  <c r="AI108" i="299"/>
  <c r="AJ108" i="299" s="1"/>
  <c r="AK108" i="299" s="1"/>
  <c r="AL108" i="299" s="1"/>
  <c r="AM108" i="299" s="1"/>
  <c r="AN108" i="299" s="1"/>
  <c r="AO108" i="299" s="1"/>
  <c r="AP108" i="299" s="1"/>
  <c r="AQ108" i="299" s="1"/>
  <c r="AR108" i="299" s="1"/>
  <c r="AS108" i="299" s="1"/>
  <c r="AT108" i="299" s="1"/>
  <c r="AU108" i="299" s="1"/>
  <c r="AV108" i="299" s="1"/>
  <c r="AW108" i="299" s="1"/>
  <c r="AX108" i="299" s="1"/>
  <c r="AY108" i="299" s="1"/>
  <c r="AZ108" i="299" s="1"/>
  <c r="BA108" i="299" s="1"/>
  <c r="BB108" i="299" s="1"/>
  <c r="BC108" i="299" s="1"/>
  <c r="BD108" i="299" s="1"/>
  <c r="BE108" i="299" s="1"/>
  <c r="BF108" i="299" s="1"/>
  <c r="BG108" i="299" s="1"/>
  <c r="BH108" i="299" s="1"/>
  <c r="BI108" i="299" s="1"/>
  <c r="BJ108" i="299" s="1"/>
  <c r="BK108" i="299" s="1"/>
  <c r="BL108" i="299" s="1"/>
  <c r="BM108" i="299" s="1"/>
  <c r="BN108" i="299" s="1"/>
  <c r="AF108" i="299"/>
  <c r="AG108" i="299" s="1"/>
  <c r="AH108" i="299" s="1"/>
  <c r="AE108" i="299"/>
  <c r="AM107" i="299"/>
  <c r="AN107" i="299" s="1"/>
  <c r="AO107" i="299" s="1"/>
  <c r="AP107" i="299" s="1"/>
  <c r="AQ107" i="299" s="1"/>
  <c r="AR107" i="299" s="1"/>
  <c r="AS107" i="299" s="1"/>
  <c r="AT107" i="299" s="1"/>
  <c r="AU107" i="299" s="1"/>
  <c r="AV107" i="299" s="1"/>
  <c r="AW107" i="299" s="1"/>
  <c r="AX107" i="299" s="1"/>
  <c r="AY107" i="299" s="1"/>
  <c r="AZ107" i="299" s="1"/>
  <c r="BA107" i="299" s="1"/>
  <c r="BB107" i="299" s="1"/>
  <c r="BC107" i="299" s="1"/>
  <c r="BD107" i="299" s="1"/>
  <c r="BE107" i="299" s="1"/>
  <c r="BF107" i="299" s="1"/>
  <c r="BG107" i="299" s="1"/>
  <c r="BH107" i="299" s="1"/>
  <c r="BI107" i="299" s="1"/>
  <c r="BJ107" i="299" s="1"/>
  <c r="BK107" i="299" s="1"/>
  <c r="BL107" i="299" s="1"/>
  <c r="BM107" i="299" s="1"/>
  <c r="BN107" i="299" s="1"/>
  <c r="AE107" i="299"/>
  <c r="AF107" i="299" s="1"/>
  <c r="AG107" i="299" s="1"/>
  <c r="AH107" i="299" s="1"/>
  <c r="AI107" i="299" s="1"/>
  <c r="AJ107" i="299" s="1"/>
  <c r="AK107" i="299" s="1"/>
  <c r="AL107" i="299" s="1"/>
  <c r="AS106" i="299"/>
  <c r="AT106" i="299" s="1"/>
  <c r="AU106" i="299" s="1"/>
  <c r="AV106" i="299" s="1"/>
  <c r="AW106" i="299" s="1"/>
  <c r="AX106" i="299" s="1"/>
  <c r="AY106" i="299" s="1"/>
  <c r="AZ106" i="299" s="1"/>
  <c r="BA106" i="299" s="1"/>
  <c r="BB106" i="299" s="1"/>
  <c r="BC106" i="299" s="1"/>
  <c r="BD106" i="299" s="1"/>
  <c r="BE106" i="299" s="1"/>
  <c r="BF106" i="299" s="1"/>
  <c r="BG106" i="299" s="1"/>
  <c r="BH106" i="299" s="1"/>
  <c r="BI106" i="299" s="1"/>
  <c r="BJ106" i="299" s="1"/>
  <c r="BK106" i="299" s="1"/>
  <c r="BL106" i="299" s="1"/>
  <c r="BM106" i="299" s="1"/>
  <c r="BN106" i="299" s="1"/>
  <c r="AH106" i="299"/>
  <c r="AI106" i="299" s="1"/>
  <c r="AJ106" i="299" s="1"/>
  <c r="AK106" i="299" s="1"/>
  <c r="AL106" i="299" s="1"/>
  <c r="AM106" i="299" s="1"/>
  <c r="AN106" i="299" s="1"/>
  <c r="AO106" i="299" s="1"/>
  <c r="AP106" i="299" s="1"/>
  <c r="AQ106" i="299" s="1"/>
  <c r="AR106" i="299" s="1"/>
  <c r="AG106" i="299"/>
  <c r="AE106" i="299"/>
  <c r="AF106" i="299" s="1"/>
  <c r="AE105" i="299"/>
  <c r="AF105" i="299" s="1"/>
  <c r="AG105" i="299" s="1"/>
  <c r="AH105" i="299" s="1"/>
  <c r="AI105" i="299" s="1"/>
  <c r="AJ105" i="299" s="1"/>
  <c r="AK105" i="299" s="1"/>
  <c r="AL105" i="299" s="1"/>
  <c r="AM105" i="299" s="1"/>
  <c r="AN105" i="299" s="1"/>
  <c r="AO105" i="299" s="1"/>
  <c r="AP105" i="299" s="1"/>
  <c r="AQ105" i="299" s="1"/>
  <c r="AR105" i="299" s="1"/>
  <c r="AS105" i="299" s="1"/>
  <c r="AT105" i="299" s="1"/>
  <c r="AU105" i="299" s="1"/>
  <c r="AV105" i="299" s="1"/>
  <c r="AW105" i="299" s="1"/>
  <c r="AX105" i="299" s="1"/>
  <c r="AY105" i="299" s="1"/>
  <c r="AZ105" i="299" s="1"/>
  <c r="BA105" i="299" s="1"/>
  <c r="BB105" i="299" s="1"/>
  <c r="BC105" i="299" s="1"/>
  <c r="BD105" i="299" s="1"/>
  <c r="BE105" i="299" s="1"/>
  <c r="BF105" i="299" s="1"/>
  <c r="BG105" i="299" s="1"/>
  <c r="BH105" i="299" s="1"/>
  <c r="BI105" i="299" s="1"/>
  <c r="BJ105" i="299" s="1"/>
  <c r="BK105" i="299" s="1"/>
  <c r="BL105" i="299" s="1"/>
  <c r="BM105" i="299" s="1"/>
  <c r="BN105" i="299" s="1"/>
  <c r="AP104" i="299"/>
  <c r="AQ104" i="299" s="1"/>
  <c r="AR104" i="299" s="1"/>
  <c r="AS104" i="299" s="1"/>
  <c r="AT104" i="299" s="1"/>
  <c r="AU104" i="299" s="1"/>
  <c r="AV104" i="299" s="1"/>
  <c r="AW104" i="299" s="1"/>
  <c r="AX104" i="299" s="1"/>
  <c r="AY104" i="299" s="1"/>
  <c r="AZ104" i="299" s="1"/>
  <c r="BA104" i="299" s="1"/>
  <c r="BB104" i="299" s="1"/>
  <c r="BC104" i="299" s="1"/>
  <c r="BD104" i="299" s="1"/>
  <c r="BE104" i="299" s="1"/>
  <c r="BF104" i="299" s="1"/>
  <c r="BG104" i="299" s="1"/>
  <c r="BH104" i="299" s="1"/>
  <c r="BI104" i="299" s="1"/>
  <c r="BJ104" i="299" s="1"/>
  <c r="BK104" i="299" s="1"/>
  <c r="BL104" i="299" s="1"/>
  <c r="BM104" i="299" s="1"/>
  <c r="BN104" i="299" s="1"/>
  <c r="AH104" i="299"/>
  <c r="AI104" i="299" s="1"/>
  <c r="AJ104" i="299" s="1"/>
  <c r="AK104" i="299" s="1"/>
  <c r="AL104" i="299" s="1"/>
  <c r="AM104" i="299" s="1"/>
  <c r="AN104" i="299" s="1"/>
  <c r="AO104" i="299" s="1"/>
  <c r="AE104" i="299"/>
  <c r="AF104" i="299" s="1"/>
  <c r="AG104" i="299" s="1"/>
  <c r="AG103" i="299"/>
  <c r="AH103" i="299" s="1"/>
  <c r="AI103" i="299" s="1"/>
  <c r="AJ103" i="299" s="1"/>
  <c r="AK103" i="299" s="1"/>
  <c r="AL103" i="299" s="1"/>
  <c r="AM103" i="299" s="1"/>
  <c r="AN103" i="299" s="1"/>
  <c r="AO103" i="299" s="1"/>
  <c r="AP103" i="299" s="1"/>
  <c r="AQ103" i="299" s="1"/>
  <c r="AR103" i="299" s="1"/>
  <c r="AS103" i="299" s="1"/>
  <c r="AT103" i="299" s="1"/>
  <c r="AU103" i="299" s="1"/>
  <c r="AV103" i="299" s="1"/>
  <c r="AW103" i="299" s="1"/>
  <c r="AX103" i="299" s="1"/>
  <c r="AY103" i="299" s="1"/>
  <c r="AZ103" i="299" s="1"/>
  <c r="BA103" i="299" s="1"/>
  <c r="BB103" i="299" s="1"/>
  <c r="BC103" i="299" s="1"/>
  <c r="BD103" i="299" s="1"/>
  <c r="BE103" i="299" s="1"/>
  <c r="BF103" i="299" s="1"/>
  <c r="BG103" i="299" s="1"/>
  <c r="BH103" i="299" s="1"/>
  <c r="BI103" i="299" s="1"/>
  <c r="BJ103" i="299" s="1"/>
  <c r="BK103" i="299" s="1"/>
  <c r="BL103" i="299" s="1"/>
  <c r="BM103" i="299" s="1"/>
  <c r="BN103" i="299" s="1"/>
  <c r="AE103" i="299"/>
  <c r="AF103" i="299" s="1"/>
  <c r="AL102" i="299"/>
  <c r="AM102" i="299" s="1"/>
  <c r="AN102" i="299" s="1"/>
  <c r="AO102" i="299" s="1"/>
  <c r="AP102" i="299" s="1"/>
  <c r="AQ102" i="299" s="1"/>
  <c r="AR102" i="299" s="1"/>
  <c r="AS102" i="299" s="1"/>
  <c r="AT102" i="299" s="1"/>
  <c r="AU102" i="299" s="1"/>
  <c r="AV102" i="299" s="1"/>
  <c r="AW102" i="299" s="1"/>
  <c r="AX102" i="299" s="1"/>
  <c r="AY102" i="299" s="1"/>
  <c r="AZ102" i="299" s="1"/>
  <c r="BA102" i="299" s="1"/>
  <c r="BB102" i="299" s="1"/>
  <c r="BC102" i="299" s="1"/>
  <c r="BD102" i="299" s="1"/>
  <c r="BE102" i="299" s="1"/>
  <c r="BF102" i="299" s="1"/>
  <c r="BG102" i="299" s="1"/>
  <c r="BH102" i="299" s="1"/>
  <c r="BI102" i="299" s="1"/>
  <c r="BJ102" i="299" s="1"/>
  <c r="BK102" i="299" s="1"/>
  <c r="BL102" i="299" s="1"/>
  <c r="BM102" i="299" s="1"/>
  <c r="BN102" i="299" s="1"/>
  <c r="AE102" i="299"/>
  <c r="AF102" i="299" s="1"/>
  <c r="AG102" i="299" s="1"/>
  <c r="AH102" i="299" s="1"/>
  <c r="AI102" i="299" s="1"/>
  <c r="AJ102" i="299" s="1"/>
  <c r="AK102" i="299" s="1"/>
  <c r="AS101" i="299"/>
  <c r="AT101" i="299" s="1"/>
  <c r="AU101" i="299" s="1"/>
  <c r="AV101" i="299" s="1"/>
  <c r="AW101" i="299" s="1"/>
  <c r="AX101" i="299" s="1"/>
  <c r="AY101" i="299" s="1"/>
  <c r="AZ101" i="299" s="1"/>
  <c r="BA101" i="299" s="1"/>
  <c r="BB101" i="299" s="1"/>
  <c r="BC101" i="299" s="1"/>
  <c r="BD101" i="299" s="1"/>
  <c r="BE101" i="299" s="1"/>
  <c r="BF101" i="299" s="1"/>
  <c r="BG101" i="299" s="1"/>
  <c r="BH101" i="299" s="1"/>
  <c r="BI101" i="299" s="1"/>
  <c r="BJ101" i="299" s="1"/>
  <c r="BK101" i="299" s="1"/>
  <c r="BL101" i="299" s="1"/>
  <c r="BM101" i="299" s="1"/>
  <c r="BN101" i="299" s="1"/>
  <c r="AK101" i="299"/>
  <c r="AL101" i="299" s="1"/>
  <c r="AM101" i="299" s="1"/>
  <c r="AN101" i="299" s="1"/>
  <c r="AO101" i="299" s="1"/>
  <c r="AP101" i="299" s="1"/>
  <c r="AQ101" i="299" s="1"/>
  <c r="AR101" i="299" s="1"/>
  <c r="AE101" i="299"/>
  <c r="AF101" i="299" s="1"/>
  <c r="AG101" i="299" s="1"/>
  <c r="AH101" i="299" s="1"/>
  <c r="AI101" i="299" s="1"/>
  <c r="AJ101" i="299" s="1"/>
  <c r="AE100" i="299"/>
  <c r="AF100" i="299" s="1"/>
  <c r="AG100" i="299" s="1"/>
  <c r="AH100" i="299" s="1"/>
  <c r="AI100" i="299" s="1"/>
  <c r="AJ100" i="299" s="1"/>
  <c r="AK100" i="299" s="1"/>
  <c r="AL100" i="299" s="1"/>
  <c r="AM100" i="299" s="1"/>
  <c r="AN100" i="299" s="1"/>
  <c r="AO100" i="299" s="1"/>
  <c r="AP100" i="299" s="1"/>
  <c r="AQ100" i="299" s="1"/>
  <c r="AR100" i="299" s="1"/>
  <c r="AS100" i="299" s="1"/>
  <c r="AT100" i="299" s="1"/>
  <c r="AU100" i="299" s="1"/>
  <c r="AV100" i="299" s="1"/>
  <c r="AW100" i="299" s="1"/>
  <c r="AX100" i="299" s="1"/>
  <c r="AY100" i="299" s="1"/>
  <c r="AZ100" i="299" s="1"/>
  <c r="BA100" i="299" s="1"/>
  <c r="BB100" i="299" s="1"/>
  <c r="BC100" i="299" s="1"/>
  <c r="BD100" i="299" s="1"/>
  <c r="BE100" i="299" s="1"/>
  <c r="BF100" i="299" s="1"/>
  <c r="BG100" i="299" s="1"/>
  <c r="BH100" i="299" s="1"/>
  <c r="BI100" i="299" s="1"/>
  <c r="BJ100" i="299" s="1"/>
  <c r="BK100" i="299" s="1"/>
  <c r="BL100" i="299" s="1"/>
  <c r="BM100" i="299" s="1"/>
  <c r="BN100" i="299" s="1"/>
  <c r="AO99" i="299"/>
  <c r="AP99" i="299" s="1"/>
  <c r="AQ99" i="299" s="1"/>
  <c r="AR99" i="299" s="1"/>
  <c r="AS99" i="299" s="1"/>
  <c r="AT99" i="299" s="1"/>
  <c r="AU99" i="299" s="1"/>
  <c r="AV99" i="299" s="1"/>
  <c r="AW99" i="299" s="1"/>
  <c r="AX99" i="299" s="1"/>
  <c r="AY99" i="299" s="1"/>
  <c r="AZ99" i="299" s="1"/>
  <c r="BA99" i="299" s="1"/>
  <c r="BB99" i="299" s="1"/>
  <c r="BC99" i="299" s="1"/>
  <c r="BD99" i="299" s="1"/>
  <c r="BE99" i="299" s="1"/>
  <c r="BF99" i="299" s="1"/>
  <c r="BG99" i="299" s="1"/>
  <c r="BH99" i="299" s="1"/>
  <c r="BI99" i="299" s="1"/>
  <c r="BJ99" i="299" s="1"/>
  <c r="BK99" i="299" s="1"/>
  <c r="BL99" i="299" s="1"/>
  <c r="BM99" i="299" s="1"/>
  <c r="BN99" i="299" s="1"/>
  <c r="AG99" i="299"/>
  <c r="AH99" i="299" s="1"/>
  <c r="AI99" i="299" s="1"/>
  <c r="AJ99" i="299" s="1"/>
  <c r="AK99" i="299" s="1"/>
  <c r="AL99" i="299" s="1"/>
  <c r="AM99" i="299" s="1"/>
  <c r="AN99" i="299" s="1"/>
  <c r="AE99" i="299"/>
  <c r="AF99" i="299" s="1"/>
  <c r="AE98" i="299"/>
  <c r="AF98" i="299" s="1"/>
  <c r="AG98" i="299" s="1"/>
  <c r="AH98" i="299" s="1"/>
  <c r="AI98" i="299" s="1"/>
  <c r="AJ98" i="299" s="1"/>
  <c r="AK98" i="299" s="1"/>
  <c r="AL98" i="299" s="1"/>
  <c r="AM98" i="299" s="1"/>
  <c r="AN98" i="299" s="1"/>
  <c r="AO98" i="299" s="1"/>
  <c r="AP98" i="299" s="1"/>
  <c r="AQ98" i="299" s="1"/>
  <c r="AR98" i="299" s="1"/>
  <c r="AS98" i="299" s="1"/>
  <c r="AT98" i="299" s="1"/>
  <c r="AU98" i="299" s="1"/>
  <c r="AV98" i="299" s="1"/>
  <c r="AW98" i="299" s="1"/>
  <c r="AX98" i="299" s="1"/>
  <c r="AY98" i="299" s="1"/>
  <c r="AZ98" i="299" s="1"/>
  <c r="BA98" i="299" s="1"/>
  <c r="BB98" i="299" s="1"/>
  <c r="BC98" i="299" s="1"/>
  <c r="BD98" i="299" s="1"/>
  <c r="BE98" i="299" s="1"/>
  <c r="BF98" i="299" s="1"/>
  <c r="BG98" i="299" s="1"/>
  <c r="BH98" i="299" s="1"/>
  <c r="BI98" i="299" s="1"/>
  <c r="BJ98" i="299" s="1"/>
  <c r="BK98" i="299" s="1"/>
  <c r="BL98" i="299" s="1"/>
  <c r="BM98" i="299" s="1"/>
  <c r="BN98" i="299" s="1"/>
  <c r="AE97" i="299"/>
  <c r="AF97" i="299" s="1"/>
  <c r="AG97" i="299" s="1"/>
  <c r="AH97" i="299" s="1"/>
  <c r="AI97" i="299" s="1"/>
  <c r="AJ97" i="299" s="1"/>
  <c r="AK97" i="299" s="1"/>
  <c r="AL97" i="299" s="1"/>
  <c r="AM97" i="299" s="1"/>
  <c r="AN97" i="299" s="1"/>
  <c r="AO97" i="299" s="1"/>
  <c r="AP97" i="299" s="1"/>
  <c r="AQ97" i="299" s="1"/>
  <c r="AR97" i="299" s="1"/>
  <c r="AS97" i="299" s="1"/>
  <c r="AT97" i="299" s="1"/>
  <c r="AU97" i="299" s="1"/>
  <c r="AV97" i="299" s="1"/>
  <c r="AW97" i="299" s="1"/>
  <c r="AX97" i="299" s="1"/>
  <c r="AY97" i="299" s="1"/>
  <c r="AZ97" i="299" s="1"/>
  <c r="BA97" i="299" s="1"/>
  <c r="BB97" i="299" s="1"/>
  <c r="BC97" i="299" s="1"/>
  <c r="BD97" i="299" s="1"/>
  <c r="BE97" i="299" s="1"/>
  <c r="BF97" i="299" s="1"/>
  <c r="BG97" i="299" s="1"/>
  <c r="BH97" i="299" s="1"/>
  <c r="BI97" i="299" s="1"/>
  <c r="BJ97" i="299" s="1"/>
  <c r="BK97" i="299" s="1"/>
  <c r="BL97" i="299" s="1"/>
  <c r="BM97" i="299" s="1"/>
  <c r="BN97" i="299" s="1"/>
  <c r="AP96" i="299"/>
  <c r="AQ96" i="299" s="1"/>
  <c r="AR96" i="299" s="1"/>
  <c r="AS96" i="299" s="1"/>
  <c r="AT96" i="299" s="1"/>
  <c r="AU96" i="299" s="1"/>
  <c r="AV96" i="299" s="1"/>
  <c r="AW96" i="299" s="1"/>
  <c r="AX96" i="299" s="1"/>
  <c r="AY96" i="299" s="1"/>
  <c r="AZ96" i="299" s="1"/>
  <c r="BA96" i="299" s="1"/>
  <c r="BB96" i="299" s="1"/>
  <c r="BC96" i="299" s="1"/>
  <c r="BD96" i="299" s="1"/>
  <c r="BE96" i="299" s="1"/>
  <c r="BF96" i="299" s="1"/>
  <c r="BG96" i="299" s="1"/>
  <c r="BH96" i="299" s="1"/>
  <c r="BI96" i="299" s="1"/>
  <c r="BJ96" i="299" s="1"/>
  <c r="BK96" i="299" s="1"/>
  <c r="BL96" i="299" s="1"/>
  <c r="BM96" i="299" s="1"/>
  <c r="BN96" i="299" s="1"/>
  <c r="AH96" i="299"/>
  <c r="AI96" i="299" s="1"/>
  <c r="AJ96" i="299" s="1"/>
  <c r="AK96" i="299" s="1"/>
  <c r="AL96" i="299" s="1"/>
  <c r="AM96" i="299" s="1"/>
  <c r="AN96" i="299" s="1"/>
  <c r="AO96" i="299" s="1"/>
  <c r="AE96" i="299"/>
  <c r="AF96" i="299" s="1"/>
  <c r="AG96" i="299" s="1"/>
  <c r="AG95" i="299"/>
  <c r="AH95" i="299" s="1"/>
  <c r="AI95" i="299" s="1"/>
  <c r="AJ95" i="299" s="1"/>
  <c r="AK95" i="299" s="1"/>
  <c r="AL95" i="299" s="1"/>
  <c r="AM95" i="299" s="1"/>
  <c r="AN95" i="299" s="1"/>
  <c r="AO95" i="299" s="1"/>
  <c r="AP95" i="299" s="1"/>
  <c r="AQ95" i="299" s="1"/>
  <c r="AR95" i="299" s="1"/>
  <c r="AS95" i="299" s="1"/>
  <c r="AT95" i="299" s="1"/>
  <c r="AU95" i="299" s="1"/>
  <c r="AV95" i="299" s="1"/>
  <c r="AW95" i="299" s="1"/>
  <c r="AX95" i="299" s="1"/>
  <c r="AY95" i="299" s="1"/>
  <c r="AZ95" i="299" s="1"/>
  <c r="BA95" i="299" s="1"/>
  <c r="BB95" i="299" s="1"/>
  <c r="BC95" i="299" s="1"/>
  <c r="BD95" i="299" s="1"/>
  <c r="BE95" i="299" s="1"/>
  <c r="BF95" i="299" s="1"/>
  <c r="BG95" i="299" s="1"/>
  <c r="BH95" i="299" s="1"/>
  <c r="BI95" i="299" s="1"/>
  <c r="BJ95" i="299" s="1"/>
  <c r="BK95" i="299" s="1"/>
  <c r="BL95" i="299" s="1"/>
  <c r="BM95" i="299" s="1"/>
  <c r="BN95" i="299" s="1"/>
  <c r="AE95" i="299"/>
  <c r="AF95" i="299" s="1"/>
  <c r="AL94" i="299"/>
  <c r="AM94" i="299" s="1"/>
  <c r="AN94" i="299" s="1"/>
  <c r="AO94" i="299" s="1"/>
  <c r="AP94" i="299" s="1"/>
  <c r="AQ94" i="299" s="1"/>
  <c r="AR94" i="299" s="1"/>
  <c r="AS94" i="299" s="1"/>
  <c r="AT94" i="299" s="1"/>
  <c r="AU94" i="299" s="1"/>
  <c r="AV94" i="299" s="1"/>
  <c r="AW94" i="299" s="1"/>
  <c r="AX94" i="299" s="1"/>
  <c r="AY94" i="299" s="1"/>
  <c r="AZ94" i="299" s="1"/>
  <c r="BA94" i="299" s="1"/>
  <c r="BB94" i="299" s="1"/>
  <c r="BC94" i="299" s="1"/>
  <c r="BD94" i="299" s="1"/>
  <c r="BE94" i="299" s="1"/>
  <c r="BF94" i="299" s="1"/>
  <c r="BG94" i="299" s="1"/>
  <c r="BH94" i="299" s="1"/>
  <c r="BI94" i="299" s="1"/>
  <c r="BJ94" i="299" s="1"/>
  <c r="BK94" i="299" s="1"/>
  <c r="BL94" i="299" s="1"/>
  <c r="BM94" i="299" s="1"/>
  <c r="BN94" i="299" s="1"/>
  <c r="AE94" i="299"/>
  <c r="AF94" i="299" s="1"/>
  <c r="AG94" i="299" s="1"/>
  <c r="AH94" i="299" s="1"/>
  <c r="AI94" i="299" s="1"/>
  <c r="AJ94" i="299" s="1"/>
  <c r="AK94" i="299" s="1"/>
  <c r="AS93" i="299"/>
  <c r="AT93" i="299" s="1"/>
  <c r="AU93" i="299" s="1"/>
  <c r="AV93" i="299" s="1"/>
  <c r="AW93" i="299" s="1"/>
  <c r="AX93" i="299" s="1"/>
  <c r="AY93" i="299" s="1"/>
  <c r="AZ93" i="299" s="1"/>
  <c r="BA93" i="299" s="1"/>
  <c r="BB93" i="299" s="1"/>
  <c r="BC93" i="299" s="1"/>
  <c r="BD93" i="299" s="1"/>
  <c r="BE93" i="299" s="1"/>
  <c r="BF93" i="299" s="1"/>
  <c r="BG93" i="299" s="1"/>
  <c r="BH93" i="299" s="1"/>
  <c r="BI93" i="299" s="1"/>
  <c r="BJ93" i="299" s="1"/>
  <c r="BK93" i="299" s="1"/>
  <c r="BL93" i="299" s="1"/>
  <c r="BM93" i="299" s="1"/>
  <c r="BN93" i="299" s="1"/>
  <c r="AK93" i="299"/>
  <c r="AL93" i="299" s="1"/>
  <c r="AM93" i="299" s="1"/>
  <c r="AN93" i="299" s="1"/>
  <c r="AO93" i="299" s="1"/>
  <c r="AP93" i="299" s="1"/>
  <c r="AQ93" i="299" s="1"/>
  <c r="AR93" i="299" s="1"/>
  <c r="AE93" i="299"/>
  <c r="AF93" i="299" s="1"/>
  <c r="AG93" i="299" s="1"/>
  <c r="AH93" i="299" s="1"/>
  <c r="AI93" i="299" s="1"/>
  <c r="AJ93" i="299" s="1"/>
  <c r="AE92" i="299"/>
  <c r="AF92" i="299" s="1"/>
  <c r="AG92" i="299" s="1"/>
  <c r="AH92" i="299" s="1"/>
  <c r="AI92" i="299" s="1"/>
  <c r="AJ92" i="299" s="1"/>
  <c r="AK92" i="299" s="1"/>
  <c r="AL92" i="299" s="1"/>
  <c r="AM92" i="299" s="1"/>
  <c r="AN92" i="299" s="1"/>
  <c r="AO92" i="299" s="1"/>
  <c r="AP92" i="299" s="1"/>
  <c r="AQ92" i="299" s="1"/>
  <c r="AR92" i="299" s="1"/>
  <c r="AS92" i="299" s="1"/>
  <c r="AT92" i="299" s="1"/>
  <c r="AU92" i="299" s="1"/>
  <c r="AV92" i="299" s="1"/>
  <c r="AW92" i="299" s="1"/>
  <c r="AX92" i="299" s="1"/>
  <c r="AY92" i="299" s="1"/>
  <c r="AZ92" i="299" s="1"/>
  <c r="BA92" i="299" s="1"/>
  <c r="BB92" i="299" s="1"/>
  <c r="BC92" i="299" s="1"/>
  <c r="BD92" i="299" s="1"/>
  <c r="BE92" i="299" s="1"/>
  <c r="BF92" i="299" s="1"/>
  <c r="BG92" i="299" s="1"/>
  <c r="BH92" i="299" s="1"/>
  <c r="BI92" i="299" s="1"/>
  <c r="BJ92" i="299" s="1"/>
  <c r="BK92" i="299" s="1"/>
  <c r="BL92" i="299" s="1"/>
  <c r="BM92" i="299" s="1"/>
  <c r="BN92" i="299" s="1"/>
  <c r="AO91" i="299"/>
  <c r="AP91" i="299" s="1"/>
  <c r="AQ91" i="299" s="1"/>
  <c r="AR91" i="299" s="1"/>
  <c r="AS91" i="299" s="1"/>
  <c r="AT91" i="299" s="1"/>
  <c r="AU91" i="299" s="1"/>
  <c r="AV91" i="299" s="1"/>
  <c r="AW91" i="299" s="1"/>
  <c r="AX91" i="299" s="1"/>
  <c r="AY91" i="299" s="1"/>
  <c r="AZ91" i="299" s="1"/>
  <c r="BA91" i="299" s="1"/>
  <c r="BB91" i="299" s="1"/>
  <c r="BC91" i="299" s="1"/>
  <c r="BD91" i="299" s="1"/>
  <c r="BE91" i="299" s="1"/>
  <c r="BF91" i="299" s="1"/>
  <c r="BG91" i="299" s="1"/>
  <c r="BH91" i="299" s="1"/>
  <c r="BI91" i="299" s="1"/>
  <c r="BJ91" i="299" s="1"/>
  <c r="BK91" i="299" s="1"/>
  <c r="BL91" i="299" s="1"/>
  <c r="BM91" i="299" s="1"/>
  <c r="BN91" i="299" s="1"/>
  <c r="AG91" i="299"/>
  <c r="AH91" i="299" s="1"/>
  <c r="AI91" i="299" s="1"/>
  <c r="AJ91" i="299" s="1"/>
  <c r="AK91" i="299" s="1"/>
  <c r="AL91" i="299" s="1"/>
  <c r="AM91" i="299" s="1"/>
  <c r="AN91" i="299" s="1"/>
  <c r="AE91" i="299"/>
  <c r="AF91" i="299" s="1"/>
  <c r="AE90" i="299"/>
  <c r="AF90" i="299" s="1"/>
  <c r="AG90" i="299" s="1"/>
  <c r="AH90" i="299" s="1"/>
  <c r="AI90" i="299" s="1"/>
  <c r="AJ90" i="299" s="1"/>
  <c r="AK90" i="299" s="1"/>
  <c r="AL90" i="299" s="1"/>
  <c r="AM90" i="299" s="1"/>
  <c r="AN90" i="299" s="1"/>
  <c r="AO90" i="299" s="1"/>
  <c r="AP90" i="299" s="1"/>
  <c r="AQ90" i="299" s="1"/>
  <c r="AR90" i="299" s="1"/>
  <c r="AS90" i="299" s="1"/>
  <c r="AT90" i="299" s="1"/>
  <c r="AU90" i="299" s="1"/>
  <c r="AV90" i="299" s="1"/>
  <c r="AW90" i="299" s="1"/>
  <c r="AX90" i="299" s="1"/>
  <c r="AY90" i="299" s="1"/>
  <c r="AZ90" i="299" s="1"/>
  <c r="BA90" i="299" s="1"/>
  <c r="BB90" i="299" s="1"/>
  <c r="BC90" i="299" s="1"/>
  <c r="BD90" i="299" s="1"/>
  <c r="BE90" i="299" s="1"/>
  <c r="BF90" i="299" s="1"/>
  <c r="BG90" i="299" s="1"/>
  <c r="BH90" i="299" s="1"/>
  <c r="BI90" i="299" s="1"/>
  <c r="BJ90" i="299" s="1"/>
  <c r="BK90" i="299" s="1"/>
  <c r="BL90" i="299" s="1"/>
  <c r="BM90" i="299" s="1"/>
  <c r="BN90" i="299" s="1"/>
  <c r="AE89" i="299"/>
  <c r="AF89" i="299" s="1"/>
  <c r="AG89" i="299" s="1"/>
  <c r="AH89" i="299" s="1"/>
  <c r="AI89" i="299" s="1"/>
  <c r="AJ89" i="299" s="1"/>
  <c r="AK89" i="299" s="1"/>
  <c r="AL89" i="299" s="1"/>
  <c r="AM89" i="299" s="1"/>
  <c r="AN89" i="299" s="1"/>
  <c r="AO89" i="299" s="1"/>
  <c r="AP89" i="299" s="1"/>
  <c r="AQ89" i="299" s="1"/>
  <c r="AR89" i="299" s="1"/>
  <c r="AS89" i="299" s="1"/>
  <c r="AT89" i="299" s="1"/>
  <c r="AU89" i="299" s="1"/>
  <c r="AV89" i="299" s="1"/>
  <c r="AW89" i="299" s="1"/>
  <c r="AX89" i="299" s="1"/>
  <c r="AY89" i="299" s="1"/>
  <c r="AZ89" i="299" s="1"/>
  <c r="BA89" i="299" s="1"/>
  <c r="BB89" i="299" s="1"/>
  <c r="BC89" i="299" s="1"/>
  <c r="BD89" i="299" s="1"/>
  <c r="BE89" i="299" s="1"/>
  <c r="BF89" i="299" s="1"/>
  <c r="BG89" i="299" s="1"/>
  <c r="BH89" i="299" s="1"/>
  <c r="BI89" i="299" s="1"/>
  <c r="BJ89" i="299" s="1"/>
  <c r="BK89" i="299" s="1"/>
  <c r="BL89" i="299" s="1"/>
  <c r="BM89" i="299" s="1"/>
  <c r="BN89" i="299" s="1"/>
  <c r="AP88" i="299"/>
  <c r="AQ88" i="299" s="1"/>
  <c r="AR88" i="299" s="1"/>
  <c r="AS88" i="299" s="1"/>
  <c r="AT88" i="299" s="1"/>
  <c r="AU88" i="299" s="1"/>
  <c r="AV88" i="299" s="1"/>
  <c r="AW88" i="299" s="1"/>
  <c r="AX88" i="299" s="1"/>
  <c r="AY88" i="299" s="1"/>
  <c r="AZ88" i="299" s="1"/>
  <c r="BA88" i="299" s="1"/>
  <c r="BB88" i="299" s="1"/>
  <c r="BC88" i="299" s="1"/>
  <c r="BD88" i="299" s="1"/>
  <c r="BE88" i="299" s="1"/>
  <c r="BF88" i="299" s="1"/>
  <c r="BG88" i="299" s="1"/>
  <c r="BH88" i="299" s="1"/>
  <c r="BI88" i="299" s="1"/>
  <c r="BJ88" i="299" s="1"/>
  <c r="BK88" i="299" s="1"/>
  <c r="BL88" i="299" s="1"/>
  <c r="BM88" i="299" s="1"/>
  <c r="BN88" i="299" s="1"/>
  <c r="AH88" i="299"/>
  <c r="AI88" i="299" s="1"/>
  <c r="AJ88" i="299" s="1"/>
  <c r="AK88" i="299" s="1"/>
  <c r="AL88" i="299" s="1"/>
  <c r="AM88" i="299" s="1"/>
  <c r="AN88" i="299" s="1"/>
  <c r="AO88" i="299" s="1"/>
  <c r="AE88" i="299"/>
  <c r="AF88" i="299" s="1"/>
  <c r="AG88" i="299" s="1"/>
  <c r="AG87" i="299"/>
  <c r="AH87" i="299" s="1"/>
  <c r="AI87" i="299" s="1"/>
  <c r="AJ87" i="299" s="1"/>
  <c r="AK87" i="299" s="1"/>
  <c r="AL87" i="299" s="1"/>
  <c r="AM87" i="299" s="1"/>
  <c r="AN87" i="299" s="1"/>
  <c r="AO87" i="299" s="1"/>
  <c r="AP87" i="299" s="1"/>
  <c r="AQ87" i="299" s="1"/>
  <c r="AR87" i="299" s="1"/>
  <c r="AS87" i="299" s="1"/>
  <c r="AT87" i="299" s="1"/>
  <c r="AU87" i="299" s="1"/>
  <c r="AV87" i="299" s="1"/>
  <c r="AW87" i="299" s="1"/>
  <c r="AX87" i="299" s="1"/>
  <c r="AY87" i="299" s="1"/>
  <c r="AZ87" i="299" s="1"/>
  <c r="BA87" i="299" s="1"/>
  <c r="BB87" i="299" s="1"/>
  <c r="BC87" i="299" s="1"/>
  <c r="BD87" i="299" s="1"/>
  <c r="BE87" i="299" s="1"/>
  <c r="BF87" i="299" s="1"/>
  <c r="BG87" i="299" s="1"/>
  <c r="BH87" i="299" s="1"/>
  <c r="BI87" i="299" s="1"/>
  <c r="BJ87" i="299" s="1"/>
  <c r="BK87" i="299" s="1"/>
  <c r="BL87" i="299" s="1"/>
  <c r="BM87" i="299" s="1"/>
  <c r="BN87" i="299" s="1"/>
  <c r="AE87" i="299"/>
  <c r="AF87" i="299" s="1"/>
  <c r="AL86" i="299"/>
  <c r="AM86" i="299" s="1"/>
  <c r="AN86" i="299" s="1"/>
  <c r="AO86" i="299" s="1"/>
  <c r="AP86" i="299" s="1"/>
  <c r="AQ86" i="299" s="1"/>
  <c r="AR86" i="299" s="1"/>
  <c r="AS86" i="299" s="1"/>
  <c r="AT86" i="299" s="1"/>
  <c r="AU86" i="299" s="1"/>
  <c r="AV86" i="299" s="1"/>
  <c r="AW86" i="299" s="1"/>
  <c r="AX86" i="299" s="1"/>
  <c r="AY86" i="299" s="1"/>
  <c r="AZ86" i="299" s="1"/>
  <c r="BA86" i="299" s="1"/>
  <c r="BB86" i="299" s="1"/>
  <c r="BC86" i="299" s="1"/>
  <c r="BD86" i="299" s="1"/>
  <c r="BE86" i="299" s="1"/>
  <c r="BF86" i="299" s="1"/>
  <c r="BG86" i="299" s="1"/>
  <c r="BH86" i="299" s="1"/>
  <c r="BI86" i="299" s="1"/>
  <c r="BJ86" i="299" s="1"/>
  <c r="BK86" i="299" s="1"/>
  <c r="BL86" i="299" s="1"/>
  <c r="BM86" i="299" s="1"/>
  <c r="BN86" i="299" s="1"/>
  <c r="AE86" i="299"/>
  <c r="AF86" i="299" s="1"/>
  <c r="AG86" i="299" s="1"/>
  <c r="AH86" i="299" s="1"/>
  <c r="AI86" i="299" s="1"/>
  <c r="AJ86" i="299" s="1"/>
  <c r="AK86" i="299" s="1"/>
  <c r="AS85" i="299"/>
  <c r="AT85" i="299" s="1"/>
  <c r="AU85" i="299" s="1"/>
  <c r="AV85" i="299" s="1"/>
  <c r="AW85" i="299" s="1"/>
  <c r="AX85" i="299" s="1"/>
  <c r="AY85" i="299" s="1"/>
  <c r="AZ85" i="299" s="1"/>
  <c r="BA85" i="299" s="1"/>
  <c r="BB85" i="299" s="1"/>
  <c r="BC85" i="299" s="1"/>
  <c r="BD85" i="299" s="1"/>
  <c r="BE85" i="299" s="1"/>
  <c r="BF85" i="299" s="1"/>
  <c r="BG85" i="299" s="1"/>
  <c r="BH85" i="299" s="1"/>
  <c r="BI85" i="299" s="1"/>
  <c r="BJ85" i="299" s="1"/>
  <c r="BK85" i="299" s="1"/>
  <c r="BL85" i="299" s="1"/>
  <c r="BM85" i="299" s="1"/>
  <c r="BN85" i="299" s="1"/>
  <c r="AK85" i="299"/>
  <c r="AL85" i="299" s="1"/>
  <c r="AM85" i="299" s="1"/>
  <c r="AN85" i="299" s="1"/>
  <c r="AO85" i="299" s="1"/>
  <c r="AP85" i="299" s="1"/>
  <c r="AQ85" i="299" s="1"/>
  <c r="AR85" i="299" s="1"/>
  <c r="AE85" i="299"/>
  <c r="AF85" i="299" s="1"/>
  <c r="AG85" i="299" s="1"/>
  <c r="AH85" i="299" s="1"/>
  <c r="AI85" i="299" s="1"/>
  <c r="AJ85" i="299" s="1"/>
  <c r="AE84" i="299"/>
  <c r="AF84" i="299" s="1"/>
  <c r="AG84" i="299" s="1"/>
  <c r="AH84" i="299" s="1"/>
  <c r="AI84" i="299" s="1"/>
  <c r="AJ84" i="299" s="1"/>
  <c r="AK84" i="299" s="1"/>
  <c r="AL84" i="299" s="1"/>
  <c r="AM84" i="299" s="1"/>
  <c r="AN84" i="299" s="1"/>
  <c r="AO84" i="299" s="1"/>
  <c r="AP84" i="299" s="1"/>
  <c r="AQ84" i="299" s="1"/>
  <c r="AR84" i="299" s="1"/>
  <c r="AS84" i="299" s="1"/>
  <c r="AT84" i="299" s="1"/>
  <c r="AU84" i="299" s="1"/>
  <c r="AV84" i="299" s="1"/>
  <c r="AW84" i="299" s="1"/>
  <c r="AX84" i="299" s="1"/>
  <c r="AY84" i="299" s="1"/>
  <c r="AZ84" i="299" s="1"/>
  <c r="BA84" i="299" s="1"/>
  <c r="BB84" i="299" s="1"/>
  <c r="BC84" i="299" s="1"/>
  <c r="BD84" i="299" s="1"/>
  <c r="BE84" i="299" s="1"/>
  <c r="BF84" i="299" s="1"/>
  <c r="BG84" i="299" s="1"/>
  <c r="BH84" i="299" s="1"/>
  <c r="BI84" i="299" s="1"/>
  <c r="BJ84" i="299" s="1"/>
  <c r="BK84" i="299" s="1"/>
  <c r="BL84" i="299" s="1"/>
  <c r="BM84" i="299" s="1"/>
  <c r="BN84" i="299" s="1"/>
  <c r="AO83" i="299"/>
  <c r="AP83" i="299" s="1"/>
  <c r="AQ83" i="299" s="1"/>
  <c r="AR83" i="299" s="1"/>
  <c r="AS83" i="299" s="1"/>
  <c r="AT83" i="299" s="1"/>
  <c r="AU83" i="299" s="1"/>
  <c r="AV83" i="299" s="1"/>
  <c r="AW83" i="299" s="1"/>
  <c r="AX83" i="299" s="1"/>
  <c r="AY83" i="299" s="1"/>
  <c r="AZ83" i="299" s="1"/>
  <c r="BA83" i="299" s="1"/>
  <c r="BB83" i="299" s="1"/>
  <c r="BC83" i="299" s="1"/>
  <c r="BD83" i="299" s="1"/>
  <c r="BE83" i="299" s="1"/>
  <c r="BF83" i="299" s="1"/>
  <c r="BG83" i="299" s="1"/>
  <c r="BH83" i="299" s="1"/>
  <c r="BI83" i="299" s="1"/>
  <c r="BJ83" i="299" s="1"/>
  <c r="BK83" i="299" s="1"/>
  <c r="BL83" i="299" s="1"/>
  <c r="BM83" i="299" s="1"/>
  <c r="BN83" i="299" s="1"/>
  <c r="AG83" i="299"/>
  <c r="AH83" i="299" s="1"/>
  <c r="AI83" i="299" s="1"/>
  <c r="AJ83" i="299" s="1"/>
  <c r="AK83" i="299" s="1"/>
  <c r="AL83" i="299" s="1"/>
  <c r="AM83" i="299" s="1"/>
  <c r="AN83" i="299" s="1"/>
  <c r="AE83" i="299"/>
  <c r="AF83" i="299" s="1"/>
  <c r="AE82" i="299"/>
  <c r="AF82" i="299" s="1"/>
  <c r="AG82" i="299" s="1"/>
  <c r="AH82" i="299" s="1"/>
  <c r="AI82" i="299" s="1"/>
  <c r="AJ82" i="299" s="1"/>
  <c r="AK82" i="299" s="1"/>
  <c r="AL82" i="299" s="1"/>
  <c r="AM82" i="299" s="1"/>
  <c r="AN82" i="299" s="1"/>
  <c r="AO82" i="299" s="1"/>
  <c r="AP82" i="299" s="1"/>
  <c r="AQ82" i="299" s="1"/>
  <c r="AR82" i="299" s="1"/>
  <c r="AS82" i="299" s="1"/>
  <c r="AT82" i="299" s="1"/>
  <c r="AU82" i="299" s="1"/>
  <c r="AV82" i="299" s="1"/>
  <c r="AW82" i="299" s="1"/>
  <c r="AX82" i="299" s="1"/>
  <c r="AY82" i="299" s="1"/>
  <c r="AZ82" i="299" s="1"/>
  <c r="BA82" i="299" s="1"/>
  <c r="BB82" i="299" s="1"/>
  <c r="BC82" i="299" s="1"/>
  <c r="BD82" i="299" s="1"/>
  <c r="BE82" i="299" s="1"/>
  <c r="BF82" i="299" s="1"/>
  <c r="BG82" i="299" s="1"/>
  <c r="BH82" i="299" s="1"/>
  <c r="BI82" i="299" s="1"/>
  <c r="BJ82" i="299" s="1"/>
  <c r="BK82" i="299" s="1"/>
  <c r="BL82" i="299" s="1"/>
  <c r="BM82" i="299" s="1"/>
  <c r="BN82" i="299" s="1"/>
  <c r="AE81" i="299"/>
  <c r="AF81" i="299" s="1"/>
  <c r="AG81" i="299" s="1"/>
  <c r="AH81" i="299" s="1"/>
  <c r="AI81" i="299" s="1"/>
  <c r="AJ81" i="299" s="1"/>
  <c r="AK81" i="299" s="1"/>
  <c r="AL81" i="299" s="1"/>
  <c r="AM81" i="299" s="1"/>
  <c r="AN81" i="299" s="1"/>
  <c r="AO81" i="299" s="1"/>
  <c r="AP81" i="299" s="1"/>
  <c r="AQ81" i="299" s="1"/>
  <c r="AR81" i="299" s="1"/>
  <c r="AS81" i="299" s="1"/>
  <c r="AT81" i="299" s="1"/>
  <c r="AU81" i="299" s="1"/>
  <c r="AV81" i="299" s="1"/>
  <c r="AW81" i="299" s="1"/>
  <c r="AX81" i="299" s="1"/>
  <c r="AY81" i="299" s="1"/>
  <c r="AZ81" i="299" s="1"/>
  <c r="BA81" i="299" s="1"/>
  <c r="BB81" i="299" s="1"/>
  <c r="BC81" i="299" s="1"/>
  <c r="BD81" i="299" s="1"/>
  <c r="BE81" i="299" s="1"/>
  <c r="BF81" i="299" s="1"/>
  <c r="BG81" i="299" s="1"/>
  <c r="BH81" i="299" s="1"/>
  <c r="BI81" i="299" s="1"/>
  <c r="BJ81" i="299" s="1"/>
  <c r="BK81" i="299" s="1"/>
  <c r="BL81" i="299" s="1"/>
  <c r="BM81" i="299" s="1"/>
  <c r="BN81" i="299" s="1"/>
  <c r="AP80" i="299"/>
  <c r="AQ80" i="299" s="1"/>
  <c r="AR80" i="299" s="1"/>
  <c r="AS80" i="299" s="1"/>
  <c r="AT80" i="299" s="1"/>
  <c r="AU80" i="299" s="1"/>
  <c r="AV80" i="299" s="1"/>
  <c r="AW80" i="299" s="1"/>
  <c r="AX80" i="299" s="1"/>
  <c r="AY80" i="299" s="1"/>
  <c r="AZ80" i="299" s="1"/>
  <c r="BA80" i="299" s="1"/>
  <c r="BB80" i="299" s="1"/>
  <c r="BC80" i="299" s="1"/>
  <c r="BD80" i="299" s="1"/>
  <c r="BE80" i="299" s="1"/>
  <c r="BF80" i="299" s="1"/>
  <c r="BG80" i="299" s="1"/>
  <c r="BH80" i="299" s="1"/>
  <c r="BI80" i="299" s="1"/>
  <c r="BJ80" i="299" s="1"/>
  <c r="BK80" i="299" s="1"/>
  <c r="BL80" i="299" s="1"/>
  <c r="BM80" i="299" s="1"/>
  <c r="BN80" i="299" s="1"/>
  <c r="AH80" i="299"/>
  <c r="AI80" i="299" s="1"/>
  <c r="AJ80" i="299" s="1"/>
  <c r="AK80" i="299" s="1"/>
  <c r="AL80" i="299" s="1"/>
  <c r="AM80" i="299" s="1"/>
  <c r="AN80" i="299" s="1"/>
  <c r="AO80" i="299" s="1"/>
  <c r="AE80" i="299"/>
  <c r="AF80" i="299" s="1"/>
  <c r="AG80" i="299" s="1"/>
  <c r="AG79" i="299"/>
  <c r="AH79" i="299" s="1"/>
  <c r="AI79" i="299" s="1"/>
  <c r="AJ79" i="299" s="1"/>
  <c r="AK79" i="299" s="1"/>
  <c r="AL79" i="299" s="1"/>
  <c r="AM79" i="299" s="1"/>
  <c r="AN79" i="299" s="1"/>
  <c r="AO79" i="299" s="1"/>
  <c r="AP79" i="299" s="1"/>
  <c r="AQ79" i="299" s="1"/>
  <c r="AR79" i="299" s="1"/>
  <c r="AS79" i="299" s="1"/>
  <c r="AT79" i="299" s="1"/>
  <c r="AU79" i="299" s="1"/>
  <c r="AV79" i="299" s="1"/>
  <c r="AW79" i="299" s="1"/>
  <c r="AX79" i="299" s="1"/>
  <c r="AY79" i="299" s="1"/>
  <c r="AZ79" i="299" s="1"/>
  <c r="BA79" i="299" s="1"/>
  <c r="BB79" i="299" s="1"/>
  <c r="BC79" i="299" s="1"/>
  <c r="BD79" i="299" s="1"/>
  <c r="BE79" i="299" s="1"/>
  <c r="BF79" i="299" s="1"/>
  <c r="BG79" i="299" s="1"/>
  <c r="BH79" i="299" s="1"/>
  <c r="BI79" i="299" s="1"/>
  <c r="BJ79" i="299" s="1"/>
  <c r="BK79" i="299" s="1"/>
  <c r="BL79" i="299" s="1"/>
  <c r="BM79" i="299" s="1"/>
  <c r="BN79" i="299" s="1"/>
  <c r="AE79" i="299"/>
  <c r="AF79" i="299" s="1"/>
  <c r="AL78" i="299"/>
  <c r="AM78" i="299" s="1"/>
  <c r="AN78" i="299" s="1"/>
  <c r="AO78" i="299" s="1"/>
  <c r="AP78" i="299" s="1"/>
  <c r="AQ78" i="299" s="1"/>
  <c r="AR78" i="299" s="1"/>
  <c r="AS78" i="299" s="1"/>
  <c r="AT78" i="299" s="1"/>
  <c r="AU78" i="299" s="1"/>
  <c r="AV78" i="299" s="1"/>
  <c r="AW78" i="299" s="1"/>
  <c r="AX78" i="299" s="1"/>
  <c r="AY78" i="299" s="1"/>
  <c r="AZ78" i="299" s="1"/>
  <c r="BA78" i="299" s="1"/>
  <c r="BB78" i="299" s="1"/>
  <c r="BC78" i="299" s="1"/>
  <c r="BD78" i="299" s="1"/>
  <c r="BE78" i="299" s="1"/>
  <c r="BF78" i="299" s="1"/>
  <c r="BG78" i="299" s="1"/>
  <c r="BH78" i="299" s="1"/>
  <c r="BI78" i="299" s="1"/>
  <c r="BJ78" i="299" s="1"/>
  <c r="BK78" i="299" s="1"/>
  <c r="BL78" i="299" s="1"/>
  <c r="BM78" i="299" s="1"/>
  <c r="BN78" i="299" s="1"/>
  <c r="AE78" i="299"/>
  <c r="AF78" i="299" s="1"/>
  <c r="AG78" i="299" s="1"/>
  <c r="AH78" i="299" s="1"/>
  <c r="AI78" i="299" s="1"/>
  <c r="AJ78" i="299" s="1"/>
  <c r="AK78" i="299" s="1"/>
  <c r="AE77" i="299"/>
  <c r="AF77" i="299" s="1"/>
  <c r="AG77" i="299" s="1"/>
  <c r="AH77" i="299" s="1"/>
  <c r="AI77" i="299" s="1"/>
  <c r="AJ77" i="299" s="1"/>
  <c r="AK77" i="299" s="1"/>
  <c r="AL77" i="299" s="1"/>
  <c r="AM77" i="299" s="1"/>
  <c r="AN77" i="299" s="1"/>
  <c r="AO77" i="299" s="1"/>
  <c r="AP77" i="299" s="1"/>
  <c r="AQ77" i="299" s="1"/>
  <c r="AR77" i="299" s="1"/>
  <c r="AS77" i="299" s="1"/>
  <c r="AT77" i="299" s="1"/>
  <c r="AU77" i="299" s="1"/>
  <c r="AV77" i="299" s="1"/>
  <c r="AW77" i="299" s="1"/>
  <c r="AX77" i="299" s="1"/>
  <c r="AY77" i="299" s="1"/>
  <c r="AZ77" i="299" s="1"/>
  <c r="BA77" i="299" s="1"/>
  <c r="BB77" i="299" s="1"/>
  <c r="BC77" i="299" s="1"/>
  <c r="BD77" i="299" s="1"/>
  <c r="BE77" i="299" s="1"/>
  <c r="BF77" i="299" s="1"/>
  <c r="BG77" i="299" s="1"/>
  <c r="BH77" i="299" s="1"/>
  <c r="BI77" i="299" s="1"/>
  <c r="BJ77" i="299" s="1"/>
  <c r="BK77" i="299" s="1"/>
  <c r="BL77" i="299" s="1"/>
  <c r="BM77" i="299" s="1"/>
  <c r="BN77" i="299" s="1"/>
  <c r="AE76" i="299"/>
  <c r="AF76" i="299" s="1"/>
  <c r="AG76" i="299" s="1"/>
  <c r="AH76" i="299" s="1"/>
  <c r="AI76" i="299" s="1"/>
  <c r="AJ76" i="299" s="1"/>
  <c r="AK76" i="299" s="1"/>
  <c r="AL76" i="299" s="1"/>
  <c r="AM76" i="299" s="1"/>
  <c r="AN76" i="299" s="1"/>
  <c r="AO76" i="299" s="1"/>
  <c r="AP76" i="299" s="1"/>
  <c r="AQ76" i="299" s="1"/>
  <c r="AR76" i="299" s="1"/>
  <c r="AS76" i="299" s="1"/>
  <c r="AT76" i="299" s="1"/>
  <c r="AU76" i="299" s="1"/>
  <c r="AV76" i="299" s="1"/>
  <c r="AW76" i="299" s="1"/>
  <c r="AX76" i="299" s="1"/>
  <c r="AY76" i="299" s="1"/>
  <c r="AZ76" i="299" s="1"/>
  <c r="BA76" i="299" s="1"/>
  <c r="BB76" i="299" s="1"/>
  <c r="BC76" i="299" s="1"/>
  <c r="BD76" i="299" s="1"/>
  <c r="BE76" i="299" s="1"/>
  <c r="BF76" i="299" s="1"/>
  <c r="BG76" i="299" s="1"/>
  <c r="BH76" i="299" s="1"/>
  <c r="BI76" i="299" s="1"/>
  <c r="BJ76" i="299" s="1"/>
  <c r="BK76" i="299" s="1"/>
  <c r="BL76" i="299" s="1"/>
  <c r="BM76" i="299" s="1"/>
  <c r="BN76" i="299" s="1"/>
  <c r="AF75" i="299"/>
  <c r="AG75" i="299" s="1"/>
  <c r="AH75" i="299" s="1"/>
  <c r="AI75" i="299" s="1"/>
  <c r="AJ75" i="299" s="1"/>
  <c r="AK75" i="299" s="1"/>
  <c r="AL75" i="299" s="1"/>
  <c r="AM75" i="299" s="1"/>
  <c r="AN75" i="299" s="1"/>
  <c r="AO75" i="299" s="1"/>
  <c r="AP75" i="299" s="1"/>
  <c r="AQ75" i="299" s="1"/>
  <c r="AR75" i="299" s="1"/>
  <c r="AS75" i="299" s="1"/>
  <c r="AT75" i="299" s="1"/>
  <c r="AU75" i="299" s="1"/>
  <c r="AV75" i="299" s="1"/>
  <c r="AW75" i="299" s="1"/>
  <c r="AX75" i="299" s="1"/>
  <c r="AY75" i="299" s="1"/>
  <c r="AZ75" i="299" s="1"/>
  <c r="BA75" i="299" s="1"/>
  <c r="BB75" i="299" s="1"/>
  <c r="BC75" i="299" s="1"/>
  <c r="BD75" i="299" s="1"/>
  <c r="BE75" i="299" s="1"/>
  <c r="BF75" i="299" s="1"/>
  <c r="BG75" i="299" s="1"/>
  <c r="BH75" i="299" s="1"/>
  <c r="BI75" i="299" s="1"/>
  <c r="BJ75" i="299" s="1"/>
  <c r="BK75" i="299" s="1"/>
  <c r="BL75" i="299" s="1"/>
  <c r="BM75" i="299" s="1"/>
  <c r="BN75" i="299" s="1"/>
  <c r="AE75" i="299"/>
  <c r="AN74" i="299"/>
  <c r="AO74" i="299" s="1"/>
  <c r="AP74" i="299" s="1"/>
  <c r="AQ74" i="299" s="1"/>
  <c r="AR74" i="299" s="1"/>
  <c r="AS74" i="299" s="1"/>
  <c r="AT74" i="299" s="1"/>
  <c r="AU74" i="299" s="1"/>
  <c r="AV74" i="299" s="1"/>
  <c r="AW74" i="299" s="1"/>
  <c r="AX74" i="299" s="1"/>
  <c r="AY74" i="299" s="1"/>
  <c r="AZ74" i="299" s="1"/>
  <c r="BA74" i="299" s="1"/>
  <c r="BB74" i="299" s="1"/>
  <c r="BC74" i="299" s="1"/>
  <c r="BD74" i="299" s="1"/>
  <c r="BE74" i="299" s="1"/>
  <c r="BF74" i="299" s="1"/>
  <c r="BG74" i="299" s="1"/>
  <c r="BH74" i="299" s="1"/>
  <c r="BI74" i="299" s="1"/>
  <c r="BJ74" i="299" s="1"/>
  <c r="BK74" i="299" s="1"/>
  <c r="BL74" i="299" s="1"/>
  <c r="BM74" i="299" s="1"/>
  <c r="BN74" i="299" s="1"/>
  <c r="AJ74" i="299"/>
  <c r="AK74" i="299" s="1"/>
  <c r="AL74" i="299" s="1"/>
  <c r="AM74" i="299" s="1"/>
  <c r="AF74" i="299"/>
  <c r="AG74" i="299" s="1"/>
  <c r="AH74" i="299" s="1"/>
  <c r="AI74" i="299" s="1"/>
  <c r="AE74" i="299"/>
  <c r="AF73" i="299"/>
  <c r="AG73" i="299" s="1"/>
  <c r="AH73" i="299" s="1"/>
  <c r="AI73" i="299" s="1"/>
  <c r="AJ73" i="299" s="1"/>
  <c r="AK73" i="299" s="1"/>
  <c r="AL73" i="299" s="1"/>
  <c r="AM73" i="299" s="1"/>
  <c r="AN73" i="299" s="1"/>
  <c r="AO73" i="299" s="1"/>
  <c r="AP73" i="299" s="1"/>
  <c r="AQ73" i="299" s="1"/>
  <c r="AR73" i="299" s="1"/>
  <c r="AS73" i="299" s="1"/>
  <c r="AT73" i="299" s="1"/>
  <c r="AU73" i="299" s="1"/>
  <c r="AV73" i="299" s="1"/>
  <c r="AW73" i="299" s="1"/>
  <c r="AX73" i="299" s="1"/>
  <c r="AY73" i="299" s="1"/>
  <c r="AZ73" i="299" s="1"/>
  <c r="BA73" i="299" s="1"/>
  <c r="BB73" i="299" s="1"/>
  <c r="BC73" i="299" s="1"/>
  <c r="BD73" i="299" s="1"/>
  <c r="BE73" i="299" s="1"/>
  <c r="BF73" i="299" s="1"/>
  <c r="BG73" i="299" s="1"/>
  <c r="BH73" i="299" s="1"/>
  <c r="BI73" i="299" s="1"/>
  <c r="BJ73" i="299" s="1"/>
  <c r="BK73" i="299" s="1"/>
  <c r="BL73" i="299" s="1"/>
  <c r="BM73" i="299" s="1"/>
  <c r="BN73" i="299" s="1"/>
  <c r="AE73" i="299"/>
  <c r="AN72" i="299"/>
  <c r="AO72" i="299" s="1"/>
  <c r="AP72" i="299" s="1"/>
  <c r="AQ72" i="299" s="1"/>
  <c r="AR72" i="299" s="1"/>
  <c r="AS72" i="299" s="1"/>
  <c r="AT72" i="299" s="1"/>
  <c r="AU72" i="299" s="1"/>
  <c r="AV72" i="299" s="1"/>
  <c r="AW72" i="299" s="1"/>
  <c r="AX72" i="299" s="1"/>
  <c r="AY72" i="299" s="1"/>
  <c r="AZ72" i="299" s="1"/>
  <c r="BA72" i="299" s="1"/>
  <c r="BB72" i="299" s="1"/>
  <c r="BC72" i="299" s="1"/>
  <c r="BD72" i="299" s="1"/>
  <c r="BE72" i="299" s="1"/>
  <c r="BF72" i="299" s="1"/>
  <c r="BG72" i="299" s="1"/>
  <c r="BH72" i="299" s="1"/>
  <c r="BI72" i="299" s="1"/>
  <c r="BJ72" i="299" s="1"/>
  <c r="BK72" i="299" s="1"/>
  <c r="BL72" i="299" s="1"/>
  <c r="BM72" i="299" s="1"/>
  <c r="BN72" i="299" s="1"/>
  <c r="AJ72" i="299"/>
  <c r="AK72" i="299" s="1"/>
  <c r="AL72" i="299" s="1"/>
  <c r="AM72" i="299" s="1"/>
  <c r="AF72" i="299"/>
  <c r="AG72" i="299" s="1"/>
  <c r="AH72" i="299" s="1"/>
  <c r="AI72" i="299" s="1"/>
  <c r="AE72" i="299"/>
  <c r="AF71" i="299"/>
  <c r="AG71" i="299" s="1"/>
  <c r="AH71" i="299" s="1"/>
  <c r="AI71" i="299" s="1"/>
  <c r="AJ71" i="299" s="1"/>
  <c r="AK71" i="299" s="1"/>
  <c r="AL71" i="299" s="1"/>
  <c r="AM71" i="299" s="1"/>
  <c r="AN71" i="299" s="1"/>
  <c r="AO71" i="299" s="1"/>
  <c r="AP71" i="299" s="1"/>
  <c r="AQ71" i="299" s="1"/>
  <c r="AR71" i="299" s="1"/>
  <c r="AS71" i="299" s="1"/>
  <c r="AT71" i="299" s="1"/>
  <c r="AU71" i="299" s="1"/>
  <c r="AV71" i="299" s="1"/>
  <c r="AW71" i="299" s="1"/>
  <c r="AX71" i="299" s="1"/>
  <c r="AY71" i="299" s="1"/>
  <c r="AZ71" i="299" s="1"/>
  <c r="BA71" i="299" s="1"/>
  <c r="BB71" i="299" s="1"/>
  <c r="BC71" i="299" s="1"/>
  <c r="BD71" i="299" s="1"/>
  <c r="BE71" i="299" s="1"/>
  <c r="BF71" i="299" s="1"/>
  <c r="BG71" i="299" s="1"/>
  <c r="BH71" i="299" s="1"/>
  <c r="BI71" i="299" s="1"/>
  <c r="BJ71" i="299" s="1"/>
  <c r="BK71" i="299" s="1"/>
  <c r="BL71" i="299" s="1"/>
  <c r="BM71" i="299" s="1"/>
  <c r="BN71" i="299" s="1"/>
  <c r="AE71" i="299"/>
  <c r="AN70" i="299"/>
  <c r="AO70" i="299" s="1"/>
  <c r="AP70" i="299" s="1"/>
  <c r="AQ70" i="299" s="1"/>
  <c r="AR70" i="299" s="1"/>
  <c r="AS70" i="299" s="1"/>
  <c r="AT70" i="299" s="1"/>
  <c r="AU70" i="299" s="1"/>
  <c r="AV70" i="299" s="1"/>
  <c r="AW70" i="299" s="1"/>
  <c r="AX70" i="299" s="1"/>
  <c r="AY70" i="299" s="1"/>
  <c r="AZ70" i="299" s="1"/>
  <c r="BA70" i="299" s="1"/>
  <c r="BB70" i="299" s="1"/>
  <c r="BC70" i="299" s="1"/>
  <c r="BD70" i="299" s="1"/>
  <c r="BE70" i="299" s="1"/>
  <c r="BF70" i="299" s="1"/>
  <c r="BG70" i="299" s="1"/>
  <c r="BH70" i="299" s="1"/>
  <c r="BI70" i="299" s="1"/>
  <c r="BJ70" i="299" s="1"/>
  <c r="BK70" i="299" s="1"/>
  <c r="BL70" i="299" s="1"/>
  <c r="BM70" i="299" s="1"/>
  <c r="BN70" i="299" s="1"/>
  <c r="AJ70" i="299"/>
  <c r="AK70" i="299" s="1"/>
  <c r="AL70" i="299" s="1"/>
  <c r="AM70" i="299" s="1"/>
  <c r="AF70" i="299"/>
  <c r="AG70" i="299" s="1"/>
  <c r="AH70" i="299" s="1"/>
  <c r="AI70" i="299" s="1"/>
  <c r="AE70" i="299"/>
  <c r="AF69" i="299"/>
  <c r="AG69" i="299" s="1"/>
  <c r="AH69" i="299" s="1"/>
  <c r="AI69" i="299" s="1"/>
  <c r="AJ69" i="299" s="1"/>
  <c r="AK69" i="299" s="1"/>
  <c r="AL69" i="299" s="1"/>
  <c r="AM69" i="299" s="1"/>
  <c r="AN69" i="299" s="1"/>
  <c r="AO69" i="299" s="1"/>
  <c r="AP69" i="299" s="1"/>
  <c r="AQ69" i="299" s="1"/>
  <c r="AR69" i="299" s="1"/>
  <c r="AS69" i="299" s="1"/>
  <c r="AT69" i="299" s="1"/>
  <c r="AU69" i="299" s="1"/>
  <c r="AV69" i="299" s="1"/>
  <c r="AW69" i="299" s="1"/>
  <c r="AX69" i="299" s="1"/>
  <c r="AY69" i="299" s="1"/>
  <c r="AZ69" i="299" s="1"/>
  <c r="BA69" i="299" s="1"/>
  <c r="BB69" i="299" s="1"/>
  <c r="BC69" i="299" s="1"/>
  <c r="BD69" i="299" s="1"/>
  <c r="BE69" i="299" s="1"/>
  <c r="BF69" i="299" s="1"/>
  <c r="BG69" i="299" s="1"/>
  <c r="BH69" i="299" s="1"/>
  <c r="BI69" i="299" s="1"/>
  <c r="BJ69" i="299" s="1"/>
  <c r="BK69" i="299" s="1"/>
  <c r="BL69" i="299" s="1"/>
  <c r="BM69" i="299" s="1"/>
  <c r="BN69" i="299" s="1"/>
  <c r="AE69" i="299"/>
  <c r="AN68" i="299"/>
  <c r="AO68" i="299" s="1"/>
  <c r="AP68" i="299" s="1"/>
  <c r="AQ68" i="299" s="1"/>
  <c r="AR68" i="299" s="1"/>
  <c r="AS68" i="299" s="1"/>
  <c r="AT68" i="299" s="1"/>
  <c r="AU68" i="299" s="1"/>
  <c r="AV68" i="299" s="1"/>
  <c r="AW68" i="299" s="1"/>
  <c r="AX68" i="299" s="1"/>
  <c r="AY68" i="299" s="1"/>
  <c r="AZ68" i="299" s="1"/>
  <c r="BA68" i="299" s="1"/>
  <c r="BB68" i="299" s="1"/>
  <c r="BC68" i="299" s="1"/>
  <c r="BD68" i="299" s="1"/>
  <c r="BE68" i="299" s="1"/>
  <c r="BF68" i="299" s="1"/>
  <c r="BG68" i="299" s="1"/>
  <c r="BH68" i="299" s="1"/>
  <c r="BI68" i="299" s="1"/>
  <c r="BJ68" i="299" s="1"/>
  <c r="BK68" i="299" s="1"/>
  <c r="BL68" i="299" s="1"/>
  <c r="BM68" i="299" s="1"/>
  <c r="BN68" i="299" s="1"/>
  <c r="AJ68" i="299"/>
  <c r="AK68" i="299" s="1"/>
  <c r="AL68" i="299" s="1"/>
  <c r="AM68" i="299" s="1"/>
  <c r="AF68" i="299"/>
  <c r="AG68" i="299" s="1"/>
  <c r="AH68" i="299" s="1"/>
  <c r="AI68" i="299" s="1"/>
  <c r="AE68" i="299"/>
  <c r="AF67" i="299"/>
  <c r="AG67" i="299" s="1"/>
  <c r="AH67" i="299" s="1"/>
  <c r="AI67" i="299" s="1"/>
  <c r="AJ67" i="299" s="1"/>
  <c r="AK67" i="299" s="1"/>
  <c r="AL67" i="299" s="1"/>
  <c r="AM67" i="299" s="1"/>
  <c r="AN67" i="299" s="1"/>
  <c r="AO67" i="299" s="1"/>
  <c r="AP67" i="299" s="1"/>
  <c r="AQ67" i="299" s="1"/>
  <c r="AR67" i="299" s="1"/>
  <c r="AS67" i="299" s="1"/>
  <c r="AT67" i="299" s="1"/>
  <c r="AU67" i="299" s="1"/>
  <c r="AV67" i="299" s="1"/>
  <c r="AW67" i="299" s="1"/>
  <c r="AX67" i="299" s="1"/>
  <c r="AY67" i="299" s="1"/>
  <c r="AZ67" i="299" s="1"/>
  <c r="BA67" i="299" s="1"/>
  <c r="BB67" i="299" s="1"/>
  <c r="BC67" i="299" s="1"/>
  <c r="BD67" i="299" s="1"/>
  <c r="BE67" i="299" s="1"/>
  <c r="BF67" i="299" s="1"/>
  <c r="BG67" i="299" s="1"/>
  <c r="BH67" i="299" s="1"/>
  <c r="BI67" i="299" s="1"/>
  <c r="BJ67" i="299" s="1"/>
  <c r="BK67" i="299" s="1"/>
  <c r="BL67" i="299" s="1"/>
  <c r="BM67" i="299" s="1"/>
  <c r="BN67" i="299" s="1"/>
  <c r="AE67" i="299"/>
  <c r="AN66" i="299"/>
  <c r="AO66" i="299" s="1"/>
  <c r="AP66" i="299" s="1"/>
  <c r="AQ66" i="299" s="1"/>
  <c r="AR66" i="299" s="1"/>
  <c r="AS66" i="299" s="1"/>
  <c r="AT66" i="299" s="1"/>
  <c r="AU66" i="299" s="1"/>
  <c r="AV66" i="299" s="1"/>
  <c r="AW66" i="299" s="1"/>
  <c r="AX66" i="299" s="1"/>
  <c r="AY66" i="299" s="1"/>
  <c r="AZ66" i="299" s="1"/>
  <c r="BA66" i="299" s="1"/>
  <c r="BB66" i="299" s="1"/>
  <c r="BC66" i="299" s="1"/>
  <c r="BD66" i="299" s="1"/>
  <c r="BE66" i="299" s="1"/>
  <c r="BF66" i="299" s="1"/>
  <c r="BG66" i="299" s="1"/>
  <c r="BH66" i="299" s="1"/>
  <c r="BI66" i="299" s="1"/>
  <c r="BJ66" i="299" s="1"/>
  <c r="BK66" i="299" s="1"/>
  <c r="BL66" i="299" s="1"/>
  <c r="BM66" i="299" s="1"/>
  <c r="BN66" i="299" s="1"/>
  <c r="AJ66" i="299"/>
  <c r="AK66" i="299" s="1"/>
  <c r="AL66" i="299" s="1"/>
  <c r="AM66" i="299" s="1"/>
  <c r="AF66" i="299"/>
  <c r="AG66" i="299" s="1"/>
  <c r="AH66" i="299" s="1"/>
  <c r="AI66" i="299" s="1"/>
  <c r="AE66" i="299"/>
  <c r="AF65" i="299"/>
  <c r="AG65" i="299" s="1"/>
  <c r="AH65" i="299" s="1"/>
  <c r="AI65" i="299" s="1"/>
  <c r="AJ65" i="299" s="1"/>
  <c r="AK65" i="299" s="1"/>
  <c r="AL65" i="299" s="1"/>
  <c r="AM65" i="299" s="1"/>
  <c r="AN65" i="299" s="1"/>
  <c r="AO65" i="299" s="1"/>
  <c r="AP65" i="299" s="1"/>
  <c r="AQ65" i="299" s="1"/>
  <c r="AR65" i="299" s="1"/>
  <c r="AS65" i="299" s="1"/>
  <c r="AT65" i="299" s="1"/>
  <c r="AU65" i="299" s="1"/>
  <c r="AV65" i="299" s="1"/>
  <c r="AW65" i="299" s="1"/>
  <c r="AX65" i="299" s="1"/>
  <c r="AY65" i="299" s="1"/>
  <c r="AZ65" i="299" s="1"/>
  <c r="BA65" i="299" s="1"/>
  <c r="BB65" i="299" s="1"/>
  <c r="BC65" i="299" s="1"/>
  <c r="BD65" i="299" s="1"/>
  <c r="BE65" i="299" s="1"/>
  <c r="BF65" i="299" s="1"/>
  <c r="BG65" i="299" s="1"/>
  <c r="BH65" i="299" s="1"/>
  <c r="BI65" i="299" s="1"/>
  <c r="BJ65" i="299" s="1"/>
  <c r="BK65" i="299" s="1"/>
  <c r="BL65" i="299" s="1"/>
  <c r="BM65" i="299" s="1"/>
  <c r="BN65" i="299" s="1"/>
  <c r="AE65" i="299"/>
  <c r="AN64" i="299"/>
  <c r="AO64" i="299" s="1"/>
  <c r="AP64" i="299" s="1"/>
  <c r="AQ64" i="299" s="1"/>
  <c r="AR64" i="299" s="1"/>
  <c r="AS64" i="299" s="1"/>
  <c r="AT64" i="299" s="1"/>
  <c r="AU64" i="299" s="1"/>
  <c r="AV64" i="299" s="1"/>
  <c r="AW64" i="299" s="1"/>
  <c r="AX64" i="299" s="1"/>
  <c r="AY64" i="299" s="1"/>
  <c r="AZ64" i="299" s="1"/>
  <c r="BA64" i="299" s="1"/>
  <c r="BB64" i="299" s="1"/>
  <c r="BC64" i="299" s="1"/>
  <c r="BD64" i="299" s="1"/>
  <c r="BE64" i="299" s="1"/>
  <c r="BF64" i="299" s="1"/>
  <c r="BG64" i="299" s="1"/>
  <c r="BH64" i="299" s="1"/>
  <c r="BI64" i="299" s="1"/>
  <c r="BJ64" i="299" s="1"/>
  <c r="BK64" i="299" s="1"/>
  <c r="BL64" i="299" s="1"/>
  <c r="BM64" i="299" s="1"/>
  <c r="BN64" i="299" s="1"/>
  <c r="AJ64" i="299"/>
  <c r="AK64" i="299" s="1"/>
  <c r="AL64" i="299" s="1"/>
  <c r="AM64" i="299" s="1"/>
  <c r="AF64" i="299"/>
  <c r="AG64" i="299" s="1"/>
  <c r="AH64" i="299" s="1"/>
  <c r="AI64" i="299" s="1"/>
  <c r="AE64" i="299"/>
  <c r="AF63" i="299"/>
  <c r="AG63" i="299" s="1"/>
  <c r="AH63" i="299" s="1"/>
  <c r="AI63" i="299" s="1"/>
  <c r="AJ63" i="299" s="1"/>
  <c r="AK63" i="299" s="1"/>
  <c r="AL63" i="299" s="1"/>
  <c r="AM63" i="299" s="1"/>
  <c r="AN63" i="299" s="1"/>
  <c r="AO63" i="299" s="1"/>
  <c r="AP63" i="299" s="1"/>
  <c r="AQ63" i="299" s="1"/>
  <c r="AR63" i="299" s="1"/>
  <c r="AS63" i="299" s="1"/>
  <c r="AT63" i="299" s="1"/>
  <c r="AU63" i="299" s="1"/>
  <c r="AV63" i="299" s="1"/>
  <c r="AW63" i="299" s="1"/>
  <c r="AX63" i="299" s="1"/>
  <c r="AY63" i="299" s="1"/>
  <c r="AZ63" i="299" s="1"/>
  <c r="BA63" i="299" s="1"/>
  <c r="BB63" i="299" s="1"/>
  <c r="BC63" i="299" s="1"/>
  <c r="BD63" i="299" s="1"/>
  <c r="BE63" i="299" s="1"/>
  <c r="BF63" i="299" s="1"/>
  <c r="BG63" i="299" s="1"/>
  <c r="BH63" i="299" s="1"/>
  <c r="BI63" i="299" s="1"/>
  <c r="BJ63" i="299" s="1"/>
  <c r="BK63" i="299" s="1"/>
  <c r="BL63" i="299" s="1"/>
  <c r="BM63" i="299" s="1"/>
  <c r="BN63" i="299" s="1"/>
  <c r="AE63" i="299"/>
  <c r="AN62" i="299"/>
  <c r="AO62" i="299" s="1"/>
  <c r="AP62" i="299" s="1"/>
  <c r="AQ62" i="299" s="1"/>
  <c r="AR62" i="299" s="1"/>
  <c r="AS62" i="299" s="1"/>
  <c r="AT62" i="299" s="1"/>
  <c r="AU62" i="299" s="1"/>
  <c r="AV62" i="299" s="1"/>
  <c r="AW62" i="299" s="1"/>
  <c r="AX62" i="299" s="1"/>
  <c r="AY62" i="299" s="1"/>
  <c r="AZ62" i="299" s="1"/>
  <c r="BA62" i="299" s="1"/>
  <c r="BB62" i="299" s="1"/>
  <c r="BC62" i="299" s="1"/>
  <c r="BD62" i="299" s="1"/>
  <c r="BE62" i="299" s="1"/>
  <c r="BF62" i="299" s="1"/>
  <c r="BG62" i="299" s="1"/>
  <c r="BH62" i="299" s="1"/>
  <c r="BI62" i="299" s="1"/>
  <c r="BJ62" i="299" s="1"/>
  <c r="BK62" i="299" s="1"/>
  <c r="BL62" i="299" s="1"/>
  <c r="BM62" i="299" s="1"/>
  <c r="BN62" i="299" s="1"/>
  <c r="AJ62" i="299"/>
  <c r="AK62" i="299" s="1"/>
  <c r="AL62" i="299" s="1"/>
  <c r="AM62" i="299" s="1"/>
  <c r="AF62" i="299"/>
  <c r="AG62" i="299" s="1"/>
  <c r="AH62" i="299" s="1"/>
  <c r="AI62" i="299" s="1"/>
  <c r="AE62" i="299"/>
  <c r="AF61" i="299"/>
  <c r="AG61" i="299" s="1"/>
  <c r="AH61" i="299" s="1"/>
  <c r="AI61" i="299" s="1"/>
  <c r="AJ61" i="299" s="1"/>
  <c r="AK61" i="299" s="1"/>
  <c r="AL61" i="299" s="1"/>
  <c r="AM61" i="299" s="1"/>
  <c r="AN61" i="299" s="1"/>
  <c r="AO61" i="299" s="1"/>
  <c r="AP61" i="299" s="1"/>
  <c r="AQ61" i="299" s="1"/>
  <c r="AR61" i="299" s="1"/>
  <c r="AS61" i="299" s="1"/>
  <c r="AT61" i="299" s="1"/>
  <c r="AU61" i="299" s="1"/>
  <c r="AV61" i="299" s="1"/>
  <c r="AW61" i="299" s="1"/>
  <c r="AX61" i="299" s="1"/>
  <c r="AY61" i="299" s="1"/>
  <c r="AZ61" i="299" s="1"/>
  <c r="BA61" i="299" s="1"/>
  <c r="BB61" i="299" s="1"/>
  <c r="BC61" i="299" s="1"/>
  <c r="BD61" i="299" s="1"/>
  <c r="BE61" i="299" s="1"/>
  <c r="BF61" i="299" s="1"/>
  <c r="BG61" i="299" s="1"/>
  <c r="BH61" i="299" s="1"/>
  <c r="BI61" i="299" s="1"/>
  <c r="BJ61" i="299" s="1"/>
  <c r="BK61" i="299" s="1"/>
  <c r="BL61" i="299" s="1"/>
  <c r="BM61" i="299" s="1"/>
  <c r="BN61" i="299" s="1"/>
  <c r="AE61" i="299"/>
  <c r="AF60" i="299"/>
  <c r="AG60" i="299" s="1"/>
  <c r="AH60" i="299" s="1"/>
  <c r="AI60" i="299" s="1"/>
  <c r="AJ60" i="299" s="1"/>
  <c r="AK60" i="299" s="1"/>
  <c r="AL60" i="299" s="1"/>
  <c r="AM60" i="299" s="1"/>
  <c r="AN60" i="299" s="1"/>
  <c r="AO60" i="299" s="1"/>
  <c r="AP60" i="299" s="1"/>
  <c r="AQ60" i="299" s="1"/>
  <c r="AR60" i="299" s="1"/>
  <c r="AS60" i="299" s="1"/>
  <c r="AT60" i="299" s="1"/>
  <c r="AU60" i="299" s="1"/>
  <c r="AV60" i="299" s="1"/>
  <c r="AW60" i="299" s="1"/>
  <c r="AX60" i="299" s="1"/>
  <c r="AY60" i="299" s="1"/>
  <c r="AZ60" i="299" s="1"/>
  <c r="BA60" i="299" s="1"/>
  <c r="BB60" i="299" s="1"/>
  <c r="BC60" i="299" s="1"/>
  <c r="BD60" i="299" s="1"/>
  <c r="BE60" i="299" s="1"/>
  <c r="BF60" i="299" s="1"/>
  <c r="BG60" i="299" s="1"/>
  <c r="BH60" i="299" s="1"/>
  <c r="BI60" i="299" s="1"/>
  <c r="BJ60" i="299" s="1"/>
  <c r="BK60" i="299" s="1"/>
  <c r="BL60" i="299" s="1"/>
  <c r="BM60" i="299" s="1"/>
  <c r="BN60" i="299" s="1"/>
  <c r="AE60" i="299"/>
  <c r="AJ59" i="299"/>
  <c r="AK59" i="299" s="1"/>
  <c r="AL59" i="299" s="1"/>
  <c r="AM59" i="299" s="1"/>
  <c r="AN59" i="299" s="1"/>
  <c r="AO59" i="299" s="1"/>
  <c r="AP59" i="299" s="1"/>
  <c r="AQ59" i="299" s="1"/>
  <c r="AR59" i="299" s="1"/>
  <c r="AS59" i="299" s="1"/>
  <c r="AT59" i="299" s="1"/>
  <c r="AU59" i="299" s="1"/>
  <c r="AV59" i="299" s="1"/>
  <c r="AW59" i="299" s="1"/>
  <c r="AX59" i="299" s="1"/>
  <c r="AY59" i="299" s="1"/>
  <c r="AZ59" i="299" s="1"/>
  <c r="BA59" i="299" s="1"/>
  <c r="BB59" i="299" s="1"/>
  <c r="BC59" i="299" s="1"/>
  <c r="BD59" i="299" s="1"/>
  <c r="BE59" i="299" s="1"/>
  <c r="BF59" i="299" s="1"/>
  <c r="BG59" i="299" s="1"/>
  <c r="BH59" i="299" s="1"/>
  <c r="BI59" i="299" s="1"/>
  <c r="BJ59" i="299" s="1"/>
  <c r="BK59" i="299" s="1"/>
  <c r="BL59" i="299" s="1"/>
  <c r="BM59" i="299" s="1"/>
  <c r="BN59" i="299" s="1"/>
  <c r="AG59" i="299"/>
  <c r="AH59" i="299" s="1"/>
  <c r="AI59" i="299" s="1"/>
  <c r="AF59" i="299"/>
  <c r="AE59" i="299"/>
  <c r="AG58" i="299"/>
  <c r="AH58" i="299" s="1"/>
  <c r="AI58" i="299" s="1"/>
  <c r="AJ58" i="299" s="1"/>
  <c r="AK58" i="299" s="1"/>
  <c r="AL58" i="299" s="1"/>
  <c r="AM58" i="299" s="1"/>
  <c r="AN58" i="299" s="1"/>
  <c r="AO58" i="299" s="1"/>
  <c r="AP58" i="299" s="1"/>
  <c r="AQ58" i="299" s="1"/>
  <c r="AR58" i="299" s="1"/>
  <c r="AS58" i="299" s="1"/>
  <c r="AT58" i="299" s="1"/>
  <c r="AU58" i="299" s="1"/>
  <c r="AV58" i="299" s="1"/>
  <c r="AW58" i="299" s="1"/>
  <c r="AX58" i="299" s="1"/>
  <c r="AY58" i="299" s="1"/>
  <c r="AZ58" i="299" s="1"/>
  <c r="BA58" i="299" s="1"/>
  <c r="BB58" i="299" s="1"/>
  <c r="BC58" i="299" s="1"/>
  <c r="BD58" i="299" s="1"/>
  <c r="BE58" i="299" s="1"/>
  <c r="BF58" i="299" s="1"/>
  <c r="BG58" i="299" s="1"/>
  <c r="BH58" i="299" s="1"/>
  <c r="BI58" i="299" s="1"/>
  <c r="BJ58" i="299" s="1"/>
  <c r="BK58" i="299" s="1"/>
  <c r="BL58" i="299" s="1"/>
  <c r="BM58" i="299" s="1"/>
  <c r="BN58" i="299" s="1"/>
  <c r="AF58" i="299"/>
  <c r="AE58" i="299"/>
  <c r="AF57" i="299"/>
  <c r="AG57" i="299" s="1"/>
  <c r="AH57" i="299" s="1"/>
  <c r="AI57" i="299" s="1"/>
  <c r="AJ57" i="299" s="1"/>
  <c r="AK57" i="299" s="1"/>
  <c r="AL57" i="299" s="1"/>
  <c r="AM57" i="299" s="1"/>
  <c r="AN57" i="299" s="1"/>
  <c r="AO57" i="299" s="1"/>
  <c r="AP57" i="299" s="1"/>
  <c r="AQ57" i="299" s="1"/>
  <c r="AR57" i="299" s="1"/>
  <c r="AS57" i="299" s="1"/>
  <c r="AT57" i="299" s="1"/>
  <c r="AU57" i="299" s="1"/>
  <c r="AV57" i="299" s="1"/>
  <c r="AW57" i="299" s="1"/>
  <c r="AX57" i="299" s="1"/>
  <c r="AY57" i="299" s="1"/>
  <c r="AZ57" i="299" s="1"/>
  <c r="BA57" i="299" s="1"/>
  <c r="BB57" i="299" s="1"/>
  <c r="BC57" i="299" s="1"/>
  <c r="BD57" i="299" s="1"/>
  <c r="BE57" i="299" s="1"/>
  <c r="BF57" i="299" s="1"/>
  <c r="BG57" i="299" s="1"/>
  <c r="BH57" i="299" s="1"/>
  <c r="BI57" i="299" s="1"/>
  <c r="BJ57" i="299" s="1"/>
  <c r="BK57" i="299" s="1"/>
  <c r="BL57" i="299" s="1"/>
  <c r="BM57" i="299" s="1"/>
  <c r="BN57" i="299" s="1"/>
  <c r="AE57" i="299"/>
  <c r="AF56" i="299"/>
  <c r="AG56" i="299" s="1"/>
  <c r="AH56" i="299" s="1"/>
  <c r="AI56" i="299" s="1"/>
  <c r="AJ56" i="299" s="1"/>
  <c r="AK56" i="299" s="1"/>
  <c r="AL56" i="299" s="1"/>
  <c r="AM56" i="299" s="1"/>
  <c r="AN56" i="299" s="1"/>
  <c r="AO56" i="299" s="1"/>
  <c r="AP56" i="299" s="1"/>
  <c r="AQ56" i="299" s="1"/>
  <c r="AR56" i="299" s="1"/>
  <c r="AS56" i="299" s="1"/>
  <c r="AT56" i="299" s="1"/>
  <c r="AU56" i="299" s="1"/>
  <c r="AV56" i="299" s="1"/>
  <c r="AW56" i="299" s="1"/>
  <c r="AX56" i="299" s="1"/>
  <c r="AY56" i="299" s="1"/>
  <c r="AZ56" i="299" s="1"/>
  <c r="BA56" i="299" s="1"/>
  <c r="BB56" i="299" s="1"/>
  <c r="BC56" i="299" s="1"/>
  <c r="BD56" i="299" s="1"/>
  <c r="BE56" i="299" s="1"/>
  <c r="BF56" i="299" s="1"/>
  <c r="BG56" i="299" s="1"/>
  <c r="BH56" i="299" s="1"/>
  <c r="BI56" i="299" s="1"/>
  <c r="BJ56" i="299" s="1"/>
  <c r="BK56" i="299" s="1"/>
  <c r="BL56" i="299" s="1"/>
  <c r="BM56" i="299" s="1"/>
  <c r="BN56" i="299" s="1"/>
  <c r="AE56" i="299"/>
  <c r="AJ55" i="299"/>
  <c r="AK55" i="299" s="1"/>
  <c r="AL55" i="299" s="1"/>
  <c r="AM55" i="299" s="1"/>
  <c r="AN55" i="299" s="1"/>
  <c r="AO55" i="299" s="1"/>
  <c r="AP55" i="299" s="1"/>
  <c r="AQ55" i="299" s="1"/>
  <c r="AR55" i="299" s="1"/>
  <c r="AS55" i="299" s="1"/>
  <c r="AT55" i="299" s="1"/>
  <c r="AU55" i="299" s="1"/>
  <c r="AV55" i="299" s="1"/>
  <c r="AW55" i="299" s="1"/>
  <c r="AX55" i="299" s="1"/>
  <c r="AY55" i="299" s="1"/>
  <c r="AZ55" i="299" s="1"/>
  <c r="BA55" i="299" s="1"/>
  <c r="BB55" i="299" s="1"/>
  <c r="BC55" i="299" s="1"/>
  <c r="BD55" i="299" s="1"/>
  <c r="BE55" i="299" s="1"/>
  <c r="BF55" i="299" s="1"/>
  <c r="BG55" i="299" s="1"/>
  <c r="BH55" i="299" s="1"/>
  <c r="BI55" i="299" s="1"/>
  <c r="BJ55" i="299" s="1"/>
  <c r="BK55" i="299" s="1"/>
  <c r="BL55" i="299" s="1"/>
  <c r="BM55" i="299" s="1"/>
  <c r="BN55" i="299" s="1"/>
  <c r="AG55" i="299"/>
  <c r="AH55" i="299" s="1"/>
  <c r="AI55" i="299" s="1"/>
  <c r="AF55" i="299"/>
  <c r="AE55" i="299"/>
  <c r="AG54" i="299"/>
  <c r="AH54" i="299" s="1"/>
  <c r="AI54" i="299" s="1"/>
  <c r="AJ54" i="299" s="1"/>
  <c r="AK54" i="299" s="1"/>
  <c r="AL54" i="299" s="1"/>
  <c r="AM54" i="299" s="1"/>
  <c r="AN54" i="299" s="1"/>
  <c r="AO54" i="299" s="1"/>
  <c r="AP54" i="299" s="1"/>
  <c r="AQ54" i="299" s="1"/>
  <c r="AR54" i="299" s="1"/>
  <c r="AS54" i="299" s="1"/>
  <c r="AT54" i="299" s="1"/>
  <c r="AU54" i="299" s="1"/>
  <c r="AV54" i="299" s="1"/>
  <c r="AW54" i="299" s="1"/>
  <c r="AX54" i="299" s="1"/>
  <c r="AY54" i="299" s="1"/>
  <c r="AZ54" i="299" s="1"/>
  <c r="BA54" i="299" s="1"/>
  <c r="BB54" i="299" s="1"/>
  <c r="BC54" i="299" s="1"/>
  <c r="BD54" i="299" s="1"/>
  <c r="BE54" i="299" s="1"/>
  <c r="BF54" i="299" s="1"/>
  <c r="BG54" i="299" s="1"/>
  <c r="BH54" i="299" s="1"/>
  <c r="BI54" i="299" s="1"/>
  <c r="BJ54" i="299" s="1"/>
  <c r="BK54" i="299" s="1"/>
  <c r="BL54" i="299" s="1"/>
  <c r="BM54" i="299" s="1"/>
  <c r="BN54" i="299" s="1"/>
  <c r="AF54" i="299"/>
  <c r="AE54" i="299"/>
  <c r="AF53" i="299"/>
  <c r="AG53" i="299" s="1"/>
  <c r="AH53" i="299" s="1"/>
  <c r="AI53" i="299" s="1"/>
  <c r="AJ53" i="299" s="1"/>
  <c r="AK53" i="299" s="1"/>
  <c r="AL53" i="299" s="1"/>
  <c r="AM53" i="299" s="1"/>
  <c r="AN53" i="299" s="1"/>
  <c r="AO53" i="299" s="1"/>
  <c r="AP53" i="299" s="1"/>
  <c r="AQ53" i="299" s="1"/>
  <c r="AR53" i="299" s="1"/>
  <c r="AS53" i="299" s="1"/>
  <c r="AT53" i="299" s="1"/>
  <c r="AU53" i="299" s="1"/>
  <c r="AV53" i="299" s="1"/>
  <c r="AW53" i="299" s="1"/>
  <c r="AX53" i="299" s="1"/>
  <c r="AY53" i="299" s="1"/>
  <c r="AZ53" i="299" s="1"/>
  <c r="BA53" i="299" s="1"/>
  <c r="BB53" i="299" s="1"/>
  <c r="BC53" i="299" s="1"/>
  <c r="BD53" i="299" s="1"/>
  <c r="BE53" i="299" s="1"/>
  <c r="BF53" i="299" s="1"/>
  <c r="BG53" i="299" s="1"/>
  <c r="BH53" i="299" s="1"/>
  <c r="BI53" i="299" s="1"/>
  <c r="BJ53" i="299" s="1"/>
  <c r="BK53" i="299" s="1"/>
  <c r="BL53" i="299" s="1"/>
  <c r="BM53" i="299" s="1"/>
  <c r="BN53" i="299" s="1"/>
  <c r="AE53" i="299"/>
  <c r="AF52" i="299"/>
  <c r="AG52" i="299" s="1"/>
  <c r="AH52" i="299" s="1"/>
  <c r="AI52" i="299" s="1"/>
  <c r="AJ52" i="299" s="1"/>
  <c r="AK52" i="299" s="1"/>
  <c r="AL52" i="299" s="1"/>
  <c r="AM52" i="299" s="1"/>
  <c r="AN52" i="299" s="1"/>
  <c r="AO52" i="299" s="1"/>
  <c r="AP52" i="299" s="1"/>
  <c r="AQ52" i="299" s="1"/>
  <c r="AR52" i="299" s="1"/>
  <c r="AS52" i="299" s="1"/>
  <c r="AT52" i="299" s="1"/>
  <c r="AU52" i="299" s="1"/>
  <c r="AV52" i="299" s="1"/>
  <c r="AW52" i="299" s="1"/>
  <c r="AX52" i="299" s="1"/>
  <c r="AY52" i="299" s="1"/>
  <c r="AZ52" i="299" s="1"/>
  <c r="BA52" i="299" s="1"/>
  <c r="BB52" i="299" s="1"/>
  <c r="BC52" i="299" s="1"/>
  <c r="BD52" i="299" s="1"/>
  <c r="BE52" i="299" s="1"/>
  <c r="BF52" i="299" s="1"/>
  <c r="BG52" i="299" s="1"/>
  <c r="BH52" i="299" s="1"/>
  <c r="BI52" i="299" s="1"/>
  <c r="BJ52" i="299" s="1"/>
  <c r="BK52" i="299" s="1"/>
  <c r="BL52" i="299" s="1"/>
  <c r="BM52" i="299" s="1"/>
  <c r="BN52" i="299" s="1"/>
  <c r="AE52" i="299"/>
  <c r="AJ51" i="299"/>
  <c r="AK51" i="299" s="1"/>
  <c r="AL51" i="299" s="1"/>
  <c r="AM51" i="299" s="1"/>
  <c r="AN51" i="299" s="1"/>
  <c r="AO51" i="299" s="1"/>
  <c r="AP51" i="299" s="1"/>
  <c r="AQ51" i="299" s="1"/>
  <c r="AR51" i="299" s="1"/>
  <c r="AS51" i="299" s="1"/>
  <c r="AT51" i="299" s="1"/>
  <c r="AU51" i="299" s="1"/>
  <c r="AV51" i="299" s="1"/>
  <c r="AW51" i="299" s="1"/>
  <c r="AX51" i="299" s="1"/>
  <c r="AY51" i="299" s="1"/>
  <c r="AZ51" i="299" s="1"/>
  <c r="BA51" i="299" s="1"/>
  <c r="BB51" i="299" s="1"/>
  <c r="BC51" i="299" s="1"/>
  <c r="BD51" i="299" s="1"/>
  <c r="BE51" i="299" s="1"/>
  <c r="BF51" i="299" s="1"/>
  <c r="BG51" i="299" s="1"/>
  <c r="BH51" i="299" s="1"/>
  <c r="BI51" i="299" s="1"/>
  <c r="BJ51" i="299" s="1"/>
  <c r="BK51" i="299" s="1"/>
  <c r="BL51" i="299" s="1"/>
  <c r="BM51" i="299" s="1"/>
  <c r="BN51" i="299" s="1"/>
  <c r="AG51" i="299"/>
  <c r="AH51" i="299" s="1"/>
  <c r="AI51" i="299" s="1"/>
  <c r="AF51" i="299"/>
  <c r="AE51" i="299"/>
  <c r="AG50" i="299"/>
  <c r="AH50" i="299" s="1"/>
  <c r="AI50" i="299" s="1"/>
  <c r="AJ50" i="299" s="1"/>
  <c r="AK50" i="299" s="1"/>
  <c r="AL50" i="299" s="1"/>
  <c r="AM50" i="299" s="1"/>
  <c r="AN50" i="299" s="1"/>
  <c r="AO50" i="299" s="1"/>
  <c r="AP50" i="299" s="1"/>
  <c r="AQ50" i="299" s="1"/>
  <c r="AR50" i="299" s="1"/>
  <c r="AS50" i="299" s="1"/>
  <c r="AT50" i="299" s="1"/>
  <c r="AU50" i="299" s="1"/>
  <c r="AV50" i="299" s="1"/>
  <c r="AW50" i="299" s="1"/>
  <c r="AX50" i="299" s="1"/>
  <c r="AY50" i="299" s="1"/>
  <c r="AZ50" i="299" s="1"/>
  <c r="BA50" i="299" s="1"/>
  <c r="BB50" i="299" s="1"/>
  <c r="BC50" i="299" s="1"/>
  <c r="BD50" i="299" s="1"/>
  <c r="BE50" i="299" s="1"/>
  <c r="BF50" i="299" s="1"/>
  <c r="BG50" i="299" s="1"/>
  <c r="BH50" i="299" s="1"/>
  <c r="BI50" i="299" s="1"/>
  <c r="BJ50" i="299" s="1"/>
  <c r="BK50" i="299" s="1"/>
  <c r="BL50" i="299" s="1"/>
  <c r="BM50" i="299" s="1"/>
  <c r="BN50" i="299" s="1"/>
  <c r="AF50" i="299"/>
  <c r="AE50" i="299"/>
  <c r="AF49" i="299"/>
  <c r="AG49" i="299" s="1"/>
  <c r="AH49" i="299" s="1"/>
  <c r="AI49" i="299" s="1"/>
  <c r="AJ49" i="299" s="1"/>
  <c r="AK49" i="299" s="1"/>
  <c r="AL49" i="299" s="1"/>
  <c r="AM49" i="299" s="1"/>
  <c r="AN49" i="299" s="1"/>
  <c r="AO49" i="299" s="1"/>
  <c r="AP49" i="299" s="1"/>
  <c r="AQ49" i="299" s="1"/>
  <c r="AR49" i="299" s="1"/>
  <c r="AS49" i="299" s="1"/>
  <c r="AT49" i="299" s="1"/>
  <c r="AU49" i="299" s="1"/>
  <c r="AV49" i="299" s="1"/>
  <c r="AW49" i="299" s="1"/>
  <c r="AX49" i="299" s="1"/>
  <c r="AY49" i="299" s="1"/>
  <c r="AZ49" i="299" s="1"/>
  <c r="BA49" i="299" s="1"/>
  <c r="BB49" i="299" s="1"/>
  <c r="BC49" i="299" s="1"/>
  <c r="BD49" i="299" s="1"/>
  <c r="BE49" i="299" s="1"/>
  <c r="BF49" i="299" s="1"/>
  <c r="BG49" i="299" s="1"/>
  <c r="BH49" i="299" s="1"/>
  <c r="BI49" i="299" s="1"/>
  <c r="BJ49" i="299" s="1"/>
  <c r="BK49" i="299" s="1"/>
  <c r="BL49" i="299" s="1"/>
  <c r="BM49" i="299" s="1"/>
  <c r="BN49" i="299" s="1"/>
  <c r="AE49" i="299"/>
  <c r="AF48" i="299"/>
  <c r="AG48" i="299" s="1"/>
  <c r="AH48" i="299" s="1"/>
  <c r="AI48" i="299" s="1"/>
  <c r="AJ48" i="299" s="1"/>
  <c r="AK48" i="299" s="1"/>
  <c r="AL48" i="299" s="1"/>
  <c r="AM48" i="299" s="1"/>
  <c r="AN48" i="299" s="1"/>
  <c r="AO48" i="299" s="1"/>
  <c r="AP48" i="299" s="1"/>
  <c r="AQ48" i="299" s="1"/>
  <c r="AR48" i="299" s="1"/>
  <c r="AS48" i="299" s="1"/>
  <c r="AT48" i="299" s="1"/>
  <c r="AU48" i="299" s="1"/>
  <c r="AV48" i="299" s="1"/>
  <c r="AW48" i="299" s="1"/>
  <c r="AX48" i="299" s="1"/>
  <c r="AY48" i="299" s="1"/>
  <c r="AZ48" i="299" s="1"/>
  <c r="BA48" i="299" s="1"/>
  <c r="BB48" i="299" s="1"/>
  <c r="BC48" i="299" s="1"/>
  <c r="BD48" i="299" s="1"/>
  <c r="BE48" i="299" s="1"/>
  <c r="BF48" i="299" s="1"/>
  <c r="BG48" i="299" s="1"/>
  <c r="BH48" i="299" s="1"/>
  <c r="BI48" i="299" s="1"/>
  <c r="BJ48" i="299" s="1"/>
  <c r="BK48" i="299" s="1"/>
  <c r="BL48" i="299" s="1"/>
  <c r="BM48" i="299" s="1"/>
  <c r="BN48" i="299" s="1"/>
  <c r="AE48" i="299"/>
  <c r="AJ47" i="299"/>
  <c r="AK47" i="299" s="1"/>
  <c r="AL47" i="299" s="1"/>
  <c r="AM47" i="299" s="1"/>
  <c r="AN47" i="299" s="1"/>
  <c r="AO47" i="299" s="1"/>
  <c r="AP47" i="299" s="1"/>
  <c r="AQ47" i="299" s="1"/>
  <c r="AR47" i="299" s="1"/>
  <c r="AS47" i="299" s="1"/>
  <c r="AT47" i="299" s="1"/>
  <c r="AU47" i="299" s="1"/>
  <c r="AV47" i="299" s="1"/>
  <c r="AW47" i="299" s="1"/>
  <c r="AX47" i="299" s="1"/>
  <c r="AY47" i="299" s="1"/>
  <c r="AZ47" i="299" s="1"/>
  <c r="BA47" i="299" s="1"/>
  <c r="BB47" i="299" s="1"/>
  <c r="BC47" i="299" s="1"/>
  <c r="BD47" i="299" s="1"/>
  <c r="BE47" i="299" s="1"/>
  <c r="BF47" i="299" s="1"/>
  <c r="BG47" i="299" s="1"/>
  <c r="BH47" i="299" s="1"/>
  <c r="BI47" i="299" s="1"/>
  <c r="BJ47" i="299" s="1"/>
  <c r="BK47" i="299" s="1"/>
  <c r="BL47" i="299" s="1"/>
  <c r="BM47" i="299" s="1"/>
  <c r="BN47" i="299" s="1"/>
  <c r="AG47" i="299"/>
  <c r="AH47" i="299" s="1"/>
  <c r="AI47" i="299" s="1"/>
  <c r="AF47" i="299"/>
  <c r="AE47" i="299"/>
  <c r="AG46" i="299"/>
  <c r="AH46" i="299" s="1"/>
  <c r="AI46" i="299" s="1"/>
  <c r="AJ46" i="299" s="1"/>
  <c r="AK46" i="299" s="1"/>
  <c r="AL46" i="299" s="1"/>
  <c r="AM46" i="299" s="1"/>
  <c r="AN46" i="299" s="1"/>
  <c r="AO46" i="299" s="1"/>
  <c r="AP46" i="299" s="1"/>
  <c r="AQ46" i="299" s="1"/>
  <c r="AR46" i="299" s="1"/>
  <c r="AS46" i="299" s="1"/>
  <c r="AT46" i="299" s="1"/>
  <c r="AU46" i="299" s="1"/>
  <c r="AV46" i="299" s="1"/>
  <c r="AW46" i="299" s="1"/>
  <c r="AX46" i="299" s="1"/>
  <c r="AY46" i="299" s="1"/>
  <c r="AZ46" i="299" s="1"/>
  <c r="BA46" i="299" s="1"/>
  <c r="BB46" i="299" s="1"/>
  <c r="BC46" i="299" s="1"/>
  <c r="BD46" i="299" s="1"/>
  <c r="BE46" i="299" s="1"/>
  <c r="BF46" i="299" s="1"/>
  <c r="BG46" i="299" s="1"/>
  <c r="BH46" i="299" s="1"/>
  <c r="BI46" i="299" s="1"/>
  <c r="BJ46" i="299" s="1"/>
  <c r="BK46" i="299" s="1"/>
  <c r="BL46" i="299" s="1"/>
  <c r="BM46" i="299" s="1"/>
  <c r="BN46" i="299" s="1"/>
  <c r="AF46" i="299"/>
  <c r="AE46" i="299"/>
  <c r="AF45" i="299"/>
  <c r="AG45" i="299" s="1"/>
  <c r="AH45" i="299" s="1"/>
  <c r="AI45" i="299" s="1"/>
  <c r="AJ45" i="299" s="1"/>
  <c r="AK45" i="299" s="1"/>
  <c r="AL45" i="299" s="1"/>
  <c r="AM45" i="299" s="1"/>
  <c r="AN45" i="299" s="1"/>
  <c r="AO45" i="299" s="1"/>
  <c r="AP45" i="299" s="1"/>
  <c r="AQ45" i="299" s="1"/>
  <c r="AR45" i="299" s="1"/>
  <c r="AS45" i="299" s="1"/>
  <c r="AT45" i="299" s="1"/>
  <c r="AU45" i="299" s="1"/>
  <c r="AV45" i="299" s="1"/>
  <c r="AW45" i="299" s="1"/>
  <c r="AX45" i="299" s="1"/>
  <c r="AY45" i="299" s="1"/>
  <c r="AZ45" i="299" s="1"/>
  <c r="BA45" i="299" s="1"/>
  <c r="BB45" i="299" s="1"/>
  <c r="BC45" i="299" s="1"/>
  <c r="BD45" i="299" s="1"/>
  <c r="BE45" i="299" s="1"/>
  <c r="BF45" i="299" s="1"/>
  <c r="BG45" i="299" s="1"/>
  <c r="BH45" i="299" s="1"/>
  <c r="BI45" i="299" s="1"/>
  <c r="BJ45" i="299" s="1"/>
  <c r="BK45" i="299" s="1"/>
  <c r="BL45" i="299" s="1"/>
  <c r="BM45" i="299" s="1"/>
  <c r="BN45" i="299" s="1"/>
  <c r="AE45" i="299"/>
  <c r="AF44" i="299"/>
  <c r="AG44" i="299" s="1"/>
  <c r="AH44" i="299" s="1"/>
  <c r="AI44" i="299" s="1"/>
  <c r="AJ44" i="299" s="1"/>
  <c r="AK44" i="299" s="1"/>
  <c r="AL44" i="299" s="1"/>
  <c r="AM44" i="299" s="1"/>
  <c r="AN44" i="299" s="1"/>
  <c r="AO44" i="299" s="1"/>
  <c r="AP44" i="299" s="1"/>
  <c r="AQ44" i="299" s="1"/>
  <c r="AR44" i="299" s="1"/>
  <c r="AS44" i="299" s="1"/>
  <c r="AT44" i="299" s="1"/>
  <c r="AU44" i="299" s="1"/>
  <c r="AV44" i="299" s="1"/>
  <c r="AW44" i="299" s="1"/>
  <c r="AX44" i="299" s="1"/>
  <c r="AY44" i="299" s="1"/>
  <c r="AZ44" i="299" s="1"/>
  <c r="BA44" i="299" s="1"/>
  <c r="BB44" i="299" s="1"/>
  <c r="BC44" i="299" s="1"/>
  <c r="BD44" i="299" s="1"/>
  <c r="BE44" i="299" s="1"/>
  <c r="BF44" i="299" s="1"/>
  <c r="BG44" i="299" s="1"/>
  <c r="BH44" i="299" s="1"/>
  <c r="BI44" i="299" s="1"/>
  <c r="BJ44" i="299" s="1"/>
  <c r="BK44" i="299" s="1"/>
  <c r="BL44" i="299" s="1"/>
  <c r="BM44" i="299" s="1"/>
  <c r="BN44" i="299" s="1"/>
  <c r="AE44" i="299"/>
  <c r="AJ43" i="299"/>
  <c r="AK43" i="299" s="1"/>
  <c r="AL43" i="299" s="1"/>
  <c r="AM43" i="299" s="1"/>
  <c r="AN43" i="299" s="1"/>
  <c r="AO43" i="299" s="1"/>
  <c r="AP43" i="299" s="1"/>
  <c r="AQ43" i="299" s="1"/>
  <c r="AR43" i="299" s="1"/>
  <c r="AS43" i="299" s="1"/>
  <c r="AT43" i="299" s="1"/>
  <c r="AU43" i="299" s="1"/>
  <c r="AV43" i="299" s="1"/>
  <c r="AW43" i="299" s="1"/>
  <c r="AX43" i="299" s="1"/>
  <c r="AY43" i="299" s="1"/>
  <c r="AZ43" i="299" s="1"/>
  <c r="BA43" i="299" s="1"/>
  <c r="BB43" i="299" s="1"/>
  <c r="BC43" i="299" s="1"/>
  <c r="BD43" i="299" s="1"/>
  <c r="BE43" i="299" s="1"/>
  <c r="BF43" i="299" s="1"/>
  <c r="BG43" i="299" s="1"/>
  <c r="BH43" i="299" s="1"/>
  <c r="BI43" i="299" s="1"/>
  <c r="BJ43" i="299" s="1"/>
  <c r="BK43" i="299" s="1"/>
  <c r="BL43" i="299" s="1"/>
  <c r="BM43" i="299" s="1"/>
  <c r="BN43" i="299" s="1"/>
  <c r="AG43" i="299"/>
  <c r="AH43" i="299" s="1"/>
  <c r="AI43" i="299" s="1"/>
  <c r="AF43" i="299"/>
  <c r="AE43" i="299"/>
  <c r="AG42" i="299"/>
  <c r="AH42" i="299" s="1"/>
  <c r="AI42" i="299" s="1"/>
  <c r="AJ42" i="299" s="1"/>
  <c r="AK42" i="299" s="1"/>
  <c r="AL42" i="299" s="1"/>
  <c r="AM42" i="299" s="1"/>
  <c r="AN42" i="299" s="1"/>
  <c r="AO42" i="299" s="1"/>
  <c r="AP42" i="299" s="1"/>
  <c r="AQ42" i="299" s="1"/>
  <c r="AR42" i="299" s="1"/>
  <c r="AS42" i="299" s="1"/>
  <c r="AT42" i="299" s="1"/>
  <c r="AU42" i="299" s="1"/>
  <c r="AV42" i="299" s="1"/>
  <c r="AW42" i="299" s="1"/>
  <c r="AX42" i="299" s="1"/>
  <c r="AY42" i="299" s="1"/>
  <c r="AZ42" i="299" s="1"/>
  <c r="BA42" i="299" s="1"/>
  <c r="BB42" i="299" s="1"/>
  <c r="BC42" i="299" s="1"/>
  <c r="BD42" i="299" s="1"/>
  <c r="BE42" i="299" s="1"/>
  <c r="BF42" i="299" s="1"/>
  <c r="BG42" i="299" s="1"/>
  <c r="BH42" i="299" s="1"/>
  <c r="BI42" i="299" s="1"/>
  <c r="BJ42" i="299" s="1"/>
  <c r="BK42" i="299" s="1"/>
  <c r="BL42" i="299" s="1"/>
  <c r="BM42" i="299" s="1"/>
  <c r="BN42" i="299" s="1"/>
  <c r="AF42" i="299"/>
  <c r="AE42" i="299"/>
  <c r="AF41" i="299"/>
  <c r="AG41" i="299" s="1"/>
  <c r="AH41" i="299" s="1"/>
  <c r="AI41" i="299" s="1"/>
  <c r="AJ41" i="299" s="1"/>
  <c r="AK41" i="299" s="1"/>
  <c r="AL41" i="299" s="1"/>
  <c r="AM41" i="299" s="1"/>
  <c r="AN41" i="299" s="1"/>
  <c r="AO41" i="299" s="1"/>
  <c r="AP41" i="299" s="1"/>
  <c r="AQ41" i="299" s="1"/>
  <c r="AR41" i="299" s="1"/>
  <c r="AS41" i="299" s="1"/>
  <c r="AT41" i="299" s="1"/>
  <c r="AU41" i="299" s="1"/>
  <c r="AV41" i="299" s="1"/>
  <c r="AW41" i="299" s="1"/>
  <c r="AX41" i="299" s="1"/>
  <c r="AY41" i="299" s="1"/>
  <c r="AZ41" i="299" s="1"/>
  <c r="BA41" i="299" s="1"/>
  <c r="BB41" i="299" s="1"/>
  <c r="BC41" i="299" s="1"/>
  <c r="BD41" i="299" s="1"/>
  <c r="BE41" i="299" s="1"/>
  <c r="BF41" i="299" s="1"/>
  <c r="BG41" i="299" s="1"/>
  <c r="BH41" i="299" s="1"/>
  <c r="BI41" i="299" s="1"/>
  <c r="BJ41" i="299" s="1"/>
  <c r="BK41" i="299" s="1"/>
  <c r="BL41" i="299" s="1"/>
  <c r="BM41" i="299" s="1"/>
  <c r="BN41" i="299" s="1"/>
  <c r="AE41" i="299"/>
  <c r="AF40" i="299"/>
  <c r="AG40" i="299" s="1"/>
  <c r="AH40" i="299" s="1"/>
  <c r="AI40" i="299" s="1"/>
  <c r="AJ40" i="299" s="1"/>
  <c r="AK40" i="299" s="1"/>
  <c r="AL40" i="299" s="1"/>
  <c r="AM40" i="299" s="1"/>
  <c r="AN40" i="299" s="1"/>
  <c r="AO40" i="299" s="1"/>
  <c r="AP40" i="299" s="1"/>
  <c r="AQ40" i="299" s="1"/>
  <c r="AR40" i="299" s="1"/>
  <c r="AS40" i="299" s="1"/>
  <c r="AT40" i="299" s="1"/>
  <c r="AU40" i="299" s="1"/>
  <c r="AV40" i="299" s="1"/>
  <c r="AW40" i="299" s="1"/>
  <c r="AX40" i="299" s="1"/>
  <c r="AY40" i="299" s="1"/>
  <c r="AZ40" i="299" s="1"/>
  <c r="BA40" i="299" s="1"/>
  <c r="BB40" i="299" s="1"/>
  <c r="BC40" i="299" s="1"/>
  <c r="BD40" i="299" s="1"/>
  <c r="BE40" i="299" s="1"/>
  <c r="BF40" i="299" s="1"/>
  <c r="BG40" i="299" s="1"/>
  <c r="BH40" i="299" s="1"/>
  <c r="BI40" i="299" s="1"/>
  <c r="BJ40" i="299" s="1"/>
  <c r="BK40" i="299" s="1"/>
  <c r="BL40" i="299" s="1"/>
  <c r="BM40" i="299" s="1"/>
  <c r="BN40" i="299" s="1"/>
  <c r="AE40" i="299"/>
  <c r="AJ39" i="299"/>
  <c r="AK39" i="299" s="1"/>
  <c r="AL39" i="299" s="1"/>
  <c r="AM39" i="299" s="1"/>
  <c r="AN39" i="299" s="1"/>
  <c r="AO39" i="299" s="1"/>
  <c r="AP39" i="299" s="1"/>
  <c r="AQ39" i="299" s="1"/>
  <c r="AR39" i="299" s="1"/>
  <c r="AS39" i="299" s="1"/>
  <c r="AT39" i="299" s="1"/>
  <c r="AU39" i="299" s="1"/>
  <c r="AV39" i="299" s="1"/>
  <c r="AW39" i="299" s="1"/>
  <c r="AX39" i="299" s="1"/>
  <c r="AY39" i="299" s="1"/>
  <c r="AZ39" i="299" s="1"/>
  <c r="BA39" i="299" s="1"/>
  <c r="BB39" i="299" s="1"/>
  <c r="BC39" i="299" s="1"/>
  <c r="BD39" i="299" s="1"/>
  <c r="BE39" i="299" s="1"/>
  <c r="BF39" i="299" s="1"/>
  <c r="BG39" i="299" s="1"/>
  <c r="BH39" i="299" s="1"/>
  <c r="BI39" i="299" s="1"/>
  <c r="BJ39" i="299" s="1"/>
  <c r="BK39" i="299" s="1"/>
  <c r="BL39" i="299" s="1"/>
  <c r="BM39" i="299" s="1"/>
  <c r="BN39" i="299" s="1"/>
  <c r="AG39" i="299"/>
  <c r="AH39" i="299" s="1"/>
  <c r="AI39" i="299" s="1"/>
  <c r="AF39" i="299"/>
  <c r="AE39" i="299"/>
  <c r="BM19" i="299"/>
  <c r="BL19" i="299"/>
  <c r="BK19" i="299"/>
  <c r="BJ19" i="299"/>
  <c r="BI19" i="299"/>
  <c r="BH19" i="299"/>
  <c r="BG19" i="299"/>
  <c r="BF19" i="299"/>
  <c r="BE19" i="299"/>
  <c r="BD19" i="299"/>
  <c r="BC19" i="299"/>
  <c r="BB19" i="299"/>
  <c r="BA19" i="299"/>
  <c r="AZ19" i="299"/>
  <c r="AY19" i="299"/>
  <c r="AX19" i="299"/>
  <c r="AW19" i="299"/>
  <c r="AV19" i="299"/>
  <c r="AU19" i="299"/>
  <c r="AT19" i="299"/>
  <c r="AS19" i="299"/>
  <c r="AR19" i="299"/>
  <c r="AQ19" i="299"/>
  <c r="AP19" i="299"/>
  <c r="AO19" i="299"/>
  <c r="AN19" i="299"/>
  <c r="AM19" i="299"/>
  <c r="AL19" i="299"/>
  <c r="AK19" i="299"/>
  <c r="AJ19" i="299"/>
  <c r="AI19" i="299"/>
  <c r="AH19" i="299"/>
  <c r="AG19" i="299"/>
  <c r="AF19" i="299"/>
  <c r="AE19" i="299"/>
  <c r="AF13" i="299"/>
  <c r="AG13" i="299" s="1"/>
  <c r="AH13" i="299" s="1"/>
  <c r="AI13" i="299" s="1"/>
  <c r="AJ13" i="299" s="1"/>
  <c r="AK13" i="299" s="1"/>
  <c r="AL13" i="299" s="1"/>
  <c r="AM13" i="299" s="1"/>
  <c r="AN13" i="299" s="1"/>
  <c r="AO13" i="299" s="1"/>
  <c r="AP13" i="299" s="1"/>
  <c r="AQ13" i="299" s="1"/>
  <c r="AR13" i="299" s="1"/>
  <c r="AS13" i="299" s="1"/>
  <c r="AT13" i="299" s="1"/>
  <c r="AU13" i="299" s="1"/>
  <c r="AV13" i="299" s="1"/>
  <c r="AW13" i="299" s="1"/>
  <c r="AX13" i="299" s="1"/>
  <c r="AY13" i="299" s="1"/>
  <c r="AZ13" i="299" s="1"/>
  <c r="BA13" i="299" s="1"/>
  <c r="BB13" i="299" s="1"/>
  <c r="BC13" i="299" s="1"/>
  <c r="BD13" i="299" s="1"/>
  <c r="BE13" i="299" s="1"/>
  <c r="BF13" i="299" s="1"/>
  <c r="BG13" i="299" s="1"/>
  <c r="BH13" i="299" s="1"/>
  <c r="BI13" i="299" s="1"/>
  <c r="BJ13" i="299" s="1"/>
  <c r="BK13" i="299" s="1"/>
  <c r="BL13" i="299" s="1"/>
  <c r="BM13" i="299" s="1"/>
  <c r="BN13" i="299" s="1"/>
  <c r="AE13" i="299"/>
  <c r="F6" i="299"/>
  <c r="G6" i="299" s="1"/>
  <c r="H6" i="299" s="1"/>
  <c r="I6" i="299" s="1"/>
  <c r="J6" i="299" s="1"/>
  <c r="K6" i="299" s="1"/>
  <c r="L6" i="299" s="1"/>
  <c r="M6" i="299" s="1"/>
  <c r="N6" i="299" s="1"/>
  <c r="O6" i="299" s="1"/>
  <c r="P6" i="299" s="1"/>
  <c r="Q6" i="299" s="1"/>
  <c r="R6" i="299" s="1"/>
  <c r="S6" i="299" s="1"/>
  <c r="T6" i="299" s="1"/>
  <c r="U6" i="299" s="1"/>
  <c r="V6" i="299" s="1"/>
  <c r="W6" i="299" s="1"/>
  <c r="X6" i="299" s="1"/>
  <c r="Y6" i="299" s="1"/>
  <c r="Z6" i="299" s="1"/>
  <c r="AA6" i="299" s="1"/>
  <c r="AB6" i="299" s="1"/>
  <c r="AC6" i="299" s="1"/>
  <c r="AD6" i="299" s="1"/>
  <c r="AE6" i="299" s="1"/>
  <c r="AF6" i="299" s="1"/>
  <c r="AG6" i="299" s="1"/>
  <c r="AH6" i="299" s="1"/>
  <c r="AI6" i="299" s="1"/>
  <c r="AJ6" i="299" s="1"/>
  <c r="AK6" i="299" s="1"/>
  <c r="AL6" i="299" s="1"/>
  <c r="AM6" i="299" s="1"/>
  <c r="AN6" i="299" s="1"/>
  <c r="AO6" i="299" s="1"/>
  <c r="AP6" i="299" s="1"/>
  <c r="AQ6" i="299" s="1"/>
  <c r="AR6" i="299" s="1"/>
  <c r="AS6" i="299" s="1"/>
  <c r="AT6" i="299" s="1"/>
  <c r="AU6" i="299" s="1"/>
  <c r="AV6" i="299" s="1"/>
  <c r="AW6" i="299" s="1"/>
  <c r="AX6" i="299" s="1"/>
  <c r="AY6" i="299" s="1"/>
  <c r="AZ6" i="299" s="1"/>
  <c r="BA6" i="299" s="1"/>
  <c r="BB6" i="299" s="1"/>
  <c r="BC6" i="299" s="1"/>
  <c r="BD6" i="299" s="1"/>
  <c r="BE6" i="299" s="1"/>
  <c r="BF6" i="299" s="1"/>
  <c r="BG6" i="299" s="1"/>
  <c r="BH6" i="299" s="1"/>
  <c r="BI6" i="299" s="1"/>
  <c r="BJ6" i="299" s="1"/>
  <c r="BK6" i="299" s="1"/>
  <c r="BL6" i="299" s="1"/>
  <c r="BM6" i="299" s="1"/>
  <c r="BN6" i="299" s="1"/>
  <c r="BN4" i="299"/>
  <c r="BN19" i="299" s="1"/>
  <c r="BF98" i="322" l="1"/>
  <c r="BF58" i="322" s="1"/>
  <c r="BE59" i="322"/>
  <c r="BE62" i="322" s="1"/>
  <c r="BG93" i="322"/>
  <c r="BG97" i="322" s="1"/>
  <c r="BG90" i="322"/>
  <c r="BG69" i="322"/>
  <c r="BG55" i="322"/>
  <c r="BG67" i="322"/>
  <c r="BH54" i="322"/>
  <c r="BG68" i="322"/>
  <c r="BG70" i="322" s="1"/>
  <c r="BG57" i="322" s="1"/>
  <c r="BF70" i="322"/>
  <c r="BF57" i="322" s="1"/>
  <c r="H68" i="277"/>
  <c r="H69" i="277" s="1"/>
  <c r="I68" i="277"/>
  <c r="J68" i="277"/>
  <c r="K68" i="277"/>
  <c r="L68" i="277"/>
  <c r="L69" i="277" s="1"/>
  <c r="M68" i="277"/>
  <c r="M69" i="277" s="1"/>
  <c r="N68" i="277"/>
  <c r="N69" i="277" s="1"/>
  <c r="O68" i="277"/>
  <c r="O69" i="277" s="1"/>
  <c r="P68" i="277"/>
  <c r="P69" i="277" s="1"/>
  <c r="Q68" i="277"/>
  <c r="Q69" i="277" s="1"/>
  <c r="R68" i="277"/>
  <c r="R69" i="277" s="1"/>
  <c r="S68" i="277"/>
  <c r="S69" i="277" s="1"/>
  <c r="T68" i="277"/>
  <c r="T69" i="277" s="1"/>
  <c r="U68" i="277"/>
  <c r="V68" i="277"/>
  <c r="W68" i="277"/>
  <c r="W69" i="277" s="1"/>
  <c r="X68" i="277"/>
  <c r="X69" i="277" s="1"/>
  <c r="Y68" i="277"/>
  <c r="Y69" i="277" s="1"/>
  <c r="Z68" i="277"/>
  <c r="Z69" i="277" s="1"/>
  <c r="AA68" i="277"/>
  <c r="AA69" i="277" s="1"/>
  <c r="AB68" i="277"/>
  <c r="AB69" i="277" s="1"/>
  <c r="AC68" i="277"/>
  <c r="AC69" i="277" s="1"/>
  <c r="AD68" i="277"/>
  <c r="AD69" i="277" s="1"/>
  <c r="AE68" i="277"/>
  <c r="AE69" i="277" s="1"/>
  <c r="AF68" i="277"/>
  <c r="AF69" i="277" s="1"/>
  <c r="AG68" i="277"/>
  <c r="AG69" i="277" s="1"/>
  <c r="AH68" i="277"/>
  <c r="AH69" i="277" s="1"/>
  <c r="AI68" i="277"/>
  <c r="AI69" i="277" s="1"/>
  <c r="AJ68" i="277"/>
  <c r="AJ69" i="277" s="1"/>
  <c r="AK68" i="277"/>
  <c r="AK69" i="277" s="1"/>
  <c r="AL68" i="277"/>
  <c r="AL69" i="277" s="1"/>
  <c r="AM68" i="277"/>
  <c r="AM69" i="277" s="1"/>
  <c r="AN68" i="277"/>
  <c r="AN69" i="277" s="1"/>
  <c r="AO68" i="277"/>
  <c r="AP68" i="277"/>
  <c r="AP69" i="277" s="1"/>
  <c r="AQ68" i="277"/>
  <c r="AQ69" i="277" s="1"/>
  <c r="AR68" i="277"/>
  <c r="AR69" i="277" s="1"/>
  <c r="AS68" i="277"/>
  <c r="AS69" i="277" s="1"/>
  <c r="AT68" i="277"/>
  <c r="AT69" i="277" s="1"/>
  <c r="AU68" i="277"/>
  <c r="AU69" i="277" s="1"/>
  <c r="AV68" i="277"/>
  <c r="AV69" i="277" s="1"/>
  <c r="AW68" i="277"/>
  <c r="AW69" i="277" s="1"/>
  <c r="AX68" i="277"/>
  <c r="AX69" i="277" s="1"/>
  <c r="AY68" i="277"/>
  <c r="AY69" i="277" s="1"/>
  <c r="AZ68" i="277"/>
  <c r="AZ69" i="277" s="1"/>
  <c r="BA68" i="277"/>
  <c r="BA69" i="277" s="1"/>
  <c r="BB68" i="277"/>
  <c r="BB69" i="277" s="1"/>
  <c r="BC68" i="277"/>
  <c r="BC69" i="277" s="1"/>
  <c r="BD68" i="277"/>
  <c r="BD69" i="277" s="1"/>
  <c r="BE68" i="277"/>
  <c r="BE69" i="277" s="1"/>
  <c r="BF68" i="277"/>
  <c r="BF69" i="277" s="1"/>
  <c r="BG68" i="277"/>
  <c r="BG69" i="277" s="1"/>
  <c r="BH68" i="277"/>
  <c r="BH69" i="277" s="1"/>
  <c r="I69" i="277"/>
  <c r="J69" i="277"/>
  <c r="K69" i="277"/>
  <c r="U69" i="277"/>
  <c r="V69" i="277"/>
  <c r="AO69" i="277"/>
  <c r="F68" i="277"/>
  <c r="F69" i="277" s="1"/>
  <c r="G68" i="277"/>
  <c r="G69" i="277" s="1"/>
  <c r="G68" i="275"/>
  <c r="G69" i="275" s="1"/>
  <c r="F68" i="275"/>
  <c r="F69" i="275" s="1"/>
  <c r="BF59" i="322" l="1"/>
  <c r="BF62" i="322" s="1"/>
  <c r="BH93" i="322"/>
  <c r="BH69" i="322"/>
  <c r="BH68" i="322"/>
  <c r="BH67" i="322"/>
  <c r="BH55" i="322"/>
  <c r="BG98" i="322"/>
  <c r="BG58" i="322" s="1"/>
  <c r="BG59" i="322" s="1"/>
  <c r="BG62" i="322" s="1"/>
  <c r="M28" i="293"/>
  <c r="M32" i="293"/>
  <c r="P24" i="293"/>
  <c r="M25" i="293" s="1"/>
  <c r="BH70" i="322" l="1"/>
  <c r="BH57" i="322" s="1"/>
  <c r="BI57" i="322" s="1"/>
  <c r="BI68" i="322"/>
  <c r="BH97" i="322"/>
  <c r="BH90" i="322"/>
  <c r="M31" i="293"/>
  <c r="M27" i="293"/>
  <c r="M24" i="293"/>
  <c r="M30" i="293"/>
  <c r="M26" i="293"/>
  <c r="M37" i="293"/>
  <c r="M38" i="293" s="1"/>
  <c r="M29" i="293"/>
  <c r="BH98" i="322" l="1"/>
  <c r="AB57" i="290"/>
  <c r="AB59" i="290" s="1"/>
  <c r="AC57" i="290"/>
  <c r="AD57" i="290"/>
  <c r="AE57" i="290"/>
  <c r="AE59" i="290" s="1"/>
  <c r="AF57" i="290"/>
  <c r="AF59" i="290" s="1"/>
  <c r="AG57" i="290"/>
  <c r="AH57" i="290"/>
  <c r="AI57" i="290"/>
  <c r="AI59" i="290" s="1"/>
  <c r="AJ57" i="290"/>
  <c r="AJ59" i="290" s="1"/>
  <c r="AK57" i="290"/>
  <c r="AL57" i="290"/>
  <c r="AM57" i="290"/>
  <c r="AM59" i="290" s="1"/>
  <c r="AN57" i="290"/>
  <c r="AN59" i="290" s="1"/>
  <c r="AO57" i="290"/>
  <c r="AP57" i="290"/>
  <c r="AQ57" i="290"/>
  <c r="AQ59" i="290" s="1"/>
  <c r="AR57" i="290"/>
  <c r="AR59" i="290" s="1"/>
  <c r="AS57" i="290"/>
  <c r="AT57" i="290"/>
  <c r="AU57" i="290"/>
  <c r="AU59" i="290" s="1"/>
  <c r="AV57" i="290"/>
  <c r="AV59" i="290" s="1"/>
  <c r="AW57" i="290"/>
  <c r="AX57" i="290"/>
  <c r="AY57" i="290"/>
  <c r="AY59" i="290" s="1"/>
  <c r="AZ57" i="290"/>
  <c r="AZ59" i="290" s="1"/>
  <c r="BA57" i="290"/>
  <c r="BB57" i="290"/>
  <c r="BC57" i="290"/>
  <c r="BC59" i="290" s="1"/>
  <c r="BD57" i="290"/>
  <c r="BD59" i="290" s="1"/>
  <c r="BE57" i="290"/>
  <c r="BF57" i="290"/>
  <c r="BG57" i="290"/>
  <c r="BG59" i="290" s="1"/>
  <c r="BH57" i="290"/>
  <c r="BH59" i="290" s="1"/>
  <c r="AC59" i="290"/>
  <c r="AD59" i="290"/>
  <c r="AG59" i="290"/>
  <c r="AH59" i="290"/>
  <c r="AK59" i="290"/>
  <c r="AL59" i="290"/>
  <c r="AO59" i="290"/>
  <c r="AP59" i="290"/>
  <c r="AS59" i="290"/>
  <c r="AT59" i="290"/>
  <c r="AW59" i="290"/>
  <c r="AX59" i="290"/>
  <c r="BA59" i="290"/>
  <c r="BB59" i="290"/>
  <c r="BE59" i="290"/>
  <c r="BF59" i="290"/>
  <c r="F57" i="290"/>
  <c r="F84" i="284"/>
  <c r="G84" i="284"/>
  <c r="BI94" i="278"/>
  <c r="BI93" i="278"/>
  <c r="E92" i="278"/>
  <c r="E91" i="278"/>
  <c r="E84" i="278"/>
  <c r="G82" i="278"/>
  <c r="H82" i="278" s="1"/>
  <c r="I82" i="278" s="1"/>
  <c r="J82" i="278" s="1"/>
  <c r="K82" i="278" s="1"/>
  <c r="L82" i="278" s="1"/>
  <c r="M82" i="278" s="1"/>
  <c r="N82" i="278" s="1"/>
  <c r="O82" i="278" s="1"/>
  <c r="P82" i="278" s="1"/>
  <c r="Q82" i="278" s="1"/>
  <c r="R82" i="278" s="1"/>
  <c r="S82" i="278" s="1"/>
  <c r="T82" i="278" s="1"/>
  <c r="U82" i="278" s="1"/>
  <c r="V82" i="278" s="1"/>
  <c r="W82" i="278" s="1"/>
  <c r="X82" i="278" s="1"/>
  <c r="Y82" i="278" s="1"/>
  <c r="Z82" i="278" s="1"/>
  <c r="AA82" i="278" s="1"/>
  <c r="AB82" i="278" s="1"/>
  <c r="AC82" i="278" s="1"/>
  <c r="AD82" i="278" s="1"/>
  <c r="AE82" i="278" s="1"/>
  <c r="AF82" i="278" s="1"/>
  <c r="AG82" i="278" s="1"/>
  <c r="AH82" i="278" s="1"/>
  <c r="AI82" i="278" s="1"/>
  <c r="AJ82" i="278" s="1"/>
  <c r="AK82" i="278" s="1"/>
  <c r="AL82" i="278" s="1"/>
  <c r="AM82" i="278" s="1"/>
  <c r="AN82" i="278" s="1"/>
  <c r="AO82" i="278" s="1"/>
  <c r="AP82" i="278" s="1"/>
  <c r="AQ82" i="278" s="1"/>
  <c r="AR82" i="278" s="1"/>
  <c r="AS82" i="278" s="1"/>
  <c r="AT82" i="278" s="1"/>
  <c r="AU82" i="278" s="1"/>
  <c r="AV82" i="278" s="1"/>
  <c r="AW82" i="278" s="1"/>
  <c r="AX82" i="278" s="1"/>
  <c r="AY82" i="278" s="1"/>
  <c r="AZ82" i="278" s="1"/>
  <c r="BA82" i="278" s="1"/>
  <c r="BB82" i="278" s="1"/>
  <c r="BC82" i="278" s="1"/>
  <c r="BD82" i="278" s="1"/>
  <c r="BE82" i="278" s="1"/>
  <c r="BF82" i="278" s="1"/>
  <c r="BG82" i="278" s="1"/>
  <c r="BH82" i="278" s="1"/>
  <c r="E77" i="278"/>
  <c r="D77" i="278"/>
  <c r="E75" i="278"/>
  <c r="E73" i="278"/>
  <c r="D73" i="278"/>
  <c r="F72" i="278"/>
  <c r="G65" i="278"/>
  <c r="H65" i="278" s="1"/>
  <c r="I65" i="278" s="1"/>
  <c r="J65" i="278" s="1"/>
  <c r="K65" i="278" s="1"/>
  <c r="L65" i="278" s="1"/>
  <c r="M65" i="278" s="1"/>
  <c r="N65" i="278" s="1"/>
  <c r="O65" i="278" s="1"/>
  <c r="P65" i="278" s="1"/>
  <c r="Q65" i="278" s="1"/>
  <c r="R65" i="278" s="1"/>
  <c r="S65" i="278" s="1"/>
  <c r="T65" i="278" s="1"/>
  <c r="U65" i="278" s="1"/>
  <c r="V65" i="278" s="1"/>
  <c r="W65" i="278" s="1"/>
  <c r="X65" i="278" s="1"/>
  <c r="Y65" i="278" s="1"/>
  <c r="Z65" i="278" s="1"/>
  <c r="AA65" i="278" s="1"/>
  <c r="AB65" i="278" s="1"/>
  <c r="AC65" i="278" s="1"/>
  <c r="AD65" i="278" s="1"/>
  <c r="AE65" i="278" s="1"/>
  <c r="AF65" i="278" s="1"/>
  <c r="AG65" i="278" s="1"/>
  <c r="AH65" i="278" s="1"/>
  <c r="AI65" i="278" s="1"/>
  <c r="AJ65" i="278" s="1"/>
  <c r="AK65" i="278" s="1"/>
  <c r="AL65" i="278" s="1"/>
  <c r="AM65" i="278" s="1"/>
  <c r="AN65" i="278" s="1"/>
  <c r="AO65" i="278" s="1"/>
  <c r="AP65" i="278" s="1"/>
  <c r="AQ65" i="278" s="1"/>
  <c r="AR65" i="278" s="1"/>
  <c r="AS65" i="278" s="1"/>
  <c r="AT65" i="278" s="1"/>
  <c r="AU65" i="278" s="1"/>
  <c r="AV65" i="278" s="1"/>
  <c r="AW65" i="278" s="1"/>
  <c r="AX65" i="278" s="1"/>
  <c r="AY65" i="278" s="1"/>
  <c r="AZ65" i="278" s="1"/>
  <c r="BA65" i="278" s="1"/>
  <c r="BB65" i="278" s="1"/>
  <c r="BC65" i="278" s="1"/>
  <c r="BD65" i="278" s="1"/>
  <c r="BE65" i="278" s="1"/>
  <c r="BF65" i="278" s="1"/>
  <c r="BG65" i="278" s="1"/>
  <c r="BH65" i="278" s="1"/>
  <c r="H54" i="278"/>
  <c r="G54" i="278"/>
  <c r="F72" i="277"/>
  <c r="P11" i="277"/>
  <c r="F85" i="276"/>
  <c r="F76" i="276"/>
  <c r="Q76" i="276"/>
  <c r="R76" i="276"/>
  <c r="S76" i="276"/>
  <c r="T76" i="276"/>
  <c r="U76" i="276"/>
  <c r="V76" i="276"/>
  <c r="W76" i="276"/>
  <c r="X76" i="276"/>
  <c r="Y76" i="276"/>
  <c r="Z76" i="276"/>
  <c r="AA76" i="276"/>
  <c r="AB76" i="276"/>
  <c r="AC76" i="276"/>
  <c r="AD76" i="276"/>
  <c r="AE76" i="276"/>
  <c r="AF76" i="276"/>
  <c r="AG76" i="276"/>
  <c r="AH76" i="276"/>
  <c r="AI76" i="276"/>
  <c r="AJ76" i="276"/>
  <c r="AK76" i="276"/>
  <c r="AL76" i="276"/>
  <c r="AM76" i="276"/>
  <c r="AN76" i="276"/>
  <c r="AO76" i="276"/>
  <c r="AP76" i="276"/>
  <c r="AQ76" i="276"/>
  <c r="AR76" i="276"/>
  <c r="AS76" i="276"/>
  <c r="AT76" i="276"/>
  <c r="AU76" i="276"/>
  <c r="AV76" i="276"/>
  <c r="AW76" i="276"/>
  <c r="AX76" i="276"/>
  <c r="AY76" i="276"/>
  <c r="AZ76" i="276"/>
  <c r="BA76" i="276"/>
  <c r="BB76" i="276"/>
  <c r="BC76" i="276"/>
  <c r="BD76" i="276"/>
  <c r="BE76" i="276"/>
  <c r="BF76" i="276"/>
  <c r="BG76" i="276"/>
  <c r="BH76" i="276"/>
  <c r="F69" i="276"/>
  <c r="F67" i="276"/>
  <c r="F90" i="275"/>
  <c r="F84" i="275"/>
  <c r="F76" i="275"/>
  <c r="F72" i="275"/>
  <c r="F67" i="275"/>
  <c r="AB73" i="292"/>
  <c r="AC73" i="292"/>
  <c r="AD73" i="292"/>
  <c r="AE73" i="292"/>
  <c r="AF73" i="292"/>
  <c r="AG73" i="292"/>
  <c r="AH73" i="292"/>
  <c r="AI73" i="292"/>
  <c r="AJ73" i="292"/>
  <c r="AK73" i="292"/>
  <c r="AL73" i="292"/>
  <c r="AM73" i="292"/>
  <c r="AN73" i="292"/>
  <c r="AO73" i="292"/>
  <c r="AP73" i="292"/>
  <c r="AQ73" i="292"/>
  <c r="AR73" i="292"/>
  <c r="AS73" i="292"/>
  <c r="AT73" i="292"/>
  <c r="AU73" i="292"/>
  <c r="AV73" i="292"/>
  <c r="AW73" i="292"/>
  <c r="AX73" i="292"/>
  <c r="AY73" i="292"/>
  <c r="AZ73" i="292"/>
  <c r="BA73" i="292"/>
  <c r="BB73" i="292"/>
  <c r="BC73" i="292"/>
  <c r="BD73" i="292"/>
  <c r="BE73" i="292"/>
  <c r="BF73" i="292"/>
  <c r="BG73" i="292"/>
  <c r="BH73" i="292"/>
  <c r="AB77" i="292"/>
  <c r="AC77" i="292"/>
  <c r="AD77" i="292"/>
  <c r="AE77" i="292"/>
  <c r="AF77" i="292"/>
  <c r="AG77" i="292"/>
  <c r="AH77" i="292"/>
  <c r="AI77" i="292"/>
  <c r="AJ77" i="292"/>
  <c r="AK77" i="292"/>
  <c r="AL77" i="292"/>
  <c r="AM77" i="292"/>
  <c r="AN77" i="292"/>
  <c r="AO77" i="292"/>
  <c r="AP77" i="292"/>
  <c r="AQ77" i="292"/>
  <c r="AR77" i="292"/>
  <c r="AS77" i="292"/>
  <c r="AT77" i="292"/>
  <c r="AU77" i="292"/>
  <c r="AV77" i="292"/>
  <c r="AW77" i="292"/>
  <c r="AX77" i="292"/>
  <c r="AY77" i="292"/>
  <c r="AZ77" i="292"/>
  <c r="BA77" i="292"/>
  <c r="BB77" i="292"/>
  <c r="BC77" i="292"/>
  <c r="BD77" i="292"/>
  <c r="BE77" i="292"/>
  <c r="BF77" i="292"/>
  <c r="BG77" i="292"/>
  <c r="BH77" i="292"/>
  <c r="AB87" i="292"/>
  <c r="AC87" i="292"/>
  <c r="AD87" i="292"/>
  <c r="AE87" i="292"/>
  <c r="AF87" i="292"/>
  <c r="AG87" i="292"/>
  <c r="AH87" i="292"/>
  <c r="AI87" i="292"/>
  <c r="AJ87" i="292"/>
  <c r="AK87" i="292"/>
  <c r="AL87" i="292"/>
  <c r="AM87" i="292"/>
  <c r="AN87" i="292"/>
  <c r="AO87" i="292"/>
  <c r="AP87" i="292"/>
  <c r="AQ87" i="292"/>
  <c r="AR87" i="292"/>
  <c r="AS87" i="292"/>
  <c r="AT87" i="292"/>
  <c r="AU87" i="292"/>
  <c r="AV87" i="292"/>
  <c r="AW87" i="292"/>
  <c r="AX87" i="292"/>
  <c r="AY87" i="292"/>
  <c r="AZ87" i="292"/>
  <c r="BA87" i="292"/>
  <c r="BB87" i="292"/>
  <c r="BC87" i="292"/>
  <c r="BD87" i="292"/>
  <c r="BE87" i="292"/>
  <c r="BF87" i="292"/>
  <c r="BG87" i="292"/>
  <c r="BH87" i="292"/>
  <c r="AB85" i="292"/>
  <c r="AC85" i="292"/>
  <c r="AD85" i="292"/>
  <c r="AE85" i="292"/>
  <c r="AF85" i="292"/>
  <c r="AG85" i="292"/>
  <c r="AH85" i="292"/>
  <c r="AI85" i="292"/>
  <c r="AJ85" i="292"/>
  <c r="AK85" i="292"/>
  <c r="AL85" i="292"/>
  <c r="AM85" i="292"/>
  <c r="AN85" i="292"/>
  <c r="AO85" i="292"/>
  <c r="AP85" i="292"/>
  <c r="AQ85" i="292"/>
  <c r="AR85" i="292"/>
  <c r="AS85" i="292"/>
  <c r="AT85" i="292"/>
  <c r="AU85" i="292"/>
  <c r="AV85" i="292"/>
  <c r="AW85" i="292"/>
  <c r="AX85" i="292"/>
  <c r="AY85" i="292"/>
  <c r="AZ85" i="292"/>
  <c r="BA85" i="292"/>
  <c r="BB85" i="292"/>
  <c r="BC85" i="292"/>
  <c r="BD85" i="292"/>
  <c r="BE85" i="292"/>
  <c r="BF85" i="292"/>
  <c r="BG85" i="292"/>
  <c r="BH85" i="292"/>
  <c r="AB84" i="279"/>
  <c r="AC84" i="279"/>
  <c r="AD84" i="279"/>
  <c r="AE84" i="279"/>
  <c r="AF84" i="279"/>
  <c r="AG84" i="279"/>
  <c r="AH84" i="279"/>
  <c r="AI84" i="279"/>
  <c r="AJ84" i="279"/>
  <c r="AK84" i="279"/>
  <c r="AL84" i="279"/>
  <c r="AM84" i="279"/>
  <c r="AN84" i="279"/>
  <c r="AO84" i="279"/>
  <c r="AP84" i="279"/>
  <c r="AQ84" i="279"/>
  <c r="AR84" i="279"/>
  <c r="AS84" i="279"/>
  <c r="AT84" i="279"/>
  <c r="AU84" i="279"/>
  <c r="AV84" i="279"/>
  <c r="AW84" i="279"/>
  <c r="AX84" i="279"/>
  <c r="AY84" i="279"/>
  <c r="AZ84" i="279"/>
  <c r="BA84" i="279"/>
  <c r="BB84" i="279"/>
  <c r="BC84" i="279"/>
  <c r="BD84" i="279"/>
  <c r="BE84" i="279"/>
  <c r="BF84" i="279"/>
  <c r="BG84" i="279"/>
  <c r="BH84" i="279"/>
  <c r="F67" i="279"/>
  <c r="I22" i="279"/>
  <c r="I23" i="279"/>
  <c r="D32" i="279" s="1"/>
  <c r="I21" i="279"/>
  <c r="F73" i="295"/>
  <c r="F67" i="295"/>
  <c r="F90" i="293"/>
  <c r="F81" i="293"/>
  <c r="F73" i="293"/>
  <c r="F67" i="293"/>
  <c r="BH58" i="322" l="1"/>
  <c r="BH55" i="279"/>
  <c r="BD55" i="279"/>
  <c r="AZ55" i="279"/>
  <c r="AV55" i="279"/>
  <c r="AR55" i="279"/>
  <c r="AN55" i="279"/>
  <c r="AJ55" i="279"/>
  <c r="AF55" i="279"/>
  <c r="AB55" i="279"/>
  <c r="X55" i="279"/>
  <c r="T55" i="279"/>
  <c r="BB55" i="279"/>
  <c r="AX55" i="279"/>
  <c r="AP55" i="279"/>
  <c r="AH55" i="279"/>
  <c r="Z55" i="279"/>
  <c r="R55" i="279"/>
  <c r="AW55" i="279"/>
  <c r="AO55" i="279"/>
  <c r="AG55" i="279"/>
  <c r="Y55" i="279"/>
  <c r="BG55" i="279"/>
  <c r="BC55" i="279"/>
  <c r="AY55" i="279"/>
  <c r="AU55" i="279"/>
  <c r="AQ55" i="279"/>
  <c r="AM55" i="279"/>
  <c r="AI55" i="279"/>
  <c r="AE55" i="279"/>
  <c r="AA55" i="279"/>
  <c r="W55" i="279"/>
  <c r="S55" i="279"/>
  <c r="BF55" i="279"/>
  <c r="AT55" i="279"/>
  <c r="AL55" i="279"/>
  <c r="AD55" i="279"/>
  <c r="V55" i="279"/>
  <c r="BE55" i="279"/>
  <c r="BA55" i="279"/>
  <c r="AS55" i="279"/>
  <c r="AK55" i="279"/>
  <c r="AC55" i="279"/>
  <c r="U55" i="279"/>
  <c r="U76" i="279"/>
  <c r="Y76" i="279"/>
  <c r="AC76" i="279"/>
  <c r="AG76" i="279"/>
  <c r="AK76" i="279"/>
  <c r="AO76" i="279"/>
  <c r="AS76" i="279"/>
  <c r="AW76" i="279"/>
  <c r="BA76" i="279"/>
  <c r="BE76" i="279"/>
  <c r="R73" i="279"/>
  <c r="V73" i="279"/>
  <c r="Z73" i="279"/>
  <c r="AD73" i="279"/>
  <c r="AH73" i="279"/>
  <c r="AL73" i="279"/>
  <c r="AP73" i="279"/>
  <c r="AT73" i="279"/>
  <c r="AX73" i="279"/>
  <c r="BB73" i="279"/>
  <c r="BF73" i="279"/>
  <c r="S67" i="279"/>
  <c r="W67" i="279"/>
  <c r="AA67" i="279"/>
  <c r="AE67" i="279"/>
  <c r="AI67" i="279"/>
  <c r="AM67" i="279"/>
  <c r="AQ67" i="279"/>
  <c r="AU67" i="279"/>
  <c r="AY67" i="279"/>
  <c r="BC67" i="279"/>
  <c r="BG67" i="279"/>
  <c r="R76" i="279"/>
  <c r="V76" i="279"/>
  <c r="Z76" i="279"/>
  <c r="AD76" i="279"/>
  <c r="AH76" i="279"/>
  <c r="AL76" i="279"/>
  <c r="AP76" i="279"/>
  <c r="AT76" i="279"/>
  <c r="AX76" i="279"/>
  <c r="BB76" i="279"/>
  <c r="BF76" i="279"/>
  <c r="S73" i="279"/>
  <c r="W73" i="279"/>
  <c r="AA73" i="279"/>
  <c r="AE73" i="279"/>
  <c r="AI73" i="279"/>
  <c r="AM73" i="279"/>
  <c r="AQ73" i="279"/>
  <c r="AU73" i="279"/>
  <c r="AY73" i="279"/>
  <c r="BC73" i="279"/>
  <c r="BG73" i="279"/>
  <c r="T67" i="279"/>
  <c r="X67" i="279"/>
  <c r="AB67" i="279"/>
  <c r="AF67" i="279"/>
  <c r="AJ67" i="279"/>
  <c r="AN67" i="279"/>
  <c r="AR67" i="279"/>
  <c r="AV67" i="279"/>
  <c r="AZ67" i="279"/>
  <c r="BD67" i="279"/>
  <c r="BH67" i="279"/>
  <c r="S76" i="279"/>
  <c r="W76" i="279"/>
  <c r="AA76" i="279"/>
  <c r="AE76" i="279"/>
  <c r="AI76" i="279"/>
  <c r="AM76" i="279"/>
  <c r="AQ76" i="279"/>
  <c r="AU76" i="279"/>
  <c r="AY76" i="279"/>
  <c r="BC76" i="279"/>
  <c r="BG76" i="279"/>
  <c r="T73" i="279"/>
  <c r="X73" i="279"/>
  <c r="AB73" i="279"/>
  <c r="AF73" i="279"/>
  <c r="AJ73" i="279"/>
  <c r="AN73" i="279"/>
  <c r="AR73" i="279"/>
  <c r="AV73" i="279"/>
  <c r="T76" i="279"/>
  <c r="AJ76" i="279"/>
  <c r="AZ76" i="279"/>
  <c r="Y73" i="279"/>
  <c r="AO73" i="279"/>
  <c r="BA73" i="279"/>
  <c r="R67" i="279"/>
  <c r="Z67" i="279"/>
  <c r="AH67" i="279"/>
  <c r="AP67" i="279"/>
  <c r="AX67" i="279"/>
  <c r="BF67" i="279"/>
  <c r="BA67" i="279"/>
  <c r="AF76" i="279"/>
  <c r="AV76" i="279"/>
  <c r="U73" i="279"/>
  <c r="AK73" i="279"/>
  <c r="AZ73" i="279"/>
  <c r="BH73" i="279"/>
  <c r="Y67" i="279"/>
  <c r="AG67" i="279"/>
  <c r="AO67" i="279"/>
  <c r="AW67" i="279"/>
  <c r="BE67" i="279"/>
  <c r="X76" i="279"/>
  <c r="AN76" i="279"/>
  <c r="BD76" i="279"/>
  <c r="AC73" i="279"/>
  <c r="AS73" i="279"/>
  <c r="BD73" i="279"/>
  <c r="U67" i="279"/>
  <c r="AC67" i="279"/>
  <c r="AK67" i="279"/>
  <c r="AS67" i="279"/>
  <c r="AB76" i="279"/>
  <c r="AR76" i="279"/>
  <c r="BH76" i="279"/>
  <c r="AG73" i="279"/>
  <c r="AW73" i="279"/>
  <c r="BE73" i="279"/>
  <c r="V67" i="279"/>
  <c r="AD67" i="279"/>
  <c r="AL67" i="279"/>
  <c r="AT67" i="279"/>
  <c r="BB67" i="279"/>
  <c r="F73" i="279"/>
  <c r="T68" i="279"/>
  <c r="X68" i="279"/>
  <c r="AB68" i="279"/>
  <c r="AF68" i="279"/>
  <c r="AJ68" i="279"/>
  <c r="AN68" i="279"/>
  <c r="AR68" i="279"/>
  <c r="AV68" i="279"/>
  <c r="AZ68" i="279"/>
  <c r="BD68" i="279"/>
  <c r="BH68" i="279"/>
  <c r="R68" i="279"/>
  <c r="V68" i="279"/>
  <c r="AD68" i="279"/>
  <c r="AL68" i="279"/>
  <c r="AT68" i="279"/>
  <c r="BB68" i="279"/>
  <c r="AA68" i="279"/>
  <c r="AI68" i="279"/>
  <c r="AQ68" i="279"/>
  <c r="AY68" i="279"/>
  <c r="BG68" i="279"/>
  <c r="U68" i="279"/>
  <c r="Y68" i="279"/>
  <c r="AC68" i="279"/>
  <c r="AG68" i="279"/>
  <c r="AK68" i="279"/>
  <c r="AO68" i="279"/>
  <c r="AS68" i="279"/>
  <c r="AW68" i="279"/>
  <c r="BA68" i="279"/>
  <c r="BE68" i="279"/>
  <c r="Z68" i="279"/>
  <c r="AH68" i="279"/>
  <c r="AP68" i="279"/>
  <c r="AX68" i="279"/>
  <c r="BF68" i="279"/>
  <c r="S68" i="279"/>
  <c r="W68" i="279"/>
  <c r="AE68" i="279"/>
  <c r="AM68" i="279"/>
  <c r="AU68" i="279"/>
  <c r="BC68" i="279"/>
  <c r="I54" i="278"/>
  <c r="J54" i="278"/>
  <c r="F93" i="282"/>
  <c r="F81" i="282"/>
  <c r="F73" i="282"/>
  <c r="F67" i="282"/>
  <c r="F58" i="282"/>
  <c r="F57" i="282"/>
  <c r="F94" i="280"/>
  <c r="F67" i="280"/>
  <c r="F81" i="280"/>
  <c r="AB70" i="280"/>
  <c r="AC70" i="280"/>
  <c r="AD70" i="280"/>
  <c r="AE70" i="280"/>
  <c r="AF70" i="280"/>
  <c r="AG70" i="280"/>
  <c r="AH70" i="280"/>
  <c r="AI70" i="280"/>
  <c r="AJ70" i="280"/>
  <c r="AK70" i="280"/>
  <c r="AL70" i="280"/>
  <c r="AM70" i="280"/>
  <c r="AN70" i="280"/>
  <c r="AO70" i="280"/>
  <c r="AP70" i="280"/>
  <c r="AQ70" i="280"/>
  <c r="AR70" i="280"/>
  <c r="AS70" i="280"/>
  <c r="AT70" i="280"/>
  <c r="AU70" i="280"/>
  <c r="AV70" i="280"/>
  <c r="AW70" i="280"/>
  <c r="AX70" i="280"/>
  <c r="AY70" i="280"/>
  <c r="AZ70" i="280"/>
  <c r="BA70" i="280"/>
  <c r="BB70" i="280"/>
  <c r="BC70" i="280"/>
  <c r="BD70" i="280"/>
  <c r="BE70" i="280"/>
  <c r="BF70" i="280"/>
  <c r="BG70" i="280"/>
  <c r="BH70" i="280"/>
  <c r="F73" i="280"/>
  <c r="BH59" i="322" l="1"/>
  <c r="K54" i="278"/>
  <c r="I30" i="304"/>
  <c r="H30" i="304"/>
  <c r="G30" i="304"/>
  <c r="F30" i="304"/>
  <c r="D30" i="304"/>
  <c r="L17" i="286"/>
  <c r="B21" i="286"/>
  <c r="G74" i="286" s="1"/>
  <c r="B19" i="286"/>
  <c r="B12" i="286"/>
  <c r="BH62" i="322" l="1"/>
  <c r="J30" i="304"/>
  <c r="B33" i="304"/>
  <c r="D27" i="285"/>
  <c r="N74" i="293"/>
  <c r="AD74" i="293"/>
  <c r="AT74" i="293"/>
  <c r="I74" i="293"/>
  <c r="AA74" i="293"/>
  <c r="BG74" i="293"/>
  <c r="P74" i="293"/>
  <c r="AV74" i="293"/>
  <c r="Y74" i="293"/>
  <c r="AO74" i="293"/>
  <c r="BE74" i="293"/>
  <c r="W74" i="293"/>
  <c r="BC74" i="293"/>
  <c r="L74" i="293"/>
  <c r="AR74" i="293"/>
  <c r="AQ74" i="293"/>
  <c r="AG74" i="293"/>
  <c r="AB74" i="293"/>
  <c r="R74" i="293"/>
  <c r="AH74" i="293"/>
  <c r="AX74" i="293"/>
  <c r="AI74" i="293"/>
  <c r="X74" i="293"/>
  <c r="BD74" i="293"/>
  <c r="M74" i="293"/>
  <c r="AC74" i="293"/>
  <c r="AS74" i="293"/>
  <c r="H74" i="293"/>
  <c r="AE74" i="293"/>
  <c r="G74" i="293"/>
  <c r="T74" i="293"/>
  <c r="AZ74" i="293"/>
  <c r="AL74" i="293"/>
  <c r="K74" i="293"/>
  <c r="Q74" i="293"/>
  <c r="BH74" i="293"/>
  <c r="J74" i="293"/>
  <c r="Z74" i="293"/>
  <c r="AP74" i="293"/>
  <c r="BF74" i="293"/>
  <c r="S74" i="293"/>
  <c r="AY74" i="293"/>
  <c r="AN74" i="293"/>
  <c r="U74" i="293"/>
  <c r="AK74" i="293"/>
  <c r="BA74" i="293"/>
  <c r="O74" i="293"/>
  <c r="AU74" i="293"/>
  <c r="AJ74" i="293"/>
  <c r="V74" i="293"/>
  <c r="BB74" i="293"/>
  <c r="AF74" i="293"/>
  <c r="AW74" i="293"/>
  <c r="AM74" i="293"/>
  <c r="D43" i="279"/>
  <c r="J3" i="278"/>
  <c r="K86" i="278"/>
  <c r="L54" i="278"/>
  <c r="D30" i="306"/>
  <c r="D32" i="306"/>
  <c r="C34" i="306"/>
  <c r="D30" i="290"/>
  <c r="C34" i="290"/>
  <c r="D32" i="289"/>
  <c r="F57" i="289" s="1"/>
  <c r="C34" i="289"/>
  <c r="C34" i="284"/>
  <c r="D32" i="278"/>
  <c r="C34" i="278"/>
  <c r="D32" i="277"/>
  <c r="C34" i="277"/>
  <c r="C34" i="276"/>
  <c r="C34" i="275"/>
  <c r="C34" i="292"/>
  <c r="C34" i="279"/>
  <c r="D34" i="279"/>
  <c r="C34" i="295"/>
  <c r="D34" i="295"/>
  <c r="C38" i="293"/>
  <c r="C34" i="282"/>
  <c r="C34" i="280"/>
  <c r="C27" i="285"/>
  <c r="E66" i="304" l="1"/>
  <c r="E68" i="304"/>
  <c r="E70" i="304"/>
  <c r="E74" i="304"/>
  <c r="E76" i="304"/>
  <c r="E73" i="304"/>
  <c r="E72" i="304"/>
  <c r="E71" i="304"/>
  <c r="E69" i="304"/>
  <c r="E75" i="304"/>
  <c r="E67" i="304"/>
  <c r="E54" i="304"/>
  <c r="E49" i="304"/>
  <c r="E44" i="304"/>
  <c r="E45" i="304"/>
  <c r="E39" i="304"/>
  <c r="E38" i="304"/>
  <c r="E52" i="304"/>
  <c r="E47" i="304"/>
  <c r="E48" i="304"/>
  <c r="E43" i="304"/>
  <c r="E41" i="304"/>
  <c r="E40" i="304"/>
  <c r="E51" i="304"/>
  <c r="E50" i="304"/>
  <c r="E46" i="304"/>
  <c r="E42" i="304"/>
  <c r="E53" i="304"/>
  <c r="E55" i="304"/>
  <c r="E56" i="304"/>
  <c r="E57" i="304"/>
  <c r="E58" i="304"/>
  <c r="E59" i="304"/>
  <c r="E60" i="304"/>
  <c r="E61" i="304"/>
  <c r="E62" i="304"/>
  <c r="E63" i="304"/>
  <c r="E64" i="304"/>
  <c r="E65" i="304"/>
  <c r="F73" i="284"/>
  <c r="AC76" i="284"/>
  <c r="AG76" i="284"/>
  <c r="AK76" i="284"/>
  <c r="AO76" i="284"/>
  <c r="AS76" i="284"/>
  <c r="AW76" i="284"/>
  <c r="BA76" i="284"/>
  <c r="BE76" i="284"/>
  <c r="F76" i="284"/>
  <c r="AD76" i="284"/>
  <c r="AH76" i="284"/>
  <c r="AL76" i="284"/>
  <c r="AP76" i="284"/>
  <c r="AT76" i="284"/>
  <c r="AX76" i="284"/>
  <c r="BB76" i="284"/>
  <c r="BF76" i="284"/>
  <c r="G76" i="284"/>
  <c r="AE76" i="284"/>
  <c r="AI76" i="284"/>
  <c r="AM76" i="284"/>
  <c r="AQ76" i="284"/>
  <c r="AU76" i="284"/>
  <c r="AY76" i="284"/>
  <c r="BC76" i="284"/>
  <c r="BG76" i="284"/>
  <c r="AF76" i="284"/>
  <c r="AJ76" i="284"/>
  <c r="AN76" i="284"/>
  <c r="AR76" i="284"/>
  <c r="AV76" i="284"/>
  <c r="AZ76" i="284"/>
  <c r="BD76" i="284"/>
  <c r="BH76" i="284"/>
  <c r="L76" i="284"/>
  <c r="P76" i="284"/>
  <c r="T76" i="284"/>
  <c r="X76" i="284"/>
  <c r="AB76" i="284"/>
  <c r="J76" i="284"/>
  <c r="R76" i="284"/>
  <c r="Z76" i="284"/>
  <c r="O76" i="284"/>
  <c r="W76" i="284"/>
  <c r="H76" i="284"/>
  <c r="I76" i="284"/>
  <c r="M76" i="284"/>
  <c r="Q76" i="284"/>
  <c r="U76" i="284"/>
  <c r="Y76" i="284"/>
  <c r="N76" i="284"/>
  <c r="V76" i="284"/>
  <c r="K76" i="284"/>
  <c r="S76" i="284"/>
  <c r="AA76" i="284"/>
  <c r="L84" i="278"/>
  <c r="F68" i="278"/>
  <c r="F69" i="278" s="1"/>
  <c r="F91" i="278"/>
  <c r="F74" i="278"/>
  <c r="F67" i="278"/>
  <c r="G84" i="278"/>
  <c r="F85" i="278"/>
  <c r="F75" i="278"/>
  <c r="F87" i="278"/>
  <c r="F84" i="278"/>
  <c r="G86" i="278"/>
  <c r="F86" i="278"/>
  <c r="H84" i="278"/>
  <c r="I86" i="278"/>
  <c r="I85" i="278"/>
  <c r="H86" i="278"/>
  <c r="G85" i="278"/>
  <c r="H85" i="278"/>
  <c r="J84" i="278"/>
  <c r="J85" i="278"/>
  <c r="I84" i="278"/>
  <c r="J86" i="278"/>
  <c r="K85" i="278"/>
  <c r="K84" i="278"/>
  <c r="F86" i="277"/>
  <c r="F85" i="277"/>
  <c r="F87" i="277"/>
  <c r="F74" i="277"/>
  <c r="F84" i="277"/>
  <c r="F67" i="277"/>
  <c r="F75" i="277"/>
  <c r="F75" i="284"/>
  <c r="F90" i="284"/>
  <c r="F67" i="284"/>
  <c r="F69" i="284"/>
  <c r="L86" i="278"/>
  <c r="L85" i="278"/>
  <c r="M54" i="278"/>
  <c r="T12" i="295"/>
  <c r="T13" i="295"/>
  <c r="T14" i="295"/>
  <c r="T15" i="295"/>
  <c r="T16" i="295"/>
  <c r="T17" i="295"/>
  <c r="T11" i="295"/>
  <c r="T10" i="295"/>
  <c r="I71" i="304" l="1"/>
  <c r="G71" i="304"/>
  <c r="H71" i="304" s="1"/>
  <c r="G74" i="304"/>
  <c r="H74" i="304" s="1"/>
  <c r="I74" i="304"/>
  <c r="I67" i="304"/>
  <c r="G67" i="304"/>
  <c r="H67" i="304" s="1"/>
  <c r="G72" i="304"/>
  <c r="H72" i="304" s="1"/>
  <c r="I72" i="304"/>
  <c r="G70" i="304"/>
  <c r="H70" i="304" s="1"/>
  <c r="I70" i="304"/>
  <c r="G75" i="304"/>
  <c r="H75" i="304" s="1"/>
  <c r="I75" i="304"/>
  <c r="G73" i="304"/>
  <c r="H73" i="304" s="1"/>
  <c r="I73" i="304"/>
  <c r="G68" i="304"/>
  <c r="H68" i="304" s="1"/>
  <c r="I68" i="304"/>
  <c r="G69" i="304"/>
  <c r="H69" i="304" s="1"/>
  <c r="I69" i="304"/>
  <c r="G76" i="304"/>
  <c r="H76" i="304" s="1"/>
  <c r="I76" i="304"/>
  <c r="G66" i="304"/>
  <c r="H66" i="304" s="1"/>
  <c r="I66" i="304"/>
  <c r="F70" i="284"/>
  <c r="F88" i="277"/>
  <c r="F88" i="278"/>
  <c r="M84" i="278"/>
  <c r="M86" i="278"/>
  <c r="M85" i="278"/>
  <c r="N54" i="278"/>
  <c r="R57" i="295"/>
  <c r="S57" i="295"/>
  <c r="T57" i="295"/>
  <c r="U57" i="295"/>
  <c r="V57" i="295"/>
  <c r="W57" i="295"/>
  <c r="X57" i="295"/>
  <c r="Y57" i="295"/>
  <c r="Z57" i="295"/>
  <c r="AA57" i="295"/>
  <c r="AB57" i="295"/>
  <c r="AC57" i="295"/>
  <c r="AD57" i="295"/>
  <c r="AE57" i="295"/>
  <c r="AF57" i="295"/>
  <c r="AG57" i="295"/>
  <c r="AH57" i="295"/>
  <c r="AI57" i="295"/>
  <c r="AJ57" i="295"/>
  <c r="AK57" i="295"/>
  <c r="AL57" i="295"/>
  <c r="AM57" i="295"/>
  <c r="AN57" i="295"/>
  <c r="AO57" i="295"/>
  <c r="AP57" i="295"/>
  <c r="AQ57" i="295"/>
  <c r="AR57" i="295"/>
  <c r="AS57" i="295"/>
  <c r="AT57" i="295"/>
  <c r="AU57" i="295"/>
  <c r="AV57" i="295"/>
  <c r="AW57" i="295"/>
  <c r="AX57" i="295"/>
  <c r="AY57" i="295"/>
  <c r="AZ57" i="295"/>
  <c r="BA57" i="295"/>
  <c r="BB57" i="295"/>
  <c r="BC57" i="295"/>
  <c r="BD57" i="295"/>
  <c r="BE57" i="295"/>
  <c r="BF57" i="295"/>
  <c r="BG57" i="295"/>
  <c r="BH57" i="295"/>
  <c r="R74" i="295"/>
  <c r="S74" i="295"/>
  <c r="T74" i="295"/>
  <c r="U74" i="295"/>
  <c r="V74" i="295"/>
  <c r="W74" i="295"/>
  <c r="X74" i="295"/>
  <c r="Y74" i="295"/>
  <c r="Z74" i="295"/>
  <c r="AA74" i="295"/>
  <c r="AB74" i="295"/>
  <c r="AC74" i="295"/>
  <c r="AD74" i="295"/>
  <c r="AE74" i="295"/>
  <c r="AF74" i="295"/>
  <c r="AG74" i="295"/>
  <c r="AH74" i="295"/>
  <c r="AI74" i="295"/>
  <c r="AJ74" i="295"/>
  <c r="AK74" i="295"/>
  <c r="AL74" i="295"/>
  <c r="AM74" i="295"/>
  <c r="AN74" i="295"/>
  <c r="AO74" i="295"/>
  <c r="AP74" i="295"/>
  <c r="AQ74" i="295"/>
  <c r="AR74" i="295"/>
  <c r="AS74" i="295"/>
  <c r="AT74" i="295"/>
  <c r="AU74" i="295"/>
  <c r="AV74" i="295"/>
  <c r="AW74" i="295"/>
  <c r="AX74" i="295"/>
  <c r="AY74" i="295"/>
  <c r="AZ74" i="295"/>
  <c r="BA74" i="295"/>
  <c r="BB74" i="295"/>
  <c r="BC74" i="295"/>
  <c r="BD74" i="295"/>
  <c r="BE74" i="295"/>
  <c r="BF74" i="295"/>
  <c r="BG74" i="295"/>
  <c r="BH74" i="295"/>
  <c r="G74" i="295"/>
  <c r="L13" i="295"/>
  <c r="Q13" i="295"/>
  <c r="R13" i="295"/>
  <c r="L14" i="295"/>
  <c r="Q14" i="295"/>
  <c r="R14" i="295"/>
  <c r="L15" i="295"/>
  <c r="Q15" i="295"/>
  <c r="R15" i="295"/>
  <c r="L16" i="295"/>
  <c r="Q16" i="295"/>
  <c r="R16" i="295"/>
  <c r="L17" i="295"/>
  <c r="Q17" i="295"/>
  <c r="R17" i="295"/>
  <c r="T18" i="295"/>
  <c r="D30" i="295" s="1"/>
  <c r="N84" i="278" l="1"/>
  <c r="N86" i="278"/>
  <c r="N85" i="278"/>
  <c r="O54" i="278"/>
  <c r="S15" i="295"/>
  <c r="S13" i="295"/>
  <c r="S17" i="295"/>
  <c r="S16" i="295"/>
  <c r="S14" i="295"/>
  <c r="R12" i="295"/>
  <c r="Q12" i="295"/>
  <c r="L12" i="295"/>
  <c r="R11" i="295"/>
  <c r="Q11" i="295"/>
  <c r="L11" i="295"/>
  <c r="R10" i="295"/>
  <c r="Q10" i="295"/>
  <c r="S10" i="295" s="1"/>
  <c r="L10" i="295"/>
  <c r="O84" i="278" l="1"/>
  <c r="O85" i="278"/>
  <c r="O86" i="278"/>
  <c r="P54" i="278"/>
  <c r="S11" i="295"/>
  <c r="S12" i="295"/>
  <c r="BI96" i="306"/>
  <c r="BI95" i="306"/>
  <c r="E94" i="306"/>
  <c r="E93" i="306"/>
  <c r="BH90" i="306"/>
  <c r="BG90" i="306"/>
  <c r="BF90" i="306"/>
  <c r="BE90" i="306"/>
  <c r="BD90" i="306"/>
  <c r="BC90" i="306"/>
  <c r="BB90" i="306"/>
  <c r="BA90" i="306"/>
  <c r="AZ90" i="306"/>
  <c r="AY90" i="306"/>
  <c r="AX90" i="306"/>
  <c r="AW90" i="306"/>
  <c r="AV90" i="306"/>
  <c r="AU90" i="306"/>
  <c r="AT90" i="306"/>
  <c r="AS90" i="306"/>
  <c r="AR90" i="306"/>
  <c r="AQ90" i="306"/>
  <c r="AP90" i="306"/>
  <c r="AO90" i="306"/>
  <c r="AN90" i="306"/>
  <c r="AM90" i="306"/>
  <c r="AL90" i="306"/>
  <c r="AK90" i="306"/>
  <c r="AJ90" i="306"/>
  <c r="AI90" i="306"/>
  <c r="AH90" i="306"/>
  <c r="AG90" i="306"/>
  <c r="AF90" i="306"/>
  <c r="AE90" i="306"/>
  <c r="AD90" i="306"/>
  <c r="AC90" i="306"/>
  <c r="AB90" i="306"/>
  <c r="AA90" i="306"/>
  <c r="Z90" i="306"/>
  <c r="Y90" i="306"/>
  <c r="X90" i="306"/>
  <c r="W90" i="306"/>
  <c r="V90" i="306"/>
  <c r="U90" i="306"/>
  <c r="T90" i="306"/>
  <c r="S90" i="306"/>
  <c r="R90" i="306"/>
  <c r="Q90" i="306"/>
  <c r="P90" i="306"/>
  <c r="O90" i="306"/>
  <c r="N90" i="306"/>
  <c r="M90" i="306"/>
  <c r="L90" i="306"/>
  <c r="K90" i="306"/>
  <c r="J90" i="306"/>
  <c r="I90" i="306"/>
  <c r="H90" i="306"/>
  <c r="G90" i="306"/>
  <c r="F90" i="306"/>
  <c r="BI89" i="306"/>
  <c r="BI88" i="306"/>
  <c r="AA87" i="306"/>
  <c r="Z87" i="306"/>
  <c r="Y87" i="306"/>
  <c r="X87" i="306"/>
  <c r="W87" i="306"/>
  <c r="V87" i="306"/>
  <c r="U87" i="306"/>
  <c r="T87" i="306"/>
  <c r="S87" i="306"/>
  <c r="R87" i="306"/>
  <c r="Q87" i="306"/>
  <c r="P87" i="306"/>
  <c r="O87" i="306"/>
  <c r="N87" i="306"/>
  <c r="M87" i="306"/>
  <c r="L87" i="306"/>
  <c r="K87" i="306"/>
  <c r="J87" i="306"/>
  <c r="I87" i="306"/>
  <c r="H87" i="306"/>
  <c r="G87" i="306"/>
  <c r="E87" i="306"/>
  <c r="G85" i="306"/>
  <c r="H85" i="306" s="1"/>
  <c r="I85" i="306" s="1"/>
  <c r="J85" i="306" s="1"/>
  <c r="K85" i="306" s="1"/>
  <c r="L85" i="306" s="1"/>
  <c r="M85" i="306" s="1"/>
  <c r="N85" i="306" s="1"/>
  <c r="O85" i="306" s="1"/>
  <c r="P85" i="306" s="1"/>
  <c r="Q85" i="306" s="1"/>
  <c r="R85" i="306" s="1"/>
  <c r="S85" i="306" s="1"/>
  <c r="T85" i="306" s="1"/>
  <c r="U85" i="306" s="1"/>
  <c r="V85" i="306" s="1"/>
  <c r="W85" i="306" s="1"/>
  <c r="X85" i="306" s="1"/>
  <c r="Y85" i="306" s="1"/>
  <c r="Z85" i="306" s="1"/>
  <c r="AA85" i="306" s="1"/>
  <c r="AB85" i="306" s="1"/>
  <c r="AC85" i="306" s="1"/>
  <c r="AD85" i="306" s="1"/>
  <c r="AE85" i="306" s="1"/>
  <c r="AF85" i="306" s="1"/>
  <c r="AG85" i="306" s="1"/>
  <c r="AH85" i="306" s="1"/>
  <c r="AI85" i="306" s="1"/>
  <c r="AJ85" i="306" s="1"/>
  <c r="AK85" i="306" s="1"/>
  <c r="AL85" i="306" s="1"/>
  <c r="AM85" i="306" s="1"/>
  <c r="AN85" i="306" s="1"/>
  <c r="AO85" i="306" s="1"/>
  <c r="AP85" i="306" s="1"/>
  <c r="AQ85" i="306" s="1"/>
  <c r="AR85" i="306" s="1"/>
  <c r="AS85" i="306" s="1"/>
  <c r="AT85" i="306" s="1"/>
  <c r="AU85" i="306" s="1"/>
  <c r="AV85" i="306" s="1"/>
  <c r="AW85" i="306" s="1"/>
  <c r="AX85" i="306" s="1"/>
  <c r="AY85" i="306" s="1"/>
  <c r="AZ85" i="306" s="1"/>
  <c r="BA85" i="306" s="1"/>
  <c r="BB85" i="306" s="1"/>
  <c r="BC85" i="306" s="1"/>
  <c r="BD85" i="306" s="1"/>
  <c r="BE85" i="306" s="1"/>
  <c r="BF85" i="306" s="1"/>
  <c r="BG85" i="306" s="1"/>
  <c r="BH85" i="306" s="1"/>
  <c r="E79" i="306"/>
  <c r="D79" i="306"/>
  <c r="E78" i="306"/>
  <c r="E77" i="306"/>
  <c r="BI76" i="306"/>
  <c r="E75" i="306"/>
  <c r="D75" i="306"/>
  <c r="Y71" i="306"/>
  <c r="AA70" i="306"/>
  <c r="Z70" i="306"/>
  <c r="Y70" i="306"/>
  <c r="X70" i="306"/>
  <c r="W70" i="306"/>
  <c r="V70" i="306"/>
  <c r="U70" i="306"/>
  <c r="T70" i="306"/>
  <c r="S70" i="306"/>
  <c r="R70" i="306"/>
  <c r="Q70" i="306"/>
  <c r="P70" i="306"/>
  <c r="O70" i="306"/>
  <c r="N70" i="306"/>
  <c r="M70" i="306"/>
  <c r="L70" i="306"/>
  <c r="K70" i="306"/>
  <c r="J70" i="306"/>
  <c r="I70" i="306"/>
  <c r="H70" i="306"/>
  <c r="G70" i="306"/>
  <c r="AA69" i="306"/>
  <c r="Z69" i="306"/>
  <c r="Y69" i="306"/>
  <c r="X69" i="306"/>
  <c r="W69" i="306"/>
  <c r="V69" i="306"/>
  <c r="U69" i="306"/>
  <c r="T69" i="306"/>
  <c r="S69" i="306"/>
  <c r="R69" i="306"/>
  <c r="Q69" i="306"/>
  <c r="P69" i="306"/>
  <c r="O69" i="306"/>
  <c r="N69" i="306"/>
  <c r="M69" i="306"/>
  <c r="L69" i="306"/>
  <c r="K69" i="306"/>
  <c r="J69" i="306"/>
  <c r="I69" i="306"/>
  <c r="H69" i="306"/>
  <c r="G69" i="306"/>
  <c r="AA68" i="306"/>
  <c r="Z68" i="306"/>
  <c r="Y68" i="306"/>
  <c r="X68" i="306"/>
  <c r="W68" i="306"/>
  <c r="V68" i="306"/>
  <c r="U68" i="306"/>
  <c r="T68" i="306"/>
  <c r="S68" i="306"/>
  <c r="R68" i="306"/>
  <c r="Q68" i="306"/>
  <c r="P68" i="306"/>
  <c r="O68" i="306"/>
  <c r="N68" i="306"/>
  <c r="M68" i="306"/>
  <c r="L68" i="306"/>
  <c r="K68" i="306"/>
  <c r="J68" i="306"/>
  <c r="I68" i="306"/>
  <c r="H68" i="306"/>
  <c r="G68" i="306"/>
  <c r="G65" i="306"/>
  <c r="G54" i="306"/>
  <c r="D48" i="306"/>
  <c r="F74" i="306"/>
  <c r="F6" i="306"/>
  <c r="C6" i="306"/>
  <c r="C5" i="306"/>
  <c r="P84" i="278" l="1"/>
  <c r="P86" i="278"/>
  <c r="P85" i="278"/>
  <c r="Q54" i="278"/>
  <c r="H71" i="306"/>
  <c r="T71" i="306"/>
  <c r="I71" i="306"/>
  <c r="M71" i="306"/>
  <c r="Q71" i="306"/>
  <c r="U71" i="306"/>
  <c r="BI90" i="306"/>
  <c r="J71" i="306"/>
  <c r="N71" i="306"/>
  <c r="R71" i="306"/>
  <c r="V71" i="306"/>
  <c r="Z71" i="306"/>
  <c r="G71" i="306"/>
  <c r="K71" i="306"/>
  <c r="O71" i="306"/>
  <c r="S71" i="306"/>
  <c r="W71" i="306"/>
  <c r="AA71" i="306"/>
  <c r="S18" i="295"/>
  <c r="D33" i="295" s="1"/>
  <c r="G93" i="306"/>
  <c r="D22" i="306" s="1"/>
  <c r="F77" i="306"/>
  <c r="F78" i="306"/>
  <c r="X71" i="306"/>
  <c r="H54" i="306"/>
  <c r="G57" i="306"/>
  <c r="G59" i="306" s="1"/>
  <c r="G55" i="306"/>
  <c r="H65" i="306"/>
  <c r="L71" i="306"/>
  <c r="P71" i="306"/>
  <c r="BI68" i="306"/>
  <c r="F93" i="306"/>
  <c r="F87" i="306"/>
  <c r="F67" i="306"/>
  <c r="E45" i="291"/>
  <c r="Q84" i="278" l="1"/>
  <c r="Q86" i="278"/>
  <c r="Q85" i="278"/>
  <c r="R54" i="278"/>
  <c r="F70" i="306"/>
  <c r="G62" i="306"/>
  <c r="I54" i="306"/>
  <c r="H57" i="306"/>
  <c r="H59" i="306" s="1"/>
  <c r="H55" i="306"/>
  <c r="H93" i="306"/>
  <c r="I65" i="306"/>
  <c r="R84" i="278" l="1"/>
  <c r="R85" i="278"/>
  <c r="R86" i="278"/>
  <c r="S54" i="278"/>
  <c r="J54" i="306"/>
  <c r="I57" i="306"/>
  <c r="I59" i="306" s="1"/>
  <c r="I55" i="306"/>
  <c r="F71" i="306"/>
  <c r="I93" i="306"/>
  <c r="J65" i="306"/>
  <c r="H62" i="306"/>
  <c r="I7" i="279"/>
  <c r="S84" i="278" l="1"/>
  <c r="S86" i="278"/>
  <c r="S85" i="278"/>
  <c r="T54" i="278"/>
  <c r="I62" i="306"/>
  <c r="J57" i="306"/>
  <c r="J59" i="306" s="1"/>
  <c r="J55" i="306"/>
  <c r="K54" i="306"/>
  <c r="J93" i="306"/>
  <c r="K65" i="306"/>
  <c r="T84" i="278" l="1"/>
  <c r="T86" i="278"/>
  <c r="U54" i="278"/>
  <c r="T85" i="278"/>
  <c r="K93" i="306"/>
  <c r="L65" i="306"/>
  <c r="L54" i="306"/>
  <c r="K57" i="306"/>
  <c r="K59" i="306" s="1"/>
  <c r="K55" i="306"/>
  <c r="J62" i="306"/>
  <c r="C6" i="290"/>
  <c r="C5" i="290"/>
  <c r="C6" i="289"/>
  <c r="C5" i="289"/>
  <c r="C6" i="284"/>
  <c r="C6" i="278"/>
  <c r="C5" i="278"/>
  <c r="J7" i="278" s="1"/>
  <c r="D38" i="278" s="1"/>
  <c r="C6" i="277"/>
  <c r="C5" i="277"/>
  <c r="C6" i="276"/>
  <c r="C5" i="276"/>
  <c r="J13" i="276" s="1"/>
  <c r="C6" i="275"/>
  <c r="C6" i="292"/>
  <c r="C5" i="292"/>
  <c r="C6" i="279"/>
  <c r="C5" i="279"/>
  <c r="F5" i="275" l="1"/>
  <c r="F4" i="275"/>
  <c r="J8" i="275" s="1"/>
  <c r="N5" i="292"/>
  <c r="F4" i="292"/>
  <c r="N6" i="292"/>
  <c r="F5" i="292"/>
  <c r="F5" i="276"/>
  <c r="F4" i="276"/>
  <c r="J74" i="292"/>
  <c r="N74" i="292"/>
  <c r="R74" i="292"/>
  <c r="V74" i="292"/>
  <c r="Z74" i="292"/>
  <c r="AD74" i="292"/>
  <c r="AH74" i="292"/>
  <c r="AL74" i="292"/>
  <c r="AP74" i="292"/>
  <c r="AT74" i="292"/>
  <c r="AX74" i="292"/>
  <c r="BB74" i="292"/>
  <c r="BF74" i="292"/>
  <c r="L74" i="292"/>
  <c r="X74" i="292"/>
  <c r="AF74" i="292"/>
  <c r="AN74" i="292"/>
  <c r="AV74" i="292"/>
  <c r="BD74" i="292"/>
  <c r="K74" i="292"/>
  <c r="O74" i="292"/>
  <c r="S74" i="292"/>
  <c r="W74" i="292"/>
  <c r="AA74" i="292"/>
  <c r="AE74" i="292"/>
  <c r="AI74" i="292"/>
  <c r="AM74" i="292"/>
  <c r="AQ74" i="292"/>
  <c r="AU74" i="292"/>
  <c r="AY74" i="292"/>
  <c r="BC74" i="292"/>
  <c r="BG74" i="292"/>
  <c r="H74" i="292"/>
  <c r="P74" i="292"/>
  <c r="T74" i="292"/>
  <c r="AB74" i="292"/>
  <c r="AJ74" i="292"/>
  <c r="AR74" i="292"/>
  <c r="AZ74" i="292"/>
  <c r="BH74" i="292"/>
  <c r="U74" i="292"/>
  <c r="AK74" i="292"/>
  <c r="BA74" i="292"/>
  <c r="AC74" i="292"/>
  <c r="G74" i="292"/>
  <c r="AG74" i="292"/>
  <c r="I74" i="292"/>
  <c r="Y74" i="292"/>
  <c r="AO74" i="292"/>
  <c r="BE74" i="292"/>
  <c r="M74" i="292"/>
  <c r="AS74" i="292"/>
  <c r="Q74" i="292"/>
  <c r="AW74" i="292"/>
  <c r="K74" i="276"/>
  <c r="O74" i="276"/>
  <c r="S74" i="276"/>
  <c r="W74" i="276"/>
  <c r="AA74" i="276"/>
  <c r="AE74" i="276"/>
  <c r="AI74" i="276"/>
  <c r="AM74" i="276"/>
  <c r="AQ74" i="276"/>
  <c r="AU74" i="276"/>
  <c r="AY74" i="276"/>
  <c r="BC74" i="276"/>
  <c r="BG74" i="276"/>
  <c r="H74" i="276"/>
  <c r="L74" i="276"/>
  <c r="P74" i="276"/>
  <c r="T74" i="276"/>
  <c r="X74" i="276"/>
  <c r="AB74" i="276"/>
  <c r="AF74" i="276"/>
  <c r="AJ74" i="276"/>
  <c r="AN74" i="276"/>
  <c r="AR74" i="276"/>
  <c r="AV74" i="276"/>
  <c r="AZ74" i="276"/>
  <c r="BD74" i="276"/>
  <c r="BH74" i="276"/>
  <c r="M74" i="276"/>
  <c r="U74" i="276"/>
  <c r="AC74" i="276"/>
  <c r="AK74" i="276"/>
  <c r="AS74" i="276"/>
  <c r="BA74" i="276"/>
  <c r="G74" i="276"/>
  <c r="Q74" i="276"/>
  <c r="AG74" i="276"/>
  <c r="AO74" i="276"/>
  <c r="BE74" i="276"/>
  <c r="J74" i="276"/>
  <c r="N74" i="276"/>
  <c r="V74" i="276"/>
  <c r="AD74" i="276"/>
  <c r="AL74" i="276"/>
  <c r="AT74" i="276"/>
  <c r="BB74" i="276"/>
  <c r="I74" i="276"/>
  <c r="Y74" i="276"/>
  <c r="AW74" i="276"/>
  <c r="R74" i="276"/>
  <c r="AX74" i="276"/>
  <c r="Z74" i="276"/>
  <c r="BF74" i="276"/>
  <c r="AH74" i="276"/>
  <c r="AP74" i="276"/>
  <c r="H73" i="278"/>
  <c r="L73" i="278"/>
  <c r="P73" i="278"/>
  <c r="T73" i="278"/>
  <c r="X73" i="278"/>
  <c r="AB73" i="278"/>
  <c r="AF73" i="278"/>
  <c r="AJ73" i="278"/>
  <c r="AN73" i="278"/>
  <c r="AR73" i="278"/>
  <c r="AV73" i="278"/>
  <c r="AZ73" i="278"/>
  <c r="BD73" i="278"/>
  <c r="BH73" i="278"/>
  <c r="K73" i="278"/>
  <c r="O73" i="278"/>
  <c r="S73" i="278"/>
  <c r="W73" i="278"/>
  <c r="AA73" i="278"/>
  <c r="AE73" i="278"/>
  <c r="AI73" i="278"/>
  <c r="AM73" i="278"/>
  <c r="AQ73" i="278"/>
  <c r="AU73" i="278"/>
  <c r="AY73" i="278"/>
  <c r="BC73" i="278"/>
  <c r="BG73" i="278"/>
  <c r="I73" i="278"/>
  <c r="Q73" i="278"/>
  <c r="Y73" i="278"/>
  <c r="AG73" i="278"/>
  <c r="AO73" i="278"/>
  <c r="AW73" i="278"/>
  <c r="BE73" i="278"/>
  <c r="J73" i="278"/>
  <c r="R73" i="278"/>
  <c r="Z73" i="278"/>
  <c r="AH73" i="278"/>
  <c r="AP73" i="278"/>
  <c r="AX73" i="278"/>
  <c r="BF73" i="278"/>
  <c r="M73" i="278"/>
  <c r="AC73" i="278"/>
  <c r="AS73" i="278"/>
  <c r="G73" i="278"/>
  <c r="AK73" i="278"/>
  <c r="BA73" i="278"/>
  <c r="AL73" i="278"/>
  <c r="N73" i="278"/>
  <c r="AD73" i="278"/>
  <c r="AT73" i="278"/>
  <c r="U73" i="278"/>
  <c r="V73" i="278"/>
  <c r="BB73" i="278"/>
  <c r="G74" i="279"/>
  <c r="J74" i="279"/>
  <c r="N74" i="279"/>
  <c r="R74" i="279"/>
  <c r="V74" i="279"/>
  <c r="Z74" i="279"/>
  <c r="AD74" i="279"/>
  <c r="AH74" i="279"/>
  <c r="AL74" i="279"/>
  <c r="AP74" i="279"/>
  <c r="AT74" i="279"/>
  <c r="AX74" i="279"/>
  <c r="BB74" i="279"/>
  <c r="BF74" i="279"/>
  <c r="L74" i="279"/>
  <c r="T74" i="279"/>
  <c r="AF74" i="279"/>
  <c r="AN74" i="279"/>
  <c r="AV74" i="279"/>
  <c r="BD74" i="279"/>
  <c r="K74" i="279"/>
  <c r="O74" i="279"/>
  <c r="S74" i="279"/>
  <c r="W74" i="279"/>
  <c r="AA74" i="279"/>
  <c r="AE74" i="279"/>
  <c r="AI74" i="279"/>
  <c r="AM74" i="279"/>
  <c r="AQ74" i="279"/>
  <c r="AU74" i="279"/>
  <c r="AY74" i="279"/>
  <c r="BC74" i="279"/>
  <c r="BG74" i="279"/>
  <c r="H74" i="279"/>
  <c r="P74" i="279"/>
  <c r="X74" i="279"/>
  <c r="AB74" i="279"/>
  <c r="AJ74" i="279"/>
  <c r="AR74" i="279"/>
  <c r="AZ74" i="279"/>
  <c r="BH74" i="279"/>
  <c r="I74" i="279"/>
  <c r="Y74" i="279"/>
  <c r="AO74" i="279"/>
  <c r="BE74" i="279"/>
  <c r="Q74" i="279"/>
  <c r="AW74" i="279"/>
  <c r="U74" i="279"/>
  <c r="BA74" i="279"/>
  <c r="M74" i="279"/>
  <c r="AC74" i="279"/>
  <c r="AS74" i="279"/>
  <c r="AG74" i="279"/>
  <c r="AK74" i="279"/>
  <c r="H73" i="275"/>
  <c r="L73" i="275"/>
  <c r="P73" i="275"/>
  <c r="T73" i="275"/>
  <c r="X73" i="275"/>
  <c r="AB73" i="275"/>
  <c r="AF73" i="275"/>
  <c r="AJ73" i="275"/>
  <c r="I73" i="275"/>
  <c r="M73" i="275"/>
  <c r="Q73" i="275"/>
  <c r="U73" i="275"/>
  <c r="Y73" i="275"/>
  <c r="AC73" i="275"/>
  <c r="AG73" i="275"/>
  <c r="AK73" i="275"/>
  <c r="N73" i="275"/>
  <c r="V73" i="275"/>
  <c r="AD73" i="275"/>
  <c r="AL73" i="275"/>
  <c r="AP73" i="275"/>
  <c r="AT73" i="275"/>
  <c r="AX73" i="275"/>
  <c r="BB73" i="275"/>
  <c r="BF73" i="275"/>
  <c r="R73" i="275"/>
  <c r="AN73" i="275"/>
  <c r="AV73" i="275"/>
  <c r="BD73" i="275"/>
  <c r="O73" i="275"/>
  <c r="W73" i="275"/>
  <c r="AE73" i="275"/>
  <c r="AM73" i="275"/>
  <c r="AQ73" i="275"/>
  <c r="AU73" i="275"/>
  <c r="AY73" i="275"/>
  <c r="BC73" i="275"/>
  <c r="BG73" i="275"/>
  <c r="J73" i="275"/>
  <c r="Z73" i="275"/>
  <c r="AH73" i="275"/>
  <c r="AR73" i="275"/>
  <c r="AZ73" i="275"/>
  <c r="BH73" i="275"/>
  <c r="AA73" i="275"/>
  <c r="AW73" i="275"/>
  <c r="K73" i="275"/>
  <c r="AO73" i="275"/>
  <c r="S73" i="275"/>
  <c r="AS73" i="275"/>
  <c r="AI73" i="275"/>
  <c r="BA73" i="275"/>
  <c r="BE73" i="275"/>
  <c r="G73" i="275"/>
  <c r="H73" i="277"/>
  <c r="L73" i="277"/>
  <c r="P73" i="277"/>
  <c r="T73" i="277"/>
  <c r="X73" i="277"/>
  <c r="AB73" i="277"/>
  <c r="AF73" i="277"/>
  <c r="K73" i="277"/>
  <c r="O73" i="277"/>
  <c r="S73" i="277"/>
  <c r="W73" i="277"/>
  <c r="AA73" i="277"/>
  <c r="AE73" i="277"/>
  <c r="M73" i="277"/>
  <c r="U73" i="277"/>
  <c r="AC73" i="277"/>
  <c r="AI73" i="277"/>
  <c r="AM73" i="277"/>
  <c r="AQ73" i="277"/>
  <c r="AU73" i="277"/>
  <c r="AY73" i="277"/>
  <c r="BC73" i="277"/>
  <c r="BG73" i="277"/>
  <c r="N73" i="277"/>
  <c r="V73" i="277"/>
  <c r="AD73" i="277"/>
  <c r="AJ73" i="277"/>
  <c r="AN73" i="277"/>
  <c r="AR73" i="277"/>
  <c r="AV73" i="277"/>
  <c r="AZ73" i="277"/>
  <c r="BD73" i="277"/>
  <c r="BH73" i="277"/>
  <c r="Q73" i="277"/>
  <c r="AG73" i="277"/>
  <c r="AO73" i="277"/>
  <c r="AW73" i="277"/>
  <c r="BE73" i="277"/>
  <c r="I73" i="277"/>
  <c r="AK73" i="277"/>
  <c r="AS73" i="277"/>
  <c r="G73" i="277"/>
  <c r="J73" i="277"/>
  <c r="AL73" i="277"/>
  <c r="BB73" i="277"/>
  <c r="R73" i="277"/>
  <c r="AH73" i="277"/>
  <c r="AP73" i="277"/>
  <c r="AX73" i="277"/>
  <c r="BF73" i="277"/>
  <c r="Y73" i="277"/>
  <c r="BA73" i="277"/>
  <c r="Z73" i="277"/>
  <c r="AT73" i="277"/>
  <c r="J74" i="284"/>
  <c r="N74" i="284"/>
  <c r="R74" i="284"/>
  <c r="V74" i="284"/>
  <c r="Z74" i="284"/>
  <c r="AD74" i="284"/>
  <c r="AH74" i="284"/>
  <c r="AL74" i="284"/>
  <c r="AP74" i="284"/>
  <c r="AT74" i="284"/>
  <c r="AX74" i="284"/>
  <c r="BB74" i="284"/>
  <c r="BF74" i="284"/>
  <c r="I74" i="284"/>
  <c r="M74" i="284"/>
  <c r="Q74" i="284"/>
  <c r="U74" i="284"/>
  <c r="Y74" i="284"/>
  <c r="AC74" i="284"/>
  <c r="AG74" i="284"/>
  <c r="AK74" i="284"/>
  <c r="AO74" i="284"/>
  <c r="AS74" i="284"/>
  <c r="AW74" i="284"/>
  <c r="BA74" i="284"/>
  <c r="BE74" i="284"/>
  <c r="G74" i="284"/>
  <c r="K74" i="284"/>
  <c r="S74" i="284"/>
  <c r="AA74" i="284"/>
  <c r="AI74" i="284"/>
  <c r="AQ74" i="284"/>
  <c r="AY74" i="284"/>
  <c r="BG74" i="284"/>
  <c r="H74" i="284"/>
  <c r="P74" i="284"/>
  <c r="X74" i="284"/>
  <c r="AF74" i="284"/>
  <c r="AN74" i="284"/>
  <c r="AV74" i="284"/>
  <c r="BD74" i="284"/>
  <c r="L74" i="284"/>
  <c r="AB74" i="284"/>
  <c r="AR74" i="284"/>
  <c r="BH74" i="284"/>
  <c r="O74" i="284"/>
  <c r="AE74" i="284"/>
  <c r="AU74" i="284"/>
  <c r="AJ74" i="284"/>
  <c r="T74" i="284"/>
  <c r="W74" i="284"/>
  <c r="AM74" i="284"/>
  <c r="AZ74" i="284"/>
  <c r="BC74" i="284"/>
  <c r="U84" i="278"/>
  <c r="U85" i="278"/>
  <c r="V54" i="278"/>
  <c r="U86" i="278"/>
  <c r="D44" i="292"/>
  <c r="D44" i="295"/>
  <c r="D44" i="282"/>
  <c r="D44" i="290"/>
  <c r="D44" i="289"/>
  <c r="D44" i="278"/>
  <c r="D44" i="277"/>
  <c r="D44" i="276"/>
  <c r="D44" i="279"/>
  <c r="D44" i="293"/>
  <c r="D44" i="306"/>
  <c r="D44" i="284"/>
  <c r="D44" i="275"/>
  <c r="D44" i="280"/>
  <c r="M65" i="306"/>
  <c r="L93" i="306"/>
  <c r="K62" i="306"/>
  <c r="M54" i="306"/>
  <c r="L57" i="306"/>
  <c r="L59" i="306" s="1"/>
  <c r="L55" i="306"/>
  <c r="F57" i="280"/>
  <c r="BH74" i="280"/>
  <c r="BG74" i="280"/>
  <c r="BF74" i="280"/>
  <c r="BE74" i="280"/>
  <c r="BD74" i="280"/>
  <c r="BC74" i="280"/>
  <c r="BB74" i="280"/>
  <c r="BA74" i="280"/>
  <c r="AZ74" i="280"/>
  <c r="AY74" i="280"/>
  <c r="AX74" i="280"/>
  <c r="AW74" i="280"/>
  <c r="AV74" i="280"/>
  <c r="AU74" i="280"/>
  <c r="AT74" i="280"/>
  <c r="AS74" i="280"/>
  <c r="AR74" i="280"/>
  <c r="AQ74" i="280"/>
  <c r="AP74" i="280"/>
  <c r="AO74" i="280"/>
  <c r="AN74" i="280"/>
  <c r="AM74" i="280"/>
  <c r="AL74" i="280"/>
  <c r="AK74" i="280"/>
  <c r="AJ74" i="280"/>
  <c r="AI74" i="280"/>
  <c r="AH74" i="280"/>
  <c r="AG74" i="280"/>
  <c r="AF74" i="280"/>
  <c r="AE74" i="280"/>
  <c r="AD74" i="280"/>
  <c r="AC74" i="280"/>
  <c r="AB74" i="280"/>
  <c r="AA74" i="280"/>
  <c r="Z74" i="280"/>
  <c r="Y74" i="280"/>
  <c r="X74" i="280"/>
  <c r="W74" i="280"/>
  <c r="V74" i="280"/>
  <c r="U74" i="280"/>
  <c r="T74" i="280"/>
  <c r="S74" i="280"/>
  <c r="R74" i="280"/>
  <c r="Q74" i="280"/>
  <c r="P74" i="280"/>
  <c r="O74" i="280"/>
  <c r="N74" i="280"/>
  <c r="M74" i="280"/>
  <c r="L74" i="280"/>
  <c r="K74" i="280"/>
  <c r="J74" i="280"/>
  <c r="I74" i="280"/>
  <c r="H74" i="280"/>
  <c r="G74" i="280"/>
  <c r="AA70" i="280"/>
  <c r="Z70" i="280"/>
  <c r="Y70" i="280"/>
  <c r="X70" i="280"/>
  <c r="W70" i="280"/>
  <c r="V70" i="280"/>
  <c r="U70" i="280"/>
  <c r="T70" i="280"/>
  <c r="S70" i="280"/>
  <c r="R70" i="280"/>
  <c r="Q70" i="280"/>
  <c r="P70" i="280"/>
  <c r="O70" i="280"/>
  <c r="N70" i="280"/>
  <c r="M70" i="280"/>
  <c r="L70" i="280"/>
  <c r="K70" i="280"/>
  <c r="J70" i="280"/>
  <c r="I70" i="280"/>
  <c r="H70" i="280"/>
  <c r="BI68" i="280"/>
  <c r="G65" i="280"/>
  <c r="G67" i="280" s="1"/>
  <c r="P12" i="275" l="1"/>
  <c r="D91" i="291"/>
  <c r="C16" i="276"/>
  <c r="C14" i="276"/>
  <c r="C15" i="276" s="1"/>
  <c r="C13" i="276"/>
  <c r="I7" i="276"/>
  <c r="N10" i="292"/>
  <c r="N11" i="292"/>
  <c r="V84" i="278"/>
  <c r="H65" i="280"/>
  <c r="H67" i="280" s="1"/>
  <c r="V85" i="278"/>
  <c r="V86" i="278"/>
  <c r="W54" i="278"/>
  <c r="L62" i="306"/>
  <c r="M93" i="306"/>
  <c r="N65" i="306"/>
  <c r="N54" i="306"/>
  <c r="M57" i="306"/>
  <c r="M59" i="306" s="1"/>
  <c r="M55" i="306"/>
  <c r="F70" i="280"/>
  <c r="W84" i="278" l="1"/>
  <c r="I65" i="280"/>
  <c r="I67" i="280" s="1"/>
  <c r="W85" i="278"/>
  <c r="X54" i="278"/>
  <c r="W86" i="278"/>
  <c r="N93" i="306"/>
  <c r="O65" i="306"/>
  <c r="M62" i="306"/>
  <c r="N57" i="306"/>
  <c r="N59" i="306" s="1"/>
  <c r="N55" i="306"/>
  <c r="O54" i="306"/>
  <c r="B36" i="286"/>
  <c r="I13" i="279"/>
  <c r="X84" i="278" l="1"/>
  <c r="J65" i="280"/>
  <c r="J67" i="280" s="1"/>
  <c r="X86" i="278"/>
  <c r="X85" i="278"/>
  <c r="Y54" i="278"/>
  <c r="P54" i="306"/>
  <c r="O57" i="306"/>
  <c r="O59" i="306" s="1"/>
  <c r="O55" i="306"/>
  <c r="O93" i="306"/>
  <c r="P65" i="306"/>
  <c r="N62" i="306"/>
  <c r="Y84" i="278" l="1"/>
  <c r="K65" i="280"/>
  <c r="K67" i="280" s="1"/>
  <c r="Y86" i="278"/>
  <c r="Y85" i="278"/>
  <c r="Z54" i="278"/>
  <c r="O62" i="306"/>
  <c r="P93" i="306"/>
  <c r="Q65" i="306"/>
  <c r="Q54" i="306"/>
  <c r="P57" i="306"/>
  <c r="P59" i="306" s="1"/>
  <c r="P55" i="306"/>
  <c r="Z84" i="278" l="1"/>
  <c r="L65" i="280"/>
  <c r="L67" i="280" s="1"/>
  <c r="Z85" i="278"/>
  <c r="Z86" i="278"/>
  <c r="AA54" i="278"/>
  <c r="Q93" i="306"/>
  <c r="R65" i="306"/>
  <c r="P62" i="306"/>
  <c r="R54" i="306"/>
  <c r="Q57" i="306"/>
  <c r="Q59" i="306" s="1"/>
  <c r="Q55" i="306"/>
  <c r="F5" i="282"/>
  <c r="AA84" i="278" l="1"/>
  <c r="M65" i="280"/>
  <c r="M67" i="280" s="1"/>
  <c r="AA85" i="278"/>
  <c r="AA86" i="278"/>
  <c r="AB54" i="278"/>
  <c r="Q62" i="306"/>
  <c r="R93" i="306"/>
  <c r="S65" i="306"/>
  <c r="R57" i="306"/>
  <c r="R59" i="306" s="1"/>
  <c r="R55" i="306"/>
  <c r="S54" i="306"/>
  <c r="J3" i="293"/>
  <c r="J4" i="293"/>
  <c r="K26" i="278"/>
  <c r="D47" i="289"/>
  <c r="D47" i="295"/>
  <c r="J4" i="290"/>
  <c r="J7" i="290" s="1"/>
  <c r="J5" i="290"/>
  <c r="J8" i="290"/>
  <c r="L34" i="280"/>
  <c r="L35" i="280"/>
  <c r="N18" i="292"/>
  <c r="N22" i="292"/>
  <c r="N21" i="292"/>
  <c r="N17" i="292"/>
  <c r="J29" i="293"/>
  <c r="F7" i="293"/>
  <c r="J3" i="275"/>
  <c r="J6" i="275" s="1"/>
  <c r="J19" i="275" s="1"/>
  <c r="F6" i="289"/>
  <c r="F6" i="284"/>
  <c r="F6" i="278"/>
  <c r="F6" i="279"/>
  <c r="F6" i="292"/>
  <c r="F6" i="277"/>
  <c r="F6" i="276"/>
  <c r="F6" i="275"/>
  <c r="F6" i="293"/>
  <c r="S34" i="282"/>
  <c r="S35" i="282"/>
  <c r="S36" i="282"/>
  <c r="S37" i="282"/>
  <c r="S38" i="282"/>
  <c r="S39" i="282"/>
  <c r="S40" i="282"/>
  <c r="S41" i="282"/>
  <c r="S42" i="282"/>
  <c r="S44" i="282" s="1"/>
  <c r="S33" i="282"/>
  <c r="P7" i="289"/>
  <c r="J4" i="284"/>
  <c r="K31" i="278"/>
  <c r="D33" i="278" s="1"/>
  <c r="J4" i="278"/>
  <c r="J5" i="278"/>
  <c r="J11" i="278"/>
  <c r="K27" i="278" s="1"/>
  <c r="P17" i="277"/>
  <c r="P23" i="277"/>
  <c r="P24" i="277" s="1"/>
  <c r="D34" i="277" s="1"/>
  <c r="G54" i="292"/>
  <c r="I31" i="279"/>
  <c r="I19" i="279"/>
  <c r="I20" i="279"/>
  <c r="I29" i="279"/>
  <c r="I30" i="279"/>
  <c r="J13" i="279"/>
  <c r="J7" i="279"/>
  <c r="I9" i="279"/>
  <c r="G54" i="280"/>
  <c r="J21" i="289"/>
  <c r="P14" i="289" s="1"/>
  <c r="P15" i="289" s="1"/>
  <c r="E92" i="293"/>
  <c r="E90" i="293"/>
  <c r="B28" i="301"/>
  <c r="B25" i="301"/>
  <c r="B24" i="301"/>
  <c r="B23" i="301"/>
  <c r="B22" i="301"/>
  <c r="D8" i="301"/>
  <c r="I6" i="301"/>
  <c r="H6" i="301"/>
  <c r="E6" i="301"/>
  <c r="D6" i="301"/>
  <c r="C6" i="301"/>
  <c r="B6" i="301"/>
  <c r="BO22" i="132"/>
  <c r="BN22" i="132"/>
  <c r="BM22" i="132"/>
  <c r="BL22" i="132"/>
  <c r="BK22" i="132"/>
  <c r="BJ22" i="132"/>
  <c r="BI22" i="132"/>
  <c r="BH22" i="132"/>
  <c r="BG22" i="132"/>
  <c r="BF22" i="132"/>
  <c r="BE22" i="132"/>
  <c r="BD22" i="132"/>
  <c r="BC22" i="132"/>
  <c r="BB22" i="132"/>
  <c r="BA22" i="132"/>
  <c r="AZ22" i="132"/>
  <c r="AY22" i="132"/>
  <c r="AX22" i="132"/>
  <c r="AW22" i="132"/>
  <c r="AV22" i="132"/>
  <c r="AU22" i="132"/>
  <c r="AT22" i="132"/>
  <c r="AS22" i="132"/>
  <c r="AR22" i="132"/>
  <c r="AQ22" i="132"/>
  <c r="AP22" i="132"/>
  <c r="AO22" i="132"/>
  <c r="AN22" i="132"/>
  <c r="AM22" i="132"/>
  <c r="AL22" i="132"/>
  <c r="AK22" i="132"/>
  <c r="AJ22" i="132"/>
  <c r="AI22" i="132"/>
  <c r="AH22" i="132"/>
  <c r="AG22" i="132"/>
  <c r="AG7" i="132"/>
  <c r="AF22" i="132"/>
  <c r="AF9" i="132"/>
  <c r="AE22" i="132"/>
  <c r="AD22" i="132"/>
  <c r="AD8" i="132"/>
  <c r="AC22" i="132"/>
  <c r="AC9" i="132"/>
  <c r="AB22" i="132"/>
  <c r="AB8" i="132"/>
  <c r="AA22" i="132"/>
  <c r="Z22" i="132"/>
  <c r="Z8" i="132"/>
  <c r="Y22" i="132"/>
  <c r="Y9" i="132"/>
  <c r="X22" i="132"/>
  <c r="X9" i="132"/>
  <c r="W22" i="132"/>
  <c r="V22" i="132"/>
  <c r="V8" i="132"/>
  <c r="U22" i="132"/>
  <c r="U9" i="132"/>
  <c r="T22" i="132"/>
  <c r="T9" i="132"/>
  <c r="S22" i="132"/>
  <c r="R22" i="132"/>
  <c r="R8" i="132"/>
  <c r="Q22" i="132"/>
  <c r="Q9" i="132"/>
  <c r="P22" i="132"/>
  <c r="P9" i="132"/>
  <c r="O22" i="132"/>
  <c r="N22" i="132"/>
  <c r="N8" i="132"/>
  <c r="M22" i="132"/>
  <c r="M9" i="132"/>
  <c r="L22" i="132"/>
  <c r="L8" i="132"/>
  <c r="K22" i="132"/>
  <c r="J22" i="132"/>
  <c r="J8" i="132"/>
  <c r="I22" i="132"/>
  <c r="I9" i="132"/>
  <c r="H22" i="132"/>
  <c r="H9" i="132"/>
  <c r="G22" i="132"/>
  <c r="F22" i="132"/>
  <c r="F8" i="132"/>
  <c r="E22" i="132"/>
  <c r="E9" i="132"/>
  <c r="D22" i="132"/>
  <c r="D9" i="132"/>
  <c r="C22" i="132"/>
  <c r="AG13" i="132"/>
  <c r="AG9" i="132"/>
  <c r="AG12" i="132"/>
  <c r="AH12" i="132"/>
  <c r="AG11" i="132"/>
  <c r="AH11" i="132"/>
  <c r="AI11" i="132"/>
  <c r="AE9" i="132"/>
  <c r="AD9" i="132"/>
  <c r="AB9" i="132"/>
  <c r="AA9" i="132"/>
  <c r="Z9" i="132"/>
  <c r="W9" i="132"/>
  <c r="V9" i="132"/>
  <c r="S9" i="132"/>
  <c r="R9" i="132"/>
  <c r="O9" i="132"/>
  <c r="N9" i="132"/>
  <c r="L9" i="132"/>
  <c r="K9" i="132"/>
  <c r="J9" i="132"/>
  <c r="G9" i="132"/>
  <c r="F9" i="132"/>
  <c r="C9" i="132"/>
  <c r="AE8" i="132"/>
  <c r="AC8" i="132"/>
  <c r="AA8" i="132"/>
  <c r="Y8" i="132"/>
  <c r="X8" i="132"/>
  <c r="W8" i="132"/>
  <c r="S8" i="132"/>
  <c r="O8" i="132"/>
  <c r="M8" i="132"/>
  <c r="K8" i="132"/>
  <c r="I8" i="132"/>
  <c r="H8" i="132"/>
  <c r="G8" i="132"/>
  <c r="C8" i="132"/>
  <c r="AE7" i="132"/>
  <c r="AD7" i="132"/>
  <c r="AA7" i="132"/>
  <c r="Z7" i="132"/>
  <c r="W7" i="132"/>
  <c r="V7" i="132"/>
  <c r="S7" i="132"/>
  <c r="R7" i="132"/>
  <c r="O7" i="132"/>
  <c r="N7" i="132"/>
  <c r="K7" i="132"/>
  <c r="J7" i="132"/>
  <c r="G7" i="132"/>
  <c r="F7" i="132"/>
  <c r="C7" i="132"/>
  <c r="AI7" i="132"/>
  <c r="AJ11" i="132"/>
  <c r="AI12" i="132"/>
  <c r="AH8" i="132"/>
  <c r="D7" i="132"/>
  <c r="H7" i="132"/>
  <c r="L7" i="132"/>
  <c r="P7" i="132"/>
  <c r="T7" i="132"/>
  <c r="X7" i="132"/>
  <c r="AB7" i="132"/>
  <c r="AF7" i="132"/>
  <c r="D8" i="132"/>
  <c r="T8" i="132"/>
  <c r="E7" i="132"/>
  <c r="I7" i="132"/>
  <c r="M7" i="132"/>
  <c r="Q7" i="132"/>
  <c r="U7" i="132"/>
  <c r="Y7" i="132"/>
  <c r="AC7" i="132"/>
  <c r="E8" i="132"/>
  <c r="P8" i="132"/>
  <c r="U8" i="132"/>
  <c r="AF8" i="132"/>
  <c r="AH13" i="132"/>
  <c r="AH7" i="132"/>
  <c r="Q8" i="132"/>
  <c r="AG8" i="132"/>
  <c r="AJ12" i="132"/>
  <c r="AI8" i="132"/>
  <c r="AI13" i="132"/>
  <c r="AH9" i="132"/>
  <c r="AK11" i="132"/>
  <c r="AJ7" i="132"/>
  <c r="AJ13" i="132"/>
  <c r="AI9" i="132"/>
  <c r="AL11" i="132"/>
  <c r="AK7" i="132"/>
  <c r="AK12" i="132"/>
  <c r="AJ8" i="132"/>
  <c r="AM11" i="132"/>
  <c r="AL7" i="132"/>
  <c r="AL12" i="132"/>
  <c r="AK8" i="132"/>
  <c r="AK13" i="132"/>
  <c r="AJ9" i="132"/>
  <c r="AM12" i="132"/>
  <c r="AL8" i="132"/>
  <c r="AK9" i="132"/>
  <c r="AL13" i="132"/>
  <c r="AM7" i="132"/>
  <c r="AN11" i="132"/>
  <c r="AN7" i="132"/>
  <c r="AO11" i="132"/>
  <c r="AN12" i="132"/>
  <c r="AM8" i="132"/>
  <c r="AM13" i="132"/>
  <c r="AL9" i="132"/>
  <c r="AO12" i="132"/>
  <c r="AN8" i="132"/>
  <c r="AP11" i="132"/>
  <c r="AO7" i="132"/>
  <c r="AN13" i="132"/>
  <c r="AM9" i="132"/>
  <c r="AO13" i="132"/>
  <c r="AN9" i="132"/>
  <c r="AP12" i="132"/>
  <c r="AO8" i="132"/>
  <c r="AQ11" i="132"/>
  <c r="AP7" i="132"/>
  <c r="AQ12" i="132"/>
  <c r="AP8" i="132"/>
  <c r="AQ7" i="132"/>
  <c r="AR11" i="132"/>
  <c r="AO9" i="132"/>
  <c r="AP13" i="132"/>
  <c r="AQ13" i="132"/>
  <c r="AP9" i="132"/>
  <c r="AQ8" i="132"/>
  <c r="AR12" i="132"/>
  <c r="AS11" i="132"/>
  <c r="AR7" i="132"/>
  <c r="AT11" i="132"/>
  <c r="AS7" i="132"/>
  <c r="AR13" i="132"/>
  <c r="AQ9" i="132"/>
  <c r="AR8" i="132"/>
  <c r="AS12" i="132"/>
  <c r="AT12" i="132"/>
  <c r="AS8" i="132"/>
  <c r="AU11" i="132"/>
  <c r="AT7" i="132"/>
  <c r="AS13" i="132"/>
  <c r="AR9" i="132"/>
  <c r="AU7" i="132"/>
  <c r="AV11" i="132"/>
  <c r="AS9" i="132"/>
  <c r="AT13" i="132"/>
  <c r="AU12" i="132"/>
  <c r="AT8" i="132"/>
  <c r="AW11" i="132"/>
  <c r="AV7" i="132"/>
  <c r="AV12" i="132"/>
  <c r="AU8" i="132"/>
  <c r="AU13" i="132"/>
  <c r="AT9" i="132"/>
  <c r="AV8" i="132"/>
  <c r="AW12" i="132"/>
  <c r="AV13" i="132"/>
  <c r="AU9" i="132"/>
  <c r="AX11" i="132"/>
  <c r="AW7" i="132"/>
  <c r="AV9" i="132"/>
  <c r="AW13" i="132"/>
  <c r="AX12" i="132"/>
  <c r="AW8" i="132"/>
  <c r="AY11" i="132"/>
  <c r="AX7" i="132"/>
  <c r="AW9" i="132"/>
  <c r="AX13" i="132"/>
  <c r="AY7" i="132"/>
  <c r="AZ11" i="132"/>
  <c r="AY12" i="132"/>
  <c r="AX8" i="132"/>
  <c r="AY13" i="132"/>
  <c r="AX9" i="132"/>
  <c r="AZ12" i="132"/>
  <c r="AY8" i="132"/>
  <c r="BA11" i="132"/>
  <c r="AZ7" i="132"/>
  <c r="BB11" i="132"/>
  <c r="BA7" i="132"/>
  <c r="AZ13" i="132"/>
  <c r="AY9" i="132"/>
  <c r="BA12" i="132"/>
  <c r="AZ8" i="132"/>
  <c r="BA13" i="132"/>
  <c r="AZ9" i="132"/>
  <c r="BB12" i="132"/>
  <c r="BA8" i="132"/>
  <c r="BC11" i="132"/>
  <c r="BB7" i="132"/>
  <c r="BC7" i="132"/>
  <c r="BD11" i="132"/>
  <c r="BA9" i="132"/>
  <c r="BB13" i="132"/>
  <c r="BC12" i="132"/>
  <c r="BB8" i="132"/>
  <c r="BD7" i="132"/>
  <c r="BE11" i="132"/>
  <c r="BD12" i="132"/>
  <c r="BC8" i="132"/>
  <c r="BC13" i="132"/>
  <c r="BB9" i="132"/>
  <c r="BF11" i="132"/>
  <c r="BE7" i="132"/>
  <c r="BD13" i="132"/>
  <c r="BC9" i="132"/>
  <c r="BE12" i="132"/>
  <c r="BD8" i="132"/>
  <c r="BE13" i="132"/>
  <c r="BD9" i="132"/>
  <c r="BF12" i="132"/>
  <c r="BE8" i="132"/>
  <c r="BG11" i="132"/>
  <c r="BF7" i="132"/>
  <c r="BG7" i="132"/>
  <c r="BH11" i="132"/>
  <c r="BE9" i="132"/>
  <c r="BF13" i="132"/>
  <c r="BG12" i="132"/>
  <c r="BF8" i="132"/>
  <c r="BI11" i="132"/>
  <c r="BH7" i="132"/>
  <c r="BG8" i="132"/>
  <c r="BH12" i="132"/>
  <c r="BG13" i="132"/>
  <c r="BF9" i="132"/>
  <c r="BH13" i="132"/>
  <c r="BG9" i="132"/>
  <c r="BJ11" i="132"/>
  <c r="BI7" i="132"/>
  <c r="BH8" i="132"/>
  <c r="BI12" i="132"/>
  <c r="BK11" i="132"/>
  <c r="BJ7" i="132"/>
  <c r="BJ12" i="132"/>
  <c r="BI8" i="132"/>
  <c r="BI13" i="132"/>
  <c r="BH9" i="132"/>
  <c r="BI9" i="132"/>
  <c r="BJ13" i="132"/>
  <c r="BK7" i="132"/>
  <c r="BL11" i="132"/>
  <c r="BK12" i="132"/>
  <c r="BJ8" i="132"/>
  <c r="BK13" i="132"/>
  <c r="BJ9" i="132"/>
  <c r="BL12" i="132"/>
  <c r="BK8" i="132"/>
  <c r="BM11" i="132"/>
  <c r="BL7" i="132"/>
  <c r="BN11" i="132"/>
  <c r="BM7" i="132"/>
  <c r="BL13" i="132"/>
  <c r="BK9" i="132"/>
  <c r="BL8" i="132"/>
  <c r="BM12" i="132"/>
  <c r="BL9" i="132"/>
  <c r="BM13" i="132"/>
  <c r="BN12" i="132"/>
  <c r="BM8" i="132"/>
  <c r="BO11" i="132"/>
  <c r="BO7" i="132"/>
  <c r="BN7" i="132"/>
  <c r="BM9" i="132"/>
  <c r="BN13" i="132"/>
  <c r="BO12" i="132"/>
  <c r="BO8" i="132"/>
  <c r="BN8" i="132"/>
  <c r="BO13" i="132"/>
  <c r="BO9" i="132"/>
  <c r="BN9" i="132"/>
  <c r="L36" i="280"/>
  <c r="L37" i="280"/>
  <c r="L38" i="280"/>
  <c r="L39" i="280"/>
  <c r="L40" i="280"/>
  <c r="L41" i="280"/>
  <c r="L42" i="280"/>
  <c r="L43" i="280"/>
  <c r="L44" i="280" s="1"/>
  <c r="V15" i="280" s="1"/>
  <c r="H86" i="292"/>
  <c r="I86" i="292"/>
  <c r="J86" i="292"/>
  <c r="K86" i="292"/>
  <c r="L86" i="292"/>
  <c r="M86" i="292"/>
  <c r="N86" i="292"/>
  <c r="O86" i="292"/>
  <c r="P86" i="292"/>
  <c r="Q86" i="292"/>
  <c r="R86" i="292"/>
  <c r="S86" i="292"/>
  <c r="T86" i="292"/>
  <c r="U86" i="292"/>
  <c r="V86" i="292"/>
  <c r="W86" i="292"/>
  <c r="X86" i="292"/>
  <c r="Y86" i="292"/>
  <c r="Z86" i="292"/>
  <c r="AA86" i="292"/>
  <c r="AB86" i="292"/>
  <c r="AC86" i="292"/>
  <c r="AD86" i="292"/>
  <c r="AE86" i="292"/>
  <c r="AF86" i="292"/>
  <c r="AG86" i="292"/>
  <c r="AH86" i="292"/>
  <c r="AI86" i="292"/>
  <c r="AJ86" i="292"/>
  <c r="AK86" i="292"/>
  <c r="AL86" i="292"/>
  <c r="AM86" i="292"/>
  <c r="AN86" i="292"/>
  <c r="AO86" i="292"/>
  <c r="AP86" i="292"/>
  <c r="AQ86" i="292"/>
  <c r="AR86" i="292"/>
  <c r="AS86" i="292"/>
  <c r="AT86" i="292"/>
  <c r="AU86" i="292"/>
  <c r="AV86" i="292"/>
  <c r="AW86" i="292"/>
  <c r="AX86" i="292"/>
  <c r="AY86" i="292"/>
  <c r="AZ86" i="292"/>
  <c r="BA86" i="292"/>
  <c r="BB86" i="292"/>
  <c r="BC86" i="292"/>
  <c r="BD86" i="292"/>
  <c r="BE86" i="292"/>
  <c r="BF86" i="292"/>
  <c r="BG86" i="292"/>
  <c r="BH86" i="292"/>
  <c r="G82" i="279"/>
  <c r="H82" i="279" s="1"/>
  <c r="I82" i="279" s="1"/>
  <c r="J82" i="279" s="1"/>
  <c r="K82" i="279" s="1"/>
  <c r="L82" i="279" s="1"/>
  <c r="M82" i="279" s="1"/>
  <c r="N82" i="279" s="1"/>
  <c r="O82" i="279" s="1"/>
  <c r="P82" i="279" s="1"/>
  <c r="Q82" i="279" s="1"/>
  <c r="R82" i="279" s="1"/>
  <c r="S82" i="279" s="1"/>
  <c r="T82" i="279" s="1"/>
  <c r="U82" i="279" s="1"/>
  <c r="V82" i="279" s="1"/>
  <c r="W82" i="279" s="1"/>
  <c r="X82" i="279" s="1"/>
  <c r="Y82" i="279" s="1"/>
  <c r="Z82" i="279" s="1"/>
  <c r="AA82" i="279" s="1"/>
  <c r="AB82" i="279" s="1"/>
  <c r="AC82" i="279" s="1"/>
  <c r="AD82" i="279" s="1"/>
  <c r="AE82" i="279" s="1"/>
  <c r="AF82" i="279" s="1"/>
  <c r="AG82" i="279" s="1"/>
  <c r="AH82" i="279" s="1"/>
  <c r="AI82" i="279" s="1"/>
  <c r="AJ82" i="279" s="1"/>
  <c r="AK82" i="279" s="1"/>
  <c r="AL82" i="279" s="1"/>
  <c r="AM82" i="279" s="1"/>
  <c r="AN82" i="279" s="1"/>
  <c r="AO82" i="279" s="1"/>
  <c r="AP82" i="279" s="1"/>
  <c r="AQ82" i="279" s="1"/>
  <c r="AR82" i="279" s="1"/>
  <c r="AS82" i="279" s="1"/>
  <c r="AT82" i="279" s="1"/>
  <c r="AU82" i="279" s="1"/>
  <c r="AV82" i="279" s="1"/>
  <c r="AW82" i="279" s="1"/>
  <c r="AX82" i="279" s="1"/>
  <c r="AY82" i="279" s="1"/>
  <c r="AZ82" i="279" s="1"/>
  <c r="BA82" i="279" s="1"/>
  <c r="BB82" i="279" s="1"/>
  <c r="BC82" i="279" s="1"/>
  <c r="BD82" i="279" s="1"/>
  <c r="BE82" i="279" s="1"/>
  <c r="BF82" i="279" s="1"/>
  <c r="BG82" i="279" s="1"/>
  <c r="BH82" i="279" s="1"/>
  <c r="E84" i="279"/>
  <c r="G84" i="279"/>
  <c r="H84" i="279"/>
  <c r="I84" i="279"/>
  <c r="J84" i="279"/>
  <c r="K84" i="279"/>
  <c r="L84" i="279"/>
  <c r="M84" i="279"/>
  <c r="N84" i="279"/>
  <c r="O84" i="279"/>
  <c r="P84" i="279"/>
  <c r="Q84" i="279"/>
  <c r="R84" i="279"/>
  <c r="S84" i="279"/>
  <c r="T84" i="279"/>
  <c r="U84" i="279"/>
  <c r="V84" i="279"/>
  <c r="W84" i="279"/>
  <c r="X84" i="279"/>
  <c r="Y84" i="279"/>
  <c r="Z84" i="279"/>
  <c r="AA84" i="279"/>
  <c r="G85" i="279"/>
  <c r="H85" i="279"/>
  <c r="I85" i="279"/>
  <c r="J85" i="279"/>
  <c r="K85" i="279"/>
  <c r="L85" i="279"/>
  <c r="M85" i="279"/>
  <c r="N85" i="279"/>
  <c r="O85" i="279"/>
  <c r="P85" i="279"/>
  <c r="Q85" i="279"/>
  <c r="R85" i="279"/>
  <c r="S85" i="279"/>
  <c r="T85" i="279"/>
  <c r="U85" i="279"/>
  <c r="V85" i="279"/>
  <c r="W85" i="279"/>
  <c r="X85" i="279"/>
  <c r="Y85" i="279"/>
  <c r="Z85" i="279"/>
  <c r="AA85" i="279"/>
  <c r="G86" i="279"/>
  <c r="H86" i="279"/>
  <c r="I86" i="279"/>
  <c r="J86" i="279"/>
  <c r="K86" i="279"/>
  <c r="L86" i="279"/>
  <c r="M86" i="279"/>
  <c r="N86" i="279"/>
  <c r="O86" i="279"/>
  <c r="P86" i="279"/>
  <c r="Q86" i="279"/>
  <c r="R86" i="279"/>
  <c r="S86" i="279"/>
  <c r="T86" i="279"/>
  <c r="U86" i="279"/>
  <c r="V86" i="279"/>
  <c r="W86" i="279"/>
  <c r="X86" i="279"/>
  <c r="Y86" i="279"/>
  <c r="Z86" i="279"/>
  <c r="AA86" i="279"/>
  <c r="F88" i="279"/>
  <c r="AB88" i="279"/>
  <c r="AC88" i="279"/>
  <c r="AD88" i="279"/>
  <c r="AE88" i="279"/>
  <c r="AF88" i="279"/>
  <c r="AG88" i="279"/>
  <c r="AH88" i="279"/>
  <c r="AI88" i="279"/>
  <c r="AJ88" i="279"/>
  <c r="AK88" i="279"/>
  <c r="AL88" i="279"/>
  <c r="AM88" i="279"/>
  <c r="AN88" i="279"/>
  <c r="AO88" i="279"/>
  <c r="AP88" i="279"/>
  <c r="AQ88" i="279"/>
  <c r="AR88" i="279"/>
  <c r="AS88" i="279"/>
  <c r="AT88" i="279"/>
  <c r="AU88" i="279"/>
  <c r="AV88" i="279"/>
  <c r="AW88" i="279"/>
  <c r="AX88" i="279"/>
  <c r="AY88" i="279"/>
  <c r="AZ88" i="279"/>
  <c r="BA88" i="279"/>
  <c r="BB88" i="279"/>
  <c r="BC88" i="279"/>
  <c r="BD88" i="279"/>
  <c r="BE88" i="279"/>
  <c r="BF88" i="279"/>
  <c r="BG88" i="279"/>
  <c r="BH88" i="279"/>
  <c r="E91" i="279"/>
  <c r="E92" i="279"/>
  <c r="B5" i="285"/>
  <c r="B3" i="285"/>
  <c r="H27" i="285" s="1"/>
  <c r="B4" i="285"/>
  <c r="A2" i="291" s="1"/>
  <c r="K37" i="278"/>
  <c r="K36" i="278"/>
  <c r="K30" i="278"/>
  <c r="K28" i="278"/>
  <c r="I8" i="279"/>
  <c r="J6" i="290"/>
  <c r="J4" i="277"/>
  <c r="Q74" i="295"/>
  <c r="P74" i="295"/>
  <c r="O74" i="295"/>
  <c r="N74" i="295"/>
  <c r="M74" i="295"/>
  <c r="L74" i="295"/>
  <c r="K74" i="295"/>
  <c r="J74" i="295"/>
  <c r="I74" i="295"/>
  <c r="H74" i="295"/>
  <c r="AA68" i="295"/>
  <c r="AA70" i="295"/>
  <c r="AA59" i="295" s="1"/>
  <c r="Z68" i="295"/>
  <c r="Z70" i="295" s="1"/>
  <c r="Z59" i="295"/>
  <c r="Y68" i="295"/>
  <c r="Y70" i="295" s="1"/>
  <c r="X68" i="295"/>
  <c r="X70" i="295" s="1"/>
  <c r="X59" i="295" s="1"/>
  <c r="W68" i="295"/>
  <c r="W70" i="295" s="1"/>
  <c r="V68" i="295"/>
  <c r="V70" i="295" s="1"/>
  <c r="U68" i="295"/>
  <c r="T68" i="295"/>
  <c r="T70" i="295" s="1"/>
  <c r="S68" i="295"/>
  <c r="S70" i="295" s="1"/>
  <c r="R68" i="295"/>
  <c r="R70" i="295" s="1"/>
  <c r="Q68" i="295"/>
  <c r="Q70" i="295"/>
  <c r="P68" i="295"/>
  <c r="P70" i="295" s="1"/>
  <c r="O68" i="295"/>
  <c r="O70" i="295"/>
  <c r="N68" i="295"/>
  <c r="N70" i="295" s="1"/>
  <c r="M68" i="295"/>
  <c r="M70" i="295" s="1"/>
  <c r="L68" i="295"/>
  <c r="L70" i="295" s="1"/>
  <c r="K68" i="295"/>
  <c r="K70" i="295"/>
  <c r="J68" i="295"/>
  <c r="J70" i="295" s="1"/>
  <c r="I68" i="295"/>
  <c r="I70" i="295"/>
  <c r="H68" i="295"/>
  <c r="H70" i="295" s="1"/>
  <c r="F70" i="295"/>
  <c r="G65" i="295"/>
  <c r="G54" i="295"/>
  <c r="D50" i="295"/>
  <c r="D48" i="295"/>
  <c r="C6" i="295"/>
  <c r="D48" i="282"/>
  <c r="P11" i="284"/>
  <c r="D30" i="284" s="1"/>
  <c r="W59" i="295"/>
  <c r="T59" i="295"/>
  <c r="R59" i="295"/>
  <c r="V59" i="295"/>
  <c r="D22" i="295"/>
  <c r="D26" i="295" s="1"/>
  <c r="S59" i="295"/>
  <c r="H28" i="285"/>
  <c r="F87" i="293"/>
  <c r="G79" i="293"/>
  <c r="H79" i="293"/>
  <c r="I79" i="293" s="1"/>
  <c r="J79" i="293" s="1"/>
  <c r="K79" i="293" s="1"/>
  <c r="L79" i="293" s="1"/>
  <c r="M79" i="293" s="1"/>
  <c r="N79" i="293" s="1"/>
  <c r="O79" i="293" s="1"/>
  <c r="P79" i="293" s="1"/>
  <c r="Q79" i="293" s="1"/>
  <c r="R79" i="293" s="1"/>
  <c r="S79" i="293" s="1"/>
  <c r="T79" i="293" s="1"/>
  <c r="U79" i="293" s="1"/>
  <c r="V79" i="293" s="1"/>
  <c r="W79" i="293" s="1"/>
  <c r="X79" i="293" s="1"/>
  <c r="Y79" i="293" s="1"/>
  <c r="Z79" i="293" s="1"/>
  <c r="AA79" i="293" s="1"/>
  <c r="AB79" i="293" s="1"/>
  <c r="AC79" i="293" s="1"/>
  <c r="AD79" i="293" s="1"/>
  <c r="AE79" i="293" s="1"/>
  <c r="AF79" i="293" s="1"/>
  <c r="AG79" i="293" s="1"/>
  <c r="AH79" i="293" s="1"/>
  <c r="AI79" i="293" s="1"/>
  <c r="AJ79" i="293" s="1"/>
  <c r="AK79" i="293" s="1"/>
  <c r="AL79" i="293" s="1"/>
  <c r="AM79" i="293" s="1"/>
  <c r="AN79" i="293" s="1"/>
  <c r="AO79" i="293" s="1"/>
  <c r="AP79" i="293" s="1"/>
  <c r="AQ79" i="293" s="1"/>
  <c r="AR79" i="293" s="1"/>
  <c r="AS79" i="293" s="1"/>
  <c r="AT79" i="293" s="1"/>
  <c r="AU79" i="293" s="1"/>
  <c r="AV79" i="293" s="1"/>
  <c r="AW79" i="293" s="1"/>
  <c r="AX79" i="293" s="1"/>
  <c r="AY79" i="293" s="1"/>
  <c r="AZ79" i="293" s="1"/>
  <c r="BA79" i="293" s="1"/>
  <c r="BB79" i="293" s="1"/>
  <c r="BC79" i="293" s="1"/>
  <c r="BD79" i="293" s="1"/>
  <c r="BE79" i="293" s="1"/>
  <c r="BF79" i="293" s="1"/>
  <c r="BG79" i="293" s="1"/>
  <c r="BH79" i="293" s="1"/>
  <c r="G65" i="293"/>
  <c r="H65" i="293" s="1"/>
  <c r="I65" i="293" s="1"/>
  <c r="J65" i="293" s="1"/>
  <c r="K65" i="293" s="1"/>
  <c r="L65" i="293" s="1"/>
  <c r="M65" i="293" s="1"/>
  <c r="N65" i="293" s="1"/>
  <c r="O65" i="293" s="1"/>
  <c r="P65" i="293" s="1"/>
  <c r="Q65" i="293" s="1"/>
  <c r="R65" i="293" s="1"/>
  <c r="S65" i="293" s="1"/>
  <c r="T65" i="293" s="1"/>
  <c r="U65" i="293" s="1"/>
  <c r="V65" i="293" s="1"/>
  <c r="G54" i="293"/>
  <c r="D48" i="293"/>
  <c r="BI83" i="293"/>
  <c r="BI68" i="293"/>
  <c r="BI94" i="293"/>
  <c r="B52" i="285"/>
  <c r="E93" i="292"/>
  <c r="E92" i="292"/>
  <c r="F89" i="292"/>
  <c r="G86" i="292"/>
  <c r="BI86" i="292" s="1"/>
  <c r="E85" i="292"/>
  <c r="G83" i="292"/>
  <c r="H83" i="292" s="1"/>
  <c r="I83" i="292" s="1"/>
  <c r="J83" i="292"/>
  <c r="K83" i="292" s="1"/>
  <c r="L83" i="292" s="1"/>
  <c r="M83" i="292" s="1"/>
  <c r="N83" i="292" s="1"/>
  <c r="O83" i="292" s="1"/>
  <c r="P83" i="292" s="1"/>
  <c r="Q83" i="292" s="1"/>
  <c r="R83" i="292" s="1"/>
  <c r="S83" i="292" s="1"/>
  <c r="T83" i="292" s="1"/>
  <c r="U83" i="292" s="1"/>
  <c r="V83" i="292" s="1"/>
  <c r="W83" i="292" s="1"/>
  <c r="X83" i="292" s="1"/>
  <c r="Y83" i="292" s="1"/>
  <c r="Z83" i="292" s="1"/>
  <c r="AA83" i="292" s="1"/>
  <c r="AB83" i="292" s="1"/>
  <c r="AC83" i="292" s="1"/>
  <c r="AD83" i="292" s="1"/>
  <c r="AE83" i="292" s="1"/>
  <c r="AF83" i="292" s="1"/>
  <c r="AG83" i="292" s="1"/>
  <c r="AH83" i="292" s="1"/>
  <c r="AI83" i="292" s="1"/>
  <c r="AJ83" i="292" s="1"/>
  <c r="AK83" i="292" s="1"/>
  <c r="AL83" i="292" s="1"/>
  <c r="AM83" i="292" s="1"/>
  <c r="AN83" i="292" s="1"/>
  <c r="AO83" i="292" s="1"/>
  <c r="AP83" i="292" s="1"/>
  <c r="AQ83" i="292" s="1"/>
  <c r="AR83" i="292" s="1"/>
  <c r="AS83" i="292" s="1"/>
  <c r="AT83" i="292" s="1"/>
  <c r="AU83" i="292" s="1"/>
  <c r="AV83" i="292" s="1"/>
  <c r="AW83" i="292" s="1"/>
  <c r="AX83" i="292" s="1"/>
  <c r="AY83" i="292" s="1"/>
  <c r="AZ83" i="292" s="1"/>
  <c r="BA83" i="292" s="1"/>
  <c r="BB83" i="292" s="1"/>
  <c r="BC83" i="292" s="1"/>
  <c r="BD83" i="292" s="1"/>
  <c r="BE83" i="292" s="1"/>
  <c r="BF83" i="292" s="1"/>
  <c r="BG83" i="292" s="1"/>
  <c r="BH83" i="292" s="1"/>
  <c r="E78" i="292"/>
  <c r="D78" i="292"/>
  <c r="L77" i="292"/>
  <c r="E74" i="292"/>
  <c r="X73" i="292"/>
  <c r="P73" i="292"/>
  <c r="H73" i="292"/>
  <c r="BI77" i="292"/>
  <c r="Z75" i="292"/>
  <c r="Y75" i="292"/>
  <c r="X75" i="292"/>
  <c r="V75" i="292"/>
  <c r="U75" i="292"/>
  <c r="T75" i="292"/>
  <c r="R75" i="292"/>
  <c r="Q75" i="292"/>
  <c r="P75" i="292"/>
  <c r="O75" i="292"/>
  <c r="N75" i="292"/>
  <c r="M75" i="292"/>
  <c r="L75" i="292"/>
  <c r="J75" i="292"/>
  <c r="I75" i="292"/>
  <c r="H75" i="292"/>
  <c r="G64" i="292"/>
  <c r="H64" i="292" s="1"/>
  <c r="I64" i="292" s="1"/>
  <c r="J64" i="292" s="1"/>
  <c r="K64" i="292" s="1"/>
  <c r="L64" i="292" s="1"/>
  <c r="M64" i="292" s="1"/>
  <c r="N64" i="292" s="1"/>
  <c r="O64" i="292" s="1"/>
  <c r="P64" i="292" s="1"/>
  <c r="Q64" i="292" s="1"/>
  <c r="R64" i="292" s="1"/>
  <c r="S64" i="292" s="1"/>
  <c r="T64" i="292" s="1"/>
  <c r="U64" i="292" s="1"/>
  <c r="V64" i="292" s="1"/>
  <c r="W64" i="292" s="1"/>
  <c r="X64" i="292" s="1"/>
  <c r="Y64" i="292" s="1"/>
  <c r="Z64" i="292" s="1"/>
  <c r="AA64" i="292" s="1"/>
  <c r="AB64" i="292" s="1"/>
  <c r="H54" i="292"/>
  <c r="I54" i="292" s="1"/>
  <c r="J54" i="292" s="1"/>
  <c r="K54" i="292" s="1"/>
  <c r="L54" i="292" s="1"/>
  <c r="M54" i="292" s="1"/>
  <c r="N54" i="292" s="1"/>
  <c r="O54" i="292" s="1"/>
  <c r="P54" i="292" s="1"/>
  <c r="Q54" i="292" s="1"/>
  <c r="R54" i="292" s="1"/>
  <c r="S54" i="292" s="1"/>
  <c r="T54" i="292" s="1"/>
  <c r="U54" i="292" s="1"/>
  <c r="V54" i="292" s="1"/>
  <c r="W54" i="292" s="1"/>
  <c r="X54" i="292" s="1"/>
  <c r="Y54" i="292" s="1"/>
  <c r="Z54" i="292" s="1"/>
  <c r="AA54" i="292" s="1"/>
  <c r="AB54" i="292" s="1"/>
  <c r="D48" i="292"/>
  <c r="T73" i="292"/>
  <c r="M77" i="292"/>
  <c r="BI95" i="292"/>
  <c r="BI94" i="292"/>
  <c r="BI68" i="292"/>
  <c r="G75" i="292"/>
  <c r="K75" i="292"/>
  <c r="AA75" i="292"/>
  <c r="I73" i="292"/>
  <c r="Q73" i="292"/>
  <c r="Y73" i="292"/>
  <c r="Z77" i="292"/>
  <c r="V77" i="292"/>
  <c r="R77" i="292"/>
  <c r="N77" i="292"/>
  <c r="J77" i="292"/>
  <c r="AA77" i="292"/>
  <c r="U77" i="292"/>
  <c r="P77" i="292"/>
  <c r="K77" i="292"/>
  <c r="Y77" i="292"/>
  <c r="T77" i="292"/>
  <c r="O77" i="292"/>
  <c r="I77" i="292"/>
  <c r="S77" i="292"/>
  <c r="H77" i="292"/>
  <c r="Q77" i="292"/>
  <c r="G77" i="292"/>
  <c r="D22" i="292" s="1"/>
  <c r="D23" i="292" s="1"/>
  <c r="L73" i="292"/>
  <c r="S75" i="292"/>
  <c r="W77" i="292"/>
  <c r="AA73" i="292"/>
  <c r="W73" i="292"/>
  <c r="S73" i="292"/>
  <c r="O73" i="292"/>
  <c r="K73" i="292"/>
  <c r="G73" i="292"/>
  <c r="Z73" i="292"/>
  <c r="V73" i="292"/>
  <c r="R73" i="292"/>
  <c r="N73" i="292"/>
  <c r="J73" i="292"/>
  <c r="W75" i="292"/>
  <c r="M73" i="292"/>
  <c r="U73" i="292"/>
  <c r="X77" i="292"/>
  <c r="AB70" i="292"/>
  <c r="AB76" i="292"/>
  <c r="Y66" i="292"/>
  <c r="U66" i="292"/>
  <c r="Q66" i="292"/>
  <c r="M66" i="292"/>
  <c r="I66" i="292"/>
  <c r="X66" i="292"/>
  <c r="T66" i="292"/>
  <c r="P66" i="292"/>
  <c r="L66" i="292"/>
  <c r="H66" i="292"/>
  <c r="V66" i="292"/>
  <c r="N66" i="292"/>
  <c r="Z66" i="292"/>
  <c r="AA66" i="292"/>
  <c r="S66" i="292"/>
  <c r="K66" i="292"/>
  <c r="R66" i="292"/>
  <c r="J66" i="292"/>
  <c r="O66" i="292"/>
  <c r="W66" i="292"/>
  <c r="G66" i="292"/>
  <c r="AC70" i="292"/>
  <c r="AC76" i="292"/>
  <c r="AA67" i="292"/>
  <c r="W67" i="292"/>
  <c r="S67" i="292"/>
  <c r="O67" i="292"/>
  <c r="K67" i="292"/>
  <c r="G67" i="292"/>
  <c r="Z67" i="292"/>
  <c r="V67" i="292"/>
  <c r="R67" i="292"/>
  <c r="N67" i="292"/>
  <c r="J67" i="292"/>
  <c r="X67" i="292"/>
  <c r="P67" i="292"/>
  <c r="H67" i="292"/>
  <c r="T67" i="292"/>
  <c r="U67" i="292"/>
  <c r="M67" i="292"/>
  <c r="L67" i="292"/>
  <c r="Y67" i="292"/>
  <c r="I67" i="292"/>
  <c r="Q67" i="292"/>
  <c r="AD70" i="292"/>
  <c r="AD76" i="292"/>
  <c r="H76" i="292"/>
  <c r="I76" i="292"/>
  <c r="U76" i="292"/>
  <c r="P76" i="292"/>
  <c r="R76" i="292"/>
  <c r="K76" i="292"/>
  <c r="AA76" i="292"/>
  <c r="Y76" i="292"/>
  <c r="L76" i="292"/>
  <c r="X76" i="292"/>
  <c r="V76" i="292"/>
  <c r="O76" i="292"/>
  <c r="Q76" i="292"/>
  <c r="M76" i="292"/>
  <c r="N76" i="292"/>
  <c r="G76" i="292"/>
  <c r="W76" i="292"/>
  <c r="T76" i="292"/>
  <c r="J76" i="292"/>
  <c r="Z76" i="292"/>
  <c r="S76" i="292"/>
  <c r="G54" i="290"/>
  <c r="D48" i="290"/>
  <c r="AE70" i="292"/>
  <c r="AE76" i="292"/>
  <c r="AF76" i="292"/>
  <c r="D22" i="290"/>
  <c r="J11" i="277"/>
  <c r="AF70" i="292"/>
  <c r="AG70" i="292"/>
  <c r="AG76" i="292"/>
  <c r="AH76" i="292"/>
  <c r="Z57" i="290"/>
  <c r="Z59" i="290"/>
  <c r="V57" i="290"/>
  <c r="V59" i="290" s="1"/>
  <c r="R57" i="290"/>
  <c r="R59" i="290" s="1"/>
  <c r="Y57" i="290"/>
  <c r="Y59" i="290" s="1"/>
  <c r="T57" i="290"/>
  <c r="T59" i="290"/>
  <c r="X57" i="290"/>
  <c r="X59" i="290" s="1"/>
  <c r="S57" i="290"/>
  <c r="S59" i="290"/>
  <c r="W57" i="290"/>
  <c r="W59" i="290" s="1"/>
  <c r="AA57" i="290"/>
  <c r="AA59" i="290"/>
  <c r="U57" i="290"/>
  <c r="U59" i="290" s="1"/>
  <c r="AH70" i="292"/>
  <c r="AI70" i="292"/>
  <c r="AI76" i="292"/>
  <c r="AJ76" i="292"/>
  <c r="AJ70" i="292"/>
  <c r="M33" i="289"/>
  <c r="M34" i="289"/>
  <c r="M35" i="289"/>
  <c r="M36" i="289"/>
  <c r="M37" i="289"/>
  <c r="M38" i="289"/>
  <c r="M39" i="289"/>
  <c r="M40" i="289"/>
  <c r="M41" i="289"/>
  <c r="L34" i="289"/>
  <c r="L35" i="289"/>
  <c r="L36" i="289"/>
  <c r="L37" i="289"/>
  <c r="L38" i="289"/>
  <c r="L39" i="289"/>
  <c r="L40" i="289"/>
  <c r="L41" i="289"/>
  <c r="L33" i="289"/>
  <c r="AK70" i="292"/>
  <c r="AK76" i="292"/>
  <c r="P9" i="289"/>
  <c r="D30" i="289" s="1"/>
  <c r="J26" i="289"/>
  <c r="P16" i="289" s="1"/>
  <c r="P17" i="289" s="1"/>
  <c r="J16" i="289"/>
  <c r="P12" i="289" s="1"/>
  <c r="P13" i="289" s="1"/>
  <c r="J10" i="289"/>
  <c r="P10" i="289" s="1"/>
  <c r="P11" i="289" s="1"/>
  <c r="G54" i="289"/>
  <c r="D48" i="289"/>
  <c r="J6" i="289"/>
  <c r="H54" i="289"/>
  <c r="AL70" i="292"/>
  <c r="AL76" i="292"/>
  <c r="D20" i="289"/>
  <c r="AM70" i="292"/>
  <c r="AM76" i="292"/>
  <c r="E98" i="282"/>
  <c r="E93" i="282"/>
  <c r="BH90" i="282"/>
  <c r="BG90" i="282"/>
  <c r="BF90" i="282"/>
  <c r="BE90" i="282"/>
  <c r="BD90" i="282"/>
  <c r="BC90" i="282"/>
  <c r="BB90" i="282"/>
  <c r="BA90" i="282"/>
  <c r="AZ90" i="282"/>
  <c r="AY90" i="282"/>
  <c r="AX90" i="282"/>
  <c r="AW90" i="282"/>
  <c r="AV90" i="282"/>
  <c r="AU90" i="282"/>
  <c r="AT90" i="282"/>
  <c r="AS90" i="282"/>
  <c r="AR90" i="282"/>
  <c r="AQ90" i="282"/>
  <c r="AP90" i="282"/>
  <c r="AO90" i="282"/>
  <c r="AN90" i="282"/>
  <c r="AM90" i="282"/>
  <c r="AL90" i="282"/>
  <c r="AK90" i="282"/>
  <c r="AJ90" i="282"/>
  <c r="AI90" i="282"/>
  <c r="AH90" i="282"/>
  <c r="AG90" i="282"/>
  <c r="AF90" i="282"/>
  <c r="AE90" i="282"/>
  <c r="AD90" i="282"/>
  <c r="AC90" i="282"/>
  <c r="AB90" i="282"/>
  <c r="F90" i="282"/>
  <c r="G79" i="282"/>
  <c r="H79" i="282" s="1"/>
  <c r="I79" i="282" s="1"/>
  <c r="J79" i="282" s="1"/>
  <c r="K79" i="282" s="1"/>
  <c r="L79" i="282" s="1"/>
  <c r="M79" i="282" s="1"/>
  <c r="N79" i="282" s="1"/>
  <c r="O79" i="282" s="1"/>
  <c r="P79" i="282" s="1"/>
  <c r="Q79" i="282" s="1"/>
  <c r="F70" i="282"/>
  <c r="G65" i="282"/>
  <c r="H65" i="282" s="1"/>
  <c r="I65" i="282" s="1"/>
  <c r="J65" i="282" s="1"/>
  <c r="K65" i="282" s="1"/>
  <c r="L65" i="282" s="1"/>
  <c r="M65" i="282" s="1"/>
  <c r="N65" i="282" s="1"/>
  <c r="O65" i="282" s="1"/>
  <c r="P65" i="282" s="1"/>
  <c r="Q65" i="282" s="1"/>
  <c r="G54" i="282"/>
  <c r="C6" i="282"/>
  <c r="P16" i="277"/>
  <c r="P9" i="277"/>
  <c r="J6" i="277"/>
  <c r="AN70" i="292"/>
  <c r="AN76" i="292"/>
  <c r="BI87" i="282"/>
  <c r="BI104" i="282"/>
  <c r="AO70" i="292"/>
  <c r="AO76" i="292"/>
  <c r="J11" i="275"/>
  <c r="I18" i="279"/>
  <c r="I17" i="279"/>
  <c r="AP70" i="292"/>
  <c r="AP76" i="292"/>
  <c r="AQ70" i="292"/>
  <c r="AQ76" i="292"/>
  <c r="AR70" i="292"/>
  <c r="AR76" i="292"/>
  <c r="AS70" i="292"/>
  <c r="AS76" i="292"/>
  <c r="AT70" i="292"/>
  <c r="AT76" i="292"/>
  <c r="AU70" i="292"/>
  <c r="AU76" i="292"/>
  <c r="C6" i="280"/>
  <c r="AV70" i="292"/>
  <c r="AV76" i="292"/>
  <c r="K25" i="278"/>
  <c r="D48" i="278"/>
  <c r="K24" i="278"/>
  <c r="P9" i="284"/>
  <c r="J12" i="284"/>
  <c r="P7" i="284" s="1"/>
  <c r="E91" i="284"/>
  <c r="E90" i="284"/>
  <c r="BH87" i="284"/>
  <c r="BG87" i="284"/>
  <c r="BF87" i="284"/>
  <c r="BE87" i="284"/>
  <c r="BD87" i="284"/>
  <c r="BC87" i="284"/>
  <c r="BB87" i="284"/>
  <c r="BA87" i="284"/>
  <c r="AZ87" i="284"/>
  <c r="AY87" i="284"/>
  <c r="AX87" i="284"/>
  <c r="AW87" i="284"/>
  <c r="AV87" i="284"/>
  <c r="AU87" i="284"/>
  <c r="AT87" i="284"/>
  <c r="AS87" i="284"/>
  <c r="AR87" i="284"/>
  <c r="AQ87" i="284"/>
  <c r="AP87" i="284"/>
  <c r="AO87" i="284"/>
  <c r="AN87" i="284"/>
  <c r="AM87" i="284"/>
  <c r="AL87" i="284"/>
  <c r="AK87" i="284"/>
  <c r="AJ87" i="284"/>
  <c r="AI87" i="284"/>
  <c r="AH87" i="284"/>
  <c r="AG87" i="284"/>
  <c r="AF87" i="284"/>
  <c r="AE87" i="284"/>
  <c r="AD87" i="284"/>
  <c r="AC87" i="284"/>
  <c r="AB87" i="284"/>
  <c r="AA87" i="284"/>
  <c r="Z87" i="284"/>
  <c r="Y87" i="284"/>
  <c r="X87" i="284"/>
  <c r="W87" i="284"/>
  <c r="V87" i="284"/>
  <c r="U87" i="284"/>
  <c r="T87" i="284"/>
  <c r="S87" i="284"/>
  <c r="R87" i="284"/>
  <c r="Q87" i="284"/>
  <c r="P87" i="284"/>
  <c r="O87" i="284"/>
  <c r="N87" i="284"/>
  <c r="M87" i="284"/>
  <c r="L87" i="284"/>
  <c r="K87" i="284"/>
  <c r="J87" i="284"/>
  <c r="I87" i="284"/>
  <c r="H87" i="284"/>
  <c r="G87" i="284"/>
  <c r="F87" i="284"/>
  <c r="E84" i="284"/>
  <c r="G82" i="284"/>
  <c r="H82" i="284"/>
  <c r="I82" i="284" s="1"/>
  <c r="J82" i="284" s="1"/>
  <c r="K82" i="284" s="1"/>
  <c r="L82" i="284" s="1"/>
  <c r="M82" i="284" s="1"/>
  <c r="N82" i="284" s="1"/>
  <c r="O82" i="284" s="1"/>
  <c r="P82" i="284" s="1"/>
  <c r="Q82" i="284" s="1"/>
  <c r="R82" i="284" s="1"/>
  <c r="S82" i="284" s="1"/>
  <c r="T82" i="284" s="1"/>
  <c r="U82" i="284" s="1"/>
  <c r="V82" i="284" s="1"/>
  <c r="W82" i="284" s="1"/>
  <c r="X82" i="284" s="1"/>
  <c r="Y82" i="284" s="1"/>
  <c r="Z82" i="284" s="1"/>
  <c r="AA82" i="284" s="1"/>
  <c r="AB82" i="284" s="1"/>
  <c r="AC82" i="284" s="1"/>
  <c r="AD82" i="284" s="1"/>
  <c r="AE82" i="284" s="1"/>
  <c r="AF82" i="284" s="1"/>
  <c r="AG82" i="284" s="1"/>
  <c r="AH82" i="284" s="1"/>
  <c r="AI82" i="284" s="1"/>
  <c r="AJ82" i="284" s="1"/>
  <c r="AK82" i="284" s="1"/>
  <c r="AL82" i="284" s="1"/>
  <c r="AM82" i="284" s="1"/>
  <c r="AN82" i="284" s="1"/>
  <c r="AO82" i="284" s="1"/>
  <c r="AP82" i="284" s="1"/>
  <c r="AQ82" i="284" s="1"/>
  <c r="AR82" i="284" s="1"/>
  <c r="AS82" i="284" s="1"/>
  <c r="AT82" i="284" s="1"/>
  <c r="AU82" i="284" s="1"/>
  <c r="AV82" i="284" s="1"/>
  <c r="AW82" i="284" s="1"/>
  <c r="AX82" i="284" s="1"/>
  <c r="AY82" i="284" s="1"/>
  <c r="AZ82" i="284" s="1"/>
  <c r="BA82" i="284" s="1"/>
  <c r="BB82" i="284" s="1"/>
  <c r="BC82" i="284" s="1"/>
  <c r="BD82" i="284" s="1"/>
  <c r="BE82" i="284" s="1"/>
  <c r="BF82" i="284" s="1"/>
  <c r="BG82" i="284" s="1"/>
  <c r="BH82" i="284" s="1"/>
  <c r="E77" i="284"/>
  <c r="E76" i="284"/>
  <c r="E75" i="284"/>
  <c r="E74" i="284"/>
  <c r="G65" i="284"/>
  <c r="H65" i="284" s="1"/>
  <c r="I65" i="284" s="1"/>
  <c r="J65" i="284" s="1"/>
  <c r="K65" i="284" s="1"/>
  <c r="L65" i="284" s="1"/>
  <c r="M65" i="284" s="1"/>
  <c r="N65" i="284" s="1"/>
  <c r="O65" i="284" s="1"/>
  <c r="P65" i="284" s="1"/>
  <c r="Q65" i="284"/>
  <c r="R65" i="284" s="1"/>
  <c r="S65" i="284" s="1"/>
  <c r="T65" i="284" s="1"/>
  <c r="U65" i="284" s="1"/>
  <c r="V65" i="284" s="1"/>
  <c r="W65" i="284" s="1"/>
  <c r="X65" i="284" s="1"/>
  <c r="Y65" i="284" s="1"/>
  <c r="Z65" i="284" s="1"/>
  <c r="AA65" i="284" s="1"/>
  <c r="AB65" i="284" s="1"/>
  <c r="G54" i="284"/>
  <c r="D48" i="284"/>
  <c r="J8" i="284"/>
  <c r="AW70" i="292"/>
  <c r="AW76" i="292"/>
  <c r="BI85" i="284"/>
  <c r="BI86" i="284"/>
  <c r="AX70" i="292"/>
  <c r="AX76" i="292"/>
  <c r="AY70" i="292"/>
  <c r="AY76" i="292"/>
  <c r="AZ70" i="292"/>
  <c r="AZ76" i="292"/>
  <c r="X84" i="284"/>
  <c r="T84" i="284"/>
  <c r="P84" i="284"/>
  <c r="L84" i="284"/>
  <c r="H84" i="284"/>
  <c r="AA84" i="284"/>
  <c r="W84" i="284"/>
  <c r="S84" i="284"/>
  <c r="O84" i="284"/>
  <c r="K84" i="284"/>
  <c r="U84" i="284"/>
  <c r="M84" i="284"/>
  <c r="Z84" i="284"/>
  <c r="R84" i="284"/>
  <c r="J84" i="284"/>
  <c r="Y84" i="284"/>
  <c r="I84" i="284"/>
  <c r="Q84" i="284"/>
  <c r="V84" i="284"/>
  <c r="N84" i="284"/>
  <c r="BA70" i="292"/>
  <c r="BA76" i="292"/>
  <c r="BI86" i="282"/>
  <c r="BI68" i="282"/>
  <c r="BB70" i="292"/>
  <c r="BB76" i="292"/>
  <c r="P30" i="277"/>
  <c r="P13" i="277"/>
  <c r="P12" i="277"/>
  <c r="BC70" i="292"/>
  <c r="BC76" i="292"/>
  <c r="P7" i="277"/>
  <c r="P10" i="277"/>
  <c r="P8" i="277"/>
  <c r="BD70" i="292"/>
  <c r="BD76" i="292"/>
  <c r="BE70" i="292"/>
  <c r="BE76" i="292"/>
  <c r="BF70" i="292"/>
  <c r="BF76" i="292"/>
  <c r="E99" i="280"/>
  <c r="E94" i="280"/>
  <c r="F91" i="280"/>
  <c r="G79" i="280"/>
  <c r="P30" i="275"/>
  <c r="P13" i="275"/>
  <c r="P17" i="275"/>
  <c r="BG70" i="292"/>
  <c r="BG76" i="292"/>
  <c r="BH76" i="292"/>
  <c r="BI105" i="280"/>
  <c r="BI104" i="280"/>
  <c r="BI87" i="280"/>
  <c r="E77" i="279"/>
  <c r="D77" i="279"/>
  <c r="E74" i="279"/>
  <c r="G65" i="279"/>
  <c r="H65" i="279" s="1"/>
  <c r="G54" i="279"/>
  <c r="BI94" i="279"/>
  <c r="BI93" i="279"/>
  <c r="BH70" i="292"/>
  <c r="E92" i="277"/>
  <c r="E91" i="277"/>
  <c r="E84" i="277"/>
  <c r="G82" i="277"/>
  <c r="H82" i="277" s="1"/>
  <c r="I82" i="277" s="1"/>
  <c r="J82" i="277" s="1"/>
  <c r="K82" i="277" s="1"/>
  <c r="L82" i="277" s="1"/>
  <c r="M82" i="277" s="1"/>
  <c r="N82" i="277" s="1"/>
  <c r="O82" i="277" s="1"/>
  <c r="P82" i="277" s="1"/>
  <c r="Q82" i="277" s="1"/>
  <c r="R82" i="277" s="1"/>
  <c r="S82" i="277" s="1"/>
  <c r="T82" i="277" s="1"/>
  <c r="U82" i="277" s="1"/>
  <c r="V82" i="277" s="1"/>
  <c r="W82" i="277" s="1"/>
  <c r="X82" i="277" s="1"/>
  <c r="Y82" i="277" s="1"/>
  <c r="Z82" i="277" s="1"/>
  <c r="AA82" i="277" s="1"/>
  <c r="AB82" i="277" s="1"/>
  <c r="AC82" i="277" s="1"/>
  <c r="AD82" i="277" s="1"/>
  <c r="AE82" i="277" s="1"/>
  <c r="AF82" i="277" s="1"/>
  <c r="AG82" i="277" s="1"/>
  <c r="AH82" i="277" s="1"/>
  <c r="AI82" i="277" s="1"/>
  <c r="AJ82" i="277" s="1"/>
  <c r="AK82" i="277" s="1"/>
  <c r="AL82" i="277" s="1"/>
  <c r="AM82" i="277" s="1"/>
  <c r="AN82" i="277" s="1"/>
  <c r="AO82" i="277" s="1"/>
  <c r="AP82" i="277" s="1"/>
  <c r="AQ82" i="277" s="1"/>
  <c r="AR82" i="277" s="1"/>
  <c r="AS82" i="277" s="1"/>
  <c r="AT82" i="277" s="1"/>
  <c r="AU82" i="277" s="1"/>
  <c r="AV82" i="277" s="1"/>
  <c r="AW82" i="277" s="1"/>
  <c r="AX82" i="277" s="1"/>
  <c r="AY82" i="277" s="1"/>
  <c r="AZ82" i="277" s="1"/>
  <c r="BA82" i="277" s="1"/>
  <c r="BB82" i="277" s="1"/>
  <c r="BC82" i="277" s="1"/>
  <c r="BD82" i="277" s="1"/>
  <c r="BE82" i="277" s="1"/>
  <c r="BF82" i="277" s="1"/>
  <c r="BG82" i="277" s="1"/>
  <c r="BH82" i="277" s="1"/>
  <c r="E77" i="277"/>
  <c r="D77" i="277"/>
  <c r="E75" i="277"/>
  <c r="E73" i="277"/>
  <c r="D73" i="277"/>
  <c r="G65" i="277"/>
  <c r="H65" i="277" s="1"/>
  <c r="I65" i="277" s="1"/>
  <c r="J65" i="277"/>
  <c r="K65" i="277" s="1"/>
  <c r="L65" i="277" s="1"/>
  <c r="M65" i="277" s="1"/>
  <c r="N65" i="277" s="1"/>
  <c r="O65" i="277" s="1"/>
  <c r="P65" i="277" s="1"/>
  <c r="Q65" i="277" s="1"/>
  <c r="R65" i="277" s="1"/>
  <c r="S65" i="277" s="1"/>
  <c r="T65" i="277" s="1"/>
  <c r="U65" i="277" s="1"/>
  <c r="V65" i="277" s="1"/>
  <c r="W65" i="277" s="1"/>
  <c r="X65" i="277" s="1"/>
  <c r="Y65" i="277" s="1"/>
  <c r="Z65" i="277" s="1"/>
  <c r="AA65" i="277" s="1"/>
  <c r="AB65" i="277" s="1"/>
  <c r="AC65" i="277" s="1"/>
  <c r="AD65" i="277" s="1"/>
  <c r="AE65" i="277" s="1"/>
  <c r="AF65" i="277" s="1"/>
  <c r="AG65" i="277" s="1"/>
  <c r="AH65" i="277" s="1"/>
  <c r="AI65" i="277" s="1"/>
  <c r="AJ65" i="277" s="1"/>
  <c r="AK65" i="277" s="1"/>
  <c r="AL65" i="277" s="1"/>
  <c r="AM65" i="277" s="1"/>
  <c r="AN65" i="277" s="1"/>
  <c r="AO65" i="277" s="1"/>
  <c r="AP65" i="277" s="1"/>
  <c r="AQ65" i="277" s="1"/>
  <c r="AR65" i="277" s="1"/>
  <c r="AS65" i="277" s="1"/>
  <c r="AT65" i="277" s="1"/>
  <c r="AU65" i="277" s="1"/>
  <c r="AV65" i="277" s="1"/>
  <c r="AW65" i="277" s="1"/>
  <c r="AX65" i="277" s="1"/>
  <c r="AY65" i="277" s="1"/>
  <c r="AZ65" i="277" s="1"/>
  <c r="BA65" i="277" s="1"/>
  <c r="BB65" i="277" s="1"/>
  <c r="BC65" i="277" s="1"/>
  <c r="BD65" i="277" s="1"/>
  <c r="BE65" i="277" s="1"/>
  <c r="BF65" i="277" s="1"/>
  <c r="G54" i="277"/>
  <c r="BI94" i="277"/>
  <c r="BI93" i="277"/>
  <c r="E94" i="276"/>
  <c r="E93" i="276"/>
  <c r="F90" i="276"/>
  <c r="E85" i="276"/>
  <c r="G83" i="276"/>
  <c r="H83" i="276" s="1"/>
  <c r="I83" i="276" s="1"/>
  <c r="J83" i="276" s="1"/>
  <c r="K83" i="276" s="1"/>
  <c r="L83" i="276" s="1"/>
  <c r="M83" i="276" s="1"/>
  <c r="N83" i="276" s="1"/>
  <c r="O83" i="276" s="1"/>
  <c r="P83" i="276" s="1"/>
  <c r="Q83" i="276" s="1"/>
  <c r="R83" i="276" s="1"/>
  <c r="S83" i="276" s="1"/>
  <c r="T83" i="276" s="1"/>
  <c r="U83" i="276" s="1"/>
  <c r="V83" i="276" s="1"/>
  <c r="W83" i="276" s="1"/>
  <c r="X83" i="276" s="1"/>
  <c r="Y83" i="276" s="1"/>
  <c r="Z83" i="276" s="1"/>
  <c r="AA83" i="276" s="1"/>
  <c r="AB83" i="276" s="1"/>
  <c r="AC83" i="276" s="1"/>
  <c r="AD83" i="276" s="1"/>
  <c r="AE83" i="276" s="1"/>
  <c r="AF83" i="276" s="1"/>
  <c r="AG83" i="276" s="1"/>
  <c r="AH83" i="276" s="1"/>
  <c r="AI83" i="276" s="1"/>
  <c r="AJ83" i="276" s="1"/>
  <c r="AK83" i="276" s="1"/>
  <c r="AL83" i="276" s="1"/>
  <c r="AM83" i="276" s="1"/>
  <c r="AN83" i="276" s="1"/>
  <c r="AO83" i="276" s="1"/>
  <c r="AP83" i="276" s="1"/>
  <c r="AQ83" i="276" s="1"/>
  <c r="AR83" i="276" s="1"/>
  <c r="AS83" i="276" s="1"/>
  <c r="AT83" i="276" s="1"/>
  <c r="AU83" i="276" s="1"/>
  <c r="AV83" i="276" s="1"/>
  <c r="AW83" i="276" s="1"/>
  <c r="AX83" i="276" s="1"/>
  <c r="AY83" i="276" s="1"/>
  <c r="AZ83" i="276" s="1"/>
  <c r="BA83" i="276" s="1"/>
  <c r="BB83" i="276" s="1"/>
  <c r="BC83" i="276" s="1"/>
  <c r="BD83" i="276" s="1"/>
  <c r="BE83" i="276" s="1"/>
  <c r="BF83" i="276" s="1"/>
  <c r="BG83" i="276" s="1"/>
  <c r="BH83" i="276" s="1"/>
  <c r="E78" i="276"/>
  <c r="D78" i="276"/>
  <c r="E77" i="276"/>
  <c r="E76" i="276"/>
  <c r="E74" i="276"/>
  <c r="D74" i="276"/>
  <c r="F70" i="276"/>
  <c r="G65" i="276"/>
  <c r="H65" i="276" s="1"/>
  <c r="I65" i="276" s="1"/>
  <c r="J65" i="276" s="1"/>
  <c r="K65" i="276" s="1"/>
  <c r="L65" i="276" s="1"/>
  <c r="M65" i="276" s="1"/>
  <c r="N65" i="276" s="1"/>
  <c r="O65" i="276" s="1"/>
  <c r="P65" i="276" s="1"/>
  <c r="Q65" i="276" s="1"/>
  <c r="R65" i="276" s="1"/>
  <c r="S65" i="276" s="1"/>
  <c r="T65" i="276" s="1"/>
  <c r="U65" i="276" s="1"/>
  <c r="V65" i="276" s="1"/>
  <c r="W65" i="276" s="1"/>
  <c r="X65" i="276" s="1"/>
  <c r="Y65" i="276" s="1"/>
  <c r="Z65" i="276" s="1"/>
  <c r="AA65" i="276" s="1"/>
  <c r="AB65" i="276" s="1"/>
  <c r="G54" i="276"/>
  <c r="BI96" i="276"/>
  <c r="J7" i="275"/>
  <c r="BI95" i="276"/>
  <c r="BI75" i="276"/>
  <c r="F87" i="275"/>
  <c r="P76" i="276"/>
  <c r="L76" i="276"/>
  <c r="H76" i="276"/>
  <c r="N76" i="276"/>
  <c r="I76" i="276"/>
  <c r="M76" i="276"/>
  <c r="G76" i="276"/>
  <c r="O76" i="276"/>
  <c r="J76" i="276"/>
  <c r="K76" i="276"/>
  <c r="M6" i="123"/>
  <c r="J6" i="123"/>
  <c r="K6" i="123"/>
  <c r="L6" i="123"/>
  <c r="J14" i="123"/>
  <c r="J16" i="123" s="1"/>
  <c r="J17" i="123" s="1"/>
  <c r="K14" i="123"/>
  <c r="K16" i="123" s="1"/>
  <c r="K17" i="123" s="1"/>
  <c r="L14" i="123"/>
  <c r="M14" i="123"/>
  <c r="M16" i="123" s="1"/>
  <c r="M17" i="123" s="1"/>
  <c r="M19" i="123" s="1"/>
  <c r="N6" i="123"/>
  <c r="N14" i="123"/>
  <c r="N16" i="123" s="1"/>
  <c r="N17" i="123" s="1"/>
  <c r="O14" i="123"/>
  <c r="O6" i="123"/>
  <c r="P14" i="123"/>
  <c r="P16" i="123" s="1"/>
  <c r="P17" i="123" s="1"/>
  <c r="P6" i="123"/>
  <c r="Q14" i="123"/>
  <c r="Q6" i="123"/>
  <c r="R6" i="123"/>
  <c r="R14" i="123"/>
  <c r="R16" i="123" s="1"/>
  <c r="R17" i="123" s="1"/>
  <c r="S14" i="123"/>
  <c r="S6" i="123"/>
  <c r="T14" i="123"/>
  <c r="T16" i="123" s="1"/>
  <c r="T17" i="123" s="1"/>
  <c r="T6" i="123"/>
  <c r="U14" i="123"/>
  <c r="U6" i="123"/>
  <c r="V6" i="123"/>
  <c r="V14" i="123"/>
  <c r="V16" i="123" s="1"/>
  <c r="V17" i="123" s="1"/>
  <c r="W14" i="123"/>
  <c r="W6" i="123"/>
  <c r="X14" i="123"/>
  <c r="X16" i="123" s="1"/>
  <c r="X17" i="123" s="1"/>
  <c r="X6" i="123"/>
  <c r="Y14" i="123"/>
  <c r="Y6" i="123"/>
  <c r="Z6" i="123"/>
  <c r="Z14" i="123"/>
  <c r="Z16" i="123" s="1"/>
  <c r="Z17" i="123" s="1"/>
  <c r="AA14" i="123"/>
  <c r="AA6" i="123"/>
  <c r="AB14" i="123"/>
  <c r="AB16" i="123" s="1"/>
  <c r="AB17" i="123" s="1"/>
  <c r="AB6" i="123"/>
  <c r="AC14" i="123"/>
  <c r="AC6" i="123"/>
  <c r="AD6" i="123"/>
  <c r="AD14" i="123"/>
  <c r="AD16" i="123" s="1"/>
  <c r="AD17" i="123" s="1"/>
  <c r="AE14" i="123"/>
  <c r="AE6" i="123"/>
  <c r="AF14" i="123"/>
  <c r="AF16" i="123" s="1"/>
  <c r="AF17" i="123" s="1"/>
  <c r="AF6" i="123"/>
  <c r="AG14" i="123"/>
  <c r="AG6" i="123"/>
  <c r="AH6" i="123"/>
  <c r="AH14" i="123"/>
  <c r="AH16" i="123" s="1"/>
  <c r="AH17" i="123" s="1"/>
  <c r="AH20" i="123" s="1"/>
  <c r="AH5" i="123" s="1"/>
  <c r="AI14" i="123"/>
  <c r="AI6" i="123"/>
  <c r="AJ14" i="123"/>
  <c r="AJ16" i="123" s="1"/>
  <c r="AJ17" i="123" s="1"/>
  <c r="AJ6" i="123"/>
  <c r="AK14" i="123"/>
  <c r="AK6" i="123"/>
  <c r="AL6" i="123"/>
  <c r="AL14" i="123"/>
  <c r="AL16" i="123" s="1"/>
  <c r="AL17" i="123" s="1"/>
  <c r="AM6" i="123"/>
  <c r="AM14" i="123"/>
  <c r="AM16" i="123" s="1"/>
  <c r="AM17" i="123" s="1"/>
  <c r="AN6" i="123"/>
  <c r="AN14" i="123"/>
  <c r="AN16" i="123" s="1"/>
  <c r="AN17" i="123" s="1"/>
  <c r="AO6" i="123"/>
  <c r="AO14" i="123"/>
  <c r="AP6" i="123"/>
  <c r="AP14" i="123"/>
  <c r="AP16" i="123" s="1"/>
  <c r="AP17" i="123" s="1"/>
  <c r="AQ6" i="123"/>
  <c r="AQ14" i="123"/>
  <c r="AQ16" i="123" s="1"/>
  <c r="AQ17" i="123" s="1"/>
  <c r="AQ19" i="123" s="1"/>
  <c r="AR6" i="123"/>
  <c r="AR14" i="123"/>
  <c r="AR16" i="123" s="1"/>
  <c r="AR17" i="123" s="1"/>
  <c r="AS6" i="123"/>
  <c r="AS14" i="123"/>
  <c r="B21" i="117"/>
  <c r="B22" i="117"/>
  <c r="B20" i="117"/>
  <c r="D48" i="280"/>
  <c r="D48" i="279"/>
  <c r="D48" i="277"/>
  <c r="D48" i="276"/>
  <c r="AT6" i="123"/>
  <c r="AT14" i="123"/>
  <c r="AT16" i="123" s="1"/>
  <c r="AT17" i="123" s="1"/>
  <c r="AT19" i="123" s="1"/>
  <c r="B23" i="117"/>
  <c r="D6" i="117"/>
  <c r="I4" i="117"/>
  <c r="C4" i="117"/>
  <c r="E4" i="117"/>
  <c r="D4" i="117"/>
  <c r="H4" i="117"/>
  <c r="B4" i="117"/>
  <c r="AU6" i="123"/>
  <c r="AU14" i="123"/>
  <c r="D48" i="275"/>
  <c r="AV6" i="123"/>
  <c r="AV14" i="123"/>
  <c r="AV16" i="123" s="1"/>
  <c r="AV17" i="123" s="1"/>
  <c r="AW6" i="123"/>
  <c r="AW14" i="123"/>
  <c r="AW16" i="123" s="1"/>
  <c r="AW17" i="123" s="1"/>
  <c r="AX6" i="123"/>
  <c r="AX14" i="123"/>
  <c r="AX16" i="123" s="1"/>
  <c r="AX17" i="123" s="1"/>
  <c r="AY6" i="123"/>
  <c r="AY14" i="123"/>
  <c r="AY16" i="123" s="1"/>
  <c r="AY17" i="123" s="1"/>
  <c r="AZ6" i="123"/>
  <c r="AZ14" i="123"/>
  <c r="AZ16" i="123" s="1"/>
  <c r="AZ17" i="123" s="1"/>
  <c r="AZ19" i="123" s="1"/>
  <c r="BA6" i="123"/>
  <c r="BA14" i="123"/>
  <c r="BA16" i="123" s="1"/>
  <c r="BA17" i="123" s="1"/>
  <c r="BB6" i="123"/>
  <c r="BB14" i="123"/>
  <c r="BB16" i="123" s="1"/>
  <c r="BB17" i="123" s="1"/>
  <c r="E91" i="275"/>
  <c r="E90" i="275"/>
  <c r="E84" i="275"/>
  <c r="G82" i="275"/>
  <c r="H82" i="275" s="1"/>
  <c r="I82" i="275" s="1"/>
  <c r="J82" i="275" s="1"/>
  <c r="K82" i="275" s="1"/>
  <c r="L82" i="275" s="1"/>
  <c r="M82" i="275" s="1"/>
  <c r="N82" i="275" s="1"/>
  <c r="O82" i="275" s="1"/>
  <c r="P82" i="275" s="1"/>
  <c r="Q82" i="275" s="1"/>
  <c r="R82" i="275" s="1"/>
  <c r="S82" i="275" s="1"/>
  <c r="T82" i="275" s="1"/>
  <c r="U82" i="275" s="1"/>
  <c r="V82" i="275" s="1"/>
  <c r="W82" i="275" s="1"/>
  <c r="X82" i="275" s="1"/>
  <c r="Y82" i="275" s="1"/>
  <c r="Z82" i="275" s="1"/>
  <c r="AA82" i="275" s="1"/>
  <c r="AB82" i="275" s="1"/>
  <c r="AC82" i="275" s="1"/>
  <c r="AD82" i="275" s="1"/>
  <c r="AE82" i="275" s="1"/>
  <c r="AF82" i="275" s="1"/>
  <c r="AG82" i="275" s="1"/>
  <c r="AH82" i="275" s="1"/>
  <c r="AI82" i="275" s="1"/>
  <c r="AJ82" i="275" s="1"/>
  <c r="AK82" i="275" s="1"/>
  <c r="AL82" i="275" s="1"/>
  <c r="AM82" i="275" s="1"/>
  <c r="AN82" i="275" s="1"/>
  <c r="AO82" i="275" s="1"/>
  <c r="AP82" i="275" s="1"/>
  <c r="AQ82" i="275" s="1"/>
  <c r="AR82" i="275" s="1"/>
  <c r="AS82" i="275" s="1"/>
  <c r="AT82" i="275" s="1"/>
  <c r="AU82" i="275" s="1"/>
  <c r="AV82" i="275" s="1"/>
  <c r="AW82" i="275" s="1"/>
  <c r="AX82" i="275" s="1"/>
  <c r="AY82" i="275" s="1"/>
  <c r="AZ82" i="275" s="1"/>
  <c r="BA82" i="275" s="1"/>
  <c r="BB82" i="275" s="1"/>
  <c r="BC82" i="275" s="1"/>
  <c r="BD82" i="275" s="1"/>
  <c r="BE82" i="275" s="1"/>
  <c r="BF82" i="275" s="1"/>
  <c r="BG82" i="275" s="1"/>
  <c r="BH82" i="275" s="1"/>
  <c r="E77" i="275"/>
  <c r="D77" i="275"/>
  <c r="E76" i="275"/>
  <c r="E73" i="275"/>
  <c r="D73" i="275"/>
  <c r="G54" i="275"/>
  <c r="BC6" i="123"/>
  <c r="BC14" i="123"/>
  <c r="BD6" i="123"/>
  <c r="BD14" i="123"/>
  <c r="BD16" i="123" s="1"/>
  <c r="BD17" i="123" s="1"/>
  <c r="BD19" i="123" s="1"/>
  <c r="BE6" i="123"/>
  <c r="BE14" i="123"/>
  <c r="BE16" i="123" s="1"/>
  <c r="BE17" i="123" s="1"/>
  <c r="BE19" i="123" s="1"/>
  <c r="BF6" i="123"/>
  <c r="BF14" i="123"/>
  <c r="BF16" i="123" s="1"/>
  <c r="BF17" i="123" s="1"/>
  <c r="BG6" i="123"/>
  <c r="BG14" i="123"/>
  <c r="BG16" i="123" s="1"/>
  <c r="BG17" i="123" s="1"/>
  <c r="BH6" i="123"/>
  <c r="BH14" i="123"/>
  <c r="BH16" i="123" s="1"/>
  <c r="BH17" i="123" s="1"/>
  <c r="G65" i="275"/>
  <c r="H65" i="275" s="1"/>
  <c r="I65" i="275" s="1"/>
  <c r="J65" i="275" s="1"/>
  <c r="K65" i="275" s="1"/>
  <c r="L65" i="275" s="1"/>
  <c r="M65" i="275" s="1"/>
  <c r="N65" i="275" s="1"/>
  <c r="O65" i="275" s="1"/>
  <c r="P65" i="275" s="1"/>
  <c r="Q65" i="275" s="1"/>
  <c r="R65" i="275" s="1"/>
  <c r="S65" i="275" s="1"/>
  <c r="T65" i="275" s="1"/>
  <c r="U65" i="275" s="1"/>
  <c r="V65" i="275" s="1"/>
  <c r="W65" i="275" s="1"/>
  <c r="X65" i="275" s="1"/>
  <c r="Y65" i="275" s="1"/>
  <c r="Z65" i="275" s="1"/>
  <c r="AA65" i="275" s="1"/>
  <c r="AB65" i="275" s="1"/>
  <c r="AC65" i="275" s="1"/>
  <c r="AD65" i="275" s="1"/>
  <c r="AE65" i="275" s="1"/>
  <c r="AF65" i="275" s="1"/>
  <c r="AG65" i="275" s="1"/>
  <c r="AH65" i="275" s="1"/>
  <c r="AI65" i="275" s="1"/>
  <c r="AJ65" i="275" s="1"/>
  <c r="AK65" i="275" s="1"/>
  <c r="AL65" i="275" s="1"/>
  <c r="AM65" i="275" s="1"/>
  <c r="AN65" i="275" s="1"/>
  <c r="AO65" i="275" s="1"/>
  <c r="AP65" i="275" s="1"/>
  <c r="AQ65" i="275" s="1"/>
  <c r="AR65" i="275" s="1"/>
  <c r="AS65" i="275" s="1"/>
  <c r="AT65" i="275" s="1"/>
  <c r="AU65" i="275" s="1"/>
  <c r="AV65" i="275" s="1"/>
  <c r="AW65" i="275" s="1"/>
  <c r="AX65" i="275" s="1"/>
  <c r="AY65" i="275" s="1"/>
  <c r="AZ65" i="275" s="1"/>
  <c r="BA65" i="275" s="1"/>
  <c r="BB65" i="275" s="1"/>
  <c r="BC65" i="275" s="1"/>
  <c r="BD65" i="275" s="1"/>
  <c r="BE65" i="275" s="1"/>
  <c r="BF65" i="275" s="1"/>
  <c r="BG65" i="275" s="1"/>
  <c r="BH65" i="275" s="1"/>
  <c r="BI6" i="123"/>
  <c r="BI14" i="123"/>
  <c r="BJ6" i="123"/>
  <c r="BJ14" i="123"/>
  <c r="BJ16" i="123" s="1"/>
  <c r="BJ17" i="123" s="1"/>
  <c r="BK6" i="123"/>
  <c r="BK14" i="123"/>
  <c r="BL6" i="123"/>
  <c r="BL14" i="123"/>
  <c r="BL16" i="123" s="1"/>
  <c r="BL17" i="123" s="1"/>
  <c r="BM6" i="123"/>
  <c r="BM14" i="123"/>
  <c r="BN6" i="123"/>
  <c r="BN14" i="123"/>
  <c r="BN16" i="123" s="1"/>
  <c r="BN17" i="123" s="1"/>
  <c r="F15" i="123"/>
  <c r="G15" i="123"/>
  <c r="H15" i="123"/>
  <c r="I15" i="123"/>
  <c r="J15" i="123"/>
  <c r="K15" i="123"/>
  <c r="L15" i="123"/>
  <c r="L16" i="123"/>
  <c r="L17" i="123" s="1"/>
  <c r="M15" i="123"/>
  <c r="N15" i="123"/>
  <c r="O15" i="123"/>
  <c r="O16" i="123"/>
  <c r="O17" i="123" s="1"/>
  <c r="P15" i="123"/>
  <c r="Q15" i="123"/>
  <c r="Q16" i="123"/>
  <c r="Q17" i="123"/>
  <c r="Q20" i="123" s="1"/>
  <c r="Q5" i="123" s="1"/>
  <c r="R15" i="123"/>
  <c r="S15" i="123"/>
  <c r="S16" i="123"/>
  <c r="S17" i="123" s="1"/>
  <c r="T15" i="123"/>
  <c r="U15" i="123"/>
  <c r="U16" i="123"/>
  <c r="U17" i="123" s="1"/>
  <c r="U19" i="123" s="1"/>
  <c r="V15" i="123"/>
  <c r="W15" i="123"/>
  <c r="W16" i="123"/>
  <c r="W17" i="123" s="1"/>
  <c r="X15" i="123"/>
  <c r="Y15" i="123"/>
  <c r="Y16" i="123"/>
  <c r="Y17" i="123"/>
  <c r="Y20" i="123" s="1"/>
  <c r="Y5" i="123" s="1"/>
  <c r="Z15" i="123"/>
  <c r="AA15" i="123"/>
  <c r="AA16" i="123"/>
  <c r="AA17" i="123" s="1"/>
  <c r="AB15" i="123"/>
  <c r="AC15" i="123"/>
  <c r="AC16" i="123"/>
  <c r="AC17" i="123" s="1"/>
  <c r="AC20" i="123" s="1"/>
  <c r="AC5" i="123" s="1"/>
  <c r="AD15" i="123"/>
  <c r="AE15" i="123"/>
  <c r="AF15" i="123"/>
  <c r="AG15" i="123"/>
  <c r="AG16" i="123"/>
  <c r="AG17" i="123" s="1"/>
  <c r="AE16" i="123"/>
  <c r="AE17" i="123" s="1"/>
  <c r="AH15" i="123"/>
  <c r="F18" i="123"/>
  <c r="G18" i="123"/>
  <c r="H18" i="123"/>
  <c r="I18" i="123"/>
  <c r="J18" i="123"/>
  <c r="K18" i="123"/>
  <c r="L18" i="123"/>
  <c r="M18" i="123"/>
  <c r="N18" i="123"/>
  <c r="O18" i="123"/>
  <c r="P18" i="123"/>
  <c r="Q18" i="123"/>
  <c r="R18" i="123"/>
  <c r="S18" i="123"/>
  <c r="T18" i="123"/>
  <c r="U18" i="123"/>
  <c r="V18" i="123"/>
  <c r="W18" i="123"/>
  <c r="X18" i="123"/>
  <c r="Y18" i="123"/>
  <c r="Z18" i="123"/>
  <c r="AA18" i="123"/>
  <c r="AB18" i="123"/>
  <c r="AC18" i="123"/>
  <c r="AD18" i="123"/>
  <c r="AE18" i="123"/>
  <c r="AF18" i="123"/>
  <c r="AG18" i="123"/>
  <c r="AH18" i="123"/>
  <c r="AI18" i="123"/>
  <c r="AJ18" i="123"/>
  <c r="AK18" i="123"/>
  <c r="AL18" i="123"/>
  <c r="AM18" i="123"/>
  <c r="AN18" i="123"/>
  <c r="AO18" i="123"/>
  <c r="AP18" i="123"/>
  <c r="AQ18" i="123"/>
  <c r="AR18" i="123"/>
  <c r="AS18" i="123"/>
  <c r="AT18" i="123"/>
  <c r="AU18" i="123"/>
  <c r="AV18" i="123"/>
  <c r="AW18" i="123"/>
  <c r="AX18" i="123"/>
  <c r="AY18" i="123"/>
  <c r="AZ18" i="123"/>
  <c r="BA18" i="123"/>
  <c r="BB18" i="123"/>
  <c r="BC18" i="123"/>
  <c r="BD18" i="123"/>
  <c r="BE18" i="123"/>
  <c r="BF18" i="123"/>
  <c r="BG18" i="123"/>
  <c r="BH18" i="123"/>
  <c r="BI18" i="123"/>
  <c r="BJ18" i="123"/>
  <c r="BK18" i="123"/>
  <c r="BL18" i="123"/>
  <c r="BN18" i="123"/>
  <c r="BM18" i="123"/>
  <c r="AI15" i="123"/>
  <c r="AI16" i="123"/>
  <c r="AI17" i="123" s="1"/>
  <c r="AI19" i="123" s="1"/>
  <c r="U28" i="123"/>
  <c r="G28" i="123"/>
  <c r="AJ15" i="123"/>
  <c r="F28" i="123"/>
  <c r="F27" i="123"/>
  <c r="F4" i="123"/>
  <c r="H28" i="123"/>
  <c r="AK15" i="123"/>
  <c r="AK16" i="123"/>
  <c r="AK17" i="123" s="1"/>
  <c r="AK19" i="123" s="1"/>
  <c r="G27" i="123"/>
  <c r="G4" i="123"/>
  <c r="I28" i="123"/>
  <c r="AL15" i="123"/>
  <c r="H27" i="123"/>
  <c r="H4" i="123"/>
  <c r="J28" i="123"/>
  <c r="AM15" i="123"/>
  <c r="I27" i="123"/>
  <c r="I4" i="123"/>
  <c r="K28" i="123"/>
  <c r="AN15" i="123"/>
  <c r="J27" i="123"/>
  <c r="J4" i="123"/>
  <c r="L28" i="123"/>
  <c r="AO15" i="123"/>
  <c r="AO16" i="123"/>
  <c r="AO17" i="123" s="1"/>
  <c r="K27" i="123"/>
  <c r="K4" i="123"/>
  <c r="M28" i="123"/>
  <c r="AP15" i="123"/>
  <c r="L27" i="123"/>
  <c r="L4" i="123"/>
  <c r="N28" i="123"/>
  <c r="AQ15" i="123"/>
  <c r="M27" i="123"/>
  <c r="M4" i="123"/>
  <c r="O28" i="123"/>
  <c r="AR15" i="123"/>
  <c r="N27" i="123"/>
  <c r="N4" i="123"/>
  <c r="P28" i="123"/>
  <c r="AS15" i="123"/>
  <c r="AS16" i="123"/>
  <c r="AS17" i="123" s="1"/>
  <c r="AS20" i="123" s="1"/>
  <c r="AS5" i="123" s="1"/>
  <c r="O27" i="123"/>
  <c r="O4" i="123"/>
  <c r="Q28" i="123"/>
  <c r="AT15" i="123"/>
  <c r="P27" i="123"/>
  <c r="P4" i="123"/>
  <c r="R28" i="123"/>
  <c r="AU15" i="123"/>
  <c r="AU16" i="123"/>
  <c r="AU17" i="123" s="1"/>
  <c r="Q27" i="123"/>
  <c r="Q4" i="123"/>
  <c r="AK20" i="123"/>
  <c r="AK5" i="123" s="1"/>
  <c r="S28" i="123"/>
  <c r="AV15" i="123"/>
  <c r="R27" i="123"/>
  <c r="R4" i="123"/>
  <c r="T28" i="123"/>
  <c r="AW15" i="123"/>
  <c r="S27" i="123"/>
  <c r="S4" i="123"/>
  <c r="V28" i="123"/>
  <c r="AX15" i="123"/>
  <c r="T27" i="123"/>
  <c r="T4" i="123"/>
  <c r="W28" i="123"/>
  <c r="AY15" i="123"/>
  <c r="U27" i="123"/>
  <c r="U4" i="123"/>
  <c r="X28" i="123"/>
  <c r="AZ15" i="123"/>
  <c r="V27" i="123"/>
  <c r="V4" i="123"/>
  <c r="BI103" i="282"/>
  <c r="Y28" i="123"/>
  <c r="BA15" i="123"/>
  <c r="W27" i="123"/>
  <c r="W4" i="123"/>
  <c r="Z28" i="123"/>
  <c r="BB15" i="123"/>
  <c r="X27" i="123"/>
  <c r="X4" i="123"/>
  <c r="AA28" i="123"/>
  <c r="BC15" i="123"/>
  <c r="BC16" i="123"/>
  <c r="BC17" i="123" s="1"/>
  <c r="Y27" i="123"/>
  <c r="Y4" i="123"/>
  <c r="AB28" i="123"/>
  <c r="BD15" i="123"/>
  <c r="AC28" i="123"/>
  <c r="BE15" i="123"/>
  <c r="Z27" i="123"/>
  <c r="Z4" i="123"/>
  <c r="AD28" i="123"/>
  <c r="BF15" i="123"/>
  <c r="AA27" i="123"/>
  <c r="AA4" i="123"/>
  <c r="AE28" i="123"/>
  <c r="BG15" i="123"/>
  <c r="AB27" i="123"/>
  <c r="AF28" i="123"/>
  <c r="AB4" i="123"/>
  <c r="BH15" i="123"/>
  <c r="AC27" i="123"/>
  <c r="AC4" i="123"/>
  <c r="AG28" i="123"/>
  <c r="BI15" i="123"/>
  <c r="BI16" i="123"/>
  <c r="BI17" i="123" s="1"/>
  <c r="BI19" i="123" s="1"/>
  <c r="AD27" i="123"/>
  <c r="AD4" i="123"/>
  <c r="AH28" i="123"/>
  <c r="BJ15" i="123"/>
  <c r="AE27" i="123"/>
  <c r="AE4" i="123"/>
  <c r="AI28" i="123"/>
  <c r="BK15" i="123"/>
  <c r="BK16" i="123"/>
  <c r="BK17" i="123" s="1"/>
  <c r="BK19" i="123" s="1"/>
  <c r="AF27" i="123"/>
  <c r="AF4" i="123"/>
  <c r="AJ28" i="123"/>
  <c r="BL15" i="123"/>
  <c r="AG27" i="123"/>
  <c r="AG4" i="123"/>
  <c r="AK28" i="123"/>
  <c r="BM15" i="123"/>
  <c r="BM16" i="123"/>
  <c r="BM17" i="123" s="1"/>
  <c r="AH27" i="123"/>
  <c r="AH4" i="123"/>
  <c r="AL28" i="123"/>
  <c r="BN15" i="123"/>
  <c r="AI27" i="123"/>
  <c r="AI4" i="123"/>
  <c r="AM28" i="123"/>
  <c r="AJ27" i="123"/>
  <c r="AJ4" i="123"/>
  <c r="AN28" i="123"/>
  <c r="AK27" i="123"/>
  <c r="AK4" i="123"/>
  <c r="AO28" i="123"/>
  <c r="AL27" i="123"/>
  <c r="AL4" i="123"/>
  <c r="AP28" i="123"/>
  <c r="AM27" i="123"/>
  <c r="AM4" i="123"/>
  <c r="AQ28" i="123"/>
  <c r="AN27" i="123"/>
  <c r="AN4" i="123"/>
  <c r="BI20" i="123"/>
  <c r="BI5" i="123" s="1"/>
  <c r="AR28" i="123"/>
  <c r="AO27" i="123"/>
  <c r="AO4" i="123"/>
  <c r="AS28" i="123"/>
  <c r="AP27" i="123"/>
  <c r="AP4" i="123"/>
  <c r="AT28" i="123"/>
  <c r="AQ27" i="123"/>
  <c r="AQ4" i="123"/>
  <c r="AU28" i="123"/>
  <c r="AR27" i="123"/>
  <c r="AR4" i="123"/>
  <c r="AV28" i="123"/>
  <c r="AS27" i="123"/>
  <c r="AS4" i="123"/>
  <c r="AW28" i="123"/>
  <c r="AT27" i="123"/>
  <c r="AT4" i="123"/>
  <c r="AX28" i="123"/>
  <c r="AU27" i="123"/>
  <c r="AU4" i="123"/>
  <c r="AY28" i="123"/>
  <c r="AV27" i="123"/>
  <c r="AV4" i="123"/>
  <c r="AZ28" i="123"/>
  <c r="AW27" i="123"/>
  <c r="AW4" i="123"/>
  <c r="BA28" i="123"/>
  <c r="AX27" i="123"/>
  <c r="AX4" i="123"/>
  <c r="BB28" i="123"/>
  <c r="AY27" i="123"/>
  <c r="AY4" i="123"/>
  <c r="BC28" i="123"/>
  <c r="AZ27" i="123"/>
  <c r="AZ4" i="123"/>
  <c r="BD28" i="123"/>
  <c r="BA27" i="123"/>
  <c r="BA4" i="123"/>
  <c r="BE28" i="123"/>
  <c r="BB27" i="123"/>
  <c r="BB4" i="123"/>
  <c r="BF28" i="123"/>
  <c r="BC27" i="123"/>
  <c r="BC4" i="123"/>
  <c r="BG28" i="123"/>
  <c r="BD27" i="123"/>
  <c r="BD4" i="123"/>
  <c r="BH28" i="123"/>
  <c r="BE27" i="123"/>
  <c r="BE4" i="123"/>
  <c r="BI28" i="123"/>
  <c r="BF27" i="123"/>
  <c r="BF4" i="123"/>
  <c r="BJ28" i="123"/>
  <c r="BG27" i="123"/>
  <c r="BG4" i="123"/>
  <c r="BK28" i="123"/>
  <c r="BH27" i="123"/>
  <c r="BH4" i="123"/>
  <c r="BL28" i="123"/>
  <c r="BM28" i="123"/>
  <c r="BI27" i="123"/>
  <c r="BI4" i="123"/>
  <c r="BN28" i="123"/>
  <c r="BJ27" i="123"/>
  <c r="BJ4" i="123"/>
  <c r="BK27" i="123"/>
  <c r="BK4" i="123"/>
  <c r="BL27" i="123"/>
  <c r="BL4" i="123"/>
  <c r="BM27" i="123"/>
  <c r="BM4" i="123"/>
  <c r="BN27" i="123"/>
  <c r="BN4" i="123"/>
  <c r="F6" i="123"/>
  <c r="F14" i="123"/>
  <c r="F16" i="123"/>
  <c r="F17" i="123" s="1"/>
  <c r="F20" i="123" s="1"/>
  <c r="F5" i="123" s="1"/>
  <c r="H14" i="123"/>
  <c r="H16" i="123" s="1"/>
  <c r="H17" i="123" s="1"/>
  <c r="H19" i="123" s="1"/>
  <c r="H6" i="123"/>
  <c r="I6" i="123"/>
  <c r="I14" i="123"/>
  <c r="I16" i="123" s="1"/>
  <c r="I17" i="123" s="1"/>
  <c r="G14" i="123"/>
  <c r="G16" i="123" s="1"/>
  <c r="G17" i="123" s="1"/>
  <c r="G6" i="123"/>
  <c r="J17" i="293" l="1"/>
  <c r="J27" i="293" s="1"/>
  <c r="J16" i="293"/>
  <c r="G55" i="276"/>
  <c r="G93" i="276"/>
  <c r="G67" i="276"/>
  <c r="G69" i="276"/>
  <c r="G70" i="276" s="1"/>
  <c r="G68" i="276"/>
  <c r="G89" i="276"/>
  <c r="G85" i="276"/>
  <c r="C16" i="275"/>
  <c r="C14" i="275"/>
  <c r="C15" i="285" s="1"/>
  <c r="C13" i="275"/>
  <c r="K101" i="280"/>
  <c r="AA101" i="280"/>
  <c r="AQ101" i="280"/>
  <c r="BG101" i="280"/>
  <c r="T101" i="280"/>
  <c r="AJ101" i="280"/>
  <c r="AZ101" i="280"/>
  <c r="N101" i="280"/>
  <c r="AD101" i="280"/>
  <c r="AT101" i="280"/>
  <c r="U101" i="280"/>
  <c r="AK101" i="280"/>
  <c r="BA101" i="280"/>
  <c r="L101" i="280"/>
  <c r="O101" i="280"/>
  <c r="AE101" i="280"/>
  <c r="AU101" i="280"/>
  <c r="H101" i="280"/>
  <c r="X101" i="280"/>
  <c r="AN101" i="280"/>
  <c r="BD101" i="280"/>
  <c r="R101" i="280"/>
  <c r="AH101" i="280"/>
  <c r="AX101" i="280"/>
  <c r="I101" i="280"/>
  <c r="Y101" i="280"/>
  <c r="AO101" i="280"/>
  <c r="BE101" i="280"/>
  <c r="S101" i="280"/>
  <c r="AI101" i="280"/>
  <c r="AY101" i="280"/>
  <c r="AB101" i="280"/>
  <c r="BH101" i="280"/>
  <c r="V101" i="280"/>
  <c r="AL101" i="280"/>
  <c r="BB101" i="280"/>
  <c r="M101" i="280"/>
  <c r="AC101" i="280"/>
  <c r="G101" i="280"/>
  <c r="W101" i="280"/>
  <c r="AM101" i="280"/>
  <c r="BC101" i="280"/>
  <c r="P101" i="280"/>
  <c r="AF101" i="280"/>
  <c r="AV101" i="280"/>
  <c r="J101" i="280"/>
  <c r="Z101" i="280"/>
  <c r="AP101" i="280"/>
  <c r="BF101" i="280"/>
  <c r="Q101" i="280"/>
  <c r="AG101" i="280"/>
  <c r="AW101" i="280"/>
  <c r="AR101" i="280"/>
  <c r="AS101" i="280"/>
  <c r="G91" i="275"/>
  <c r="AS91" i="275"/>
  <c r="AC91" i="275"/>
  <c r="Z91" i="275"/>
  <c r="AI91" i="275"/>
  <c r="AU91" i="275"/>
  <c r="AD91" i="275"/>
  <c r="P91" i="275"/>
  <c r="R91" i="275"/>
  <c r="S91" i="275"/>
  <c r="AM91" i="275"/>
  <c r="N91" i="275"/>
  <c r="H91" i="275"/>
  <c r="AO91" i="275"/>
  <c r="U91" i="275"/>
  <c r="V91" i="275"/>
  <c r="AA91" i="275"/>
  <c r="BD91" i="275"/>
  <c r="Y91" i="275"/>
  <c r="AR91" i="275"/>
  <c r="AY91" i="275"/>
  <c r="AJ91" i="275"/>
  <c r="AQ91" i="275"/>
  <c r="BA91" i="275"/>
  <c r="AV91" i="275"/>
  <c r="AZ91" i="275"/>
  <c r="AN91" i="275"/>
  <c r="BG91" i="275"/>
  <c r="AB91" i="275"/>
  <c r="AE91" i="275"/>
  <c r="K91" i="275"/>
  <c r="W91" i="275"/>
  <c r="AG91" i="275"/>
  <c r="L91" i="275"/>
  <c r="BF91" i="275"/>
  <c r="O91" i="275"/>
  <c r="T91" i="275"/>
  <c r="AT91" i="275"/>
  <c r="BH91" i="275"/>
  <c r="AL91" i="275"/>
  <c r="J91" i="275"/>
  <c r="AX91" i="275"/>
  <c r="AF91" i="275"/>
  <c r="AW91" i="275"/>
  <c r="BE91" i="275"/>
  <c r="BC91" i="275"/>
  <c r="AP91" i="275"/>
  <c r="X91" i="275"/>
  <c r="M91" i="275"/>
  <c r="AK91" i="275"/>
  <c r="Q91" i="275"/>
  <c r="AH91" i="275"/>
  <c r="I91" i="275"/>
  <c r="BB91" i="275"/>
  <c r="Z55" i="284"/>
  <c r="V55" i="284"/>
  <c r="R55" i="284"/>
  <c r="N55" i="284"/>
  <c r="J55" i="284"/>
  <c r="X55" i="284"/>
  <c r="P55" i="284"/>
  <c r="H55" i="284"/>
  <c r="W55" i="284"/>
  <c r="O55" i="284"/>
  <c r="K55" i="284"/>
  <c r="Y55" i="284"/>
  <c r="U55" i="284"/>
  <c r="Q55" i="284"/>
  <c r="M55" i="284"/>
  <c r="I55" i="284"/>
  <c r="AB55" i="284"/>
  <c r="T55" i="284"/>
  <c r="L55" i="284"/>
  <c r="AA55" i="284"/>
  <c r="S55" i="284"/>
  <c r="G74" i="282"/>
  <c r="W74" i="282"/>
  <c r="AM74" i="282"/>
  <c r="BC74" i="282"/>
  <c r="AJ74" i="282"/>
  <c r="Y74" i="282"/>
  <c r="BE74" i="282"/>
  <c r="R74" i="282"/>
  <c r="AH74" i="282"/>
  <c r="AX74" i="282"/>
  <c r="AF74" i="282"/>
  <c r="U74" i="282"/>
  <c r="BA74" i="282"/>
  <c r="AE74" i="282"/>
  <c r="I74" i="282"/>
  <c r="AO74" i="282"/>
  <c r="J74" i="282"/>
  <c r="BF74" i="282"/>
  <c r="AV74" i="282"/>
  <c r="K74" i="282"/>
  <c r="AA74" i="282"/>
  <c r="AQ74" i="282"/>
  <c r="BG74" i="282"/>
  <c r="L74" i="282"/>
  <c r="AR74" i="282"/>
  <c r="AG74" i="282"/>
  <c r="V74" i="282"/>
  <c r="AL74" i="282"/>
  <c r="BB74" i="282"/>
  <c r="AN74" i="282"/>
  <c r="AC74" i="282"/>
  <c r="H74" i="282"/>
  <c r="O74" i="282"/>
  <c r="AZ74" i="282"/>
  <c r="Z74" i="282"/>
  <c r="P74" i="282"/>
  <c r="S74" i="282"/>
  <c r="AI74" i="282"/>
  <c r="AY74" i="282"/>
  <c r="AB74" i="282"/>
  <c r="BH74" i="282"/>
  <c r="Q74" i="282"/>
  <c r="AW74" i="282"/>
  <c r="N74" i="282"/>
  <c r="AD74" i="282"/>
  <c r="AT74" i="282"/>
  <c r="X74" i="282"/>
  <c r="BD74" i="282"/>
  <c r="M74" i="282"/>
  <c r="AS74" i="282"/>
  <c r="AU74" i="282"/>
  <c r="T74" i="282"/>
  <c r="AP74" i="282"/>
  <c r="AK74" i="282"/>
  <c r="H79" i="280"/>
  <c r="T8" i="280"/>
  <c r="P8" i="280"/>
  <c r="L8" i="280"/>
  <c r="O8" i="280"/>
  <c r="K8" i="280"/>
  <c r="U15" i="280"/>
  <c r="R8" i="280"/>
  <c r="J8" i="280"/>
  <c r="U8" i="280"/>
  <c r="M8" i="280"/>
  <c r="S8" i="280"/>
  <c r="N8" i="280"/>
  <c r="Q8" i="280"/>
  <c r="H8" i="280"/>
  <c r="Q19" i="123"/>
  <c r="AE19" i="123"/>
  <c r="AE20" i="123"/>
  <c r="AE5" i="123" s="1"/>
  <c r="W20" i="123"/>
  <c r="W5" i="123" s="1"/>
  <c r="W19" i="123"/>
  <c r="AX19" i="123"/>
  <c r="AX20" i="123"/>
  <c r="AX5" i="123" s="1"/>
  <c r="S19" i="123"/>
  <c r="S20" i="123"/>
  <c r="S5" i="123" s="1"/>
  <c r="K19" i="123"/>
  <c r="K20" i="123"/>
  <c r="K5" i="123" s="1"/>
  <c r="BA20" i="123"/>
  <c r="BA5" i="123" s="1"/>
  <c r="BA19" i="123"/>
  <c r="AM19" i="123"/>
  <c r="AM20" i="123"/>
  <c r="AM5" i="123" s="1"/>
  <c r="AP19" i="123"/>
  <c r="AP20" i="123"/>
  <c r="AP5" i="123" s="1"/>
  <c r="AA19" i="123"/>
  <c r="AA20" i="123"/>
  <c r="AA5" i="123" s="1"/>
  <c r="AR19" i="123"/>
  <c r="AR20" i="123"/>
  <c r="AR5" i="123" s="1"/>
  <c r="AN20" i="123"/>
  <c r="AN5" i="123" s="1"/>
  <c r="AN19" i="123"/>
  <c r="AL20" i="123"/>
  <c r="AL5" i="123" s="1"/>
  <c r="AL19" i="123"/>
  <c r="AU20" i="123"/>
  <c r="AU5" i="123" s="1"/>
  <c r="AU19" i="123"/>
  <c r="AG20" i="123"/>
  <c r="AG5" i="123" s="1"/>
  <c r="AG19" i="123"/>
  <c r="I19" i="123"/>
  <c r="I20" i="123"/>
  <c r="I5" i="123" s="1"/>
  <c r="BF19" i="123"/>
  <c r="BF20" i="123"/>
  <c r="BF5" i="123" s="1"/>
  <c r="O19" i="123"/>
  <c r="O20" i="123"/>
  <c r="O5" i="123" s="1"/>
  <c r="BE20" i="123"/>
  <c r="BE5" i="123" s="1"/>
  <c r="AS19" i="123"/>
  <c r="Y19" i="123"/>
  <c r="AI20" i="123"/>
  <c r="AI5" i="123" s="1"/>
  <c r="BL19" i="123"/>
  <c r="BL20" i="123"/>
  <c r="BL5" i="123" s="1"/>
  <c r="R19" i="123"/>
  <c r="R20" i="123"/>
  <c r="R5" i="123" s="1"/>
  <c r="H20" i="123"/>
  <c r="H5" i="123" s="1"/>
  <c r="BH19" i="123"/>
  <c r="BH20" i="123"/>
  <c r="BH5" i="123" s="1"/>
  <c r="AY20" i="123"/>
  <c r="AY5" i="123" s="1"/>
  <c r="AY19" i="123"/>
  <c r="P19" i="123"/>
  <c r="P20" i="123"/>
  <c r="P5" i="123" s="1"/>
  <c r="AJ19" i="123"/>
  <c r="AJ20" i="123"/>
  <c r="AJ5" i="123" s="1"/>
  <c r="J20" i="123"/>
  <c r="J5" i="123" s="1"/>
  <c r="J19" i="123"/>
  <c r="BK20" i="123"/>
  <c r="BK5" i="123" s="1"/>
  <c r="AT20" i="123"/>
  <c r="AT5" i="123" s="1"/>
  <c r="BC20" i="123"/>
  <c r="BC5" i="123" s="1"/>
  <c r="BC19" i="123"/>
  <c r="AV19" i="123"/>
  <c r="AV20" i="123"/>
  <c r="AV5" i="123" s="1"/>
  <c r="AH19" i="123"/>
  <c r="AO20" i="123"/>
  <c r="AO5" i="123" s="1"/>
  <c r="AO19" i="123"/>
  <c r="AD19" i="123"/>
  <c r="AD20" i="123"/>
  <c r="AD5" i="123" s="1"/>
  <c r="V19" i="123"/>
  <c r="V20" i="123"/>
  <c r="V5" i="123" s="1"/>
  <c r="N20" i="123"/>
  <c r="N5" i="123" s="1"/>
  <c r="N19" i="123"/>
  <c r="BB19" i="123"/>
  <c r="BB20" i="123"/>
  <c r="BB5" i="123" s="1"/>
  <c r="Z20" i="123"/>
  <c r="Z5" i="123" s="1"/>
  <c r="Z19" i="123"/>
  <c r="AZ20" i="123"/>
  <c r="AZ5" i="123" s="1"/>
  <c r="X19" i="123"/>
  <c r="X20" i="123"/>
  <c r="X5" i="123" s="1"/>
  <c r="BN19" i="123"/>
  <c r="BN20" i="123"/>
  <c r="BN5" i="123" s="1"/>
  <c r="BJ19" i="123"/>
  <c r="BJ20" i="123"/>
  <c r="BJ5" i="123" s="1"/>
  <c r="AF19" i="123"/>
  <c r="AF20" i="123"/>
  <c r="AF5" i="123" s="1"/>
  <c r="F19" i="123"/>
  <c r="G19" i="123"/>
  <c r="G20" i="123"/>
  <c r="G5" i="123" s="1"/>
  <c r="BM19" i="123"/>
  <c r="BM20" i="123"/>
  <c r="BM5" i="123" s="1"/>
  <c r="BG19" i="123"/>
  <c r="BG20" i="123"/>
  <c r="BG5" i="123" s="1"/>
  <c r="AW19" i="123"/>
  <c r="AW20" i="123"/>
  <c r="AW5" i="123" s="1"/>
  <c r="AB19" i="123"/>
  <c r="AB20" i="123"/>
  <c r="AB5" i="123" s="1"/>
  <c r="T20" i="123"/>
  <c r="T5" i="123" s="1"/>
  <c r="T19" i="123"/>
  <c r="L19" i="123"/>
  <c r="L20" i="123"/>
  <c r="L5" i="123" s="1"/>
  <c r="BD20" i="123"/>
  <c r="BD5" i="123" s="1"/>
  <c r="AC19" i="123"/>
  <c r="AQ20" i="123"/>
  <c r="AQ5" i="123" s="1"/>
  <c r="M20" i="123"/>
  <c r="M5" i="123" s="1"/>
  <c r="U20" i="123"/>
  <c r="U5" i="123" s="1"/>
  <c r="W65" i="293"/>
  <c r="V67" i="293"/>
  <c r="J30" i="293"/>
  <c r="D30" i="293" s="1"/>
  <c r="R79" i="282"/>
  <c r="Q81" i="282"/>
  <c r="H54" i="282"/>
  <c r="H70" i="282" s="1"/>
  <c r="G70" i="282"/>
  <c r="R65" i="282"/>
  <c r="Q73" i="282"/>
  <c r="Q67" i="282"/>
  <c r="G98" i="282"/>
  <c r="H98" i="282"/>
  <c r="L98" i="282"/>
  <c r="P98" i="282"/>
  <c r="T98" i="282"/>
  <c r="X98" i="282"/>
  <c r="AB98" i="282"/>
  <c r="AF98" i="282"/>
  <c r="AJ98" i="282"/>
  <c r="AN98" i="282"/>
  <c r="AR98" i="282"/>
  <c r="AV98" i="282"/>
  <c r="AZ98" i="282"/>
  <c r="BD98" i="282"/>
  <c r="BH98" i="282"/>
  <c r="K98" i="282"/>
  <c r="O98" i="282"/>
  <c r="S98" i="282"/>
  <c r="W98" i="282"/>
  <c r="AA98" i="282"/>
  <c r="AE98" i="282"/>
  <c r="AI98" i="282"/>
  <c r="AM98" i="282"/>
  <c r="AQ98" i="282"/>
  <c r="AU98" i="282"/>
  <c r="AY98" i="282"/>
  <c r="BC98" i="282"/>
  <c r="BG98" i="282"/>
  <c r="M98" i="282"/>
  <c r="U98" i="282"/>
  <c r="AC98" i="282"/>
  <c r="AK98" i="282"/>
  <c r="AS98" i="282"/>
  <c r="BA98" i="282"/>
  <c r="J98" i="282"/>
  <c r="R98" i="282"/>
  <c r="Z98" i="282"/>
  <c r="AH98" i="282"/>
  <c r="AP98" i="282"/>
  <c r="AX98" i="282"/>
  <c r="BF98" i="282"/>
  <c r="N98" i="282"/>
  <c r="AD98" i="282"/>
  <c r="AT98" i="282"/>
  <c r="Q98" i="282"/>
  <c r="AG98" i="282"/>
  <c r="AW98" i="282"/>
  <c r="AL98" i="282"/>
  <c r="V98" i="282"/>
  <c r="BB98" i="282"/>
  <c r="BE98" i="282"/>
  <c r="I98" i="282"/>
  <c r="AO98" i="282"/>
  <c r="Y98" i="282"/>
  <c r="BD94" i="276"/>
  <c r="BB94" i="276"/>
  <c r="U94" i="276"/>
  <c r="BG94" i="276"/>
  <c r="AC94" i="276"/>
  <c r="N94" i="276"/>
  <c r="AV94" i="276"/>
  <c r="AM94" i="276"/>
  <c r="G94" i="276"/>
  <c r="AL94" i="276"/>
  <c r="BH94" i="276"/>
  <c r="AY94" i="276"/>
  <c r="AK94" i="276"/>
  <c r="AU94" i="276"/>
  <c r="V94" i="276"/>
  <c r="AZ94" i="276"/>
  <c r="AQ94" i="276"/>
  <c r="H94" i="276"/>
  <c r="BF94" i="276"/>
  <c r="AG94" i="276"/>
  <c r="AF94" i="276"/>
  <c r="W94" i="276"/>
  <c r="AN94" i="276"/>
  <c r="J94" i="276"/>
  <c r="AR94" i="276"/>
  <c r="AI94" i="276"/>
  <c r="Y94" i="276"/>
  <c r="AP94" i="276"/>
  <c r="AH94" i="276"/>
  <c r="AO94" i="276"/>
  <c r="AJ94" i="276"/>
  <c r="AA94" i="276"/>
  <c r="O94" i="276"/>
  <c r="AW94" i="276"/>
  <c r="AS94" i="276"/>
  <c r="P94" i="276"/>
  <c r="AX94" i="276"/>
  <c r="X94" i="276"/>
  <c r="Z94" i="276"/>
  <c r="Q94" i="276"/>
  <c r="AB94" i="276"/>
  <c r="S94" i="276"/>
  <c r="BE94" i="276"/>
  <c r="R94" i="276"/>
  <c r="BA94" i="276"/>
  <c r="T94" i="276"/>
  <c r="K94" i="276"/>
  <c r="I94" i="276"/>
  <c r="AT94" i="276"/>
  <c r="M94" i="276"/>
  <c r="BC94" i="276"/>
  <c r="AD94" i="276"/>
  <c r="AE94" i="276"/>
  <c r="L94" i="276"/>
  <c r="AJ92" i="279"/>
  <c r="BA92" i="279"/>
  <c r="BG92" i="279"/>
  <c r="AF92" i="279"/>
  <c r="G92" i="279"/>
  <c r="I92" i="279"/>
  <c r="AO92" i="279"/>
  <c r="AM92" i="279"/>
  <c r="AX92" i="279"/>
  <c r="AU92" i="279"/>
  <c r="AW92" i="279"/>
  <c r="AY92" i="279"/>
  <c r="L92" i="279"/>
  <c r="H92" i="279"/>
  <c r="P92" i="279"/>
  <c r="O92" i="279"/>
  <c r="BE92" i="279"/>
  <c r="AQ92" i="279"/>
  <c r="BB92" i="279"/>
  <c r="AE92" i="279"/>
  <c r="AZ92" i="279"/>
  <c r="W92" i="279"/>
  <c r="AH92" i="279"/>
  <c r="AK92" i="279"/>
  <c r="AN92" i="279"/>
  <c r="Y92" i="279"/>
  <c r="AI92" i="279"/>
  <c r="AT92" i="279"/>
  <c r="N92" i="279"/>
  <c r="Z92" i="279"/>
  <c r="BH92" i="279"/>
  <c r="AA92" i="279"/>
  <c r="AL92" i="279"/>
  <c r="BF92" i="279"/>
  <c r="AS92" i="279"/>
  <c r="X92" i="279"/>
  <c r="BD92" i="279"/>
  <c r="R92" i="279"/>
  <c r="Q92" i="279"/>
  <c r="AP92" i="279"/>
  <c r="AR92" i="279"/>
  <c r="S92" i="279"/>
  <c r="AD92" i="279"/>
  <c r="M92" i="279"/>
  <c r="AG92" i="279"/>
  <c r="AB92" i="279"/>
  <c r="K92" i="279"/>
  <c r="V92" i="279"/>
  <c r="U92" i="279"/>
  <c r="BC92" i="279"/>
  <c r="T92" i="279"/>
  <c r="J92" i="279"/>
  <c r="AC92" i="279"/>
  <c r="AV92" i="279"/>
  <c r="Q92" i="277"/>
  <c r="V92" i="277"/>
  <c r="O92" i="277"/>
  <c r="BA92" i="277"/>
  <c r="K92" i="277"/>
  <c r="G92" i="277"/>
  <c r="AB92" i="277"/>
  <c r="AX92" i="277"/>
  <c r="AP92" i="277"/>
  <c r="N92" i="277"/>
  <c r="J92" i="277"/>
  <c r="AJ92" i="277"/>
  <c r="W92" i="277"/>
  <c r="AH92" i="277"/>
  <c r="AM92" i="277"/>
  <c r="Z92" i="277"/>
  <c r="AY92" i="277"/>
  <c r="X92" i="277"/>
  <c r="BE92" i="277"/>
  <c r="AL92" i="277"/>
  <c r="AV92" i="277"/>
  <c r="BB92" i="277"/>
  <c r="AK92" i="277"/>
  <c r="AC92" i="277"/>
  <c r="I92" i="277"/>
  <c r="BG92" i="277"/>
  <c r="AF92" i="277"/>
  <c r="AN92" i="277"/>
  <c r="U92" i="277"/>
  <c r="AT92" i="277"/>
  <c r="BF92" i="277"/>
  <c r="L92" i="277"/>
  <c r="AS92" i="277"/>
  <c r="AI92" i="277"/>
  <c r="H92" i="277"/>
  <c r="BC92" i="277"/>
  <c r="AW92" i="277"/>
  <c r="BD92" i="277"/>
  <c r="AD92" i="277"/>
  <c r="BH92" i="277"/>
  <c r="AO92" i="277"/>
  <c r="AA92" i="277"/>
  <c r="Y92" i="277"/>
  <c r="AG92" i="277"/>
  <c r="AQ92" i="277"/>
  <c r="P92" i="277"/>
  <c r="R92" i="277"/>
  <c r="AR92" i="277"/>
  <c r="AE92" i="277"/>
  <c r="S92" i="277"/>
  <c r="AU92" i="277"/>
  <c r="M92" i="277"/>
  <c r="T92" i="277"/>
  <c r="AZ92" i="277"/>
  <c r="K99" i="280"/>
  <c r="O99" i="280"/>
  <c r="S99" i="280"/>
  <c r="W99" i="280"/>
  <c r="AA99" i="280"/>
  <c r="AE99" i="280"/>
  <c r="AI99" i="280"/>
  <c r="AM99" i="280"/>
  <c r="AQ99" i="280"/>
  <c r="AU99" i="280"/>
  <c r="AY99" i="280"/>
  <c r="BC99" i="280"/>
  <c r="BG99" i="280"/>
  <c r="J99" i="280"/>
  <c r="N99" i="280"/>
  <c r="R99" i="280"/>
  <c r="V99" i="280"/>
  <c r="Z99" i="280"/>
  <c r="AD99" i="280"/>
  <c r="AH99" i="280"/>
  <c r="AL99" i="280"/>
  <c r="AP99" i="280"/>
  <c r="AT99" i="280"/>
  <c r="AX99" i="280"/>
  <c r="BB99" i="280"/>
  <c r="BF99" i="280"/>
  <c r="H99" i="280"/>
  <c r="P99" i="280"/>
  <c r="X99" i="280"/>
  <c r="AF99" i="280"/>
  <c r="AN99" i="280"/>
  <c r="AV99" i="280"/>
  <c r="BD99" i="280"/>
  <c r="M99" i="280"/>
  <c r="U99" i="280"/>
  <c r="AC99" i="280"/>
  <c r="AK99" i="280"/>
  <c r="AS99" i="280"/>
  <c r="BA99" i="280"/>
  <c r="G99" i="280"/>
  <c r="G89" i="280" s="1"/>
  <c r="I99" i="280"/>
  <c r="Y99" i="280"/>
  <c r="AO99" i="280"/>
  <c r="BE99" i="280"/>
  <c r="L99" i="280"/>
  <c r="AB99" i="280"/>
  <c r="AR99" i="280"/>
  <c r="BH99" i="280"/>
  <c r="Q99" i="280"/>
  <c r="AW99" i="280"/>
  <c r="T99" i="280"/>
  <c r="AZ99" i="280"/>
  <c r="AG99" i="280"/>
  <c r="AJ99" i="280"/>
  <c r="K93" i="292"/>
  <c r="M93" i="292"/>
  <c r="T93" i="292"/>
  <c r="BD93" i="292"/>
  <c r="R93" i="292"/>
  <c r="AA93" i="292"/>
  <c r="AG93" i="292"/>
  <c r="AY93" i="292"/>
  <c r="L93" i="292"/>
  <c r="AS93" i="292"/>
  <c r="AF93" i="292"/>
  <c r="AO93" i="292"/>
  <c r="H93" i="292"/>
  <c r="AN93" i="292"/>
  <c r="J93" i="292"/>
  <c r="AU93" i="292"/>
  <c r="Q93" i="292"/>
  <c r="Z93" i="292"/>
  <c r="AL93" i="292"/>
  <c r="I93" i="292"/>
  <c r="BC93" i="292"/>
  <c r="X93" i="292"/>
  <c r="BB93" i="292"/>
  <c r="AK93" i="292"/>
  <c r="AI93" i="292"/>
  <c r="AT93" i="292"/>
  <c r="AC93" i="292"/>
  <c r="V93" i="292"/>
  <c r="G93" i="292"/>
  <c r="BF93" i="292"/>
  <c r="AJ93" i="292"/>
  <c r="Y93" i="292"/>
  <c r="BA93" i="292"/>
  <c r="AM93" i="292"/>
  <c r="AX93" i="292"/>
  <c r="AW93" i="292"/>
  <c r="AR93" i="292"/>
  <c r="S93" i="292"/>
  <c r="AD93" i="292"/>
  <c r="AB93" i="292"/>
  <c r="U93" i="292"/>
  <c r="AE93" i="292"/>
  <c r="AP93" i="292"/>
  <c r="BG93" i="292"/>
  <c r="AZ93" i="292"/>
  <c r="W93" i="292"/>
  <c r="AH93" i="292"/>
  <c r="BH93" i="292"/>
  <c r="BE93" i="292"/>
  <c r="P93" i="292"/>
  <c r="AV93" i="292"/>
  <c r="N93" i="292"/>
  <c r="AQ93" i="292"/>
  <c r="O93" i="292"/>
  <c r="AO92" i="278"/>
  <c r="AP92" i="278"/>
  <c r="AQ92" i="278"/>
  <c r="AF92" i="278"/>
  <c r="R92" i="278"/>
  <c r="AD92" i="278"/>
  <c r="BE92" i="278"/>
  <c r="W92" i="278"/>
  <c r="L92" i="278"/>
  <c r="AL92" i="278"/>
  <c r="AZ92" i="278"/>
  <c r="V92" i="278"/>
  <c r="Z92" i="278"/>
  <c r="AI92" i="278"/>
  <c r="X92" i="278"/>
  <c r="BF92" i="278"/>
  <c r="O92" i="278"/>
  <c r="AT92" i="278"/>
  <c r="J92" i="278"/>
  <c r="AA92" i="278"/>
  <c r="P92" i="278"/>
  <c r="AE92" i="278"/>
  <c r="AK92" i="278"/>
  <c r="Y92" i="278"/>
  <c r="BH92" i="278"/>
  <c r="AX92" i="278"/>
  <c r="T92" i="278"/>
  <c r="N92" i="278"/>
  <c r="AW92" i="278"/>
  <c r="S92" i="278"/>
  <c r="H92" i="278"/>
  <c r="AU92" i="278"/>
  <c r="BA92" i="278"/>
  <c r="AG92" i="278"/>
  <c r="K92" i="278"/>
  <c r="AJ92" i="278"/>
  <c r="M92" i="278"/>
  <c r="BC92" i="278"/>
  <c r="AR92" i="278"/>
  <c r="I92" i="278"/>
  <c r="G92" i="278"/>
  <c r="Q92" i="278"/>
  <c r="BD92" i="278"/>
  <c r="AS92" i="278"/>
  <c r="AC92" i="278"/>
  <c r="BG92" i="278"/>
  <c r="AV92" i="278"/>
  <c r="U92" i="278"/>
  <c r="BB92" i="278"/>
  <c r="AH92" i="278"/>
  <c r="AM92" i="278"/>
  <c r="AB92" i="278"/>
  <c r="AY92" i="278"/>
  <c r="AN92" i="278"/>
  <c r="V91" i="284"/>
  <c r="K91" i="284"/>
  <c r="AW91" i="284"/>
  <c r="P91" i="284"/>
  <c r="M91" i="284"/>
  <c r="AC91" i="284"/>
  <c r="O91" i="284"/>
  <c r="H91" i="284"/>
  <c r="L91" i="284"/>
  <c r="Y91" i="284"/>
  <c r="AZ91" i="284"/>
  <c r="X91" i="284"/>
  <c r="AK91" i="284"/>
  <c r="Z91" i="284"/>
  <c r="AN91" i="284"/>
  <c r="BE91" i="284"/>
  <c r="BD91" i="284"/>
  <c r="AU91" i="284"/>
  <c r="Q91" i="284"/>
  <c r="BB91" i="284"/>
  <c r="AG91" i="284"/>
  <c r="R91" i="284"/>
  <c r="BG91" i="284"/>
  <c r="AS91" i="284"/>
  <c r="AF91" i="284"/>
  <c r="I91" i="284"/>
  <c r="AJ91" i="284"/>
  <c r="AY91" i="284"/>
  <c r="U91" i="284"/>
  <c r="J91" i="284"/>
  <c r="AH91" i="284"/>
  <c r="AP91" i="284"/>
  <c r="AR91" i="284"/>
  <c r="AL91" i="284"/>
  <c r="AE91" i="284"/>
  <c r="AB91" i="284"/>
  <c r="AO91" i="284"/>
  <c r="W91" i="284"/>
  <c r="AX91" i="284"/>
  <c r="AA91" i="284"/>
  <c r="AD91" i="284"/>
  <c r="BH91" i="284"/>
  <c r="S91" i="284"/>
  <c r="BF91" i="284"/>
  <c r="AQ91" i="284"/>
  <c r="AV91" i="284"/>
  <c r="AM91" i="284"/>
  <c r="AI91" i="284"/>
  <c r="G91" i="284"/>
  <c r="BC91" i="284"/>
  <c r="AT91" i="284"/>
  <c r="T91" i="284"/>
  <c r="N91" i="284"/>
  <c r="BA91" i="284"/>
  <c r="J92" i="293"/>
  <c r="N92" i="293"/>
  <c r="R92" i="293"/>
  <c r="V92" i="293"/>
  <c r="Z92" i="293"/>
  <c r="AD92" i="293"/>
  <c r="AH92" i="293"/>
  <c r="AL92" i="293"/>
  <c r="AP92" i="293"/>
  <c r="AT92" i="293"/>
  <c r="AX92" i="293"/>
  <c r="BB92" i="293"/>
  <c r="BF92" i="293"/>
  <c r="I92" i="293"/>
  <c r="M92" i="293"/>
  <c r="Q92" i="293"/>
  <c r="U92" i="293"/>
  <c r="Y92" i="293"/>
  <c r="AC92" i="293"/>
  <c r="AG92" i="293"/>
  <c r="AK92" i="293"/>
  <c r="AO92" i="293"/>
  <c r="AS92" i="293"/>
  <c r="AW92" i="293"/>
  <c r="BA92" i="293"/>
  <c r="BE92" i="293"/>
  <c r="G92" i="293"/>
  <c r="K92" i="293"/>
  <c r="S92" i="293"/>
  <c r="AA92" i="293"/>
  <c r="AI92" i="293"/>
  <c r="AQ92" i="293"/>
  <c r="AY92" i="293"/>
  <c r="BG92" i="293"/>
  <c r="H92" i="293"/>
  <c r="P92" i="293"/>
  <c r="X92" i="293"/>
  <c r="AF92" i="293"/>
  <c r="AN92" i="293"/>
  <c r="AV92" i="293"/>
  <c r="BD92" i="293"/>
  <c r="T92" i="293"/>
  <c r="AJ92" i="293"/>
  <c r="AZ92" i="293"/>
  <c r="W92" i="293"/>
  <c r="AM92" i="293"/>
  <c r="BC92" i="293"/>
  <c r="AB92" i="293"/>
  <c r="BH92" i="293"/>
  <c r="AR92" i="293"/>
  <c r="O92" i="293"/>
  <c r="AU92" i="293"/>
  <c r="AE92" i="293"/>
  <c r="L92" i="293"/>
  <c r="G67" i="278"/>
  <c r="AB68" i="278"/>
  <c r="AB69" i="278" s="1"/>
  <c r="AB72" i="278"/>
  <c r="AB91" i="278"/>
  <c r="AB84" i="278"/>
  <c r="K33" i="278"/>
  <c r="G85" i="277"/>
  <c r="G84" i="277"/>
  <c r="G74" i="277"/>
  <c r="G86" i="277"/>
  <c r="G75" i="277"/>
  <c r="G67" i="277"/>
  <c r="G72" i="277"/>
  <c r="G87" i="277"/>
  <c r="G92" i="275"/>
  <c r="G86" i="275"/>
  <c r="G85" i="275"/>
  <c r="G87" i="275" s="1"/>
  <c r="G93" i="275"/>
  <c r="G67" i="275"/>
  <c r="G90" i="275"/>
  <c r="G72" i="275"/>
  <c r="G84" i="275"/>
  <c r="G88" i="275"/>
  <c r="G76" i="275"/>
  <c r="P9" i="275"/>
  <c r="P11" i="275"/>
  <c r="G69" i="279"/>
  <c r="I65" i="279"/>
  <c r="G90" i="284"/>
  <c r="G93" i="284"/>
  <c r="G68" i="284"/>
  <c r="G92" i="284"/>
  <c r="G75" i="284"/>
  <c r="G69" i="284"/>
  <c r="G70" i="280"/>
  <c r="G73" i="280"/>
  <c r="N65" i="280"/>
  <c r="N67" i="280" s="1"/>
  <c r="K29" i="278"/>
  <c r="K35" i="278" s="1"/>
  <c r="H54" i="290"/>
  <c r="G57" i="290"/>
  <c r="G59" i="290" s="1"/>
  <c r="G62" i="290" s="1"/>
  <c r="H57" i="289"/>
  <c r="H55" i="289"/>
  <c r="G57" i="289"/>
  <c r="G59" i="289" s="1"/>
  <c r="G62" i="289" s="1"/>
  <c r="G55" i="289"/>
  <c r="AB87" i="278"/>
  <c r="AB86" i="278"/>
  <c r="AB74" i="278"/>
  <c r="AB85" i="278"/>
  <c r="AC54" i="278"/>
  <c r="AB75" i="278"/>
  <c r="H65" i="295"/>
  <c r="G67" i="295"/>
  <c r="BI85" i="279"/>
  <c r="D21" i="290"/>
  <c r="D20" i="290"/>
  <c r="D39" i="292"/>
  <c r="E31" i="285"/>
  <c r="E32" i="285"/>
  <c r="G38" i="304"/>
  <c r="I54" i="289"/>
  <c r="BI87" i="284"/>
  <c r="D23" i="295"/>
  <c r="D27" i="295" s="1"/>
  <c r="R62" i="306"/>
  <c r="BG65" i="277"/>
  <c r="AC65" i="276"/>
  <c r="AB84" i="284"/>
  <c r="AC65" i="284"/>
  <c r="H54" i="276"/>
  <c r="AC54" i="292"/>
  <c r="H54" i="275"/>
  <c r="H54" i="279"/>
  <c r="H69" i="279" s="1"/>
  <c r="D21" i="289"/>
  <c r="D23" i="290"/>
  <c r="AC64" i="292"/>
  <c r="AB66" i="292"/>
  <c r="BI84" i="293"/>
  <c r="H54" i="293"/>
  <c r="BI95" i="293"/>
  <c r="BI86" i="279"/>
  <c r="H54" i="277"/>
  <c r="H54" i="284"/>
  <c r="P18" i="277"/>
  <c r="P19" i="277" s="1"/>
  <c r="P15" i="277"/>
  <c r="D20" i="292"/>
  <c r="D21" i="292" s="1"/>
  <c r="BI75" i="292"/>
  <c r="G73" i="295"/>
  <c r="G75" i="295" s="1"/>
  <c r="G57" i="295" s="1"/>
  <c r="G59" i="295" s="1"/>
  <c r="G62" i="295" s="1"/>
  <c r="H54" i="295"/>
  <c r="G70" i="295"/>
  <c r="P14" i="277"/>
  <c r="F5" i="280"/>
  <c r="G75" i="280"/>
  <c r="G57" i="280" s="1"/>
  <c r="N23" i="292"/>
  <c r="U70" i="295"/>
  <c r="BI68" i="295"/>
  <c r="Y59" i="295"/>
  <c r="U59" i="295"/>
  <c r="F57" i="295"/>
  <c r="F59" i="295" s="1"/>
  <c r="S93" i="306"/>
  <c r="T65" i="306"/>
  <c r="T54" i="306"/>
  <c r="S57" i="306"/>
  <c r="S59" i="306" s="1"/>
  <c r="S55" i="306"/>
  <c r="P21" i="277"/>
  <c r="P22" i="277" s="1"/>
  <c r="P12" i="284"/>
  <c r="D34" i="284" s="1"/>
  <c r="P15" i="284"/>
  <c r="P8" i="275"/>
  <c r="P19" i="289"/>
  <c r="P8" i="284"/>
  <c r="B50" i="285"/>
  <c r="I28" i="279"/>
  <c r="I32" i="279" s="1"/>
  <c r="D30" i="279" s="1"/>
  <c r="B51" i="285"/>
  <c r="BI74" i="275"/>
  <c r="P10" i="275"/>
  <c r="P7" i="275"/>
  <c r="P16" i="275" s="1"/>
  <c r="J9" i="279"/>
  <c r="D33" i="279" s="1"/>
  <c r="H54" i="280"/>
  <c r="H73" i="280" s="1"/>
  <c r="D22" i="280"/>
  <c r="D23" i="280" s="1"/>
  <c r="BI69" i="293"/>
  <c r="F70" i="293"/>
  <c r="J9" i="290"/>
  <c r="H14" i="321" l="1"/>
  <c r="B14" i="321" s="1"/>
  <c r="H38" i="304"/>
  <c r="H91" i="293"/>
  <c r="H82" i="293" s="1"/>
  <c r="L91" i="293"/>
  <c r="L82" i="293" s="1"/>
  <c r="P91" i="293"/>
  <c r="P82" i="293" s="1"/>
  <c r="T91" i="293"/>
  <c r="T82" i="293" s="1"/>
  <c r="X91" i="293"/>
  <c r="AB91" i="293"/>
  <c r="AF91" i="293"/>
  <c r="AJ91" i="293"/>
  <c r="AN91" i="293"/>
  <c r="AR91" i="293"/>
  <c r="AV91" i="293"/>
  <c r="AZ91" i="293"/>
  <c r="BD91" i="293"/>
  <c r="BH91" i="293"/>
  <c r="N91" i="293"/>
  <c r="N82" i="293" s="1"/>
  <c r="R91" i="293"/>
  <c r="R82" i="293" s="1"/>
  <c r="Z91" i="293"/>
  <c r="AL91" i="293"/>
  <c r="AT91" i="293"/>
  <c r="BB91" i="293"/>
  <c r="O91" i="293"/>
  <c r="O82" i="293" s="1"/>
  <c r="S91" i="293"/>
  <c r="S82" i="293" s="1"/>
  <c r="AA91" i="293"/>
  <c r="AI91" i="293"/>
  <c r="AQ91" i="293"/>
  <c r="BC91" i="293"/>
  <c r="I91" i="293"/>
  <c r="I82" i="293" s="1"/>
  <c r="M91" i="293"/>
  <c r="M82" i="293" s="1"/>
  <c r="Q91" i="293"/>
  <c r="Q82" i="293" s="1"/>
  <c r="U91" i="293"/>
  <c r="U82" i="293" s="1"/>
  <c r="Y91" i="293"/>
  <c r="AC91" i="293"/>
  <c r="AG91" i="293"/>
  <c r="AK91" i="293"/>
  <c r="AO91" i="293"/>
  <c r="AS91" i="293"/>
  <c r="AW91" i="293"/>
  <c r="BA91" i="293"/>
  <c r="BE91" i="293"/>
  <c r="J91" i="293"/>
  <c r="J82" i="293" s="1"/>
  <c r="V91" i="293"/>
  <c r="V82" i="293" s="1"/>
  <c r="AD91" i="293"/>
  <c r="AH91" i="293"/>
  <c r="AP91" i="293"/>
  <c r="AX91" i="293"/>
  <c r="BF91" i="293"/>
  <c r="K91" i="293"/>
  <c r="K82" i="293" s="1"/>
  <c r="W91" i="293"/>
  <c r="AE91" i="293"/>
  <c r="AM91" i="293"/>
  <c r="AU91" i="293"/>
  <c r="AY91" i="293"/>
  <c r="BG91" i="293"/>
  <c r="M12" i="293"/>
  <c r="G73" i="293" s="1"/>
  <c r="G67" i="293" s="1"/>
  <c r="C31" i="285"/>
  <c r="H68" i="276"/>
  <c r="H85" i="276"/>
  <c r="H67" i="276"/>
  <c r="D29" i="285"/>
  <c r="G72" i="278"/>
  <c r="H67" i="278"/>
  <c r="M55" i="293"/>
  <c r="Q55" i="293"/>
  <c r="U55" i="293"/>
  <c r="H55" i="293"/>
  <c r="K55" i="293"/>
  <c r="L55" i="293"/>
  <c r="J55" i="293"/>
  <c r="N55" i="293"/>
  <c r="R55" i="293"/>
  <c r="V55" i="293"/>
  <c r="I55" i="293"/>
  <c r="O55" i="293"/>
  <c r="S55" i="293"/>
  <c r="G55" i="293"/>
  <c r="P55" i="293"/>
  <c r="T55" i="293"/>
  <c r="P55" i="279"/>
  <c r="L55" i="279"/>
  <c r="H55" i="279"/>
  <c r="O55" i="279"/>
  <c r="K55" i="279"/>
  <c r="G55" i="279"/>
  <c r="N55" i="279"/>
  <c r="J55" i="279"/>
  <c r="Q55" i="279"/>
  <c r="M55" i="279"/>
  <c r="I55" i="279"/>
  <c r="I79" i="280"/>
  <c r="H89" i="280"/>
  <c r="G73" i="279"/>
  <c r="G76" i="279" s="1"/>
  <c r="G67" i="279"/>
  <c r="G68" i="279" s="1"/>
  <c r="X65" i="293"/>
  <c r="W67" i="293"/>
  <c r="I54" i="282"/>
  <c r="I70" i="282" s="1"/>
  <c r="D22" i="275"/>
  <c r="W20" i="282"/>
  <c r="S79" i="282"/>
  <c r="R81" i="282"/>
  <c r="S65" i="282"/>
  <c r="R67" i="282"/>
  <c r="R73" i="282"/>
  <c r="H67" i="284"/>
  <c r="I10" i="280"/>
  <c r="I8" i="280"/>
  <c r="J26" i="293"/>
  <c r="O12" i="293" s="1"/>
  <c r="D37" i="293" s="1"/>
  <c r="C32" i="285"/>
  <c r="M13" i="293"/>
  <c r="G90" i="293" s="1"/>
  <c r="P10" i="284"/>
  <c r="D34" i="292"/>
  <c r="I85" i="292"/>
  <c r="M85" i="292"/>
  <c r="Q85" i="292"/>
  <c r="U85" i="292"/>
  <c r="Y85" i="292"/>
  <c r="G85" i="292"/>
  <c r="K85" i="292"/>
  <c r="S85" i="292"/>
  <c r="H85" i="292"/>
  <c r="T85" i="292"/>
  <c r="J85" i="292"/>
  <c r="N85" i="292"/>
  <c r="R85" i="292"/>
  <c r="V85" i="292"/>
  <c r="Z85" i="292"/>
  <c r="O85" i="292"/>
  <c r="W85" i="292"/>
  <c r="AA85" i="292"/>
  <c r="L85" i="292"/>
  <c r="P85" i="292"/>
  <c r="X85" i="292"/>
  <c r="P14" i="275"/>
  <c r="O13" i="293"/>
  <c r="D38" i="293" s="1"/>
  <c r="G70" i="284"/>
  <c r="G88" i="277"/>
  <c r="AC68" i="278"/>
  <c r="AC69" i="278" s="1"/>
  <c r="AC91" i="278"/>
  <c r="AC72" i="278"/>
  <c r="AC84" i="278"/>
  <c r="K91" i="278"/>
  <c r="G91" i="278"/>
  <c r="H91" i="278"/>
  <c r="J91" i="278"/>
  <c r="L91" i="278"/>
  <c r="I91" i="278"/>
  <c r="M91" i="278"/>
  <c r="N91" i="278"/>
  <c r="O91" i="278"/>
  <c r="P91" i="278"/>
  <c r="Q91" i="278"/>
  <c r="R91" i="278"/>
  <c r="S91" i="278"/>
  <c r="T91" i="278"/>
  <c r="U91" i="278"/>
  <c r="V91" i="278"/>
  <c r="W91" i="278"/>
  <c r="X91" i="278"/>
  <c r="Y91" i="278"/>
  <c r="Z91" i="278"/>
  <c r="AA91" i="278"/>
  <c r="D30" i="278"/>
  <c r="J17" i="278"/>
  <c r="G74" i="278"/>
  <c r="G75" i="278"/>
  <c r="H84" i="277"/>
  <c r="H75" i="277"/>
  <c r="H67" i="277"/>
  <c r="H72" i="277"/>
  <c r="H74" i="277"/>
  <c r="H85" i="277"/>
  <c r="H86" i="277"/>
  <c r="H87" i="277"/>
  <c r="H88" i="277" s="1"/>
  <c r="P20" i="277"/>
  <c r="D30" i="277"/>
  <c r="P28" i="277"/>
  <c r="D36" i="277" s="1"/>
  <c r="H88" i="275"/>
  <c r="H85" i="275"/>
  <c r="H86" i="275"/>
  <c r="H76" i="275"/>
  <c r="H93" i="275"/>
  <c r="H84" i="275"/>
  <c r="H72" i="275"/>
  <c r="H67" i="275"/>
  <c r="H92" i="275"/>
  <c r="H90" i="275"/>
  <c r="H69" i="275"/>
  <c r="J65" i="279"/>
  <c r="H93" i="284"/>
  <c r="H90" i="284"/>
  <c r="H69" i="284"/>
  <c r="H92" i="284"/>
  <c r="H68" i="284"/>
  <c r="O65" i="280"/>
  <c r="O67" i="280" s="1"/>
  <c r="H57" i="290"/>
  <c r="H59" i="290" s="1"/>
  <c r="H62" i="290" s="1"/>
  <c r="I54" i="290"/>
  <c r="J54" i="289"/>
  <c r="I57" i="289"/>
  <c r="I59" i="289" s="1"/>
  <c r="I62" i="289" s="1"/>
  <c r="I55" i="289"/>
  <c r="H59" i="289"/>
  <c r="H62" i="289" s="1"/>
  <c r="AC85" i="278"/>
  <c r="AC74" i="278"/>
  <c r="AC86" i="278"/>
  <c r="AC75" i="278"/>
  <c r="AC87" i="278"/>
  <c r="AD54" i="278"/>
  <c r="AB88" i="278"/>
  <c r="I65" i="295"/>
  <c r="H67" i="295"/>
  <c r="AM75" i="306"/>
  <c r="AM94" i="306"/>
  <c r="P75" i="306"/>
  <c r="P79" i="306" s="1"/>
  <c r="P81" i="306" s="1"/>
  <c r="P94" i="306"/>
  <c r="P97" i="306" s="1"/>
  <c r="P98" i="306" s="1"/>
  <c r="I67" i="284"/>
  <c r="D22" i="293"/>
  <c r="G39" i="304"/>
  <c r="N26" i="292"/>
  <c r="D30" i="292"/>
  <c r="D22" i="284"/>
  <c r="I54" i="284"/>
  <c r="AD54" i="292"/>
  <c r="I54" i="277"/>
  <c r="G90" i="276"/>
  <c r="BI86" i="276"/>
  <c r="I54" i="293"/>
  <c r="AD64" i="292"/>
  <c r="AC66" i="292"/>
  <c r="BH65" i="277"/>
  <c r="I54" i="295"/>
  <c r="H73" i="295"/>
  <c r="H75" i="295" s="1"/>
  <c r="H57" i="295" s="1"/>
  <c r="H59" i="295" s="1"/>
  <c r="I54" i="279"/>
  <c r="I69" i="279" s="1"/>
  <c r="D23" i="289"/>
  <c r="D22" i="289"/>
  <c r="I54" i="275"/>
  <c r="I54" i="276"/>
  <c r="AD65" i="284"/>
  <c r="AC84" i="284"/>
  <c r="AD65" i="276"/>
  <c r="U54" i="306"/>
  <c r="T57" i="306"/>
  <c r="T59" i="306" s="1"/>
  <c r="T55" i="306"/>
  <c r="T93" i="306"/>
  <c r="U65" i="306"/>
  <c r="S62" i="306"/>
  <c r="I38" i="304"/>
  <c r="H75" i="279"/>
  <c r="I75" i="279"/>
  <c r="P15" i="275"/>
  <c r="P18" i="275"/>
  <c r="P19" i="275" s="1"/>
  <c r="P21" i="275" s="1"/>
  <c r="P22" i="275" s="1"/>
  <c r="P23" i="275" s="1"/>
  <c r="P24" i="275" s="1"/>
  <c r="I54" i="280"/>
  <c r="F57" i="293"/>
  <c r="BI70" i="293"/>
  <c r="BI58" i="295"/>
  <c r="J54" i="282"/>
  <c r="J70" i="282" s="1"/>
  <c r="D74" i="304" l="1"/>
  <c r="D76" i="304"/>
  <c r="D70" i="304"/>
  <c r="D73" i="304"/>
  <c r="D75" i="304"/>
  <c r="D72" i="304"/>
  <c r="D69" i="304"/>
  <c r="D67" i="304"/>
  <c r="D68" i="304"/>
  <c r="D71" i="304"/>
  <c r="D66" i="304"/>
  <c r="H15" i="321"/>
  <c r="B15" i="321" s="1"/>
  <c r="H39" i="304"/>
  <c r="G96" i="293"/>
  <c r="G100" i="293"/>
  <c r="D32" i="285"/>
  <c r="D31" i="285"/>
  <c r="E38" i="285"/>
  <c r="H73" i="293"/>
  <c r="H67" i="293" s="1"/>
  <c r="I69" i="276"/>
  <c r="I85" i="276"/>
  <c r="I67" i="276"/>
  <c r="I68" i="276"/>
  <c r="I67" i="278"/>
  <c r="H72" i="278"/>
  <c r="AA55" i="278"/>
  <c r="W55" i="278"/>
  <c r="S55" i="278"/>
  <c r="O55" i="278"/>
  <c r="K55" i="278"/>
  <c r="G55" i="278"/>
  <c r="Z55" i="278"/>
  <c r="V55" i="278"/>
  <c r="R55" i="278"/>
  <c r="N55" i="278"/>
  <c r="J55" i="278"/>
  <c r="Y55" i="278"/>
  <c r="U55" i="278"/>
  <c r="Q55" i="278"/>
  <c r="M55" i="278"/>
  <c r="I55" i="278"/>
  <c r="X55" i="278"/>
  <c r="T55" i="278"/>
  <c r="P55" i="278"/>
  <c r="L55" i="278"/>
  <c r="H55" i="278"/>
  <c r="J79" i="280"/>
  <c r="I89" i="280"/>
  <c r="AA55" i="292"/>
  <c r="W55" i="292"/>
  <c r="S55" i="292"/>
  <c r="O55" i="292"/>
  <c r="K55" i="292"/>
  <c r="G55" i="292"/>
  <c r="Z55" i="292"/>
  <c r="V55" i="292"/>
  <c r="R55" i="292"/>
  <c r="N55" i="292"/>
  <c r="J55" i="292"/>
  <c r="Y55" i="292"/>
  <c r="U55" i="292"/>
  <c r="Q55" i="292"/>
  <c r="M55" i="292"/>
  <c r="I55" i="292"/>
  <c r="X55" i="292"/>
  <c r="T55" i="292"/>
  <c r="P55" i="292"/>
  <c r="L55" i="292"/>
  <c r="H55" i="292"/>
  <c r="D22" i="279"/>
  <c r="D23" i="279" s="1"/>
  <c r="O15" i="280"/>
  <c r="I15" i="280"/>
  <c r="K15" i="280" s="1"/>
  <c r="D20" i="279"/>
  <c r="D21" i="279" s="1"/>
  <c r="H73" i="284"/>
  <c r="H75" i="284" s="1"/>
  <c r="H77" i="284" s="1"/>
  <c r="H78" i="284" s="1"/>
  <c r="H73" i="279"/>
  <c r="H76" i="279" s="1"/>
  <c r="H67" i="279"/>
  <c r="D23" i="293"/>
  <c r="D27" i="293" s="1"/>
  <c r="D26" i="293"/>
  <c r="Y65" i="293"/>
  <c r="X67" i="293"/>
  <c r="D40" i="304"/>
  <c r="D39" i="304"/>
  <c r="I90" i="293"/>
  <c r="I100" i="293" s="1"/>
  <c r="AW90" i="293"/>
  <c r="AW100" i="293" s="1"/>
  <c r="BA90" i="293"/>
  <c r="BA100" i="293" s="1"/>
  <c r="BE90" i="293"/>
  <c r="BE100" i="293" s="1"/>
  <c r="AT90" i="293"/>
  <c r="AT100" i="293" s="1"/>
  <c r="AX90" i="293"/>
  <c r="AX100" i="293" s="1"/>
  <c r="BB90" i="293"/>
  <c r="BB100" i="293" s="1"/>
  <c r="BF90" i="293"/>
  <c r="BF100" i="293" s="1"/>
  <c r="AU90" i="293"/>
  <c r="AU100" i="293" s="1"/>
  <c r="AY90" i="293"/>
  <c r="AY100" i="293" s="1"/>
  <c r="BC90" i="293"/>
  <c r="BC100" i="293" s="1"/>
  <c r="BG90" i="293"/>
  <c r="BG100" i="293" s="1"/>
  <c r="H90" i="293"/>
  <c r="H100" i="293" s="1"/>
  <c r="AV90" i="293"/>
  <c r="AV100" i="293" s="1"/>
  <c r="AZ90" i="293"/>
  <c r="AZ100" i="293" s="1"/>
  <c r="BD90" i="293"/>
  <c r="BD100" i="293" s="1"/>
  <c r="BH90" i="293"/>
  <c r="BH100" i="293" s="1"/>
  <c r="T79" i="282"/>
  <c r="S81" i="282"/>
  <c r="T65" i="282"/>
  <c r="S73" i="282"/>
  <c r="S67" i="282"/>
  <c r="G23" i="286"/>
  <c r="G5" i="286" s="1"/>
  <c r="G6" i="286" s="1"/>
  <c r="G24" i="286"/>
  <c r="D38" i="304"/>
  <c r="I73" i="293"/>
  <c r="I67" i="293" s="1"/>
  <c r="N13" i="293"/>
  <c r="D36" i="292"/>
  <c r="K87" i="292"/>
  <c r="O87" i="292"/>
  <c r="S87" i="292"/>
  <c r="W87" i="292"/>
  <c r="AA87" i="292"/>
  <c r="M87" i="292"/>
  <c r="Q87" i="292"/>
  <c r="Y87" i="292"/>
  <c r="J87" i="292"/>
  <c r="R87" i="292"/>
  <c r="Z87" i="292"/>
  <c r="H87" i="292"/>
  <c r="L87" i="292"/>
  <c r="P87" i="292"/>
  <c r="T87" i="292"/>
  <c r="X87" i="292"/>
  <c r="I87" i="292"/>
  <c r="U87" i="292"/>
  <c r="G87" i="292"/>
  <c r="N87" i="292"/>
  <c r="V87" i="292"/>
  <c r="D30" i="275"/>
  <c r="P28" i="275"/>
  <c r="D36" i="275" s="1"/>
  <c r="N12" i="293"/>
  <c r="D36" i="278"/>
  <c r="K34" i="278"/>
  <c r="D22" i="278"/>
  <c r="AD68" i="278"/>
  <c r="AD69" i="278" s="1"/>
  <c r="AD84" i="278"/>
  <c r="AD91" i="278"/>
  <c r="AD72" i="278"/>
  <c r="D33" i="277"/>
  <c r="P25" i="277"/>
  <c r="P26" i="277" s="1"/>
  <c r="H91" i="277" s="1"/>
  <c r="I87" i="277"/>
  <c r="I74" i="277"/>
  <c r="I67" i="277"/>
  <c r="I72" i="277"/>
  <c r="I84" i="277"/>
  <c r="I85" i="277"/>
  <c r="I86" i="277"/>
  <c r="I75" i="277"/>
  <c r="I92" i="275"/>
  <c r="I88" i="275"/>
  <c r="I72" i="275"/>
  <c r="I86" i="275"/>
  <c r="I93" i="275"/>
  <c r="I84" i="275"/>
  <c r="I67" i="275"/>
  <c r="I90" i="275"/>
  <c r="I85" i="275"/>
  <c r="I69" i="275"/>
  <c r="I76" i="275"/>
  <c r="K65" i="279"/>
  <c r="H70" i="284"/>
  <c r="I92" i="284"/>
  <c r="I68" i="284"/>
  <c r="I69" i="284"/>
  <c r="I93" i="284"/>
  <c r="I90" i="284"/>
  <c r="I73" i="280"/>
  <c r="P65" i="280"/>
  <c r="P67" i="280" s="1"/>
  <c r="F77" i="284"/>
  <c r="F78" i="284" s="1"/>
  <c r="F95" i="278"/>
  <c r="F77" i="277"/>
  <c r="F78" i="277" s="1"/>
  <c r="F77" i="278"/>
  <c r="F78" i="278" s="1"/>
  <c r="F57" i="278" s="1"/>
  <c r="AB95" i="278"/>
  <c r="AB96" i="278" s="1"/>
  <c r="AB77" i="278"/>
  <c r="AB78" i="278" s="1"/>
  <c r="AB57" i="278" s="1"/>
  <c r="G77" i="278"/>
  <c r="G78" i="278" s="1"/>
  <c r="AC95" i="278"/>
  <c r="AC96" i="278" s="1"/>
  <c r="AC77" i="278"/>
  <c r="AC78" i="278" s="1"/>
  <c r="P95" i="278"/>
  <c r="P96" i="278" s="1"/>
  <c r="P87" i="278"/>
  <c r="P88" i="278" s="1"/>
  <c r="P89" i="278" s="1"/>
  <c r="H77" i="277"/>
  <c r="H78" i="277" s="1"/>
  <c r="H57" i="277" s="1"/>
  <c r="J54" i="290"/>
  <c r="I57" i="290"/>
  <c r="I59" i="290" s="1"/>
  <c r="I62" i="290" s="1"/>
  <c r="J55" i="289"/>
  <c r="J57" i="289"/>
  <c r="J59" i="289" s="1"/>
  <c r="J62" i="289" s="1"/>
  <c r="K54" i="289"/>
  <c r="AD86" i="278"/>
  <c r="AD85" i="278"/>
  <c r="AD87" i="278"/>
  <c r="AD75" i="278"/>
  <c r="AE54" i="278"/>
  <c r="AD74" i="278"/>
  <c r="AC88" i="278"/>
  <c r="J65" i="295"/>
  <c r="I67" i="295"/>
  <c r="BA75" i="306"/>
  <c r="BA94" i="306"/>
  <c r="Q94" i="306"/>
  <c r="Q97" i="306" s="1"/>
  <c r="Q98" i="306" s="1"/>
  <c r="Q75" i="306"/>
  <c r="Q79" i="306" s="1"/>
  <c r="Q81" i="306" s="1"/>
  <c r="AW75" i="306"/>
  <c r="AW94" i="306"/>
  <c r="AT75" i="306"/>
  <c r="AT94" i="306"/>
  <c r="BH75" i="306"/>
  <c r="BH94" i="306"/>
  <c r="O94" i="306"/>
  <c r="O97" i="306" s="1"/>
  <c r="O98" i="306" s="1"/>
  <c r="O75" i="306"/>
  <c r="O79" i="306" s="1"/>
  <c r="O81" i="306" s="1"/>
  <c r="AR94" i="306"/>
  <c r="AR75" i="306"/>
  <c r="K94" i="306"/>
  <c r="K97" i="306" s="1"/>
  <c r="K98" i="306" s="1"/>
  <c r="K75" i="306"/>
  <c r="K79" i="306" s="1"/>
  <c r="K81" i="306" s="1"/>
  <c r="BE94" i="306"/>
  <c r="BE75" i="306"/>
  <c r="J94" i="306"/>
  <c r="J97" i="306" s="1"/>
  <c r="J98" i="306" s="1"/>
  <c r="J75" i="306"/>
  <c r="J79" i="306" s="1"/>
  <c r="J81" i="306" s="1"/>
  <c r="AV75" i="306"/>
  <c r="AV94" i="306"/>
  <c r="AG75" i="306"/>
  <c r="AG94" i="306"/>
  <c r="AK75" i="306"/>
  <c r="AK94" i="306"/>
  <c r="U75" i="306"/>
  <c r="U79" i="306" s="1"/>
  <c r="U81" i="306" s="1"/>
  <c r="U94" i="306"/>
  <c r="T94" i="306"/>
  <c r="T97" i="306" s="1"/>
  <c r="T98" i="306" s="1"/>
  <c r="T75" i="306"/>
  <c r="T79" i="306" s="1"/>
  <c r="T81" i="306" s="1"/>
  <c r="AD94" i="306"/>
  <c r="AD75" i="306"/>
  <c r="AI75" i="306"/>
  <c r="AI94" i="306"/>
  <c r="AA94" i="306"/>
  <c r="AA75" i="306"/>
  <c r="AA79" i="306" s="1"/>
  <c r="AA81" i="306" s="1"/>
  <c r="AB94" i="306"/>
  <c r="AB75" i="306"/>
  <c r="G94" i="306"/>
  <c r="G97" i="306" s="1"/>
  <c r="G98" i="306" s="1"/>
  <c r="G75" i="306"/>
  <c r="G79" i="306" s="1"/>
  <c r="G81" i="306" s="1"/>
  <c r="V75" i="306"/>
  <c r="V79" i="306" s="1"/>
  <c r="V81" i="306" s="1"/>
  <c r="V94" i="306"/>
  <c r="H94" i="306"/>
  <c r="H97" i="306" s="1"/>
  <c r="H98" i="306" s="1"/>
  <c r="H75" i="306"/>
  <c r="H79" i="306" s="1"/>
  <c r="H81" i="306" s="1"/>
  <c r="AC75" i="306"/>
  <c r="AC94" i="306"/>
  <c r="AE75" i="306"/>
  <c r="AE94" i="306"/>
  <c r="O87" i="279"/>
  <c r="O88" i="279" s="1"/>
  <c r="BC75" i="306"/>
  <c r="BC94" i="306"/>
  <c r="Y75" i="306"/>
  <c r="Y79" i="306" s="1"/>
  <c r="Y81" i="306" s="1"/>
  <c r="Y94" i="306"/>
  <c r="W75" i="306"/>
  <c r="W79" i="306" s="1"/>
  <c r="W81" i="306" s="1"/>
  <c r="W94" i="306"/>
  <c r="R75" i="306"/>
  <c r="R79" i="306" s="1"/>
  <c r="R81" i="306" s="1"/>
  <c r="R94" i="306"/>
  <c r="R97" i="306" s="1"/>
  <c r="R98" i="306" s="1"/>
  <c r="AH94" i="306"/>
  <c r="AH75" i="306"/>
  <c r="AN94" i="306"/>
  <c r="AN75" i="306"/>
  <c r="I94" i="306"/>
  <c r="I97" i="306" s="1"/>
  <c r="I98" i="306" s="1"/>
  <c r="I75" i="306"/>
  <c r="I79" i="306" s="1"/>
  <c r="I81" i="306" s="1"/>
  <c r="AZ94" i="306"/>
  <c r="AZ75" i="306"/>
  <c r="BB75" i="306"/>
  <c r="BB94" i="306"/>
  <c r="Z94" i="306"/>
  <c r="Z75" i="306"/>
  <c r="Z79" i="306" s="1"/>
  <c r="Z81" i="306" s="1"/>
  <c r="M94" i="306"/>
  <c r="M97" i="306" s="1"/>
  <c r="M98" i="306" s="1"/>
  <c r="M75" i="306"/>
  <c r="M79" i="306" s="1"/>
  <c r="M81" i="306" s="1"/>
  <c r="AL75" i="306"/>
  <c r="AL94" i="306"/>
  <c r="BG94" i="306"/>
  <c r="BG75" i="306"/>
  <c r="BF94" i="306"/>
  <c r="BF75" i="306"/>
  <c r="AP75" i="306"/>
  <c r="AP94" i="306"/>
  <c r="X94" i="306"/>
  <c r="X75" i="306"/>
  <c r="X79" i="306" s="1"/>
  <c r="X81" i="306" s="1"/>
  <c r="AS94" i="306"/>
  <c r="AS75" i="306"/>
  <c r="S94" i="306"/>
  <c r="S97" i="306" s="1"/>
  <c r="S98" i="306" s="1"/>
  <c r="S75" i="306"/>
  <c r="S79" i="306" s="1"/>
  <c r="S81" i="306" s="1"/>
  <c r="AO94" i="306"/>
  <c r="AO75" i="306"/>
  <c r="AQ94" i="306"/>
  <c r="AQ75" i="306"/>
  <c r="N75" i="306"/>
  <c r="N79" i="306" s="1"/>
  <c r="N81" i="306" s="1"/>
  <c r="N94" i="306"/>
  <c r="N97" i="306" s="1"/>
  <c r="N98" i="306" s="1"/>
  <c r="AY94" i="306"/>
  <c r="AY75" i="306"/>
  <c r="BD94" i="306"/>
  <c r="BD75" i="306"/>
  <c r="AU75" i="306"/>
  <c r="AU94" i="306"/>
  <c r="F79" i="306"/>
  <c r="F97" i="306"/>
  <c r="AF75" i="306"/>
  <c r="AF94" i="306"/>
  <c r="AX94" i="306"/>
  <c r="AX75" i="306"/>
  <c r="AJ75" i="306"/>
  <c r="AJ94" i="306"/>
  <c r="L94" i="306"/>
  <c r="L97" i="306" s="1"/>
  <c r="L98" i="306" s="1"/>
  <c r="L75" i="306"/>
  <c r="L79" i="306" s="1"/>
  <c r="L81" i="306" s="1"/>
  <c r="J90" i="293"/>
  <c r="J100" i="293" s="1"/>
  <c r="H70" i="276"/>
  <c r="G40" i="304"/>
  <c r="H87" i="275"/>
  <c r="AE54" i="292"/>
  <c r="J54" i="275"/>
  <c r="AD84" i="284"/>
  <c r="AE65" i="284"/>
  <c r="J54" i="279"/>
  <c r="J69" i="279" s="1"/>
  <c r="H62" i="295"/>
  <c r="J54" i="284"/>
  <c r="J54" i="293"/>
  <c r="AE65" i="276"/>
  <c r="J54" i="276"/>
  <c r="I73" i="295"/>
  <c r="I75" i="295" s="1"/>
  <c r="J54" i="295"/>
  <c r="AE64" i="292"/>
  <c r="AD66" i="292"/>
  <c r="J54" i="277"/>
  <c r="T62" i="306"/>
  <c r="U93" i="306"/>
  <c r="V65" i="306"/>
  <c r="U57" i="306"/>
  <c r="U59" i="306" s="1"/>
  <c r="V54" i="306"/>
  <c r="U55" i="306"/>
  <c r="H75" i="280"/>
  <c r="H57" i="280" s="1"/>
  <c r="O78" i="276"/>
  <c r="O79" i="276" s="1"/>
  <c r="O88" i="282"/>
  <c r="T78" i="276"/>
  <c r="T79" i="276" s="1"/>
  <c r="T88" i="282"/>
  <c r="AR78" i="292"/>
  <c r="AQ78" i="292"/>
  <c r="Z88" i="282"/>
  <c r="Z78" i="276"/>
  <c r="Z79" i="276" s="1"/>
  <c r="BE78" i="292"/>
  <c r="AA78" i="276"/>
  <c r="AA79" i="276" s="1"/>
  <c r="AA88" i="282"/>
  <c r="AU78" i="292"/>
  <c r="R78" i="276"/>
  <c r="R79" i="276" s="1"/>
  <c r="R88" i="282"/>
  <c r="AM78" i="292"/>
  <c r="AT78" i="292"/>
  <c r="P88" i="282"/>
  <c r="P78" i="276"/>
  <c r="P79" i="276" s="1"/>
  <c r="AK78" i="292"/>
  <c r="K78" i="276"/>
  <c r="K79" i="276" s="1"/>
  <c r="K88" i="282"/>
  <c r="BD78" i="292"/>
  <c r="AS78" i="292"/>
  <c r="BB78" i="292"/>
  <c r="AW78" i="292"/>
  <c r="S78" i="276"/>
  <c r="S79" i="276" s="1"/>
  <c r="S88" i="282"/>
  <c r="AL78" i="292"/>
  <c r="AB95" i="279"/>
  <c r="AB96" i="279" s="1"/>
  <c r="AB59" i="279" s="1"/>
  <c r="AB78" i="276"/>
  <c r="AB79" i="276" s="1"/>
  <c r="AB78" i="292"/>
  <c r="AB79" i="292" s="1"/>
  <c r="AB57" i="292" s="1"/>
  <c r="AO78" i="292"/>
  <c r="Y88" i="282"/>
  <c r="Y78" i="276"/>
  <c r="Y79" i="276" s="1"/>
  <c r="N88" i="282"/>
  <c r="N78" i="276"/>
  <c r="N79" i="276" s="1"/>
  <c r="Q78" i="276"/>
  <c r="Q79" i="276" s="1"/>
  <c r="Q88" i="282"/>
  <c r="AC95" i="279"/>
  <c r="AC96" i="279" s="1"/>
  <c r="AC59" i="279" s="1"/>
  <c r="AC78" i="292"/>
  <c r="AC79" i="292" s="1"/>
  <c r="AC57" i="292" s="1"/>
  <c r="BC78" i="292"/>
  <c r="J78" i="276"/>
  <c r="J79" i="276" s="1"/>
  <c r="J88" i="282"/>
  <c r="AJ78" i="292"/>
  <c r="BH78" i="292"/>
  <c r="M78" i="276"/>
  <c r="M79" i="276" s="1"/>
  <c r="M88" i="282"/>
  <c r="L88" i="282"/>
  <c r="L78" i="276"/>
  <c r="L79" i="276" s="1"/>
  <c r="AP78" i="292"/>
  <c r="AN78" i="292"/>
  <c r="I88" i="282"/>
  <c r="I78" i="276"/>
  <c r="I79" i="276" s="1"/>
  <c r="V78" i="276"/>
  <c r="V79" i="276" s="1"/>
  <c r="V88" i="282"/>
  <c r="AE78" i="292"/>
  <c r="BA78" i="292"/>
  <c r="W78" i="276"/>
  <c r="W79" i="276" s="1"/>
  <c r="W88" i="282"/>
  <c r="AF78" i="292"/>
  <c r="AD78" i="292"/>
  <c r="AD79" i="292" s="1"/>
  <c r="AD57" i="292" s="1"/>
  <c r="AD95" i="279"/>
  <c r="AD96" i="279" s="1"/>
  <c r="AD59" i="279" s="1"/>
  <c r="F95" i="279"/>
  <c r="F96" i="279" s="1"/>
  <c r="F59" i="279" s="1"/>
  <c r="F94" i="275"/>
  <c r="F95" i="275" s="1"/>
  <c r="F58" i="275" s="1"/>
  <c r="F77" i="275"/>
  <c r="F96" i="292"/>
  <c r="F97" i="292" s="1"/>
  <c r="F97" i="276"/>
  <c r="F106" i="280"/>
  <c r="F107" i="280" s="1"/>
  <c r="F58" i="280" s="1"/>
  <c r="F94" i="284"/>
  <c r="F95" i="284" s="1"/>
  <c r="F58" i="284" s="1"/>
  <c r="F78" i="292"/>
  <c r="F79" i="292" s="1"/>
  <c r="F96" i="293"/>
  <c r="F97" i="293" s="1"/>
  <c r="F58" i="293" s="1"/>
  <c r="F105" i="282"/>
  <c r="F106" i="282" s="1"/>
  <c r="F59" i="282" s="1"/>
  <c r="AI78" i="292"/>
  <c r="X78" i="276"/>
  <c r="X79" i="276" s="1"/>
  <c r="X88" i="282"/>
  <c r="AZ78" i="292"/>
  <c r="AH78" i="292"/>
  <c r="AX78" i="292"/>
  <c r="AV78" i="292"/>
  <c r="AY78" i="292"/>
  <c r="AG78" i="292"/>
  <c r="BF78" i="292"/>
  <c r="G77" i="284"/>
  <c r="G77" i="275"/>
  <c r="G78" i="275" s="1"/>
  <c r="G94" i="284"/>
  <c r="G95" i="284" s="1"/>
  <c r="G58" i="284" s="1"/>
  <c r="G78" i="276"/>
  <c r="G79" i="276" s="1"/>
  <c r="G57" i="276" s="1"/>
  <c r="G89" i="277"/>
  <c r="G97" i="276"/>
  <c r="G98" i="276" s="1"/>
  <c r="G58" i="276" s="1"/>
  <c r="G77" i="277"/>
  <c r="G78" i="277" s="1"/>
  <c r="G57" i="277" s="1"/>
  <c r="BG78" i="292"/>
  <c r="H94" i="284"/>
  <c r="H95" i="284" s="1"/>
  <c r="H58" i="284" s="1"/>
  <c r="H77" i="275"/>
  <c r="H78" i="275" s="1"/>
  <c r="H78" i="276"/>
  <c r="H79" i="276" s="1"/>
  <c r="H57" i="276" s="1"/>
  <c r="H88" i="282"/>
  <c r="U88" i="282"/>
  <c r="U78" i="276"/>
  <c r="U79" i="276" s="1"/>
  <c r="I39" i="304"/>
  <c r="F70" i="292"/>
  <c r="BI69" i="292"/>
  <c r="D22" i="276"/>
  <c r="BI77" i="276"/>
  <c r="P20" i="275"/>
  <c r="F57" i="275"/>
  <c r="G75" i="279"/>
  <c r="J54" i="280"/>
  <c r="F62" i="295"/>
  <c r="K54" i="282"/>
  <c r="K70" i="282" s="1"/>
  <c r="G95" i="280" l="1"/>
  <c r="I95" i="280"/>
  <c r="H16" i="321"/>
  <c r="B16" i="321" s="1"/>
  <c r="H40" i="304"/>
  <c r="S15" i="280"/>
  <c r="Q15" i="280"/>
  <c r="H95" i="280"/>
  <c r="I96" i="293"/>
  <c r="J96" i="293"/>
  <c r="H96" i="293"/>
  <c r="J67" i="276"/>
  <c r="J68" i="276"/>
  <c r="J85" i="276"/>
  <c r="J69" i="276"/>
  <c r="H74" i="278"/>
  <c r="H75" i="278"/>
  <c r="H77" i="278" s="1"/>
  <c r="J67" i="278"/>
  <c r="I72" i="278"/>
  <c r="P15" i="280"/>
  <c r="T15" i="280"/>
  <c r="R15" i="280"/>
  <c r="N15" i="280"/>
  <c r="H98" i="280" s="1"/>
  <c r="H85" i="280" s="1"/>
  <c r="M15" i="280"/>
  <c r="H97" i="280" s="1"/>
  <c r="L15" i="280"/>
  <c r="I96" i="280" s="1"/>
  <c r="S91" i="277"/>
  <c r="S95" i="277" s="1"/>
  <c r="S96" i="277" s="1"/>
  <c r="AW91" i="277"/>
  <c r="AW95" i="277" s="1"/>
  <c r="AW96" i="277" s="1"/>
  <c r="AG91" i="277"/>
  <c r="AG95" i="277" s="1"/>
  <c r="AG96" i="277" s="1"/>
  <c r="J15" i="280"/>
  <c r="K79" i="280"/>
  <c r="J89" i="280"/>
  <c r="I73" i="284"/>
  <c r="I75" i="284" s="1"/>
  <c r="I77" i="284" s="1"/>
  <c r="I78" i="284" s="1"/>
  <c r="I67" i="279"/>
  <c r="I73" i="279"/>
  <c r="I76" i="279" s="1"/>
  <c r="I77" i="279" s="1"/>
  <c r="I78" i="279" s="1"/>
  <c r="D41" i="304"/>
  <c r="J95" i="280" s="1"/>
  <c r="J67" i="284"/>
  <c r="Z65" i="293"/>
  <c r="Y67" i="293"/>
  <c r="I81" i="293"/>
  <c r="I86" i="293" s="1"/>
  <c r="G81" i="293"/>
  <c r="G86" i="293" s="1"/>
  <c r="H81" i="293"/>
  <c r="H86" i="293" s="1"/>
  <c r="U79" i="282"/>
  <c r="T81" i="282"/>
  <c r="U65" i="282"/>
  <c r="T73" i="282"/>
  <c r="T67" i="282"/>
  <c r="W15" i="280"/>
  <c r="I34" i="280" s="1"/>
  <c r="D30" i="280" s="1"/>
  <c r="J81" i="293"/>
  <c r="J86" i="293" s="1"/>
  <c r="J73" i="293"/>
  <c r="J67" i="293" s="1"/>
  <c r="O91" i="277"/>
  <c r="O95" i="277" s="1"/>
  <c r="O96" i="277" s="1"/>
  <c r="J91" i="277"/>
  <c r="J95" i="277" s="1"/>
  <c r="J96" i="277" s="1"/>
  <c r="AN91" i="277"/>
  <c r="AN95" i="277" s="1"/>
  <c r="AN96" i="277" s="1"/>
  <c r="P27" i="277"/>
  <c r="BI55" i="292"/>
  <c r="C14" i="292" s="1"/>
  <c r="C14" i="285" s="1"/>
  <c r="G91" i="277"/>
  <c r="D22" i="277" s="1"/>
  <c r="D26" i="277" s="1"/>
  <c r="AZ91" i="277"/>
  <c r="AZ95" i="277" s="1"/>
  <c r="AZ96" i="277" s="1"/>
  <c r="BB91" i="277"/>
  <c r="BB95" i="277" s="1"/>
  <c r="BB96" i="277" s="1"/>
  <c r="L91" i="277"/>
  <c r="L95" i="277" s="1"/>
  <c r="L96" i="277" s="1"/>
  <c r="AB91" i="277"/>
  <c r="AB95" i="277" s="1"/>
  <c r="AB96" i="277" s="1"/>
  <c r="AT91" i="277"/>
  <c r="AT95" i="277" s="1"/>
  <c r="AT96" i="277" s="1"/>
  <c r="AS91" i="277"/>
  <c r="AS95" i="277" s="1"/>
  <c r="AS96" i="277" s="1"/>
  <c r="R91" i="277"/>
  <c r="R95" i="277" s="1"/>
  <c r="R96" i="277" s="1"/>
  <c r="AA91" i="277"/>
  <c r="AA95" i="277" s="1"/>
  <c r="AA96" i="277" s="1"/>
  <c r="AY91" i="277"/>
  <c r="AY95" i="277" s="1"/>
  <c r="AY96" i="277" s="1"/>
  <c r="AH91" i="277"/>
  <c r="AH95" i="277" s="1"/>
  <c r="AH96" i="277" s="1"/>
  <c r="BA91" i="277"/>
  <c r="BA95" i="277" s="1"/>
  <c r="BA96" i="277" s="1"/>
  <c r="H75" i="293"/>
  <c r="H57" i="293" s="1"/>
  <c r="G75" i="293"/>
  <c r="G57" i="293" s="1"/>
  <c r="BI87" i="292"/>
  <c r="K91" i="277"/>
  <c r="K95" i="277" s="1"/>
  <c r="K96" i="277" s="1"/>
  <c r="AO91" i="277"/>
  <c r="AO95" i="277" s="1"/>
  <c r="AO96" i="277" s="1"/>
  <c r="N91" i="277"/>
  <c r="N95" i="277" s="1"/>
  <c r="N96" i="277" s="1"/>
  <c r="AM91" i="277"/>
  <c r="AM95" i="277" s="1"/>
  <c r="AM96" i="277" s="1"/>
  <c r="I91" i="277"/>
  <c r="I95" i="277" s="1"/>
  <c r="I96" i="277" s="1"/>
  <c r="V91" i="277"/>
  <c r="V95" i="277" s="1"/>
  <c r="V96" i="277" s="1"/>
  <c r="Z91" i="277"/>
  <c r="Z95" i="277" s="1"/>
  <c r="Z96" i="277" s="1"/>
  <c r="I75" i="293"/>
  <c r="I57" i="293" s="1"/>
  <c r="G78" i="284"/>
  <c r="G57" i="284" s="1"/>
  <c r="G59" i="284" s="1"/>
  <c r="G62" i="284" s="1"/>
  <c r="AD95" i="278"/>
  <c r="AD96" i="278" s="1"/>
  <c r="AE68" i="278"/>
  <c r="AE69" i="278" s="1"/>
  <c r="AE84" i="278"/>
  <c r="AE91" i="278"/>
  <c r="AE95" i="278" s="1"/>
  <c r="AE96" i="278" s="1"/>
  <c r="K68" i="278"/>
  <c r="L68" i="278"/>
  <c r="L69" i="278" s="1"/>
  <c r="G68" i="278"/>
  <c r="H68" i="278"/>
  <c r="H69" i="278" s="1"/>
  <c r="J68" i="278"/>
  <c r="I68" i="278"/>
  <c r="M68" i="278"/>
  <c r="N68" i="278"/>
  <c r="N69" i="278" s="1"/>
  <c r="O68" i="278"/>
  <c r="O69" i="278" s="1"/>
  <c r="P68" i="278"/>
  <c r="Q68" i="278"/>
  <c r="R68" i="278"/>
  <c r="R69" i="278" s="1"/>
  <c r="S68" i="278"/>
  <c r="T68" i="278"/>
  <c r="U68" i="278"/>
  <c r="V68" i="278"/>
  <c r="W68" i="278"/>
  <c r="X68" i="278"/>
  <c r="X69" i="278" s="1"/>
  <c r="Y68" i="278"/>
  <c r="Z68" i="278"/>
  <c r="AA68" i="278"/>
  <c r="AA69" i="278" s="1"/>
  <c r="J86" i="277"/>
  <c r="J72" i="277"/>
  <c r="J84" i="277"/>
  <c r="J85" i="277"/>
  <c r="J74" i="277"/>
  <c r="J67" i="277"/>
  <c r="J87" i="277"/>
  <c r="J75" i="277"/>
  <c r="J77" i="277" s="1"/>
  <c r="W91" i="277"/>
  <c r="W95" i="277" s="1"/>
  <c r="W96" i="277" s="1"/>
  <c r="AJ91" i="277"/>
  <c r="AJ95" i="277" s="1"/>
  <c r="AJ96" i="277" s="1"/>
  <c r="AE91" i="277"/>
  <c r="AE95" i="277" s="1"/>
  <c r="AE96" i="277" s="1"/>
  <c r="AX91" i="277"/>
  <c r="AX95" i="277" s="1"/>
  <c r="AX96" i="277" s="1"/>
  <c r="X91" i="277"/>
  <c r="X95" i="277" s="1"/>
  <c r="X96" i="277" s="1"/>
  <c r="M91" i="277"/>
  <c r="M95" i="277" s="1"/>
  <c r="M96" i="277" s="1"/>
  <c r="AK91" i="277"/>
  <c r="AK95" i="277" s="1"/>
  <c r="AK96" i="277" s="1"/>
  <c r="AP91" i="277"/>
  <c r="AP95" i="277" s="1"/>
  <c r="AP96" i="277" s="1"/>
  <c r="U91" i="277"/>
  <c r="U95" i="277" s="1"/>
  <c r="U96" i="277" s="1"/>
  <c r="AQ91" i="277"/>
  <c r="AQ95" i="277" s="1"/>
  <c r="AQ96" i="277" s="1"/>
  <c r="AR91" i="277"/>
  <c r="AR95" i="277" s="1"/>
  <c r="AR96" i="277" s="1"/>
  <c r="T91" i="277"/>
  <c r="T95" i="277" s="1"/>
  <c r="T96" i="277" s="1"/>
  <c r="BC91" i="277"/>
  <c r="BC95" i="277" s="1"/>
  <c r="BC96" i="277" s="1"/>
  <c r="BD91" i="277"/>
  <c r="BD95" i="277" s="1"/>
  <c r="BD96" i="277" s="1"/>
  <c r="Q91" i="277"/>
  <c r="Q95" i="277" s="1"/>
  <c r="Q96" i="277" s="1"/>
  <c r="AF91" i="277"/>
  <c r="AF95" i="277" s="1"/>
  <c r="AF96" i="277" s="1"/>
  <c r="P91" i="277"/>
  <c r="P95" i="277" s="1"/>
  <c r="P96" i="277" s="1"/>
  <c r="AD91" i="277"/>
  <c r="AD95" i="277" s="1"/>
  <c r="AD96" i="277" s="1"/>
  <c r="AU91" i="277"/>
  <c r="AU95" i="277" s="1"/>
  <c r="AU96" i="277" s="1"/>
  <c r="AI91" i="277"/>
  <c r="AI95" i="277" s="1"/>
  <c r="AI96" i="277" s="1"/>
  <c r="AL91" i="277"/>
  <c r="AL95" i="277" s="1"/>
  <c r="AL96" i="277" s="1"/>
  <c r="Y91" i="277"/>
  <c r="Y95" i="277" s="1"/>
  <c r="Y96" i="277" s="1"/>
  <c r="AV91" i="277"/>
  <c r="AV95" i="277" s="1"/>
  <c r="AV96" i="277" s="1"/>
  <c r="BE91" i="277"/>
  <c r="BE95" i="277" s="1"/>
  <c r="BE96" i="277" s="1"/>
  <c r="AC91" i="277"/>
  <c r="AC95" i="277" s="1"/>
  <c r="AC96" i="277" s="1"/>
  <c r="I88" i="277"/>
  <c r="I89" i="277" s="1"/>
  <c r="BF91" i="277"/>
  <c r="BF95" i="277" s="1"/>
  <c r="BF96" i="277" s="1"/>
  <c r="BG91" i="277"/>
  <c r="BG95" i="277" s="1"/>
  <c r="BG96" i="277" s="1"/>
  <c r="BH91" i="277"/>
  <c r="BH95" i="277" s="1"/>
  <c r="BH96" i="277" s="1"/>
  <c r="F91" i="277"/>
  <c r="F95" i="277" s="1"/>
  <c r="F96" i="277" s="1"/>
  <c r="F58" i="277" s="1"/>
  <c r="D33" i="275"/>
  <c r="P25" i="275"/>
  <c r="P26" i="275" s="1"/>
  <c r="P27" i="275" s="1"/>
  <c r="D34" i="275" s="1"/>
  <c r="J86" i="275"/>
  <c r="J84" i="275"/>
  <c r="J90" i="275"/>
  <c r="J94" i="275" s="1"/>
  <c r="J69" i="275"/>
  <c r="J67" i="275"/>
  <c r="J76" i="275"/>
  <c r="J77" i="275" s="1"/>
  <c r="J72" i="275"/>
  <c r="J93" i="275"/>
  <c r="J92" i="275"/>
  <c r="J88" i="275"/>
  <c r="J85" i="275"/>
  <c r="G77" i="279"/>
  <c r="G78" i="279" s="1"/>
  <c r="G70" i="279"/>
  <c r="L65" i="279"/>
  <c r="I70" i="284"/>
  <c r="J90" i="284"/>
  <c r="J94" i="284" s="1"/>
  <c r="J69" i="284"/>
  <c r="J93" i="284"/>
  <c r="J92" i="284"/>
  <c r="J68" i="284"/>
  <c r="I94" i="284"/>
  <c r="I95" i="284" s="1"/>
  <c r="I58" i="284" s="1"/>
  <c r="J73" i="280"/>
  <c r="J75" i="280" s="1"/>
  <c r="J57" i="280" s="1"/>
  <c r="Q65" i="280"/>
  <c r="Q67" i="280" s="1"/>
  <c r="AC89" i="278"/>
  <c r="AC58" i="278" s="1"/>
  <c r="P58" i="278"/>
  <c r="AD77" i="278"/>
  <c r="AD78" i="278" s="1"/>
  <c r="AB89" i="278"/>
  <c r="AB58" i="278" s="1"/>
  <c r="AB59" i="278" s="1"/>
  <c r="AB62" i="278" s="1"/>
  <c r="AD88" i="278"/>
  <c r="AD89" i="278" s="1"/>
  <c r="U97" i="306"/>
  <c r="U98" i="306" s="1"/>
  <c r="J95" i="278"/>
  <c r="J96" i="278" s="1"/>
  <c r="J87" i="278"/>
  <c r="J88" i="278" s="1"/>
  <c r="J89" i="278" s="1"/>
  <c r="V95" i="278"/>
  <c r="V96" i="278" s="1"/>
  <c r="V87" i="278"/>
  <c r="V88" i="278" s="1"/>
  <c r="V89" i="278" s="1"/>
  <c r="I95" i="278"/>
  <c r="I96" i="278" s="1"/>
  <c r="I87" i="278"/>
  <c r="I88" i="278" s="1"/>
  <c r="I89" i="278" s="1"/>
  <c r="N95" i="278"/>
  <c r="N96" i="278" s="1"/>
  <c r="N87" i="278"/>
  <c r="N88" i="278" s="1"/>
  <c r="N89" i="278" s="1"/>
  <c r="AC57" i="278"/>
  <c r="M95" i="278"/>
  <c r="M96" i="278" s="1"/>
  <c r="M87" i="278"/>
  <c r="M88" i="278" s="1"/>
  <c r="M89" i="278" s="1"/>
  <c r="F78" i="276"/>
  <c r="F79" i="276" s="1"/>
  <c r="O95" i="279"/>
  <c r="O96" i="279" s="1"/>
  <c r="O59" i="279" s="1"/>
  <c r="Y95" i="278"/>
  <c r="Y96" i="278" s="1"/>
  <c r="Y87" i="278"/>
  <c r="Y88" i="278" s="1"/>
  <c r="Y89" i="278" s="1"/>
  <c r="S95" i="278"/>
  <c r="S96" i="278" s="1"/>
  <c r="S87" i="278"/>
  <c r="S88" i="278" s="1"/>
  <c r="S89" i="278" s="1"/>
  <c r="AA95" i="278"/>
  <c r="AA96" i="278" s="1"/>
  <c r="AA87" i="278"/>
  <c r="AA88" i="278" s="1"/>
  <c r="AA89" i="278" s="1"/>
  <c r="T95" i="278"/>
  <c r="T96" i="278" s="1"/>
  <c r="T87" i="278"/>
  <c r="T88" i="278" s="1"/>
  <c r="T89" i="278" s="1"/>
  <c r="U95" i="278"/>
  <c r="U96" i="278" s="1"/>
  <c r="U87" i="278"/>
  <c r="U88" i="278" s="1"/>
  <c r="U89" i="278" s="1"/>
  <c r="R95" i="278"/>
  <c r="R96" i="278" s="1"/>
  <c r="R87" i="278"/>
  <c r="R88" i="278" s="1"/>
  <c r="R89" i="278" s="1"/>
  <c r="W95" i="278"/>
  <c r="W96" i="278" s="1"/>
  <c r="W87" i="278"/>
  <c r="W88" i="278" s="1"/>
  <c r="W89" i="278" s="1"/>
  <c r="Q95" i="278"/>
  <c r="Q96" i="278" s="1"/>
  <c r="Q87" i="278"/>
  <c r="Q88" i="278" s="1"/>
  <c r="Q89" i="278" s="1"/>
  <c r="L95" i="278"/>
  <c r="L96" i="278" s="1"/>
  <c r="L87" i="278"/>
  <c r="L88" i="278" s="1"/>
  <c r="L89" i="278" s="1"/>
  <c r="F96" i="278"/>
  <c r="Z95" i="278"/>
  <c r="Z96" i="278" s="1"/>
  <c r="Z87" i="278"/>
  <c r="Z88" i="278" s="1"/>
  <c r="Z89" i="278" s="1"/>
  <c r="O95" i="278"/>
  <c r="O96" i="278" s="1"/>
  <c r="O87" i="278"/>
  <c r="O88" i="278" s="1"/>
  <c r="O89" i="278" s="1"/>
  <c r="X95" i="278"/>
  <c r="X96" i="278" s="1"/>
  <c r="X87" i="278"/>
  <c r="X88" i="278" s="1"/>
  <c r="X89" i="278" s="1"/>
  <c r="K95" i="278"/>
  <c r="K96" i="278" s="1"/>
  <c r="K87" i="278"/>
  <c r="K88" i="278" s="1"/>
  <c r="K89" i="278" s="1"/>
  <c r="H95" i="278"/>
  <c r="H96" i="278" s="1"/>
  <c r="H87" i="278"/>
  <c r="H88" i="278" s="1"/>
  <c r="H89" i="278" s="1"/>
  <c r="G95" i="278"/>
  <c r="G96" i="278" s="1"/>
  <c r="G87" i="278"/>
  <c r="G88" i="278" s="1"/>
  <c r="G89" i="278" s="1"/>
  <c r="K54" i="290"/>
  <c r="J57" i="290"/>
  <c r="J59" i="290" s="1"/>
  <c r="J62" i="290" s="1"/>
  <c r="K57" i="289"/>
  <c r="K59" i="289" s="1"/>
  <c r="K55" i="289"/>
  <c r="L54" i="289"/>
  <c r="H57" i="284"/>
  <c r="H59" i="284" s="1"/>
  <c r="H62" i="284" s="1"/>
  <c r="AE87" i="278"/>
  <c r="AE86" i="278"/>
  <c r="AE75" i="278"/>
  <c r="AE77" i="278" s="1"/>
  <c r="AE85" i="278"/>
  <c r="AE74" i="278"/>
  <c r="AE72" i="278"/>
  <c r="AF54" i="278"/>
  <c r="I77" i="277"/>
  <c r="I78" i="277" s="1"/>
  <c r="K65" i="295"/>
  <c r="J67" i="295"/>
  <c r="I57" i="295"/>
  <c r="I59" i="295" s="1"/>
  <c r="BI79" i="306"/>
  <c r="F81" i="306"/>
  <c r="F98" i="306"/>
  <c r="BI98" i="306" s="1"/>
  <c r="BI97" i="306"/>
  <c r="H89" i="277"/>
  <c r="I75" i="280"/>
  <c r="I57" i="280" s="1"/>
  <c r="H57" i="275"/>
  <c r="I77" i="275"/>
  <c r="I78" i="275" s="1"/>
  <c r="AC78" i="276"/>
  <c r="AC79" i="276" s="1"/>
  <c r="AE95" i="279"/>
  <c r="AE96" i="279" s="1"/>
  <c r="AE59" i="279" s="1"/>
  <c r="AF64" i="292"/>
  <c r="AE66" i="292"/>
  <c r="K54" i="275"/>
  <c r="K54" i="276"/>
  <c r="K54" i="284"/>
  <c r="AF65" i="284"/>
  <c r="AE84" i="284"/>
  <c r="J73" i="295"/>
  <c r="J75" i="295" s="1"/>
  <c r="J57" i="295" s="1"/>
  <c r="J59" i="295" s="1"/>
  <c r="K54" i="295"/>
  <c r="AD78" i="276"/>
  <c r="K54" i="293"/>
  <c r="K54" i="279"/>
  <c r="K69" i="279" s="1"/>
  <c r="J75" i="279"/>
  <c r="AE79" i="292"/>
  <c r="AE57" i="292" s="1"/>
  <c r="K54" i="277"/>
  <c r="I70" i="276"/>
  <c r="I57" i="276" s="1"/>
  <c r="AF65" i="276"/>
  <c r="I87" i="275"/>
  <c r="AE88" i="292"/>
  <c r="AF54" i="292"/>
  <c r="U62" i="306"/>
  <c r="V93" i="306"/>
  <c r="V97" i="306" s="1"/>
  <c r="V98" i="306" s="1"/>
  <c r="W65" i="306"/>
  <c r="V57" i="306"/>
  <c r="V59" i="306" s="1"/>
  <c r="V55" i="306"/>
  <c r="W54" i="306"/>
  <c r="F59" i="292"/>
  <c r="F61" i="292" s="1"/>
  <c r="O85" i="293"/>
  <c r="O96" i="292"/>
  <c r="O88" i="292"/>
  <c r="O89" i="292" s="1"/>
  <c r="O70" i="292"/>
  <c r="O78" i="292"/>
  <c r="O79" i="292" s="1"/>
  <c r="G59" i="276"/>
  <c r="G62" i="276" s="1"/>
  <c r="F59" i="280"/>
  <c r="F62" i="280" s="1"/>
  <c r="F57" i="277"/>
  <c r="H95" i="275"/>
  <c r="H58" i="275" s="1"/>
  <c r="H94" i="275"/>
  <c r="G96" i="292"/>
  <c r="G88" i="292"/>
  <c r="G89" i="292" s="1"/>
  <c r="X87" i="279"/>
  <c r="X88" i="279" s="1"/>
  <c r="X95" i="279"/>
  <c r="X96" i="279" s="1"/>
  <c r="V70" i="292"/>
  <c r="V78" i="292"/>
  <c r="V79" i="292" s="1"/>
  <c r="W78" i="292"/>
  <c r="W79" i="292" s="1"/>
  <c r="W70" i="292"/>
  <c r="H95" i="277"/>
  <c r="H96" i="277" s="1"/>
  <c r="V87" i="279"/>
  <c r="V88" i="279" s="1"/>
  <c r="V95" i="279"/>
  <c r="V96" i="279" s="1"/>
  <c r="I85" i="293"/>
  <c r="I95" i="279"/>
  <c r="I96" i="279" s="1"/>
  <c r="I87" i="279"/>
  <c r="I88" i="279" s="1"/>
  <c r="L96" i="292"/>
  <c r="L88" i="292"/>
  <c r="L89" i="292" s="1"/>
  <c r="L95" i="279"/>
  <c r="L96" i="279" s="1"/>
  <c r="L87" i="279"/>
  <c r="L88" i="279" s="1"/>
  <c r="M96" i="292"/>
  <c r="M88" i="292"/>
  <c r="M89" i="292" s="1"/>
  <c r="J88" i="292"/>
  <c r="J89" i="292" s="1"/>
  <c r="J96" i="292"/>
  <c r="Q96" i="292"/>
  <c r="Q88" i="292"/>
  <c r="Q89" i="292" s="1"/>
  <c r="Q87" i="279"/>
  <c r="Q88" i="279" s="1"/>
  <c r="Q95" i="279"/>
  <c r="Q96" i="279" s="1"/>
  <c r="N85" i="293"/>
  <c r="Y85" i="293"/>
  <c r="S96" i="292"/>
  <c r="S88" i="292"/>
  <c r="S89" i="292" s="1"/>
  <c r="S95" i="279"/>
  <c r="S96" i="279" s="1"/>
  <c r="S87" i="279"/>
  <c r="S88" i="279" s="1"/>
  <c r="K78" i="292"/>
  <c r="K79" i="292" s="1"/>
  <c r="K70" i="292"/>
  <c r="K85" i="293"/>
  <c r="K95" i="279"/>
  <c r="K96" i="279" s="1"/>
  <c r="K87" i="279"/>
  <c r="K88" i="279" s="1"/>
  <c r="P88" i="292"/>
  <c r="P89" i="292" s="1"/>
  <c r="P96" i="292"/>
  <c r="AA87" i="279"/>
  <c r="AA88" i="279" s="1"/>
  <c r="AA95" i="279"/>
  <c r="AA96" i="279" s="1"/>
  <c r="T88" i="292"/>
  <c r="T89" i="292" s="1"/>
  <c r="T96" i="292"/>
  <c r="U96" i="292"/>
  <c r="U88" i="292"/>
  <c r="U89" i="292" s="1"/>
  <c r="AE96" i="292"/>
  <c r="M85" i="293"/>
  <c r="M95" i="279"/>
  <c r="M96" i="279" s="1"/>
  <c r="M87" i="279"/>
  <c r="M88" i="279" s="1"/>
  <c r="J85" i="293"/>
  <c r="Q85" i="293"/>
  <c r="N70" i="292"/>
  <c r="N78" i="292"/>
  <c r="N79" i="292" s="1"/>
  <c r="S85" i="293"/>
  <c r="U85" i="293"/>
  <c r="H96" i="292"/>
  <c r="H88" i="292"/>
  <c r="H89" i="292" s="1"/>
  <c r="H85" i="293"/>
  <c r="X85" i="293"/>
  <c r="I94" i="275"/>
  <c r="I95" i="275"/>
  <c r="I58" i="275" s="1"/>
  <c r="M78" i="292"/>
  <c r="M79" i="292" s="1"/>
  <c r="M70" i="292"/>
  <c r="J95" i="279"/>
  <c r="J96" i="279" s="1"/>
  <c r="J87" i="279"/>
  <c r="J88" i="279" s="1"/>
  <c r="P70" i="292"/>
  <c r="P78" i="292"/>
  <c r="P79" i="292" s="1"/>
  <c r="P85" i="293"/>
  <c r="P95" i="279"/>
  <c r="P96" i="279" s="1"/>
  <c r="P87" i="279"/>
  <c r="P88" i="279" s="1"/>
  <c r="R85" i="293"/>
  <c r="AA78" i="292"/>
  <c r="AA79" i="292" s="1"/>
  <c r="AA70" i="292"/>
  <c r="Z78" i="292"/>
  <c r="Z79" i="292" s="1"/>
  <c r="Z70" i="292"/>
  <c r="T85" i="293"/>
  <c r="T87" i="279"/>
  <c r="T88" i="279" s="1"/>
  <c r="T95" i="279"/>
  <c r="T96" i="279" s="1"/>
  <c r="F98" i="276"/>
  <c r="W96" i="292"/>
  <c r="W88" i="292"/>
  <c r="W89" i="292" s="1"/>
  <c r="I78" i="292"/>
  <c r="I79" i="292" s="1"/>
  <c r="I70" i="292"/>
  <c r="L70" i="292"/>
  <c r="L78" i="292"/>
  <c r="L79" i="292" s="1"/>
  <c r="Y70" i="292"/>
  <c r="Y78" i="292"/>
  <c r="Y79" i="292" s="1"/>
  <c r="BI58" i="290"/>
  <c r="S78" i="292"/>
  <c r="S79" i="292" s="1"/>
  <c r="S70" i="292"/>
  <c r="R96" i="292"/>
  <c r="R88" i="292"/>
  <c r="R89" i="292" s="1"/>
  <c r="AA88" i="292"/>
  <c r="AA89" i="292" s="1"/>
  <c r="AA96" i="292"/>
  <c r="Z85" i="293"/>
  <c r="T78" i="292"/>
  <c r="T79" i="292" s="1"/>
  <c r="T70" i="292"/>
  <c r="U95" i="279"/>
  <c r="U96" i="279" s="1"/>
  <c r="U87" i="279"/>
  <c r="U88" i="279" s="1"/>
  <c r="G85" i="293"/>
  <c r="G87" i="279"/>
  <c r="G88" i="279" s="1"/>
  <c r="G95" i="279"/>
  <c r="U78" i="292"/>
  <c r="U79" i="292" s="1"/>
  <c r="U70" i="292"/>
  <c r="H77" i="279"/>
  <c r="H78" i="279" s="1"/>
  <c r="G57" i="275"/>
  <c r="X70" i="292"/>
  <c r="X78" i="292"/>
  <c r="X79" i="292" s="1"/>
  <c r="W87" i="279"/>
  <c r="W88" i="279" s="1"/>
  <c r="W95" i="279"/>
  <c r="W96" i="279" s="1"/>
  <c r="V85" i="293"/>
  <c r="I88" i="292"/>
  <c r="I89" i="292" s="1"/>
  <c r="I96" i="292"/>
  <c r="AC96" i="292"/>
  <c r="AC88" i="292"/>
  <c r="AC89" i="292" s="1"/>
  <c r="Y87" i="279"/>
  <c r="Y88" i="279" s="1"/>
  <c r="Y95" i="279"/>
  <c r="Y96" i="279" s="1"/>
  <c r="H78" i="292"/>
  <c r="H79" i="292" s="1"/>
  <c r="H70" i="292"/>
  <c r="H87" i="279"/>
  <c r="H88" i="279" s="1"/>
  <c r="H95" i="279"/>
  <c r="H96" i="279" s="1"/>
  <c r="G88" i="282"/>
  <c r="G70" i="292"/>
  <c r="G78" i="292"/>
  <c r="G94" i="275"/>
  <c r="G95" i="275"/>
  <c r="X96" i="292"/>
  <c r="X88" i="292"/>
  <c r="X89" i="292" s="1"/>
  <c r="AD96" i="292"/>
  <c r="AD88" i="292"/>
  <c r="AD89" i="292" s="1"/>
  <c r="W85" i="293"/>
  <c r="V88" i="292"/>
  <c r="V89" i="292" s="1"/>
  <c r="V96" i="292"/>
  <c r="L85" i="293"/>
  <c r="J78" i="292"/>
  <c r="J79" i="292" s="1"/>
  <c r="J70" i="292"/>
  <c r="Q78" i="292"/>
  <c r="Q79" i="292" s="1"/>
  <c r="Q70" i="292"/>
  <c r="N96" i="292"/>
  <c r="N88" i="292"/>
  <c r="N89" i="292" s="1"/>
  <c r="N95" i="279"/>
  <c r="N96" i="279" s="1"/>
  <c r="N87" i="279"/>
  <c r="N88" i="279" s="1"/>
  <c r="Y96" i="292"/>
  <c r="Y88" i="292"/>
  <c r="Y89" i="292" s="1"/>
  <c r="AB96" i="292"/>
  <c r="AB88" i="292"/>
  <c r="AB89" i="292" s="1"/>
  <c r="K96" i="292"/>
  <c r="K88" i="292"/>
  <c r="K89" i="292" s="1"/>
  <c r="R87" i="279"/>
  <c r="R88" i="279" s="1"/>
  <c r="R95" i="279"/>
  <c r="R96" i="279" s="1"/>
  <c r="R78" i="292"/>
  <c r="R79" i="292" s="1"/>
  <c r="R70" i="292"/>
  <c r="AA85" i="293"/>
  <c r="Z87" i="279"/>
  <c r="Z88" i="279" s="1"/>
  <c r="Z95" i="279"/>
  <c r="Z96" i="279" s="1"/>
  <c r="Z96" i="292"/>
  <c r="Z88" i="292"/>
  <c r="Z89" i="292" s="1"/>
  <c r="I40" i="304"/>
  <c r="F59" i="275"/>
  <c r="K54" i="280"/>
  <c r="F59" i="293"/>
  <c r="L54" i="282"/>
  <c r="L70" i="282" s="1"/>
  <c r="F62" i="282"/>
  <c r="G98" i="280" l="1"/>
  <c r="G85" i="280" s="1"/>
  <c r="I98" i="280"/>
  <c r="I85" i="280" s="1"/>
  <c r="H84" i="280"/>
  <c r="G96" i="280"/>
  <c r="G83" i="280" s="1"/>
  <c r="H96" i="280"/>
  <c r="H83" i="280" s="1"/>
  <c r="L17" i="280"/>
  <c r="G97" i="280"/>
  <c r="K85" i="276"/>
  <c r="K68" i="276"/>
  <c r="K67" i="276"/>
  <c r="K69" i="276"/>
  <c r="H78" i="278"/>
  <c r="H57" i="278" s="1"/>
  <c r="K67" i="278"/>
  <c r="J72" i="278"/>
  <c r="I74" i="278"/>
  <c r="I75" i="278"/>
  <c r="I77" i="278" s="1"/>
  <c r="G95" i="277"/>
  <c r="G96" i="277" s="1"/>
  <c r="G58" i="277" s="1"/>
  <c r="I83" i="280"/>
  <c r="G84" i="280"/>
  <c r="I97" i="280"/>
  <c r="I84" i="280" s="1"/>
  <c r="J87" i="293"/>
  <c r="J97" i="293" s="1"/>
  <c r="J58" i="293" s="1"/>
  <c r="J96" i="280"/>
  <c r="J83" i="280" s="1"/>
  <c r="J98" i="280"/>
  <c r="J85" i="280" s="1"/>
  <c r="J97" i="280"/>
  <c r="J84" i="280" s="1"/>
  <c r="H82" i="280"/>
  <c r="I82" i="280"/>
  <c r="J82" i="280"/>
  <c r="G82" i="280"/>
  <c r="L79" i="280"/>
  <c r="K89" i="280"/>
  <c r="H55" i="280"/>
  <c r="G55" i="280"/>
  <c r="I55" i="280"/>
  <c r="K55" i="280"/>
  <c r="J55" i="280"/>
  <c r="G41" i="304"/>
  <c r="H41" i="304" s="1"/>
  <c r="I57" i="284"/>
  <c r="I59" i="284" s="1"/>
  <c r="I62" i="284" s="1"/>
  <c r="D42" i="304"/>
  <c r="K67" i="284"/>
  <c r="K90" i="293"/>
  <c r="G87" i="293"/>
  <c r="G97" i="293" s="1"/>
  <c r="G58" i="293" s="1"/>
  <c r="I87" i="293"/>
  <c r="I97" i="293" s="1"/>
  <c r="I58" i="293" s="1"/>
  <c r="I59" i="293" s="1"/>
  <c r="I62" i="293" s="1"/>
  <c r="AA65" i="293"/>
  <c r="Z67" i="293"/>
  <c r="H87" i="293"/>
  <c r="H97" i="293" s="1"/>
  <c r="H58" i="293" s="1"/>
  <c r="H59" i="293" s="1"/>
  <c r="H62" i="293" s="1"/>
  <c r="G25" i="286"/>
  <c r="I33" i="280"/>
  <c r="V79" i="282"/>
  <c r="U81" i="282"/>
  <c r="V65" i="282"/>
  <c r="U73" i="282"/>
  <c r="U67" i="282"/>
  <c r="I35" i="280"/>
  <c r="D34" i="280" s="1"/>
  <c r="K73" i="293"/>
  <c r="K67" i="293" s="1"/>
  <c r="K58" i="278"/>
  <c r="Q58" i="278"/>
  <c r="T69" i="278"/>
  <c r="P69" i="278"/>
  <c r="I69" i="278"/>
  <c r="Z69" i="278"/>
  <c r="J70" i="284"/>
  <c r="W69" i="278"/>
  <c r="S69" i="278"/>
  <c r="J69" i="278"/>
  <c r="K69" i="278"/>
  <c r="V69" i="278"/>
  <c r="Y69" i="278"/>
  <c r="U69" i="278"/>
  <c r="Q69" i="278"/>
  <c r="M69" i="278"/>
  <c r="G69" i="278"/>
  <c r="G57" i="278" s="1"/>
  <c r="AD58" i="278"/>
  <c r="AF68" i="278"/>
  <c r="AF69" i="278" s="1"/>
  <c r="AF84" i="278"/>
  <c r="AF91" i="278"/>
  <c r="AF95" i="278" s="1"/>
  <c r="AF96" i="278" s="1"/>
  <c r="K85" i="277"/>
  <c r="K86" i="277"/>
  <c r="K87" i="277"/>
  <c r="K84" i="277"/>
  <c r="K75" i="277"/>
  <c r="K77" i="277" s="1"/>
  <c r="K72" i="277"/>
  <c r="K74" i="277"/>
  <c r="K67" i="277"/>
  <c r="F59" i="277"/>
  <c r="F62" i="277" s="1"/>
  <c r="J88" i="277"/>
  <c r="J89" i="277" s="1"/>
  <c r="J58" i="277" s="1"/>
  <c r="J87" i="275"/>
  <c r="K93" i="275"/>
  <c r="K90" i="275"/>
  <c r="K94" i="275" s="1"/>
  <c r="K92" i="275"/>
  <c r="K85" i="275"/>
  <c r="K69" i="275"/>
  <c r="K86" i="275"/>
  <c r="K76" i="275"/>
  <c r="K77" i="275" s="1"/>
  <c r="K84" i="275"/>
  <c r="K72" i="275"/>
  <c r="K67" i="275"/>
  <c r="K88" i="275"/>
  <c r="M65" i="279"/>
  <c r="K93" i="284"/>
  <c r="K90" i="284"/>
  <c r="K94" i="284" s="1"/>
  <c r="K69" i="284"/>
  <c r="K68" i="284"/>
  <c r="K92" i="284"/>
  <c r="J95" i="284"/>
  <c r="J58" i="284" s="1"/>
  <c r="AC59" i="278"/>
  <c r="AC62" i="278" s="1"/>
  <c r="R65" i="280"/>
  <c r="R67" i="280" s="1"/>
  <c r="K73" i="280"/>
  <c r="O58" i="278"/>
  <c r="R58" i="278"/>
  <c r="S58" i="278"/>
  <c r="AA58" i="278"/>
  <c r="U58" i="278"/>
  <c r="Y58" i="278"/>
  <c r="M58" i="278"/>
  <c r="H58" i="278"/>
  <c r="I58" i="278"/>
  <c r="F57" i="276"/>
  <c r="F58" i="278"/>
  <c r="F59" i="278" s="1"/>
  <c r="F62" i="278" s="1"/>
  <c r="X58" i="278"/>
  <c r="Z58" i="278"/>
  <c r="L58" i="278"/>
  <c r="W58" i="278"/>
  <c r="T58" i="278"/>
  <c r="J58" i="278"/>
  <c r="G58" i="278"/>
  <c r="N58" i="278"/>
  <c r="V58" i="278"/>
  <c r="L54" i="290"/>
  <c r="L57" i="289"/>
  <c r="L59" i="289" s="1"/>
  <c r="L55" i="289"/>
  <c r="M54" i="289"/>
  <c r="K62" i="289"/>
  <c r="AF87" i="278"/>
  <c r="AF86" i="278"/>
  <c r="AF85" i="278"/>
  <c r="AF74" i="278"/>
  <c r="AF72" i="278"/>
  <c r="AF75" i="278"/>
  <c r="AF77" i="278" s="1"/>
  <c r="AG54" i="278"/>
  <c r="AE78" i="278"/>
  <c r="AE57" i="278" s="1"/>
  <c r="AE88" i="278"/>
  <c r="AE89" i="278" s="1"/>
  <c r="AE58" i="278" s="1"/>
  <c r="AD57" i="278"/>
  <c r="I57" i="277"/>
  <c r="AD79" i="276"/>
  <c r="J95" i="275"/>
  <c r="J58" i="275" s="1"/>
  <c r="L65" i="295"/>
  <c r="K67" i="295"/>
  <c r="I62" i="295"/>
  <c r="J75" i="293"/>
  <c r="J57" i="293" s="1"/>
  <c r="BI81" i="306"/>
  <c r="F57" i="306"/>
  <c r="J78" i="277"/>
  <c r="J57" i="277" s="1"/>
  <c r="H59" i="275"/>
  <c r="H62" i="275" s="1"/>
  <c r="H58" i="277"/>
  <c r="H59" i="277" s="1"/>
  <c r="H62" i="277" s="1"/>
  <c r="I57" i="275"/>
  <c r="I59" i="275" s="1"/>
  <c r="I62" i="275" s="1"/>
  <c r="J78" i="275"/>
  <c r="L54" i="279"/>
  <c r="L69" i="279" s="1"/>
  <c r="K75" i="279"/>
  <c r="L54" i="293"/>
  <c r="AG65" i="276"/>
  <c r="L54" i="277"/>
  <c r="J62" i="295"/>
  <c r="L54" i="276"/>
  <c r="AE78" i="276"/>
  <c r="AF84" i="284"/>
  <c r="AG65" i="284"/>
  <c r="L54" i="284"/>
  <c r="L54" i="275"/>
  <c r="AF88" i="292"/>
  <c r="AG54" i="292"/>
  <c r="AE89" i="292"/>
  <c r="AE97" i="292" s="1"/>
  <c r="AE58" i="292" s="1"/>
  <c r="AE59" i="292" s="1"/>
  <c r="AE61" i="292" s="1"/>
  <c r="K73" i="295"/>
  <c r="K75" i="295" s="1"/>
  <c r="K57" i="295" s="1"/>
  <c r="K59" i="295" s="1"/>
  <c r="L54" i="295"/>
  <c r="J70" i="276"/>
  <c r="J57" i="276" s="1"/>
  <c r="AF66" i="292"/>
  <c r="AF79" i="292"/>
  <c r="AF57" i="292" s="1"/>
  <c r="AF96" i="292"/>
  <c r="AG64" i="292"/>
  <c r="AF95" i="279"/>
  <c r="AF96" i="279" s="1"/>
  <c r="AF59" i="279" s="1"/>
  <c r="V62" i="306"/>
  <c r="W93" i="306"/>
  <c r="W97" i="306" s="1"/>
  <c r="W98" i="306" s="1"/>
  <c r="X65" i="306"/>
  <c r="X54" i="306"/>
  <c r="W57" i="306"/>
  <c r="W59" i="306" s="1"/>
  <c r="W55" i="306"/>
  <c r="G58" i="279"/>
  <c r="O97" i="292"/>
  <c r="O58" i="292" s="1"/>
  <c r="P59" i="279"/>
  <c r="N57" i="292"/>
  <c r="V59" i="279"/>
  <c r="X59" i="279"/>
  <c r="O57" i="292"/>
  <c r="I57" i="292"/>
  <c r="L57" i="292"/>
  <c r="Z57" i="292"/>
  <c r="H59" i="279"/>
  <c r="AC97" i="292"/>
  <c r="AC58" i="292" s="1"/>
  <c r="AC59" i="292" s="1"/>
  <c r="AC61" i="292" s="1"/>
  <c r="Y59" i="279"/>
  <c r="T97" i="292"/>
  <c r="T58" i="292" s="1"/>
  <c r="Q59" i="279"/>
  <c r="U57" i="292"/>
  <c r="T57" i="292"/>
  <c r="R97" i="292"/>
  <c r="R58" i="292" s="1"/>
  <c r="Y57" i="292"/>
  <c r="K57" i="292"/>
  <c r="L97" i="292"/>
  <c r="L58" i="292" s="1"/>
  <c r="K97" i="292"/>
  <c r="K58" i="292" s="1"/>
  <c r="AB97" i="292"/>
  <c r="AB58" i="292" s="1"/>
  <c r="AB59" i="292" s="1"/>
  <c r="AB61" i="292" s="1"/>
  <c r="M59" i="279"/>
  <c r="N97" i="292"/>
  <c r="N58" i="292" s="1"/>
  <c r="J57" i="292"/>
  <c r="Z59" i="279"/>
  <c r="N59" i="279"/>
  <c r="H57" i="292"/>
  <c r="X57" i="292"/>
  <c r="AA59" i="279"/>
  <c r="M97" i="292"/>
  <c r="M58" i="292" s="1"/>
  <c r="F57" i="284"/>
  <c r="V97" i="292"/>
  <c r="V58" i="292" s="1"/>
  <c r="AD97" i="292"/>
  <c r="AD58" i="292" s="1"/>
  <c r="AD59" i="292" s="1"/>
  <c r="AD61" i="292" s="1"/>
  <c r="X97" i="292"/>
  <c r="X58" i="292" s="1"/>
  <c r="G79" i="292"/>
  <c r="BI78" i="292"/>
  <c r="I97" i="292"/>
  <c r="I58" i="292" s="1"/>
  <c r="G96" i="279"/>
  <c r="S57" i="292"/>
  <c r="J59" i="279"/>
  <c r="U97" i="292"/>
  <c r="U58" i="292" s="1"/>
  <c r="J97" i="292"/>
  <c r="J58" i="292" s="1"/>
  <c r="V57" i="292"/>
  <c r="R57" i="292"/>
  <c r="BI96" i="277"/>
  <c r="R59" i="279"/>
  <c r="Q57" i="292"/>
  <c r="BI70" i="292"/>
  <c r="W59" i="279"/>
  <c r="BI88" i="279"/>
  <c r="U59" i="279"/>
  <c r="AA97" i="292"/>
  <c r="AA58" i="292" s="1"/>
  <c r="F58" i="276"/>
  <c r="T59" i="279"/>
  <c r="AA57" i="292"/>
  <c r="M57" i="292"/>
  <c r="BI95" i="277"/>
  <c r="H97" i="292"/>
  <c r="H58" i="292" s="1"/>
  <c r="S97" i="292"/>
  <c r="S58" i="292" s="1"/>
  <c r="Q97" i="292"/>
  <c r="Q58" i="292" s="1"/>
  <c r="L59" i="279"/>
  <c r="I59" i="279"/>
  <c r="Z97" i="292"/>
  <c r="Z58" i="292" s="1"/>
  <c r="Y97" i="292"/>
  <c r="Y58" i="292" s="1"/>
  <c r="G58" i="275"/>
  <c r="W97" i="292"/>
  <c r="W58" i="292" s="1"/>
  <c r="P57" i="292"/>
  <c r="P97" i="292"/>
  <c r="P58" i="292" s="1"/>
  <c r="K59" i="279"/>
  <c r="S59" i="279"/>
  <c r="I58" i="277"/>
  <c r="W57" i="292"/>
  <c r="G97" i="292"/>
  <c r="I41" i="304"/>
  <c r="F59" i="290"/>
  <c r="G59" i="277"/>
  <c r="G62" i="277" s="1"/>
  <c r="F59" i="289"/>
  <c r="F62" i="275"/>
  <c r="L54" i="280"/>
  <c r="L55" i="280" s="1"/>
  <c r="F62" i="293"/>
  <c r="M54" i="282"/>
  <c r="M70" i="282" s="1"/>
  <c r="C37" i="285" l="1"/>
  <c r="E37" i="285"/>
  <c r="K96" i="293"/>
  <c r="K100" i="293"/>
  <c r="J67" i="279"/>
  <c r="H17" i="321"/>
  <c r="B17" i="321" s="1"/>
  <c r="K81" i="293"/>
  <c r="K95" i="280"/>
  <c r="K82" i="280" s="1"/>
  <c r="L68" i="276"/>
  <c r="L85" i="276"/>
  <c r="L67" i="276"/>
  <c r="L69" i="276"/>
  <c r="H59" i="278"/>
  <c r="H62" i="278" s="1"/>
  <c r="I78" i="278"/>
  <c r="I57" i="278"/>
  <c r="I59" i="278" s="1"/>
  <c r="I62" i="278" s="1"/>
  <c r="J74" i="278"/>
  <c r="J75" i="278"/>
  <c r="J77" i="278" s="1"/>
  <c r="L67" i="278"/>
  <c r="K72" i="278"/>
  <c r="I94" i="280"/>
  <c r="H94" i="280"/>
  <c r="G94" i="280"/>
  <c r="G111" i="280" s="1"/>
  <c r="J94" i="280"/>
  <c r="K94" i="280"/>
  <c r="K98" i="280"/>
  <c r="K85" i="280" s="1"/>
  <c r="K97" i="280"/>
  <c r="K84" i="280" s="1"/>
  <c r="K96" i="280"/>
  <c r="K83" i="280" s="1"/>
  <c r="M79" i="280"/>
  <c r="L89" i="280"/>
  <c r="J73" i="279"/>
  <c r="J76" i="279" s="1"/>
  <c r="J77" i="279" s="1"/>
  <c r="J78" i="279" s="1"/>
  <c r="J73" i="284"/>
  <c r="J75" i="284" s="1"/>
  <c r="J77" i="284" s="1"/>
  <c r="G42" i="304"/>
  <c r="H42" i="304" s="1"/>
  <c r="D43" i="304"/>
  <c r="L95" i="280" s="1"/>
  <c r="L67" i="284"/>
  <c r="L90" i="293"/>
  <c r="L100" i="293" s="1"/>
  <c r="AB65" i="293"/>
  <c r="AA67" i="293"/>
  <c r="C28" i="285"/>
  <c r="G26" i="286"/>
  <c r="D28" i="285"/>
  <c r="W79" i="282"/>
  <c r="V81" i="282"/>
  <c r="W65" i="282"/>
  <c r="V73" i="282"/>
  <c r="V67" i="282"/>
  <c r="L73" i="293"/>
  <c r="L67" i="293" s="1"/>
  <c r="AD59" i="278"/>
  <c r="AD62" i="278" s="1"/>
  <c r="G59" i="278"/>
  <c r="G62" i="278" s="1"/>
  <c r="K70" i="284"/>
  <c r="AG68" i="278"/>
  <c r="AG69" i="278" s="1"/>
  <c r="AG91" i="278"/>
  <c r="AG95" i="278" s="1"/>
  <c r="AG72" i="278"/>
  <c r="AG84" i="278"/>
  <c r="K88" i="277"/>
  <c r="K89" i="277" s="1"/>
  <c r="K58" i="277" s="1"/>
  <c r="L84" i="277"/>
  <c r="L75" i="277"/>
  <c r="L77" i="277" s="1"/>
  <c r="L72" i="277"/>
  <c r="L74" i="277"/>
  <c r="L67" i="277"/>
  <c r="L85" i="277"/>
  <c r="L86" i="277"/>
  <c r="L87" i="277"/>
  <c r="L88" i="277" s="1"/>
  <c r="L88" i="275"/>
  <c r="L85" i="275"/>
  <c r="L93" i="275"/>
  <c r="L84" i="275"/>
  <c r="L76" i="275"/>
  <c r="L77" i="275" s="1"/>
  <c r="L92" i="275"/>
  <c r="L90" i="275"/>
  <c r="L94" i="275" s="1"/>
  <c r="L69" i="275"/>
  <c r="L86" i="275"/>
  <c r="L87" i="275" s="1"/>
  <c r="L67" i="275"/>
  <c r="L72" i="275"/>
  <c r="K87" i="275"/>
  <c r="N65" i="279"/>
  <c r="L93" i="284"/>
  <c r="L92" i="284"/>
  <c r="L90" i="284"/>
  <c r="L94" i="284" s="1"/>
  <c r="L69" i="284"/>
  <c r="L68" i="284"/>
  <c r="L73" i="280"/>
  <c r="S65" i="280"/>
  <c r="S67" i="280" s="1"/>
  <c r="J59" i="292"/>
  <c r="J61" i="292" s="1"/>
  <c r="I59" i="277"/>
  <c r="I62" i="277" s="1"/>
  <c r="AF78" i="278"/>
  <c r="AF88" i="278"/>
  <c r="AF89" i="278" s="1"/>
  <c r="AF58" i="278" s="1"/>
  <c r="K57" i="290"/>
  <c r="M54" i="290"/>
  <c r="L57" i="290"/>
  <c r="L59" i="290" s="1"/>
  <c r="L62" i="290" s="1"/>
  <c r="M57" i="289"/>
  <c r="M59" i="289" s="1"/>
  <c r="M55" i="289"/>
  <c r="N54" i="289"/>
  <c r="L62" i="289"/>
  <c r="K95" i="284"/>
  <c r="AG87" i="278"/>
  <c r="AG86" i="278"/>
  <c r="AH54" i="278"/>
  <c r="AG85" i="278"/>
  <c r="AG75" i="278"/>
  <c r="AG77" i="278" s="1"/>
  <c r="AG74" i="278"/>
  <c r="AE59" i="278"/>
  <c r="AE62" i="278" s="1"/>
  <c r="M65" i="295"/>
  <c r="L67" i="295"/>
  <c r="J59" i="293"/>
  <c r="J62" i="293" s="1"/>
  <c r="F59" i="306"/>
  <c r="BI57" i="306"/>
  <c r="J59" i="277"/>
  <c r="J62" i="277" s="1"/>
  <c r="J57" i="275"/>
  <c r="J59" i="275" s="1"/>
  <c r="J62" i="275" s="1"/>
  <c r="H59" i="292"/>
  <c r="H61" i="292" s="1"/>
  <c r="X59" i="292"/>
  <c r="X61" i="292" s="1"/>
  <c r="K75" i="293"/>
  <c r="Z59" i="292"/>
  <c r="Z61" i="292" s="1"/>
  <c r="K62" i="295"/>
  <c r="K95" i="275"/>
  <c r="M54" i="276"/>
  <c r="L73" i="295"/>
  <c r="L75" i="295" s="1"/>
  <c r="L57" i="295" s="1"/>
  <c r="L59" i="295" s="1"/>
  <c r="M54" i="295"/>
  <c r="AG88" i="292"/>
  <c r="AH54" i="292"/>
  <c r="M54" i="277"/>
  <c r="AG95" i="279"/>
  <c r="AG96" i="279" s="1"/>
  <c r="AG59" i="279" s="1"/>
  <c r="K78" i="275"/>
  <c r="AG84" i="284"/>
  <c r="AH65" i="284"/>
  <c r="AE79" i="276"/>
  <c r="K70" i="276"/>
  <c r="K57" i="276" s="1"/>
  <c r="K78" i="277"/>
  <c r="AH65" i="276"/>
  <c r="M54" i="293"/>
  <c r="AH64" i="292"/>
  <c r="AG66" i="292"/>
  <c r="AG79" i="292"/>
  <c r="AG57" i="292" s="1"/>
  <c r="AG96" i="292"/>
  <c r="M54" i="275"/>
  <c r="M54" i="279"/>
  <c r="M69" i="279" s="1"/>
  <c r="L75" i="279"/>
  <c r="AF89" i="292"/>
  <c r="AF97" i="292" s="1"/>
  <c r="AF58" i="292" s="1"/>
  <c r="AF59" i="292" s="1"/>
  <c r="AF61" i="292" s="1"/>
  <c r="M54" i="284"/>
  <c r="AF78" i="276"/>
  <c r="W62" i="306"/>
  <c r="Y54" i="306"/>
  <c r="X57" i="306"/>
  <c r="X59" i="306" s="1"/>
  <c r="X55" i="306"/>
  <c r="X93" i="306"/>
  <c r="X97" i="306" s="1"/>
  <c r="X98" i="306" s="1"/>
  <c r="Y65" i="306"/>
  <c r="O59" i="292"/>
  <c r="O61" i="292" s="1"/>
  <c r="K75" i="280"/>
  <c r="K57" i="280" s="1"/>
  <c r="Y59" i="292"/>
  <c r="Y61" i="292" s="1"/>
  <c r="U59" i="292"/>
  <c r="U61" i="292" s="1"/>
  <c r="I59" i="292"/>
  <c r="I61" i="292" s="1"/>
  <c r="N59" i="292"/>
  <c r="N61" i="292" s="1"/>
  <c r="W59" i="292"/>
  <c r="W61" i="292" s="1"/>
  <c r="K59" i="292"/>
  <c r="K61" i="292" s="1"/>
  <c r="L59" i="292"/>
  <c r="L61" i="292" s="1"/>
  <c r="P59" i="292"/>
  <c r="P61" i="292" s="1"/>
  <c r="M59" i="292"/>
  <c r="M61" i="292" s="1"/>
  <c r="T59" i="292"/>
  <c r="T61" i="292" s="1"/>
  <c r="AA59" i="292"/>
  <c r="AA61" i="292" s="1"/>
  <c r="R59" i="292"/>
  <c r="R61" i="292" s="1"/>
  <c r="G59" i="275"/>
  <c r="G59" i="279"/>
  <c r="G58" i="292"/>
  <c r="S59" i="292"/>
  <c r="S61" i="292" s="1"/>
  <c r="G57" i="292"/>
  <c r="F59" i="284"/>
  <c r="Q59" i="292"/>
  <c r="Q61" i="292" s="1"/>
  <c r="G59" i="293"/>
  <c r="F59" i="276"/>
  <c r="V59" i="292"/>
  <c r="V61" i="292" s="1"/>
  <c r="I42" i="304"/>
  <c r="F62" i="290"/>
  <c r="F62" i="289"/>
  <c r="M54" i="280"/>
  <c r="M55" i="280" s="1"/>
  <c r="N54" i="282"/>
  <c r="N70" i="282" s="1"/>
  <c r="J111" i="280" l="1"/>
  <c r="J106" i="280"/>
  <c r="H111" i="280"/>
  <c r="H106" i="280"/>
  <c r="K67" i="279"/>
  <c r="K68" i="279" s="1"/>
  <c r="K70" i="279" s="1"/>
  <c r="H18" i="321"/>
  <c r="B18" i="321" s="1"/>
  <c r="K111" i="280"/>
  <c r="K106" i="280"/>
  <c r="I111" i="280"/>
  <c r="I106" i="280"/>
  <c r="K86" i="293"/>
  <c r="K87" i="293" s="1"/>
  <c r="K97" i="293" s="1"/>
  <c r="K58" i="293" s="1"/>
  <c r="L96" i="293"/>
  <c r="K81" i="280"/>
  <c r="K90" i="280" s="1"/>
  <c r="K91" i="280" s="1"/>
  <c r="J81" i="280"/>
  <c r="J90" i="280" s="1"/>
  <c r="J91" i="280" s="1"/>
  <c r="G106" i="280"/>
  <c r="I81" i="280"/>
  <c r="H81" i="280"/>
  <c r="H90" i="280" s="1"/>
  <c r="H91" i="280" s="1"/>
  <c r="M69" i="276"/>
  <c r="M85" i="276"/>
  <c r="M68" i="276"/>
  <c r="M67" i="276"/>
  <c r="J78" i="278"/>
  <c r="J57" i="278" s="1"/>
  <c r="J59" i="278" s="1"/>
  <c r="J62" i="278" s="1"/>
  <c r="K75" i="278"/>
  <c r="K77" i="278" s="1"/>
  <c r="K74" i="278"/>
  <c r="M67" i="278"/>
  <c r="L72" i="278"/>
  <c r="L96" i="280"/>
  <c r="L83" i="280" s="1"/>
  <c r="L98" i="280"/>
  <c r="L85" i="280" s="1"/>
  <c r="L97" i="280"/>
  <c r="L84" i="280" s="1"/>
  <c r="L82" i="280"/>
  <c r="L94" i="280"/>
  <c r="G81" i="280"/>
  <c r="G90" i="280" s="1"/>
  <c r="G91" i="280" s="1"/>
  <c r="N79" i="280"/>
  <c r="M89" i="280"/>
  <c r="K73" i="284"/>
  <c r="K75" i="284" s="1"/>
  <c r="K77" i="284" s="1"/>
  <c r="J78" i="284"/>
  <c r="J57" i="284" s="1"/>
  <c r="J59" i="284" s="1"/>
  <c r="J62" i="284" s="1"/>
  <c r="K73" i="279"/>
  <c r="K76" i="279" s="1"/>
  <c r="K77" i="279" s="1"/>
  <c r="K78" i="279" s="1"/>
  <c r="G43" i="304"/>
  <c r="H43" i="304" s="1"/>
  <c r="D44" i="304"/>
  <c r="M95" i="280" s="1"/>
  <c r="M67" i="284"/>
  <c r="M90" i="293"/>
  <c r="L81" i="293"/>
  <c r="AC65" i="293"/>
  <c r="AB67" i="293"/>
  <c r="X65" i="282"/>
  <c r="W67" i="282"/>
  <c r="W73" i="282"/>
  <c r="X79" i="282"/>
  <c r="W81" i="282"/>
  <c r="M73" i="293"/>
  <c r="M67" i="293" s="1"/>
  <c r="AG96" i="278"/>
  <c r="AH68" i="278"/>
  <c r="AH69" i="278" s="1"/>
  <c r="AH84" i="278"/>
  <c r="AH91" i="278"/>
  <c r="AH95" i="278" s="1"/>
  <c r="AH96" i="278" s="1"/>
  <c r="AF57" i="278"/>
  <c r="AF59" i="278" s="1"/>
  <c r="AF62" i="278" s="1"/>
  <c r="M87" i="277"/>
  <c r="M74" i="277"/>
  <c r="M75" i="277"/>
  <c r="M77" i="277" s="1"/>
  <c r="M72" i="277"/>
  <c r="M84" i="277"/>
  <c r="M85" i="277"/>
  <c r="M86" i="277"/>
  <c r="M67" i="277"/>
  <c r="M92" i="275"/>
  <c r="M86" i="275"/>
  <c r="M85" i="275"/>
  <c r="M72" i="275"/>
  <c r="M93" i="275"/>
  <c r="M88" i="275"/>
  <c r="M67" i="275"/>
  <c r="M76" i="275"/>
  <c r="M77" i="275" s="1"/>
  <c r="M69" i="275"/>
  <c r="M90" i="275"/>
  <c r="M94" i="275" s="1"/>
  <c r="M84" i="275"/>
  <c r="O65" i="279"/>
  <c r="L70" i="284"/>
  <c r="L95" i="284"/>
  <c r="L58" i="284" s="1"/>
  <c r="M92" i="284"/>
  <c r="M93" i="284"/>
  <c r="M90" i="284"/>
  <c r="M94" i="284" s="1"/>
  <c r="M69" i="284"/>
  <c r="M68" i="284"/>
  <c r="M73" i="280"/>
  <c r="T65" i="280"/>
  <c r="T67" i="280" s="1"/>
  <c r="N54" i="290"/>
  <c r="K59" i="290"/>
  <c r="N55" i="289"/>
  <c r="N57" i="289"/>
  <c r="O54" i="289"/>
  <c r="M62" i="289"/>
  <c r="K58" i="284"/>
  <c r="AG78" i="278"/>
  <c r="AG57" i="278" s="1"/>
  <c r="AG88" i="278"/>
  <c r="AG89" i="278" s="1"/>
  <c r="AH85" i="278"/>
  <c r="AH87" i="278"/>
  <c r="AH74" i="278"/>
  <c r="AH86" i="278"/>
  <c r="AI54" i="278"/>
  <c r="AH75" i="278"/>
  <c r="AH77" i="278" s="1"/>
  <c r="L78" i="277"/>
  <c r="K58" i="275"/>
  <c r="N65" i="295"/>
  <c r="M67" i="295"/>
  <c r="K57" i="293"/>
  <c r="F62" i="306"/>
  <c r="BI62" i="306" s="1"/>
  <c r="C16" i="306" s="1"/>
  <c r="BI59" i="306"/>
  <c r="C13" i="306" s="1"/>
  <c r="K57" i="275"/>
  <c r="L75" i="280"/>
  <c r="L57" i="280" s="1"/>
  <c r="AH84" i="284"/>
  <c r="AI65" i="284"/>
  <c r="AH88" i="292"/>
  <c r="AH89" i="292" s="1"/>
  <c r="AI54" i="292"/>
  <c r="M73" i="295"/>
  <c r="M75" i="295" s="1"/>
  <c r="N54" i="295"/>
  <c r="AF79" i="276"/>
  <c r="N54" i="279"/>
  <c r="N69" i="279" s="1"/>
  <c r="M75" i="279"/>
  <c r="K57" i="277"/>
  <c r="AG89" i="292"/>
  <c r="L70" i="276"/>
  <c r="L57" i="276" s="1"/>
  <c r="AG78" i="276"/>
  <c r="AG79" i="276" s="1"/>
  <c r="N54" i="284"/>
  <c r="L95" i="275"/>
  <c r="L58" i="275" s="1"/>
  <c r="L78" i="275"/>
  <c r="L57" i="275" s="1"/>
  <c r="AH66" i="292"/>
  <c r="AH79" i="292"/>
  <c r="AH96" i="292"/>
  <c r="AI64" i="292"/>
  <c r="L75" i="293"/>
  <c r="L57" i="293" s="1"/>
  <c r="AH95" i="279"/>
  <c r="AH96" i="279" s="1"/>
  <c r="N54" i="277"/>
  <c r="L62" i="295"/>
  <c r="N54" i="276"/>
  <c r="N54" i="275"/>
  <c r="M87" i="275"/>
  <c r="N54" i="293"/>
  <c r="AI65" i="276"/>
  <c r="L89" i="277"/>
  <c r="L58" i="277" s="1"/>
  <c r="X62" i="306"/>
  <c r="Y93" i="306"/>
  <c r="Y97" i="306" s="1"/>
  <c r="Y98" i="306" s="1"/>
  <c r="Z65" i="306"/>
  <c r="Z54" i="306"/>
  <c r="Y57" i="306"/>
  <c r="Y59" i="306" s="1"/>
  <c r="Y55" i="306"/>
  <c r="G62" i="293"/>
  <c r="G59" i="292"/>
  <c r="G60" i="279"/>
  <c r="F62" i="276"/>
  <c r="F62" i="284"/>
  <c r="G62" i="275"/>
  <c r="I43" i="304"/>
  <c r="N54" i="280"/>
  <c r="N55" i="280" s="1"/>
  <c r="O54" i="282"/>
  <c r="O70" i="282" s="1"/>
  <c r="K58" i="279" l="1"/>
  <c r="K60" i="279" s="1"/>
  <c r="K62" i="279" s="1"/>
  <c r="M96" i="293"/>
  <c r="M100" i="293"/>
  <c r="L73" i="279"/>
  <c r="L76" i="279" s="1"/>
  <c r="L77" i="279" s="1"/>
  <c r="L78" i="279" s="1"/>
  <c r="H19" i="321"/>
  <c r="B19" i="321" s="1"/>
  <c r="I90" i="280"/>
  <c r="I91" i="280" s="1"/>
  <c r="I107" i="280" s="1"/>
  <c r="I58" i="280" s="1"/>
  <c r="I59" i="280" s="1"/>
  <c r="I62" i="280" s="1"/>
  <c r="L111" i="280"/>
  <c r="L106" i="280"/>
  <c r="L86" i="293"/>
  <c r="L87" i="293" s="1"/>
  <c r="L97" i="293" s="1"/>
  <c r="L58" i="293" s="1"/>
  <c r="L59" i="293" s="1"/>
  <c r="M81" i="293"/>
  <c r="L81" i="280"/>
  <c r="N67" i="276"/>
  <c r="N69" i="276"/>
  <c r="N85" i="276"/>
  <c r="N68" i="276"/>
  <c r="K78" i="278"/>
  <c r="K57" i="278" s="1"/>
  <c r="K59" i="278" s="1"/>
  <c r="K62" i="278" s="1"/>
  <c r="L74" i="278"/>
  <c r="L75" i="278"/>
  <c r="L77" i="278" s="1"/>
  <c r="L78" i="278" s="1"/>
  <c r="L57" i="278" s="1"/>
  <c r="L59" i="278" s="1"/>
  <c r="L62" i="278" s="1"/>
  <c r="N67" i="278"/>
  <c r="M72" i="278"/>
  <c r="M96" i="280"/>
  <c r="M83" i="280" s="1"/>
  <c r="M97" i="280"/>
  <c r="M84" i="280" s="1"/>
  <c r="M98" i="280"/>
  <c r="M85" i="280" s="1"/>
  <c r="M82" i="280"/>
  <c r="M94" i="280"/>
  <c r="K107" i="280"/>
  <c r="K58" i="280" s="1"/>
  <c r="K59" i="280" s="1"/>
  <c r="K62" i="280" s="1"/>
  <c r="O79" i="280"/>
  <c r="N89" i="280"/>
  <c r="L73" i="284"/>
  <c r="L75" i="284" s="1"/>
  <c r="L77" i="284" s="1"/>
  <c r="K78" i="284"/>
  <c r="K57" i="284" s="1"/>
  <c r="K59" i="284" s="1"/>
  <c r="K62" i="284" s="1"/>
  <c r="L67" i="279"/>
  <c r="L68" i="279" s="1"/>
  <c r="L70" i="279" s="1"/>
  <c r="G44" i="304"/>
  <c r="H44" i="304" s="1"/>
  <c r="K59" i="293"/>
  <c r="K62" i="293" s="1"/>
  <c r="D45" i="304"/>
  <c r="N95" i="280" s="1"/>
  <c r="N67" i="284"/>
  <c r="N90" i="293"/>
  <c r="AD65" i="293"/>
  <c r="AC67" i="293"/>
  <c r="J107" i="280"/>
  <c r="J58" i="280" s="1"/>
  <c r="J59" i="280" s="1"/>
  <c r="J62" i="280" s="1"/>
  <c r="H107" i="280"/>
  <c r="H58" i="280" s="1"/>
  <c r="H59" i="280" s="1"/>
  <c r="H62" i="280" s="1"/>
  <c r="G107" i="280"/>
  <c r="G58" i="280" s="1"/>
  <c r="G59" i="280" s="1"/>
  <c r="G62" i="280" s="1"/>
  <c r="Y65" i="282"/>
  <c r="X73" i="282"/>
  <c r="X67" i="282"/>
  <c r="Y79" i="282"/>
  <c r="X81" i="282"/>
  <c r="N73" i="293"/>
  <c r="N67" i="293" s="1"/>
  <c r="M70" i="284"/>
  <c r="M95" i="284"/>
  <c r="M58" i="284" s="1"/>
  <c r="AI68" i="278"/>
  <c r="AI69" i="278" s="1"/>
  <c r="AI84" i="278"/>
  <c r="AI72" i="278"/>
  <c r="AI91" i="278"/>
  <c r="AI95" i="278" s="1"/>
  <c r="AI96" i="278" s="1"/>
  <c r="AG58" i="278"/>
  <c r="AG59" i="278" s="1"/>
  <c r="AG62" i="278" s="1"/>
  <c r="M88" i="277"/>
  <c r="M89" i="277" s="1"/>
  <c r="M58" i="277" s="1"/>
  <c r="N86" i="277"/>
  <c r="N72" i="277"/>
  <c r="N84" i="277"/>
  <c r="N85" i="277"/>
  <c r="N67" i="277"/>
  <c r="N75" i="277"/>
  <c r="N77" i="277" s="1"/>
  <c r="N87" i="277"/>
  <c r="N74" i="277"/>
  <c r="N86" i="275"/>
  <c r="N84" i="275"/>
  <c r="N88" i="275"/>
  <c r="N69" i="275"/>
  <c r="N67" i="275"/>
  <c r="N90" i="275"/>
  <c r="N94" i="275" s="1"/>
  <c r="N72" i="275"/>
  <c r="N85" i="275"/>
  <c r="N87" i="275" s="1"/>
  <c r="N93" i="275"/>
  <c r="N92" i="275"/>
  <c r="N76" i="275"/>
  <c r="N77" i="275" s="1"/>
  <c r="P65" i="279"/>
  <c r="N90" i="284"/>
  <c r="N94" i="284" s="1"/>
  <c r="N69" i="284"/>
  <c r="N92" i="284"/>
  <c r="N93" i="284"/>
  <c r="N68" i="284"/>
  <c r="N73" i="280"/>
  <c r="U65" i="280"/>
  <c r="U67" i="280" s="1"/>
  <c r="AH72" i="278"/>
  <c r="AH78" i="278"/>
  <c r="AH57" i="278" s="1"/>
  <c r="AH88" i="278"/>
  <c r="AH89" i="278" s="1"/>
  <c r="AH58" i="278" s="1"/>
  <c r="M57" i="290"/>
  <c r="K62" i="290"/>
  <c r="O54" i="290"/>
  <c r="N57" i="290"/>
  <c r="N59" i="290" s="1"/>
  <c r="N62" i="290" s="1"/>
  <c r="N59" i="289"/>
  <c r="O57" i="289"/>
  <c r="O59" i="289" s="1"/>
  <c r="O62" i="289" s="1"/>
  <c r="O55" i="289"/>
  <c r="P54" i="289"/>
  <c r="AI86" i="278"/>
  <c r="AI75" i="278"/>
  <c r="AI77" i="278" s="1"/>
  <c r="AI85" i="278"/>
  <c r="AI74" i="278"/>
  <c r="AI87" i="278"/>
  <c r="AJ54" i="278"/>
  <c r="K59" i="277"/>
  <c r="K62" i="277" s="1"/>
  <c r="L57" i="277"/>
  <c r="L59" i="277" s="1"/>
  <c r="L62" i="277" s="1"/>
  <c r="K59" i="275"/>
  <c r="M95" i="275"/>
  <c r="M58" i="275" s="1"/>
  <c r="AH57" i="292"/>
  <c r="AG97" i="292"/>
  <c r="AH59" i="279"/>
  <c r="O65" i="295"/>
  <c r="N67" i="295"/>
  <c r="M57" i="295"/>
  <c r="M59" i="295" s="1"/>
  <c r="M62" i="295" s="1"/>
  <c r="AH97" i="292"/>
  <c r="AH58" i="292" s="1"/>
  <c r="M75" i="293"/>
  <c r="M57" i="293" s="1"/>
  <c r="M78" i="275"/>
  <c r="L59" i="275"/>
  <c r="L62" i="275" s="1"/>
  <c r="O54" i="277"/>
  <c r="AI95" i="279"/>
  <c r="AI96" i="279" s="1"/>
  <c r="AI59" i="279" s="1"/>
  <c r="O54" i="279"/>
  <c r="O69" i="279" s="1"/>
  <c r="N75" i="279"/>
  <c r="M70" i="276"/>
  <c r="M57" i="276" s="1"/>
  <c r="M78" i="277"/>
  <c r="M57" i="277" s="1"/>
  <c r="O54" i="293"/>
  <c r="AI79" i="292"/>
  <c r="AI57" i="292" s="1"/>
  <c r="AI66" i="292"/>
  <c r="AI96" i="292"/>
  <c r="AJ64" i="292"/>
  <c r="AH78" i="276"/>
  <c r="AJ65" i="276"/>
  <c r="O54" i="275"/>
  <c r="AJ54" i="292"/>
  <c r="AI88" i="292"/>
  <c r="AI89" i="292" s="1"/>
  <c r="O54" i="276"/>
  <c r="N70" i="276"/>
  <c r="O54" i="284"/>
  <c r="N73" i="295"/>
  <c r="N75" i="295" s="1"/>
  <c r="N57" i="295" s="1"/>
  <c r="N59" i="295" s="1"/>
  <c r="O54" i="295"/>
  <c r="AI84" i="284"/>
  <c r="AJ65" i="284"/>
  <c r="Y62" i="306"/>
  <c r="Z57" i="306"/>
  <c r="Z59" i="306" s="1"/>
  <c r="Z55" i="306"/>
  <c r="AA54" i="306"/>
  <c r="Z93" i="306"/>
  <c r="Z97" i="306" s="1"/>
  <c r="Z98" i="306" s="1"/>
  <c r="AA65" i="306"/>
  <c r="M75" i="280"/>
  <c r="M57" i="280" s="1"/>
  <c r="G62" i="279"/>
  <c r="G61" i="292"/>
  <c r="I44" i="304"/>
  <c r="O54" i="280"/>
  <c r="O55" i="280" s="1"/>
  <c r="P54" i="282"/>
  <c r="P70" i="282" s="1"/>
  <c r="L58" i="279" l="1"/>
  <c r="L60" i="279" s="1"/>
  <c r="L62" i="279" s="1"/>
  <c r="N96" i="293"/>
  <c r="N100" i="293"/>
  <c r="M111" i="280"/>
  <c r="M106" i="280"/>
  <c r="L90" i="280"/>
  <c r="L91" i="280" s="1"/>
  <c r="L107" i="280" s="1"/>
  <c r="L58" i="280" s="1"/>
  <c r="L59" i="280" s="1"/>
  <c r="L62" i="280" s="1"/>
  <c r="M67" i="279"/>
  <c r="M68" i="279" s="1"/>
  <c r="M70" i="279" s="1"/>
  <c r="H20" i="321"/>
  <c r="B20" i="321" s="1"/>
  <c r="M86" i="293"/>
  <c r="M87" i="293" s="1"/>
  <c r="M97" i="293" s="1"/>
  <c r="M58" i="293" s="1"/>
  <c r="M59" i="293" s="1"/>
  <c r="M62" i="293" s="1"/>
  <c r="N81" i="293"/>
  <c r="M81" i="280"/>
  <c r="O85" i="276"/>
  <c r="O68" i="276"/>
  <c r="O67" i="276"/>
  <c r="O69" i="276"/>
  <c r="M74" i="278"/>
  <c r="M75" i="278"/>
  <c r="M77" i="278" s="1"/>
  <c r="O67" i="278"/>
  <c r="N72" i="278"/>
  <c r="N98" i="280"/>
  <c r="N85" i="280" s="1"/>
  <c r="N96" i="280"/>
  <c r="N83" i="280" s="1"/>
  <c r="N97" i="280"/>
  <c r="N84" i="280" s="1"/>
  <c r="N82" i="280"/>
  <c r="N94" i="280"/>
  <c r="P79" i="280"/>
  <c r="O89" i="280"/>
  <c r="L78" i="284"/>
  <c r="L57" i="284" s="1"/>
  <c r="L59" i="284" s="1"/>
  <c r="M73" i="279"/>
  <c r="M76" i="279" s="1"/>
  <c r="M77" i="279" s="1"/>
  <c r="M78" i="279" s="1"/>
  <c r="M73" i="284"/>
  <c r="M75" i="284" s="1"/>
  <c r="M77" i="284" s="1"/>
  <c r="G45" i="304"/>
  <c r="H45" i="304" s="1"/>
  <c r="D46" i="304"/>
  <c r="O95" i="280" s="1"/>
  <c r="O67" i="284"/>
  <c r="O90" i="293"/>
  <c r="AE65" i="293"/>
  <c r="AD67" i="293"/>
  <c r="Z79" i="282"/>
  <c r="Y81" i="282"/>
  <c r="Z65" i="282"/>
  <c r="Y73" i="282"/>
  <c r="Y67" i="282"/>
  <c r="O73" i="293"/>
  <c r="O67" i="293" s="1"/>
  <c r="N95" i="275"/>
  <c r="N58" i="275" s="1"/>
  <c r="N70" i="284"/>
  <c r="AJ68" i="278"/>
  <c r="AJ69" i="278" s="1"/>
  <c r="AJ91" i="278"/>
  <c r="AJ95" i="278" s="1"/>
  <c r="AJ96" i="278" s="1"/>
  <c r="AJ84" i="278"/>
  <c r="N88" i="277"/>
  <c r="N89" i="277" s="1"/>
  <c r="N58" i="277" s="1"/>
  <c r="O85" i="277"/>
  <c r="O84" i="277"/>
  <c r="O86" i="277"/>
  <c r="O87" i="277"/>
  <c r="O74" i="277"/>
  <c r="O67" i="277"/>
  <c r="O75" i="277"/>
  <c r="O77" i="277" s="1"/>
  <c r="O72" i="277"/>
  <c r="O93" i="275"/>
  <c r="O90" i="275"/>
  <c r="O94" i="275" s="1"/>
  <c r="O92" i="275"/>
  <c r="O84" i="275"/>
  <c r="O76" i="275"/>
  <c r="O77" i="275" s="1"/>
  <c r="O88" i="275"/>
  <c r="O72" i="275"/>
  <c r="O67" i="275"/>
  <c r="O85" i="275"/>
  <c r="O86" i="275"/>
  <c r="O69" i="275"/>
  <c r="Q65" i="279"/>
  <c r="N95" i="284"/>
  <c r="N58" i="284" s="1"/>
  <c r="O92" i="284"/>
  <c r="O90" i="284"/>
  <c r="O94" i="284" s="1"/>
  <c r="O69" i="284"/>
  <c r="O93" i="284"/>
  <c r="O68" i="284"/>
  <c r="O73" i="280"/>
  <c r="O75" i="280" s="1"/>
  <c r="O57" i="280" s="1"/>
  <c r="V65" i="280"/>
  <c r="V67" i="280" s="1"/>
  <c r="AG58" i="292"/>
  <c r="AG59" i="292" s="1"/>
  <c r="AH59" i="278"/>
  <c r="AH62" i="278" s="1"/>
  <c r="P54" i="290"/>
  <c r="O57" i="290"/>
  <c r="O59" i="290" s="1"/>
  <c r="O62" i="290" s="1"/>
  <c r="M59" i="290"/>
  <c r="P57" i="289"/>
  <c r="P59" i="289" s="1"/>
  <c r="P62" i="289" s="1"/>
  <c r="P55" i="289"/>
  <c r="Q54" i="289"/>
  <c r="N62" i="289"/>
  <c r="AJ87" i="278"/>
  <c r="AJ86" i="278"/>
  <c r="AJ85" i="278"/>
  <c r="AJ74" i="278"/>
  <c r="AJ75" i="278"/>
  <c r="AJ77" i="278" s="1"/>
  <c r="AK54" i="278"/>
  <c r="AI88" i="278"/>
  <c r="AI89" i="278" s="1"/>
  <c r="AI58" i="278" s="1"/>
  <c r="AI78" i="278"/>
  <c r="N57" i="276"/>
  <c r="K62" i="275"/>
  <c r="AH59" i="292"/>
  <c r="AH61" i="292" s="1"/>
  <c r="P65" i="295"/>
  <c r="O67" i="295"/>
  <c r="L62" i="293"/>
  <c r="M57" i="275"/>
  <c r="M59" i="277"/>
  <c r="M62" i="277" s="1"/>
  <c r="N78" i="275"/>
  <c r="AJ84" i="284"/>
  <c r="AK65" i="284"/>
  <c r="AI78" i="276"/>
  <c r="AJ96" i="292"/>
  <c r="AJ79" i="292"/>
  <c r="AJ57" i="292" s="1"/>
  <c r="AK64" i="292"/>
  <c r="AJ66" i="292"/>
  <c r="N75" i="293"/>
  <c r="N57" i="293" s="1"/>
  <c r="P54" i="279"/>
  <c r="P69" i="279" s="1"/>
  <c r="O75" i="279"/>
  <c r="P54" i="277"/>
  <c r="O73" i="295"/>
  <c r="O75" i="295" s="1"/>
  <c r="O57" i="295" s="1"/>
  <c r="O59" i="295" s="1"/>
  <c r="P54" i="295"/>
  <c r="AI97" i="292"/>
  <c r="AI58" i="292" s="1"/>
  <c r="AI59" i="292" s="1"/>
  <c r="AI61" i="292" s="1"/>
  <c r="N78" i="277"/>
  <c r="P54" i="284"/>
  <c r="AK54" i="292"/>
  <c r="AJ88" i="292"/>
  <c r="AK65" i="276"/>
  <c r="P54" i="293"/>
  <c r="N62" i="295"/>
  <c r="P54" i="276"/>
  <c r="O70" i="276"/>
  <c r="O57" i="276" s="1"/>
  <c r="O87" i="275"/>
  <c r="P54" i="275"/>
  <c r="AH79" i="276"/>
  <c r="AJ95" i="279"/>
  <c r="AJ96" i="279" s="1"/>
  <c r="Z62" i="306"/>
  <c r="AA93" i="306"/>
  <c r="AA97" i="306" s="1"/>
  <c r="AA98" i="306" s="1"/>
  <c r="AB65" i="306"/>
  <c r="AB54" i="306"/>
  <c r="AA57" i="306"/>
  <c r="AA59" i="306" s="1"/>
  <c r="AA55" i="306"/>
  <c r="N75" i="280"/>
  <c r="N57" i="280" s="1"/>
  <c r="I45" i="304"/>
  <c r="P54" i="280"/>
  <c r="P55" i="280" s="1"/>
  <c r="Q54" i="282"/>
  <c r="Q55" i="282" s="1"/>
  <c r="M58" i="279" l="1"/>
  <c r="M60" i="279" s="1"/>
  <c r="M62" i="279" s="1"/>
  <c r="N111" i="280"/>
  <c r="N106" i="280"/>
  <c r="N73" i="284"/>
  <c r="N75" i="284" s="1"/>
  <c r="N77" i="284" s="1"/>
  <c r="H21" i="321"/>
  <c r="B21" i="321" s="1"/>
  <c r="O96" i="293"/>
  <c r="O100" i="293"/>
  <c r="M90" i="280"/>
  <c r="M91" i="280" s="1"/>
  <c r="M107" i="280" s="1"/>
  <c r="M58" i="280" s="1"/>
  <c r="M59" i="280" s="1"/>
  <c r="M62" i="280" s="1"/>
  <c r="N86" i="293"/>
  <c r="N87" i="293" s="1"/>
  <c r="N97" i="293" s="1"/>
  <c r="N58" i="293" s="1"/>
  <c r="N59" i="293" s="1"/>
  <c r="N62" i="293" s="1"/>
  <c r="O81" i="293"/>
  <c r="N81" i="280"/>
  <c r="P68" i="276"/>
  <c r="P85" i="276"/>
  <c r="P67" i="276"/>
  <c r="P69" i="276"/>
  <c r="M78" i="278"/>
  <c r="M57" i="278" s="1"/>
  <c r="M59" i="278" s="1"/>
  <c r="M62" i="278" s="1"/>
  <c r="AJ78" i="278"/>
  <c r="N75" i="278"/>
  <c r="N77" i="278" s="1"/>
  <c r="N74" i="278"/>
  <c r="P67" i="278"/>
  <c r="O72" i="278"/>
  <c r="O97" i="280"/>
  <c r="O84" i="280" s="1"/>
  <c r="O96" i="280"/>
  <c r="O83" i="280" s="1"/>
  <c r="O98" i="280"/>
  <c r="O85" i="280" s="1"/>
  <c r="O82" i="280"/>
  <c r="O94" i="280"/>
  <c r="Q79" i="280"/>
  <c r="P89" i="280"/>
  <c r="M78" i="284"/>
  <c r="M57" i="284" s="1"/>
  <c r="M59" i="284" s="1"/>
  <c r="M62" i="284" s="1"/>
  <c r="N73" i="279"/>
  <c r="N76" i="279" s="1"/>
  <c r="N77" i="279" s="1"/>
  <c r="N78" i="279" s="1"/>
  <c r="N67" i="279"/>
  <c r="N68" i="279" s="1"/>
  <c r="N70" i="279" s="1"/>
  <c r="G46" i="304"/>
  <c r="D47" i="304"/>
  <c r="P95" i="280" s="1"/>
  <c r="P67" i="284"/>
  <c r="P90" i="293"/>
  <c r="AF65" i="293"/>
  <c r="AE67" i="293"/>
  <c r="Q105" i="282"/>
  <c r="Q57" i="282"/>
  <c r="Q58" i="282"/>
  <c r="Q89" i="282"/>
  <c r="Q70" i="282"/>
  <c r="AA79" i="282"/>
  <c r="Z81" i="282"/>
  <c r="AA65" i="282"/>
  <c r="Z73" i="282"/>
  <c r="Z67" i="282"/>
  <c r="P73" i="293"/>
  <c r="P67" i="293" s="1"/>
  <c r="O78" i="277"/>
  <c r="O57" i="277" s="1"/>
  <c r="AK68" i="278"/>
  <c r="AK69" i="278" s="1"/>
  <c r="AK91" i="278"/>
  <c r="AK95" i="278" s="1"/>
  <c r="AK72" i="278"/>
  <c r="AK84" i="278"/>
  <c r="P84" i="277"/>
  <c r="P85" i="277"/>
  <c r="P86" i="277"/>
  <c r="P87" i="277"/>
  <c r="P88" i="277" s="1"/>
  <c r="P67" i="277"/>
  <c r="P72" i="277"/>
  <c r="P74" i="277"/>
  <c r="P75" i="277"/>
  <c r="P77" i="277" s="1"/>
  <c r="O88" i="277"/>
  <c r="O89" i="277" s="1"/>
  <c r="O58" i="277" s="1"/>
  <c r="P88" i="275"/>
  <c r="P85" i="275"/>
  <c r="P92" i="275"/>
  <c r="P90" i="275"/>
  <c r="P94" i="275" s="1"/>
  <c r="P76" i="275"/>
  <c r="P77" i="275" s="1"/>
  <c r="P93" i="275"/>
  <c r="P86" i="275"/>
  <c r="P69" i="275"/>
  <c r="P84" i="275"/>
  <c r="P72" i="275"/>
  <c r="P67" i="275"/>
  <c r="R65" i="279"/>
  <c r="O70" i="284"/>
  <c r="O95" i="284"/>
  <c r="O58" i="284" s="1"/>
  <c r="P93" i="284"/>
  <c r="P68" i="284"/>
  <c r="P90" i="284"/>
  <c r="P94" i="284" s="1"/>
  <c r="P69" i="284"/>
  <c r="P92" i="284"/>
  <c r="P73" i="280"/>
  <c r="W65" i="280"/>
  <c r="W67" i="280" s="1"/>
  <c r="AJ72" i="278"/>
  <c r="AJ57" i="278"/>
  <c r="AI57" i="278"/>
  <c r="AI59" i="278" s="1"/>
  <c r="AI62" i="278" s="1"/>
  <c r="M62" i="290"/>
  <c r="Q54" i="290"/>
  <c r="P57" i="290"/>
  <c r="P59" i="290" s="1"/>
  <c r="P62" i="290" s="1"/>
  <c r="Q57" i="289"/>
  <c r="Q55" i="289"/>
  <c r="R54" i="289"/>
  <c r="L62" i="284"/>
  <c r="AK85" i="278"/>
  <c r="AK87" i="278"/>
  <c r="AK75" i="278"/>
  <c r="AK77" i="278" s="1"/>
  <c r="AK74" i="278"/>
  <c r="AK86" i="278"/>
  <c r="AL54" i="278"/>
  <c r="AJ88" i="278"/>
  <c r="AJ89" i="278" s="1"/>
  <c r="AJ58" i="278" s="1"/>
  <c r="M59" i="275"/>
  <c r="AG61" i="292"/>
  <c r="AJ59" i="279"/>
  <c r="Q65" i="295"/>
  <c r="P67" i="295"/>
  <c r="O95" i="275"/>
  <c r="N57" i="275"/>
  <c r="N59" i="275" s="1"/>
  <c r="N62" i="275" s="1"/>
  <c r="AI79" i="276"/>
  <c r="AJ89" i="292"/>
  <c r="Q54" i="293"/>
  <c r="AK95" i="279"/>
  <c r="AK96" i="279" s="1"/>
  <c r="AK59" i="279" s="1"/>
  <c r="Q54" i="275"/>
  <c r="O78" i="275"/>
  <c r="Q54" i="284"/>
  <c r="P73" i="295"/>
  <c r="P75" i="295" s="1"/>
  <c r="P57" i="295" s="1"/>
  <c r="P59" i="295" s="1"/>
  <c r="P62" i="295" s="1"/>
  <c r="Q54" i="295"/>
  <c r="Q54" i="279"/>
  <c r="Q69" i="279" s="1"/>
  <c r="P75" i="279"/>
  <c r="AK79" i="292"/>
  <c r="AK57" i="292" s="1"/>
  <c r="AL64" i="292"/>
  <c r="AK96" i="292"/>
  <c r="AK66" i="292"/>
  <c r="Q54" i="276"/>
  <c r="O75" i="293"/>
  <c r="O57" i="293" s="1"/>
  <c r="AJ78" i="276"/>
  <c r="AL54" i="292"/>
  <c r="AK88" i="292"/>
  <c r="N57" i="277"/>
  <c r="O62" i="295"/>
  <c r="Q54" i="277"/>
  <c r="AK84" i="284"/>
  <c r="AL65" i="284"/>
  <c r="AL65" i="276"/>
  <c r="AA62" i="306"/>
  <c r="AC54" i="306"/>
  <c r="AB57" i="306"/>
  <c r="AB55" i="306"/>
  <c r="AB87" i="306"/>
  <c r="AB93" i="306"/>
  <c r="AB97" i="306" s="1"/>
  <c r="AB98" i="306" s="1"/>
  <c r="AB58" i="306" s="1"/>
  <c r="BI58" i="306" s="1"/>
  <c r="AC65" i="306"/>
  <c r="AB67" i="306"/>
  <c r="AB74" i="306"/>
  <c r="I46" i="304"/>
  <c r="Q54" i="280"/>
  <c r="Q55" i="280" s="1"/>
  <c r="R54" i="282"/>
  <c r="R55" i="282" s="1"/>
  <c r="H22" i="321" l="1"/>
  <c r="B22" i="321" s="1"/>
  <c r="H46" i="304"/>
  <c r="N78" i="284"/>
  <c r="N57" i="284" s="1"/>
  <c r="N59" i="284" s="1"/>
  <c r="N62" i="284" s="1"/>
  <c r="P96" i="293"/>
  <c r="P100" i="293"/>
  <c r="O111" i="280"/>
  <c r="O106" i="280"/>
  <c r="N90" i="280"/>
  <c r="N91" i="280" s="1"/>
  <c r="N107" i="280" s="1"/>
  <c r="N58" i="280" s="1"/>
  <c r="N59" i="280" s="1"/>
  <c r="N62" i="280" s="1"/>
  <c r="O86" i="293"/>
  <c r="O87" i="293" s="1"/>
  <c r="O97" i="293" s="1"/>
  <c r="O58" i="293" s="1"/>
  <c r="O59" i="293" s="1"/>
  <c r="P81" i="293"/>
  <c r="O81" i="280"/>
  <c r="Q85" i="276"/>
  <c r="Q68" i="276"/>
  <c r="Q67" i="276"/>
  <c r="Q69" i="276"/>
  <c r="N78" i="278"/>
  <c r="N57" i="278" s="1"/>
  <c r="N59" i="278" s="1"/>
  <c r="N62" i="278" s="1"/>
  <c r="O75" i="278"/>
  <c r="O77" i="278" s="1"/>
  <c r="O74" i="278"/>
  <c r="Q67" i="278"/>
  <c r="P72" i="278"/>
  <c r="P98" i="280"/>
  <c r="P85" i="280" s="1"/>
  <c r="P96" i="280"/>
  <c r="P83" i="280" s="1"/>
  <c r="P97" i="280"/>
  <c r="P84" i="280" s="1"/>
  <c r="P82" i="280"/>
  <c r="P94" i="280"/>
  <c r="R79" i="280"/>
  <c r="Q89" i="280"/>
  <c r="G47" i="304"/>
  <c r="H47" i="304" s="1"/>
  <c r="N58" i="279"/>
  <c r="N60" i="279" s="1"/>
  <c r="N62" i="279" s="1"/>
  <c r="O73" i="284"/>
  <c r="O75" i="284" s="1"/>
  <c r="O77" i="284" s="1"/>
  <c r="O78" i="284" s="1"/>
  <c r="O57" i="284" s="1"/>
  <c r="O73" i="279"/>
  <c r="O76" i="279" s="1"/>
  <c r="O77" i="279" s="1"/>
  <c r="O78" i="279" s="1"/>
  <c r="O67" i="279"/>
  <c r="O68" i="279" s="1"/>
  <c r="O70" i="279" s="1"/>
  <c r="D48" i="304"/>
  <c r="Q95" i="280" s="1"/>
  <c r="Q67" i="284"/>
  <c r="Q90" i="293"/>
  <c r="AG65" i="293"/>
  <c r="AF67" i="293"/>
  <c r="AB79" i="282"/>
  <c r="AA81" i="282"/>
  <c r="AB65" i="282"/>
  <c r="AA73" i="282"/>
  <c r="AA67" i="282"/>
  <c r="R105" i="282"/>
  <c r="R89" i="282"/>
  <c r="R90" i="282" s="1"/>
  <c r="R70" i="282"/>
  <c r="R58" i="282"/>
  <c r="R57" i="282"/>
  <c r="Q73" i="293"/>
  <c r="Q67" i="293" s="1"/>
  <c r="AK96" i="278"/>
  <c r="AL68" i="278"/>
  <c r="AL69" i="278" s="1"/>
  <c r="AL84" i="278"/>
  <c r="AL91" i="278"/>
  <c r="AL95" i="278" s="1"/>
  <c r="AL96" i="278" s="1"/>
  <c r="Q87" i="277"/>
  <c r="Q74" i="277"/>
  <c r="Q72" i="277"/>
  <c r="Q75" i="277"/>
  <c r="Q77" i="277" s="1"/>
  <c r="Q84" i="277"/>
  <c r="Q85" i="277"/>
  <c r="Q86" i="277"/>
  <c r="Q67" i="277"/>
  <c r="Q92" i="275"/>
  <c r="Q93" i="275"/>
  <c r="Q84" i="275"/>
  <c r="Q72" i="275"/>
  <c r="Q90" i="275"/>
  <c r="Q94" i="275" s="1"/>
  <c r="Q86" i="275"/>
  <c r="Q76" i="275"/>
  <c r="Q77" i="275" s="1"/>
  <c r="Q69" i="275"/>
  <c r="Q88" i="275"/>
  <c r="Q85" i="275"/>
  <c r="Q67" i="275"/>
  <c r="S65" i="279"/>
  <c r="P70" i="284"/>
  <c r="P95" i="284"/>
  <c r="P58" i="284" s="1"/>
  <c r="Q92" i="284"/>
  <c r="Q90" i="284"/>
  <c r="Q94" i="284" s="1"/>
  <c r="Q93" i="284"/>
  <c r="Q68" i="284"/>
  <c r="Q69" i="284"/>
  <c r="X65" i="280"/>
  <c r="X67" i="280" s="1"/>
  <c r="Q73" i="280"/>
  <c r="AJ59" i="278"/>
  <c r="AJ62" i="278" s="1"/>
  <c r="AK78" i="278"/>
  <c r="R54" i="290"/>
  <c r="Q57" i="290"/>
  <c r="Q59" i="290" s="1"/>
  <c r="Q62" i="290" s="1"/>
  <c r="BI59" i="290"/>
  <c r="C13" i="290" s="1"/>
  <c r="B22" i="285" s="1"/>
  <c r="R55" i="289"/>
  <c r="R57" i="289"/>
  <c r="R59" i="289" s="1"/>
  <c r="S54" i="289"/>
  <c r="Q59" i="289"/>
  <c r="AK88" i="278"/>
  <c r="AK89" i="278" s="1"/>
  <c r="AL87" i="278"/>
  <c r="AL85" i="278"/>
  <c r="AL86" i="278"/>
  <c r="AL75" i="278"/>
  <c r="AL77" i="278" s="1"/>
  <c r="AL74" i="278"/>
  <c r="AM54" i="278"/>
  <c r="N59" i="277"/>
  <c r="N62" i="277" s="1"/>
  <c r="O58" i="275"/>
  <c r="M62" i="275"/>
  <c r="O57" i="275"/>
  <c r="AJ97" i="292"/>
  <c r="R65" i="295"/>
  <c r="Q67" i="295"/>
  <c r="P75" i="293"/>
  <c r="P57" i="293" s="1"/>
  <c r="P78" i="277"/>
  <c r="P70" i="276"/>
  <c r="AK78" i="276"/>
  <c r="AK79" i="276" s="1"/>
  <c r="R54" i="277"/>
  <c r="AL66" i="292"/>
  <c r="AL79" i="292"/>
  <c r="AL57" i="292" s="1"/>
  <c r="AM64" i="292"/>
  <c r="AL96" i="292"/>
  <c r="AL84" i="284"/>
  <c r="AM65" i="284"/>
  <c r="AK89" i="292"/>
  <c r="AK97" i="292" s="1"/>
  <c r="AK58" i="292" s="1"/>
  <c r="AK59" i="292" s="1"/>
  <c r="AK61" i="292" s="1"/>
  <c r="AJ79" i="276"/>
  <c r="R54" i="276"/>
  <c r="Q70" i="276"/>
  <c r="Q57" i="276" s="1"/>
  <c r="R54" i="279"/>
  <c r="R69" i="279" s="1"/>
  <c r="Q75" i="279"/>
  <c r="R54" i="284"/>
  <c r="P87" i="275"/>
  <c r="R54" i="275"/>
  <c r="AL95" i="279"/>
  <c r="AL96" i="279" s="1"/>
  <c r="AL59" i="279" s="1"/>
  <c r="AL88" i="292"/>
  <c r="AM54" i="292"/>
  <c r="O59" i="277"/>
  <c r="O62" i="277" s="1"/>
  <c r="R54" i="293"/>
  <c r="AM65" i="276"/>
  <c r="P89" i="277"/>
  <c r="P58" i="277" s="1"/>
  <c r="Q73" i="295"/>
  <c r="Q75" i="295" s="1"/>
  <c r="R54" i="295"/>
  <c r="P95" i="275"/>
  <c r="P58" i="275" s="1"/>
  <c r="P78" i="275"/>
  <c r="AB59" i="306"/>
  <c r="AB62" i="306" s="1"/>
  <c r="AC87" i="306"/>
  <c r="AC74" i="306"/>
  <c r="AC93" i="306"/>
  <c r="AC97" i="306" s="1"/>
  <c r="AC98" i="306" s="1"/>
  <c r="AC58" i="306" s="1"/>
  <c r="AC67" i="306"/>
  <c r="AC70" i="306" s="1"/>
  <c r="AC71" i="306" s="1"/>
  <c r="AD65" i="306"/>
  <c r="AD54" i="306"/>
  <c r="AC57" i="306"/>
  <c r="AC55" i="306"/>
  <c r="AB70" i="306"/>
  <c r="AB77" i="306"/>
  <c r="AB79" i="306" s="1"/>
  <c r="AB78" i="306"/>
  <c r="P75" i="280"/>
  <c r="P57" i="280" s="1"/>
  <c r="I47" i="304"/>
  <c r="R54" i="280"/>
  <c r="R55" i="280" s="1"/>
  <c r="S54" i="282"/>
  <c r="S55" i="282" s="1"/>
  <c r="O90" i="280" l="1"/>
  <c r="O91" i="280" s="1"/>
  <c r="O107" i="280" s="1"/>
  <c r="O58" i="280" s="1"/>
  <c r="O59" i="280" s="1"/>
  <c r="P111" i="280"/>
  <c r="P106" i="280"/>
  <c r="Q96" i="293"/>
  <c r="Q100" i="293"/>
  <c r="P67" i="279"/>
  <c r="P68" i="279" s="1"/>
  <c r="P70" i="279" s="1"/>
  <c r="H23" i="321"/>
  <c r="B23" i="321" s="1"/>
  <c r="P86" i="293"/>
  <c r="P87" i="293" s="1"/>
  <c r="P97" i="293" s="1"/>
  <c r="P58" i="293" s="1"/>
  <c r="P59" i="293" s="1"/>
  <c r="P62" i="293" s="1"/>
  <c r="Q81" i="293"/>
  <c r="P81" i="280"/>
  <c r="R69" i="276"/>
  <c r="R67" i="276"/>
  <c r="R85" i="276"/>
  <c r="R68" i="276"/>
  <c r="O78" i="278"/>
  <c r="O57" i="278" s="1"/>
  <c r="O59" i="278" s="1"/>
  <c r="O62" i="278" s="1"/>
  <c r="P74" i="278"/>
  <c r="P75" i="278"/>
  <c r="P77" i="278" s="1"/>
  <c r="P78" i="278" s="1"/>
  <c r="P57" i="278" s="1"/>
  <c r="P59" i="278" s="1"/>
  <c r="P62" i="278" s="1"/>
  <c r="R67" i="278"/>
  <c r="Q72" i="278"/>
  <c r="P73" i="279"/>
  <c r="P76" i="279" s="1"/>
  <c r="P77" i="279" s="1"/>
  <c r="P78" i="279" s="1"/>
  <c r="Q98" i="280"/>
  <c r="Q85" i="280" s="1"/>
  <c r="Q97" i="280"/>
  <c r="Q84" i="280" s="1"/>
  <c r="Q96" i="280"/>
  <c r="Q83" i="280" s="1"/>
  <c r="Q82" i="280"/>
  <c r="Q94" i="280"/>
  <c r="S79" i="280"/>
  <c r="R89" i="280"/>
  <c r="P73" i="284"/>
  <c r="P75" i="284" s="1"/>
  <c r="P77" i="284" s="1"/>
  <c r="G48" i="304"/>
  <c r="H48" i="304" s="1"/>
  <c r="O58" i="279"/>
  <c r="O60" i="279" s="1"/>
  <c r="O62" i="279" s="1"/>
  <c r="D49" i="304"/>
  <c r="R95" i="280" s="1"/>
  <c r="R67" i="284"/>
  <c r="R90" i="293"/>
  <c r="AH65" i="293"/>
  <c r="AG67" i="293"/>
  <c r="AC79" i="282"/>
  <c r="AB81" i="282"/>
  <c r="AC65" i="282"/>
  <c r="AB67" i="282"/>
  <c r="AB73" i="282"/>
  <c r="S105" i="282"/>
  <c r="S57" i="282"/>
  <c r="S70" i="282"/>
  <c r="S89" i="282"/>
  <c r="S90" i="282" s="1"/>
  <c r="S58" i="282"/>
  <c r="R73" i="293"/>
  <c r="R67" i="293" s="1"/>
  <c r="Q88" i="277"/>
  <c r="Q89" i="277" s="1"/>
  <c r="Q58" i="277" s="1"/>
  <c r="Q95" i="284"/>
  <c r="Q58" i="284" s="1"/>
  <c r="Q70" i="284"/>
  <c r="O59" i="275"/>
  <c r="O62" i="275" s="1"/>
  <c r="AM68" i="278"/>
  <c r="AM69" i="278" s="1"/>
  <c r="AM84" i="278"/>
  <c r="AM72" i="278"/>
  <c r="AM91" i="278"/>
  <c r="AM95" i="278" s="1"/>
  <c r="AK58" i="278"/>
  <c r="AK57" i="278"/>
  <c r="R86" i="277"/>
  <c r="R72" i="277"/>
  <c r="R74" i="277"/>
  <c r="R87" i="277"/>
  <c r="R75" i="277"/>
  <c r="R77" i="277" s="1"/>
  <c r="R84" i="277"/>
  <c r="R85" i="277"/>
  <c r="R67" i="277"/>
  <c r="R86" i="275"/>
  <c r="R84" i="275"/>
  <c r="R85" i="275"/>
  <c r="R69" i="275"/>
  <c r="R67" i="275"/>
  <c r="R93" i="275"/>
  <c r="R92" i="275"/>
  <c r="R90" i="275"/>
  <c r="R94" i="275" s="1"/>
  <c r="R76" i="275"/>
  <c r="R77" i="275" s="1"/>
  <c r="R88" i="275"/>
  <c r="R72" i="275"/>
  <c r="R70" i="279"/>
  <c r="R77" i="279"/>
  <c r="T65" i="279"/>
  <c r="R90" i="284"/>
  <c r="R94" i="284" s="1"/>
  <c r="R92" i="284"/>
  <c r="R93" i="284"/>
  <c r="R69" i="284"/>
  <c r="R68" i="284"/>
  <c r="R73" i="280"/>
  <c r="R75" i="280" s="1"/>
  <c r="R57" i="280" s="1"/>
  <c r="Y65" i="280"/>
  <c r="Y67" i="280" s="1"/>
  <c r="AJ58" i="292"/>
  <c r="AJ59" i="292" s="1"/>
  <c r="AL72" i="278"/>
  <c r="AL88" i="278"/>
  <c r="AL89" i="278" s="1"/>
  <c r="AL58" i="278" s="1"/>
  <c r="R62" i="290"/>
  <c r="S54" i="290"/>
  <c r="BI57" i="290"/>
  <c r="S57" i="289"/>
  <c r="S55" i="289"/>
  <c r="T54" i="289"/>
  <c r="R62" i="289"/>
  <c r="Q62" i="289"/>
  <c r="O59" i="284"/>
  <c r="AM87" i="278"/>
  <c r="AM86" i="278"/>
  <c r="AM75" i="278"/>
  <c r="AM77" i="278" s="1"/>
  <c r="AM85" i="278"/>
  <c r="AM74" i="278"/>
  <c r="AN54" i="278"/>
  <c r="AL78" i="278"/>
  <c r="P57" i="277"/>
  <c r="P59" i="277" s="1"/>
  <c r="P62" i="277" s="1"/>
  <c r="P57" i="276"/>
  <c r="S65" i="295"/>
  <c r="R67" i="295"/>
  <c r="Q57" i="295"/>
  <c r="Q59" i="295" s="1"/>
  <c r="Q62" i="295" s="1"/>
  <c r="BI75" i="295"/>
  <c r="O62" i="293"/>
  <c r="R106" i="282"/>
  <c r="Q75" i="293"/>
  <c r="Q57" i="293" s="1"/>
  <c r="Q87" i="275"/>
  <c r="P57" i="275"/>
  <c r="P59" i="275" s="1"/>
  <c r="AL78" i="276"/>
  <c r="AL79" i="276" s="1"/>
  <c r="S54" i="279"/>
  <c r="S69" i="279" s="1"/>
  <c r="R75" i="279"/>
  <c r="S54" i="276"/>
  <c r="AM84" i="284"/>
  <c r="AN65" i="284"/>
  <c r="R62" i="295"/>
  <c r="S54" i="295"/>
  <c r="AN54" i="292"/>
  <c r="AM88" i="292"/>
  <c r="AB81" i="306"/>
  <c r="AM95" i="279"/>
  <c r="AM96" i="279" s="1"/>
  <c r="AM59" i="279" s="1"/>
  <c r="S54" i="275"/>
  <c r="S54" i="293"/>
  <c r="S54" i="284"/>
  <c r="S54" i="277"/>
  <c r="AN65" i="276"/>
  <c r="AL89" i="292"/>
  <c r="AL97" i="292" s="1"/>
  <c r="AL58" i="292" s="1"/>
  <c r="AL59" i="292" s="1"/>
  <c r="AL61" i="292" s="1"/>
  <c r="Q78" i="275"/>
  <c r="Q57" i="275" s="1"/>
  <c r="Q95" i="275"/>
  <c r="Q58" i="275" s="1"/>
  <c r="AM96" i="292"/>
  <c r="AN64" i="292"/>
  <c r="AM79" i="292"/>
  <c r="AM57" i="292" s="1"/>
  <c r="AM66" i="292"/>
  <c r="Q78" i="277"/>
  <c r="AC59" i="306"/>
  <c r="AC62" i="306" s="1"/>
  <c r="AD93" i="306"/>
  <c r="AD97" i="306" s="1"/>
  <c r="AD98" i="306" s="1"/>
  <c r="AD58" i="306" s="1"/>
  <c r="AD74" i="306"/>
  <c r="AD87" i="306"/>
  <c r="AE65" i="306"/>
  <c r="AD67" i="306"/>
  <c r="AD57" i="306"/>
  <c r="AD55" i="306"/>
  <c r="AE54" i="306"/>
  <c r="AB71" i="306"/>
  <c r="AC78" i="306"/>
  <c r="AC77" i="306"/>
  <c r="AC79" i="306" s="1"/>
  <c r="Q75" i="280"/>
  <c r="Q57" i="280" s="1"/>
  <c r="I48" i="304"/>
  <c r="S54" i="280"/>
  <c r="S55" i="280" s="1"/>
  <c r="R75" i="282"/>
  <c r="T54" i="282"/>
  <c r="T55" i="282" s="1"/>
  <c r="P58" i="279" l="1"/>
  <c r="P60" i="279" s="1"/>
  <c r="P62" i="279" s="1"/>
  <c r="R96" i="293"/>
  <c r="R100" i="293"/>
  <c r="Q73" i="284"/>
  <c r="Q75" i="284" s="1"/>
  <c r="Q77" i="284" s="1"/>
  <c r="Q78" i="284" s="1"/>
  <c r="Q57" i="284" s="1"/>
  <c r="Q59" i="284" s="1"/>
  <c r="Q62" i="284" s="1"/>
  <c r="H24" i="321"/>
  <c r="B24" i="321" s="1"/>
  <c r="Q111" i="280"/>
  <c r="Q106" i="280"/>
  <c r="P90" i="280"/>
  <c r="P91" i="280" s="1"/>
  <c r="P107" i="280" s="1"/>
  <c r="P58" i="280" s="1"/>
  <c r="P59" i="280" s="1"/>
  <c r="P62" i="280" s="1"/>
  <c r="Q86" i="293"/>
  <c r="Q87" i="293" s="1"/>
  <c r="Q97" i="293" s="1"/>
  <c r="Q58" i="293" s="1"/>
  <c r="Q59" i="293" s="1"/>
  <c r="Q62" i="293" s="1"/>
  <c r="R81" i="293"/>
  <c r="Q81" i="280"/>
  <c r="S85" i="276"/>
  <c r="S69" i="276"/>
  <c r="S70" i="276" s="1"/>
  <c r="S57" i="276" s="1"/>
  <c r="S68" i="276"/>
  <c r="S67" i="276"/>
  <c r="Q74" i="278"/>
  <c r="Q75" i="278"/>
  <c r="Q77" i="278" s="1"/>
  <c r="S67" i="278"/>
  <c r="R72" i="278"/>
  <c r="R97" i="280"/>
  <c r="R84" i="280" s="1"/>
  <c r="R98" i="280"/>
  <c r="R85" i="280" s="1"/>
  <c r="R96" i="280"/>
  <c r="R83" i="280" s="1"/>
  <c r="R82" i="280"/>
  <c r="R94" i="280"/>
  <c r="T79" i="280"/>
  <c r="S89" i="280"/>
  <c r="P78" i="284"/>
  <c r="P57" i="284" s="1"/>
  <c r="P59" i="284" s="1"/>
  <c r="P62" i="284" s="1"/>
  <c r="Q73" i="279"/>
  <c r="Q76" i="279" s="1"/>
  <c r="Q77" i="279" s="1"/>
  <c r="Q78" i="279" s="1"/>
  <c r="Q67" i="279"/>
  <c r="Q68" i="279" s="1"/>
  <c r="Q70" i="279" s="1"/>
  <c r="G49" i="304"/>
  <c r="H49" i="304" s="1"/>
  <c r="D50" i="304"/>
  <c r="S95" i="280" s="1"/>
  <c r="S67" i="284"/>
  <c r="S90" i="293"/>
  <c r="AI65" i="293"/>
  <c r="AH67" i="293"/>
  <c r="AM78" i="278"/>
  <c r="AM57" i="278" s="1"/>
  <c r="T105" i="282"/>
  <c r="T58" i="282"/>
  <c r="T70" i="282"/>
  <c r="T57" i="282"/>
  <c r="T89" i="282"/>
  <c r="T90" i="282" s="1"/>
  <c r="AD79" i="282"/>
  <c r="AC81" i="282"/>
  <c r="AD65" i="282"/>
  <c r="AC73" i="282"/>
  <c r="AC67" i="282"/>
  <c r="S73" i="293"/>
  <c r="S67" i="293" s="1"/>
  <c r="R70" i="284"/>
  <c r="R78" i="279"/>
  <c r="R95" i="275"/>
  <c r="R58" i="275" s="1"/>
  <c r="AK59" i="278"/>
  <c r="AK62" i="278" s="1"/>
  <c r="R88" i="277"/>
  <c r="R89" i="277" s="1"/>
  <c r="R58" i="277" s="1"/>
  <c r="AN68" i="278"/>
  <c r="AN69" i="278" s="1"/>
  <c r="AN72" i="278"/>
  <c r="AN84" i="278"/>
  <c r="AN91" i="278"/>
  <c r="AN95" i="278" s="1"/>
  <c r="AN96" i="278" s="1"/>
  <c r="AM96" i="278"/>
  <c r="S85" i="277"/>
  <c r="S72" i="277"/>
  <c r="S67" i="277"/>
  <c r="S86" i="277"/>
  <c r="S87" i="277"/>
  <c r="S75" i="277"/>
  <c r="S77" i="277" s="1"/>
  <c r="S84" i="277"/>
  <c r="S74" i="277"/>
  <c r="S93" i="275"/>
  <c r="S90" i="275"/>
  <c r="S94" i="275" s="1"/>
  <c r="S88" i="275"/>
  <c r="S86" i="275"/>
  <c r="S85" i="275"/>
  <c r="S72" i="275"/>
  <c r="S67" i="275"/>
  <c r="S92" i="275"/>
  <c r="S84" i="275"/>
  <c r="S69" i="275"/>
  <c r="S76" i="275"/>
  <c r="S77" i="275" s="1"/>
  <c r="U65" i="279"/>
  <c r="S70" i="279"/>
  <c r="S77" i="279"/>
  <c r="R95" i="284"/>
  <c r="R58" i="284" s="1"/>
  <c r="S69" i="284"/>
  <c r="S93" i="284"/>
  <c r="S92" i="284"/>
  <c r="S90" i="284"/>
  <c r="S94" i="284" s="1"/>
  <c r="S68" i="284"/>
  <c r="S73" i="280"/>
  <c r="Z65" i="280"/>
  <c r="Z67" i="280" s="1"/>
  <c r="S106" i="282"/>
  <c r="AL57" i="278"/>
  <c r="AL59" i="278" s="1"/>
  <c r="AL62" i="278" s="1"/>
  <c r="S62" i="290"/>
  <c r="T54" i="290"/>
  <c r="T57" i="289"/>
  <c r="T59" i="289" s="1"/>
  <c r="T62" i="289" s="1"/>
  <c r="T55" i="289"/>
  <c r="U54" i="289"/>
  <c r="S59" i="289"/>
  <c r="O62" i="284"/>
  <c r="AN87" i="278"/>
  <c r="AN86" i="278"/>
  <c r="AN74" i="278"/>
  <c r="AN85" i="278"/>
  <c r="AN75" i="278"/>
  <c r="AN77" i="278" s="1"/>
  <c r="AO54" i="278"/>
  <c r="AM88" i="278"/>
  <c r="AM89" i="278" s="1"/>
  <c r="P62" i="275"/>
  <c r="AJ61" i="292"/>
  <c r="AM89" i="292"/>
  <c r="AM97" i="292" s="1"/>
  <c r="AM58" i="292" s="1"/>
  <c r="AM59" i="292" s="1"/>
  <c r="AM61" i="292" s="1"/>
  <c r="T65" i="295"/>
  <c r="S67" i="295"/>
  <c r="Q59" i="275"/>
  <c r="Q62" i="275" s="1"/>
  <c r="AC81" i="306"/>
  <c r="R75" i="293"/>
  <c r="R57" i="293" s="1"/>
  <c r="Q57" i="277"/>
  <c r="Q59" i="277" s="1"/>
  <c r="Q62" i="277" s="1"/>
  <c r="AN66" i="292"/>
  <c r="AN79" i="292"/>
  <c r="AN57" i="292" s="1"/>
  <c r="AN96" i="292"/>
  <c r="AO64" i="292"/>
  <c r="AN95" i="279"/>
  <c r="AN96" i="279" s="1"/>
  <c r="AN59" i="279" s="1"/>
  <c r="T54" i="284"/>
  <c r="AM78" i="276"/>
  <c r="T54" i="277"/>
  <c r="T54" i="293"/>
  <c r="R87" i="275"/>
  <c r="T54" i="295"/>
  <c r="S62" i="295"/>
  <c r="T54" i="276"/>
  <c r="AN84" i="284"/>
  <c r="AO65" i="284"/>
  <c r="T54" i="279"/>
  <c r="T69" i="279" s="1"/>
  <c r="S75" i="279"/>
  <c r="AO65" i="276"/>
  <c r="R78" i="277"/>
  <c r="R57" i="277" s="1"/>
  <c r="R78" i="275"/>
  <c r="T54" i="275"/>
  <c r="S87" i="275"/>
  <c r="AO54" i="292"/>
  <c r="AN88" i="292"/>
  <c r="R70" i="276"/>
  <c r="AD59" i="306"/>
  <c r="AD62" i="306" s="1"/>
  <c r="AE93" i="306"/>
  <c r="AE97" i="306" s="1"/>
  <c r="AE98" i="306" s="1"/>
  <c r="AE58" i="306" s="1"/>
  <c r="AE87" i="306"/>
  <c r="AE74" i="306"/>
  <c r="AE67" i="306"/>
  <c r="AF65" i="306"/>
  <c r="AF54" i="306"/>
  <c r="AE57" i="306"/>
  <c r="AE55" i="306"/>
  <c r="AD78" i="306"/>
  <c r="AD77" i="306"/>
  <c r="AD79" i="306" s="1"/>
  <c r="AD70" i="306"/>
  <c r="I49" i="304"/>
  <c r="O62" i="280"/>
  <c r="T54" i="280"/>
  <c r="T55" i="280" s="1"/>
  <c r="S75" i="282"/>
  <c r="U54" i="282"/>
  <c r="U55" i="282" s="1"/>
  <c r="R59" i="282"/>
  <c r="R62" i="282" s="1"/>
  <c r="R111" i="280" l="1"/>
  <c r="R106" i="280"/>
  <c r="S96" i="293"/>
  <c r="S100" i="293"/>
  <c r="R73" i="284"/>
  <c r="R75" i="284" s="1"/>
  <c r="R77" i="284" s="1"/>
  <c r="H25" i="321"/>
  <c r="B25" i="321" s="1"/>
  <c r="Q90" i="280"/>
  <c r="Q91" i="280" s="1"/>
  <c r="Q107" i="280" s="1"/>
  <c r="Q58" i="280" s="1"/>
  <c r="Q59" i="280" s="1"/>
  <c r="Q62" i="280" s="1"/>
  <c r="R86" i="293"/>
  <c r="R87" i="293" s="1"/>
  <c r="R97" i="293" s="1"/>
  <c r="R58" i="293" s="1"/>
  <c r="R59" i="293" s="1"/>
  <c r="R62" i="293" s="1"/>
  <c r="S81" i="293"/>
  <c r="R81" i="280"/>
  <c r="T68" i="276"/>
  <c r="T85" i="276"/>
  <c r="T67" i="276"/>
  <c r="T69" i="276"/>
  <c r="Q78" i="278"/>
  <c r="Q57" i="278" s="1"/>
  <c r="Q59" i="278" s="1"/>
  <c r="Q62" i="278" s="1"/>
  <c r="T67" i="278"/>
  <c r="S72" i="278"/>
  <c r="R75" i="278"/>
  <c r="R77" i="278" s="1"/>
  <c r="R74" i="278"/>
  <c r="S96" i="280"/>
  <c r="S83" i="280" s="1"/>
  <c r="S97" i="280"/>
  <c r="S84" i="280" s="1"/>
  <c r="S98" i="280"/>
  <c r="S85" i="280" s="1"/>
  <c r="S82" i="280"/>
  <c r="S94" i="280"/>
  <c r="U79" i="280"/>
  <c r="T89" i="280"/>
  <c r="Q58" i="279"/>
  <c r="Q60" i="279" s="1"/>
  <c r="Q62" i="279" s="1"/>
  <c r="G50" i="304"/>
  <c r="H50" i="304" s="1"/>
  <c r="D51" i="304"/>
  <c r="T95" i="280" s="1"/>
  <c r="T67" i="284"/>
  <c r="T90" i="293"/>
  <c r="AJ65" i="293"/>
  <c r="AI67" i="293"/>
  <c r="U105" i="282"/>
  <c r="U57" i="282"/>
  <c r="U58" i="282"/>
  <c r="U89" i="282"/>
  <c r="U90" i="282" s="1"/>
  <c r="U70" i="282"/>
  <c r="AE79" i="282"/>
  <c r="AD81" i="282"/>
  <c r="AE65" i="282"/>
  <c r="AD73" i="282"/>
  <c r="AD67" i="282"/>
  <c r="T73" i="293"/>
  <c r="T67" i="293" s="1"/>
  <c r="S78" i="279"/>
  <c r="AM58" i="278"/>
  <c r="AM59" i="278" s="1"/>
  <c r="AM62" i="278" s="1"/>
  <c r="AO68" i="278"/>
  <c r="AO69" i="278" s="1"/>
  <c r="AO91" i="278"/>
  <c r="AO95" i="278" s="1"/>
  <c r="AO96" i="278" s="1"/>
  <c r="AO72" i="278"/>
  <c r="AO84" i="278"/>
  <c r="S88" i="277"/>
  <c r="S89" i="277" s="1"/>
  <c r="S58" i="277" s="1"/>
  <c r="T84" i="277"/>
  <c r="T67" i="277"/>
  <c r="T72" i="277"/>
  <c r="D23" i="277" s="1"/>
  <c r="D27" i="277" s="1"/>
  <c r="T85" i="277"/>
  <c r="T86" i="277"/>
  <c r="T87" i="277"/>
  <c r="T75" i="277"/>
  <c r="T74" i="277"/>
  <c r="T88" i="275"/>
  <c r="T85" i="275"/>
  <c r="T87" i="275" s="1"/>
  <c r="T76" i="275"/>
  <c r="T77" i="275" s="1"/>
  <c r="T93" i="275"/>
  <c r="T72" i="275"/>
  <c r="T67" i="275"/>
  <c r="T92" i="275"/>
  <c r="T90" i="275"/>
  <c r="T94" i="275" s="1"/>
  <c r="T86" i="275"/>
  <c r="T84" i="275"/>
  <c r="T69" i="275"/>
  <c r="V65" i="279"/>
  <c r="T70" i="279"/>
  <c r="T77" i="279"/>
  <c r="S70" i="284"/>
  <c r="T93" i="284"/>
  <c r="T92" i="284"/>
  <c r="T90" i="284"/>
  <c r="T94" i="284" s="1"/>
  <c r="T69" i="284"/>
  <c r="T68" i="284"/>
  <c r="S95" i="284"/>
  <c r="S58" i="284" s="1"/>
  <c r="T73" i="280"/>
  <c r="AA65" i="280"/>
  <c r="AA67" i="280" s="1"/>
  <c r="T106" i="282"/>
  <c r="AN88" i="278"/>
  <c r="AN89" i="278" s="1"/>
  <c r="AN58" i="278" s="1"/>
  <c r="T62" i="290"/>
  <c r="U54" i="290"/>
  <c r="S62" i="289"/>
  <c r="U57" i="289"/>
  <c r="U59" i="289" s="1"/>
  <c r="U55" i="289"/>
  <c r="V54" i="289"/>
  <c r="AO86" i="278"/>
  <c r="AO87" i="278"/>
  <c r="AO75" i="278"/>
  <c r="AO77" i="278" s="1"/>
  <c r="AO85" i="278"/>
  <c r="AP54" i="278"/>
  <c r="AO74" i="278"/>
  <c r="AN78" i="278"/>
  <c r="R57" i="276"/>
  <c r="R58" i="279"/>
  <c r="R60" i="279" s="1"/>
  <c r="R62" i="279" s="1"/>
  <c r="U65" i="295"/>
  <c r="T67" i="295"/>
  <c r="S78" i="275"/>
  <c r="S57" i="275" s="1"/>
  <c r="S75" i="293"/>
  <c r="S57" i="293" s="1"/>
  <c r="R59" i="277"/>
  <c r="R62" i="277" s="1"/>
  <c r="AM79" i="276"/>
  <c r="T77" i="277"/>
  <c r="U54" i="277"/>
  <c r="AO95" i="279"/>
  <c r="AO96" i="279" s="1"/>
  <c r="AO59" i="279" s="1"/>
  <c r="AN89" i="292"/>
  <c r="AN97" i="292" s="1"/>
  <c r="AN58" i="292" s="1"/>
  <c r="AN59" i="292" s="1"/>
  <c r="AN61" i="292" s="1"/>
  <c r="R57" i="275"/>
  <c r="R59" i="275" s="1"/>
  <c r="AP54" i="292"/>
  <c r="AO88" i="292"/>
  <c r="AO96" i="292"/>
  <c r="AO79" i="292"/>
  <c r="AO57" i="292" s="1"/>
  <c r="AO66" i="292"/>
  <c r="AP64" i="292"/>
  <c r="U54" i="293"/>
  <c r="AN78" i="276"/>
  <c r="AN79" i="276" s="1"/>
  <c r="T62" i="295"/>
  <c r="U54" i="295"/>
  <c r="U54" i="284"/>
  <c r="S95" i="275"/>
  <c r="S58" i="275" s="1"/>
  <c r="U54" i="279"/>
  <c r="U69" i="279" s="1"/>
  <c r="T75" i="279"/>
  <c r="U54" i="276"/>
  <c r="S78" i="277"/>
  <c r="S57" i="277" s="1"/>
  <c r="AP65" i="276"/>
  <c r="U54" i="275"/>
  <c r="AO84" i="284"/>
  <c r="AP65" i="284"/>
  <c r="AF87" i="306"/>
  <c r="AF93" i="306"/>
  <c r="AF97" i="306" s="1"/>
  <c r="AF98" i="306" s="1"/>
  <c r="AF58" i="306" s="1"/>
  <c r="AF67" i="306"/>
  <c r="AG65" i="306"/>
  <c r="AF74" i="306"/>
  <c r="AD71" i="306"/>
  <c r="AE70" i="306"/>
  <c r="AE71" i="306" s="1"/>
  <c r="AE59" i="306"/>
  <c r="AE62" i="306" s="1"/>
  <c r="AE77" i="306"/>
  <c r="AE79" i="306" s="1"/>
  <c r="AE78" i="306"/>
  <c r="AD81" i="306"/>
  <c r="AG54" i="306"/>
  <c r="AF55" i="306"/>
  <c r="AF57" i="306"/>
  <c r="S75" i="280"/>
  <c r="S57" i="280" s="1"/>
  <c r="I50" i="304"/>
  <c r="U54" i="280"/>
  <c r="U55" i="280" s="1"/>
  <c r="S59" i="282"/>
  <c r="S62" i="282" s="1"/>
  <c r="T75" i="282"/>
  <c r="V54" i="282"/>
  <c r="V55" i="282" s="1"/>
  <c r="R78" i="284" l="1"/>
  <c r="R57" i="284" s="1"/>
  <c r="R59" i="284" s="1"/>
  <c r="R62" i="284" s="1"/>
  <c r="T96" i="293"/>
  <c r="T100" i="293"/>
  <c r="S111" i="280"/>
  <c r="S106" i="280"/>
  <c r="S73" i="284"/>
  <c r="S75" i="284" s="1"/>
  <c r="S77" i="284" s="1"/>
  <c r="H26" i="321"/>
  <c r="B26" i="321" s="1"/>
  <c r="R90" i="280"/>
  <c r="R91" i="280" s="1"/>
  <c r="R107" i="280" s="1"/>
  <c r="R58" i="280" s="1"/>
  <c r="R59" i="280" s="1"/>
  <c r="R62" i="280" s="1"/>
  <c r="S86" i="293"/>
  <c r="S87" i="293" s="1"/>
  <c r="S97" i="293" s="1"/>
  <c r="S58" i="293" s="1"/>
  <c r="S59" i="293" s="1"/>
  <c r="S62" i="293" s="1"/>
  <c r="T81" i="293"/>
  <c r="S81" i="280"/>
  <c r="U68" i="276"/>
  <c r="U67" i="276"/>
  <c r="U85" i="276"/>
  <c r="U69" i="276"/>
  <c r="S75" i="278"/>
  <c r="S77" i="278" s="1"/>
  <c r="S74" i="278"/>
  <c r="U67" i="278"/>
  <c r="T72" i="278"/>
  <c r="R78" i="278"/>
  <c r="R57" i="278" s="1"/>
  <c r="R59" i="278" s="1"/>
  <c r="R62" i="278" s="1"/>
  <c r="T96" i="280"/>
  <c r="T83" i="280" s="1"/>
  <c r="T98" i="280"/>
  <c r="T85" i="280" s="1"/>
  <c r="T97" i="280"/>
  <c r="T84" i="280" s="1"/>
  <c r="T82" i="280"/>
  <c r="T94" i="280"/>
  <c r="V79" i="280"/>
  <c r="U89" i="280"/>
  <c r="G51" i="304"/>
  <c r="H51" i="304" s="1"/>
  <c r="D52" i="304"/>
  <c r="U95" i="280" s="1"/>
  <c r="D53" i="304"/>
  <c r="V95" i="280" s="1"/>
  <c r="U67" i="284"/>
  <c r="U90" i="293"/>
  <c r="AK65" i="293"/>
  <c r="AJ67" i="293"/>
  <c r="V105" i="282"/>
  <c r="V89" i="282"/>
  <c r="V90" i="282" s="1"/>
  <c r="V58" i="282"/>
  <c r="V57" i="282"/>
  <c r="V70" i="282"/>
  <c r="AF65" i="282"/>
  <c r="AE73" i="282"/>
  <c r="AE67" i="282"/>
  <c r="AF79" i="282"/>
  <c r="AE81" i="282"/>
  <c r="U73" i="293"/>
  <c r="U67" i="293" s="1"/>
  <c r="T78" i="279"/>
  <c r="T95" i="284"/>
  <c r="T58" i="284" s="1"/>
  <c r="AP68" i="278"/>
  <c r="AP69" i="278" s="1"/>
  <c r="AP84" i="278"/>
  <c r="AP91" i="278"/>
  <c r="AP95" i="278" s="1"/>
  <c r="AP96" i="278" s="1"/>
  <c r="AP72" i="278"/>
  <c r="U87" i="277"/>
  <c r="U74" i="277"/>
  <c r="U84" i="277"/>
  <c r="U85" i="277"/>
  <c r="U86" i="277"/>
  <c r="U75" i="277"/>
  <c r="U67" i="277"/>
  <c r="U72" i="277"/>
  <c r="T88" i="277"/>
  <c r="T89" i="277" s="1"/>
  <c r="T58" i="277" s="1"/>
  <c r="U92" i="275"/>
  <c r="U90" i="275"/>
  <c r="U94" i="275" s="1"/>
  <c r="U72" i="275"/>
  <c r="U88" i="275"/>
  <c r="U84" i="275"/>
  <c r="U76" i="275"/>
  <c r="U77" i="275" s="1"/>
  <c r="U69" i="275"/>
  <c r="U85" i="275"/>
  <c r="U93" i="275"/>
  <c r="U67" i="275"/>
  <c r="U86" i="275"/>
  <c r="U70" i="279"/>
  <c r="W65" i="279"/>
  <c r="T70" i="284"/>
  <c r="U92" i="284"/>
  <c r="U68" i="284"/>
  <c r="U90" i="284"/>
  <c r="U94" i="284" s="1"/>
  <c r="U69" i="284"/>
  <c r="U93" i="284"/>
  <c r="U73" i="280"/>
  <c r="AB65" i="280"/>
  <c r="AB67" i="280" s="1"/>
  <c r="U106" i="282"/>
  <c r="AN57" i="278"/>
  <c r="AN59" i="278" s="1"/>
  <c r="AN62" i="278" s="1"/>
  <c r="U62" i="290"/>
  <c r="V54" i="290"/>
  <c r="V55" i="289"/>
  <c r="V57" i="289"/>
  <c r="V59" i="289" s="1"/>
  <c r="W54" i="289"/>
  <c r="U62" i="289"/>
  <c r="AP85" i="278"/>
  <c r="AP86" i="278"/>
  <c r="AP87" i="278"/>
  <c r="AQ54" i="278"/>
  <c r="AP75" i="278"/>
  <c r="AP77" i="278" s="1"/>
  <c r="AP74" i="278"/>
  <c r="AO88" i="278"/>
  <c r="AO89" i="278" s="1"/>
  <c r="AO58" i="278" s="1"/>
  <c r="AO78" i="278"/>
  <c r="R62" i="275"/>
  <c r="S58" i="279"/>
  <c r="S60" i="279" s="1"/>
  <c r="S62" i="279" s="1"/>
  <c r="V65" i="295"/>
  <c r="U67" i="295"/>
  <c r="T75" i="293"/>
  <c r="T57" i="293" s="1"/>
  <c r="S59" i="275"/>
  <c r="S62" i="275" s="1"/>
  <c r="AO89" i="292"/>
  <c r="AO97" i="292" s="1"/>
  <c r="AO58" i="292" s="1"/>
  <c r="AO59" i="292" s="1"/>
  <c r="AO61" i="292" s="1"/>
  <c r="T78" i="275"/>
  <c r="T70" i="276"/>
  <c r="AP88" i="292"/>
  <c r="AQ54" i="292"/>
  <c r="T78" i="277"/>
  <c r="V54" i="275"/>
  <c r="U62" i="295"/>
  <c r="V54" i="295"/>
  <c r="AP84" i="284"/>
  <c r="AQ65" i="284"/>
  <c r="S59" i="277"/>
  <c r="S62" i="277" s="1"/>
  <c r="V54" i="284"/>
  <c r="AQ64" i="292"/>
  <c r="AP79" i="292"/>
  <c r="AP57" i="292" s="1"/>
  <c r="AP66" i="292"/>
  <c r="AP96" i="292"/>
  <c r="U77" i="277"/>
  <c r="V54" i="277"/>
  <c r="AO78" i="276"/>
  <c r="V54" i="279"/>
  <c r="V69" i="279" s="1"/>
  <c r="U75" i="279"/>
  <c r="AQ65" i="276"/>
  <c r="V54" i="276"/>
  <c r="T95" i="275"/>
  <c r="T58" i="275" s="1"/>
  <c r="V54" i="293"/>
  <c r="AP95" i="279"/>
  <c r="AP96" i="279" s="1"/>
  <c r="AP59" i="279" s="1"/>
  <c r="AE81" i="306"/>
  <c r="AH54" i="306"/>
  <c r="AG57" i="306"/>
  <c r="AG55" i="306"/>
  <c r="AF70" i="306"/>
  <c r="AF71" i="306" s="1"/>
  <c r="AF77" i="306"/>
  <c r="AF79" i="306" s="1"/>
  <c r="AF78" i="306"/>
  <c r="AF59" i="306"/>
  <c r="AF62" i="306" s="1"/>
  <c r="AG87" i="306"/>
  <c r="AG74" i="306"/>
  <c r="AG93" i="306"/>
  <c r="AG97" i="306" s="1"/>
  <c r="AG98" i="306" s="1"/>
  <c r="AG58" i="306" s="1"/>
  <c r="AG67" i="306"/>
  <c r="AH65" i="306"/>
  <c r="T75" i="280"/>
  <c r="T57" i="280" s="1"/>
  <c r="I51" i="304"/>
  <c r="U75" i="282"/>
  <c r="V54" i="280"/>
  <c r="V55" i="280" s="1"/>
  <c r="T59" i="282"/>
  <c r="T62" i="282" s="1"/>
  <c r="U59" i="282"/>
  <c r="U62" i="282" s="1"/>
  <c r="W54" i="282"/>
  <c r="W55" i="282" s="1"/>
  <c r="S90" i="280" l="1"/>
  <c r="S91" i="280" s="1"/>
  <c r="S107" i="280" s="1"/>
  <c r="S58" i="280" s="1"/>
  <c r="S59" i="280" s="1"/>
  <c r="S62" i="280" s="1"/>
  <c r="U96" i="293"/>
  <c r="U100" i="293"/>
  <c r="T73" i="284"/>
  <c r="T75" i="284" s="1"/>
  <c r="T77" i="284" s="1"/>
  <c r="H27" i="321"/>
  <c r="B27" i="321" s="1"/>
  <c r="T111" i="280"/>
  <c r="T106" i="280"/>
  <c r="S78" i="284"/>
  <c r="S57" i="284" s="1"/>
  <c r="S59" i="284" s="1"/>
  <c r="S62" i="284" s="1"/>
  <c r="T86" i="293"/>
  <c r="T87" i="293" s="1"/>
  <c r="T97" i="293" s="1"/>
  <c r="T58" i="293" s="1"/>
  <c r="T59" i="293" s="1"/>
  <c r="T62" i="293" s="1"/>
  <c r="U81" i="293"/>
  <c r="T81" i="280"/>
  <c r="V69" i="276"/>
  <c r="V67" i="276"/>
  <c r="V68" i="276"/>
  <c r="V85" i="276"/>
  <c r="T74" i="278"/>
  <c r="T75" i="278"/>
  <c r="T77" i="278" s="1"/>
  <c r="V67" i="278"/>
  <c r="U72" i="278"/>
  <c r="S78" i="278"/>
  <c r="S57" i="278" s="1"/>
  <c r="S59" i="278" s="1"/>
  <c r="S62" i="278" s="1"/>
  <c r="V96" i="280"/>
  <c r="V83" i="280" s="1"/>
  <c r="V97" i="280"/>
  <c r="V84" i="280" s="1"/>
  <c r="V98" i="280"/>
  <c r="V85" i="280" s="1"/>
  <c r="V82" i="280"/>
  <c r="V94" i="280"/>
  <c r="U98" i="280"/>
  <c r="U85" i="280" s="1"/>
  <c r="U96" i="280"/>
  <c r="U83" i="280" s="1"/>
  <c r="U97" i="280"/>
  <c r="U84" i="280" s="1"/>
  <c r="U82" i="280"/>
  <c r="U94" i="280"/>
  <c r="V89" i="280"/>
  <c r="W79" i="280"/>
  <c r="G52" i="304"/>
  <c r="H52" i="304" s="1"/>
  <c r="V67" i="284"/>
  <c r="V90" i="293"/>
  <c r="AL65" i="293"/>
  <c r="AK67" i="293"/>
  <c r="AG65" i="282"/>
  <c r="AF73" i="282"/>
  <c r="AF67" i="282"/>
  <c r="W105" i="282"/>
  <c r="W70" i="282"/>
  <c r="W58" i="282"/>
  <c r="W89" i="282"/>
  <c r="W90" i="282" s="1"/>
  <c r="W57" i="282"/>
  <c r="AG79" i="282"/>
  <c r="AF81" i="282"/>
  <c r="V73" i="293"/>
  <c r="AQ68" i="278"/>
  <c r="AQ69" i="278" s="1"/>
  <c r="AQ84" i="278"/>
  <c r="AQ91" i="278"/>
  <c r="AQ95" i="278" s="1"/>
  <c r="AQ96" i="278" s="1"/>
  <c r="U88" i="277"/>
  <c r="U89" i="277" s="1"/>
  <c r="U58" i="277" s="1"/>
  <c r="V86" i="277"/>
  <c r="V72" i="277"/>
  <c r="V87" i="277"/>
  <c r="V84" i="277"/>
  <c r="V85" i="277"/>
  <c r="V74" i="277"/>
  <c r="V67" i="277"/>
  <c r="V75" i="277"/>
  <c r="V77" i="277" s="1"/>
  <c r="V86" i="275"/>
  <c r="V84" i="275"/>
  <c r="V93" i="275"/>
  <c r="V92" i="275"/>
  <c r="V69" i="275"/>
  <c r="V67" i="275"/>
  <c r="V90" i="275"/>
  <c r="V94" i="275" s="1"/>
  <c r="V88" i="275"/>
  <c r="V76" i="275"/>
  <c r="V77" i="275" s="1"/>
  <c r="V85" i="275"/>
  <c r="V72" i="275"/>
  <c r="V70" i="279"/>
  <c r="X65" i="279"/>
  <c r="U70" i="284"/>
  <c r="U95" i="284"/>
  <c r="U58" i="284" s="1"/>
  <c r="V90" i="284"/>
  <c r="V94" i="284" s="1"/>
  <c r="V69" i="284"/>
  <c r="V92" i="284"/>
  <c r="V93" i="284"/>
  <c r="V68" i="284"/>
  <c r="V73" i="280"/>
  <c r="V75" i="280" s="1"/>
  <c r="V57" i="280" s="1"/>
  <c r="AC65" i="280"/>
  <c r="AC67" i="280" s="1"/>
  <c r="AO57" i="278"/>
  <c r="AO59" i="278" s="1"/>
  <c r="AO62" i="278" s="1"/>
  <c r="V62" i="290"/>
  <c r="W54" i="290"/>
  <c r="V62" i="289"/>
  <c r="W57" i="289"/>
  <c r="W59" i="289" s="1"/>
  <c r="W62" i="289" s="1"/>
  <c r="W55" i="289"/>
  <c r="X54" i="289"/>
  <c r="AQ87" i="278"/>
  <c r="AQ85" i="278"/>
  <c r="AQ75" i="278"/>
  <c r="AQ77" i="278" s="1"/>
  <c r="AQ74" i="278"/>
  <c r="AQ72" i="278"/>
  <c r="AQ86" i="278"/>
  <c r="AR54" i="278"/>
  <c r="AP78" i="278"/>
  <c r="AP88" i="278"/>
  <c r="AP89" i="278" s="1"/>
  <c r="AP58" i="278" s="1"/>
  <c r="T57" i="276"/>
  <c r="W65" i="295"/>
  <c r="V67" i="295"/>
  <c r="V106" i="282"/>
  <c r="T57" i="275"/>
  <c r="T59" i="275" s="1"/>
  <c r="T62" i="275" s="1"/>
  <c r="T58" i="279"/>
  <c r="T60" i="279" s="1"/>
  <c r="T62" i="279" s="1"/>
  <c r="U75" i="293"/>
  <c r="U57" i="293" s="1"/>
  <c r="AP89" i="292"/>
  <c r="AP97" i="292" s="1"/>
  <c r="AP58" i="292" s="1"/>
  <c r="AP59" i="292" s="1"/>
  <c r="U95" i="275"/>
  <c r="U58" i="275" s="1"/>
  <c r="AO79" i="276"/>
  <c r="W54" i="277"/>
  <c r="AR65" i="284"/>
  <c r="AQ84" i="284"/>
  <c r="T57" i="277"/>
  <c r="T59" i="277" s="1"/>
  <c r="T62" i="277" s="1"/>
  <c r="AQ88" i="292"/>
  <c r="AR54" i="292"/>
  <c r="AQ95" i="279"/>
  <c r="AQ96" i="279" s="1"/>
  <c r="AQ59" i="279" s="1"/>
  <c r="U77" i="279"/>
  <c r="U78" i="279" s="1"/>
  <c r="W54" i="275"/>
  <c r="AR64" i="292"/>
  <c r="AQ79" i="292"/>
  <c r="AQ57" i="292" s="1"/>
  <c r="AQ96" i="292"/>
  <c r="AQ66" i="292"/>
  <c r="W54" i="284"/>
  <c r="U78" i="275"/>
  <c r="U57" i="275" s="1"/>
  <c r="AP78" i="276"/>
  <c r="AP79" i="276" s="1"/>
  <c r="W54" i="293"/>
  <c r="U70" i="276"/>
  <c r="U57" i="276" s="1"/>
  <c r="AR65" i="276"/>
  <c r="W54" i="276"/>
  <c r="W54" i="279"/>
  <c r="W69" i="279" s="1"/>
  <c r="V77" i="279"/>
  <c r="V75" i="279"/>
  <c r="U78" i="277"/>
  <c r="W54" i="295"/>
  <c r="V62" i="295"/>
  <c r="U87" i="275"/>
  <c r="AG59" i="306"/>
  <c r="AG62" i="306" s="1"/>
  <c r="AF81" i="306"/>
  <c r="AG70" i="306"/>
  <c r="AG78" i="306"/>
  <c r="AG77" i="306"/>
  <c r="AG79" i="306" s="1"/>
  <c r="AH93" i="306"/>
  <c r="AH97" i="306" s="1"/>
  <c r="AH98" i="306" s="1"/>
  <c r="AH58" i="306" s="1"/>
  <c r="AH87" i="306"/>
  <c r="AH67" i="306"/>
  <c r="AH70" i="306" s="1"/>
  <c r="AH71" i="306" s="1"/>
  <c r="AH74" i="306"/>
  <c r="AI65" i="306"/>
  <c r="AH57" i="306"/>
  <c r="AH55" i="306"/>
  <c r="AI54" i="306"/>
  <c r="U75" i="280"/>
  <c r="U57" i="280" s="1"/>
  <c r="I52" i="304"/>
  <c r="W54" i="280"/>
  <c r="W55" i="280" s="1"/>
  <c r="V75" i="282"/>
  <c r="X54" i="282"/>
  <c r="X55" i="282" s="1"/>
  <c r="V100" i="293" l="1"/>
  <c r="T78" i="284"/>
  <c r="T57" i="284" s="1"/>
  <c r="T59" i="284" s="1"/>
  <c r="T62" i="284" s="1"/>
  <c r="U73" i="284"/>
  <c r="U75" i="284" s="1"/>
  <c r="U77" i="284" s="1"/>
  <c r="H28" i="321"/>
  <c r="B28" i="321" s="1"/>
  <c r="T90" i="280"/>
  <c r="T91" i="280" s="1"/>
  <c r="T107" i="280" s="1"/>
  <c r="T58" i="280" s="1"/>
  <c r="T59" i="280" s="1"/>
  <c r="T62" i="280" s="1"/>
  <c r="V111" i="280"/>
  <c r="V106" i="280"/>
  <c r="U111" i="280"/>
  <c r="U106" i="280"/>
  <c r="U86" i="293"/>
  <c r="U87" i="293" s="1"/>
  <c r="U97" i="293" s="1"/>
  <c r="U58" i="293" s="1"/>
  <c r="U59" i="293" s="1"/>
  <c r="U62" i="293" s="1"/>
  <c r="V81" i="280"/>
  <c r="V90" i="280" s="1"/>
  <c r="V91" i="280" s="1"/>
  <c r="U81" i="280"/>
  <c r="W85" i="276"/>
  <c r="W68" i="276"/>
  <c r="W67" i="276"/>
  <c r="W69" i="276"/>
  <c r="T78" i="278"/>
  <c r="T57" i="278" s="1"/>
  <c r="T59" i="278" s="1"/>
  <c r="T62" i="278" s="1"/>
  <c r="U75" i="278"/>
  <c r="U77" i="278" s="1"/>
  <c r="U74" i="278"/>
  <c r="W67" i="278"/>
  <c r="V72" i="278"/>
  <c r="V78" i="279"/>
  <c r="W82" i="280"/>
  <c r="W83" i="280"/>
  <c r="W84" i="280"/>
  <c r="W85" i="280"/>
  <c r="W81" i="280"/>
  <c r="W89" i="280"/>
  <c r="X79" i="280"/>
  <c r="V81" i="293"/>
  <c r="W67" i="284"/>
  <c r="W90" i="293"/>
  <c r="G53" i="304"/>
  <c r="H53" i="304" s="1"/>
  <c r="AM65" i="293"/>
  <c r="AL67" i="293"/>
  <c r="W81" i="293"/>
  <c r="W73" i="293"/>
  <c r="W106" i="282"/>
  <c r="AH65" i="282"/>
  <c r="AG73" i="282"/>
  <c r="AG67" i="282"/>
  <c r="X105" i="282"/>
  <c r="X58" i="282"/>
  <c r="X70" i="282"/>
  <c r="X57" i="282"/>
  <c r="X89" i="282"/>
  <c r="X90" i="282" s="1"/>
  <c r="AH79" i="282"/>
  <c r="AG81" i="282"/>
  <c r="D54" i="304"/>
  <c r="W95" i="280" s="1"/>
  <c r="AR68" i="278"/>
  <c r="AR69" i="278" s="1"/>
  <c r="AR72" i="278"/>
  <c r="AR91" i="278"/>
  <c r="AR95" i="278" s="1"/>
  <c r="AR96" i="278" s="1"/>
  <c r="AR84" i="278"/>
  <c r="W85" i="277"/>
  <c r="W72" i="277"/>
  <c r="W74" i="277"/>
  <c r="W86" i="277"/>
  <c r="W87" i="277"/>
  <c r="W75" i="277"/>
  <c r="W77" i="277" s="1"/>
  <c r="W67" i="277"/>
  <c r="W84" i="277"/>
  <c r="V88" i="277"/>
  <c r="V89" i="277" s="1"/>
  <c r="V58" i="277" s="1"/>
  <c r="W93" i="275"/>
  <c r="W90" i="275"/>
  <c r="W94" i="275" s="1"/>
  <c r="W85" i="275"/>
  <c r="W84" i="275"/>
  <c r="W92" i="275"/>
  <c r="W86" i="275"/>
  <c r="W69" i="275"/>
  <c r="W88" i="275"/>
  <c r="W76" i="275"/>
  <c r="W77" i="275" s="1"/>
  <c r="W67" i="275"/>
  <c r="W72" i="275"/>
  <c r="Y65" i="279"/>
  <c r="W70" i="279"/>
  <c r="V70" i="284"/>
  <c r="V95" i="284"/>
  <c r="V58" i="284" s="1"/>
  <c r="W92" i="284"/>
  <c r="W93" i="284"/>
  <c r="W90" i="284"/>
  <c r="W94" i="284" s="1"/>
  <c r="W69" i="284"/>
  <c r="W68" i="284"/>
  <c r="W91" i="280"/>
  <c r="W73" i="280"/>
  <c r="AD65" i="280"/>
  <c r="AD67" i="280" s="1"/>
  <c r="AQ88" i="278"/>
  <c r="AQ89" i="278" s="1"/>
  <c r="AQ58" i="278" s="1"/>
  <c r="W62" i="290"/>
  <c r="X54" i="290"/>
  <c r="X57" i="289"/>
  <c r="X59" i="289" s="1"/>
  <c r="X55" i="289"/>
  <c r="Y54" i="289"/>
  <c r="AP57" i="278"/>
  <c r="AP59" i="278" s="1"/>
  <c r="AP62" i="278" s="1"/>
  <c r="AR87" i="278"/>
  <c r="AR86" i="278"/>
  <c r="AR85" i="278"/>
  <c r="AR74" i="278"/>
  <c r="AR75" i="278"/>
  <c r="AR77" i="278" s="1"/>
  <c r="AS54" i="278"/>
  <c r="AQ78" i="278"/>
  <c r="AQ57" i="278" s="1"/>
  <c r="U57" i="277"/>
  <c r="U59" i="277" s="1"/>
  <c r="U62" i="277" s="1"/>
  <c r="AP61" i="292"/>
  <c r="X65" i="295"/>
  <c r="W67" i="295"/>
  <c r="V75" i="293"/>
  <c r="V57" i="293" s="1"/>
  <c r="U59" i="275"/>
  <c r="U62" i="275" s="1"/>
  <c r="V87" i="275"/>
  <c r="AQ89" i="292"/>
  <c r="AQ97" i="292" s="1"/>
  <c r="AQ58" i="292" s="1"/>
  <c r="AQ59" i="292" s="1"/>
  <c r="AQ61" i="292" s="1"/>
  <c r="V87" i="293"/>
  <c r="V97" i="293" s="1"/>
  <c r="V58" i="293" s="1"/>
  <c r="V78" i="275"/>
  <c r="V57" i="275" s="1"/>
  <c r="X54" i="276"/>
  <c r="AS65" i="276"/>
  <c r="X54" i="275"/>
  <c r="X54" i="279"/>
  <c r="X69" i="279" s="1"/>
  <c r="W77" i="279"/>
  <c r="W75" i="279"/>
  <c r="X54" i="293"/>
  <c r="V95" i="275"/>
  <c r="V58" i="275" s="1"/>
  <c r="AS65" i="284"/>
  <c r="AR84" i="284"/>
  <c r="V70" i="276"/>
  <c r="V57" i="276" s="1"/>
  <c r="U58" i="279"/>
  <c r="U60" i="279" s="1"/>
  <c r="U62" i="279" s="1"/>
  <c r="V78" i="277"/>
  <c r="X54" i="284"/>
  <c r="AR88" i="292"/>
  <c r="AR89" i="292" s="1"/>
  <c r="AS54" i="292"/>
  <c r="X54" i="295"/>
  <c r="W62" i="295"/>
  <c r="AQ78" i="276"/>
  <c r="AQ79" i="276" s="1"/>
  <c r="AR96" i="292"/>
  <c r="AR79" i="292"/>
  <c r="AR57" i="292" s="1"/>
  <c r="AR66" i="292"/>
  <c r="AS64" i="292"/>
  <c r="AR95" i="279"/>
  <c r="AR96" i="279" s="1"/>
  <c r="AR59" i="279" s="1"/>
  <c r="X54" i="277"/>
  <c r="AH59" i="306"/>
  <c r="AH62" i="306" s="1"/>
  <c r="AG81" i="306"/>
  <c r="AJ54" i="306"/>
  <c r="AI57" i="306"/>
  <c r="AI55" i="306"/>
  <c r="AI93" i="306"/>
  <c r="AI97" i="306" s="1"/>
  <c r="AI98" i="306" s="1"/>
  <c r="AI58" i="306" s="1"/>
  <c r="AI87" i="306"/>
  <c r="AI74" i="306"/>
  <c r="AJ65" i="306"/>
  <c r="AI67" i="306"/>
  <c r="AI70" i="306" s="1"/>
  <c r="AI71" i="306" s="1"/>
  <c r="AH78" i="306"/>
  <c r="AH77" i="306"/>
  <c r="AH79" i="306" s="1"/>
  <c r="AG71" i="306"/>
  <c r="I53" i="304"/>
  <c r="X54" i="280"/>
  <c r="X55" i="280" s="1"/>
  <c r="V59" i="282"/>
  <c r="V62" i="282" s="1"/>
  <c r="Y54" i="282"/>
  <c r="Y55" i="282" s="1"/>
  <c r="W75" i="282"/>
  <c r="W59" i="282" s="1"/>
  <c r="W62" i="282" s="1"/>
  <c r="W100" i="293" l="1"/>
  <c r="V107" i="280"/>
  <c r="V58" i="280" s="1"/>
  <c r="V59" i="280" s="1"/>
  <c r="U78" i="284"/>
  <c r="U57" i="284" s="1"/>
  <c r="U59" i="284" s="1"/>
  <c r="U62" i="284" s="1"/>
  <c r="V73" i="284"/>
  <c r="V75" i="284" s="1"/>
  <c r="V77" i="284" s="1"/>
  <c r="V78" i="284" s="1"/>
  <c r="V57" i="284" s="1"/>
  <c r="V59" i="284" s="1"/>
  <c r="V62" i="284" s="1"/>
  <c r="H29" i="321"/>
  <c r="B29" i="321" s="1"/>
  <c r="U90" i="280"/>
  <c r="U91" i="280" s="1"/>
  <c r="U107" i="280" s="1"/>
  <c r="U58" i="280" s="1"/>
  <c r="U59" i="280" s="1"/>
  <c r="U62" i="280" s="1"/>
  <c r="X68" i="276"/>
  <c r="X85" i="276"/>
  <c r="X69" i="276"/>
  <c r="X67" i="276"/>
  <c r="U78" i="278"/>
  <c r="U57" i="278" s="1"/>
  <c r="U59" i="278" s="1"/>
  <c r="U62" i="278" s="1"/>
  <c r="V75" i="278"/>
  <c r="V77" i="278" s="1"/>
  <c r="V74" i="278"/>
  <c r="X67" i="278"/>
  <c r="W72" i="278"/>
  <c r="W97" i="280"/>
  <c r="W98" i="280"/>
  <c r="W96" i="280"/>
  <c r="W94" i="280"/>
  <c r="X81" i="280"/>
  <c r="X85" i="280"/>
  <c r="X82" i="280"/>
  <c r="X83" i="280"/>
  <c r="X84" i="280"/>
  <c r="X89" i="280"/>
  <c r="Y79" i="280"/>
  <c r="X67" i="284"/>
  <c r="X90" i="293"/>
  <c r="G54" i="304"/>
  <c r="H54" i="304" s="1"/>
  <c r="X73" i="293"/>
  <c r="X81" i="293"/>
  <c r="AN65" i="293"/>
  <c r="AM67" i="293"/>
  <c r="X106" i="282"/>
  <c r="AI65" i="282"/>
  <c r="AH67" i="282"/>
  <c r="AH73" i="282"/>
  <c r="Y105" i="282"/>
  <c r="Y57" i="282"/>
  <c r="Y70" i="282"/>
  <c r="Y58" i="282"/>
  <c r="Y89" i="282"/>
  <c r="Y90" i="282" s="1"/>
  <c r="AI79" i="282"/>
  <c r="AH81" i="282"/>
  <c r="D55" i="304"/>
  <c r="X95" i="280" s="1"/>
  <c r="W78" i="279"/>
  <c r="AS68" i="278"/>
  <c r="AS69" i="278" s="1"/>
  <c r="AS91" i="278"/>
  <c r="AS95" i="278" s="1"/>
  <c r="AS96" i="278" s="1"/>
  <c r="AS72" i="278"/>
  <c r="AS84" i="278"/>
  <c r="X84" i="277"/>
  <c r="X67" i="277"/>
  <c r="X72" i="277"/>
  <c r="X74" i="277"/>
  <c r="X75" i="277"/>
  <c r="X77" i="277" s="1"/>
  <c r="X86" i="277"/>
  <c r="X85" i="277"/>
  <c r="X87" i="277"/>
  <c r="W88" i="277"/>
  <c r="W89" i="277" s="1"/>
  <c r="W58" i="277" s="1"/>
  <c r="X88" i="275"/>
  <c r="X85" i="275"/>
  <c r="X87" i="275" s="1"/>
  <c r="X86" i="275"/>
  <c r="X76" i="275"/>
  <c r="X77" i="275" s="1"/>
  <c r="X93" i="275"/>
  <c r="X72" i="275"/>
  <c r="X67" i="275"/>
  <c r="X84" i="275"/>
  <c r="X69" i="275"/>
  <c r="X92" i="275"/>
  <c r="X90" i="275"/>
  <c r="X94" i="275" s="1"/>
  <c r="Z65" i="279"/>
  <c r="X70" i="279"/>
  <c r="X77" i="279"/>
  <c r="W70" i="284"/>
  <c r="W95" i="284"/>
  <c r="W58" i="284" s="1"/>
  <c r="X93" i="284"/>
  <c r="X69" i="284"/>
  <c r="X92" i="284"/>
  <c r="X68" i="284"/>
  <c r="X90" i="284"/>
  <c r="X94" i="284" s="1"/>
  <c r="AE65" i="280"/>
  <c r="AE67" i="280" s="1"/>
  <c r="X73" i="280"/>
  <c r="X91" i="280"/>
  <c r="AQ59" i="278"/>
  <c r="AQ62" i="278" s="1"/>
  <c r="X62" i="290"/>
  <c r="Y54" i="290"/>
  <c r="Y57" i="289"/>
  <c r="Y59" i="289" s="1"/>
  <c r="Y55" i="289"/>
  <c r="Z54" i="289"/>
  <c r="X62" i="289"/>
  <c r="AS87" i="278"/>
  <c r="AS74" i="278"/>
  <c r="AS75" i="278"/>
  <c r="AS77" i="278" s="1"/>
  <c r="AS86" i="278"/>
  <c r="AS85" i="278"/>
  <c r="AT54" i="278"/>
  <c r="AR78" i="278"/>
  <c r="AR88" i="278"/>
  <c r="AR89" i="278" s="1"/>
  <c r="AR58" i="278" s="1"/>
  <c r="Y65" i="295"/>
  <c r="X67" i="295"/>
  <c r="W75" i="293"/>
  <c r="W57" i="293" s="1"/>
  <c r="V59" i="293"/>
  <c r="V62" i="293" s="1"/>
  <c r="AR97" i="292"/>
  <c r="AR58" i="292" s="1"/>
  <c r="AR59" i="292" s="1"/>
  <c r="AR61" i="292" s="1"/>
  <c r="V57" i="277"/>
  <c r="V59" i="277" s="1"/>
  <c r="V62" i="277" s="1"/>
  <c r="W87" i="293"/>
  <c r="W97" i="293" s="1"/>
  <c r="W58" i="293" s="1"/>
  <c r="V58" i="279"/>
  <c r="V60" i="279" s="1"/>
  <c r="V62" i="279" s="1"/>
  <c r="Y54" i="275"/>
  <c r="W78" i="277"/>
  <c r="Y54" i="277"/>
  <c r="Y54" i="284"/>
  <c r="V59" i="275"/>
  <c r="V62" i="275" s="1"/>
  <c r="Y54" i="279"/>
  <c r="Y69" i="279" s="1"/>
  <c r="X75" i="279"/>
  <c r="W95" i="275"/>
  <c r="W58" i="275" s="1"/>
  <c r="W87" i="275"/>
  <c r="AT65" i="276"/>
  <c r="AS95" i="279"/>
  <c r="AS96" i="279" s="1"/>
  <c r="AS59" i="279" s="1"/>
  <c r="AS79" i="292"/>
  <c r="AS57" i="292" s="1"/>
  <c r="AS66" i="292"/>
  <c r="AS96" i="292"/>
  <c r="AT64" i="292"/>
  <c r="AR78" i="276"/>
  <c r="Y54" i="276"/>
  <c r="AS88" i="292"/>
  <c r="AT54" i="292"/>
  <c r="X62" i="295"/>
  <c r="Y54" i="295"/>
  <c r="AS84" i="284"/>
  <c r="AT65" i="284"/>
  <c r="Y54" i="293"/>
  <c r="W78" i="275"/>
  <c r="W70" i="276"/>
  <c r="W57" i="276" s="1"/>
  <c r="AI59" i="306"/>
  <c r="AI62" i="306" s="1"/>
  <c r="AJ87" i="306"/>
  <c r="AJ93" i="306"/>
  <c r="AJ97" i="306" s="1"/>
  <c r="AJ98" i="306" s="1"/>
  <c r="AJ58" i="306" s="1"/>
  <c r="AK65" i="306"/>
  <c r="AJ74" i="306"/>
  <c r="AJ67" i="306"/>
  <c r="AJ70" i="306" s="1"/>
  <c r="AJ71" i="306" s="1"/>
  <c r="AH81" i="306"/>
  <c r="AI77" i="306"/>
  <c r="AI79" i="306" s="1"/>
  <c r="AI78" i="306"/>
  <c r="AK54" i="306"/>
  <c r="AJ57" i="306"/>
  <c r="AJ55" i="306"/>
  <c r="W75" i="280"/>
  <c r="W57" i="280" s="1"/>
  <c r="W59" i="280" s="1"/>
  <c r="W62" i="280" s="1"/>
  <c r="I54" i="304"/>
  <c r="W107" i="280"/>
  <c r="W58" i="280" s="1"/>
  <c r="Y54" i="280"/>
  <c r="Y55" i="280" s="1"/>
  <c r="V62" i="280"/>
  <c r="X75" i="282"/>
  <c r="X59" i="282" s="1"/>
  <c r="X62" i="282" s="1"/>
  <c r="Z54" i="282"/>
  <c r="Z55" i="282" s="1"/>
  <c r="X100" i="293" l="1"/>
  <c r="W111" i="280"/>
  <c r="W73" i="284"/>
  <c r="W75" i="284" s="1"/>
  <c r="W77" i="284" s="1"/>
  <c r="H30" i="321"/>
  <c r="B30" i="321" s="1"/>
  <c r="Y85" i="276"/>
  <c r="Y67" i="276"/>
  <c r="Y69" i="276"/>
  <c r="Y68" i="276"/>
  <c r="V78" i="278"/>
  <c r="V57" i="278" s="1"/>
  <c r="V59" i="278" s="1"/>
  <c r="V62" i="278" s="1"/>
  <c r="W74" i="278"/>
  <c r="W75" i="278"/>
  <c r="W77" i="278" s="1"/>
  <c r="W78" i="278" s="1"/>
  <c r="W57" i="278" s="1"/>
  <c r="W59" i="278" s="1"/>
  <c r="W62" i="278" s="1"/>
  <c r="Y67" i="278"/>
  <c r="X72" i="278"/>
  <c r="Y84" i="280"/>
  <c r="Y81" i="280"/>
  <c r="Y82" i="280"/>
  <c r="Y83" i="280"/>
  <c r="Y85" i="280"/>
  <c r="X98" i="280"/>
  <c r="X96" i="280"/>
  <c r="X97" i="280"/>
  <c r="X94" i="280"/>
  <c r="Y89" i="280"/>
  <c r="Z79" i="280"/>
  <c r="G55" i="304"/>
  <c r="H55" i="304" s="1"/>
  <c r="Y67" i="284"/>
  <c r="Y90" i="293"/>
  <c r="Y73" i="293"/>
  <c r="Y81" i="293"/>
  <c r="AO65" i="293"/>
  <c r="AN67" i="293"/>
  <c r="X95" i="275"/>
  <c r="X58" i="275" s="1"/>
  <c r="Y106" i="282"/>
  <c r="AJ65" i="282"/>
  <c r="AI73" i="282"/>
  <c r="AI67" i="282"/>
  <c r="Z105" i="282"/>
  <c r="Z89" i="282"/>
  <c r="Z90" i="282" s="1"/>
  <c r="Z58" i="282"/>
  <c r="Z57" i="282"/>
  <c r="Z70" i="282"/>
  <c r="AJ79" i="282"/>
  <c r="AI81" i="282"/>
  <c r="D56" i="304"/>
  <c r="Y95" i="280" s="1"/>
  <c r="X78" i="279"/>
  <c r="X95" i="284"/>
  <c r="X58" i="284" s="1"/>
  <c r="AT68" i="278"/>
  <c r="AT69" i="278" s="1"/>
  <c r="AT84" i="278"/>
  <c r="AT91" i="278"/>
  <c r="AT95" i="278" s="1"/>
  <c r="AT96" i="278" s="1"/>
  <c r="AT72" i="278"/>
  <c r="AR57" i="278"/>
  <c r="AR59" i="278" s="1"/>
  <c r="AR62" i="278" s="1"/>
  <c r="Y87" i="277"/>
  <c r="Y74" i="277"/>
  <c r="Y75" i="277"/>
  <c r="Y77" i="277" s="1"/>
  <c r="Y84" i="277"/>
  <c r="Y85" i="277"/>
  <c r="Y86" i="277"/>
  <c r="Y67" i="277"/>
  <c r="Y72" i="277"/>
  <c r="X88" i="277"/>
  <c r="X89" i="277" s="1"/>
  <c r="X58" i="277" s="1"/>
  <c r="Y92" i="275"/>
  <c r="Y88" i="275"/>
  <c r="Y72" i="275"/>
  <c r="Y90" i="275"/>
  <c r="Y94" i="275" s="1"/>
  <c r="Y86" i="275"/>
  <c r="Y67" i="275"/>
  <c r="Y84" i="275"/>
  <c r="Y93" i="275"/>
  <c r="Y85" i="275"/>
  <c r="Y69" i="275"/>
  <c r="Y76" i="275"/>
  <c r="Y77" i="275" s="1"/>
  <c r="Y77" i="279"/>
  <c r="Y70" i="279"/>
  <c r="AA65" i="279"/>
  <c r="X70" i="284"/>
  <c r="Y92" i="284"/>
  <c r="Y93" i="284"/>
  <c r="Y68" i="284"/>
  <c r="Y69" i="284"/>
  <c r="Y90" i="284"/>
  <c r="Y94" i="284" s="1"/>
  <c r="Y91" i="280"/>
  <c r="Y73" i="280"/>
  <c r="AF65" i="280"/>
  <c r="AF67" i="280" s="1"/>
  <c r="AS88" i="278"/>
  <c r="AS89" i="278" s="1"/>
  <c r="AS58" i="278" s="1"/>
  <c r="Y62" i="290"/>
  <c r="Z54" i="290"/>
  <c r="Z55" i="289"/>
  <c r="Z57" i="289"/>
  <c r="Z59" i="289" s="1"/>
  <c r="Z62" i="289" s="1"/>
  <c r="AA54" i="289"/>
  <c r="Y62" i="289"/>
  <c r="AT86" i="278"/>
  <c r="AT85" i="278"/>
  <c r="AT87" i="278"/>
  <c r="AT75" i="278"/>
  <c r="AT77" i="278" s="1"/>
  <c r="AT74" i="278"/>
  <c r="AU54" i="278"/>
  <c r="AS78" i="278"/>
  <c r="Z65" i="295"/>
  <c r="Y67" i="295"/>
  <c r="W59" i="293"/>
  <c r="W62" i="293" s="1"/>
  <c r="AS89" i="292"/>
  <c r="AS97" i="292" s="1"/>
  <c r="AS58" i="292" s="1"/>
  <c r="AS59" i="292" s="1"/>
  <c r="AS61" i="292" s="1"/>
  <c r="W58" i="279"/>
  <c r="W60" i="279" s="1"/>
  <c r="W62" i="279" s="1"/>
  <c r="X87" i="293"/>
  <c r="X97" i="293" s="1"/>
  <c r="X58" i="293" s="1"/>
  <c r="W57" i="275"/>
  <c r="W59" i="275" s="1"/>
  <c r="W62" i="275" s="1"/>
  <c r="AT95" i="279"/>
  <c r="AT96" i="279" s="1"/>
  <c r="AT59" i="279" s="1"/>
  <c r="X75" i="293"/>
  <c r="X57" i="293" s="1"/>
  <c r="X70" i="276"/>
  <c r="X57" i="276" s="1"/>
  <c r="Z54" i="279"/>
  <c r="Z69" i="279" s="1"/>
  <c r="Y75" i="279"/>
  <c r="Z54" i="284"/>
  <c r="X78" i="277"/>
  <c r="X57" i="277" s="1"/>
  <c r="X78" i="275"/>
  <c r="AU65" i="276"/>
  <c r="Y87" i="293"/>
  <c r="Y97" i="293" s="1"/>
  <c r="Z54" i="293"/>
  <c r="AU65" i="284"/>
  <c r="AT84" i="284"/>
  <c r="Z54" i="295"/>
  <c r="Y62" i="295"/>
  <c r="AU54" i="292"/>
  <c r="AT88" i="292"/>
  <c r="Z54" i="277"/>
  <c r="Z54" i="276"/>
  <c r="Y70" i="276"/>
  <c r="Y57" i="276" s="1"/>
  <c r="AR79" i="276"/>
  <c r="AT96" i="292"/>
  <c r="AT66" i="292"/>
  <c r="AT79" i="292"/>
  <c r="AT57" i="292" s="1"/>
  <c r="AU64" i="292"/>
  <c r="AS78" i="276"/>
  <c r="W57" i="277"/>
  <c r="W59" i="277" s="1"/>
  <c r="W62" i="277" s="1"/>
  <c r="Z54" i="275"/>
  <c r="AJ59" i="306"/>
  <c r="AJ62" i="306" s="1"/>
  <c r="AJ77" i="306"/>
  <c r="AJ79" i="306" s="1"/>
  <c r="AJ78" i="306"/>
  <c r="AI81" i="306"/>
  <c r="AK87" i="306"/>
  <c r="AK74" i="306"/>
  <c r="AK93" i="306"/>
  <c r="AK97" i="306" s="1"/>
  <c r="AK98" i="306" s="1"/>
  <c r="AK58" i="306" s="1"/>
  <c r="AK67" i="306"/>
  <c r="AK70" i="306" s="1"/>
  <c r="AK71" i="306" s="1"/>
  <c r="AL65" i="306"/>
  <c r="AK57" i="306"/>
  <c r="AL54" i="306"/>
  <c r="AK55" i="306"/>
  <c r="X75" i="280"/>
  <c r="X57" i="280" s="1"/>
  <c r="X59" i="280" s="1"/>
  <c r="X62" i="280" s="1"/>
  <c r="I55" i="304"/>
  <c r="X107" i="280"/>
  <c r="X58" i="280" s="1"/>
  <c r="Z54" i="280"/>
  <c r="Z55" i="280" s="1"/>
  <c r="AA54" i="282"/>
  <c r="AA55" i="282" s="1"/>
  <c r="Y75" i="282"/>
  <c r="Y59" i="282" s="1"/>
  <c r="Y62" i="282" s="1"/>
  <c r="Y100" i="293" l="1"/>
  <c r="W78" i="284"/>
  <c r="W57" i="284" s="1"/>
  <c r="W59" i="284" s="1"/>
  <c r="W62" i="284" s="1"/>
  <c r="X111" i="280"/>
  <c r="X73" i="284"/>
  <c r="X75" i="284" s="1"/>
  <c r="X77" i="284" s="1"/>
  <c r="H31" i="321"/>
  <c r="B31" i="321" s="1"/>
  <c r="Z69" i="276"/>
  <c r="Z67" i="276"/>
  <c r="Z68" i="276"/>
  <c r="Z85" i="276"/>
  <c r="Z67" i="278"/>
  <c r="Y72" i="278"/>
  <c r="X74" i="278"/>
  <c r="X75" i="278"/>
  <c r="X77" i="278" s="1"/>
  <c r="X78" i="278" s="1"/>
  <c r="X57" i="278" s="1"/>
  <c r="X59" i="278" s="1"/>
  <c r="X62" i="278" s="1"/>
  <c r="Y97" i="280"/>
  <c r="Y98" i="280"/>
  <c r="Y96" i="280"/>
  <c r="Y94" i="280"/>
  <c r="Z83" i="280"/>
  <c r="Z84" i="280"/>
  <c r="Z85" i="280"/>
  <c r="Z81" i="280"/>
  <c r="Z82" i="280"/>
  <c r="Z89" i="280"/>
  <c r="AA79" i="280"/>
  <c r="G56" i="304"/>
  <c r="H56" i="304" s="1"/>
  <c r="Z67" i="284"/>
  <c r="Z90" i="293"/>
  <c r="Z81" i="293"/>
  <c r="Z73" i="293"/>
  <c r="AP65" i="293"/>
  <c r="AO67" i="293"/>
  <c r="Z106" i="282"/>
  <c r="AK65" i="282"/>
  <c r="AJ73" i="282"/>
  <c r="AJ67" i="282"/>
  <c r="AA105" i="282"/>
  <c r="AA89" i="282"/>
  <c r="AA90" i="282" s="1"/>
  <c r="AA58" i="282"/>
  <c r="AA57" i="282"/>
  <c r="AA70" i="282"/>
  <c r="AK79" i="282"/>
  <c r="AJ81" i="282"/>
  <c r="D57" i="304"/>
  <c r="Z95" i="280" s="1"/>
  <c r="Y78" i="279"/>
  <c r="AU68" i="278"/>
  <c r="AU69" i="278" s="1"/>
  <c r="AU84" i="278"/>
  <c r="AU72" i="278"/>
  <c r="AU91" i="278"/>
  <c r="AU95" i="278" s="1"/>
  <c r="AU96" i="278" s="1"/>
  <c r="Z86" i="277"/>
  <c r="Z72" i="277"/>
  <c r="Z84" i="277"/>
  <c r="Z85" i="277"/>
  <c r="Z87" i="277"/>
  <c r="Z67" i="277"/>
  <c r="Z74" i="277"/>
  <c r="Z75" i="277"/>
  <c r="Z77" i="277" s="1"/>
  <c r="Y88" i="277"/>
  <c r="Y89" i="277" s="1"/>
  <c r="Y58" i="277" s="1"/>
  <c r="Z86" i="275"/>
  <c r="Z90" i="275"/>
  <c r="Z94" i="275" s="1"/>
  <c r="Z69" i="275"/>
  <c r="Z67" i="275"/>
  <c r="Z93" i="275"/>
  <c r="Z92" i="275"/>
  <c r="Z85" i="275"/>
  <c r="Z76" i="275"/>
  <c r="Z77" i="275" s="1"/>
  <c r="Z72" i="275"/>
  <c r="Z88" i="275"/>
  <c r="Z84" i="275"/>
  <c r="Z77" i="279"/>
  <c r="Z70" i="279"/>
  <c r="AB65" i="279"/>
  <c r="Y70" i="284"/>
  <c r="Y95" i="284"/>
  <c r="Y58" i="284" s="1"/>
  <c r="Z90" i="284"/>
  <c r="Z94" i="284" s="1"/>
  <c r="Z69" i="284"/>
  <c r="Z93" i="284"/>
  <c r="Z92" i="284"/>
  <c r="Z68" i="284"/>
  <c r="AG65" i="280"/>
  <c r="AG67" i="280" s="1"/>
  <c r="Z73" i="280"/>
  <c r="Z75" i="280" s="1"/>
  <c r="Z57" i="280" s="1"/>
  <c r="Z91" i="280"/>
  <c r="AS57" i="278"/>
  <c r="AS59" i="278" s="1"/>
  <c r="AS62" i="278" s="1"/>
  <c r="Z62" i="290"/>
  <c r="AA54" i="290"/>
  <c r="AA57" i="289"/>
  <c r="AA59" i="289" s="1"/>
  <c r="AA55" i="289"/>
  <c r="AB54" i="289"/>
  <c r="AU86" i="278"/>
  <c r="AU75" i="278"/>
  <c r="AU77" i="278" s="1"/>
  <c r="AU85" i="278"/>
  <c r="AU87" i="278"/>
  <c r="AU74" i="278"/>
  <c r="AV54" i="278"/>
  <c r="AT88" i="278"/>
  <c r="AT89" i="278" s="1"/>
  <c r="AT58" i="278" s="1"/>
  <c r="AT78" i="278"/>
  <c r="AT57" i="278" s="1"/>
  <c r="AA65" i="295"/>
  <c r="Z67" i="295"/>
  <c r="X59" i="277"/>
  <c r="X62" i="277" s="1"/>
  <c r="Y87" i="275"/>
  <c r="AT89" i="292"/>
  <c r="AT97" i="292" s="1"/>
  <c r="AT58" i="292" s="1"/>
  <c r="AT59" i="292" s="1"/>
  <c r="AT61" i="292" s="1"/>
  <c r="X57" i="275"/>
  <c r="X59" i="275" s="1"/>
  <c r="X62" i="275" s="1"/>
  <c r="Y95" i="275"/>
  <c r="Y58" i="275" s="1"/>
  <c r="Y78" i="275"/>
  <c r="AT78" i="276"/>
  <c r="X59" i="293"/>
  <c r="X62" i="293" s="1"/>
  <c r="AU96" i="292"/>
  <c r="AV64" i="292"/>
  <c r="AU79" i="292"/>
  <c r="AU57" i="292" s="1"/>
  <c r="AU66" i="292"/>
  <c r="AS79" i="276"/>
  <c r="AA54" i="277"/>
  <c r="AA54" i="295"/>
  <c r="Z62" i="295"/>
  <c r="AU84" i="284"/>
  <c r="AV65" i="284"/>
  <c r="Y58" i="293"/>
  <c r="AV65" i="276"/>
  <c r="X58" i="279"/>
  <c r="X60" i="279" s="1"/>
  <c r="X62" i="279" s="1"/>
  <c r="Z87" i="293"/>
  <c r="Z97" i="293" s="1"/>
  <c r="AA54" i="293"/>
  <c r="AA54" i="275"/>
  <c r="AU95" i="279"/>
  <c r="AU96" i="279" s="1"/>
  <c r="AU59" i="279" s="1"/>
  <c r="AJ81" i="306"/>
  <c r="AA54" i="276"/>
  <c r="Y78" i="277"/>
  <c r="AV54" i="292"/>
  <c r="AU88" i="292"/>
  <c r="Y75" i="293"/>
  <c r="Y57" i="293" s="1"/>
  <c r="AA54" i="284"/>
  <c r="AA54" i="279"/>
  <c r="AA69" i="279" s="1"/>
  <c r="Z75" i="279"/>
  <c r="AL93" i="306"/>
  <c r="AL97" i="306" s="1"/>
  <c r="AL98" i="306" s="1"/>
  <c r="AL58" i="306" s="1"/>
  <c r="AL87" i="306"/>
  <c r="AL74" i="306"/>
  <c r="AL67" i="306"/>
  <c r="AL70" i="306" s="1"/>
  <c r="AL71" i="306" s="1"/>
  <c r="AM65" i="306"/>
  <c r="AL57" i="306"/>
  <c r="AL55" i="306"/>
  <c r="AM54" i="306"/>
  <c r="AK59" i="306"/>
  <c r="AK62" i="306" s="1"/>
  <c r="AK78" i="306"/>
  <c r="AK77" i="306"/>
  <c r="AK79" i="306" s="1"/>
  <c r="Y75" i="280"/>
  <c r="Y57" i="280" s="1"/>
  <c r="Y59" i="280" s="1"/>
  <c r="Y62" i="280" s="1"/>
  <c r="I56" i="304"/>
  <c r="Y107" i="280"/>
  <c r="Y58" i="280" s="1"/>
  <c r="AA54" i="280"/>
  <c r="AA55" i="280" s="1"/>
  <c r="AB54" i="282"/>
  <c r="AB55" i="282" s="1"/>
  <c r="Z75" i="282"/>
  <c r="Z59" i="282" s="1"/>
  <c r="Z62" i="282" s="1"/>
  <c r="Z100" i="293" l="1"/>
  <c r="Y73" i="284"/>
  <c r="Y75" i="284" s="1"/>
  <c r="Y77" i="284" s="1"/>
  <c r="Y78" i="284" s="1"/>
  <c r="Y57" i="284" s="1"/>
  <c r="Y59" i="284" s="1"/>
  <c r="Y62" i="284" s="1"/>
  <c r="H32" i="321"/>
  <c r="B32" i="321" s="1"/>
  <c r="X78" i="284"/>
  <c r="X57" i="284" s="1"/>
  <c r="X59" i="284" s="1"/>
  <c r="X62" i="284" s="1"/>
  <c r="Y111" i="280"/>
  <c r="AA85" i="276"/>
  <c r="AA68" i="276"/>
  <c r="AA67" i="276"/>
  <c r="AA69" i="276"/>
  <c r="Y75" i="278"/>
  <c r="Y77" i="278" s="1"/>
  <c r="Y78" i="278" s="1"/>
  <c r="Y57" i="278" s="1"/>
  <c r="Y59" i="278" s="1"/>
  <c r="Y62" i="278" s="1"/>
  <c r="Y74" i="278"/>
  <c r="AA67" i="278"/>
  <c r="AA72" i="278" s="1"/>
  <c r="Z72" i="278"/>
  <c r="AA82" i="280"/>
  <c r="AA83" i="280"/>
  <c r="AA84" i="280"/>
  <c r="AA85" i="280"/>
  <c r="AA81" i="280"/>
  <c r="Z97" i="280"/>
  <c r="Z96" i="280"/>
  <c r="Z98" i="280"/>
  <c r="Z94" i="280"/>
  <c r="AA89" i="280"/>
  <c r="AB79" i="280"/>
  <c r="G57" i="304"/>
  <c r="H57" i="304" s="1"/>
  <c r="G58" i="304"/>
  <c r="H58" i="304" s="1"/>
  <c r="AA90" i="293"/>
  <c r="AA81" i="293"/>
  <c r="AA73" i="293"/>
  <c r="AQ65" i="293"/>
  <c r="AP67" i="293"/>
  <c r="AA106" i="282"/>
  <c r="AB105" i="282"/>
  <c r="AB106" i="282" s="1"/>
  <c r="AB58" i="282"/>
  <c r="AB70" i="282"/>
  <c r="AB89" i="282"/>
  <c r="AB57" i="282"/>
  <c r="AL65" i="282"/>
  <c r="AK73" i="282"/>
  <c r="AK67" i="282"/>
  <c r="AL79" i="282"/>
  <c r="AK81" i="282"/>
  <c r="D58" i="304"/>
  <c r="AA95" i="280" s="1"/>
  <c r="Z78" i="279"/>
  <c r="Z88" i="277"/>
  <c r="Z89" i="277" s="1"/>
  <c r="Z58" i="277" s="1"/>
  <c r="AV68" i="278"/>
  <c r="AV69" i="278" s="1"/>
  <c r="AV72" i="278"/>
  <c r="AV84" i="278"/>
  <c r="AV91" i="278"/>
  <c r="AV95" i="278" s="1"/>
  <c r="AV96" i="278" s="1"/>
  <c r="AA85" i="277"/>
  <c r="AA86" i="277"/>
  <c r="AA87" i="277"/>
  <c r="AA84" i="277"/>
  <c r="AA72" i="277"/>
  <c r="AA67" i="277"/>
  <c r="AA74" i="277"/>
  <c r="AA75" i="277"/>
  <c r="AA77" i="277" s="1"/>
  <c r="AA93" i="275"/>
  <c r="AA90" i="275"/>
  <c r="AA94" i="275" s="1"/>
  <c r="AA92" i="275"/>
  <c r="AA84" i="275"/>
  <c r="AA88" i="275"/>
  <c r="AA69" i="275"/>
  <c r="AA85" i="275"/>
  <c r="AA76" i="275"/>
  <c r="AA77" i="275" s="1"/>
  <c r="AA86" i="275"/>
  <c r="AA72" i="275"/>
  <c r="AA67" i="275"/>
  <c r="AA77" i="279"/>
  <c r="AA70" i="279"/>
  <c r="AC65" i="279"/>
  <c r="Z70" i="284"/>
  <c r="Z95" i="284"/>
  <c r="Z58" i="284" s="1"/>
  <c r="AA92" i="284"/>
  <c r="AA90" i="284"/>
  <c r="AA94" i="284" s="1"/>
  <c r="AA68" i="284"/>
  <c r="AA93" i="284"/>
  <c r="AA69" i="284"/>
  <c r="AA91" i="280"/>
  <c r="AA73" i="280"/>
  <c r="AH65" i="280"/>
  <c r="AH67" i="280" s="1"/>
  <c r="AT59" i="278"/>
  <c r="AT62" i="278" s="1"/>
  <c r="AU88" i="278"/>
  <c r="AU89" i="278" s="1"/>
  <c r="AU58" i="278" s="1"/>
  <c r="AA62" i="290"/>
  <c r="AB54" i="290"/>
  <c r="AB57" i="289"/>
  <c r="AB59" i="289" s="1"/>
  <c r="AB55" i="289"/>
  <c r="AC54" i="289"/>
  <c r="AA62" i="289"/>
  <c r="AU78" i="278"/>
  <c r="AU57" i="278" s="1"/>
  <c r="AV87" i="278"/>
  <c r="AV86" i="278"/>
  <c r="AV85" i="278"/>
  <c r="AV74" i="278"/>
  <c r="AV75" i="278"/>
  <c r="AV77" i="278" s="1"/>
  <c r="AW54" i="278"/>
  <c r="AB65" i="295"/>
  <c r="AA67" i="295"/>
  <c r="Y57" i="275"/>
  <c r="Y59" i="275" s="1"/>
  <c r="Y62" i="275" s="1"/>
  <c r="Y59" i="293"/>
  <c r="Y62" i="293" s="1"/>
  <c r="Y58" i="279"/>
  <c r="Y60" i="279" s="1"/>
  <c r="Y62" i="279" s="1"/>
  <c r="Y57" i="277"/>
  <c r="Y59" i="277" s="1"/>
  <c r="Y62" i="277" s="1"/>
  <c r="AV79" i="292"/>
  <c r="AV57" i="292" s="1"/>
  <c r="AV66" i="292"/>
  <c r="AV96" i="292"/>
  <c r="AW64" i="292"/>
  <c r="AB54" i="284"/>
  <c r="AU89" i="292"/>
  <c r="AU97" i="292" s="1"/>
  <c r="AU58" i="292" s="1"/>
  <c r="AU59" i="292" s="1"/>
  <c r="AU61" i="292" s="1"/>
  <c r="Z70" i="276"/>
  <c r="Z57" i="276" s="1"/>
  <c r="Z95" i="275"/>
  <c r="Z58" i="275" s="1"/>
  <c r="Z78" i="275"/>
  <c r="Z58" i="293"/>
  <c r="AW65" i="276"/>
  <c r="AA62" i="295"/>
  <c r="AB54" i="295"/>
  <c r="Z78" i="277"/>
  <c r="Z57" i="277" s="1"/>
  <c r="AB54" i="279"/>
  <c r="AB69" i="279" s="1"/>
  <c r="AA75" i="279"/>
  <c r="AW54" i="292"/>
  <c r="AV88" i="292"/>
  <c r="Z87" i="275"/>
  <c r="AB54" i="275"/>
  <c r="AA87" i="275"/>
  <c r="AB54" i="293"/>
  <c r="AU78" i="276"/>
  <c r="AB54" i="277"/>
  <c r="AT79" i="276"/>
  <c r="AV95" i="279"/>
  <c r="AV96" i="279" s="1"/>
  <c r="AV59" i="279" s="1"/>
  <c r="AB54" i="276"/>
  <c r="Z75" i="293"/>
  <c r="Z57" i="293" s="1"/>
  <c r="AV84" i="284"/>
  <c r="AW65" i="284"/>
  <c r="AK81" i="306"/>
  <c r="AN54" i="306"/>
  <c r="AM57" i="306"/>
  <c r="AM55" i="306"/>
  <c r="AL77" i="306"/>
  <c r="AL79" i="306" s="1"/>
  <c r="AL78" i="306"/>
  <c r="AL59" i="306"/>
  <c r="AL62" i="306" s="1"/>
  <c r="AM93" i="306"/>
  <c r="AM97" i="306" s="1"/>
  <c r="AM98" i="306" s="1"/>
  <c r="AM58" i="306" s="1"/>
  <c r="AM87" i="306"/>
  <c r="AM74" i="306"/>
  <c r="AM67" i="306"/>
  <c r="AM70" i="306" s="1"/>
  <c r="AM71" i="306" s="1"/>
  <c r="AN65" i="306"/>
  <c r="I57" i="304"/>
  <c r="Z107" i="280"/>
  <c r="Z58" i="280" s="1"/>
  <c r="Z59" i="280" s="1"/>
  <c r="Z62" i="280" s="1"/>
  <c r="AB54" i="280"/>
  <c r="AB55" i="280" s="1"/>
  <c r="AA75" i="282"/>
  <c r="AC54" i="282"/>
  <c r="AC55" i="282" s="1"/>
  <c r="AA100" i="293" l="1"/>
  <c r="AA73" i="284"/>
  <c r="AA75" i="284" s="1"/>
  <c r="AA77" i="284" s="1"/>
  <c r="AA78" i="284" s="1"/>
  <c r="H34" i="321"/>
  <c r="B34" i="321" s="1"/>
  <c r="Z73" i="284"/>
  <c r="Z75" i="284" s="1"/>
  <c r="Z77" i="284" s="1"/>
  <c r="H33" i="321"/>
  <c r="B33" i="321" s="1"/>
  <c r="Z111" i="280"/>
  <c r="AB68" i="276"/>
  <c r="AB85" i="276"/>
  <c r="AB67" i="276"/>
  <c r="AB69" i="276"/>
  <c r="Z75" i="278"/>
  <c r="Z77" i="278" s="1"/>
  <c r="Z78" i="278" s="1"/>
  <c r="Z57" i="278" s="1"/>
  <c r="Z59" i="278" s="1"/>
  <c r="Z62" i="278" s="1"/>
  <c r="Z74" i="278"/>
  <c r="AA75" i="278"/>
  <c r="AA77" i="278" s="1"/>
  <c r="AA74" i="278"/>
  <c r="AA98" i="280"/>
  <c r="AA97" i="280"/>
  <c r="AA96" i="280"/>
  <c r="AA94" i="280"/>
  <c r="AB81" i="280"/>
  <c r="AB85" i="280"/>
  <c r="AB82" i="280"/>
  <c r="AB83" i="280"/>
  <c r="AB84" i="280"/>
  <c r="AB89" i="280"/>
  <c r="AC79" i="280"/>
  <c r="I58" i="304"/>
  <c r="AA67" i="284"/>
  <c r="AA70" i="284" s="1"/>
  <c r="I59" i="304"/>
  <c r="AB90" i="293"/>
  <c r="D59" i="304"/>
  <c r="AB95" i="280" s="1"/>
  <c r="AR65" i="293"/>
  <c r="AQ67" i="293"/>
  <c r="AB73" i="293"/>
  <c r="AB81" i="293"/>
  <c r="AC105" i="282"/>
  <c r="AC106" i="282" s="1"/>
  <c r="AC57" i="282"/>
  <c r="AC70" i="282"/>
  <c r="AC58" i="282"/>
  <c r="AC89" i="282"/>
  <c r="AM65" i="282"/>
  <c r="AL73" i="282"/>
  <c r="AL67" i="282"/>
  <c r="AM79" i="282"/>
  <c r="AL81" i="282"/>
  <c r="AA78" i="279"/>
  <c r="AW68" i="278"/>
  <c r="AW69" i="278" s="1"/>
  <c r="AW91" i="278"/>
  <c r="AW95" i="278" s="1"/>
  <c r="AW96" i="278" s="1"/>
  <c r="AW72" i="278"/>
  <c r="AW84" i="278"/>
  <c r="AB84" i="277"/>
  <c r="AB72" i="277"/>
  <c r="AB74" i="277"/>
  <c r="AB67" i="277"/>
  <c r="AB85" i="277"/>
  <c r="AB86" i="277"/>
  <c r="AB87" i="277"/>
  <c r="AB88" i="277" s="1"/>
  <c r="AB75" i="277"/>
  <c r="AB77" i="277" s="1"/>
  <c r="AA88" i="277"/>
  <c r="AA89" i="277" s="1"/>
  <c r="AA58" i="277" s="1"/>
  <c r="Z57" i="275"/>
  <c r="Z59" i="275" s="1"/>
  <c r="Z62" i="275" s="1"/>
  <c r="AB88" i="275"/>
  <c r="AB85" i="275"/>
  <c r="AB93" i="275"/>
  <c r="AB76" i="275"/>
  <c r="AB77" i="275" s="1"/>
  <c r="AB92" i="275"/>
  <c r="AB90" i="275"/>
  <c r="AB94" i="275" s="1"/>
  <c r="AB84" i="275"/>
  <c r="AB69" i="275"/>
  <c r="AB86" i="275"/>
  <c r="AB67" i="275"/>
  <c r="AB72" i="275"/>
  <c r="AD65" i="279"/>
  <c r="AB70" i="279"/>
  <c r="AB77" i="279"/>
  <c r="AA95" i="284"/>
  <c r="AA58" i="284" s="1"/>
  <c r="AB93" i="284"/>
  <c r="AB92" i="284"/>
  <c r="AB90" i="284"/>
  <c r="AB94" i="284" s="1"/>
  <c r="AB68" i="284"/>
  <c r="AB69" i="284"/>
  <c r="AI65" i="280"/>
  <c r="AI67" i="280" s="1"/>
  <c r="AB58" i="280"/>
  <c r="AB91" i="280"/>
  <c r="AB73" i="280"/>
  <c r="AB59" i="280"/>
  <c r="AV78" i="278"/>
  <c r="AB62" i="290"/>
  <c r="AC54" i="290"/>
  <c r="AC57" i="289"/>
  <c r="AC59" i="289" s="1"/>
  <c r="AC55" i="289"/>
  <c r="AD54" i="289"/>
  <c r="AV88" i="278"/>
  <c r="AV89" i="278" s="1"/>
  <c r="AV58" i="278" s="1"/>
  <c r="AW87" i="278"/>
  <c r="AW86" i="278"/>
  <c r="AW75" i="278"/>
  <c r="AW77" i="278" s="1"/>
  <c r="AW74" i="278"/>
  <c r="AX54" i="278"/>
  <c r="AW85" i="278"/>
  <c r="AU59" i="278"/>
  <c r="AU62" i="278" s="1"/>
  <c r="Z59" i="277"/>
  <c r="Z62" i="277" s="1"/>
  <c r="AB67" i="295"/>
  <c r="AC65" i="295"/>
  <c r="AA75" i="293"/>
  <c r="AA57" i="293" s="1"/>
  <c r="AA70" i="276"/>
  <c r="AA57" i="276" s="1"/>
  <c r="AU79" i="276"/>
  <c r="AA87" i="293"/>
  <c r="AA97" i="293" s="1"/>
  <c r="AA58" i="293" s="1"/>
  <c r="AA78" i="275"/>
  <c r="AA95" i="275"/>
  <c r="AA58" i="275" s="1"/>
  <c r="AW95" i="279"/>
  <c r="AW96" i="279" s="1"/>
  <c r="AW59" i="279" s="1"/>
  <c r="AX65" i="284"/>
  <c r="AW84" i="284"/>
  <c r="AC54" i="276"/>
  <c r="AC54" i="277"/>
  <c r="AA78" i="277"/>
  <c r="AV89" i="292"/>
  <c r="AV97" i="292" s="1"/>
  <c r="AV58" i="292" s="1"/>
  <c r="AV59" i="292" s="1"/>
  <c r="AV61" i="292" s="1"/>
  <c r="AB70" i="295"/>
  <c r="AB59" i="295"/>
  <c r="AC54" i="295"/>
  <c r="AV78" i="276"/>
  <c r="AC54" i="293"/>
  <c r="AB75" i="279"/>
  <c r="AC54" i="279"/>
  <c r="AC69" i="279" s="1"/>
  <c r="AX65" i="276"/>
  <c r="AC54" i="284"/>
  <c r="AC75" i="284" s="1"/>
  <c r="AW88" i="292"/>
  <c r="AX54" i="292"/>
  <c r="Z59" i="293"/>
  <c r="Z62" i="293" s="1"/>
  <c r="AC54" i="275"/>
  <c r="Z58" i="279"/>
  <c r="Z60" i="279" s="1"/>
  <c r="Z62" i="279" s="1"/>
  <c r="AW79" i="292"/>
  <c r="AW57" i="292" s="1"/>
  <c r="AW96" i="292"/>
  <c r="AW66" i="292"/>
  <c r="AX64" i="292"/>
  <c r="AL81" i="306"/>
  <c r="AN87" i="306"/>
  <c r="AN93" i="306"/>
  <c r="AN97" i="306" s="1"/>
  <c r="AN98" i="306" s="1"/>
  <c r="AN58" i="306" s="1"/>
  <c r="AN74" i="306"/>
  <c r="AO65" i="306"/>
  <c r="AN67" i="306"/>
  <c r="AN70" i="306" s="1"/>
  <c r="AN71" i="306" s="1"/>
  <c r="AM59" i="306"/>
  <c r="AM62" i="306" s="1"/>
  <c r="AM77" i="306"/>
  <c r="AM79" i="306" s="1"/>
  <c r="AM81" i="306" s="1"/>
  <c r="AM78" i="306"/>
  <c r="AO54" i="306"/>
  <c r="AN57" i="306"/>
  <c r="AN55" i="306"/>
  <c r="AA75" i="280"/>
  <c r="AA57" i="280" s="1"/>
  <c r="AA59" i="280" s="1"/>
  <c r="AA62" i="280" s="1"/>
  <c r="AA107" i="280"/>
  <c r="AA58" i="280" s="1"/>
  <c r="AC54" i="280"/>
  <c r="AC55" i="280" s="1"/>
  <c r="AA59" i="282"/>
  <c r="AA62" i="282" s="1"/>
  <c r="AD54" i="282"/>
  <c r="AD55" i="282" s="1"/>
  <c r="AB75" i="282"/>
  <c r="AB100" i="293" l="1"/>
  <c r="Z78" i="284"/>
  <c r="Z57" i="284" s="1"/>
  <c r="Z59" i="284" s="1"/>
  <c r="Z62" i="284" s="1"/>
  <c r="AA57" i="284"/>
  <c r="AA111" i="280"/>
  <c r="AC55" i="276"/>
  <c r="AC93" i="276"/>
  <c r="AC97" i="276" s="1"/>
  <c r="AC69" i="276"/>
  <c r="AC85" i="276"/>
  <c r="AC68" i="276"/>
  <c r="AC67" i="276"/>
  <c r="AA78" i="278"/>
  <c r="AA57" i="278" s="1"/>
  <c r="AA59" i="278" s="1"/>
  <c r="AA62" i="278" s="1"/>
  <c r="AB96" i="280"/>
  <c r="AB98" i="280"/>
  <c r="AB97" i="280"/>
  <c r="AB94" i="280"/>
  <c r="AC84" i="280"/>
  <c r="AC85" i="280"/>
  <c r="AC81" i="280"/>
  <c r="AC82" i="280"/>
  <c r="AC83" i="280"/>
  <c r="AC89" i="280"/>
  <c r="AD79" i="280"/>
  <c r="G60" i="304"/>
  <c r="D60" i="304"/>
  <c r="AC95" i="280" s="1"/>
  <c r="AC90" i="293"/>
  <c r="G59" i="304"/>
  <c r="H59" i="304" s="1"/>
  <c r="AB67" i="284"/>
  <c r="AB70" i="284" s="1"/>
  <c r="AC73" i="293"/>
  <c r="AC81" i="293"/>
  <c r="AS65" i="293"/>
  <c r="AR67" i="293"/>
  <c r="AN65" i="282"/>
  <c r="AM67" i="282"/>
  <c r="AM73" i="282"/>
  <c r="AD105" i="282"/>
  <c r="AD106" i="282" s="1"/>
  <c r="AD89" i="282"/>
  <c r="AD57" i="282"/>
  <c r="AD70" i="282"/>
  <c r="AD58" i="282"/>
  <c r="AN79" i="282"/>
  <c r="AM81" i="282"/>
  <c r="I60" i="304"/>
  <c r="AB95" i="284"/>
  <c r="AB58" i="284" s="1"/>
  <c r="AB95" i="275"/>
  <c r="AB58" i="275" s="1"/>
  <c r="AB78" i="279"/>
  <c r="AX68" i="278"/>
  <c r="AX69" i="278" s="1"/>
  <c r="AX84" i="278"/>
  <c r="AX91" i="278"/>
  <c r="AX95" i="278" s="1"/>
  <c r="AX96" i="278" s="1"/>
  <c r="AX72" i="278"/>
  <c r="AC87" i="277"/>
  <c r="AC74" i="277"/>
  <c r="AC75" i="277"/>
  <c r="AC72" i="277"/>
  <c r="AC84" i="277"/>
  <c r="AC85" i="277"/>
  <c r="AC86" i="277"/>
  <c r="AC67" i="277"/>
  <c r="AC92" i="275"/>
  <c r="AC86" i="275"/>
  <c r="AC85" i="275"/>
  <c r="AC72" i="275"/>
  <c r="AC93" i="275"/>
  <c r="AC67" i="275"/>
  <c r="AC90" i="275"/>
  <c r="AC94" i="275" s="1"/>
  <c r="AC88" i="275"/>
  <c r="AC84" i="275"/>
  <c r="AC76" i="275"/>
  <c r="AC77" i="275" s="1"/>
  <c r="AC69" i="275"/>
  <c r="AC77" i="279"/>
  <c r="AC70" i="279"/>
  <c r="AE65" i="279"/>
  <c r="AA59" i="284"/>
  <c r="AA62" i="284" s="1"/>
  <c r="AC92" i="284"/>
  <c r="AC93" i="284"/>
  <c r="AC77" i="284"/>
  <c r="AC69" i="284"/>
  <c r="AC68" i="284"/>
  <c r="AC90" i="284"/>
  <c r="AC94" i="284" s="1"/>
  <c r="AC91" i="280"/>
  <c r="AC58" i="280"/>
  <c r="AC73" i="280"/>
  <c r="AC59" i="280"/>
  <c r="AJ65" i="280"/>
  <c r="AJ67" i="280" s="1"/>
  <c r="AV57" i="278"/>
  <c r="AV59" i="278" s="1"/>
  <c r="AV62" i="278" s="1"/>
  <c r="AC62" i="290"/>
  <c r="AD54" i="290"/>
  <c r="AD55" i="289"/>
  <c r="AD57" i="289"/>
  <c r="AD59" i="289" s="1"/>
  <c r="AE54" i="289"/>
  <c r="AW78" i="278"/>
  <c r="AX85" i="278"/>
  <c r="AX87" i="278"/>
  <c r="AX86" i="278"/>
  <c r="AX74" i="278"/>
  <c r="AY54" i="278"/>
  <c r="AX75" i="278"/>
  <c r="AX77" i="278" s="1"/>
  <c r="AW88" i="278"/>
  <c r="AW89" i="278" s="1"/>
  <c r="AW58" i="278" s="1"/>
  <c r="AC67" i="295"/>
  <c r="AD65" i="295"/>
  <c r="AA59" i="293"/>
  <c r="AA62" i="293" s="1"/>
  <c r="AA57" i="277"/>
  <c r="AA59" i="277" s="1"/>
  <c r="AA62" i="277" s="1"/>
  <c r="AA57" i="275"/>
  <c r="AA59" i="275" s="1"/>
  <c r="AA62" i="275" s="1"/>
  <c r="AB62" i="295"/>
  <c r="AB87" i="293"/>
  <c r="AB97" i="293" s="1"/>
  <c r="AB58" i="293" s="1"/>
  <c r="AY54" i="292"/>
  <c r="AX88" i="292"/>
  <c r="AD54" i="293"/>
  <c r="AB75" i="293"/>
  <c r="AB57" i="293" s="1"/>
  <c r="AB78" i="277"/>
  <c r="AC77" i="277"/>
  <c r="AD54" i="277"/>
  <c r="AX96" i="292"/>
  <c r="AX66" i="292"/>
  <c r="AY64" i="292"/>
  <c r="AX79" i="292"/>
  <c r="AX57" i="292" s="1"/>
  <c r="AB87" i="275"/>
  <c r="AD54" i="275"/>
  <c r="AW89" i="292"/>
  <c r="AW97" i="292" s="1"/>
  <c r="AW58" i="292" s="1"/>
  <c r="AW59" i="292" s="1"/>
  <c r="AW61" i="292" s="1"/>
  <c r="AW78" i="276"/>
  <c r="AC62" i="289"/>
  <c r="AV79" i="276"/>
  <c r="AC70" i="295"/>
  <c r="AD54" i="295"/>
  <c r="AC59" i="295"/>
  <c r="AC62" i="295" s="1"/>
  <c r="AA58" i="279"/>
  <c r="AA60" i="279" s="1"/>
  <c r="AA62" i="279" s="1"/>
  <c r="AB70" i="276"/>
  <c r="AB57" i="276" s="1"/>
  <c r="AX84" i="284"/>
  <c r="AY65" i="284"/>
  <c r="AY65" i="276"/>
  <c r="BI58" i="289"/>
  <c r="AB62" i="289"/>
  <c r="AX95" i="279"/>
  <c r="AX96" i="279" s="1"/>
  <c r="AX59" i="279" s="1"/>
  <c r="AB78" i="275"/>
  <c r="AB57" i="275" s="1"/>
  <c r="AD54" i="284"/>
  <c r="AD75" i="284" s="1"/>
  <c r="AD54" i="279"/>
  <c r="AD69" i="279" s="1"/>
  <c r="AB89" i="277"/>
  <c r="AB58" i="277" s="1"/>
  <c r="AD54" i="276"/>
  <c r="AN59" i="306"/>
  <c r="AN62" i="306" s="1"/>
  <c r="AO87" i="306"/>
  <c r="AO74" i="306"/>
  <c r="AO67" i="306"/>
  <c r="AO70" i="306" s="1"/>
  <c r="AO71" i="306" s="1"/>
  <c r="AO93" i="306"/>
  <c r="AO97" i="306" s="1"/>
  <c r="AO98" i="306" s="1"/>
  <c r="AO58" i="306" s="1"/>
  <c r="AP65" i="306"/>
  <c r="AN77" i="306"/>
  <c r="AN79" i="306" s="1"/>
  <c r="AN78" i="306"/>
  <c r="AP54" i="306"/>
  <c r="AO57" i="306"/>
  <c r="AO55" i="306"/>
  <c r="AB75" i="280"/>
  <c r="AB57" i="280" s="1"/>
  <c r="AB62" i="280"/>
  <c r="AD54" i="280"/>
  <c r="AD55" i="280" s="1"/>
  <c r="AB107" i="280"/>
  <c r="AC75" i="282"/>
  <c r="AC59" i="282" s="1"/>
  <c r="AC62" i="282" s="1"/>
  <c r="AB59" i="282"/>
  <c r="AB62" i="282" s="1"/>
  <c r="AE54" i="282"/>
  <c r="AE55" i="282" s="1"/>
  <c r="AC100" i="293" l="1"/>
  <c r="H36" i="321"/>
  <c r="B36" i="321" s="1"/>
  <c r="H60" i="304"/>
  <c r="AB73" i="284"/>
  <c r="AB75" i="284" s="1"/>
  <c r="AB77" i="284" s="1"/>
  <c r="H35" i="321"/>
  <c r="B35" i="321" s="1"/>
  <c r="AB111" i="280"/>
  <c r="AD55" i="276"/>
  <c r="AD93" i="276"/>
  <c r="AD97" i="276" s="1"/>
  <c r="AD69" i="276"/>
  <c r="AD67" i="276"/>
  <c r="AD85" i="276"/>
  <c r="AD68" i="276"/>
  <c r="AC96" i="280"/>
  <c r="AC97" i="280"/>
  <c r="AC98" i="280"/>
  <c r="AC94" i="280"/>
  <c r="AD83" i="280"/>
  <c r="AD81" i="280"/>
  <c r="AD82" i="280"/>
  <c r="AD84" i="280"/>
  <c r="AD85" i="280"/>
  <c r="AD89" i="280"/>
  <c r="AE79" i="280"/>
  <c r="G61" i="304"/>
  <c r="D61" i="304"/>
  <c r="AD95" i="280" s="1"/>
  <c r="AD90" i="293"/>
  <c r="AT65" i="293"/>
  <c r="AS67" i="293"/>
  <c r="AD81" i="293"/>
  <c r="AD73" i="293"/>
  <c r="AB59" i="275"/>
  <c r="AB62" i="275" s="1"/>
  <c r="AE105" i="282"/>
  <c r="AE106" i="282" s="1"/>
  <c r="AE58" i="282"/>
  <c r="AE57" i="282"/>
  <c r="AE70" i="282"/>
  <c r="AE89" i="282"/>
  <c r="AO79" i="282"/>
  <c r="AN81" i="282"/>
  <c r="AO65" i="282"/>
  <c r="AN73" i="282"/>
  <c r="AN67" i="282"/>
  <c r="AB59" i="293"/>
  <c r="AB62" i="293" s="1"/>
  <c r="AC95" i="275"/>
  <c r="AC58" i="275" s="1"/>
  <c r="AC78" i="284"/>
  <c r="AY68" i="278"/>
  <c r="AY69" i="278" s="1"/>
  <c r="AY84" i="278"/>
  <c r="AY91" i="278"/>
  <c r="AY95" i="278" s="1"/>
  <c r="AY96" i="278" s="1"/>
  <c r="AC88" i="277"/>
  <c r="AC89" i="277" s="1"/>
  <c r="AC58" i="277" s="1"/>
  <c r="AD86" i="277"/>
  <c r="AD72" i="277"/>
  <c r="AD74" i="277"/>
  <c r="AD67" i="277"/>
  <c r="AD87" i="277"/>
  <c r="AD75" i="277"/>
  <c r="AD77" i="277" s="1"/>
  <c r="AD84" i="277"/>
  <c r="AD85" i="277"/>
  <c r="AD86" i="275"/>
  <c r="AD88" i="275"/>
  <c r="AD69" i="275"/>
  <c r="AD67" i="275"/>
  <c r="AD72" i="275"/>
  <c r="AD93" i="275"/>
  <c r="AD92" i="275"/>
  <c r="AD90" i="275"/>
  <c r="AD94" i="275" s="1"/>
  <c r="AD85" i="275"/>
  <c r="AD84" i="275"/>
  <c r="AD76" i="275"/>
  <c r="AD77" i="275" s="1"/>
  <c r="AD77" i="279"/>
  <c r="AD70" i="279"/>
  <c r="AF65" i="279"/>
  <c r="AC95" i="284"/>
  <c r="AC58" i="284" s="1"/>
  <c r="AC70" i="284"/>
  <c r="AD90" i="284"/>
  <c r="AD94" i="284" s="1"/>
  <c r="AD77" i="284"/>
  <c r="AD78" i="284" s="1"/>
  <c r="AD69" i="284"/>
  <c r="AD92" i="284"/>
  <c r="AD93" i="284"/>
  <c r="AD68" i="284"/>
  <c r="AD59" i="280"/>
  <c r="AD58" i="280"/>
  <c r="AD73" i="280"/>
  <c r="AD75" i="280" s="1"/>
  <c r="AD57" i="280" s="1"/>
  <c r="AD91" i="280"/>
  <c r="AK65" i="280"/>
  <c r="AK67" i="280" s="1"/>
  <c r="AX78" i="278"/>
  <c r="AW57" i="278"/>
  <c r="AW59" i="278" s="1"/>
  <c r="AW62" i="278" s="1"/>
  <c r="AD62" i="290"/>
  <c r="AE54" i="290"/>
  <c r="AE55" i="289"/>
  <c r="AE57" i="289"/>
  <c r="AE59" i="289" s="1"/>
  <c r="AF54" i="289"/>
  <c r="AX88" i="278"/>
  <c r="AX89" i="278" s="1"/>
  <c r="AX58" i="278" s="1"/>
  <c r="AY86" i="278"/>
  <c r="AY85" i="278"/>
  <c r="AY75" i="278"/>
  <c r="AY77" i="278" s="1"/>
  <c r="AY74" i="278"/>
  <c r="AY87" i="278"/>
  <c r="AZ54" i="278"/>
  <c r="AX89" i="292"/>
  <c r="AX97" i="292" s="1"/>
  <c r="AX58" i="292" s="1"/>
  <c r="AX59" i="292" s="1"/>
  <c r="AX61" i="292" s="1"/>
  <c r="AD67" i="295"/>
  <c r="AE65" i="295"/>
  <c r="AB58" i="279"/>
  <c r="AB60" i="279" s="1"/>
  <c r="AC78" i="277"/>
  <c r="AC87" i="275"/>
  <c r="AB57" i="277"/>
  <c r="AB59" i="277" s="1"/>
  <c r="AB62" i="277" s="1"/>
  <c r="AC87" i="293"/>
  <c r="AC97" i="293" s="1"/>
  <c r="AC58" i="293" s="1"/>
  <c r="AC75" i="293"/>
  <c r="AC57" i="293" s="1"/>
  <c r="AC70" i="276"/>
  <c r="AC57" i="276" s="1"/>
  <c r="AY84" i="284"/>
  <c r="AZ65" i="284"/>
  <c r="AY88" i="292"/>
  <c r="AZ54" i="292"/>
  <c r="AE54" i="279"/>
  <c r="AE69" i="279" s="1"/>
  <c r="AD75" i="279"/>
  <c r="AD70" i="295"/>
  <c r="AD59" i="295"/>
  <c r="AE54" i="295"/>
  <c r="AC78" i="275"/>
  <c r="AY95" i="279"/>
  <c r="AY96" i="279" s="1"/>
  <c r="AY59" i="279" s="1"/>
  <c r="AX78" i="276"/>
  <c r="AD62" i="289"/>
  <c r="AY66" i="292"/>
  <c r="AY96" i="292"/>
  <c r="AY79" i="292"/>
  <c r="AY57" i="292" s="1"/>
  <c r="AZ64" i="292"/>
  <c r="AE54" i="293"/>
  <c r="AE54" i="276"/>
  <c r="AC90" i="276"/>
  <c r="AC98" i="276" s="1"/>
  <c r="AC58" i="276" s="1"/>
  <c r="AC75" i="279"/>
  <c r="AC78" i="279" s="1"/>
  <c r="AE54" i="284"/>
  <c r="AE75" i="284" s="1"/>
  <c r="AZ65" i="276"/>
  <c r="AW79" i="276"/>
  <c r="AE54" i="275"/>
  <c r="AE54" i="277"/>
  <c r="AN81" i="306"/>
  <c r="AO59" i="306"/>
  <c r="AO62" i="306" s="1"/>
  <c r="AO78" i="306"/>
  <c r="AO77" i="306"/>
  <c r="AO79" i="306" s="1"/>
  <c r="AP93" i="306"/>
  <c r="AP97" i="306" s="1"/>
  <c r="AP98" i="306" s="1"/>
  <c r="AP58" i="306" s="1"/>
  <c r="AP87" i="306"/>
  <c r="AP74" i="306"/>
  <c r="AQ65" i="306"/>
  <c r="AP67" i="306"/>
  <c r="AP70" i="306" s="1"/>
  <c r="AP71" i="306" s="1"/>
  <c r="AP57" i="306"/>
  <c r="AP55" i="306"/>
  <c r="AQ54" i="306"/>
  <c r="AC75" i="280"/>
  <c r="AC57" i="280" s="1"/>
  <c r="AC62" i="280"/>
  <c r="AC107" i="280"/>
  <c r="AE54" i="280"/>
  <c r="AE55" i="280" s="1"/>
  <c r="AD75" i="282"/>
  <c r="AD59" i="282" s="1"/>
  <c r="AD62" i="282" s="1"/>
  <c r="AF54" i="282"/>
  <c r="AF55" i="282" s="1"/>
  <c r="AD100" i="293" l="1"/>
  <c r="H37" i="321"/>
  <c r="B37" i="321" s="1"/>
  <c r="H61" i="304"/>
  <c r="AB78" i="284"/>
  <c r="AB57" i="284" s="1"/>
  <c r="AB59" i="284" s="1"/>
  <c r="AB62" i="284" s="1"/>
  <c r="AC111" i="280"/>
  <c r="AE55" i="276"/>
  <c r="AE93" i="276"/>
  <c r="AE97" i="276" s="1"/>
  <c r="AE85" i="276"/>
  <c r="AE68" i="276"/>
  <c r="AE67" i="276"/>
  <c r="AE69" i="276"/>
  <c r="AD98" i="280"/>
  <c r="AD96" i="280"/>
  <c r="AD97" i="280"/>
  <c r="AD94" i="280"/>
  <c r="AE82" i="280"/>
  <c r="AE83" i="280"/>
  <c r="AE84" i="280"/>
  <c r="AE85" i="280"/>
  <c r="AE81" i="280"/>
  <c r="AE89" i="280"/>
  <c r="AF79" i="280"/>
  <c r="I61" i="304"/>
  <c r="I62" i="304"/>
  <c r="D62" i="304"/>
  <c r="AE95" i="280" s="1"/>
  <c r="AE90" i="293"/>
  <c r="AE81" i="293"/>
  <c r="AE73" i="293"/>
  <c r="AU65" i="293"/>
  <c r="AT67" i="293"/>
  <c r="AP79" i="282"/>
  <c r="AO81" i="282"/>
  <c r="AF105" i="282"/>
  <c r="AF106" i="282" s="1"/>
  <c r="AF58" i="282"/>
  <c r="AF70" i="282"/>
  <c r="AF89" i="282"/>
  <c r="AF57" i="282"/>
  <c r="AP65" i="282"/>
  <c r="AO73" i="282"/>
  <c r="AO67" i="282"/>
  <c r="H68" i="279"/>
  <c r="H70" i="279" s="1"/>
  <c r="H58" i="279" s="1"/>
  <c r="H60" i="279" s="1"/>
  <c r="H62" i="279" s="1"/>
  <c r="AC57" i="284"/>
  <c r="AC59" i="284" s="1"/>
  <c r="AC62" i="284" s="1"/>
  <c r="AD78" i="279"/>
  <c r="AD88" i="277"/>
  <c r="AD89" i="277" s="1"/>
  <c r="AD58" i="277" s="1"/>
  <c r="AZ68" i="278"/>
  <c r="AZ69" i="278" s="1"/>
  <c r="AZ72" i="278"/>
  <c r="AZ91" i="278"/>
  <c r="AZ95" i="278" s="1"/>
  <c r="AZ96" i="278" s="1"/>
  <c r="AZ84" i="278"/>
  <c r="AE85" i="277"/>
  <c r="AE84" i="277"/>
  <c r="AE72" i="277"/>
  <c r="AE74" i="277"/>
  <c r="AE67" i="277"/>
  <c r="AE86" i="277"/>
  <c r="AE87" i="277"/>
  <c r="AE75" i="277"/>
  <c r="AE77" i="277" s="1"/>
  <c r="AE93" i="275"/>
  <c r="AE90" i="275"/>
  <c r="AE94" i="275" s="1"/>
  <c r="AE84" i="275"/>
  <c r="AE86" i="275"/>
  <c r="AE76" i="275"/>
  <c r="AE77" i="275" s="1"/>
  <c r="AE72" i="275"/>
  <c r="AE67" i="275"/>
  <c r="AE92" i="275"/>
  <c r="AE88" i="275"/>
  <c r="AE85" i="275"/>
  <c r="AE69" i="275"/>
  <c r="AE70" i="279"/>
  <c r="AE77" i="279"/>
  <c r="AG65" i="279"/>
  <c r="AD70" i="284"/>
  <c r="AD57" i="284" s="1"/>
  <c r="AE93" i="284"/>
  <c r="AE69" i="284"/>
  <c r="AE90" i="284"/>
  <c r="AE94" i="284" s="1"/>
  <c r="AE77" i="284"/>
  <c r="AE78" i="284" s="1"/>
  <c r="AE92" i="284"/>
  <c r="AE68" i="284"/>
  <c r="AD95" i="284"/>
  <c r="AD58" i="284" s="1"/>
  <c r="AE59" i="280"/>
  <c r="AE58" i="280"/>
  <c r="AE91" i="280"/>
  <c r="AE73" i="280"/>
  <c r="AL65" i="280"/>
  <c r="AL67" i="280" s="1"/>
  <c r="AX57" i="278"/>
  <c r="AX59" i="278" s="1"/>
  <c r="AX62" i="278" s="1"/>
  <c r="AY78" i="278"/>
  <c r="AY72" i="278"/>
  <c r="AY88" i="278"/>
  <c r="AY89" i="278" s="1"/>
  <c r="AY58" i="278" s="1"/>
  <c r="AE62" i="290"/>
  <c r="AF54" i="290"/>
  <c r="AF55" i="289"/>
  <c r="AF57" i="289"/>
  <c r="AF59" i="289" s="1"/>
  <c r="AG54" i="289"/>
  <c r="AZ87" i="278"/>
  <c r="AZ86" i="278"/>
  <c r="AZ74" i="278"/>
  <c r="AZ75" i="278"/>
  <c r="AZ77" i="278" s="1"/>
  <c r="AZ85" i="278"/>
  <c r="BA54" i="278"/>
  <c r="AC57" i="277"/>
  <c r="AC59" i="277" s="1"/>
  <c r="AC62" i="277" s="1"/>
  <c r="AY89" i="292"/>
  <c r="AY97" i="292" s="1"/>
  <c r="AY58" i="292" s="1"/>
  <c r="AY59" i="292" s="1"/>
  <c r="AY61" i="292" s="1"/>
  <c r="AB62" i="279"/>
  <c r="AC58" i="279"/>
  <c r="AC60" i="279" s="1"/>
  <c r="AC62" i="279" s="1"/>
  <c r="AE67" i="295"/>
  <c r="AF65" i="295"/>
  <c r="AC59" i="276"/>
  <c r="AC62" i="276" s="1"/>
  <c r="AC59" i="293"/>
  <c r="AC62" i="293" s="1"/>
  <c r="AD75" i="293"/>
  <c r="AD57" i="293" s="1"/>
  <c r="AX79" i="276"/>
  <c r="AD78" i="275"/>
  <c r="AD57" i="275" s="1"/>
  <c r="AD62" i="295"/>
  <c r="AF54" i="275"/>
  <c r="AF54" i="276"/>
  <c r="AE90" i="276"/>
  <c r="AF54" i="277"/>
  <c r="AD95" i="275"/>
  <c r="AD58" i="275" s="1"/>
  <c r="AD87" i="275"/>
  <c r="AY78" i="276"/>
  <c r="AD90" i="276"/>
  <c r="AF54" i="293"/>
  <c r="AZ95" i="279"/>
  <c r="AZ96" i="279" s="1"/>
  <c r="AZ59" i="279" s="1"/>
  <c r="AC57" i="275"/>
  <c r="AC59" i="275" s="1"/>
  <c r="AC62" i="275" s="1"/>
  <c r="AZ84" i="284"/>
  <c r="BA65" i="284"/>
  <c r="BA65" i="276"/>
  <c r="AF54" i="279"/>
  <c r="AF69" i="279" s="1"/>
  <c r="AE75" i="279"/>
  <c r="AF54" i="284"/>
  <c r="AF75" i="284" s="1"/>
  <c r="AD87" i="293"/>
  <c r="AD97" i="293" s="1"/>
  <c r="AD58" i="293" s="1"/>
  <c r="BA64" i="292"/>
  <c r="AZ79" i="292"/>
  <c r="AZ57" i="292" s="1"/>
  <c r="AZ66" i="292"/>
  <c r="AZ96" i="292"/>
  <c r="BA54" i="292"/>
  <c r="AZ88" i="292"/>
  <c r="AD78" i="277"/>
  <c r="AD70" i="276"/>
  <c r="AD57" i="276" s="1"/>
  <c r="AE62" i="289"/>
  <c r="AE70" i="295"/>
  <c r="AF54" i="295"/>
  <c r="AE59" i="295"/>
  <c r="AP78" i="306"/>
  <c r="AP77" i="306"/>
  <c r="AP79" i="306" s="1"/>
  <c r="AO81" i="306"/>
  <c r="AR54" i="306"/>
  <c r="AQ57" i="306"/>
  <c r="AQ55" i="306"/>
  <c r="AQ93" i="306"/>
  <c r="AQ97" i="306" s="1"/>
  <c r="AQ98" i="306" s="1"/>
  <c r="AQ58" i="306" s="1"/>
  <c r="AQ87" i="306"/>
  <c r="AQ67" i="306"/>
  <c r="AQ70" i="306" s="1"/>
  <c r="AQ71" i="306" s="1"/>
  <c r="AQ74" i="306"/>
  <c r="AR65" i="306"/>
  <c r="AP59" i="306"/>
  <c r="AP62" i="306" s="1"/>
  <c r="AD107" i="280"/>
  <c r="AD62" i="280"/>
  <c r="AF54" i="280"/>
  <c r="AF55" i="280" s="1"/>
  <c r="AE75" i="282"/>
  <c r="AE59" i="282" s="1"/>
  <c r="AE62" i="282" s="1"/>
  <c r="AG54" i="282"/>
  <c r="AG55" i="282" s="1"/>
  <c r="AE100" i="293" l="1"/>
  <c r="AD111" i="280"/>
  <c r="AF55" i="276"/>
  <c r="AF93" i="276"/>
  <c r="AF97" i="276" s="1"/>
  <c r="AF68" i="276"/>
  <c r="AF85" i="276"/>
  <c r="AF67" i="276"/>
  <c r="AF69" i="276"/>
  <c r="AE98" i="280"/>
  <c r="AE96" i="280"/>
  <c r="AE97" i="280"/>
  <c r="AE94" i="280"/>
  <c r="AF81" i="280"/>
  <c r="AF85" i="280"/>
  <c r="AF82" i="280"/>
  <c r="AF83" i="280"/>
  <c r="AF84" i="280"/>
  <c r="AF89" i="280"/>
  <c r="AG79" i="280"/>
  <c r="D63" i="304"/>
  <c r="AF95" i="280" s="1"/>
  <c r="AF90" i="293"/>
  <c r="G62" i="304"/>
  <c r="H62" i="304" s="1"/>
  <c r="AV65" i="293"/>
  <c r="AU67" i="293"/>
  <c r="AF73" i="293"/>
  <c r="AF81" i="293"/>
  <c r="AZ78" i="278"/>
  <c r="AZ57" i="278" s="1"/>
  <c r="AD98" i="276"/>
  <c r="AD58" i="276" s="1"/>
  <c r="AD59" i="276" s="1"/>
  <c r="AD62" i="276" s="1"/>
  <c r="AG105" i="282"/>
  <c r="AG106" i="282" s="1"/>
  <c r="AG57" i="282"/>
  <c r="AG58" i="282"/>
  <c r="AG89" i="282"/>
  <c r="AG70" i="282"/>
  <c r="AQ65" i="282"/>
  <c r="AP73" i="282"/>
  <c r="AP67" i="282"/>
  <c r="AQ79" i="282"/>
  <c r="AP81" i="282"/>
  <c r="I68" i="279"/>
  <c r="I70" i="279" s="1"/>
  <c r="I58" i="279" s="1"/>
  <c r="I60" i="279" s="1"/>
  <c r="I62" i="279" s="1"/>
  <c r="J68" i="279"/>
  <c r="J70" i="279" s="1"/>
  <c r="J58" i="279" s="1"/>
  <c r="J60" i="279" s="1"/>
  <c r="J62" i="279" s="1"/>
  <c r="AE78" i="279"/>
  <c r="AE95" i="284"/>
  <c r="AE58" i="284" s="1"/>
  <c r="AE70" i="284"/>
  <c r="AE57" i="284" s="1"/>
  <c r="BA68" i="278"/>
  <c r="BA69" i="278" s="1"/>
  <c r="BA91" i="278"/>
  <c r="BA95" i="278" s="1"/>
  <c r="BA96" i="278" s="1"/>
  <c r="BA84" i="278"/>
  <c r="BA72" i="278"/>
  <c r="AY57" i="278"/>
  <c r="AY59" i="278" s="1"/>
  <c r="AY62" i="278" s="1"/>
  <c r="AF84" i="277"/>
  <c r="AF85" i="277"/>
  <c r="AF86" i="277"/>
  <c r="AF87" i="277"/>
  <c r="AF88" i="277" s="1"/>
  <c r="AF67" i="277"/>
  <c r="AF72" i="277"/>
  <c r="AF74" i="277"/>
  <c r="AF75" i="277"/>
  <c r="AF77" i="277" s="1"/>
  <c r="AE88" i="277"/>
  <c r="AE89" i="277" s="1"/>
  <c r="AE58" i="277" s="1"/>
  <c r="AF88" i="275"/>
  <c r="AF85" i="275"/>
  <c r="AF87" i="275" s="1"/>
  <c r="AF92" i="275"/>
  <c r="AF90" i="275"/>
  <c r="AF94" i="275" s="1"/>
  <c r="AF76" i="275"/>
  <c r="AF77" i="275" s="1"/>
  <c r="AF69" i="275"/>
  <c r="AF86" i="275"/>
  <c r="AF93" i="275"/>
  <c r="AF72" i="275"/>
  <c r="AF67" i="275"/>
  <c r="AF84" i="275"/>
  <c r="AH65" i="279"/>
  <c r="AF70" i="279"/>
  <c r="AF77" i="279"/>
  <c r="AF93" i="284"/>
  <c r="AF77" i="284"/>
  <c r="AF92" i="284"/>
  <c r="AF69" i="284"/>
  <c r="AF68" i="284"/>
  <c r="AF90" i="284"/>
  <c r="AF94" i="284" s="1"/>
  <c r="AD59" i="284"/>
  <c r="AD62" i="284" s="1"/>
  <c r="AF58" i="280"/>
  <c r="AF91" i="280"/>
  <c r="AF59" i="280"/>
  <c r="AF73" i="280"/>
  <c r="AM65" i="280"/>
  <c r="AM67" i="280" s="1"/>
  <c r="AZ88" i="278"/>
  <c r="AZ89" i="278" s="1"/>
  <c r="AZ58" i="278" s="1"/>
  <c r="AF62" i="290"/>
  <c r="AG54" i="290"/>
  <c r="AG57" i="289"/>
  <c r="AG59" i="289" s="1"/>
  <c r="AG55" i="289"/>
  <c r="AH54" i="289"/>
  <c r="BA87" i="278"/>
  <c r="BA85" i="278"/>
  <c r="BA86" i="278"/>
  <c r="BA75" i="278"/>
  <c r="BA77" i="278" s="1"/>
  <c r="BA74" i="278"/>
  <c r="BB54" i="278"/>
  <c r="AZ89" i="292"/>
  <c r="AZ97" i="292" s="1"/>
  <c r="AZ58" i="292" s="1"/>
  <c r="AZ59" i="292" s="1"/>
  <c r="AZ61" i="292" s="1"/>
  <c r="AD58" i="279"/>
  <c r="AD60" i="279" s="1"/>
  <c r="AF67" i="295"/>
  <c r="AG65" i="295"/>
  <c r="AE75" i="293"/>
  <c r="AE57" i="293" s="1"/>
  <c r="AD59" i="293"/>
  <c r="AD62" i="293" s="1"/>
  <c r="AE78" i="277"/>
  <c r="AE62" i="295"/>
  <c r="AE70" i="276"/>
  <c r="AE57" i="276" s="1"/>
  <c r="AD59" i="275"/>
  <c r="AD62" i="275" s="1"/>
  <c r="AE95" i="275"/>
  <c r="AE58" i="275" s="1"/>
  <c r="AZ78" i="276"/>
  <c r="AY79" i="276"/>
  <c r="AG54" i="277"/>
  <c r="BA88" i="292"/>
  <c r="BA89" i="292" s="1"/>
  <c r="BB54" i="292"/>
  <c r="BA96" i="292"/>
  <c r="BA79" i="292"/>
  <c r="BA57" i="292" s="1"/>
  <c r="BA66" i="292"/>
  <c r="BB64" i="292"/>
  <c r="AF70" i="295"/>
  <c r="AF59" i="295"/>
  <c r="AF62" i="295" s="1"/>
  <c r="AG54" i="295"/>
  <c r="AF62" i="289"/>
  <c r="AG54" i="284"/>
  <c r="AG75" i="284" s="1"/>
  <c r="AG54" i="279"/>
  <c r="AG69" i="279" s="1"/>
  <c r="AF75" i="279"/>
  <c r="BA84" i="284"/>
  <c r="BB65" i="284"/>
  <c r="BA95" i="279"/>
  <c r="BA96" i="279" s="1"/>
  <c r="BA59" i="279" s="1"/>
  <c r="AE87" i="275"/>
  <c r="AG54" i="276"/>
  <c r="AE78" i="275"/>
  <c r="AD57" i="277"/>
  <c r="AD59" i="277" s="1"/>
  <c r="AD62" i="277" s="1"/>
  <c r="BB65" i="276"/>
  <c r="AF87" i="293"/>
  <c r="AF97" i="293" s="1"/>
  <c r="AG54" i="293"/>
  <c r="AE87" i="293"/>
  <c r="AE97" i="293" s="1"/>
  <c r="AE58" i="293" s="1"/>
  <c r="AE98" i="276"/>
  <c r="AE58" i="276" s="1"/>
  <c r="AG54" i="275"/>
  <c r="AQ59" i="306"/>
  <c r="AQ62" i="306" s="1"/>
  <c r="AS54" i="306"/>
  <c r="AR57" i="306"/>
  <c r="AR55" i="306"/>
  <c r="AR87" i="306"/>
  <c r="AR74" i="306"/>
  <c r="AS65" i="306"/>
  <c r="AR67" i="306"/>
  <c r="AR70" i="306" s="1"/>
  <c r="AR71" i="306" s="1"/>
  <c r="AR93" i="306"/>
  <c r="AR97" i="306" s="1"/>
  <c r="AR98" i="306" s="1"/>
  <c r="AR58" i="306" s="1"/>
  <c r="AQ77" i="306"/>
  <c r="AQ79" i="306" s="1"/>
  <c r="AQ81" i="306" s="1"/>
  <c r="AQ78" i="306"/>
  <c r="AP81" i="306"/>
  <c r="AE75" i="280"/>
  <c r="AE57" i="280" s="1"/>
  <c r="AE107" i="280"/>
  <c r="AE62" i="280"/>
  <c r="AG54" i="280"/>
  <c r="AG55" i="280" s="1"/>
  <c r="AH54" i="282"/>
  <c r="AH55" i="282" s="1"/>
  <c r="AF75" i="282"/>
  <c r="AF100" i="293" l="1"/>
  <c r="AE111" i="280"/>
  <c r="AG55" i="276"/>
  <c r="AG93" i="276"/>
  <c r="AG97" i="276" s="1"/>
  <c r="AG90" i="276"/>
  <c r="AG85" i="276"/>
  <c r="AG68" i="276"/>
  <c r="AG70" i="276" s="1"/>
  <c r="AG57" i="276" s="1"/>
  <c r="AG67" i="276"/>
  <c r="AG69" i="276"/>
  <c r="AF98" i="280"/>
  <c r="AF96" i="280"/>
  <c r="AF97" i="280"/>
  <c r="AF94" i="280"/>
  <c r="AG84" i="280"/>
  <c r="AG85" i="280"/>
  <c r="AG81" i="280"/>
  <c r="AG82" i="280"/>
  <c r="AG83" i="280"/>
  <c r="AG89" i="280"/>
  <c r="AH79" i="280"/>
  <c r="G63" i="304"/>
  <c r="H63" i="304" s="1"/>
  <c r="I63" i="304"/>
  <c r="D64" i="304"/>
  <c r="AG95" i="280" s="1"/>
  <c r="AG90" i="293"/>
  <c r="AG73" i="293"/>
  <c r="AG81" i="293"/>
  <c r="AW65" i="293"/>
  <c r="AV67" i="293"/>
  <c r="AH105" i="282"/>
  <c r="AH106" i="282" s="1"/>
  <c r="AH89" i="282"/>
  <c r="AH70" i="282"/>
  <c r="AH58" i="282"/>
  <c r="AH57" i="282"/>
  <c r="AR65" i="282"/>
  <c r="AQ73" i="282"/>
  <c r="AQ67" i="282"/>
  <c r="AR79" i="282"/>
  <c r="AQ81" i="282"/>
  <c r="AF78" i="279"/>
  <c r="AE59" i="284"/>
  <c r="AE62" i="284" s="1"/>
  <c r="AF95" i="284"/>
  <c r="AF58" i="284" s="1"/>
  <c r="AF78" i="284"/>
  <c r="BB68" i="278"/>
  <c r="BB69" i="278" s="1"/>
  <c r="BB84" i="278"/>
  <c r="BB91" i="278"/>
  <c r="BB95" i="278" s="1"/>
  <c r="BB96" i="278" s="1"/>
  <c r="BB72" i="278"/>
  <c r="AG87" i="277"/>
  <c r="AG74" i="277"/>
  <c r="AG72" i="277"/>
  <c r="AG75" i="277"/>
  <c r="AG77" i="277" s="1"/>
  <c r="AG84" i="277"/>
  <c r="AG85" i="277"/>
  <c r="AG86" i="277"/>
  <c r="AG67" i="277"/>
  <c r="AG92" i="275"/>
  <c r="AG93" i="275"/>
  <c r="AG72" i="275"/>
  <c r="AG90" i="275"/>
  <c r="AG94" i="275" s="1"/>
  <c r="AG85" i="275"/>
  <c r="AG84" i="275"/>
  <c r="AG76" i="275"/>
  <c r="AG77" i="275" s="1"/>
  <c r="AG69" i="275"/>
  <c r="AG86" i="275"/>
  <c r="AG88" i="275"/>
  <c r="AG67" i="275"/>
  <c r="AG77" i="279"/>
  <c r="AG70" i="279"/>
  <c r="AI65" i="279"/>
  <c r="AF70" i="284"/>
  <c r="AG92" i="284"/>
  <c r="AG90" i="284"/>
  <c r="AG94" i="284" s="1"/>
  <c r="AG68" i="284"/>
  <c r="AG93" i="284"/>
  <c r="AG77" i="284"/>
  <c r="AG69" i="284"/>
  <c r="AG91" i="280"/>
  <c r="AG59" i="280"/>
  <c r="AG73" i="280"/>
  <c r="AG58" i="280"/>
  <c r="AN65" i="280"/>
  <c r="AN67" i="280" s="1"/>
  <c r="AZ59" i="278"/>
  <c r="AZ62" i="278" s="1"/>
  <c r="AG62" i="290"/>
  <c r="AH54" i="290"/>
  <c r="AH55" i="289"/>
  <c r="AH57" i="289"/>
  <c r="AH59" i="289" s="1"/>
  <c r="AI54" i="289"/>
  <c r="BB87" i="278"/>
  <c r="BB85" i="278"/>
  <c r="BB86" i="278"/>
  <c r="BC54" i="278"/>
  <c r="BB75" i="278"/>
  <c r="BB77" i="278" s="1"/>
  <c r="BB74" i="278"/>
  <c r="BA78" i="278"/>
  <c r="BA88" i="278"/>
  <c r="BA89" i="278" s="1"/>
  <c r="BA58" i="278" s="1"/>
  <c r="AE57" i="277"/>
  <c r="AE59" i="277" s="1"/>
  <c r="AE62" i="277" s="1"/>
  <c r="AF78" i="275"/>
  <c r="AF95" i="275"/>
  <c r="AF58" i="275" s="1"/>
  <c r="AD62" i="279"/>
  <c r="AG67" i="295"/>
  <c r="AH65" i="295"/>
  <c r="AE59" i="293"/>
  <c r="AE62" i="293" s="1"/>
  <c r="BA97" i="292"/>
  <c r="BA58" i="292" s="1"/>
  <c r="BA59" i="292" s="1"/>
  <c r="BA61" i="292" s="1"/>
  <c r="AE59" i="276"/>
  <c r="AE62" i="276" s="1"/>
  <c r="AF90" i="276"/>
  <c r="AF98" i="276" s="1"/>
  <c r="AF58" i="276" s="1"/>
  <c r="AZ79" i="276"/>
  <c r="AE58" i="279"/>
  <c r="AE60" i="279" s="1"/>
  <c r="AE62" i="279" s="1"/>
  <c r="AE57" i="275"/>
  <c r="AE59" i="275" s="1"/>
  <c r="AE62" i="275" s="1"/>
  <c r="BC65" i="276"/>
  <c r="AH54" i="275"/>
  <c r="AH54" i="293"/>
  <c r="AF75" i="293"/>
  <c r="AF57" i="293" s="1"/>
  <c r="AH54" i="276"/>
  <c r="BC65" i="284"/>
  <c r="BB84" i="284"/>
  <c r="BA78" i="276"/>
  <c r="AF58" i="293"/>
  <c r="AG70" i="295"/>
  <c r="AG59" i="295"/>
  <c r="AH54" i="295"/>
  <c r="AH54" i="277"/>
  <c r="AF70" i="276"/>
  <c r="AF57" i="276" s="1"/>
  <c r="BB95" i="279"/>
  <c r="BB96" i="279" s="1"/>
  <c r="BB59" i="279" s="1"/>
  <c r="AH54" i="284"/>
  <c r="AH75" i="284" s="1"/>
  <c r="BB66" i="292"/>
  <c r="BB96" i="292"/>
  <c r="BC64" i="292"/>
  <c r="BB79" i="292"/>
  <c r="BB57" i="292" s="1"/>
  <c r="BB88" i="292"/>
  <c r="BC54" i="292"/>
  <c r="AF89" i="277"/>
  <c r="AF58" i="277" s="1"/>
  <c r="AH54" i="279"/>
  <c r="AH69" i="279" s="1"/>
  <c r="AG62" i="289"/>
  <c r="AF78" i="277"/>
  <c r="AF57" i="277" s="1"/>
  <c r="AS87" i="306"/>
  <c r="AS74" i="306"/>
  <c r="AS93" i="306"/>
  <c r="AS97" i="306" s="1"/>
  <c r="AS98" i="306" s="1"/>
  <c r="AS58" i="306" s="1"/>
  <c r="AS67" i="306"/>
  <c r="AS70" i="306" s="1"/>
  <c r="AS71" i="306" s="1"/>
  <c r="AT65" i="306"/>
  <c r="AR59" i="306"/>
  <c r="AR62" i="306" s="1"/>
  <c r="AR77" i="306"/>
  <c r="AR79" i="306" s="1"/>
  <c r="AR78" i="306"/>
  <c r="AS57" i="306"/>
  <c r="AT54" i="306"/>
  <c r="AS55" i="306"/>
  <c r="AF75" i="280"/>
  <c r="AF57" i="280" s="1"/>
  <c r="AF62" i="280"/>
  <c r="AF107" i="280"/>
  <c r="AH54" i="280"/>
  <c r="AH55" i="280" s="1"/>
  <c r="AF59" i="282"/>
  <c r="AF62" i="282" s="1"/>
  <c r="AI54" i="282"/>
  <c r="AI55" i="282" s="1"/>
  <c r="AG75" i="282"/>
  <c r="AG59" i="282" s="1"/>
  <c r="AG62" i="282" s="1"/>
  <c r="AG100" i="293" l="1"/>
  <c r="AF111" i="280"/>
  <c r="AH55" i="276"/>
  <c r="AH93" i="276"/>
  <c r="AH97" i="276" s="1"/>
  <c r="AH69" i="276"/>
  <c r="AH67" i="276"/>
  <c r="AH85" i="276"/>
  <c r="AH68" i="276"/>
  <c r="AG98" i="280"/>
  <c r="AG97" i="280"/>
  <c r="AG96" i="280"/>
  <c r="AG94" i="280"/>
  <c r="AH83" i="280"/>
  <c r="AH84" i="280"/>
  <c r="AH85" i="280"/>
  <c r="AH81" i="280"/>
  <c r="AH82" i="280"/>
  <c r="AH89" i="280"/>
  <c r="AI79" i="280"/>
  <c r="G64" i="304"/>
  <c r="H64" i="304" s="1"/>
  <c r="I64" i="304"/>
  <c r="D65" i="304"/>
  <c r="AH95" i="280" s="1"/>
  <c r="AH90" i="293"/>
  <c r="AH81" i="293"/>
  <c r="AH73" i="293"/>
  <c r="AX65" i="293"/>
  <c r="AW67" i="293"/>
  <c r="AG95" i="275"/>
  <c r="AG58" i="275" s="1"/>
  <c r="AS65" i="282"/>
  <c r="AR67" i="282"/>
  <c r="AR73" i="282"/>
  <c r="AI105" i="282"/>
  <c r="AI106" i="282" s="1"/>
  <c r="AI57" i="282"/>
  <c r="AI89" i="282"/>
  <c r="AI70" i="282"/>
  <c r="AI58" i="282"/>
  <c r="AS79" i="282"/>
  <c r="AR81" i="282"/>
  <c r="AG95" i="284"/>
  <c r="AG58" i="284" s="1"/>
  <c r="AG78" i="284"/>
  <c r="BC68" i="278"/>
  <c r="BC69" i="278" s="1"/>
  <c r="BC84" i="278"/>
  <c r="BC91" i="278"/>
  <c r="BC95" i="278" s="1"/>
  <c r="BC96" i="278" s="1"/>
  <c r="BC72" i="278"/>
  <c r="BA57" i="278"/>
  <c r="BA59" i="278" s="1"/>
  <c r="BA62" i="278" s="1"/>
  <c r="AH86" i="277"/>
  <c r="AH72" i="277"/>
  <c r="AH74" i="277"/>
  <c r="AH87" i="277"/>
  <c r="AH75" i="277"/>
  <c r="AH77" i="277" s="1"/>
  <c r="AH85" i="277"/>
  <c r="AH67" i="277"/>
  <c r="AH84" i="277"/>
  <c r="AG88" i="277"/>
  <c r="AG89" i="277" s="1"/>
  <c r="AG58" i="277" s="1"/>
  <c r="AH86" i="275"/>
  <c r="AH85" i="275"/>
  <c r="AH69" i="275"/>
  <c r="AH67" i="275"/>
  <c r="AH93" i="275"/>
  <c r="AH92" i="275"/>
  <c r="AH88" i="275"/>
  <c r="AH84" i="275"/>
  <c r="AH76" i="275"/>
  <c r="AH77" i="275" s="1"/>
  <c r="AH90" i="275"/>
  <c r="AH94" i="275" s="1"/>
  <c r="AH72" i="275"/>
  <c r="AH77" i="279"/>
  <c r="AH70" i="279"/>
  <c r="AJ65" i="279"/>
  <c r="AG70" i="284"/>
  <c r="AF57" i="284"/>
  <c r="AF59" i="284" s="1"/>
  <c r="AF62" i="284" s="1"/>
  <c r="AH90" i="284"/>
  <c r="AH94" i="284" s="1"/>
  <c r="AH77" i="284"/>
  <c r="AH92" i="284"/>
  <c r="AH93" i="284"/>
  <c r="AH69" i="284"/>
  <c r="AH68" i="284"/>
  <c r="AH59" i="280"/>
  <c r="AH91" i="280"/>
  <c r="AH73" i="280"/>
  <c r="AH75" i="280" s="1"/>
  <c r="AH57" i="280" s="1"/>
  <c r="AH58" i="280"/>
  <c r="AO65" i="280"/>
  <c r="AO67" i="280" s="1"/>
  <c r="AH62" i="290"/>
  <c r="AI54" i="290"/>
  <c r="AI55" i="289"/>
  <c r="AI57" i="289"/>
  <c r="AI59" i="289" s="1"/>
  <c r="AJ54" i="289"/>
  <c r="BB88" i="278"/>
  <c r="BB89" i="278" s="1"/>
  <c r="BB58" i="278" s="1"/>
  <c r="BB78" i="278"/>
  <c r="BB57" i="278" s="1"/>
  <c r="BC75" i="278"/>
  <c r="BC77" i="278" s="1"/>
  <c r="BC74" i="278"/>
  <c r="BC85" i="278"/>
  <c r="BC87" i="278"/>
  <c r="BD54" i="278"/>
  <c r="BC86" i="278"/>
  <c r="AF57" i="275"/>
  <c r="AF59" i="275" s="1"/>
  <c r="AF62" i="275" s="1"/>
  <c r="AH67" i="295"/>
  <c r="AI65" i="295"/>
  <c r="AF59" i="276"/>
  <c r="AF62" i="276" s="1"/>
  <c r="AF59" i="293"/>
  <c r="AF62" i="293" s="1"/>
  <c r="AF58" i="279"/>
  <c r="AF60" i="279" s="1"/>
  <c r="AF62" i="279" s="1"/>
  <c r="BA79" i="276"/>
  <c r="AG87" i="293"/>
  <c r="AG97" i="293" s="1"/>
  <c r="AG58" i="293" s="1"/>
  <c r="AG75" i="293"/>
  <c r="AG57" i="293" s="1"/>
  <c r="BC95" i="279"/>
  <c r="BC96" i="279" s="1"/>
  <c r="BC59" i="279" s="1"/>
  <c r="AI54" i="277"/>
  <c r="AG98" i="276"/>
  <c r="AG58" i="276" s="1"/>
  <c r="AG59" i="276" s="1"/>
  <c r="AG62" i="276" s="1"/>
  <c r="AG75" i="279"/>
  <c r="AG78" i="279" s="1"/>
  <c r="AF59" i="277"/>
  <c r="AF62" i="277" s="1"/>
  <c r="AI54" i="275"/>
  <c r="BB78" i="276"/>
  <c r="BB79" i="276" s="1"/>
  <c r="BC88" i="292"/>
  <c r="BD54" i="292"/>
  <c r="BB89" i="292"/>
  <c r="BB97" i="292" s="1"/>
  <c r="BB58" i="292" s="1"/>
  <c r="BB59" i="292" s="1"/>
  <c r="BB61" i="292" s="1"/>
  <c r="BC66" i="292"/>
  <c r="BD64" i="292"/>
  <c r="BC96" i="292"/>
  <c r="BC79" i="292"/>
  <c r="BC57" i="292" s="1"/>
  <c r="AI54" i="284"/>
  <c r="AI75" i="284" s="1"/>
  <c r="AG78" i="277"/>
  <c r="AG57" i="277" s="1"/>
  <c r="AG62" i="295"/>
  <c r="AH87" i="293"/>
  <c r="AH97" i="293" s="1"/>
  <c r="AI54" i="293"/>
  <c r="AG87" i="275"/>
  <c r="AG78" i="275"/>
  <c r="BD65" i="276"/>
  <c r="AH62" i="289"/>
  <c r="AH75" i="279"/>
  <c r="AI54" i="279"/>
  <c r="AI69" i="279" s="1"/>
  <c r="AH70" i="295"/>
  <c r="AH59" i="295"/>
  <c r="AI54" i="295"/>
  <c r="BD65" i="284"/>
  <c r="BC84" i="284"/>
  <c r="AI54" i="276"/>
  <c r="AR81" i="306"/>
  <c r="AS59" i="306"/>
  <c r="AS62" i="306" s="1"/>
  <c r="AT93" i="306"/>
  <c r="AT97" i="306" s="1"/>
  <c r="AT98" i="306" s="1"/>
  <c r="AT58" i="306" s="1"/>
  <c r="AT74" i="306"/>
  <c r="AT87" i="306"/>
  <c r="AT67" i="306"/>
  <c r="AT70" i="306" s="1"/>
  <c r="AT71" i="306" s="1"/>
  <c r="AU65" i="306"/>
  <c r="AT57" i="306"/>
  <c r="AT55" i="306"/>
  <c r="AU54" i="306"/>
  <c r="AS78" i="306"/>
  <c r="AS77" i="306"/>
  <c r="AS79" i="306" s="1"/>
  <c r="AG75" i="280"/>
  <c r="AG57" i="280" s="1"/>
  <c r="AI54" i="280"/>
  <c r="AI55" i="280" s="1"/>
  <c r="AG62" i="280"/>
  <c r="AG107" i="280"/>
  <c r="AH75" i="282"/>
  <c r="AJ54" i="282"/>
  <c r="AJ55" i="282" s="1"/>
  <c r="AH100" i="293" l="1"/>
  <c r="AG111" i="280"/>
  <c r="AI55" i="276"/>
  <c r="AI93" i="276"/>
  <c r="AI97" i="276" s="1"/>
  <c r="AI85" i="276"/>
  <c r="AI69" i="276"/>
  <c r="AI68" i="276"/>
  <c r="AI67" i="276"/>
  <c r="AH97" i="280"/>
  <c r="AH98" i="280"/>
  <c r="AH96" i="280"/>
  <c r="AH94" i="280"/>
  <c r="AI82" i="280"/>
  <c r="AI81" i="280"/>
  <c r="AI83" i="280"/>
  <c r="AI84" i="280"/>
  <c r="AI85" i="280"/>
  <c r="AI89" i="280"/>
  <c r="AJ79" i="280"/>
  <c r="G65" i="304"/>
  <c r="H65" i="304" s="1"/>
  <c r="I65" i="304"/>
  <c r="AI95" i="280"/>
  <c r="AI90" i="293"/>
  <c r="AI81" i="293"/>
  <c r="AI73" i="293"/>
  <c r="AY65" i="293"/>
  <c r="AX67" i="293"/>
  <c r="AJ105" i="282"/>
  <c r="AJ106" i="282" s="1"/>
  <c r="AJ58" i="282"/>
  <c r="AJ70" i="282"/>
  <c r="AJ57" i="282"/>
  <c r="AJ89" i="282"/>
  <c r="AT79" i="282"/>
  <c r="AS81" i="282"/>
  <c r="AT65" i="282"/>
  <c r="AS73" i="282"/>
  <c r="AS67" i="282"/>
  <c r="AH78" i="279"/>
  <c r="AG57" i="284"/>
  <c r="AG59" i="284" s="1"/>
  <c r="AG62" i="284" s="1"/>
  <c r="AH70" i="284"/>
  <c r="AH78" i="284"/>
  <c r="BD68" i="278"/>
  <c r="BD69" i="278" s="1"/>
  <c r="BD84" i="278"/>
  <c r="BD91" i="278"/>
  <c r="BD95" i="278" s="1"/>
  <c r="BD96" i="278" s="1"/>
  <c r="AH88" i="277"/>
  <c r="AH89" i="277" s="1"/>
  <c r="AH58" i="277" s="1"/>
  <c r="AI85" i="277"/>
  <c r="AI72" i="277"/>
  <c r="AI84" i="277"/>
  <c r="AI67" i="277"/>
  <c r="AI75" i="277"/>
  <c r="AI77" i="277" s="1"/>
  <c r="AI86" i="277"/>
  <c r="AI87" i="277"/>
  <c r="AI74" i="277"/>
  <c r="AI93" i="275"/>
  <c r="AI90" i="275"/>
  <c r="AI94" i="275" s="1"/>
  <c r="AI88" i="275"/>
  <c r="AI86" i="275"/>
  <c r="AI84" i="275"/>
  <c r="AI72" i="275"/>
  <c r="AI67" i="275"/>
  <c r="AI85" i="275"/>
  <c r="AI69" i="275"/>
  <c r="AI92" i="275"/>
  <c r="AI76" i="275"/>
  <c r="AI77" i="275" s="1"/>
  <c r="AI70" i="279"/>
  <c r="AI77" i="279"/>
  <c r="AK65" i="279"/>
  <c r="AH95" i="284"/>
  <c r="AH58" i="284" s="1"/>
  <c r="AI77" i="284"/>
  <c r="AI92" i="284"/>
  <c r="AI90" i="284"/>
  <c r="AI94" i="284" s="1"/>
  <c r="AI69" i="284"/>
  <c r="AI68" i="284"/>
  <c r="AI93" i="284"/>
  <c r="AI58" i="280"/>
  <c r="AI73" i="280"/>
  <c r="AI59" i="280"/>
  <c r="AI91" i="280"/>
  <c r="AP65" i="280"/>
  <c r="AP67" i="280" s="1"/>
  <c r="AI62" i="290"/>
  <c r="AJ54" i="290"/>
  <c r="AJ57" i="289"/>
  <c r="AJ59" i="289" s="1"/>
  <c r="AJ55" i="289"/>
  <c r="AK54" i="289"/>
  <c r="BB59" i="278"/>
  <c r="BB62" i="278" s="1"/>
  <c r="BD87" i="278"/>
  <c r="BD86" i="278"/>
  <c r="BD85" i="278"/>
  <c r="BD74" i="278"/>
  <c r="BD72" i="278"/>
  <c r="BD75" i="278"/>
  <c r="BD77" i="278" s="1"/>
  <c r="BE54" i="278"/>
  <c r="BC88" i="278"/>
  <c r="BC89" i="278" s="1"/>
  <c r="BC58" i="278" s="1"/>
  <c r="BC78" i="278"/>
  <c r="AG58" i="279"/>
  <c r="AG60" i="279" s="1"/>
  <c r="AG62" i="279" s="1"/>
  <c r="AI67" i="295"/>
  <c r="AJ65" i="295"/>
  <c r="AG57" i="275"/>
  <c r="AG59" i="275" s="1"/>
  <c r="AG62" i="275" s="1"/>
  <c r="BC89" i="292"/>
  <c r="BC97" i="292" s="1"/>
  <c r="BC58" i="292" s="1"/>
  <c r="BC59" i="292" s="1"/>
  <c r="BC61" i="292" s="1"/>
  <c r="AG59" i="293"/>
  <c r="AG62" i="293" s="1"/>
  <c r="AH62" i="295"/>
  <c r="AG59" i="277"/>
  <c r="AG62" i="277" s="1"/>
  <c r="AS81" i="306"/>
  <c r="AT59" i="306"/>
  <c r="AT62" i="306" s="1"/>
  <c r="AH95" i="275"/>
  <c r="AH58" i="275" s="1"/>
  <c r="BD66" i="292"/>
  <c r="BD79" i="292"/>
  <c r="BD57" i="292" s="1"/>
  <c r="BE64" i="292"/>
  <c r="BD96" i="292"/>
  <c r="AH59" i="282"/>
  <c r="AH62" i="282" s="1"/>
  <c r="AH75" i="293"/>
  <c r="AH57" i="293" s="1"/>
  <c r="AJ54" i="275"/>
  <c r="AH70" i="276"/>
  <c r="AH57" i="276" s="1"/>
  <c r="AH90" i="276"/>
  <c r="AH98" i="276" s="1"/>
  <c r="AH58" i="276" s="1"/>
  <c r="AJ54" i="276"/>
  <c r="BE65" i="276"/>
  <c r="AH58" i="293"/>
  <c r="AJ54" i="284"/>
  <c r="AJ75" i="284" s="1"/>
  <c r="AH78" i="277"/>
  <c r="BD95" i="279"/>
  <c r="BD96" i="279" s="1"/>
  <c r="BD59" i="279" s="1"/>
  <c r="AI62" i="289"/>
  <c r="AJ54" i="279"/>
  <c r="AJ69" i="279" s="1"/>
  <c r="AI75" i="279"/>
  <c r="BC78" i="276"/>
  <c r="BC79" i="276" s="1"/>
  <c r="BE65" i="284"/>
  <c r="BD84" i="284"/>
  <c r="AI70" i="295"/>
  <c r="AI59" i="295"/>
  <c r="AI62" i="295" s="1"/>
  <c r="AJ54" i="295"/>
  <c r="AJ54" i="293"/>
  <c r="BE54" i="292"/>
  <c r="BD88" i="292"/>
  <c r="AH78" i="275"/>
  <c r="AH87" i="275"/>
  <c r="AJ54" i="277"/>
  <c r="AV54" i="306"/>
  <c r="AU57" i="306"/>
  <c r="AU55" i="306"/>
  <c r="AT78" i="306"/>
  <c r="AT77" i="306"/>
  <c r="AT79" i="306" s="1"/>
  <c r="AU93" i="306"/>
  <c r="AU97" i="306" s="1"/>
  <c r="AU98" i="306" s="1"/>
  <c r="AU58" i="306" s="1"/>
  <c r="AU87" i="306"/>
  <c r="AU74" i="306"/>
  <c r="AU67" i="306"/>
  <c r="AU70" i="306" s="1"/>
  <c r="AU71" i="306" s="1"/>
  <c r="AV65" i="306"/>
  <c r="AH62" i="280"/>
  <c r="AH107" i="280"/>
  <c r="AJ54" i="280"/>
  <c r="AJ55" i="280" s="1"/>
  <c r="AI75" i="282"/>
  <c r="AK54" i="282"/>
  <c r="AK55" i="282" s="1"/>
  <c r="AI100" i="293" l="1"/>
  <c r="AH111" i="280"/>
  <c r="AJ55" i="276"/>
  <c r="AJ93" i="276"/>
  <c r="AJ97" i="276" s="1"/>
  <c r="AJ68" i="276"/>
  <c r="AJ85" i="276"/>
  <c r="AJ67" i="276"/>
  <c r="AJ69" i="276"/>
  <c r="AI96" i="280"/>
  <c r="AI97" i="280"/>
  <c r="AI98" i="280"/>
  <c r="AI94" i="280"/>
  <c r="AJ81" i="280"/>
  <c r="AJ85" i="280"/>
  <c r="AJ82" i="280"/>
  <c r="AJ83" i="280"/>
  <c r="AJ84" i="280"/>
  <c r="AJ89" i="280"/>
  <c r="AK79" i="280"/>
  <c r="AJ95" i="280"/>
  <c r="AJ90" i="293"/>
  <c r="AJ73" i="293"/>
  <c r="AJ81" i="293"/>
  <c r="AZ65" i="293"/>
  <c r="AY67" i="293"/>
  <c r="AK105" i="282"/>
  <c r="AK106" i="282" s="1"/>
  <c r="AK57" i="282"/>
  <c r="AK58" i="282"/>
  <c r="AK89" i="282"/>
  <c r="AK70" i="282"/>
  <c r="AU79" i="282"/>
  <c r="AT81" i="282"/>
  <c r="AU65" i="282"/>
  <c r="AT73" i="282"/>
  <c r="AT67" i="282"/>
  <c r="AI78" i="279"/>
  <c r="AH57" i="284"/>
  <c r="AH59" i="284" s="1"/>
  <c r="AH62" i="284" s="1"/>
  <c r="AI78" i="284"/>
  <c r="BE68" i="278"/>
  <c r="BE69" i="278" s="1"/>
  <c r="BE91" i="278"/>
  <c r="BE95" i="278" s="1"/>
  <c r="BE96" i="278" s="1"/>
  <c r="BE84" i="278"/>
  <c r="BE72" i="278"/>
  <c r="AJ84" i="277"/>
  <c r="AJ67" i="277"/>
  <c r="AJ85" i="277"/>
  <c r="AJ86" i="277"/>
  <c r="AJ87" i="277"/>
  <c r="AJ74" i="277"/>
  <c r="AJ75" i="277"/>
  <c r="AJ77" i="277" s="1"/>
  <c r="AJ72" i="277"/>
  <c r="AI88" i="277"/>
  <c r="AI89" i="277" s="1"/>
  <c r="AI58" i="277" s="1"/>
  <c r="AJ88" i="275"/>
  <c r="AJ85" i="275"/>
  <c r="AJ76" i="275"/>
  <c r="AJ77" i="275" s="1"/>
  <c r="AJ92" i="275"/>
  <c r="AJ90" i="275"/>
  <c r="AJ94" i="275" s="1"/>
  <c r="AJ72" i="275"/>
  <c r="AJ67" i="275"/>
  <c r="AJ84" i="275"/>
  <c r="AJ93" i="275"/>
  <c r="AJ86" i="275"/>
  <c r="AJ69" i="275"/>
  <c r="AJ70" i="279"/>
  <c r="AJ77" i="279"/>
  <c r="AL65" i="279"/>
  <c r="AI70" i="284"/>
  <c r="AI95" i="284"/>
  <c r="AI58" i="284" s="1"/>
  <c r="AJ93" i="284"/>
  <c r="AJ92" i="284"/>
  <c r="AJ90" i="284"/>
  <c r="AJ94" i="284" s="1"/>
  <c r="AJ69" i="284"/>
  <c r="AJ77" i="284"/>
  <c r="AJ68" i="284"/>
  <c r="AJ58" i="280"/>
  <c r="AJ59" i="280"/>
  <c r="AJ91" i="280"/>
  <c r="AJ73" i="280"/>
  <c r="AQ65" i="280"/>
  <c r="AQ67" i="280" s="1"/>
  <c r="BD88" i="278"/>
  <c r="BD89" i="278" s="1"/>
  <c r="BD58" i="278" s="1"/>
  <c r="BD78" i="278"/>
  <c r="BD57" i="278" s="1"/>
  <c r="AJ62" i="290"/>
  <c r="AK54" i="290"/>
  <c r="AK57" i="289"/>
  <c r="AK59" i="289" s="1"/>
  <c r="AK55" i="289"/>
  <c r="AL54" i="289"/>
  <c r="BE86" i="278"/>
  <c r="BE87" i="278"/>
  <c r="BE85" i="278"/>
  <c r="BE75" i="278"/>
  <c r="BE77" i="278" s="1"/>
  <c r="BE74" i="278"/>
  <c r="BF54" i="278"/>
  <c r="BC57" i="278"/>
  <c r="BC59" i="278" s="1"/>
  <c r="BC62" i="278" s="1"/>
  <c r="AH57" i="275"/>
  <c r="AH59" i="275" s="1"/>
  <c r="AH62" i="275" s="1"/>
  <c r="AJ67" i="295"/>
  <c r="AK65" i="295"/>
  <c r="AH59" i="293"/>
  <c r="AH62" i="293" s="1"/>
  <c r="AH58" i="279"/>
  <c r="AH60" i="279" s="1"/>
  <c r="AH62" i="279" s="1"/>
  <c r="AH57" i="277"/>
  <c r="AH59" i="277" s="1"/>
  <c r="AH62" i="277" s="1"/>
  <c r="AI78" i="277"/>
  <c r="AH59" i="276"/>
  <c r="AH62" i="276" s="1"/>
  <c r="BF54" i="292"/>
  <c r="BE88" i="292"/>
  <c r="AK54" i="293"/>
  <c r="BE95" i="279"/>
  <c r="BE96" i="279" s="1"/>
  <c r="BE59" i="279" s="1"/>
  <c r="AK54" i="284"/>
  <c r="AK75" i="284" s="1"/>
  <c r="AI70" i="276"/>
  <c r="AI57" i="276" s="1"/>
  <c r="AK54" i="277"/>
  <c r="AI87" i="293"/>
  <c r="AI97" i="293" s="1"/>
  <c r="AI58" i="293" s="1"/>
  <c r="BF65" i="276"/>
  <c r="AI78" i="275"/>
  <c r="AI57" i="275" s="1"/>
  <c r="AI75" i="293"/>
  <c r="AI57" i="293" s="1"/>
  <c r="BE84" i="284"/>
  <c r="BF65" i="284"/>
  <c r="BD89" i="292"/>
  <c r="BD97" i="292" s="1"/>
  <c r="BD58" i="292" s="1"/>
  <c r="BD59" i="292" s="1"/>
  <c r="BD61" i="292" s="1"/>
  <c r="AJ70" i="295"/>
  <c r="AK54" i="295"/>
  <c r="AJ59" i="295"/>
  <c r="AK54" i="279"/>
  <c r="AK69" i="279" s="1"/>
  <c r="AJ75" i="279"/>
  <c r="AJ62" i="289"/>
  <c r="BD78" i="276"/>
  <c r="AK54" i="276"/>
  <c r="AJ90" i="276"/>
  <c r="AI90" i="276"/>
  <c r="AI98" i="276" s="1"/>
  <c r="AI58" i="276" s="1"/>
  <c r="AI95" i="275"/>
  <c r="AI58" i="275" s="1"/>
  <c r="AI87" i="275"/>
  <c r="AK54" i="275"/>
  <c r="BE96" i="292"/>
  <c r="BF64" i="292"/>
  <c r="BE66" i="292"/>
  <c r="BE79" i="292"/>
  <c r="BE57" i="292" s="1"/>
  <c r="AT81" i="306"/>
  <c r="AV87" i="306"/>
  <c r="AV93" i="306"/>
  <c r="AV97" i="306" s="1"/>
  <c r="AV98" i="306" s="1"/>
  <c r="AV58" i="306" s="1"/>
  <c r="AV67" i="306"/>
  <c r="AV70" i="306" s="1"/>
  <c r="AV71" i="306" s="1"/>
  <c r="AW65" i="306"/>
  <c r="AV74" i="306"/>
  <c r="AU59" i="306"/>
  <c r="AU62" i="306" s="1"/>
  <c r="AW54" i="306"/>
  <c r="AV57" i="306"/>
  <c r="AV55" i="306"/>
  <c r="AU77" i="306"/>
  <c r="AU79" i="306" s="1"/>
  <c r="AU78" i="306"/>
  <c r="AI75" i="280"/>
  <c r="AI57" i="280" s="1"/>
  <c r="AI107" i="280"/>
  <c r="AI62" i="280"/>
  <c r="AK54" i="280"/>
  <c r="AK55" i="280" s="1"/>
  <c r="AJ75" i="282"/>
  <c r="AJ59" i="282" s="1"/>
  <c r="AJ62" i="282" s="1"/>
  <c r="AL54" i="282"/>
  <c r="AL55" i="282" s="1"/>
  <c r="AK75" i="282"/>
  <c r="AI59" i="282"/>
  <c r="AI62" i="282" s="1"/>
  <c r="AJ100" i="293" l="1"/>
  <c r="AI111" i="280"/>
  <c r="AK55" i="276"/>
  <c r="AK93" i="276"/>
  <c r="AK97" i="276" s="1"/>
  <c r="AK68" i="276"/>
  <c r="AK67" i="276"/>
  <c r="AK85" i="276"/>
  <c r="AK69" i="276"/>
  <c r="AK70" i="276" s="1"/>
  <c r="AK57" i="276" s="1"/>
  <c r="AJ96" i="280"/>
  <c r="AJ97" i="280"/>
  <c r="AJ98" i="280"/>
  <c r="AJ94" i="280"/>
  <c r="AK84" i="280"/>
  <c r="AK85" i="280"/>
  <c r="AK81" i="280"/>
  <c r="AK82" i="280"/>
  <c r="AK83" i="280"/>
  <c r="AK89" i="280"/>
  <c r="AL79" i="280"/>
  <c r="AK95" i="280"/>
  <c r="AK90" i="293"/>
  <c r="BA65" i="293"/>
  <c r="AZ67" i="293"/>
  <c r="AK73" i="293"/>
  <c r="AK81" i="293"/>
  <c r="AL105" i="282"/>
  <c r="AL106" i="282" s="1"/>
  <c r="AL89" i="282"/>
  <c r="AL58" i="282"/>
  <c r="AL57" i="282"/>
  <c r="AL70" i="282"/>
  <c r="AV79" i="282"/>
  <c r="AU81" i="282"/>
  <c r="AV65" i="282"/>
  <c r="AU73" i="282"/>
  <c r="AU67" i="282"/>
  <c r="AI57" i="284"/>
  <c r="AI59" i="284" s="1"/>
  <c r="AI62" i="284" s="1"/>
  <c r="AJ70" i="284"/>
  <c r="AJ78" i="279"/>
  <c r="AJ78" i="284"/>
  <c r="BF68" i="278"/>
  <c r="BF69" i="278" s="1"/>
  <c r="BF84" i="278"/>
  <c r="BF91" i="278"/>
  <c r="BF95" i="278" s="1"/>
  <c r="BF96" i="278" s="1"/>
  <c r="BF72" i="278"/>
  <c r="AJ88" i="277"/>
  <c r="AJ89" i="277" s="1"/>
  <c r="AJ58" i="277" s="1"/>
  <c r="AK87" i="277"/>
  <c r="AK74" i="277"/>
  <c r="AK84" i="277"/>
  <c r="AK85" i="277"/>
  <c r="AK86" i="277"/>
  <c r="AK75" i="277"/>
  <c r="AK77" i="277" s="1"/>
  <c r="AK72" i="277"/>
  <c r="AK67" i="277"/>
  <c r="AK92" i="275"/>
  <c r="AK90" i="275"/>
  <c r="AK94" i="275" s="1"/>
  <c r="AK72" i="275"/>
  <c r="AK93" i="275"/>
  <c r="AK86" i="275"/>
  <c r="AK76" i="275"/>
  <c r="AK77" i="275" s="1"/>
  <c r="AK69" i="275"/>
  <c r="AK88" i="275"/>
  <c r="AK85" i="275"/>
  <c r="AK87" i="275" s="1"/>
  <c r="AK67" i="275"/>
  <c r="AK84" i="275"/>
  <c r="AK77" i="279"/>
  <c r="AK70" i="279"/>
  <c r="AM65" i="279"/>
  <c r="AJ95" i="284"/>
  <c r="AJ58" i="284" s="1"/>
  <c r="AK92" i="284"/>
  <c r="AK68" i="284"/>
  <c r="AK93" i="284"/>
  <c r="AK69" i="284"/>
  <c r="AK90" i="284"/>
  <c r="AK94" i="284" s="1"/>
  <c r="AK77" i="284"/>
  <c r="BD59" i="278"/>
  <c r="BD62" i="278" s="1"/>
  <c r="AR65" i="280"/>
  <c r="AR67" i="280" s="1"/>
  <c r="AK91" i="280"/>
  <c r="AK59" i="280"/>
  <c r="AK58" i="280"/>
  <c r="AK73" i="280"/>
  <c r="AK75" i="280" s="1"/>
  <c r="AK57" i="280" s="1"/>
  <c r="AK62" i="290"/>
  <c r="AL54" i="290"/>
  <c r="AL55" i="289"/>
  <c r="AL57" i="289"/>
  <c r="AL59" i="289" s="1"/>
  <c r="AM54" i="289"/>
  <c r="BF87" i="278"/>
  <c r="BF85" i="278"/>
  <c r="BG54" i="278"/>
  <c r="BF75" i="278"/>
  <c r="BF77" i="278" s="1"/>
  <c r="BF74" i="278"/>
  <c r="BF86" i="278"/>
  <c r="BE88" i="278"/>
  <c r="BE89" i="278" s="1"/>
  <c r="BE58" i="278" s="1"/>
  <c r="BE78" i="278"/>
  <c r="AJ98" i="276"/>
  <c r="AJ58" i="276" s="1"/>
  <c r="AK67" i="295"/>
  <c r="AL65" i="295"/>
  <c r="AI58" i="279"/>
  <c r="AI60" i="279" s="1"/>
  <c r="AI62" i="279" s="1"/>
  <c r="AJ75" i="293"/>
  <c r="AJ57" i="293" s="1"/>
  <c r="AI57" i="277"/>
  <c r="AI59" i="277" s="1"/>
  <c r="AI62" i="277" s="1"/>
  <c r="AJ95" i="275"/>
  <c r="AJ58" i="275" s="1"/>
  <c r="AJ78" i="277"/>
  <c r="AJ87" i="293"/>
  <c r="AJ97" i="293" s="1"/>
  <c r="AJ58" i="293" s="1"/>
  <c r="AJ70" i="276"/>
  <c r="AJ57" i="276" s="1"/>
  <c r="AI59" i="275"/>
  <c r="AI62" i="275" s="1"/>
  <c r="BF79" i="292"/>
  <c r="BF57" i="292" s="1"/>
  <c r="BG64" i="292"/>
  <c r="BF66" i="292"/>
  <c r="BF96" i="292"/>
  <c r="AL54" i="277"/>
  <c r="AL54" i="284"/>
  <c r="AL75" i="284" s="1"/>
  <c r="AJ78" i="275"/>
  <c r="BD79" i="276"/>
  <c r="AK70" i="295"/>
  <c r="AK59" i="295"/>
  <c r="AL54" i="295"/>
  <c r="BE78" i="276"/>
  <c r="BE89" i="292"/>
  <c r="BE97" i="292" s="1"/>
  <c r="BE58" i="292" s="1"/>
  <c r="BE59" i="292" s="1"/>
  <c r="BE61" i="292" s="1"/>
  <c r="AK62" i="289"/>
  <c r="BG65" i="276"/>
  <c r="BF95" i="279"/>
  <c r="BF96" i="279" s="1"/>
  <c r="BF59" i="279" s="1"/>
  <c r="AL54" i="275"/>
  <c r="AL54" i="279"/>
  <c r="AL69" i="279" s="1"/>
  <c r="AJ62" i="295"/>
  <c r="AI59" i="293"/>
  <c r="AI62" i="293" s="1"/>
  <c r="BF84" i="284"/>
  <c r="BG65" i="284"/>
  <c r="AI59" i="276"/>
  <c r="AI62" i="276" s="1"/>
  <c r="BF88" i="292"/>
  <c r="BG54" i="292"/>
  <c r="AJ87" i="275"/>
  <c r="AL54" i="276"/>
  <c r="AL54" i="293"/>
  <c r="AK87" i="293"/>
  <c r="AK97" i="293" s="1"/>
  <c r="AX54" i="306"/>
  <c r="AW57" i="306"/>
  <c r="AW55" i="306"/>
  <c r="AU81" i="306"/>
  <c r="AV77" i="306"/>
  <c r="AV79" i="306" s="1"/>
  <c r="AV78" i="306"/>
  <c r="AV59" i="306"/>
  <c r="AV62" i="306" s="1"/>
  <c r="AW87" i="306"/>
  <c r="AW74" i="306"/>
  <c r="AW93" i="306"/>
  <c r="AW97" i="306" s="1"/>
  <c r="AW98" i="306" s="1"/>
  <c r="AW58" i="306" s="1"/>
  <c r="AW67" i="306"/>
  <c r="AW70" i="306" s="1"/>
  <c r="AW71" i="306" s="1"/>
  <c r="AX65" i="306"/>
  <c r="AJ75" i="280"/>
  <c r="AJ57" i="280" s="1"/>
  <c r="AK59" i="282"/>
  <c r="AK62" i="282" s="1"/>
  <c r="AJ107" i="280"/>
  <c r="AJ62" i="280"/>
  <c r="AL54" i="280"/>
  <c r="AL55" i="280" s="1"/>
  <c r="AM54" i="282"/>
  <c r="AM55" i="282" s="1"/>
  <c r="AK100" i="293" l="1"/>
  <c r="AJ111" i="280"/>
  <c r="AL55" i="276"/>
  <c r="AL93" i="276"/>
  <c r="AL97" i="276" s="1"/>
  <c r="AL69" i="276"/>
  <c r="AL67" i="276"/>
  <c r="AL90" i="276"/>
  <c r="AL68" i="276"/>
  <c r="AL85" i="276"/>
  <c r="AK98" i="280"/>
  <c r="AK96" i="280"/>
  <c r="AK97" i="280"/>
  <c r="AK94" i="280"/>
  <c r="AL83" i="280"/>
  <c r="AL84" i="280"/>
  <c r="AL85" i="280"/>
  <c r="AL81" i="280"/>
  <c r="AL82" i="280"/>
  <c r="AL89" i="280"/>
  <c r="AM79" i="280"/>
  <c r="AL90" i="293"/>
  <c r="AL95" i="280"/>
  <c r="AL81" i="293"/>
  <c r="AL73" i="293"/>
  <c r="BB65" i="293"/>
  <c r="BA67" i="293"/>
  <c r="AM105" i="282"/>
  <c r="AM106" i="282" s="1"/>
  <c r="AM70" i="282"/>
  <c r="AM58" i="282"/>
  <c r="AM89" i="282"/>
  <c r="AM57" i="282"/>
  <c r="AW79" i="282"/>
  <c r="AV81" i="282"/>
  <c r="AW65" i="282"/>
  <c r="AV73" i="282"/>
  <c r="AV67" i="282"/>
  <c r="AJ57" i="284"/>
  <c r="AJ59" i="284" s="1"/>
  <c r="AJ62" i="284" s="1"/>
  <c r="AJ59" i="276"/>
  <c r="AJ62" i="276" s="1"/>
  <c r="AK78" i="284"/>
  <c r="BG68" i="278"/>
  <c r="BG69" i="278" s="1"/>
  <c r="BG84" i="278"/>
  <c r="BG91" i="278"/>
  <c r="BG95" i="278" s="1"/>
  <c r="BG96" i="278" s="1"/>
  <c r="AL86" i="277"/>
  <c r="AL72" i="277"/>
  <c r="AL87" i="277"/>
  <c r="AL84" i="277"/>
  <c r="AL85" i="277"/>
  <c r="AL67" i="277"/>
  <c r="AL74" i="277"/>
  <c r="AL75" i="277"/>
  <c r="AL77" i="277" s="1"/>
  <c r="AK88" i="277"/>
  <c r="AK89" i="277" s="1"/>
  <c r="AK58" i="277" s="1"/>
  <c r="AL86" i="275"/>
  <c r="AL93" i="275"/>
  <c r="AL92" i="275"/>
  <c r="AL69" i="275"/>
  <c r="AL67" i="275"/>
  <c r="AL90" i="275"/>
  <c r="AL94" i="275" s="1"/>
  <c r="AL84" i="275"/>
  <c r="AL76" i="275"/>
  <c r="AL77" i="275" s="1"/>
  <c r="AL88" i="275"/>
  <c r="AL72" i="275"/>
  <c r="AL85" i="275"/>
  <c r="AL87" i="275" s="1"/>
  <c r="AN65" i="279"/>
  <c r="AL77" i="279"/>
  <c r="AL70" i="279"/>
  <c r="AK70" i="284"/>
  <c r="AK95" i="284"/>
  <c r="AK58" i="284" s="1"/>
  <c r="AL90" i="284"/>
  <c r="AL94" i="284" s="1"/>
  <c r="AL77" i="284"/>
  <c r="AL78" i="284" s="1"/>
  <c r="AL69" i="284"/>
  <c r="AL93" i="284"/>
  <c r="AL68" i="284"/>
  <c r="AL92" i="284"/>
  <c r="AL59" i="280"/>
  <c r="AL91" i="280"/>
  <c r="AL58" i="280"/>
  <c r="AL73" i="280"/>
  <c r="AL75" i="280" s="1"/>
  <c r="AL57" i="280" s="1"/>
  <c r="AS65" i="280"/>
  <c r="AS67" i="280" s="1"/>
  <c r="BF78" i="278"/>
  <c r="BF57" i="278" s="1"/>
  <c r="BF88" i="278"/>
  <c r="BF58" i="278" s="1"/>
  <c r="AL62" i="290"/>
  <c r="AM54" i="290"/>
  <c r="AM55" i="289"/>
  <c r="AM57" i="289"/>
  <c r="AM59" i="289" s="1"/>
  <c r="AN54" i="289"/>
  <c r="BE57" i="278"/>
  <c r="BE59" i="278" s="1"/>
  <c r="BE62" i="278" s="1"/>
  <c r="BG87" i="278"/>
  <c r="BG85" i="278"/>
  <c r="BG86" i="278"/>
  <c r="BG75" i="278"/>
  <c r="BG77" i="278" s="1"/>
  <c r="BG74" i="278"/>
  <c r="BH54" i="278"/>
  <c r="AJ57" i="277"/>
  <c r="AJ59" i="277" s="1"/>
  <c r="AJ62" i="277" s="1"/>
  <c r="AL67" i="295"/>
  <c r="AM65" i="295"/>
  <c r="AK75" i="293"/>
  <c r="AK57" i="293" s="1"/>
  <c r="AK95" i="275"/>
  <c r="AK58" i="275" s="1"/>
  <c r="AJ59" i="293"/>
  <c r="AJ62" i="293" s="1"/>
  <c r="BE79" i="276"/>
  <c r="AK62" i="295"/>
  <c r="AJ58" i="279"/>
  <c r="AJ60" i="279" s="1"/>
  <c r="AJ62" i="279" s="1"/>
  <c r="AJ57" i="275"/>
  <c r="AJ59" i="275" s="1"/>
  <c r="AJ62" i="275" s="1"/>
  <c r="AK78" i="275"/>
  <c r="AK90" i="276"/>
  <c r="AK98" i="276" s="1"/>
  <c r="AK58" i="276" s="1"/>
  <c r="AK59" i="276" s="1"/>
  <c r="AK62" i="276" s="1"/>
  <c r="AM54" i="277"/>
  <c r="AK58" i="293"/>
  <c r="AL75" i="279"/>
  <c r="AM54" i="279"/>
  <c r="AM69" i="279" s="1"/>
  <c r="BF78" i="276"/>
  <c r="AK78" i="277"/>
  <c r="AK57" i="277" s="1"/>
  <c r="BG88" i="292"/>
  <c r="BG89" i="292" s="1"/>
  <c r="BH54" i="292"/>
  <c r="BG95" i="279"/>
  <c r="BG96" i="279" s="1"/>
  <c r="BG59" i="279" s="1"/>
  <c r="BH65" i="276"/>
  <c r="AM54" i="284"/>
  <c r="AM75" i="284" s="1"/>
  <c r="BG96" i="292"/>
  <c r="BG66" i="292"/>
  <c r="BG79" i="292"/>
  <c r="BG57" i="292" s="1"/>
  <c r="BH64" i="292"/>
  <c r="AM54" i="293"/>
  <c r="AK75" i="279"/>
  <c r="AK78" i="279" s="1"/>
  <c r="AK58" i="279" s="1"/>
  <c r="AK60" i="279" s="1"/>
  <c r="AK62" i="279" s="1"/>
  <c r="AM54" i="275"/>
  <c r="AM54" i="276"/>
  <c r="BF89" i="292"/>
  <c r="BF97" i="292" s="1"/>
  <c r="BF58" i="292" s="1"/>
  <c r="BF59" i="292" s="1"/>
  <c r="BF61" i="292" s="1"/>
  <c r="BH65" i="284"/>
  <c r="BG84" i="284"/>
  <c r="AL62" i="289"/>
  <c r="AL70" i="295"/>
  <c r="AM54" i="295"/>
  <c r="AL59" i="295"/>
  <c r="AW59" i="306"/>
  <c r="AW62" i="306" s="1"/>
  <c r="AX93" i="306"/>
  <c r="AX97" i="306" s="1"/>
  <c r="AX98" i="306" s="1"/>
  <c r="AX58" i="306" s="1"/>
  <c r="AX87" i="306"/>
  <c r="AX67" i="306"/>
  <c r="AX70" i="306" s="1"/>
  <c r="AX71" i="306" s="1"/>
  <c r="AX74" i="306"/>
  <c r="AY65" i="306"/>
  <c r="AW78" i="306"/>
  <c r="AW77" i="306"/>
  <c r="AW79" i="306" s="1"/>
  <c r="AV81" i="306"/>
  <c r="AX57" i="306"/>
  <c r="AX55" i="306"/>
  <c r="AY54" i="306"/>
  <c r="AK62" i="280"/>
  <c r="AK107" i="280"/>
  <c r="AM54" i="280"/>
  <c r="AM55" i="280" s="1"/>
  <c r="AN54" i="282"/>
  <c r="AN55" i="282" s="1"/>
  <c r="AL75" i="282"/>
  <c r="AL59" i="282" s="1"/>
  <c r="AL62" i="282" s="1"/>
  <c r="AL100" i="293" l="1"/>
  <c r="AK111" i="280"/>
  <c r="AM55" i="276"/>
  <c r="AM93" i="276"/>
  <c r="AM97" i="276" s="1"/>
  <c r="AM85" i="276"/>
  <c r="AM68" i="276"/>
  <c r="AM70" i="276" s="1"/>
  <c r="AM57" i="276" s="1"/>
  <c r="AM67" i="276"/>
  <c r="AM69" i="276"/>
  <c r="AL96" i="280"/>
  <c r="AL98" i="280"/>
  <c r="AL97" i="280"/>
  <c r="AL94" i="280"/>
  <c r="AM82" i="280"/>
  <c r="AM83" i="280"/>
  <c r="AM84" i="280"/>
  <c r="AM85" i="280"/>
  <c r="AM81" i="280"/>
  <c r="AM89" i="280"/>
  <c r="AN79" i="280"/>
  <c r="AM95" i="280"/>
  <c r="AM90" i="293"/>
  <c r="AM81" i="293"/>
  <c r="AM73" i="293"/>
  <c r="AM75" i="293" s="1"/>
  <c r="AM57" i="293" s="1"/>
  <c r="BC65" i="293"/>
  <c r="BB67" i="293"/>
  <c r="AN105" i="282"/>
  <c r="AN106" i="282" s="1"/>
  <c r="AN58" i="282"/>
  <c r="AN70" i="282"/>
  <c r="AN57" i="282"/>
  <c r="AN89" i="282"/>
  <c r="AX79" i="282"/>
  <c r="AW81" i="282"/>
  <c r="AX65" i="282"/>
  <c r="AW73" i="282"/>
  <c r="AW67" i="282"/>
  <c r="AL78" i="279"/>
  <c r="BF89" i="278"/>
  <c r="AK57" i="284"/>
  <c r="AK59" i="284" s="1"/>
  <c r="AK62" i="284" s="1"/>
  <c r="BH68" i="278"/>
  <c r="BH69" i="278" s="1"/>
  <c r="BH91" i="278"/>
  <c r="BH84" i="278"/>
  <c r="AM85" i="277"/>
  <c r="AM72" i="277"/>
  <c r="AM74" i="277"/>
  <c r="AM86" i="277"/>
  <c r="AM87" i="277"/>
  <c r="AM75" i="277"/>
  <c r="AM77" i="277" s="1"/>
  <c r="AM84" i="277"/>
  <c r="AM67" i="277"/>
  <c r="AL88" i="277"/>
  <c r="AL89" i="277" s="1"/>
  <c r="AL58" i="277" s="1"/>
  <c r="AM93" i="275"/>
  <c r="AM90" i="275"/>
  <c r="AM94" i="275" s="1"/>
  <c r="AM85" i="275"/>
  <c r="AM84" i="275"/>
  <c r="AM92" i="275"/>
  <c r="AM86" i="275"/>
  <c r="AM69" i="275"/>
  <c r="AM76" i="275"/>
  <c r="AM77" i="275" s="1"/>
  <c r="AM88" i="275"/>
  <c r="AM72" i="275"/>
  <c r="AM67" i="275"/>
  <c r="AK57" i="275"/>
  <c r="AK59" i="275" s="1"/>
  <c r="AK62" i="275" s="1"/>
  <c r="AO65" i="279"/>
  <c r="AM70" i="279"/>
  <c r="AM77" i="279"/>
  <c r="AL70" i="284"/>
  <c r="AL57" i="284" s="1"/>
  <c r="AL95" i="284"/>
  <c r="AL58" i="284" s="1"/>
  <c r="AM92" i="284"/>
  <c r="AM93" i="284"/>
  <c r="AM90" i="284"/>
  <c r="AM94" i="284" s="1"/>
  <c r="AM77" i="284"/>
  <c r="AM78" i="284" s="1"/>
  <c r="AM68" i="284"/>
  <c r="AM69" i="284"/>
  <c r="AM91" i="280"/>
  <c r="AM58" i="280"/>
  <c r="AM59" i="280"/>
  <c r="AM73" i="280"/>
  <c r="AM75" i="280" s="1"/>
  <c r="AM57" i="280" s="1"/>
  <c r="AT65" i="280"/>
  <c r="AT67" i="280" s="1"/>
  <c r="BF59" i="278"/>
  <c r="BF62" i="278" s="1"/>
  <c r="BG72" i="278"/>
  <c r="AM62" i="290"/>
  <c r="AN54" i="290"/>
  <c r="AN55" i="289"/>
  <c r="AN57" i="289"/>
  <c r="AN59" i="289" s="1"/>
  <c r="AO54" i="289"/>
  <c r="BH87" i="278"/>
  <c r="BH86" i="278"/>
  <c r="BI86" i="278" s="1"/>
  <c r="BH85" i="278"/>
  <c r="BH74" i="278"/>
  <c r="BI74" i="278" s="1"/>
  <c r="BH75" i="278"/>
  <c r="BH77" i="278" s="1"/>
  <c r="BI55" i="278"/>
  <c r="C14" i="278" s="1"/>
  <c r="C19" i="285" s="1"/>
  <c r="BG88" i="278"/>
  <c r="BG58" i="278" s="1"/>
  <c r="BG78" i="278"/>
  <c r="AM67" i="295"/>
  <c r="AN65" i="295"/>
  <c r="AK59" i="293"/>
  <c r="AK62" i="293" s="1"/>
  <c r="AK59" i="277"/>
  <c r="AK62" i="277" s="1"/>
  <c r="AX59" i="306"/>
  <c r="AX62" i="306" s="1"/>
  <c r="BH95" i="279"/>
  <c r="BH88" i="292"/>
  <c r="BH89" i="292" s="1"/>
  <c r="BI89" i="292" s="1"/>
  <c r="AL62" i="295"/>
  <c r="AN54" i="276"/>
  <c r="AM90" i="276"/>
  <c r="AN54" i="277"/>
  <c r="AM70" i="295"/>
  <c r="AM59" i="295"/>
  <c r="AN54" i="295"/>
  <c r="BH84" i="284"/>
  <c r="AL98" i="276"/>
  <c r="AL58" i="276" s="1"/>
  <c r="AL78" i="275"/>
  <c r="AM87" i="293"/>
  <c r="AM97" i="293" s="1"/>
  <c r="AN54" i="293"/>
  <c r="AL87" i="293"/>
  <c r="AL97" i="293" s="1"/>
  <c r="AL58" i="293" s="1"/>
  <c r="BG97" i="292"/>
  <c r="BG58" i="292" s="1"/>
  <c r="BG59" i="292" s="1"/>
  <c r="BG61" i="292" s="1"/>
  <c r="AN54" i="284"/>
  <c r="AN75" i="284" s="1"/>
  <c r="BH78" i="276"/>
  <c r="AM62" i="289"/>
  <c r="AL70" i="276"/>
  <c r="AL57" i="276" s="1"/>
  <c r="AL95" i="275"/>
  <c r="AL58" i="275" s="1"/>
  <c r="AN54" i="275"/>
  <c r="AL75" i="293"/>
  <c r="AL57" i="293" s="1"/>
  <c r="BH79" i="292"/>
  <c r="BH96" i="292"/>
  <c r="BI96" i="292" s="1"/>
  <c r="BH66" i="292"/>
  <c r="BG78" i="276"/>
  <c r="BF79" i="276"/>
  <c r="AN54" i="279"/>
  <c r="AN69" i="279" s="1"/>
  <c r="AL78" i="277"/>
  <c r="AZ54" i="306"/>
  <c r="AY57" i="306"/>
  <c r="AY55" i="306"/>
  <c r="AW81" i="306"/>
  <c r="AY93" i="306"/>
  <c r="AY97" i="306" s="1"/>
  <c r="AY98" i="306" s="1"/>
  <c r="AY58" i="306" s="1"/>
  <c r="AY87" i="306"/>
  <c r="AY74" i="306"/>
  <c r="AY67" i="306"/>
  <c r="AY70" i="306" s="1"/>
  <c r="AY71" i="306" s="1"/>
  <c r="AZ65" i="306"/>
  <c r="AX78" i="306"/>
  <c r="AX77" i="306"/>
  <c r="AX79" i="306" s="1"/>
  <c r="AL107" i="280"/>
  <c r="AL62" i="280"/>
  <c r="AN54" i="280"/>
  <c r="AN55" i="280" s="1"/>
  <c r="AO54" i="282"/>
  <c r="AO55" i="282" s="1"/>
  <c r="AM75" i="282"/>
  <c r="AM59" i="282" s="1"/>
  <c r="AM62" i="282" s="1"/>
  <c r="AM100" i="293" l="1"/>
  <c r="AL111" i="280"/>
  <c r="AN55" i="276"/>
  <c r="AN93" i="276"/>
  <c r="AN97" i="276" s="1"/>
  <c r="AN68" i="276"/>
  <c r="AN85" i="276"/>
  <c r="AN69" i="276"/>
  <c r="AN67" i="276"/>
  <c r="AM97" i="280"/>
  <c r="AM98" i="280"/>
  <c r="AM96" i="280"/>
  <c r="AM94" i="280"/>
  <c r="AN81" i="280"/>
  <c r="AN85" i="280"/>
  <c r="AN82" i="280"/>
  <c r="AN83" i="280"/>
  <c r="AN84" i="280"/>
  <c r="AN89" i="280"/>
  <c r="AO79" i="280"/>
  <c r="AN90" i="293"/>
  <c r="AN95" i="280"/>
  <c r="BD65" i="293"/>
  <c r="BC67" i="293"/>
  <c r="AN73" i="293"/>
  <c r="AN81" i="293"/>
  <c r="AO105" i="282"/>
  <c r="AO106" i="282" s="1"/>
  <c r="AO57" i="282"/>
  <c r="AO70" i="282"/>
  <c r="AO89" i="282"/>
  <c r="AO58" i="282"/>
  <c r="AY79" i="282"/>
  <c r="AX81" i="282"/>
  <c r="AY65" i="282"/>
  <c r="AX67" i="282"/>
  <c r="AX73" i="282"/>
  <c r="AL59" i="284"/>
  <c r="AL62" i="284" s="1"/>
  <c r="BH95" i="278"/>
  <c r="D23" i="278"/>
  <c r="BG57" i="278"/>
  <c r="BG59" i="278" s="1"/>
  <c r="BG62" i="278" s="1"/>
  <c r="AM88" i="277"/>
  <c r="AM89" i="277" s="1"/>
  <c r="AM58" i="277" s="1"/>
  <c r="AN84" i="277"/>
  <c r="AN67" i="277"/>
  <c r="AN72" i="277"/>
  <c r="AN85" i="277"/>
  <c r="AN86" i="277"/>
  <c r="AN87" i="277"/>
  <c r="AN88" i="277" s="1"/>
  <c r="AN75" i="277"/>
  <c r="AN77" i="277" s="1"/>
  <c r="AN74" i="277"/>
  <c r="AN88" i="275"/>
  <c r="AN85" i="275"/>
  <c r="AN87" i="275" s="1"/>
  <c r="AN86" i="275"/>
  <c r="AN76" i="275"/>
  <c r="AN77" i="275" s="1"/>
  <c r="AN93" i="275"/>
  <c r="AN72" i="275"/>
  <c r="AN67" i="275"/>
  <c r="AN92" i="275"/>
  <c r="AN90" i="275"/>
  <c r="AN94" i="275" s="1"/>
  <c r="AN84" i="275"/>
  <c r="AN69" i="275"/>
  <c r="AP65" i="279"/>
  <c r="AN70" i="279"/>
  <c r="AN77" i="279"/>
  <c r="AM95" i="284"/>
  <c r="AM58" i="284" s="1"/>
  <c r="AM70" i="284"/>
  <c r="AN93" i="284"/>
  <c r="AN77" i="284"/>
  <c r="AN69" i="284"/>
  <c r="AN90" i="284"/>
  <c r="AN94" i="284" s="1"/>
  <c r="AN92" i="284"/>
  <c r="AN68" i="284"/>
  <c r="AN58" i="280"/>
  <c r="AN59" i="280"/>
  <c r="AN91" i="280"/>
  <c r="AN73" i="280"/>
  <c r="AU65" i="280"/>
  <c r="AU67" i="280" s="1"/>
  <c r="BI78" i="276"/>
  <c r="BH72" i="278"/>
  <c r="BG89" i="278"/>
  <c r="AN62" i="290"/>
  <c r="AO54" i="290"/>
  <c r="AO57" i="289"/>
  <c r="AO59" i="289" s="1"/>
  <c r="AO55" i="289"/>
  <c r="AP54" i="289"/>
  <c r="BH88" i="278"/>
  <c r="BH89" i="278" s="1"/>
  <c r="BI85" i="278"/>
  <c r="BH78" i="278"/>
  <c r="BI77" i="278"/>
  <c r="BI69" i="278"/>
  <c r="BI68" i="278"/>
  <c r="D21" i="278"/>
  <c r="D20" i="278"/>
  <c r="AL57" i="277"/>
  <c r="AL59" i="277" s="1"/>
  <c r="AL62" i="277" s="1"/>
  <c r="BH79" i="276"/>
  <c r="AL57" i="275"/>
  <c r="AL59" i="275" s="1"/>
  <c r="AL62" i="275" s="1"/>
  <c r="BH57" i="292"/>
  <c r="BI57" i="292" s="1"/>
  <c r="BI79" i="292"/>
  <c r="BH96" i="279"/>
  <c r="BI95" i="279"/>
  <c r="AN67" i="295"/>
  <c r="AO65" i="295"/>
  <c r="BG79" i="276"/>
  <c r="AL58" i="279"/>
  <c r="AL60" i="279" s="1"/>
  <c r="AL62" i="279" s="1"/>
  <c r="AM62" i="295"/>
  <c r="AO54" i="279"/>
  <c r="AO69" i="279" s="1"/>
  <c r="AN75" i="279"/>
  <c r="AM87" i="275"/>
  <c r="AN62" i="289"/>
  <c r="AO54" i="293"/>
  <c r="AM78" i="277"/>
  <c r="AO54" i="276"/>
  <c r="AO54" i="275"/>
  <c r="BH97" i="292"/>
  <c r="AM95" i="275"/>
  <c r="AM58" i="275" s="1"/>
  <c r="AL59" i="276"/>
  <c r="AL62" i="276" s="1"/>
  <c r="AO54" i="284"/>
  <c r="AO75" i="284" s="1"/>
  <c r="AM58" i="293"/>
  <c r="AM59" i="293" s="1"/>
  <c r="AM62" i="293" s="1"/>
  <c r="AM75" i="279"/>
  <c r="AM78" i="279" s="1"/>
  <c r="AM78" i="275"/>
  <c r="AN70" i="295"/>
  <c r="AO54" i="295"/>
  <c r="AN59" i="295"/>
  <c r="AO54" i="277"/>
  <c r="AM98" i="276"/>
  <c r="AM58" i="276" s="1"/>
  <c r="AM59" i="276" s="1"/>
  <c r="AM62" i="276" s="1"/>
  <c r="AL59" i="293"/>
  <c r="AL62" i="293" s="1"/>
  <c r="BI69" i="295"/>
  <c r="AZ87" i="306"/>
  <c r="AZ93" i="306"/>
  <c r="AZ97" i="306" s="1"/>
  <c r="AZ98" i="306" s="1"/>
  <c r="AZ58" i="306" s="1"/>
  <c r="AZ74" i="306"/>
  <c r="BA65" i="306"/>
  <c r="AZ67" i="306"/>
  <c r="AZ70" i="306" s="1"/>
  <c r="AZ71" i="306" s="1"/>
  <c r="AY59" i="306"/>
  <c r="AY62" i="306" s="1"/>
  <c r="AX81" i="306"/>
  <c r="AY77" i="306"/>
  <c r="AY79" i="306" s="1"/>
  <c r="AY78" i="306"/>
  <c r="BA54" i="306"/>
  <c r="AZ57" i="306"/>
  <c r="AZ55" i="306"/>
  <c r="AM62" i="280"/>
  <c r="AM107" i="280"/>
  <c r="AO54" i="280"/>
  <c r="AO55" i="280" s="1"/>
  <c r="AN75" i="282"/>
  <c r="AN59" i="282" s="1"/>
  <c r="AN62" i="282" s="1"/>
  <c r="AP54" i="282"/>
  <c r="AP55" i="282" s="1"/>
  <c r="AN100" i="293" l="1"/>
  <c r="AM111" i="280"/>
  <c r="AO55" i="276"/>
  <c r="AO93" i="276"/>
  <c r="AO97" i="276" s="1"/>
  <c r="AO90" i="276"/>
  <c r="AO85" i="276"/>
  <c r="AO67" i="276"/>
  <c r="AO69" i="276"/>
  <c r="AO68" i="276"/>
  <c r="AN97" i="280"/>
  <c r="AN98" i="280"/>
  <c r="AN96" i="280"/>
  <c r="AN94" i="280"/>
  <c r="AO84" i="280"/>
  <c r="AO81" i="280"/>
  <c r="AO82" i="280"/>
  <c r="AO83" i="280"/>
  <c r="AO85" i="280"/>
  <c r="AO89" i="280"/>
  <c r="AP79" i="280"/>
  <c r="AO90" i="293"/>
  <c r="AO95" i="280"/>
  <c r="AO73" i="293"/>
  <c r="AO81" i="293"/>
  <c r="BE65" i="293"/>
  <c r="BD67" i="293"/>
  <c r="AZ79" i="282"/>
  <c r="AY81" i="282"/>
  <c r="AP105" i="282"/>
  <c r="AP106" i="282" s="1"/>
  <c r="AP89" i="282"/>
  <c r="AP58" i="282"/>
  <c r="AP57" i="282"/>
  <c r="AP70" i="282"/>
  <c r="AZ65" i="282"/>
  <c r="AY73" i="282"/>
  <c r="AY67" i="282"/>
  <c r="AN78" i="279"/>
  <c r="AN95" i="284"/>
  <c r="AN58" i="284" s="1"/>
  <c r="AN78" i="284"/>
  <c r="BH96" i="278"/>
  <c r="BI96" i="278" s="1"/>
  <c r="BI95" i="278"/>
  <c r="AO87" i="277"/>
  <c r="AO74" i="277"/>
  <c r="AO75" i="277"/>
  <c r="AO77" i="277" s="1"/>
  <c r="AO67" i="277"/>
  <c r="AO72" i="277"/>
  <c r="AO84" i="277"/>
  <c r="AO85" i="277"/>
  <c r="AO86" i="277"/>
  <c r="AO92" i="275"/>
  <c r="AO88" i="275"/>
  <c r="AO72" i="275"/>
  <c r="AO85" i="275"/>
  <c r="AO93" i="275"/>
  <c r="AO67" i="275"/>
  <c r="AO90" i="275"/>
  <c r="AO94" i="275" s="1"/>
  <c r="AO86" i="275"/>
  <c r="AO84" i="275"/>
  <c r="AO69" i="275"/>
  <c r="AO76" i="275"/>
  <c r="AO77" i="275" s="1"/>
  <c r="AM58" i="279"/>
  <c r="AM60" i="279" s="1"/>
  <c r="AM62" i="279" s="1"/>
  <c r="AQ65" i="279"/>
  <c r="AO70" i="279"/>
  <c r="AM57" i="284"/>
  <c r="AM59" i="284" s="1"/>
  <c r="AM62" i="284" s="1"/>
  <c r="AN70" i="284"/>
  <c r="AO92" i="284"/>
  <c r="AO90" i="284"/>
  <c r="AO94" i="284" s="1"/>
  <c r="AO68" i="284"/>
  <c r="AO93" i="284"/>
  <c r="AO77" i="284"/>
  <c r="AO69" i="284"/>
  <c r="AO91" i="280"/>
  <c r="AO59" i="280"/>
  <c r="AO58" i="280"/>
  <c r="AO73" i="280"/>
  <c r="AV65" i="280"/>
  <c r="AV67" i="280" s="1"/>
  <c r="BI79" i="276"/>
  <c r="BH58" i="292"/>
  <c r="BI58" i="292" s="1"/>
  <c r="BI97" i="292"/>
  <c r="AO62" i="290"/>
  <c r="AP54" i="290"/>
  <c r="AP55" i="289"/>
  <c r="AP57" i="289"/>
  <c r="AP59" i="289" s="1"/>
  <c r="AQ54" i="289"/>
  <c r="BI88" i="278"/>
  <c r="BH57" i="278"/>
  <c r="BI78" i="278"/>
  <c r="AN78" i="277"/>
  <c r="AM57" i="275"/>
  <c r="AM59" i="275" s="1"/>
  <c r="AM62" i="275" s="1"/>
  <c r="BH59" i="279"/>
  <c r="BI59" i="279" s="1"/>
  <c r="BI96" i="279"/>
  <c r="AO67" i="295"/>
  <c r="AP65" i="295"/>
  <c r="AN62" i="295"/>
  <c r="AM57" i="277"/>
  <c r="AM59" i="277" s="1"/>
  <c r="AM62" i="277" s="1"/>
  <c r="AN87" i="293"/>
  <c r="AN97" i="293" s="1"/>
  <c r="AN58" i="293" s="1"/>
  <c r="AY81" i="306"/>
  <c r="AN70" i="276"/>
  <c r="AN57" i="276" s="1"/>
  <c r="AN95" i="275"/>
  <c r="AN58" i="275" s="1"/>
  <c r="AP54" i="284"/>
  <c r="AP75" i="284" s="1"/>
  <c r="AP54" i="277"/>
  <c r="AN78" i="275"/>
  <c r="AP54" i="276"/>
  <c r="AN90" i="276"/>
  <c r="AN98" i="276" s="1"/>
  <c r="AN58" i="276" s="1"/>
  <c r="AZ59" i="306"/>
  <c r="AZ62" i="306" s="1"/>
  <c r="AN89" i="277"/>
  <c r="AN58" i="277" s="1"/>
  <c r="AO70" i="295"/>
  <c r="AO59" i="295"/>
  <c r="AP54" i="295"/>
  <c r="AP54" i="275"/>
  <c r="AP54" i="293"/>
  <c r="AO87" i="293"/>
  <c r="AO97" i="293" s="1"/>
  <c r="AN75" i="293"/>
  <c r="AN57" i="293" s="1"/>
  <c r="AO62" i="289"/>
  <c r="AO77" i="279"/>
  <c r="AP54" i="279"/>
  <c r="AP69" i="279" s="1"/>
  <c r="BI57" i="295"/>
  <c r="BA87" i="306"/>
  <c r="BA74" i="306"/>
  <c r="BA93" i="306"/>
  <c r="BA97" i="306" s="1"/>
  <c r="BA98" i="306" s="1"/>
  <c r="BA58" i="306" s="1"/>
  <c r="BA67" i="306"/>
  <c r="BA70" i="306" s="1"/>
  <c r="BA71" i="306" s="1"/>
  <c r="BB65" i="306"/>
  <c r="AZ77" i="306"/>
  <c r="AZ79" i="306" s="1"/>
  <c r="AZ78" i="306"/>
  <c r="BB54" i="306"/>
  <c r="BA57" i="306"/>
  <c r="BA55" i="306"/>
  <c r="AN75" i="280"/>
  <c r="AN57" i="280" s="1"/>
  <c r="AN107" i="280"/>
  <c r="AP54" i="280"/>
  <c r="AP55" i="280" s="1"/>
  <c r="AN62" i="280"/>
  <c r="AQ54" i="282"/>
  <c r="AQ55" i="282" s="1"/>
  <c r="AO75" i="282"/>
  <c r="AO59" i="282" s="1"/>
  <c r="AO62" i="282" s="1"/>
  <c r="AO100" i="293" l="1"/>
  <c r="AN111" i="280"/>
  <c r="AP55" i="276"/>
  <c r="AP93" i="276"/>
  <c r="AP97" i="276" s="1"/>
  <c r="AP69" i="276"/>
  <c r="AP67" i="276"/>
  <c r="AP90" i="276"/>
  <c r="AP68" i="276"/>
  <c r="AP85" i="276"/>
  <c r="BH59" i="292"/>
  <c r="BI59" i="292" s="1"/>
  <c r="C13" i="292" s="1"/>
  <c r="AO96" i="280"/>
  <c r="AO97" i="280"/>
  <c r="AO98" i="280"/>
  <c r="AO94" i="280"/>
  <c r="AP83" i="280"/>
  <c r="AP84" i="280"/>
  <c r="AP85" i="280"/>
  <c r="AP81" i="280"/>
  <c r="AP82" i="280"/>
  <c r="AP89" i="280"/>
  <c r="AQ79" i="280"/>
  <c r="AP90" i="293"/>
  <c r="AP95" i="280"/>
  <c r="BF65" i="293"/>
  <c r="BE67" i="293"/>
  <c r="AP81" i="293"/>
  <c r="AP73" i="293"/>
  <c r="AQ105" i="282"/>
  <c r="AQ106" i="282" s="1"/>
  <c r="AQ89" i="282"/>
  <c r="AQ58" i="282"/>
  <c r="AQ57" i="282"/>
  <c r="AQ70" i="282"/>
  <c r="BA65" i="282"/>
  <c r="AZ73" i="282"/>
  <c r="AZ67" i="282"/>
  <c r="BA79" i="282"/>
  <c r="AZ81" i="282"/>
  <c r="AO70" i="284"/>
  <c r="BH58" i="278"/>
  <c r="BI58" i="278" s="1"/>
  <c r="AO78" i="284"/>
  <c r="AP86" i="277"/>
  <c r="AP72" i="277"/>
  <c r="AP84" i="277"/>
  <c r="AP85" i="277"/>
  <c r="AP67" i="277"/>
  <c r="AP87" i="277"/>
  <c r="AP75" i="277"/>
  <c r="AP77" i="277" s="1"/>
  <c r="AP74" i="277"/>
  <c r="AO88" i="277"/>
  <c r="AO89" i="277" s="1"/>
  <c r="AO58" i="277" s="1"/>
  <c r="AP86" i="275"/>
  <c r="AP90" i="275"/>
  <c r="AP94" i="275" s="1"/>
  <c r="AP69" i="275"/>
  <c r="AP67" i="275"/>
  <c r="AP88" i="275"/>
  <c r="AP76" i="275"/>
  <c r="AP77" i="275" s="1"/>
  <c r="AP85" i="275"/>
  <c r="AP72" i="275"/>
  <c r="AP93" i="275"/>
  <c r="AP92" i="275"/>
  <c r="AP84" i="275"/>
  <c r="AP70" i="279"/>
  <c r="AR65" i="279"/>
  <c r="AN57" i="284"/>
  <c r="AN59" i="284" s="1"/>
  <c r="AN62" i="284" s="1"/>
  <c r="AO95" i="284"/>
  <c r="AO58" i="284" s="1"/>
  <c r="AP90" i="284"/>
  <c r="AP94" i="284" s="1"/>
  <c r="AP77" i="284"/>
  <c r="AP78" i="284" s="1"/>
  <c r="AP69" i="284"/>
  <c r="AP92" i="284"/>
  <c r="AP93" i="284"/>
  <c r="AP68" i="284"/>
  <c r="AW65" i="280"/>
  <c r="AW67" i="280" s="1"/>
  <c r="AP59" i="280"/>
  <c r="AP58" i="280"/>
  <c r="AP91" i="280"/>
  <c r="AP73" i="280"/>
  <c r="AN57" i="277"/>
  <c r="AN59" i="277" s="1"/>
  <c r="AN62" i="277" s="1"/>
  <c r="AP62" i="290"/>
  <c r="AQ54" i="290"/>
  <c r="AQ55" i="289"/>
  <c r="AQ57" i="289"/>
  <c r="AQ59" i="289" s="1"/>
  <c r="AR54" i="289"/>
  <c r="BI57" i="278"/>
  <c r="BH61" i="292"/>
  <c r="BI61" i="292" s="1"/>
  <c r="C16" i="292" s="1"/>
  <c r="D14" i="285" s="1"/>
  <c r="AP67" i="295"/>
  <c r="AQ65" i="295"/>
  <c r="AN57" i="275"/>
  <c r="AN59" i="275" s="1"/>
  <c r="AN62" i="275" s="1"/>
  <c r="AN59" i="276"/>
  <c r="AN62" i="276" s="1"/>
  <c r="AO62" i="295"/>
  <c r="AN58" i="279"/>
  <c r="AN60" i="279" s="1"/>
  <c r="AN62" i="279" s="1"/>
  <c r="AO78" i="277"/>
  <c r="AO75" i="279"/>
  <c r="AO78" i="279" s="1"/>
  <c r="AP62" i="289"/>
  <c r="AO58" i="293"/>
  <c r="AP70" i="295"/>
  <c r="AP59" i="295"/>
  <c r="AP62" i="295" s="1"/>
  <c r="AQ54" i="295"/>
  <c r="AQ54" i="284"/>
  <c r="AQ75" i="284" s="1"/>
  <c r="AQ54" i="275"/>
  <c r="AO70" i="276"/>
  <c r="AO57" i="276" s="1"/>
  <c r="AQ54" i="279"/>
  <c r="AQ69" i="279" s="1"/>
  <c r="AP77" i="279"/>
  <c r="AO75" i="293"/>
  <c r="AO57" i="293" s="1"/>
  <c r="AO95" i="275"/>
  <c r="AO58" i="275" s="1"/>
  <c r="AN59" i="293"/>
  <c r="AN62" i="293" s="1"/>
  <c r="AQ54" i="276"/>
  <c r="AP70" i="276"/>
  <c r="AP57" i="276" s="1"/>
  <c r="AO98" i="276"/>
  <c r="AO58" i="276" s="1"/>
  <c r="AQ54" i="277"/>
  <c r="AQ54" i="293"/>
  <c r="AO87" i="275"/>
  <c r="AO78" i="275"/>
  <c r="BB57" i="306"/>
  <c r="BB55" i="306"/>
  <c r="BC54" i="306"/>
  <c r="AZ81" i="306"/>
  <c r="BA78" i="306"/>
  <c r="BA77" i="306"/>
  <c r="BA79" i="306" s="1"/>
  <c r="BA59" i="306"/>
  <c r="BA62" i="306" s="1"/>
  <c r="BB93" i="306"/>
  <c r="BB97" i="306" s="1"/>
  <c r="BB98" i="306" s="1"/>
  <c r="BB58" i="306" s="1"/>
  <c r="BB87" i="306"/>
  <c r="BB67" i="306"/>
  <c r="BB70" i="306" s="1"/>
  <c r="BB71" i="306" s="1"/>
  <c r="BB74" i="306"/>
  <c r="BC65" i="306"/>
  <c r="AO107" i="280"/>
  <c r="AO75" i="280"/>
  <c r="AO57" i="280" s="1"/>
  <c r="AP75" i="282"/>
  <c r="AP59" i="282" s="1"/>
  <c r="AP62" i="282" s="1"/>
  <c r="AO62" i="280"/>
  <c r="AQ54" i="280"/>
  <c r="AQ55" i="280" s="1"/>
  <c r="AR54" i="282"/>
  <c r="AR55" i="282" s="1"/>
  <c r="AP100" i="293" l="1"/>
  <c r="AO111" i="280"/>
  <c r="AQ55" i="276"/>
  <c r="AQ93" i="276"/>
  <c r="AQ97" i="276" s="1"/>
  <c r="AQ85" i="276"/>
  <c r="AQ68" i="276"/>
  <c r="AQ70" i="276" s="1"/>
  <c r="AQ57" i="276" s="1"/>
  <c r="AQ67" i="276"/>
  <c r="AQ69" i="276"/>
  <c r="B14" i="285"/>
  <c r="C15" i="292"/>
  <c r="E14" i="285" s="1"/>
  <c r="AP96" i="280"/>
  <c r="AP97" i="280"/>
  <c r="AP98" i="280"/>
  <c r="AP94" i="280"/>
  <c r="AQ82" i="280"/>
  <c r="AQ83" i="280"/>
  <c r="AQ84" i="280"/>
  <c r="AQ85" i="280"/>
  <c r="AQ81" i="280"/>
  <c r="AQ89" i="280"/>
  <c r="AR79" i="280"/>
  <c r="AQ95" i="280"/>
  <c r="AQ90" i="293"/>
  <c r="AQ81" i="293"/>
  <c r="AQ73" i="293"/>
  <c r="BG65" i="293"/>
  <c r="BF67" i="293"/>
  <c r="BH59" i="278"/>
  <c r="BH62" i="278" s="1"/>
  <c r="BI62" i="278" s="1"/>
  <c r="C16" i="278" s="1"/>
  <c r="D19" i="285" s="1"/>
  <c r="AR105" i="282"/>
  <c r="AR106" i="282" s="1"/>
  <c r="AR58" i="282"/>
  <c r="AR70" i="282"/>
  <c r="AR89" i="282"/>
  <c r="AR57" i="282"/>
  <c r="BB65" i="282"/>
  <c r="BA73" i="282"/>
  <c r="BA67" i="282"/>
  <c r="BB79" i="282"/>
  <c r="BA81" i="282"/>
  <c r="AO57" i="284"/>
  <c r="AO59" i="284" s="1"/>
  <c r="AO62" i="284" s="1"/>
  <c r="AP88" i="277"/>
  <c r="AP89" i="277" s="1"/>
  <c r="AP58" i="277" s="1"/>
  <c r="AQ85" i="277"/>
  <c r="AQ86" i="277"/>
  <c r="AQ87" i="277"/>
  <c r="AQ84" i="277"/>
  <c r="AQ74" i="277"/>
  <c r="AQ72" i="277"/>
  <c r="AQ67" i="277"/>
  <c r="AQ75" i="277"/>
  <c r="AQ77" i="277" s="1"/>
  <c r="AQ93" i="275"/>
  <c r="AQ90" i="275"/>
  <c r="AQ94" i="275" s="1"/>
  <c r="AQ92" i="275"/>
  <c r="AQ84" i="275"/>
  <c r="AQ69" i="275"/>
  <c r="AQ88" i="275"/>
  <c r="AQ76" i="275"/>
  <c r="AQ77" i="275" s="1"/>
  <c r="AQ85" i="275"/>
  <c r="AQ72" i="275"/>
  <c r="AQ67" i="275"/>
  <c r="AQ86" i="275"/>
  <c r="AQ77" i="279"/>
  <c r="AQ70" i="279"/>
  <c r="AS65" i="279"/>
  <c r="AP70" i="284"/>
  <c r="AP57" i="284" s="1"/>
  <c r="AP95" i="284"/>
  <c r="AP58" i="284" s="1"/>
  <c r="AQ92" i="284"/>
  <c r="AQ90" i="284"/>
  <c r="AQ94" i="284" s="1"/>
  <c r="AQ77" i="284"/>
  <c r="AQ78" i="284" s="1"/>
  <c r="AQ68" i="284"/>
  <c r="AQ69" i="284"/>
  <c r="AQ93" i="284"/>
  <c r="AQ91" i="280"/>
  <c r="AQ59" i="280"/>
  <c r="AQ58" i="280"/>
  <c r="AQ73" i="280"/>
  <c r="AX65" i="280"/>
  <c r="AX67" i="280" s="1"/>
  <c r="AQ62" i="290"/>
  <c r="AR54" i="290"/>
  <c r="AR57" i="289"/>
  <c r="AR59" i="289" s="1"/>
  <c r="AR55" i="289"/>
  <c r="AS54" i="289"/>
  <c r="AP98" i="276"/>
  <c r="AP58" i="276" s="1"/>
  <c r="AP59" i="276" s="1"/>
  <c r="AP62" i="276" s="1"/>
  <c r="AQ67" i="295"/>
  <c r="AR65" i="295"/>
  <c r="AO58" i="279"/>
  <c r="AO60" i="279" s="1"/>
  <c r="AO62" i="279" s="1"/>
  <c r="AO57" i="277"/>
  <c r="AO59" i="277" s="1"/>
  <c r="AO62" i="277" s="1"/>
  <c r="AP75" i="293"/>
  <c r="AP57" i="293" s="1"/>
  <c r="AP87" i="275"/>
  <c r="AO59" i="276"/>
  <c r="AO62" i="276" s="1"/>
  <c r="AP75" i="280"/>
  <c r="AP57" i="280" s="1"/>
  <c r="AO59" i="293"/>
  <c r="AO62" i="293" s="1"/>
  <c r="AP78" i="275"/>
  <c r="AP57" i="275" s="1"/>
  <c r="AR54" i="279"/>
  <c r="AR69" i="279" s="1"/>
  <c r="AQ75" i="279"/>
  <c r="AP75" i="279"/>
  <c r="AP78" i="279" s="1"/>
  <c r="AP58" i="279" s="1"/>
  <c r="AP60" i="279" s="1"/>
  <c r="AP62" i="279" s="1"/>
  <c r="AQ62" i="289"/>
  <c r="AR54" i="293"/>
  <c r="AR54" i="277"/>
  <c r="AO57" i="275"/>
  <c r="AO59" i="275" s="1"/>
  <c r="AO62" i="275" s="1"/>
  <c r="AR54" i="276"/>
  <c r="AP95" i="275"/>
  <c r="AP58" i="275" s="1"/>
  <c r="AQ70" i="295"/>
  <c r="AQ59" i="295"/>
  <c r="AR54" i="295"/>
  <c r="AP87" i="293"/>
  <c r="AP97" i="293" s="1"/>
  <c r="AP58" i="293" s="1"/>
  <c r="AP78" i="277"/>
  <c r="AR54" i="275"/>
  <c r="AQ87" i="275"/>
  <c r="AR54" i="284"/>
  <c r="AR75" i="284" s="1"/>
  <c r="BB78" i="306"/>
  <c r="BB77" i="306"/>
  <c r="BB79" i="306" s="1"/>
  <c r="BD54" i="306"/>
  <c r="BC57" i="306"/>
  <c r="BC55" i="306"/>
  <c r="BA81" i="306"/>
  <c r="BC93" i="306"/>
  <c r="BC97" i="306" s="1"/>
  <c r="BC98" i="306" s="1"/>
  <c r="BC58" i="306" s="1"/>
  <c r="BC67" i="306"/>
  <c r="BC70" i="306" s="1"/>
  <c r="BC71" i="306" s="1"/>
  <c r="BC74" i="306"/>
  <c r="BC87" i="306"/>
  <c r="BD65" i="306"/>
  <c r="BB59" i="306"/>
  <c r="BB62" i="306" s="1"/>
  <c r="AP107" i="280"/>
  <c r="AP62" i="280"/>
  <c r="AR54" i="280"/>
  <c r="AR55" i="280" s="1"/>
  <c r="AS54" i="282"/>
  <c r="AS55" i="282" s="1"/>
  <c r="AQ75" i="282"/>
  <c r="AQ100" i="293" l="1"/>
  <c r="AP111" i="280"/>
  <c r="AR55" i="276"/>
  <c r="AR93" i="276"/>
  <c r="AR97" i="276" s="1"/>
  <c r="AR68" i="276"/>
  <c r="AR85" i="276"/>
  <c r="AR67" i="276"/>
  <c r="AR69" i="276"/>
  <c r="K14" i="285"/>
  <c r="I14" i="285"/>
  <c r="H14" i="285"/>
  <c r="J14" i="285"/>
  <c r="BI59" i="278"/>
  <c r="C13" i="278" s="1"/>
  <c r="B19" i="285" s="1"/>
  <c r="AQ98" i="280"/>
  <c r="AQ97" i="280"/>
  <c r="AQ96" i="280"/>
  <c r="AQ94" i="280"/>
  <c r="AR81" i="280"/>
  <c r="AR85" i="280"/>
  <c r="AR82" i="280"/>
  <c r="AR83" i="280"/>
  <c r="AR84" i="280"/>
  <c r="AR89" i="280"/>
  <c r="AS79" i="280"/>
  <c r="AR95" i="280"/>
  <c r="AR90" i="293"/>
  <c r="BH65" i="293"/>
  <c r="BG67" i="293"/>
  <c r="AR73" i="293"/>
  <c r="AR81" i="293"/>
  <c r="BC65" i="282"/>
  <c r="BB73" i="282"/>
  <c r="BB67" i="282"/>
  <c r="AS105" i="282"/>
  <c r="AS106" i="282" s="1"/>
  <c r="AS57" i="282"/>
  <c r="AS70" i="282"/>
  <c r="AS89" i="282"/>
  <c r="AS58" i="282"/>
  <c r="BC79" i="282"/>
  <c r="BB81" i="282"/>
  <c r="AQ78" i="279"/>
  <c r="AP59" i="284"/>
  <c r="AP62" i="284" s="1"/>
  <c r="AR84" i="277"/>
  <c r="AR72" i="277"/>
  <c r="AR74" i="277"/>
  <c r="AR67" i="277"/>
  <c r="AR85" i="277"/>
  <c r="AR86" i="277"/>
  <c r="AR87" i="277"/>
  <c r="AR88" i="277" s="1"/>
  <c r="AR75" i="277"/>
  <c r="AR77" i="277" s="1"/>
  <c r="AQ88" i="277"/>
  <c r="AQ89" i="277" s="1"/>
  <c r="AQ58" i="277" s="1"/>
  <c r="AR88" i="275"/>
  <c r="AR85" i="275"/>
  <c r="AR93" i="275"/>
  <c r="AR76" i="275"/>
  <c r="AR77" i="275" s="1"/>
  <c r="AR92" i="275"/>
  <c r="AR90" i="275"/>
  <c r="AR94" i="275" s="1"/>
  <c r="AR86" i="275"/>
  <c r="AR84" i="275"/>
  <c r="AR69" i="275"/>
  <c r="AR67" i="275"/>
  <c r="AR72" i="275"/>
  <c r="AR70" i="279"/>
  <c r="AR77" i="279"/>
  <c r="AT65" i="279"/>
  <c r="AQ70" i="284"/>
  <c r="AQ57" i="284" s="1"/>
  <c r="AQ95" i="284"/>
  <c r="AQ58" i="284" s="1"/>
  <c r="AR93" i="284"/>
  <c r="AR92" i="284"/>
  <c r="AR90" i="284"/>
  <c r="AR94" i="284" s="1"/>
  <c r="AR77" i="284"/>
  <c r="AR78" i="284" s="1"/>
  <c r="AR68" i="284"/>
  <c r="AR69" i="284"/>
  <c r="AY65" i="280"/>
  <c r="AY67" i="280" s="1"/>
  <c r="AR58" i="280"/>
  <c r="AR91" i="280"/>
  <c r="AR59" i="280"/>
  <c r="AR73" i="280"/>
  <c r="AR62" i="290"/>
  <c r="AS54" i="290"/>
  <c r="AS57" i="289"/>
  <c r="AS59" i="289" s="1"/>
  <c r="AS55" i="289"/>
  <c r="AT54" i="289"/>
  <c r="AP57" i="277"/>
  <c r="AP59" i="277" s="1"/>
  <c r="AP62" i="277" s="1"/>
  <c r="AR67" i="295"/>
  <c r="AS65" i="295"/>
  <c r="AP59" i="293"/>
  <c r="AP62" i="293" s="1"/>
  <c r="AQ75" i="293"/>
  <c r="AQ57" i="293" s="1"/>
  <c r="AQ95" i="275"/>
  <c r="AQ58" i="275" s="1"/>
  <c r="AQ87" i="293"/>
  <c r="AQ97" i="293" s="1"/>
  <c r="AQ58" i="293" s="1"/>
  <c r="AP59" i="275"/>
  <c r="AP62" i="275" s="1"/>
  <c r="AS54" i="284"/>
  <c r="AS75" i="284" s="1"/>
  <c r="AS54" i="275"/>
  <c r="AS54" i="277"/>
  <c r="BB81" i="306"/>
  <c r="AQ78" i="275"/>
  <c r="AQ62" i="295"/>
  <c r="AS54" i="293"/>
  <c r="AR62" i="289"/>
  <c r="AS54" i="279"/>
  <c r="AS69" i="279" s="1"/>
  <c r="AR75" i="279"/>
  <c r="AQ78" i="277"/>
  <c r="AR70" i="295"/>
  <c r="AS54" i="295"/>
  <c r="AR59" i="295"/>
  <c r="AS54" i="276"/>
  <c r="AQ90" i="276"/>
  <c r="AQ98" i="276" s="1"/>
  <c r="AQ58" i="276" s="1"/>
  <c r="AQ59" i="276" s="1"/>
  <c r="AQ62" i="276" s="1"/>
  <c r="BD87" i="306"/>
  <c r="BD93" i="306"/>
  <c r="BD97" i="306" s="1"/>
  <c r="BD98" i="306" s="1"/>
  <c r="BD58" i="306" s="1"/>
  <c r="BD74" i="306"/>
  <c r="BE65" i="306"/>
  <c r="BD67" i="306"/>
  <c r="BD70" i="306" s="1"/>
  <c r="BD71" i="306" s="1"/>
  <c r="BC77" i="306"/>
  <c r="BC79" i="306" s="1"/>
  <c r="BC78" i="306"/>
  <c r="BC59" i="306"/>
  <c r="BC62" i="306" s="1"/>
  <c r="BE54" i="306"/>
  <c r="BD57" i="306"/>
  <c r="BD55" i="306"/>
  <c r="AQ75" i="280"/>
  <c r="AQ57" i="280" s="1"/>
  <c r="AQ107" i="280"/>
  <c r="AQ62" i="280"/>
  <c r="AS54" i="280"/>
  <c r="AS55" i="280" s="1"/>
  <c r="AQ59" i="282"/>
  <c r="AQ62" i="282" s="1"/>
  <c r="AT54" i="282"/>
  <c r="AT55" i="282" s="1"/>
  <c r="AR75" i="282"/>
  <c r="AR59" i="282" s="1"/>
  <c r="AR62" i="282" s="1"/>
  <c r="AR100" i="293" l="1"/>
  <c r="AQ111" i="280"/>
  <c r="AS55" i="276"/>
  <c r="AS93" i="276"/>
  <c r="AS97" i="276" s="1"/>
  <c r="AS90" i="276"/>
  <c r="AS69" i="276"/>
  <c r="AS70" i="276" s="1"/>
  <c r="AS57" i="276" s="1"/>
  <c r="AS85" i="276"/>
  <c r="AS68" i="276"/>
  <c r="AS67" i="276"/>
  <c r="C15" i="278"/>
  <c r="AR96" i="280"/>
  <c r="AR98" i="280"/>
  <c r="AR97" i="280"/>
  <c r="AR94" i="280"/>
  <c r="AS84" i="280"/>
  <c r="AS85" i="280"/>
  <c r="AS81" i="280"/>
  <c r="AS82" i="280"/>
  <c r="AS83" i="280"/>
  <c r="AS89" i="280"/>
  <c r="AT79" i="280"/>
  <c r="AS95" i="280"/>
  <c r="AS90" i="293"/>
  <c r="AS73" i="293"/>
  <c r="AS81" i="293"/>
  <c r="BH67" i="293"/>
  <c r="BD79" i="282"/>
  <c r="BC81" i="282"/>
  <c r="AT105" i="282"/>
  <c r="AT106" i="282" s="1"/>
  <c r="AT89" i="282"/>
  <c r="AT57" i="282"/>
  <c r="AT70" i="282"/>
  <c r="AT58" i="282"/>
  <c r="BD65" i="282"/>
  <c r="BC67" i="282"/>
  <c r="BC73" i="282"/>
  <c r="AR95" i="275"/>
  <c r="AR58" i="275" s="1"/>
  <c r="AQ59" i="284"/>
  <c r="AQ62" i="284" s="1"/>
  <c r="AR78" i="279"/>
  <c r="AR70" i="284"/>
  <c r="AR57" i="284" s="1"/>
  <c r="AS87" i="277"/>
  <c r="AS74" i="277"/>
  <c r="AS75" i="277"/>
  <c r="AS77" i="277" s="1"/>
  <c r="AS72" i="277"/>
  <c r="AS84" i="277"/>
  <c r="AS85" i="277"/>
  <c r="AS67" i="277"/>
  <c r="AS86" i="277"/>
  <c r="AQ57" i="277"/>
  <c r="AQ59" i="277" s="1"/>
  <c r="AQ62" i="277" s="1"/>
  <c r="AS92" i="275"/>
  <c r="AS86" i="275"/>
  <c r="AS85" i="275"/>
  <c r="AS72" i="275"/>
  <c r="AS93" i="275"/>
  <c r="AS67" i="275"/>
  <c r="AS84" i="275"/>
  <c r="AS88" i="275"/>
  <c r="AS76" i="275"/>
  <c r="AS77" i="275" s="1"/>
  <c r="AS69" i="275"/>
  <c r="AS90" i="275"/>
  <c r="AS94" i="275" s="1"/>
  <c r="AU65" i="279"/>
  <c r="AS77" i="279"/>
  <c r="AS70" i="279"/>
  <c r="AR95" i="284"/>
  <c r="AR58" i="284" s="1"/>
  <c r="AS92" i="284"/>
  <c r="AS93" i="284"/>
  <c r="AS77" i="284"/>
  <c r="AS78" i="284" s="1"/>
  <c r="AS69" i="284"/>
  <c r="AS68" i="284"/>
  <c r="AS90" i="284"/>
  <c r="AS94" i="284" s="1"/>
  <c r="AS91" i="280"/>
  <c r="AS73" i="280"/>
  <c r="AS58" i="280"/>
  <c r="AS59" i="280"/>
  <c r="AZ65" i="280"/>
  <c r="AZ67" i="280" s="1"/>
  <c r="AS62" i="290"/>
  <c r="AT54" i="290"/>
  <c r="AT55" i="289"/>
  <c r="AT57" i="289"/>
  <c r="AT59" i="289" s="1"/>
  <c r="AU54" i="289"/>
  <c r="AS67" i="295"/>
  <c r="AT65" i="295"/>
  <c r="AQ59" i="293"/>
  <c r="AQ62" i="293" s="1"/>
  <c r="AQ58" i="279"/>
  <c r="AQ60" i="279" s="1"/>
  <c r="AQ62" i="279" s="1"/>
  <c r="AR75" i="293"/>
  <c r="AR57" i="293" s="1"/>
  <c r="AR90" i="276"/>
  <c r="AR98" i="276" s="1"/>
  <c r="AR58" i="276" s="1"/>
  <c r="AR62" i="295"/>
  <c r="AR87" i="293"/>
  <c r="AR97" i="293" s="1"/>
  <c r="AR58" i="293" s="1"/>
  <c r="AR78" i="275"/>
  <c r="AQ57" i="275"/>
  <c r="AQ59" i="275" s="1"/>
  <c r="AQ62" i="275" s="1"/>
  <c r="AT54" i="276"/>
  <c r="AT54" i="279"/>
  <c r="AT69" i="279" s="1"/>
  <c r="AS75" i="279"/>
  <c r="AR78" i="277"/>
  <c r="AR57" i="277" s="1"/>
  <c r="AR87" i="275"/>
  <c r="AR89" i="277"/>
  <c r="AR58" i="277" s="1"/>
  <c r="AS87" i="275"/>
  <c r="AT54" i="275"/>
  <c r="AS70" i="295"/>
  <c r="AT54" i="295"/>
  <c r="AS59" i="295"/>
  <c r="AS62" i="289"/>
  <c r="AT54" i="293"/>
  <c r="AR70" i="276"/>
  <c r="AR57" i="276" s="1"/>
  <c r="AT54" i="277"/>
  <c r="AT54" i="284"/>
  <c r="AT75" i="284" s="1"/>
  <c r="BD59" i="306"/>
  <c r="BD62" i="306" s="1"/>
  <c r="BD77" i="306"/>
  <c r="BD79" i="306" s="1"/>
  <c r="BD78" i="306"/>
  <c r="BC81" i="306"/>
  <c r="BE87" i="306"/>
  <c r="BE74" i="306"/>
  <c r="BE67" i="306"/>
  <c r="BE70" i="306" s="1"/>
  <c r="BE71" i="306" s="1"/>
  <c r="BF65" i="306"/>
  <c r="BE93" i="306"/>
  <c r="BE97" i="306" s="1"/>
  <c r="BE98" i="306" s="1"/>
  <c r="BE58" i="306" s="1"/>
  <c r="BF54" i="306"/>
  <c r="BE57" i="306"/>
  <c r="BE55" i="306"/>
  <c r="AR75" i="280"/>
  <c r="AR57" i="280" s="1"/>
  <c r="AR107" i="280"/>
  <c r="AR62" i="280"/>
  <c r="AT54" i="280"/>
  <c r="AT55" i="280" s="1"/>
  <c r="AS75" i="282"/>
  <c r="AS59" i="282" s="1"/>
  <c r="AS62" i="282" s="1"/>
  <c r="AU54" i="282"/>
  <c r="AU55" i="282" s="1"/>
  <c r="E19" i="285" l="1"/>
  <c r="J19" i="285" s="1"/>
  <c r="AS100" i="293"/>
  <c r="AR111" i="280"/>
  <c r="AT55" i="276"/>
  <c r="AT93" i="276"/>
  <c r="AT97" i="276" s="1"/>
  <c r="AT69" i="276"/>
  <c r="AT67" i="276"/>
  <c r="AT85" i="276"/>
  <c r="AT68" i="276"/>
  <c r="I19" i="285"/>
  <c r="H19" i="285"/>
  <c r="K19" i="285"/>
  <c r="AS96" i="280"/>
  <c r="AS97" i="280"/>
  <c r="AS98" i="280"/>
  <c r="AS94" i="280"/>
  <c r="AT83" i="280"/>
  <c r="AT81" i="280"/>
  <c r="AT82" i="280"/>
  <c r="AT84" i="280"/>
  <c r="AT85" i="280"/>
  <c r="AT89" i="280"/>
  <c r="AU79" i="280"/>
  <c r="D20" i="293"/>
  <c r="D21" i="293"/>
  <c r="AT81" i="293"/>
  <c r="AT73" i="293"/>
  <c r="AU105" i="282"/>
  <c r="AU106" i="282" s="1"/>
  <c r="AU58" i="282"/>
  <c r="AU57" i="282"/>
  <c r="AU89" i="282"/>
  <c r="AU70" i="282"/>
  <c r="BE65" i="282"/>
  <c r="BD73" i="282"/>
  <c r="BD67" i="282"/>
  <c r="BE79" i="282"/>
  <c r="BD81" i="282"/>
  <c r="AR59" i="284"/>
  <c r="AR62" i="284" s="1"/>
  <c r="AS78" i="279"/>
  <c r="AS88" i="277"/>
  <c r="AT86" i="277"/>
  <c r="AT72" i="277"/>
  <c r="AT84" i="277"/>
  <c r="AT85" i="277"/>
  <c r="AT67" i="277"/>
  <c r="AT74" i="277"/>
  <c r="AT75" i="277"/>
  <c r="AT77" i="277" s="1"/>
  <c r="AT87" i="277"/>
  <c r="AT86" i="275"/>
  <c r="AT88" i="275"/>
  <c r="AT69" i="275"/>
  <c r="AT67" i="275"/>
  <c r="AT90" i="275"/>
  <c r="AT94" i="275" s="1"/>
  <c r="AT72" i="275"/>
  <c r="AT84" i="275"/>
  <c r="AT93" i="275"/>
  <c r="AT92" i="275"/>
  <c r="AT85" i="275"/>
  <c r="AT76" i="275"/>
  <c r="AT77" i="275" s="1"/>
  <c r="AV65" i="279"/>
  <c r="AT70" i="279"/>
  <c r="AS70" i="284"/>
  <c r="AS57" i="284" s="1"/>
  <c r="AS95" i="284"/>
  <c r="AS58" i="284" s="1"/>
  <c r="AT90" i="284"/>
  <c r="AT94" i="284" s="1"/>
  <c r="AT77" i="284"/>
  <c r="AT69" i="284"/>
  <c r="AT93" i="284"/>
  <c r="AT68" i="284"/>
  <c r="AT92" i="284"/>
  <c r="AT59" i="280"/>
  <c r="AT58" i="280"/>
  <c r="AT91" i="280"/>
  <c r="AT73" i="280"/>
  <c r="AT75" i="280" s="1"/>
  <c r="AT57" i="280" s="1"/>
  <c r="BA65" i="280"/>
  <c r="BA67" i="280" s="1"/>
  <c r="AT62" i="290"/>
  <c r="AU54" i="290"/>
  <c r="AU55" i="289"/>
  <c r="AU57" i="289"/>
  <c r="AU59" i="289" s="1"/>
  <c r="AV54" i="289"/>
  <c r="AS98" i="276"/>
  <c r="AS58" i="276" s="1"/>
  <c r="AS59" i="276" s="1"/>
  <c r="AS62" i="276" s="1"/>
  <c r="AS95" i="275"/>
  <c r="AS58" i="275" s="1"/>
  <c r="AT67" i="295"/>
  <c r="AU65" i="295"/>
  <c r="AR58" i="279"/>
  <c r="AR60" i="279" s="1"/>
  <c r="AR62" i="279" s="1"/>
  <c r="AR59" i="293"/>
  <c r="AR62" i="293" s="1"/>
  <c r="AR57" i="275"/>
  <c r="AR59" i="275" s="1"/>
  <c r="AR62" i="275" s="1"/>
  <c r="AR59" i="276"/>
  <c r="AR62" i="276" s="1"/>
  <c r="AS78" i="277"/>
  <c r="AS57" i="277" s="1"/>
  <c r="AS75" i="293"/>
  <c r="AS57" i="293" s="1"/>
  <c r="AS89" i="277"/>
  <c r="AS58" i="277" s="1"/>
  <c r="AS62" i="295"/>
  <c r="AT70" i="295"/>
  <c r="AU54" i="295"/>
  <c r="AT59" i="295"/>
  <c r="AT62" i="295" s="1"/>
  <c r="AU54" i="276"/>
  <c r="AU54" i="293"/>
  <c r="AU54" i="277"/>
  <c r="AS87" i="293"/>
  <c r="AS97" i="293" s="1"/>
  <c r="AS58" i="293" s="1"/>
  <c r="AT62" i="289"/>
  <c r="AS78" i="275"/>
  <c r="AT77" i="279"/>
  <c r="AU54" i="279"/>
  <c r="AU69" i="279" s="1"/>
  <c r="AU54" i="284"/>
  <c r="AU75" i="284" s="1"/>
  <c r="AR59" i="277"/>
  <c r="AR62" i="277" s="1"/>
  <c r="AU54" i="275"/>
  <c r="BD81" i="306"/>
  <c r="BF93" i="306"/>
  <c r="BF97" i="306" s="1"/>
  <c r="BF98" i="306" s="1"/>
  <c r="BF58" i="306" s="1"/>
  <c r="BF87" i="306"/>
  <c r="BF74" i="306"/>
  <c r="BG65" i="306"/>
  <c r="BF67" i="306"/>
  <c r="BF70" i="306" s="1"/>
  <c r="BF71" i="306" s="1"/>
  <c r="BE59" i="306"/>
  <c r="BE62" i="306" s="1"/>
  <c r="BF57" i="306"/>
  <c r="BF55" i="306"/>
  <c r="BG54" i="306"/>
  <c r="BE78" i="306"/>
  <c r="BE77" i="306"/>
  <c r="BE79" i="306" s="1"/>
  <c r="BE81" i="306" s="1"/>
  <c r="AS75" i="280"/>
  <c r="AS57" i="280" s="1"/>
  <c r="AS107" i="280"/>
  <c r="AS62" i="280"/>
  <c r="AU54" i="280"/>
  <c r="AU55" i="280" s="1"/>
  <c r="AT75" i="282"/>
  <c r="AT59" i="282" s="1"/>
  <c r="AT62" i="282" s="1"/>
  <c r="AV54" i="282"/>
  <c r="AV55" i="282" s="1"/>
  <c r="AS111" i="280" l="1"/>
  <c r="AU55" i="276"/>
  <c r="AU93" i="276"/>
  <c r="AU97" i="276" s="1"/>
  <c r="AU85" i="276"/>
  <c r="AU68" i="276"/>
  <c r="AU67" i="276"/>
  <c r="AU69" i="276"/>
  <c r="AU82" i="280"/>
  <c r="AU83" i="280"/>
  <c r="AU84" i="280"/>
  <c r="AU85" i="280"/>
  <c r="AU81" i="280"/>
  <c r="AU89" i="280"/>
  <c r="AV79" i="280"/>
  <c r="AU81" i="293"/>
  <c r="AU73" i="293"/>
  <c r="BF65" i="282"/>
  <c r="BE73" i="282"/>
  <c r="BE67" i="282"/>
  <c r="BF79" i="282"/>
  <c r="BE81" i="282"/>
  <c r="AV105" i="282"/>
  <c r="AV106" i="282" s="1"/>
  <c r="AV58" i="282"/>
  <c r="AV70" i="282"/>
  <c r="AV89" i="282"/>
  <c r="AV57" i="282"/>
  <c r="AS59" i="284"/>
  <c r="AS62" i="284" s="1"/>
  <c r="AT78" i="284"/>
  <c r="AT88" i="277"/>
  <c r="AT89" i="277" s="1"/>
  <c r="AT58" i="277" s="1"/>
  <c r="AU85" i="277"/>
  <c r="AU84" i="277"/>
  <c r="AU86" i="277"/>
  <c r="AU87" i="277"/>
  <c r="AU67" i="277"/>
  <c r="AU74" i="277"/>
  <c r="AU75" i="277"/>
  <c r="AU77" i="277" s="1"/>
  <c r="AU72" i="277"/>
  <c r="AU93" i="275"/>
  <c r="AU90" i="275"/>
  <c r="AU94" i="275" s="1"/>
  <c r="AU84" i="275"/>
  <c r="AU92" i="275"/>
  <c r="AU85" i="275"/>
  <c r="AU76" i="275"/>
  <c r="AU77" i="275" s="1"/>
  <c r="AU86" i="275"/>
  <c r="AU72" i="275"/>
  <c r="AU67" i="275"/>
  <c r="AU88" i="275"/>
  <c r="AU69" i="275"/>
  <c r="AU70" i="279"/>
  <c r="AU77" i="279"/>
  <c r="AW65" i="279"/>
  <c r="AT70" i="284"/>
  <c r="AT95" i="284"/>
  <c r="AT58" i="284" s="1"/>
  <c r="AU77" i="284"/>
  <c r="AU78" i="284" s="1"/>
  <c r="AU93" i="284"/>
  <c r="AU92" i="284"/>
  <c r="AU90" i="284"/>
  <c r="AU94" i="284" s="1"/>
  <c r="AU69" i="284"/>
  <c r="AU68" i="284"/>
  <c r="BB65" i="280"/>
  <c r="BB67" i="280" s="1"/>
  <c r="AU59" i="280"/>
  <c r="AU58" i="280"/>
  <c r="AU91" i="280"/>
  <c r="AU73" i="280"/>
  <c r="AU62" i="290"/>
  <c r="AV54" i="290"/>
  <c r="AV55" i="289"/>
  <c r="AV57" i="289"/>
  <c r="AV59" i="289" s="1"/>
  <c r="AW54" i="289"/>
  <c r="AS57" i="275"/>
  <c r="AS59" i="275" s="1"/>
  <c r="AS62" i="275" s="1"/>
  <c r="AU67" i="295"/>
  <c r="AV65" i="295"/>
  <c r="AS59" i="293"/>
  <c r="AS62" i="293" s="1"/>
  <c r="AS59" i="277"/>
  <c r="AS62" i="277" s="1"/>
  <c r="AT90" i="276"/>
  <c r="AT98" i="276" s="1"/>
  <c r="AT58" i="276" s="1"/>
  <c r="AT87" i="293"/>
  <c r="AT97" i="293" s="1"/>
  <c r="AT58" i="293" s="1"/>
  <c r="AT70" i="276"/>
  <c r="AT57" i="276" s="1"/>
  <c r="AT78" i="275"/>
  <c r="AT57" i="275" s="1"/>
  <c r="AT95" i="275"/>
  <c r="AT58" i="275" s="1"/>
  <c r="AV54" i="275"/>
  <c r="AV54" i="293"/>
  <c r="AU70" i="295"/>
  <c r="AV54" i="295"/>
  <c r="AU59" i="295"/>
  <c r="AU62" i="295" s="1"/>
  <c r="AV54" i="284"/>
  <c r="AV75" i="284" s="1"/>
  <c r="AU62" i="289"/>
  <c r="AT78" i="277"/>
  <c r="AV54" i="277"/>
  <c r="AT75" i="293"/>
  <c r="AT57" i="293" s="1"/>
  <c r="AU75" i="279"/>
  <c r="AV54" i="279"/>
  <c r="AV69" i="279" s="1"/>
  <c r="AT75" i="279"/>
  <c r="AT78" i="279" s="1"/>
  <c r="AT87" i="275"/>
  <c r="AS58" i="279"/>
  <c r="AS60" i="279" s="1"/>
  <c r="AS62" i="279" s="1"/>
  <c r="AV54" i="276"/>
  <c r="BF59" i="306"/>
  <c r="BF62" i="306" s="1"/>
  <c r="BG93" i="306"/>
  <c r="BG97" i="306" s="1"/>
  <c r="BG98" i="306" s="1"/>
  <c r="BG58" i="306" s="1"/>
  <c r="BG87" i="306"/>
  <c r="BG74" i="306"/>
  <c r="BG67" i="306"/>
  <c r="BG70" i="306" s="1"/>
  <c r="BG71" i="306" s="1"/>
  <c r="BH65" i="306"/>
  <c r="BF78" i="306"/>
  <c r="BF77" i="306"/>
  <c r="BF79" i="306" s="1"/>
  <c r="BH54" i="306"/>
  <c r="BG57" i="306"/>
  <c r="BG55" i="306"/>
  <c r="AT107" i="280"/>
  <c r="AV54" i="280"/>
  <c r="AV55" i="280" s="1"/>
  <c r="AT62" i="280"/>
  <c r="AW54" i="282"/>
  <c r="AW55" i="282" s="1"/>
  <c r="AU75" i="282"/>
  <c r="AU59" i="282" s="1"/>
  <c r="AU62" i="282" s="1"/>
  <c r="AV55" i="276" l="1"/>
  <c r="AV93" i="276"/>
  <c r="AV97" i="276" s="1"/>
  <c r="AV68" i="276"/>
  <c r="AV85" i="276"/>
  <c r="AV67" i="276"/>
  <c r="AV69" i="276"/>
  <c r="AV81" i="280"/>
  <c r="AV85" i="280"/>
  <c r="AV82" i="280"/>
  <c r="AV83" i="280"/>
  <c r="AV84" i="280"/>
  <c r="AV89" i="280"/>
  <c r="AW79" i="280"/>
  <c r="AV73" i="293"/>
  <c r="AV81" i="293"/>
  <c r="BG79" i="282"/>
  <c r="BF81" i="282"/>
  <c r="AW105" i="282"/>
  <c r="AW106" i="282" s="1"/>
  <c r="AW57" i="282"/>
  <c r="AW58" i="282"/>
  <c r="AW89" i="282"/>
  <c r="AW70" i="282"/>
  <c r="BG65" i="282"/>
  <c r="BF73" i="282"/>
  <c r="BF67" i="282"/>
  <c r="AT57" i="284"/>
  <c r="AT59" i="284" s="1"/>
  <c r="AT62" i="284" s="1"/>
  <c r="AU78" i="279"/>
  <c r="AU70" i="284"/>
  <c r="AU57" i="284" s="1"/>
  <c r="AU88" i="277"/>
  <c r="AU89" i="277" s="1"/>
  <c r="AU58" i="277" s="1"/>
  <c r="AV84" i="277"/>
  <c r="AV85" i="277"/>
  <c r="AV86" i="277"/>
  <c r="AV87" i="277"/>
  <c r="AV67" i="277"/>
  <c r="AV72" i="277"/>
  <c r="AV74" i="277"/>
  <c r="AV75" i="277"/>
  <c r="AV77" i="277" s="1"/>
  <c r="AV88" i="275"/>
  <c r="AV85" i="275"/>
  <c r="AV87" i="275" s="1"/>
  <c r="AV92" i="275"/>
  <c r="AV90" i="275"/>
  <c r="AV94" i="275" s="1"/>
  <c r="AV76" i="275"/>
  <c r="AV77" i="275" s="1"/>
  <c r="AV93" i="275"/>
  <c r="AV69" i="275"/>
  <c r="AV86" i="275"/>
  <c r="AV72" i="275"/>
  <c r="AV67" i="275"/>
  <c r="AV84" i="275"/>
  <c r="AV70" i="279"/>
  <c r="AV77" i="279"/>
  <c r="AX65" i="279"/>
  <c r="AU95" i="284"/>
  <c r="AU58" i="284" s="1"/>
  <c r="AV93" i="284"/>
  <c r="AV92" i="284"/>
  <c r="AV90" i="284"/>
  <c r="AV94" i="284" s="1"/>
  <c r="AV77" i="284"/>
  <c r="AV78" i="284" s="1"/>
  <c r="AV69" i="284"/>
  <c r="AV68" i="284"/>
  <c r="AV58" i="280"/>
  <c r="AV91" i="280"/>
  <c r="AV59" i="280"/>
  <c r="AV73" i="280"/>
  <c r="BC65" i="280"/>
  <c r="BC67" i="280" s="1"/>
  <c r="AV62" i="290"/>
  <c r="AW54" i="290"/>
  <c r="AW57" i="289"/>
  <c r="AW59" i="289" s="1"/>
  <c r="AW55" i="289"/>
  <c r="AX54" i="289"/>
  <c r="AV67" i="295"/>
  <c r="AW65" i="295"/>
  <c r="AU75" i="293"/>
  <c r="AU57" i="293" s="1"/>
  <c r="AT59" i="276"/>
  <c r="AT62" i="276" s="1"/>
  <c r="AU87" i="275"/>
  <c r="AU95" i="275"/>
  <c r="AU58" i="275" s="1"/>
  <c r="AT59" i="275"/>
  <c r="AT62" i="275" s="1"/>
  <c r="AU78" i="275"/>
  <c r="AW54" i="276"/>
  <c r="AV70" i="295"/>
  <c r="AW54" i="295"/>
  <c r="AV59" i="295"/>
  <c r="AU70" i="276"/>
  <c r="AU57" i="276" s="1"/>
  <c r="AT58" i="279"/>
  <c r="AT60" i="279" s="1"/>
  <c r="AT62" i="279" s="1"/>
  <c r="AU78" i="277"/>
  <c r="AW54" i="293"/>
  <c r="AU87" i="293"/>
  <c r="AU97" i="293" s="1"/>
  <c r="AU58" i="293" s="1"/>
  <c r="BG59" i="306"/>
  <c r="BG62" i="306" s="1"/>
  <c r="AW54" i="284"/>
  <c r="AW75" i="284" s="1"/>
  <c r="AW54" i="279"/>
  <c r="AW69" i="279" s="1"/>
  <c r="AW54" i="277"/>
  <c r="AT57" i="277"/>
  <c r="AT59" i="277" s="1"/>
  <c r="AT62" i="277" s="1"/>
  <c r="AU90" i="276"/>
  <c r="AU98" i="276" s="1"/>
  <c r="AU58" i="276" s="1"/>
  <c r="AT59" i="293"/>
  <c r="AT62" i="293" s="1"/>
  <c r="AV62" i="289"/>
  <c r="AW54" i="275"/>
  <c r="BH57" i="306"/>
  <c r="BH55" i="306"/>
  <c r="BI55" i="306" s="1"/>
  <c r="C14" i="306" s="1"/>
  <c r="C15" i="306" s="1"/>
  <c r="BH87" i="306"/>
  <c r="BH93" i="306"/>
  <c r="BH74" i="306"/>
  <c r="BH67" i="306"/>
  <c r="BF81" i="306"/>
  <c r="BG77" i="306"/>
  <c r="BG79" i="306" s="1"/>
  <c r="BG78" i="306"/>
  <c r="AU75" i="280"/>
  <c r="AU57" i="280" s="1"/>
  <c r="AU107" i="280"/>
  <c r="AW54" i="280"/>
  <c r="AW55" i="280" s="1"/>
  <c r="AU62" i="280"/>
  <c r="AV75" i="282"/>
  <c r="AV59" i="282" s="1"/>
  <c r="AV62" i="282" s="1"/>
  <c r="AX54" i="282"/>
  <c r="AX55" i="282" s="1"/>
  <c r="AW55" i="276" l="1"/>
  <c r="AW93" i="276"/>
  <c r="AW97" i="276" s="1"/>
  <c r="AW85" i="276"/>
  <c r="AW68" i="276"/>
  <c r="AW67" i="276"/>
  <c r="AW69" i="276"/>
  <c r="AW84" i="280"/>
  <c r="AW85" i="280"/>
  <c r="AW81" i="280"/>
  <c r="AW82" i="280"/>
  <c r="AW83" i="280"/>
  <c r="AW89" i="280"/>
  <c r="AX79" i="280"/>
  <c r="AW73" i="293"/>
  <c r="AW81" i="293"/>
  <c r="AX105" i="282"/>
  <c r="AX106" i="282" s="1"/>
  <c r="AX89" i="282"/>
  <c r="AX70" i="282"/>
  <c r="AX58" i="282"/>
  <c r="AX57" i="282"/>
  <c r="BH65" i="282"/>
  <c r="BG73" i="282"/>
  <c r="BG67" i="282"/>
  <c r="BH79" i="282"/>
  <c r="BH81" i="282" s="1"/>
  <c r="BG81" i="282"/>
  <c r="AU59" i="284"/>
  <c r="AU62" i="284" s="1"/>
  <c r="AV95" i="284"/>
  <c r="AV58" i="284" s="1"/>
  <c r="AW87" i="277"/>
  <c r="AW74" i="277"/>
  <c r="AW72" i="277"/>
  <c r="AW75" i="277"/>
  <c r="AW84" i="277"/>
  <c r="AW85" i="277"/>
  <c r="AW86" i="277"/>
  <c r="AW67" i="277"/>
  <c r="AV88" i="277"/>
  <c r="AV89" i="277" s="1"/>
  <c r="AV58" i="277" s="1"/>
  <c r="AW92" i="275"/>
  <c r="AW93" i="275"/>
  <c r="AW72" i="275"/>
  <c r="AW88" i="275"/>
  <c r="AW84" i="275"/>
  <c r="AW90" i="275"/>
  <c r="AW94" i="275" s="1"/>
  <c r="AW85" i="275"/>
  <c r="AW76" i="275"/>
  <c r="AW77" i="275" s="1"/>
  <c r="AW69" i="275"/>
  <c r="AW86" i="275"/>
  <c r="AW67" i="275"/>
  <c r="AY65" i="279"/>
  <c r="AW77" i="279"/>
  <c r="AW70" i="279"/>
  <c r="AV70" i="284"/>
  <c r="AV57" i="284" s="1"/>
  <c r="AW92" i="284"/>
  <c r="AW90" i="284"/>
  <c r="AW94" i="284" s="1"/>
  <c r="AW68" i="284"/>
  <c r="AW69" i="284"/>
  <c r="AW77" i="284"/>
  <c r="AW78" i="284" s="1"/>
  <c r="AW93" i="284"/>
  <c r="BD65" i="280"/>
  <c r="BD67" i="280" s="1"/>
  <c r="AW91" i="280"/>
  <c r="AW58" i="280"/>
  <c r="AW73" i="280"/>
  <c r="AW75" i="280" s="1"/>
  <c r="AW57" i="280" s="1"/>
  <c r="AW59" i="280"/>
  <c r="AW62" i="290"/>
  <c r="AX54" i="290"/>
  <c r="AX55" i="289"/>
  <c r="AX57" i="289"/>
  <c r="AX59" i="289" s="1"/>
  <c r="AY54" i="289"/>
  <c r="AW67" i="295"/>
  <c r="AX65" i="295"/>
  <c r="AU59" i="293"/>
  <c r="AU62" i="293" s="1"/>
  <c r="AU58" i="279"/>
  <c r="AU60" i="279" s="1"/>
  <c r="AU62" i="279" s="1"/>
  <c r="AU57" i="275"/>
  <c r="AU59" i="275" s="1"/>
  <c r="AU62" i="275" s="1"/>
  <c r="AV75" i="293"/>
  <c r="AV57" i="293" s="1"/>
  <c r="AV78" i="275"/>
  <c r="AV95" i="275"/>
  <c r="AV58" i="275" s="1"/>
  <c r="AV62" i="295"/>
  <c r="AV90" i="276"/>
  <c r="AV98" i="276" s="1"/>
  <c r="AV58" i="276" s="1"/>
  <c r="AX54" i="279"/>
  <c r="AX69" i="279" s="1"/>
  <c r="AU59" i="276"/>
  <c r="AU62" i="276" s="1"/>
  <c r="AV75" i="280"/>
  <c r="AV57" i="280" s="1"/>
  <c r="AX54" i="284"/>
  <c r="AX75" i="284" s="1"/>
  <c r="AX54" i="293"/>
  <c r="AV75" i="279"/>
  <c r="AV78" i="279" s="1"/>
  <c r="BG81" i="306"/>
  <c r="AV78" i="277"/>
  <c r="AU57" i="277"/>
  <c r="AU59" i="277" s="1"/>
  <c r="AU62" i="277" s="1"/>
  <c r="AW70" i="295"/>
  <c r="AW59" i="295"/>
  <c r="AX54" i="295"/>
  <c r="AV70" i="276"/>
  <c r="AV57" i="276" s="1"/>
  <c r="AX54" i="275"/>
  <c r="AW62" i="289"/>
  <c r="AX54" i="277"/>
  <c r="AW77" i="277"/>
  <c r="AV87" i="293"/>
  <c r="AV97" i="293" s="1"/>
  <c r="AV58" i="293" s="1"/>
  <c r="AX54" i="276"/>
  <c r="BH77" i="306"/>
  <c r="BH79" i="306" s="1"/>
  <c r="BH78" i="306"/>
  <c r="BI78" i="306" s="1"/>
  <c r="BH70" i="306"/>
  <c r="D21" i="306"/>
  <c r="D20" i="306"/>
  <c r="BH97" i="306"/>
  <c r="BH98" i="306" s="1"/>
  <c r="BH58" i="306" s="1"/>
  <c r="BH59" i="306" s="1"/>
  <c r="BH62" i="306" s="1"/>
  <c r="D23" i="306"/>
  <c r="AV107" i="280"/>
  <c r="AV62" i="280"/>
  <c r="AX54" i="280"/>
  <c r="AX55" i="280" s="1"/>
  <c r="AY54" i="282"/>
  <c r="AY55" i="282" s="1"/>
  <c r="AW75" i="282"/>
  <c r="AW59" i="282" s="1"/>
  <c r="AW62" i="282" s="1"/>
  <c r="AX55" i="276" l="1"/>
  <c r="AX93" i="276"/>
  <c r="AX97" i="276" s="1"/>
  <c r="AX69" i="276"/>
  <c r="AX67" i="276"/>
  <c r="AX85" i="276"/>
  <c r="AX68" i="276"/>
  <c r="AX83" i="280"/>
  <c r="AX84" i="280"/>
  <c r="AX85" i="280"/>
  <c r="AX81" i="280"/>
  <c r="AX82" i="280"/>
  <c r="AX89" i="280"/>
  <c r="AY79" i="280"/>
  <c r="AX81" i="293"/>
  <c r="AX73" i="293"/>
  <c r="AY105" i="282"/>
  <c r="AY106" i="282" s="1"/>
  <c r="AY57" i="282"/>
  <c r="AY70" i="282"/>
  <c r="AY89" i="282"/>
  <c r="AY58" i="282"/>
  <c r="BH67" i="282"/>
  <c r="BH73" i="282"/>
  <c r="AV59" i="284"/>
  <c r="AV62" i="284" s="1"/>
  <c r="AW95" i="275"/>
  <c r="AW58" i="275" s="1"/>
  <c r="AW70" i="284"/>
  <c r="AW57" i="284" s="1"/>
  <c r="AX86" i="277"/>
  <c r="AX72" i="277"/>
  <c r="AX74" i="277"/>
  <c r="AX87" i="277"/>
  <c r="AX75" i="277"/>
  <c r="AX77" i="277" s="1"/>
  <c r="AX84" i="277"/>
  <c r="AX85" i="277"/>
  <c r="AX67" i="277"/>
  <c r="AW88" i="277"/>
  <c r="AW89" i="277" s="1"/>
  <c r="AW58" i="277" s="1"/>
  <c r="AX86" i="275"/>
  <c r="AX85" i="275"/>
  <c r="AX69" i="275"/>
  <c r="AX67" i="275"/>
  <c r="AX93" i="275"/>
  <c r="AX92" i="275"/>
  <c r="AX88" i="275"/>
  <c r="AX84" i="275"/>
  <c r="AX90" i="275"/>
  <c r="AX94" i="275" s="1"/>
  <c r="AX76" i="275"/>
  <c r="AX77" i="275" s="1"/>
  <c r="AX72" i="275"/>
  <c r="AZ65" i="279"/>
  <c r="AX77" i="279"/>
  <c r="AX70" i="279"/>
  <c r="AW95" i="284"/>
  <c r="AW58" i="284" s="1"/>
  <c r="AX90" i="284"/>
  <c r="AX94" i="284" s="1"/>
  <c r="AX77" i="284"/>
  <c r="AX92" i="284"/>
  <c r="AX93" i="284"/>
  <c r="AX69" i="284"/>
  <c r="AX68" i="284"/>
  <c r="AX59" i="280"/>
  <c r="AX91" i="280"/>
  <c r="AX58" i="280"/>
  <c r="AX73" i="280"/>
  <c r="BE65" i="280"/>
  <c r="BE67" i="280" s="1"/>
  <c r="AX62" i="290"/>
  <c r="AY54" i="290"/>
  <c r="AY55" i="289"/>
  <c r="AY57" i="289"/>
  <c r="AY59" i="289" s="1"/>
  <c r="AZ54" i="289"/>
  <c r="AV58" i="279"/>
  <c r="AV60" i="279" s="1"/>
  <c r="AV62" i="279" s="1"/>
  <c r="AX67" i="295"/>
  <c r="AY65" i="295"/>
  <c r="AW78" i="275"/>
  <c r="AW57" i="275" s="1"/>
  <c r="AV59" i="293"/>
  <c r="AV62" i="293" s="1"/>
  <c r="AV57" i="275"/>
  <c r="AV59" i="275" s="1"/>
  <c r="AV62" i="275" s="1"/>
  <c r="AW87" i="293"/>
  <c r="AW97" i="293" s="1"/>
  <c r="AW58" i="293" s="1"/>
  <c r="AW75" i="293"/>
  <c r="AW57" i="293" s="1"/>
  <c r="AY54" i="275"/>
  <c r="AV57" i="277"/>
  <c r="AV59" i="277" s="1"/>
  <c r="AV62" i="277" s="1"/>
  <c r="AY54" i="277"/>
  <c r="AX62" i="289"/>
  <c r="AX70" i="295"/>
  <c r="AY54" i="295"/>
  <c r="AX59" i="295"/>
  <c r="AW75" i="279"/>
  <c r="AW78" i="279" s="1"/>
  <c r="AY54" i="276"/>
  <c r="AW90" i="276"/>
  <c r="AW98" i="276" s="1"/>
  <c r="AW58" i="276" s="1"/>
  <c r="AW70" i="276"/>
  <c r="AW57" i="276" s="1"/>
  <c r="AW78" i="277"/>
  <c r="AW87" i="275"/>
  <c r="AV59" i="276"/>
  <c r="AV62" i="276" s="1"/>
  <c r="AW62" i="295"/>
  <c r="AX87" i="293"/>
  <c r="AX97" i="293" s="1"/>
  <c r="AY54" i="293"/>
  <c r="AY54" i="284"/>
  <c r="AY75" i="284" s="1"/>
  <c r="AY54" i="279"/>
  <c r="AY69" i="279" s="1"/>
  <c r="BH81" i="306"/>
  <c r="BH71" i="306"/>
  <c r="BI71" i="306" s="1"/>
  <c r="BI70" i="306"/>
  <c r="AW62" i="280"/>
  <c r="AW107" i="280"/>
  <c r="AY54" i="280"/>
  <c r="AY55" i="280" s="1"/>
  <c r="AZ54" i="282"/>
  <c r="AZ55" i="282" s="1"/>
  <c r="AX75" i="282"/>
  <c r="AX59" i="282" s="1"/>
  <c r="AX62" i="282" s="1"/>
  <c r="AY55" i="276" l="1"/>
  <c r="AY93" i="276"/>
  <c r="AY97" i="276" s="1"/>
  <c r="AY85" i="276"/>
  <c r="AY69" i="276"/>
  <c r="AY68" i="276"/>
  <c r="AY67" i="276"/>
  <c r="AW59" i="275"/>
  <c r="AW62" i="275" s="1"/>
  <c r="AX88" i="277"/>
  <c r="AY82" i="280"/>
  <c r="AY81" i="280"/>
  <c r="AY83" i="280"/>
  <c r="AY84" i="280"/>
  <c r="AY85" i="280"/>
  <c r="AY89" i="280"/>
  <c r="AZ79" i="280"/>
  <c r="AY81" i="293"/>
  <c r="AY73" i="293"/>
  <c r="AX95" i="275"/>
  <c r="AX58" i="275" s="1"/>
  <c r="AZ105" i="282"/>
  <c r="AZ106" i="282" s="1"/>
  <c r="AZ58" i="282"/>
  <c r="AZ70" i="282"/>
  <c r="AZ57" i="282"/>
  <c r="AZ89" i="282"/>
  <c r="AW59" i="284"/>
  <c r="AW62" i="284" s="1"/>
  <c r="AX78" i="284"/>
  <c r="AX70" i="284"/>
  <c r="AY85" i="277"/>
  <c r="AY72" i="277"/>
  <c r="AY74" i="277"/>
  <c r="AY67" i="277"/>
  <c r="AY86" i="277"/>
  <c r="AY87" i="277"/>
  <c r="AY75" i="277"/>
  <c r="AY84" i="277"/>
  <c r="AY93" i="275"/>
  <c r="AY90" i="275"/>
  <c r="AY94" i="275" s="1"/>
  <c r="AY88" i="275"/>
  <c r="AY86" i="275"/>
  <c r="AY84" i="275"/>
  <c r="AY72" i="275"/>
  <c r="AY67" i="275"/>
  <c r="AY92" i="275"/>
  <c r="AY85" i="275"/>
  <c r="AY69" i="275"/>
  <c r="AY76" i="275"/>
  <c r="AY77" i="275" s="1"/>
  <c r="AY70" i="279"/>
  <c r="AY77" i="279"/>
  <c r="BA65" i="279"/>
  <c r="AX95" i="284"/>
  <c r="AX58" i="284" s="1"/>
  <c r="AY77" i="284"/>
  <c r="AY69" i="284"/>
  <c r="AY92" i="284"/>
  <c r="AY90" i="284"/>
  <c r="AY94" i="284" s="1"/>
  <c r="AY93" i="284"/>
  <c r="AY68" i="284"/>
  <c r="AY58" i="280"/>
  <c r="AY73" i="280"/>
  <c r="AY59" i="280"/>
  <c r="AY91" i="280"/>
  <c r="BF65" i="280"/>
  <c r="BF67" i="280" s="1"/>
  <c r="AY62" i="290"/>
  <c r="AZ54" i="290"/>
  <c r="AZ57" i="289"/>
  <c r="AZ59" i="289" s="1"/>
  <c r="AZ55" i="289"/>
  <c r="BA54" i="289"/>
  <c r="AW58" i="279"/>
  <c r="AW60" i="279" s="1"/>
  <c r="AW62" i="279" s="1"/>
  <c r="AY67" i="295"/>
  <c r="AZ65" i="295"/>
  <c r="AW57" i="277"/>
  <c r="AW59" i="277" s="1"/>
  <c r="AW62" i="277" s="1"/>
  <c r="AW59" i="293"/>
  <c r="AW62" i="293" s="1"/>
  <c r="AX70" i="276"/>
  <c r="AX57" i="276" s="1"/>
  <c r="AX62" i="295"/>
  <c r="AX78" i="277"/>
  <c r="AX78" i="275"/>
  <c r="AY62" i="289"/>
  <c r="AZ54" i="284"/>
  <c r="AZ75" i="284" s="1"/>
  <c r="AX75" i="293"/>
  <c r="AX57" i="293" s="1"/>
  <c r="AX87" i="275"/>
  <c r="AZ54" i="279"/>
  <c r="AZ69" i="279" s="1"/>
  <c r="AY75" i="279"/>
  <c r="AX58" i="293"/>
  <c r="AW59" i="276"/>
  <c r="AW62" i="276" s="1"/>
  <c r="AZ54" i="276"/>
  <c r="AX90" i="276"/>
  <c r="AX98" i="276" s="1"/>
  <c r="AX58" i="276" s="1"/>
  <c r="AZ54" i="277"/>
  <c r="AY77" i="277"/>
  <c r="AY70" i="295"/>
  <c r="AZ54" i="295"/>
  <c r="AY59" i="295"/>
  <c r="AZ54" i="275"/>
  <c r="AX75" i="279"/>
  <c r="AX78" i="279" s="1"/>
  <c r="AX58" i="279" s="1"/>
  <c r="AX60" i="279" s="1"/>
  <c r="AX62" i="279" s="1"/>
  <c r="AZ54" i="293"/>
  <c r="AX89" i="277"/>
  <c r="AX58" i="277" s="1"/>
  <c r="AX75" i="280"/>
  <c r="AX57" i="280" s="1"/>
  <c r="AX62" i="280"/>
  <c r="AX107" i="280"/>
  <c r="AZ54" i="280"/>
  <c r="AZ55" i="280" s="1"/>
  <c r="AY75" i="282"/>
  <c r="BA54" i="282"/>
  <c r="BA55" i="282" s="1"/>
  <c r="AZ55" i="276" l="1"/>
  <c r="AZ93" i="276"/>
  <c r="AZ97" i="276" s="1"/>
  <c r="AZ68" i="276"/>
  <c r="AZ85" i="276"/>
  <c r="AZ67" i="276"/>
  <c r="AZ69" i="276"/>
  <c r="AZ81" i="280"/>
  <c r="AZ85" i="280"/>
  <c r="AZ82" i="280"/>
  <c r="AZ83" i="280"/>
  <c r="AZ84" i="280"/>
  <c r="AZ89" i="280"/>
  <c r="BA79" i="280"/>
  <c r="AZ73" i="293"/>
  <c r="AZ81" i="293"/>
  <c r="BA105" i="282"/>
  <c r="BA106" i="282" s="1"/>
  <c r="BA57" i="282"/>
  <c r="BA58" i="282"/>
  <c r="BA89" i="282"/>
  <c r="BA70" i="282"/>
  <c r="AY78" i="279"/>
  <c r="AX57" i="284"/>
  <c r="AX59" i="284" s="1"/>
  <c r="AX62" i="284" s="1"/>
  <c r="AY78" i="284"/>
  <c r="AZ84" i="277"/>
  <c r="AZ67" i="277"/>
  <c r="AZ72" i="277"/>
  <c r="AZ74" i="277"/>
  <c r="AZ85" i="277"/>
  <c r="AZ86" i="277"/>
  <c r="AZ87" i="277"/>
  <c r="AZ75" i="277"/>
  <c r="AZ77" i="277" s="1"/>
  <c r="AY88" i="277"/>
  <c r="AY89" i="277" s="1"/>
  <c r="AY58" i="277" s="1"/>
  <c r="AZ88" i="275"/>
  <c r="AZ85" i="275"/>
  <c r="AZ76" i="275"/>
  <c r="AZ77" i="275" s="1"/>
  <c r="AZ86" i="275"/>
  <c r="AZ93" i="275"/>
  <c r="AZ72" i="275"/>
  <c r="AZ67" i="275"/>
  <c r="AZ92" i="275"/>
  <c r="AZ84" i="275"/>
  <c r="AZ90" i="275"/>
  <c r="AZ94" i="275" s="1"/>
  <c r="AZ69" i="275"/>
  <c r="BB65" i="279"/>
  <c r="AZ70" i="279"/>
  <c r="AZ77" i="279"/>
  <c r="AY70" i="284"/>
  <c r="AY95" i="284"/>
  <c r="AY58" i="284" s="1"/>
  <c r="AZ93" i="284"/>
  <c r="AZ92" i="284"/>
  <c r="AZ69" i="284"/>
  <c r="AZ90" i="284"/>
  <c r="AZ94" i="284" s="1"/>
  <c r="AZ77" i="284"/>
  <c r="AZ78" i="284" s="1"/>
  <c r="AZ68" i="284"/>
  <c r="AZ58" i="280"/>
  <c r="AZ59" i="280"/>
  <c r="AZ91" i="280"/>
  <c r="AZ73" i="280"/>
  <c r="AZ75" i="280" s="1"/>
  <c r="AZ57" i="280" s="1"/>
  <c r="BG65" i="280"/>
  <c r="BG67" i="280" s="1"/>
  <c r="AZ62" i="290"/>
  <c r="BA54" i="290"/>
  <c r="BA57" i="289"/>
  <c r="BA59" i="289" s="1"/>
  <c r="BA55" i="289"/>
  <c r="BB54" i="289"/>
  <c r="AZ67" i="295"/>
  <c r="BA65" i="295"/>
  <c r="AX57" i="277"/>
  <c r="AX59" i="277" s="1"/>
  <c r="AX62" i="277" s="1"/>
  <c r="AX57" i="275"/>
  <c r="AX59" i="275" s="1"/>
  <c r="AX62" i="275" s="1"/>
  <c r="AX59" i="293"/>
  <c r="AX62" i="293" s="1"/>
  <c r="AX59" i="276"/>
  <c r="AX62" i="276" s="1"/>
  <c r="AY90" i="276"/>
  <c r="AY98" i="276" s="1"/>
  <c r="AY58" i="276" s="1"/>
  <c r="AY87" i="293"/>
  <c r="AY97" i="293" s="1"/>
  <c r="AY58" i="293" s="1"/>
  <c r="AY78" i="275"/>
  <c r="AY62" i="295"/>
  <c r="BA54" i="276"/>
  <c r="AZ90" i="276"/>
  <c r="AZ87" i="293"/>
  <c r="AZ97" i="293" s="1"/>
  <c r="BA54" i="293"/>
  <c r="AY75" i="293"/>
  <c r="AY57" i="293" s="1"/>
  <c r="AY95" i="275"/>
  <c r="AY58" i="275" s="1"/>
  <c r="AY87" i="275"/>
  <c r="AZ70" i="295"/>
  <c r="BA54" i="295"/>
  <c r="AZ59" i="295"/>
  <c r="AY70" i="276"/>
  <c r="AY57" i="276" s="1"/>
  <c r="BA54" i="284"/>
  <c r="BA75" i="284" s="1"/>
  <c r="AZ62" i="289"/>
  <c r="BA54" i="275"/>
  <c r="AY78" i="277"/>
  <c r="BA54" i="277"/>
  <c r="BA54" i="279"/>
  <c r="BA69" i="279" s="1"/>
  <c r="AZ75" i="279"/>
  <c r="AY75" i="280"/>
  <c r="AY57" i="280" s="1"/>
  <c r="AZ75" i="282"/>
  <c r="AZ59" i="282" s="1"/>
  <c r="AZ62" i="282" s="1"/>
  <c r="AY107" i="280"/>
  <c r="AY62" i="280"/>
  <c r="BA54" i="280"/>
  <c r="BA55" i="280" s="1"/>
  <c r="AY59" i="282"/>
  <c r="AY62" i="282" s="1"/>
  <c r="BB54" i="282"/>
  <c r="BB55" i="282" s="1"/>
  <c r="BA55" i="276" l="1"/>
  <c r="BA93" i="276"/>
  <c r="BA97" i="276" s="1"/>
  <c r="BA68" i="276"/>
  <c r="BA67" i="276"/>
  <c r="BA85" i="276"/>
  <c r="BA69" i="276"/>
  <c r="BA84" i="280"/>
  <c r="BA85" i="280"/>
  <c r="BA81" i="280"/>
  <c r="BA82" i="280"/>
  <c r="BA83" i="280"/>
  <c r="BA89" i="280"/>
  <c r="BB79" i="280"/>
  <c r="BA73" i="293"/>
  <c r="BA81" i="293"/>
  <c r="BB105" i="282"/>
  <c r="BB106" i="282" s="1"/>
  <c r="BB89" i="282"/>
  <c r="BB58" i="282"/>
  <c r="BB70" i="282"/>
  <c r="BB57" i="282"/>
  <c r="AY57" i="284"/>
  <c r="AY59" i="284" s="1"/>
  <c r="AY62" i="284" s="1"/>
  <c r="AZ78" i="279"/>
  <c r="BA87" i="277"/>
  <c r="BA74" i="277"/>
  <c r="BA84" i="277"/>
  <c r="BA85" i="277"/>
  <c r="BA86" i="277"/>
  <c r="BA75" i="277"/>
  <c r="BA77" i="277" s="1"/>
  <c r="BA67" i="277"/>
  <c r="BA72" i="277"/>
  <c r="AZ88" i="277"/>
  <c r="AZ89" i="277" s="1"/>
  <c r="AZ58" i="277" s="1"/>
  <c r="AY57" i="277"/>
  <c r="AY59" i="277" s="1"/>
  <c r="AY62" i="277" s="1"/>
  <c r="BA92" i="275"/>
  <c r="BA90" i="275"/>
  <c r="BA94" i="275" s="1"/>
  <c r="BA72" i="275"/>
  <c r="BA76" i="275"/>
  <c r="BA77" i="275" s="1"/>
  <c r="BA69" i="275"/>
  <c r="BA86" i="275"/>
  <c r="BA93" i="275"/>
  <c r="BA88" i="275"/>
  <c r="BA67" i="275"/>
  <c r="BA85" i="275"/>
  <c r="BA84" i="275"/>
  <c r="BA70" i="279"/>
  <c r="BC65" i="279"/>
  <c r="AZ70" i="284"/>
  <c r="AZ57" i="284" s="1"/>
  <c r="AZ95" i="284"/>
  <c r="AZ58" i="284" s="1"/>
  <c r="BA92" i="284"/>
  <c r="BA93" i="284"/>
  <c r="BA77" i="284"/>
  <c r="BA68" i="284"/>
  <c r="BA90" i="284"/>
  <c r="BA94" i="284" s="1"/>
  <c r="BA69" i="284"/>
  <c r="BA91" i="280"/>
  <c r="BA59" i="280"/>
  <c r="BA58" i="280"/>
  <c r="BA73" i="280"/>
  <c r="BH65" i="280"/>
  <c r="BH67" i="280" s="1"/>
  <c r="BA62" i="290"/>
  <c r="BB54" i="290"/>
  <c r="BB55" i="289"/>
  <c r="BB57" i="289"/>
  <c r="BB59" i="289" s="1"/>
  <c r="BC54" i="289"/>
  <c r="AZ78" i="277"/>
  <c r="AZ57" i="277" s="1"/>
  <c r="BA67" i="295"/>
  <c r="BB65" i="295"/>
  <c r="AY58" i="279"/>
  <c r="AY60" i="279" s="1"/>
  <c r="AY62" i="279" s="1"/>
  <c r="AY59" i="293"/>
  <c r="AY62" i="293" s="1"/>
  <c r="BB54" i="277"/>
  <c r="BA77" i="279"/>
  <c r="BB54" i="279"/>
  <c r="BB69" i="279" s="1"/>
  <c r="BA75" i="279"/>
  <c r="AZ78" i="275"/>
  <c r="AZ57" i="275" s="1"/>
  <c r="AY59" i="276"/>
  <c r="AY62" i="276" s="1"/>
  <c r="AZ62" i="295"/>
  <c r="BB54" i="293"/>
  <c r="AZ75" i="293"/>
  <c r="AZ57" i="293" s="1"/>
  <c r="AZ70" i="276"/>
  <c r="AZ57" i="276" s="1"/>
  <c r="BB54" i="276"/>
  <c r="AZ95" i="275"/>
  <c r="AZ58" i="275" s="1"/>
  <c r="AZ87" i="275"/>
  <c r="BB54" i="284"/>
  <c r="BB75" i="284" s="1"/>
  <c r="BA70" i="295"/>
  <c r="BB54" i="295"/>
  <c r="BA59" i="295"/>
  <c r="AZ98" i="276"/>
  <c r="AZ58" i="276" s="1"/>
  <c r="AY57" i="275"/>
  <c r="AY59" i="275" s="1"/>
  <c r="AY62" i="275" s="1"/>
  <c r="BB54" i="275"/>
  <c r="BA62" i="289"/>
  <c r="AZ58" i="293"/>
  <c r="AZ62" i="280"/>
  <c r="BB54" i="280"/>
  <c r="BB55" i="280" s="1"/>
  <c r="AZ107" i="280"/>
  <c r="BA75" i="282"/>
  <c r="BA59" i="282" s="1"/>
  <c r="BA62" i="282" s="1"/>
  <c r="BC54" i="282"/>
  <c r="BC55" i="282" s="1"/>
  <c r="BB55" i="276" l="1"/>
  <c r="BB93" i="276"/>
  <c r="BB97" i="276" s="1"/>
  <c r="BB69" i="276"/>
  <c r="BB67" i="276"/>
  <c r="BB68" i="276"/>
  <c r="BB70" i="276" s="1"/>
  <c r="BB57" i="276" s="1"/>
  <c r="BB85" i="276"/>
  <c r="BB83" i="280"/>
  <c r="BB84" i="280"/>
  <c r="BB85" i="280"/>
  <c r="BB81" i="280"/>
  <c r="BB82" i="280"/>
  <c r="BB89" i="280"/>
  <c r="BC79" i="280"/>
  <c r="BB81" i="293"/>
  <c r="BB73" i="293"/>
  <c r="BC105" i="282"/>
  <c r="BC106" i="282" s="1"/>
  <c r="BC70" i="282"/>
  <c r="BC89" i="282"/>
  <c r="BC58" i="282"/>
  <c r="BC57" i="282"/>
  <c r="BA78" i="279"/>
  <c r="BA70" i="284"/>
  <c r="BA78" i="284"/>
  <c r="BA95" i="284"/>
  <c r="BA58" i="284" s="1"/>
  <c r="BA88" i="277"/>
  <c r="BA89" i="277" s="1"/>
  <c r="BA58" i="277" s="1"/>
  <c r="AZ59" i="284"/>
  <c r="AZ62" i="284" s="1"/>
  <c r="BB86" i="277"/>
  <c r="BB72" i="277"/>
  <c r="BB87" i="277"/>
  <c r="BB84" i="277"/>
  <c r="BB85" i="277"/>
  <c r="BB67" i="277"/>
  <c r="BB74" i="277"/>
  <c r="BB75" i="277"/>
  <c r="BB77" i="277" s="1"/>
  <c r="BB86" i="275"/>
  <c r="BB93" i="275"/>
  <c r="BB92" i="275"/>
  <c r="BB69" i="275"/>
  <c r="BB67" i="275"/>
  <c r="BB90" i="275"/>
  <c r="BB94" i="275" s="1"/>
  <c r="BB85" i="275"/>
  <c r="BB84" i="275"/>
  <c r="BB76" i="275"/>
  <c r="BB77" i="275" s="1"/>
  <c r="BB72" i="275"/>
  <c r="BB88" i="275"/>
  <c r="BB77" i="279"/>
  <c r="BB70" i="279"/>
  <c r="BD65" i="279"/>
  <c r="BB90" i="284"/>
  <c r="BB94" i="284" s="1"/>
  <c r="BB77" i="284"/>
  <c r="BB93" i="284"/>
  <c r="BB69" i="284"/>
  <c r="BB68" i="284"/>
  <c r="BB92" i="284"/>
  <c r="BB59" i="280"/>
  <c r="BB91" i="280"/>
  <c r="BB73" i="280"/>
  <c r="BB75" i="280" s="1"/>
  <c r="BB57" i="280" s="1"/>
  <c r="BB58" i="280"/>
  <c r="BB62" i="290"/>
  <c r="BC54" i="290"/>
  <c r="BC55" i="289"/>
  <c r="BC57" i="289"/>
  <c r="BC59" i="289" s="1"/>
  <c r="BD54" i="289"/>
  <c r="BB67" i="295"/>
  <c r="BC65" i="295"/>
  <c r="AZ59" i="293"/>
  <c r="AZ62" i="293" s="1"/>
  <c r="BA70" i="276"/>
  <c r="BA57" i="276" s="1"/>
  <c r="AZ58" i="279"/>
  <c r="AZ60" i="279" s="1"/>
  <c r="AZ62" i="279" s="1"/>
  <c r="BA78" i="277"/>
  <c r="BA57" i="277" s="1"/>
  <c r="AZ59" i="275"/>
  <c r="AZ62" i="275" s="1"/>
  <c r="BA87" i="275"/>
  <c r="BC54" i="284"/>
  <c r="BC75" i="284" s="1"/>
  <c r="BA78" i="275"/>
  <c r="BA57" i="275" s="1"/>
  <c r="BA62" i="295"/>
  <c r="BA90" i="276"/>
  <c r="BA98" i="276" s="1"/>
  <c r="BA58" i="276" s="1"/>
  <c r="BC54" i="279"/>
  <c r="BC69" i="279" s="1"/>
  <c r="BB62" i="289"/>
  <c r="BA95" i="275"/>
  <c r="BA58" i="275" s="1"/>
  <c r="BC54" i="275"/>
  <c r="BB87" i="275"/>
  <c r="BB70" i="295"/>
  <c r="BB59" i="295"/>
  <c r="BC54" i="295"/>
  <c r="BC54" i="276"/>
  <c r="BC54" i="277"/>
  <c r="BC54" i="293"/>
  <c r="AZ59" i="277"/>
  <c r="AZ62" i="277" s="1"/>
  <c r="AZ59" i="276"/>
  <c r="AZ62" i="276" s="1"/>
  <c r="BA87" i="293"/>
  <c r="BA97" i="293" s="1"/>
  <c r="BA58" i="293" s="1"/>
  <c r="BA75" i="293"/>
  <c r="BA57" i="293" s="1"/>
  <c r="BA75" i="280"/>
  <c r="BA57" i="280" s="1"/>
  <c r="BA62" i="280"/>
  <c r="BC54" i="280"/>
  <c r="BC55" i="280" s="1"/>
  <c r="BA107" i="280"/>
  <c r="BB75" i="282"/>
  <c r="BB59" i="282" s="1"/>
  <c r="BB62" i="282" s="1"/>
  <c r="BD54" i="282"/>
  <c r="BD55" i="282" s="1"/>
  <c r="BC55" i="276" l="1"/>
  <c r="BC93" i="276"/>
  <c r="BC97" i="276" s="1"/>
  <c r="BC85" i="276"/>
  <c r="BC90" i="276"/>
  <c r="BC68" i="276"/>
  <c r="BC67" i="276"/>
  <c r="BC69" i="276"/>
  <c r="BC82" i="280"/>
  <c r="BC83" i="280"/>
  <c r="BC84" i="280"/>
  <c r="BC85" i="280"/>
  <c r="BC81" i="280"/>
  <c r="BC89" i="280"/>
  <c r="BD79" i="280"/>
  <c r="BC81" i="293"/>
  <c r="BC73" i="293"/>
  <c r="BD105" i="282"/>
  <c r="BD106" i="282" s="1"/>
  <c r="BD58" i="282"/>
  <c r="BD70" i="282"/>
  <c r="BD57" i="282"/>
  <c r="BD89" i="282"/>
  <c r="BA57" i="284"/>
  <c r="BA59" i="284" s="1"/>
  <c r="BA62" i="284" s="1"/>
  <c r="BB78" i="284"/>
  <c r="BC85" i="277"/>
  <c r="BC72" i="277"/>
  <c r="BC74" i="277"/>
  <c r="BC86" i="277"/>
  <c r="BC87" i="277"/>
  <c r="BC75" i="277"/>
  <c r="BC77" i="277" s="1"/>
  <c r="BC84" i="277"/>
  <c r="BC67" i="277"/>
  <c r="BB88" i="277"/>
  <c r="BB89" i="277" s="1"/>
  <c r="BB58" i="277" s="1"/>
  <c r="BC93" i="275"/>
  <c r="BC90" i="275"/>
  <c r="BC94" i="275" s="1"/>
  <c r="BC85" i="275"/>
  <c r="BC84" i="275"/>
  <c r="BC92" i="275"/>
  <c r="BC88" i="275"/>
  <c r="BC69" i="275"/>
  <c r="BC86" i="275"/>
  <c r="BC76" i="275"/>
  <c r="BC77" i="275" s="1"/>
  <c r="BC67" i="275"/>
  <c r="BC72" i="275"/>
  <c r="BC77" i="279"/>
  <c r="BC70" i="279"/>
  <c r="BE65" i="279"/>
  <c r="BB70" i="284"/>
  <c r="BB95" i="284"/>
  <c r="BB58" i="284" s="1"/>
  <c r="BC92" i="284"/>
  <c r="BC93" i="284"/>
  <c r="BC90" i="284"/>
  <c r="BC94" i="284" s="1"/>
  <c r="BC69" i="284"/>
  <c r="BC77" i="284"/>
  <c r="BC78" i="284" s="1"/>
  <c r="BC68" i="284"/>
  <c r="BC91" i="280"/>
  <c r="BC59" i="280"/>
  <c r="BC73" i="280"/>
  <c r="BC58" i="280"/>
  <c r="BA59" i="276"/>
  <c r="BA62" i="276" s="1"/>
  <c r="BC62" i="290"/>
  <c r="BD54" i="290"/>
  <c r="BD55" i="289"/>
  <c r="BD57" i="289"/>
  <c r="BD59" i="289" s="1"/>
  <c r="BE54" i="289"/>
  <c r="BC67" i="295"/>
  <c r="BD65" i="295"/>
  <c r="BA59" i="277"/>
  <c r="BA62" i="277" s="1"/>
  <c r="BB95" i="275"/>
  <c r="BB58" i="275" s="1"/>
  <c r="BA59" i="293"/>
  <c r="BA62" i="293" s="1"/>
  <c r="BB78" i="277"/>
  <c r="BA58" i="279"/>
  <c r="BA60" i="279" s="1"/>
  <c r="BA62" i="279" s="1"/>
  <c r="BB78" i="275"/>
  <c r="BB57" i="275" s="1"/>
  <c r="BD54" i="277"/>
  <c r="BD54" i="279"/>
  <c r="BD69" i="279" s="1"/>
  <c r="BD54" i="284"/>
  <c r="BD75" i="284" s="1"/>
  <c r="BB75" i="293"/>
  <c r="BB57" i="293" s="1"/>
  <c r="BB75" i="279"/>
  <c r="BB78" i="279" s="1"/>
  <c r="BB87" i="293"/>
  <c r="BB97" i="293" s="1"/>
  <c r="BB58" i="293" s="1"/>
  <c r="BD54" i="276"/>
  <c r="BC70" i="295"/>
  <c r="BC59" i="295"/>
  <c r="BD54" i="295"/>
  <c r="BC62" i="289"/>
  <c r="BD54" i="293"/>
  <c r="BB90" i="276"/>
  <c r="BB98" i="276" s="1"/>
  <c r="BB58" i="276" s="1"/>
  <c r="BB59" i="276" s="1"/>
  <c r="BB62" i="276" s="1"/>
  <c r="BB62" i="295"/>
  <c r="BD54" i="275"/>
  <c r="BA59" i="275"/>
  <c r="BA62" i="275" s="1"/>
  <c r="BB107" i="280"/>
  <c r="BB62" i="280"/>
  <c r="BD54" i="280"/>
  <c r="BD55" i="280" s="1"/>
  <c r="BC75" i="282"/>
  <c r="BC59" i="282" s="1"/>
  <c r="BC62" i="282" s="1"/>
  <c r="BE54" i="282"/>
  <c r="BE55" i="282" s="1"/>
  <c r="BD55" i="276" l="1"/>
  <c r="BD93" i="276"/>
  <c r="BD97" i="276" s="1"/>
  <c r="BD68" i="276"/>
  <c r="BD85" i="276"/>
  <c r="BD69" i="276"/>
  <c r="BD67" i="276"/>
  <c r="BD81" i="280"/>
  <c r="BD85" i="280"/>
  <c r="BD82" i="280"/>
  <c r="BD83" i="280"/>
  <c r="BD84" i="280"/>
  <c r="BD89" i="280"/>
  <c r="BE79" i="280"/>
  <c r="BD73" i="293"/>
  <c r="BD81" i="293"/>
  <c r="BE105" i="282"/>
  <c r="BE106" i="282" s="1"/>
  <c r="BE57" i="282"/>
  <c r="BE70" i="282"/>
  <c r="BE58" i="282"/>
  <c r="BE89" i="282"/>
  <c r="BB57" i="284"/>
  <c r="BB59" i="284" s="1"/>
  <c r="BB62" i="284" s="1"/>
  <c r="BD84" i="277"/>
  <c r="BD67" i="277"/>
  <c r="BD72" i="277"/>
  <c r="BD75" i="277"/>
  <c r="BD87" i="277"/>
  <c r="BD74" i="277"/>
  <c r="BD85" i="277"/>
  <c r="BD86" i="277"/>
  <c r="BC88" i="277"/>
  <c r="BC89" i="277" s="1"/>
  <c r="BC58" i="277" s="1"/>
  <c r="BB57" i="277"/>
  <c r="BB59" i="277" s="1"/>
  <c r="BB62" i="277" s="1"/>
  <c r="BD88" i="275"/>
  <c r="BD85" i="275"/>
  <c r="BD86" i="275"/>
  <c r="BD76" i="275"/>
  <c r="BD77" i="275" s="1"/>
  <c r="BD93" i="275"/>
  <c r="BD72" i="275"/>
  <c r="BD67" i="275"/>
  <c r="BD90" i="275"/>
  <c r="BD94" i="275" s="1"/>
  <c r="BD84" i="275"/>
  <c r="BD69" i="275"/>
  <c r="BD92" i="275"/>
  <c r="BF65" i="279"/>
  <c r="BD70" i="279"/>
  <c r="BD77" i="279"/>
  <c r="BC70" i="284"/>
  <c r="BC57" i="284" s="1"/>
  <c r="BC95" i="284"/>
  <c r="BC58" i="284" s="1"/>
  <c r="BD93" i="284"/>
  <c r="BD77" i="284"/>
  <c r="BD92" i="284"/>
  <c r="BD90" i="284"/>
  <c r="BD94" i="284" s="1"/>
  <c r="BD69" i="284"/>
  <c r="BD68" i="284"/>
  <c r="BD58" i="280"/>
  <c r="BD59" i="280"/>
  <c r="BD91" i="280"/>
  <c r="BD73" i="280"/>
  <c r="BD75" i="280" s="1"/>
  <c r="BD57" i="280" s="1"/>
  <c r="BD62" i="290"/>
  <c r="BE54" i="290"/>
  <c r="BE57" i="289"/>
  <c r="BE59" i="289" s="1"/>
  <c r="BE55" i="289"/>
  <c r="BF54" i="289"/>
  <c r="BB58" i="279"/>
  <c r="BB60" i="279" s="1"/>
  <c r="BB62" i="279" s="1"/>
  <c r="BD67" i="295"/>
  <c r="BE65" i="295"/>
  <c r="BC75" i="293"/>
  <c r="BC57" i="293" s="1"/>
  <c r="BB59" i="275"/>
  <c r="BB62" i="275" s="1"/>
  <c r="BC78" i="277"/>
  <c r="BC70" i="276"/>
  <c r="BC57" i="276" s="1"/>
  <c r="BB59" i="293"/>
  <c r="BB62" i="293" s="1"/>
  <c r="BC87" i="275"/>
  <c r="BC98" i="276"/>
  <c r="BC58" i="276" s="1"/>
  <c r="BC87" i="293"/>
  <c r="BC97" i="293" s="1"/>
  <c r="BC58" i="293" s="1"/>
  <c r="BC95" i="275"/>
  <c r="BC58" i="275" s="1"/>
  <c r="BC78" i="275"/>
  <c r="BD62" i="289"/>
  <c r="BE54" i="284"/>
  <c r="BE75" i="284" s="1"/>
  <c r="BD77" i="277"/>
  <c r="BE54" i="277"/>
  <c r="BE54" i="275"/>
  <c r="BD87" i="293"/>
  <c r="BD97" i="293" s="1"/>
  <c r="BE54" i="293"/>
  <c r="BC62" i="295"/>
  <c r="BD75" i="279"/>
  <c r="BE54" i="279"/>
  <c r="BE69" i="279" s="1"/>
  <c r="BD70" i="295"/>
  <c r="BE54" i="295"/>
  <c r="BD59" i="295"/>
  <c r="BE54" i="276"/>
  <c r="BC75" i="279"/>
  <c r="BC78" i="279" s="1"/>
  <c r="BC75" i="280"/>
  <c r="BC57" i="280" s="1"/>
  <c r="BC62" i="280"/>
  <c r="BE54" i="280"/>
  <c r="BE55" i="280" s="1"/>
  <c r="BC107" i="280"/>
  <c r="BD75" i="282"/>
  <c r="BD59" i="282" s="1"/>
  <c r="BD62" i="282" s="1"/>
  <c r="BF54" i="282"/>
  <c r="BF55" i="282" s="1"/>
  <c r="BE55" i="276" l="1"/>
  <c r="BE93" i="276"/>
  <c r="BE97" i="276" s="1"/>
  <c r="BE85" i="276"/>
  <c r="BE67" i="276"/>
  <c r="BE69" i="276"/>
  <c r="BE70" i="276" s="1"/>
  <c r="BE57" i="276" s="1"/>
  <c r="BE68" i="276"/>
  <c r="BE84" i="280"/>
  <c r="BE81" i="280"/>
  <c r="BE82" i="280"/>
  <c r="BE83" i="280"/>
  <c r="BE85" i="280"/>
  <c r="BE89" i="280"/>
  <c r="BF79" i="280"/>
  <c r="BE73" i="293"/>
  <c r="BE81" i="293"/>
  <c r="BF105" i="282"/>
  <c r="BF106" i="282" s="1"/>
  <c r="BF89" i="282"/>
  <c r="BF58" i="282"/>
  <c r="BF57" i="282"/>
  <c r="BF70" i="282"/>
  <c r="BD78" i="279"/>
  <c r="BD78" i="284"/>
  <c r="BD70" i="284"/>
  <c r="BC59" i="284"/>
  <c r="BC62" i="284" s="1"/>
  <c r="BE87" i="277"/>
  <c r="BE74" i="277"/>
  <c r="BE75" i="277"/>
  <c r="BE77" i="277" s="1"/>
  <c r="BE84" i="277"/>
  <c r="BE85" i="277"/>
  <c r="BE86" i="277"/>
  <c r="BE67" i="277"/>
  <c r="BE72" i="277"/>
  <c r="BD88" i="277"/>
  <c r="BD89" i="277" s="1"/>
  <c r="BD58" i="277" s="1"/>
  <c r="BE92" i="275"/>
  <c r="BE88" i="275"/>
  <c r="BE72" i="275"/>
  <c r="BE85" i="275"/>
  <c r="BE67" i="275"/>
  <c r="BE90" i="275"/>
  <c r="BE94" i="275" s="1"/>
  <c r="BE84" i="275"/>
  <c r="BE93" i="275"/>
  <c r="BE86" i="275"/>
  <c r="BE76" i="275"/>
  <c r="BE77" i="275" s="1"/>
  <c r="BE69" i="275"/>
  <c r="BE77" i="279"/>
  <c r="BE70" i="279"/>
  <c r="BG65" i="279"/>
  <c r="BD95" i="284"/>
  <c r="BD58" i="284" s="1"/>
  <c r="BE92" i="284"/>
  <c r="BE68" i="284"/>
  <c r="BE90" i="284"/>
  <c r="BE94" i="284" s="1"/>
  <c r="BE77" i="284"/>
  <c r="BE78" i="284" s="1"/>
  <c r="BE93" i="284"/>
  <c r="BE69" i="284"/>
  <c r="BE91" i="280"/>
  <c r="BE59" i="280"/>
  <c r="BE58" i="280"/>
  <c r="BE73" i="280"/>
  <c r="BE62" i="290"/>
  <c r="BF54" i="290"/>
  <c r="BF55" i="289"/>
  <c r="BF57" i="289"/>
  <c r="BF59" i="289" s="1"/>
  <c r="BG54" i="289"/>
  <c r="BE67" i="295"/>
  <c r="BF65" i="295"/>
  <c r="BC59" i="293"/>
  <c r="BC62" i="293" s="1"/>
  <c r="BC57" i="277"/>
  <c r="BC59" i="277" s="1"/>
  <c r="BC62" i="277" s="1"/>
  <c r="BC59" i="276"/>
  <c r="BC62" i="276" s="1"/>
  <c r="BD75" i="293"/>
  <c r="BD57" i="293" s="1"/>
  <c r="BD78" i="277"/>
  <c r="BD90" i="276"/>
  <c r="BD98" i="276" s="1"/>
  <c r="BD58" i="276" s="1"/>
  <c r="BF54" i="279"/>
  <c r="BF69" i="279" s="1"/>
  <c r="BE75" i="279"/>
  <c r="BF54" i="293"/>
  <c r="BD58" i="293"/>
  <c r="BD87" i="275"/>
  <c r="BF54" i="275"/>
  <c r="BF54" i="277"/>
  <c r="BF54" i="276"/>
  <c r="BE70" i="295"/>
  <c r="BE59" i="295"/>
  <c r="BF54" i="295"/>
  <c r="BD70" i="276"/>
  <c r="BD57" i="276" s="1"/>
  <c r="BD78" i="275"/>
  <c r="BC58" i="279"/>
  <c r="BC60" i="279" s="1"/>
  <c r="BC62" i="279" s="1"/>
  <c r="BF54" i="284"/>
  <c r="BF75" i="284" s="1"/>
  <c r="BC57" i="275"/>
  <c r="BC59" i="275" s="1"/>
  <c r="BC62" i="275" s="1"/>
  <c r="BE62" i="289"/>
  <c r="BD62" i="295"/>
  <c r="BD95" i="275"/>
  <c r="BD58" i="275" s="1"/>
  <c r="BD107" i="280"/>
  <c r="BF54" i="280"/>
  <c r="BF55" i="280" s="1"/>
  <c r="BD62" i="280"/>
  <c r="BG54" i="282"/>
  <c r="BG55" i="282" s="1"/>
  <c r="BE75" i="282"/>
  <c r="BE59" i="282" s="1"/>
  <c r="BE62" i="282" s="1"/>
  <c r="BF55" i="276" l="1"/>
  <c r="BF93" i="276"/>
  <c r="BF97" i="276" s="1"/>
  <c r="BF69" i="276"/>
  <c r="BF67" i="276"/>
  <c r="BF68" i="276"/>
  <c r="BF85" i="276"/>
  <c r="BF83" i="280"/>
  <c r="BF84" i="280"/>
  <c r="BF85" i="280"/>
  <c r="BF81" i="280"/>
  <c r="BF82" i="280"/>
  <c r="BF89" i="280"/>
  <c r="BG79" i="280"/>
  <c r="BF73" i="293"/>
  <c r="BF81" i="293"/>
  <c r="BG105" i="282"/>
  <c r="BG106" i="282" s="1"/>
  <c r="BG89" i="282"/>
  <c r="BG58" i="282"/>
  <c r="BG57" i="282"/>
  <c r="BG70" i="282"/>
  <c r="BD57" i="284"/>
  <c r="BD59" i="284" s="1"/>
  <c r="BD62" i="284" s="1"/>
  <c r="BE78" i="279"/>
  <c r="BF86" i="277"/>
  <c r="BF72" i="277"/>
  <c r="BF84" i="277"/>
  <c r="BF85" i="277"/>
  <c r="BF87" i="277"/>
  <c r="BF74" i="277"/>
  <c r="BF67" i="277"/>
  <c r="BF75" i="277"/>
  <c r="BF77" i="277" s="1"/>
  <c r="BE88" i="277"/>
  <c r="BE89" i="277" s="1"/>
  <c r="BE58" i="277" s="1"/>
  <c r="BF86" i="275"/>
  <c r="BF90" i="275"/>
  <c r="BF94" i="275" s="1"/>
  <c r="BF69" i="275"/>
  <c r="BF67" i="275"/>
  <c r="BF93" i="275"/>
  <c r="BF92" i="275"/>
  <c r="BF76" i="275"/>
  <c r="BF77" i="275" s="1"/>
  <c r="BF88" i="275"/>
  <c r="BF72" i="275"/>
  <c r="BF85" i="275"/>
  <c r="BF84" i="275"/>
  <c r="BH65" i="279"/>
  <c r="BF77" i="279"/>
  <c r="BF70" i="279"/>
  <c r="BE70" i="284"/>
  <c r="BE57" i="284" s="1"/>
  <c r="BE95" i="284"/>
  <c r="BE58" i="284" s="1"/>
  <c r="BF90" i="284"/>
  <c r="BF94" i="284" s="1"/>
  <c r="BF77" i="284"/>
  <c r="BF92" i="284"/>
  <c r="BF93" i="284"/>
  <c r="BF69" i="284"/>
  <c r="BF68" i="284"/>
  <c r="BF59" i="280"/>
  <c r="BF58" i="280"/>
  <c r="BF91" i="280"/>
  <c r="BF73" i="280"/>
  <c r="BF75" i="280" s="1"/>
  <c r="BF57" i="280" s="1"/>
  <c r="BF62" i="290"/>
  <c r="BG54" i="290"/>
  <c r="BG55" i="289"/>
  <c r="BG57" i="289"/>
  <c r="BG59" i="289" s="1"/>
  <c r="BH54" i="289"/>
  <c r="BF67" i="295"/>
  <c r="BG65" i="295"/>
  <c r="BD57" i="277"/>
  <c r="BD59" i="277" s="1"/>
  <c r="BD62" i="277" s="1"/>
  <c r="BD58" i="279"/>
  <c r="BD60" i="279" s="1"/>
  <c r="BD62" i="279" s="1"/>
  <c r="BE75" i="293"/>
  <c r="BE57" i="293" s="1"/>
  <c r="BE78" i="277"/>
  <c r="BE75" i="280"/>
  <c r="BE57" i="280" s="1"/>
  <c r="BD59" i="293"/>
  <c r="BD62" i="293" s="1"/>
  <c r="BE62" i="295"/>
  <c r="BE78" i="275"/>
  <c r="BE57" i="275" s="1"/>
  <c r="BE95" i="275"/>
  <c r="BE58" i="275" s="1"/>
  <c r="BF70" i="295"/>
  <c r="BG54" i="295"/>
  <c r="BF59" i="295"/>
  <c r="BF62" i="289"/>
  <c r="BD59" i="276"/>
  <c r="BD62" i="276" s="1"/>
  <c r="BE90" i="276"/>
  <c r="BE98" i="276" s="1"/>
  <c r="BE58" i="276" s="1"/>
  <c r="BE59" i="276" s="1"/>
  <c r="BE62" i="276" s="1"/>
  <c r="BE87" i="293"/>
  <c r="BE97" i="293" s="1"/>
  <c r="BE58" i="293" s="1"/>
  <c r="BG54" i="284"/>
  <c r="BG75" i="284" s="1"/>
  <c r="BD57" i="275"/>
  <c r="BD59" i="275" s="1"/>
  <c r="BD62" i="275" s="1"/>
  <c r="BG54" i="277"/>
  <c r="BE87" i="275"/>
  <c r="BG54" i="293"/>
  <c r="BG54" i="279"/>
  <c r="BG69" i="279" s="1"/>
  <c r="BF75" i="279"/>
  <c r="BG54" i="276"/>
  <c r="BG54" i="275"/>
  <c r="BE62" i="280"/>
  <c r="BG54" i="280"/>
  <c r="BG55" i="280" s="1"/>
  <c r="BE107" i="280"/>
  <c r="BF75" i="282"/>
  <c r="BF59" i="282" s="1"/>
  <c r="BF62" i="282" s="1"/>
  <c r="BH54" i="282"/>
  <c r="BH55" i="282" s="1"/>
  <c r="BG55" i="276" l="1"/>
  <c r="BG93" i="276"/>
  <c r="BG97" i="276" s="1"/>
  <c r="BG85" i="276"/>
  <c r="BG68" i="276"/>
  <c r="BG67" i="276"/>
  <c r="BG69" i="276"/>
  <c r="BG82" i="280"/>
  <c r="BG83" i="280"/>
  <c r="BG84" i="280"/>
  <c r="BG85" i="280"/>
  <c r="BG81" i="280"/>
  <c r="BG89" i="280"/>
  <c r="BH79" i="280"/>
  <c r="BG81" i="293"/>
  <c r="BG73" i="293"/>
  <c r="BH105" i="282"/>
  <c r="BH106" i="282" s="1"/>
  <c r="BH58" i="282"/>
  <c r="BH70" i="282"/>
  <c r="BH89" i="282"/>
  <c r="BH57" i="282"/>
  <c r="BE59" i="284"/>
  <c r="BE62" i="284" s="1"/>
  <c r="BF78" i="279"/>
  <c r="BF78" i="284"/>
  <c r="BF95" i="284"/>
  <c r="BF58" i="284" s="1"/>
  <c r="BF70" i="284"/>
  <c r="BG85" i="277"/>
  <c r="BG86" i="277"/>
  <c r="BG87" i="277"/>
  <c r="BG84" i="277"/>
  <c r="BG72" i="277"/>
  <c r="BG74" i="277"/>
  <c r="BG67" i="277"/>
  <c r="BG75" i="277"/>
  <c r="BG77" i="277" s="1"/>
  <c r="BF88" i="277"/>
  <c r="BF58" i="277" s="1"/>
  <c r="BG93" i="275"/>
  <c r="BG90" i="275"/>
  <c r="BG94" i="275" s="1"/>
  <c r="BG92" i="275"/>
  <c r="BG84" i="275"/>
  <c r="BG86" i="275"/>
  <c r="BG69" i="275"/>
  <c r="BG76" i="275"/>
  <c r="BG77" i="275" s="1"/>
  <c r="BG88" i="275"/>
  <c r="BG72" i="275"/>
  <c r="BG67" i="275"/>
  <c r="BG85" i="275"/>
  <c r="BG77" i="279"/>
  <c r="BG70" i="279"/>
  <c r="BE58" i="279"/>
  <c r="BE60" i="279" s="1"/>
  <c r="BE62" i="279" s="1"/>
  <c r="BG93" i="284"/>
  <c r="BG69" i="284"/>
  <c r="BG68" i="284"/>
  <c r="BG90" i="284"/>
  <c r="BG94" i="284" s="1"/>
  <c r="BG77" i="284"/>
  <c r="BG92" i="284"/>
  <c r="BG91" i="280"/>
  <c r="BG59" i="280"/>
  <c r="BG58" i="280"/>
  <c r="BG73" i="280"/>
  <c r="BG75" i="280" s="1"/>
  <c r="BG57" i="280" s="1"/>
  <c r="BG62" i="290"/>
  <c r="BH54" i="290"/>
  <c r="BH57" i="289"/>
  <c r="BH55" i="289"/>
  <c r="BI55" i="289" s="1"/>
  <c r="C14" i="289" s="1"/>
  <c r="BG67" i="295"/>
  <c r="BH65" i="295"/>
  <c r="BH67" i="295" s="1"/>
  <c r="BE59" i="293"/>
  <c r="BE62" i="293" s="1"/>
  <c r="BE57" i="277"/>
  <c r="BE59" i="277" s="1"/>
  <c r="BE62" i="277" s="1"/>
  <c r="BE59" i="275"/>
  <c r="BE62" i="275" s="1"/>
  <c r="BF87" i="275"/>
  <c r="BF95" i="275"/>
  <c r="BF58" i="275" s="1"/>
  <c r="BH54" i="276"/>
  <c r="BF78" i="277"/>
  <c r="BG75" i="279"/>
  <c r="BH54" i="279"/>
  <c r="BH69" i="279" s="1"/>
  <c r="BH54" i="293"/>
  <c r="BG62" i="289"/>
  <c r="BG70" i="295"/>
  <c r="BG59" i="295"/>
  <c r="BG62" i="295" s="1"/>
  <c r="BH54" i="295"/>
  <c r="BG87" i="275"/>
  <c r="BH54" i="275"/>
  <c r="BH54" i="277"/>
  <c r="BF87" i="293"/>
  <c r="BF97" i="293" s="1"/>
  <c r="BF58" i="293" s="1"/>
  <c r="BF78" i="275"/>
  <c r="BF57" i="275" s="1"/>
  <c r="BF90" i="276"/>
  <c r="BF98" i="276" s="1"/>
  <c r="BF58" i="276" s="1"/>
  <c r="BF70" i="276"/>
  <c r="BF57" i="276" s="1"/>
  <c r="BF75" i="293"/>
  <c r="BF57" i="293" s="1"/>
  <c r="BH54" i="284"/>
  <c r="BH75" i="284" s="1"/>
  <c r="BF62" i="295"/>
  <c r="BF107" i="280"/>
  <c r="BH54" i="280"/>
  <c r="BH55" i="280" s="1"/>
  <c r="BI55" i="280" s="1"/>
  <c r="BF62" i="280"/>
  <c r="BG75" i="282"/>
  <c r="BG59" i="282" s="1"/>
  <c r="BG62" i="282" s="1"/>
  <c r="BH55" i="276" l="1"/>
  <c r="BH93" i="276"/>
  <c r="BH97" i="276" s="1"/>
  <c r="BH68" i="276"/>
  <c r="BI68" i="276" s="1"/>
  <c r="BH85" i="276"/>
  <c r="BH67" i="276"/>
  <c r="BH69" i="276"/>
  <c r="BI69" i="276" s="1"/>
  <c r="BH81" i="280"/>
  <c r="BH85" i="280"/>
  <c r="BH82" i="280"/>
  <c r="BH83" i="280"/>
  <c r="BH84" i="280"/>
  <c r="BH89" i="280"/>
  <c r="BH73" i="293"/>
  <c r="BH75" i="293" s="1"/>
  <c r="BH81" i="293"/>
  <c r="BI55" i="293"/>
  <c r="C14" i="293" s="1"/>
  <c r="C11" i="285" s="1"/>
  <c r="BG95" i="284"/>
  <c r="BG58" i="284" s="1"/>
  <c r="BG78" i="279"/>
  <c r="BF57" i="284"/>
  <c r="BF59" i="284" s="1"/>
  <c r="BF62" i="284" s="1"/>
  <c r="BG78" i="284"/>
  <c r="BH84" i="277"/>
  <c r="BH72" i="277"/>
  <c r="BH74" i="277"/>
  <c r="BI74" i="277" s="1"/>
  <c r="BH67" i="277"/>
  <c r="BI55" i="277"/>
  <c r="C14" i="277" s="1"/>
  <c r="C16" i="285" s="1"/>
  <c r="BH85" i="277"/>
  <c r="BI85" i="277" s="1"/>
  <c r="BH86" i="277"/>
  <c r="BI86" i="277" s="1"/>
  <c r="BH87" i="277"/>
  <c r="BH75" i="277"/>
  <c r="BH77" i="277" s="1"/>
  <c r="BI77" i="277" s="1"/>
  <c r="BI68" i="277"/>
  <c r="BG88" i="277"/>
  <c r="BG58" i="277" s="1"/>
  <c r="BH88" i="275"/>
  <c r="BH85" i="275"/>
  <c r="BI85" i="275" s="1"/>
  <c r="BH93" i="275"/>
  <c r="BI93" i="275" s="1"/>
  <c r="BH76" i="275"/>
  <c r="BH77" i="275" s="1"/>
  <c r="BI77" i="275" s="1"/>
  <c r="BH92" i="275"/>
  <c r="BI92" i="275" s="1"/>
  <c r="BH84" i="275"/>
  <c r="BH86" i="275"/>
  <c r="BI86" i="275" s="1"/>
  <c r="BI55" i="275"/>
  <c r="BH90" i="275"/>
  <c r="D23" i="275" s="1"/>
  <c r="BH72" i="275"/>
  <c r="BH67" i="275"/>
  <c r="BI69" i="279"/>
  <c r="BH70" i="279"/>
  <c r="BI55" i="279"/>
  <c r="C14" i="279" s="1"/>
  <c r="C13" i="285" s="1"/>
  <c r="BI76" i="279"/>
  <c r="BG70" i="284"/>
  <c r="BH93" i="284"/>
  <c r="BI93" i="284" s="1"/>
  <c r="BH92" i="284"/>
  <c r="BI92" i="284" s="1"/>
  <c r="BH90" i="284"/>
  <c r="D23" i="284" s="1"/>
  <c r="BI76" i="284"/>
  <c r="BH77" i="284"/>
  <c r="BI55" i="284"/>
  <c r="BH69" i="284"/>
  <c r="BH68" i="284"/>
  <c r="C14" i="280"/>
  <c r="C9" i="285" s="1"/>
  <c r="BH58" i="280"/>
  <c r="BI58" i="280" s="1"/>
  <c r="BH91" i="280"/>
  <c r="BI91" i="280" s="1"/>
  <c r="BH59" i="280"/>
  <c r="BI59" i="280" s="1"/>
  <c r="C13" i="280" s="1"/>
  <c r="B9" i="285" s="1"/>
  <c r="BI106" i="280"/>
  <c r="BH73" i="280"/>
  <c r="BI55" i="290"/>
  <c r="C14" i="290" s="1"/>
  <c r="C15" i="289"/>
  <c r="E21" i="285" s="1"/>
  <c r="BH59" i="289"/>
  <c r="BI59" i="289" s="1"/>
  <c r="C13" i="289" s="1"/>
  <c r="B21" i="285" s="1"/>
  <c r="BI57" i="289"/>
  <c r="D21" i="295"/>
  <c r="D20" i="295"/>
  <c r="BF59" i="276"/>
  <c r="BF62" i="276" s="1"/>
  <c r="BF59" i="293"/>
  <c r="BF62" i="293" s="1"/>
  <c r="BG75" i="293"/>
  <c r="BG57" i="293" s="1"/>
  <c r="BF89" i="277"/>
  <c r="BG78" i="277"/>
  <c r="BG78" i="275"/>
  <c r="BG57" i="275" s="1"/>
  <c r="BH70" i="295"/>
  <c r="BI70" i="295" s="1"/>
  <c r="BI55" i="295"/>
  <c r="C14" i="295" s="1"/>
  <c r="C15" i="295" s="1"/>
  <c r="BH59" i="295"/>
  <c r="BI59" i="295" s="1"/>
  <c r="C13" i="295" s="1"/>
  <c r="B12" i="285" s="1"/>
  <c r="BG95" i="275"/>
  <c r="BG58" i="275" s="1"/>
  <c r="BG87" i="293"/>
  <c r="BG97" i="293" s="1"/>
  <c r="BG58" i="293" s="1"/>
  <c r="BH75" i="279"/>
  <c r="BG70" i="276"/>
  <c r="BG57" i="276" s="1"/>
  <c r="BG90" i="276"/>
  <c r="BG98" i="276" s="1"/>
  <c r="BG58" i="276" s="1"/>
  <c r="BF59" i="275"/>
  <c r="BF62" i="275" s="1"/>
  <c r="BF58" i="279"/>
  <c r="BF60" i="279" s="1"/>
  <c r="BF62" i="279" s="1"/>
  <c r="BF57" i="277"/>
  <c r="BF59" i="277" s="1"/>
  <c r="BI88" i="280"/>
  <c r="BG107" i="280"/>
  <c r="BG62" i="280"/>
  <c r="BH75" i="282"/>
  <c r="D21" i="276" l="1"/>
  <c r="D20" i="276"/>
  <c r="I21" i="285"/>
  <c r="H21" i="285"/>
  <c r="K21" i="285"/>
  <c r="BG57" i="284"/>
  <c r="BG59" i="284" s="1"/>
  <c r="BG62" i="284" s="1"/>
  <c r="BH62" i="290"/>
  <c r="BI62" i="290" s="1"/>
  <c r="C16" i="290" s="1"/>
  <c r="D22" i="285" s="1"/>
  <c r="BI77" i="284"/>
  <c r="BH78" i="284"/>
  <c r="BG89" i="277"/>
  <c r="BH88" i="277"/>
  <c r="BI88" i="277" s="1"/>
  <c r="D20" i="277"/>
  <c r="D21" i="277"/>
  <c r="C15" i="277"/>
  <c r="E16" i="285" s="1"/>
  <c r="BI68" i="275"/>
  <c r="BH69" i="275"/>
  <c r="BI69" i="275" s="1"/>
  <c r="BH94" i="275"/>
  <c r="BI94" i="275" s="1"/>
  <c r="D21" i="275"/>
  <c r="D20" i="275"/>
  <c r="BH77" i="279"/>
  <c r="BI69" i="284"/>
  <c r="BH70" i="284"/>
  <c r="BI70" i="284" s="1"/>
  <c r="BH94" i="284"/>
  <c r="BI94" i="284" s="1"/>
  <c r="D20" i="284"/>
  <c r="D21" i="284"/>
  <c r="C15" i="290"/>
  <c r="E22" i="285" s="1"/>
  <c r="BH62" i="289"/>
  <c r="BI62" i="289" s="1"/>
  <c r="C16" i="289" s="1"/>
  <c r="D21" i="285" s="1"/>
  <c r="J21" i="285"/>
  <c r="BF62" i="277"/>
  <c r="BH57" i="293"/>
  <c r="BI57" i="293" s="1"/>
  <c r="BI75" i="293"/>
  <c r="BG59" i="293"/>
  <c r="BG62" i="293" s="1"/>
  <c r="BH78" i="275"/>
  <c r="BI78" i="275" s="1"/>
  <c r="BI69" i="277"/>
  <c r="BH78" i="277"/>
  <c r="BI78" i="277" s="1"/>
  <c r="BG57" i="277"/>
  <c r="BG59" i="277" s="1"/>
  <c r="BG62" i="277" s="1"/>
  <c r="BG59" i="275"/>
  <c r="BG62" i="275" s="1"/>
  <c r="BH90" i="276"/>
  <c r="BI96" i="293"/>
  <c r="BH87" i="293"/>
  <c r="BH95" i="275"/>
  <c r="BH87" i="275"/>
  <c r="BI87" i="275" s="1"/>
  <c r="BG58" i="279"/>
  <c r="BG60" i="279" s="1"/>
  <c r="BG62" i="279" s="1"/>
  <c r="BH62" i="295"/>
  <c r="BI62" i="295" s="1"/>
  <c r="C16" i="295" s="1"/>
  <c r="D12" i="285" s="1"/>
  <c r="E12" i="285"/>
  <c r="K12" i="285" s="1"/>
  <c r="BH70" i="276"/>
  <c r="BG59" i="276"/>
  <c r="BG62" i="276" s="1"/>
  <c r="BI70" i="280"/>
  <c r="BI69" i="280"/>
  <c r="BH75" i="280"/>
  <c r="BH62" i="280"/>
  <c r="BI62" i="280" s="1"/>
  <c r="C16" i="280" s="1"/>
  <c r="D9" i="285" s="1"/>
  <c r="C15" i="280"/>
  <c r="E9" i="285" s="1"/>
  <c r="BH107" i="280"/>
  <c r="BI107" i="280" s="1"/>
  <c r="D20" i="280"/>
  <c r="D21" i="280"/>
  <c r="BI69" i="282"/>
  <c r="I22" i="285" l="1"/>
  <c r="H22" i="285"/>
  <c r="K22" i="285"/>
  <c r="I16" i="285"/>
  <c r="H16" i="285"/>
  <c r="K16" i="285"/>
  <c r="H9" i="285"/>
  <c r="K9" i="285"/>
  <c r="I9" i="285"/>
  <c r="J9" i="285"/>
  <c r="J12" i="285"/>
  <c r="BH98" i="276"/>
  <c r="BH58" i="276" s="1"/>
  <c r="BI87" i="293"/>
  <c r="BH97" i="293"/>
  <c r="BH58" i="293" s="1"/>
  <c r="BH58" i="277"/>
  <c r="BI58" i="277" s="1"/>
  <c r="J16" i="285"/>
  <c r="BH95" i="284"/>
  <c r="BH58" i="284" s="1"/>
  <c r="BI58" i="284" s="1"/>
  <c r="BH78" i="279"/>
  <c r="J22" i="285"/>
  <c r="BH57" i="284"/>
  <c r="BI78" i="284"/>
  <c r="BH57" i="276"/>
  <c r="BI57" i="276" s="1"/>
  <c r="BI70" i="276"/>
  <c r="BH58" i="275"/>
  <c r="BI58" i="275" s="1"/>
  <c r="BI95" i="275"/>
  <c r="BH57" i="275"/>
  <c r="BI57" i="275" s="1"/>
  <c r="BH57" i="277"/>
  <c r="BH89" i="277"/>
  <c r="BI75" i="280"/>
  <c r="BH57" i="280"/>
  <c r="BI57" i="280" s="1"/>
  <c r="BI70" i="282"/>
  <c r="BI97" i="293" l="1"/>
  <c r="BI95" i="284"/>
  <c r="BH59" i="275"/>
  <c r="BH62" i="275" s="1"/>
  <c r="BI62" i="275" s="1"/>
  <c r="D15" i="285" s="1"/>
  <c r="BH59" i="276"/>
  <c r="BH62" i="276" s="1"/>
  <c r="BH59" i="284"/>
  <c r="BI57" i="284"/>
  <c r="BH59" i="277"/>
  <c r="BI57" i="277"/>
  <c r="BH58" i="279"/>
  <c r="BH59" i="293"/>
  <c r="BI58" i="293"/>
  <c r="BH59" i="282"/>
  <c r="BI59" i="275" l="1"/>
  <c r="BH62" i="284"/>
  <c r="BI62" i="284" s="1"/>
  <c r="BI59" i="284"/>
  <c r="BH62" i="277"/>
  <c r="BI62" i="277" s="1"/>
  <c r="C16" i="277" s="1"/>
  <c r="D16" i="285" s="1"/>
  <c r="BI59" i="277"/>
  <c r="C13" i="277" s="1"/>
  <c r="B16" i="285" s="1"/>
  <c r="BH60" i="279"/>
  <c r="BH62" i="293"/>
  <c r="BI62" i="293" s="1"/>
  <c r="C16" i="293" s="1"/>
  <c r="D11" i="285" s="1"/>
  <c r="BI59" i="293"/>
  <c r="C13" i="293" s="1"/>
  <c r="BH62" i="282"/>
  <c r="I28" i="282"/>
  <c r="I32" i="282" s="1"/>
  <c r="J27" i="282" l="1"/>
  <c r="L28" i="282" s="1"/>
  <c r="L32" i="282" s="1"/>
  <c r="B15" i="285"/>
  <c r="E15" i="285"/>
  <c r="C15" i="284"/>
  <c r="C16" i="284" s="1"/>
  <c r="B20" i="285"/>
  <c r="BH62" i="279"/>
  <c r="B11" i="285"/>
  <c r="C15" i="293"/>
  <c r="E11" i="285" s="1"/>
  <c r="L41" i="291" l="1"/>
  <c r="E39" i="285"/>
  <c r="O27" i="282"/>
  <c r="O28" i="282" s="1"/>
  <c r="O32" i="282" s="1"/>
  <c r="W24" i="282" s="1"/>
  <c r="J28" i="282"/>
  <c r="J32" i="282" s="1"/>
  <c r="K27" i="282"/>
  <c r="N27" i="282" s="1"/>
  <c r="N28" i="282" s="1"/>
  <c r="N32" i="282" s="1"/>
  <c r="I7" i="322"/>
  <c r="J7" i="322"/>
  <c r="L7" i="322" s="1"/>
  <c r="M7" i="322" s="1"/>
  <c r="O7" i="322" s="1"/>
  <c r="J7" i="276"/>
  <c r="L7" i="276" s="1"/>
  <c r="M7" i="276" s="1"/>
  <c r="Q7" i="276" s="1"/>
  <c r="K15" i="285"/>
  <c r="C91" i="291" s="1"/>
  <c r="I15" i="285"/>
  <c r="H15" i="285"/>
  <c r="J11" i="285"/>
  <c r="I11" i="285"/>
  <c r="H11" i="285"/>
  <c r="K11" i="285"/>
  <c r="M27" i="282"/>
  <c r="M28" i="282" s="1"/>
  <c r="K28" i="282"/>
  <c r="K32" i="282" s="1"/>
  <c r="V26" i="282" s="1"/>
  <c r="J15" i="285"/>
  <c r="W26" i="282"/>
  <c r="D33" i="282" s="1"/>
  <c r="V25" i="282"/>
  <c r="E20" i="285"/>
  <c r="D20" i="285"/>
  <c r="D30" i="282"/>
  <c r="M32" i="282" l="1"/>
  <c r="W25" i="282" s="1"/>
  <c r="P7" i="322"/>
  <c r="M10" i="322" s="1"/>
  <c r="K11" i="276"/>
  <c r="L11" i="276"/>
  <c r="J11" i="276"/>
  <c r="S7" i="276"/>
  <c r="R7" i="276"/>
  <c r="H20" i="285"/>
  <c r="K20" i="285"/>
  <c r="I20" i="285"/>
  <c r="J55" i="282"/>
  <c r="N55" i="282"/>
  <c r="I55" i="282"/>
  <c r="L55" i="282"/>
  <c r="G55" i="282"/>
  <c r="K55" i="282"/>
  <c r="O55" i="282"/>
  <c r="P55" i="282"/>
  <c r="M55" i="282"/>
  <c r="H55" i="282"/>
  <c r="K73" i="282"/>
  <c r="I73" i="282"/>
  <c r="J73" i="282"/>
  <c r="H73" i="282"/>
  <c r="M73" i="282"/>
  <c r="N73" i="282"/>
  <c r="L73" i="282"/>
  <c r="G73" i="282"/>
  <c r="P73" i="282"/>
  <c r="O73" i="282"/>
  <c r="X26" i="282"/>
  <c r="H67" i="282" s="1"/>
  <c r="H93" i="282"/>
  <c r="L93" i="282"/>
  <c r="P93" i="282"/>
  <c r="T93" i="282"/>
  <c r="X93" i="282"/>
  <c r="AB93" i="282"/>
  <c r="AF93" i="282"/>
  <c r="AJ93" i="282"/>
  <c r="AN93" i="282"/>
  <c r="AR93" i="282"/>
  <c r="AV93" i="282"/>
  <c r="AV109" i="282" s="1"/>
  <c r="AZ93" i="282"/>
  <c r="AZ109" i="282" s="1"/>
  <c r="BD93" i="282"/>
  <c r="BD109" i="282" s="1"/>
  <c r="BH93" i="282"/>
  <c r="BH109" i="282" s="1"/>
  <c r="I93" i="282"/>
  <c r="M93" i="282"/>
  <c r="Q93" i="282"/>
  <c r="U93" i="282"/>
  <c r="Y93" i="282"/>
  <c r="AC93" i="282"/>
  <c r="AG93" i="282"/>
  <c r="AK93" i="282"/>
  <c r="AO93" i="282"/>
  <c r="AS93" i="282"/>
  <c r="AS109" i="282" s="1"/>
  <c r="R65" i="325" s="1"/>
  <c r="T65" i="325" s="1"/>
  <c r="AW93" i="282"/>
  <c r="AW109" i="282" s="1"/>
  <c r="BA93" i="282"/>
  <c r="BA109" i="282" s="1"/>
  <c r="BE93" i="282"/>
  <c r="BE109" i="282" s="1"/>
  <c r="G93" i="282"/>
  <c r="J93" i="282"/>
  <c r="N93" i="282"/>
  <c r="R93" i="282"/>
  <c r="V93" i="282"/>
  <c r="Z93" i="282"/>
  <c r="AD93" i="282"/>
  <c r="AH93" i="282"/>
  <c r="AL93" i="282"/>
  <c r="AP93" i="282"/>
  <c r="AT93" i="282"/>
  <c r="AT109" i="282" s="1"/>
  <c r="AX93" i="282"/>
  <c r="AX109" i="282" s="1"/>
  <c r="BB93" i="282"/>
  <c r="BB109" i="282" s="1"/>
  <c r="BF93" i="282"/>
  <c r="BF109" i="282" s="1"/>
  <c r="K93" i="282"/>
  <c r="O93" i="282"/>
  <c r="S93" i="282"/>
  <c r="W93" i="282"/>
  <c r="AA93" i="282"/>
  <c r="AE93" i="282"/>
  <c r="AI93" i="282"/>
  <c r="AM93" i="282"/>
  <c r="AQ93" i="282"/>
  <c r="AU93" i="282"/>
  <c r="AU109" i="282" s="1"/>
  <c r="AY93" i="282"/>
  <c r="AY109" i="282" s="1"/>
  <c r="BC93" i="282"/>
  <c r="BC109" i="282" s="1"/>
  <c r="BG93" i="282"/>
  <c r="BG109" i="282" s="1"/>
  <c r="F10" i="282"/>
  <c r="E30" i="285" s="1"/>
  <c r="J20" i="285"/>
  <c r="D30" i="285"/>
  <c r="Q75" i="282"/>
  <c r="AP109" i="282" l="1"/>
  <c r="R62" i="325" s="1"/>
  <c r="T62" i="325" s="1"/>
  <c r="L74" i="304"/>
  <c r="J109" i="282"/>
  <c r="L42" i="304"/>
  <c r="R69" i="325"/>
  <c r="T69" i="325" s="1"/>
  <c r="R69" i="304"/>
  <c r="T69" i="304" s="1"/>
  <c r="AG109" i="282"/>
  <c r="R53" i="325" s="1"/>
  <c r="T53" i="325" s="1"/>
  <c r="L65" i="304"/>
  <c r="Q109" i="282"/>
  <c r="L49" i="304"/>
  <c r="AN109" i="282"/>
  <c r="R60" i="325" s="1"/>
  <c r="T60" i="325" s="1"/>
  <c r="L72" i="304"/>
  <c r="X109" i="282"/>
  <c r="R44" i="325" s="1"/>
  <c r="T44" i="325" s="1"/>
  <c r="L56" i="304"/>
  <c r="H109" i="282"/>
  <c r="L40" i="304"/>
  <c r="R71" i="325"/>
  <c r="T71" i="325" s="1"/>
  <c r="R71" i="304"/>
  <c r="T71" i="304" s="1"/>
  <c r="AI109" i="282"/>
  <c r="R55" i="325" s="1"/>
  <c r="T55" i="325" s="1"/>
  <c r="L67" i="304"/>
  <c r="S109" i="282"/>
  <c r="R39" i="325" s="1"/>
  <c r="T39" i="325" s="1"/>
  <c r="L51" i="304"/>
  <c r="R74" i="325"/>
  <c r="T74" i="325" s="1"/>
  <c r="R74" i="304"/>
  <c r="T74" i="304" s="1"/>
  <c r="AL109" i="282"/>
  <c r="R58" i="325" s="1"/>
  <c r="T58" i="325" s="1"/>
  <c r="L70" i="304"/>
  <c r="V109" i="282"/>
  <c r="R42" i="325" s="1"/>
  <c r="T42" i="325" s="1"/>
  <c r="L54" i="304"/>
  <c r="G109" i="282"/>
  <c r="L39" i="304"/>
  <c r="AC109" i="282"/>
  <c r="R49" i="325" s="1"/>
  <c r="T49" i="325" s="1"/>
  <c r="L61" i="304"/>
  <c r="R67" i="325"/>
  <c r="T67" i="325" s="1"/>
  <c r="R67" i="304"/>
  <c r="T67" i="304" s="1"/>
  <c r="AE109" i="282"/>
  <c r="R51" i="325" s="1"/>
  <c r="T51" i="325" s="1"/>
  <c r="L63" i="304"/>
  <c r="O109" i="282"/>
  <c r="L47" i="304"/>
  <c r="R70" i="325"/>
  <c r="T70" i="325" s="1"/>
  <c r="R70" i="304"/>
  <c r="T70" i="304" s="1"/>
  <c r="AH109" i="282"/>
  <c r="R54" i="325" s="1"/>
  <c r="T54" i="325" s="1"/>
  <c r="L66" i="304"/>
  <c r="R109" i="282"/>
  <c r="R38" i="325" s="1"/>
  <c r="T38" i="325" s="1"/>
  <c r="L50" i="304"/>
  <c r="AO109" i="282"/>
  <c r="R61" i="325" s="1"/>
  <c r="T61" i="325" s="1"/>
  <c r="L73" i="304"/>
  <c r="Y109" i="282"/>
  <c r="R45" i="325" s="1"/>
  <c r="T45" i="325" s="1"/>
  <c r="L57" i="304"/>
  <c r="I109" i="282"/>
  <c r="L41" i="304"/>
  <c r="R68" i="325"/>
  <c r="T68" i="325" s="1"/>
  <c r="R68" i="304"/>
  <c r="T68" i="304" s="1"/>
  <c r="AF109" i="282"/>
  <c r="R52" i="325" s="1"/>
  <c r="T52" i="325" s="1"/>
  <c r="L64" i="304"/>
  <c r="P109" i="282"/>
  <c r="L48" i="304"/>
  <c r="R75" i="325"/>
  <c r="T75" i="325" s="1"/>
  <c r="R75" i="304"/>
  <c r="T75" i="304" s="1"/>
  <c r="AM109" i="282"/>
  <c r="R59" i="325" s="1"/>
  <c r="T59" i="325" s="1"/>
  <c r="L71" i="304"/>
  <c r="W109" i="282"/>
  <c r="R43" i="325" s="1"/>
  <c r="T43" i="325" s="1"/>
  <c r="L55" i="304"/>
  <c r="Z109" i="282"/>
  <c r="R46" i="325" s="1"/>
  <c r="T46" i="325" s="1"/>
  <c r="L58" i="304"/>
  <c r="R76" i="325"/>
  <c r="T76" i="325" s="1"/>
  <c r="R76" i="304"/>
  <c r="T76" i="304" s="1"/>
  <c r="M109" i="282"/>
  <c r="L45" i="304"/>
  <c r="R72" i="325"/>
  <c r="T72" i="325" s="1"/>
  <c r="R72" i="304"/>
  <c r="T72" i="304" s="1"/>
  <c r="AJ109" i="282"/>
  <c r="R56" i="325" s="1"/>
  <c r="T56" i="325" s="1"/>
  <c r="L68" i="304"/>
  <c r="T109" i="282"/>
  <c r="R40" i="325" s="1"/>
  <c r="T40" i="325" s="1"/>
  <c r="L52" i="304"/>
  <c r="D34" i="276"/>
  <c r="M93" i="276" s="1"/>
  <c r="M97" i="276" s="1"/>
  <c r="D93" i="291"/>
  <c r="AQ109" i="282"/>
  <c r="R63" i="325" s="1"/>
  <c r="T63" i="325" s="1"/>
  <c r="L75" i="304"/>
  <c r="AA109" i="282"/>
  <c r="R47" i="325" s="1"/>
  <c r="T47" i="325" s="1"/>
  <c r="L59" i="304"/>
  <c r="K109" i="282"/>
  <c r="L43" i="304"/>
  <c r="R66" i="325"/>
  <c r="T66" i="325" s="1"/>
  <c r="R66" i="304"/>
  <c r="T66" i="304" s="1"/>
  <c r="AD109" i="282"/>
  <c r="R50" i="325" s="1"/>
  <c r="T50" i="325" s="1"/>
  <c r="L62" i="304"/>
  <c r="N109" i="282"/>
  <c r="L46" i="304"/>
  <c r="R73" i="325"/>
  <c r="T73" i="325" s="1"/>
  <c r="R73" i="304"/>
  <c r="T73" i="304" s="1"/>
  <c r="AK109" i="282"/>
  <c r="R57" i="325" s="1"/>
  <c r="T57" i="325" s="1"/>
  <c r="L69" i="304"/>
  <c r="U109" i="282"/>
  <c r="R41" i="325" s="1"/>
  <c r="T41" i="325" s="1"/>
  <c r="L53" i="304"/>
  <c r="AR109" i="282"/>
  <c r="R64" i="325" s="1"/>
  <c r="T64" i="325" s="1"/>
  <c r="L76" i="304"/>
  <c r="AB109" i="282"/>
  <c r="R48" i="325" s="1"/>
  <c r="T48" i="325" s="1"/>
  <c r="L60" i="304"/>
  <c r="L109" i="282"/>
  <c r="L44" i="304"/>
  <c r="L38" i="304"/>
  <c r="D34" i="282"/>
  <c r="X25" i="282"/>
  <c r="G81" i="282" s="1"/>
  <c r="G89" i="282" s="1"/>
  <c r="G90" i="282" s="1"/>
  <c r="J10" i="322"/>
  <c r="K10" i="322" s="1"/>
  <c r="R51" i="304"/>
  <c r="T51" i="304" s="1"/>
  <c r="R54" i="304"/>
  <c r="T54" i="304" s="1"/>
  <c r="R53" i="304"/>
  <c r="T53" i="304" s="1"/>
  <c r="R40" i="304"/>
  <c r="T40" i="304" s="1"/>
  <c r="R50" i="304"/>
  <c r="T50" i="304" s="1"/>
  <c r="R43" i="304"/>
  <c r="T43" i="304" s="1"/>
  <c r="R55" i="304"/>
  <c r="T55" i="304" s="1"/>
  <c r="R58" i="304"/>
  <c r="T58" i="304" s="1"/>
  <c r="R42" i="304"/>
  <c r="T42" i="304" s="1"/>
  <c r="R65" i="304"/>
  <c r="T65" i="304" s="1"/>
  <c r="R49" i="304"/>
  <c r="T49" i="304" s="1"/>
  <c r="R56" i="304"/>
  <c r="T56" i="304" s="1"/>
  <c r="R47" i="304"/>
  <c r="T47" i="304" s="1"/>
  <c r="R57" i="304"/>
  <c r="T57" i="304" s="1"/>
  <c r="R64" i="304"/>
  <c r="T64" i="304" s="1"/>
  <c r="R59" i="304"/>
  <c r="T59" i="304" s="1"/>
  <c r="R62" i="304"/>
  <c r="T62" i="304" s="1"/>
  <c r="R46" i="304"/>
  <c r="T46" i="304" s="1"/>
  <c r="R60" i="304"/>
  <c r="T60" i="304" s="1"/>
  <c r="R44" i="304"/>
  <c r="T44" i="304" s="1"/>
  <c r="R39" i="304"/>
  <c r="T39" i="304" s="1"/>
  <c r="R61" i="304"/>
  <c r="T61" i="304" s="1"/>
  <c r="N93" i="276"/>
  <c r="N97" i="276" s="1"/>
  <c r="P93" i="276"/>
  <c r="P97" i="276" s="1"/>
  <c r="O93" i="276"/>
  <c r="O97" i="276" s="1"/>
  <c r="T93" i="276"/>
  <c r="T97" i="276" s="1"/>
  <c r="Z93" i="276"/>
  <c r="Z97" i="276" s="1"/>
  <c r="S93" i="276"/>
  <c r="S97" i="276" s="1"/>
  <c r="L93" i="276"/>
  <c r="L97" i="276" s="1"/>
  <c r="K93" i="276"/>
  <c r="K97" i="276" s="1"/>
  <c r="J93" i="276"/>
  <c r="J97" i="276" s="1"/>
  <c r="V93" i="276"/>
  <c r="V97" i="276" s="1"/>
  <c r="AB93" i="276"/>
  <c r="AB97" i="276" s="1"/>
  <c r="H93" i="276"/>
  <c r="H97" i="276" s="1"/>
  <c r="Q93" i="276"/>
  <c r="Q97" i="276" s="1"/>
  <c r="W93" i="276"/>
  <c r="W97" i="276" s="1"/>
  <c r="N11" i="276"/>
  <c r="D30" i="276" s="1"/>
  <c r="H55" i="276" s="1"/>
  <c r="M11" i="276"/>
  <c r="R11" i="276" s="1"/>
  <c r="I93" i="276"/>
  <c r="I97" i="276" s="1"/>
  <c r="R93" i="276"/>
  <c r="R97" i="276" s="1"/>
  <c r="X93" i="276"/>
  <c r="X97" i="276" s="1"/>
  <c r="U93" i="276"/>
  <c r="U97" i="276" s="1"/>
  <c r="Y93" i="276"/>
  <c r="Y97" i="276" s="1"/>
  <c r="AA93" i="276"/>
  <c r="AA97" i="276" s="1"/>
  <c r="X89" i="276"/>
  <c r="R89" i="276"/>
  <c r="I89" i="276"/>
  <c r="Y89" i="276"/>
  <c r="P89" i="276"/>
  <c r="Q11" i="276"/>
  <c r="O89" i="276"/>
  <c r="M89" i="276"/>
  <c r="AB89" i="276"/>
  <c r="J89" i="276"/>
  <c r="U89" i="276"/>
  <c r="H89" i="276"/>
  <c r="T89" i="276"/>
  <c r="Z89" i="276"/>
  <c r="N89" i="276"/>
  <c r="V89" i="276"/>
  <c r="W89" i="276"/>
  <c r="K89" i="276"/>
  <c r="S89" i="276"/>
  <c r="Q89" i="276"/>
  <c r="L89" i="276"/>
  <c r="AA89" i="276"/>
  <c r="D30" i="322"/>
  <c r="N10" i="322"/>
  <c r="O67" i="282"/>
  <c r="O75" i="282" s="1"/>
  <c r="O57" i="282" s="1"/>
  <c r="K67" i="282"/>
  <c r="K75" i="282" s="1"/>
  <c r="K57" i="282" s="1"/>
  <c r="P67" i="282"/>
  <c r="P75" i="282" s="1"/>
  <c r="P57" i="282" s="1"/>
  <c r="N67" i="282"/>
  <c r="N75" i="282" s="1"/>
  <c r="N57" i="282" s="1"/>
  <c r="I67" i="282"/>
  <c r="I75" i="282" s="1"/>
  <c r="I57" i="282" s="1"/>
  <c r="J67" i="282"/>
  <c r="J75" i="282" s="1"/>
  <c r="J57" i="282" s="1"/>
  <c r="L67" i="282"/>
  <c r="L75" i="282" s="1"/>
  <c r="L57" i="282" s="1"/>
  <c r="G67" i="282"/>
  <c r="G75" i="282" s="1"/>
  <c r="G57" i="282" s="1"/>
  <c r="M67" i="282"/>
  <c r="M75" i="282" s="1"/>
  <c r="M57" i="282" s="1"/>
  <c r="H75" i="282"/>
  <c r="H57" i="282" s="1"/>
  <c r="G105" i="282"/>
  <c r="M105" i="282"/>
  <c r="O105" i="282"/>
  <c r="I105" i="282"/>
  <c r="P105" i="282"/>
  <c r="K105" i="282"/>
  <c r="N105" i="282"/>
  <c r="L105" i="282"/>
  <c r="J105" i="282"/>
  <c r="H105" i="282"/>
  <c r="J81" i="282"/>
  <c r="J89" i="282" s="1"/>
  <c r="J90" i="282" s="1"/>
  <c r="BI55" i="282"/>
  <c r="C14" i="282" s="1"/>
  <c r="C10" i="285" s="1"/>
  <c r="C30" i="285"/>
  <c r="D33" i="285"/>
  <c r="Q90" i="282"/>
  <c r="D22" i="282"/>
  <c r="D23" i="282" s="1"/>
  <c r="P60" i="304" l="1"/>
  <c r="M60" i="304"/>
  <c r="M53" i="304"/>
  <c r="P53" i="304"/>
  <c r="M43" i="304"/>
  <c r="P43" i="304"/>
  <c r="P52" i="304"/>
  <c r="M52" i="304"/>
  <c r="M41" i="304"/>
  <c r="P41" i="304"/>
  <c r="M66" i="304"/>
  <c r="P66" i="304"/>
  <c r="P47" i="304"/>
  <c r="M47" i="304"/>
  <c r="P39" i="304"/>
  <c r="M39" i="304"/>
  <c r="M51" i="304"/>
  <c r="P51" i="304"/>
  <c r="P56" i="304"/>
  <c r="M56" i="304"/>
  <c r="M49" i="304"/>
  <c r="P49" i="304"/>
  <c r="P74" i="304"/>
  <c r="M74" i="304"/>
  <c r="C33" i="285"/>
  <c r="B43" i="285" s="1"/>
  <c r="C39" i="285"/>
  <c r="D34" i="322"/>
  <c r="D94" i="291"/>
  <c r="P44" i="304"/>
  <c r="M44" i="304"/>
  <c r="P76" i="304"/>
  <c r="M76" i="304"/>
  <c r="M69" i="304"/>
  <c r="P69" i="304"/>
  <c r="P46" i="304"/>
  <c r="M46" i="304"/>
  <c r="M59" i="304"/>
  <c r="P59" i="304"/>
  <c r="P68" i="304"/>
  <c r="M68" i="304"/>
  <c r="M45" i="304"/>
  <c r="P45" i="304"/>
  <c r="P58" i="304"/>
  <c r="M58" i="304"/>
  <c r="P71" i="304"/>
  <c r="M71" i="304"/>
  <c r="P48" i="304"/>
  <c r="M48" i="304"/>
  <c r="M57" i="304"/>
  <c r="P57" i="304"/>
  <c r="M50" i="304"/>
  <c r="P50" i="304"/>
  <c r="P63" i="304"/>
  <c r="M63" i="304"/>
  <c r="M61" i="304"/>
  <c r="P61" i="304"/>
  <c r="P54" i="304"/>
  <c r="M54" i="304"/>
  <c r="M67" i="304"/>
  <c r="P67" i="304"/>
  <c r="P40" i="304"/>
  <c r="M40" i="304"/>
  <c r="P72" i="304"/>
  <c r="M72" i="304"/>
  <c r="M65" i="304"/>
  <c r="P65" i="304"/>
  <c r="P42" i="304"/>
  <c r="M42" i="304"/>
  <c r="R48" i="304"/>
  <c r="T48" i="304" s="1"/>
  <c r="R63" i="304"/>
  <c r="T63" i="304" s="1"/>
  <c r="R41" i="304"/>
  <c r="T41" i="304" s="1"/>
  <c r="R52" i="304"/>
  <c r="T52" i="304" s="1"/>
  <c r="P62" i="304"/>
  <c r="M62" i="304"/>
  <c r="M75" i="304"/>
  <c r="P75" i="304"/>
  <c r="P55" i="304"/>
  <c r="M55" i="304"/>
  <c r="P64" i="304"/>
  <c r="M64" i="304"/>
  <c r="M73" i="304"/>
  <c r="P73" i="304"/>
  <c r="P70" i="304"/>
  <c r="M70" i="304"/>
  <c r="M38" i="304"/>
  <c r="P38" i="304"/>
  <c r="B46" i="285" s="1"/>
  <c r="I81" i="282"/>
  <c r="I89" i="282" s="1"/>
  <c r="I90" i="282" s="1"/>
  <c r="I106" i="282" s="1"/>
  <c r="I58" i="282" s="1"/>
  <c r="I59" i="282" s="1"/>
  <c r="I62" i="282" s="1"/>
  <c r="H81" i="282"/>
  <c r="H89" i="282" s="1"/>
  <c r="H90" i="282" s="1"/>
  <c r="H106" i="282" s="1"/>
  <c r="L81" i="282"/>
  <c r="L89" i="282" s="1"/>
  <c r="L90" i="282" s="1"/>
  <c r="L106" i="282" s="1"/>
  <c r="L58" i="282" s="1"/>
  <c r="L59" i="282" s="1"/>
  <c r="L62" i="282" s="1"/>
  <c r="N81" i="282"/>
  <c r="N89" i="282" s="1"/>
  <c r="N90" i="282" s="1"/>
  <c r="N106" i="282" s="1"/>
  <c r="N58" i="282" s="1"/>
  <c r="N59" i="282" s="1"/>
  <c r="N62" i="282" s="1"/>
  <c r="M81" i="282"/>
  <c r="M89" i="282" s="1"/>
  <c r="M90" i="282" s="1"/>
  <c r="M106" i="282" s="1"/>
  <c r="M58" i="282" s="1"/>
  <c r="M59" i="282" s="1"/>
  <c r="M62" i="282" s="1"/>
  <c r="O81" i="282"/>
  <c r="O89" i="282" s="1"/>
  <c r="O90" i="282" s="1"/>
  <c r="O106" i="282" s="1"/>
  <c r="O58" i="282" s="1"/>
  <c r="O59" i="282" s="1"/>
  <c r="O62" i="282" s="1"/>
  <c r="P81" i="282"/>
  <c r="P89" i="282" s="1"/>
  <c r="P90" i="282" s="1"/>
  <c r="K81" i="282"/>
  <c r="K89" i="282" s="1"/>
  <c r="K90" i="282" s="1"/>
  <c r="K106" i="282" s="1"/>
  <c r="K58" i="282" s="1"/>
  <c r="K59" i="282" s="1"/>
  <c r="K62" i="282" s="1"/>
  <c r="X85" i="322"/>
  <c r="X89" i="322" s="1"/>
  <c r="S85" i="322"/>
  <c r="S89" i="322" s="1"/>
  <c r="U85" i="322"/>
  <c r="U89" i="322" s="1"/>
  <c r="K85" i="322"/>
  <c r="K89" i="322" s="1"/>
  <c r="P85" i="322"/>
  <c r="P89" i="322" s="1"/>
  <c r="I85" i="322"/>
  <c r="I89" i="322" s="1"/>
  <c r="AB85" i="322"/>
  <c r="AB89" i="322" s="1"/>
  <c r="M85" i="322"/>
  <c r="M89" i="322" s="1"/>
  <c r="O85" i="322"/>
  <c r="O89" i="322" s="1"/>
  <c r="V85" i="322"/>
  <c r="V89" i="322" s="1"/>
  <c r="N85" i="322"/>
  <c r="N89" i="322" s="1"/>
  <c r="H85" i="322"/>
  <c r="H89" i="322" s="1"/>
  <c r="L85" i="322"/>
  <c r="L89" i="322" s="1"/>
  <c r="J85" i="322"/>
  <c r="J89" i="322" s="1"/>
  <c r="R85" i="322"/>
  <c r="R89" i="322" s="1"/>
  <c r="W85" i="322"/>
  <c r="W89" i="322" s="1"/>
  <c r="T85" i="322"/>
  <c r="T89" i="322" s="1"/>
  <c r="Z85" i="322"/>
  <c r="Z89" i="322" s="1"/>
  <c r="AA85" i="322"/>
  <c r="AA89" i="322" s="1"/>
  <c r="Y85" i="322"/>
  <c r="Y89" i="322" s="1"/>
  <c r="Q85" i="322"/>
  <c r="Q89" i="322" s="1"/>
  <c r="AB55" i="276"/>
  <c r="S55" i="276"/>
  <c r="L55" i="276"/>
  <c r="R45" i="304"/>
  <c r="T45" i="304" s="1"/>
  <c r="R38" i="304"/>
  <c r="T38" i="304" s="1"/>
  <c r="AA55" i="276"/>
  <c r="W55" i="276"/>
  <c r="X55" i="276"/>
  <c r="Z55" i="276"/>
  <c r="U55" i="276"/>
  <c r="R55" i="276"/>
  <c r="P55" i="276"/>
  <c r="T55" i="276"/>
  <c r="Q55" i="276"/>
  <c r="J55" i="276"/>
  <c r="I55" i="276"/>
  <c r="N55" i="276"/>
  <c r="M55" i="276"/>
  <c r="O55" i="276"/>
  <c r="D23" i="276"/>
  <c r="Y55" i="276"/>
  <c r="K55" i="276"/>
  <c r="V55" i="276"/>
  <c r="U67" i="322"/>
  <c r="D36" i="322"/>
  <c r="K67" i="322"/>
  <c r="O67" i="322"/>
  <c r="S67" i="322"/>
  <c r="H67" i="322"/>
  <c r="L67" i="322"/>
  <c r="P67" i="322"/>
  <c r="T67" i="322"/>
  <c r="I67" i="322"/>
  <c r="M67" i="322"/>
  <c r="Q67" i="322"/>
  <c r="J67" i="322"/>
  <c r="N67" i="322"/>
  <c r="R67" i="322"/>
  <c r="V67" i="322"/>
  <c r="W67" i="322"/>
  <c r="X67" i="322"/>
  <c r="Y67" i="322"/>
  <c r="Z67" i="322"/>
  <c r="AA67" i="322"/>
  <c r="AB67" i="322"/>
  <c r="S11" i="276"/>
  <c r="U55" i="322"/>
  <c r="J55" i="322"/>
  <c r="N55" i="322"/>
  <c r="R55" i="322"/>
  <c r="K55" i="322"/>
  <c r="O55" i="322"/>
  <c r="S55" i="322"/>
  <c r="H55" i="322"/>
  <c r="L55" i="322"/>
  <c r="P55" i="322"/>
  <c r="T55" i="322"/>
  <c r="I55" i="322"/>
  <c r="M55" i="322"/>
  <c r="Q55" i="322"/>
  <c r="V55" i="322"/>
  <c r="W55" i="322"/>
  <c r="X55" i="322"/>
  <c r="Y55" i="322"/>
  <c r="Z55" i="322"/>
  <c r="AA55" i="322"/>
  <c r="AB55" i="322"/>
  <c r="H93" i="322"/>
  <c r="L93" i="322"/>
  <c r="L97" i="322" s="1"/>
  <c r="P93" i="322"/>
  <c r="P97" i="322" s="1"/>
  <c r="T93" i="322"/>
  <c r="T97" i="322" s="1"/>
  <c r="I93" i="322"/>
  <c r="I97" i="322" s="1"/>
  <c r="M93" i="322"/>
  <c r="M97" i="322" s="1"/>
  <c r="Q93" i="322"/>
  <c r="Q97" i="322" s="1"/>
  <c r="U93" i="322"/>
  <c r="U97" i="322" s="1"/>
  <c r="J93" i="322"/>
  <c r="J97" i="322" s="1"/>
  <c r="N93" i="322"/>
  <c r="N97" i="322" s="1"/>
  <c r="R93" i="322"/>
  <c r="R97" i="322" s="1"/>
  <c r="V93" i="322"/>
  <c r="V97" i="322" s="1"/>
  <c r="K93" i="322"/>
  <c r="K97" i="322" s="1"/>
  <c r="O93" i="322"/>
  <c r="O97" i="322" s="1"/>
  <c r="S93" i="322"/>
  <c r="S97" i="322" s="1"/>
  <c r="W93" i="322"/>
  <c r="W97" i="322" s="1"/>
  <c r="X93" i="322"/>
  <c r="X97" i="322" s="1"/>
  <c r="Y93" i="322"/>
  <c r="Y97" i="322" s="1"/>
  <c r="Z93" i="322"/>
  <c r="Z97" i="322" s="1"/>
  <c r="AA93" i="322"/>
  <c r="AA97" i="322" s="1"/>
  <c r="AB93" i="322"/>
  <c r="AB97" i="322" s="1"/>
  <c r="BI97" i="276"/>
  <c r="D21" i="282"/>
  <c r="D20" i="282"/>
  <c r="BI75" i="282"/>
  <c r="J106" i="282"/>
  <c r="J58" i="282" s="1"/>
  <c r="J59" i="282" s="1"/>
  <c r="J62" i="282" s="1"/>
  <c r="P106" i="282"/>
  <c r="P58" i="282" s="1"/>
  <c r="P59" i="282" s="1"/>
  <c r="P62" i="282" s="1"/>
  <c r="BI105" i="282"/>
  <c r="G106" i="282"/>
  <c r="G58" i="282" s="1"/>
  <c r="G59" i="282" s="1"/>
  <c r="G62" i="282" s="1"/>
  <c r="Q59" i="282"/>
  <c r="Q62" i="282" s="1"/>
  <c r="Q106" i="282"/>
  <c r="BI57" i="282"/>
  <c r="BI89" i="282" l="1"/>
  <c r="BI55" i="276"/>
  <c r="C17" i="285" s="1"/>
  <c r="BI55" i="322"/>
  <c r="M87" i="276"/>
  <c r="M90" i="276" s="1"/>
  <c r="M98" i="276" s="1"/>
  <c r="M58" i="276" s="1"/>
  <c r="M59" i="276" s="1"/>
  <c r="M62" i="276" s="1"/>
  <c r="K87" i="276"/>
  <c r="K90" i="276" s="1"/>
  <c r="K98" i="276" s="1"/>
  <c r="K58" i="276" s="1"/>
  <c r="K59" i="276" s="1"/>
  <c r="K62" i="276" s="1"/>
  <c r="T87" i="276"/>
  <c r="T90" i="276" s="1"/>
  <c r="T98" i="276" s="1"/>
  <c r="T58" i="276" s="1"/>
  <c r="T59" i="276" s="1"/>
  <c r="T62" i="276" s="1"/>
  <c r="R87" i="276"/>
  <c r="R90" i="276" s="1"/>
  <c r="R98" i="276" s="1"/>
  <c r="R58" i="276" s="1"/>
  <c r="R59" i="276" s="1"/>
  <c r="R62" i="276" s="1"/>
  <c r="S87" i="276"/>
  <c r="S90" i="276" s="1"/>
  <c r="S98" i="276" s="1"/>
  <c r="S58" i="276" s="1"/>
  <c r="S59" i="276" s="1"/>
  <c r="S62" i="276" s="1"/>
  <c r="Q87" i="276"/>
  <c r="Q90" i="276" s="1"/>
  <c r="Q98" i="276" s="1"/>
  <c r="Q58" i="276" s="1"/>
  <c r="Q59" i="276" s="1"/>
  <c r="Q62" i="276" s="1"/>
  <c r="W87" i="276"/>
  <c r="W90" i="276" s="1"/>
  <c r="W98" i="276" s="1"/>
  <c r="W58" i="276" s="1"/>
  <c r="W59" i="276" s="1"/>
  <c r="W62" i="276" s="1"/>
  <c r="AB87" i="276"/>
  <c r="AB90" i="276" s="1"/>
  <c r="AB98" i="276" s="1"/>
  <c r="AB58" i="276" s="1"/>
  <c r="AB59" i="276" s="1"/>
  <c r="AB62" i="276" s="1"/>
  <c r="V87" i="276"/>
  <c r="V90" i="276" s="1"/>
  <c r="V98" i="276" s="1"/>
  <c r="V58" i="276" s="1"/>
  <c r="V59" i="276" s="1"/>
  <c r="V62" i="276" s="1"/>
  <c r="P87" i="276"/>
  <c r="P90" i="276" s="1"/>
  <c r="P98" i="276" s="1"/>
  <c r="P58" i="276" s="1"/>
  <c r="P59" i="276" s="1"/>
  <c r="P62" i="276" s="1"/>
  <c r="H87" i="276"/>
  <c r="U87" i="276"/>
  <c r="U90" i="276" s="1"/>
  <c r="U98" i="276" s="1"/>
  <c r="U58" i="276" s="1"/>
  <c r="U59" i="276" s="1"/>
  <c r="U62" i="276" s="1"/>
  <c r="AA87" i="276"/>
  <c r="AA90" i="276" s="1"/>
  <c r="AA98" i="276" s="1"/>
  <c r="AA58" i="276" s="1"/>
  <c r="AA59" i="276" s="1"/>
  <c r="AA62" i="276" s="1"/>
  <c r="J87" i="276"/>
  <c r="J90" i="276" s="1"/>
  <c r="J98" i="276" s="1"/>
  <c r="J58" i="276" s="1"/>
  <c r="J59" i="276" s="1"/>
  <c r="J62" i="276" s="1"/>
  <c r="Z87" i="276"/>
  <c r="Z90" i="276" s="1"/>
  <c r="Z98" i="276" s="1"/>
  <c r="Z58" i="276" s="1"/>
  <c r="Z59" i="276" s="1"/>
  <c r="Z62" i="276" s="1"/>
  <c r="X87" i="276"/>
  <c r="X90" i="276" s="1"/>
  <c r="X98" i="276" s="1"/>
  <c r="X58" i="276" s="1"/>
  <c r="X59" i="276" s="1"/>
  <c r="X62" i="276" s="1"/>
  <c r="I87" i="276"/>
  <c r="I90" i="276" s="1"/>
  <c r="I98" i="276" s="1"/>
  <c r="I58" i="276" s="1"/>
  <c r="I59" i="276" s="1"/>
  <c r="I62" i="276" s="1"/>
  <c r="Y87" i="276"/>
  <c r="Y90" i="276" s="1"/>
  <c r="Y98" i="276" s="1"/>
  <c r="Y58" i="276" s="1"/>
  <c r="Y59" i="276" s="1"/>
  <c r="Y62" i="276" s="1"/>
  <c r="L87" i="276"/>
  <c r="L90" i="276" s="1"/>
  <c r="L98" i="276" s="1"/>
  <c r="L58" i="276" s="1"/>
  <c r="L59" i="276" s="1"/>
  <c r="L62" i="276" s="1"/>
  <c r="N87" i="276"/>
  <c r="N90" i="276" s="1"/>
  <c r="N98" i="276" s="1"/>
  <c r="N58" i="276" s="1"/>
  <c r="N59" i="276" s="1"/>
  <c r="N62" i="276" s="1"/>
  <c r="O87" i="276"/>
  <c r="O90" i="276" s="1"/>
  <c r="O98" i="276" s="1"/>
  <c r="O58" i="276" s="1"/>
  <c r="O59" i="276" s="1"/>
  <c r="O62" i="276" s="1"/>
  <c r="D21" i="322"/>
  <c r="D20" i="322"/>
  <c r="R87" i="322"/>
  <c r="R90" i="322" s="1"/>
  <c r="R98" i="322" s="1"/>
  <c r="R58" i="322" s="1"/>
  <c r="R59" i="322" s="1"/>
  <c r="R62" i="322" s="1"/>
  <c r="I87" i="322"/>
  <c r="I90" i="322" s="1"/>
  <c r="I98" i="322" s="1"/>
  <c r="I58" i="322" s="1"/>
  <c r="I59" i="322" s="1"/>
  <c r="I62" i="322" s="1"/>
  <c r="Q87" i="322"/>
  <c r="Q90" i="322" s="1"/>
  <c r="Q98" i="322" s="1"/>
  <c r="Q58" i="322" s="1"/>
  <c r="Q59" i="322" s="1"/>
  <c r="Q62" i="322" s="1"/>
  <c r="Z87" i="322"/>
  <c r="Z90" i="322" s="1"/>
  <c r="Z98" i="322" s="1"/>
  <c r="Z58" i="322" s="1"/>
  <c r="Z59" i="322" s="1"/>
  <c r="Z62" i="322" s="1"/>
  <c r="N87" i="322"/>
  <c r="N90" i="322" s="1"/>
  <c r="N98" i="322" s="1"/>
  <c r="N58" i="322" s="1"/>
  <c r="N59" i="322" s="1"/>
  <c r="N62" i="322" s="1"/>
  <c r="AA87" i="322"/>
  <c r="AA90" i="322" s="1"/>
  <c r="AA98" i="322" s="1"/>
  <c r="AA58" i="322" s="1"/>
  <c r="AA59" i="322" s="1"/>
  <c r="AA62" i="322" s="1"/>
  <c r="P87" i="322"/>
  <c r="P90" i="322" s="1"/>
  <c r="P98" i="322" s="1"/>
  <c r="P58" i="322" s="1"/>
  <c r="P59" i="322" s="1"/>
  <c r="P62" i="322" s="1"/>
  <c r="H87" i="322"/>
  <c r="S87" i="322"/>
  <c r="S90" i="322" s="1"/>
  <c r="S98" i="322" s="1"/>
  <c r="S58" i="322" s="1"/>
  <c r="S59" i="322" s="1"/>
  <c r="S62" i="322" s="1"/>
  <c r="X87" i="322"/>
  <c r="X90" i="322" s="1"/>
  <c r="X98" i="322" s="1"/>
  <c r="X58" i="322" s="1"/>
  <c r="X59" i="322" s="1"/>
  <c r="X62" i="322" s="1"/>
  <c r="L87" i="322"/>
  <c r="L90" i="322" s="1"/>
  <c r="L98" i="322" s="1"/>
  <c r="L58" i="322" s="1"/>
  <c r="L59" i="322" s="1"/>
  <c r="L62" i="322" s="1"/>
  <c r="M87" i="322"/>
  <c r="M90" i="322" s="1"/>
  <c r="M98" i="322" s="1"/>
  <c r="M58" i="322" s="1"/>
  <c r="M59" i="322" s="1"/>
  <c r="M62" i="322" s="1"/>
  <c r="V87" i="322"/>
  <c r="V90" i="322" s="1"/>
  <c r="V98" i="322" s="1"/>
  <c r="V58" i="322" s="1"/>
  <c r="V59" i="322" s="1"/>
  <c r="V62" i="322" s="1"/>
  <c r="U87" i="322"/>
  <c r="U90" i="322" s="1"/>
  <c r="U98" i="322" s="1"/>
  <c r="U58" i="322" s="1"/>
  <c r="U59" i="322" s="1"/>
  <c r="U62" i="322" s="1"/>
  <c r="Y87" i="322"/>
  <c r="Y90" i="322" s="1"/>
  <c r="Y98" i="322" s="1"/>
  <c r="Y58" i="322" s="1"/>
  <c r="Y59" i="322" s="1"/>
  <c r="Y62" i="322" s="1"/>
  <c r="AB87" i="322"/>
  <c r="AB90" i="322" s="1"/>
  <c r="AB98" i="322" s="1"/>
  <c r="AB58" i="322" s="1"/>
  <c r="AB59" i="322" s="1"/>
  <c r="AB62" i="322" s="1"/>
  <c r="O87" i="322"/>
  <c r="O90" i="322" s="1"/>
  <c r="O98" i="322" s="1"/>
  <c r="O58" i="322" s="1"/>
  <c r="O59" i="322" s="1"/>
  <c r="O62" i="322" s="1"/>
  <c r="T87" i="322"/>
  <c r="T90" i="322" s="1"/>
  <c r="T98" i="322" s="1"/>
  <c r="T58" i="322" s="1"/>
  <c r="T59" i="322" s="1"/>
  <c r="T62" i="322" s="1"/>
  <c r="J87" i="322"/>
  <c r="J90" i="322" s="1"/>
  <c r="J98" i="322" s="1"/>
  <c r="J58" i="322" s="1"/>
  <c r="J59" i="322" s="1"/>
  <c r="J62" i="322" s="1"/>
  <c r="W87" i="322"/>
  <c r="W90" i="322" s="1"/>
  <c r="W98" i="322" s="1"/>
  <c r="W58" i="322" s="1"/>
  <c r="W59" i="322" s="1"/>
  <c r="W62" i="322" s="1"/>
  <c r="K87" i="322"/>
  <c r="K90" i="322" s="1"/>
  <c r="K98" i="322" s="1"/>
  <c r="K58" i="322" s="1"/>
  <c r="K59" i="322" s="1"/>
  <c r="K62" i="322" s="1"/>
  <c r="H97" i="322"/>
  <c r="D23" i="322"/>
  <c r="H58" i="282"/>
  <c r="BI106" i="282"/>
  <c r="BI90" i="282"/>
  <c r="C14" i="322" l="1"/>
  <c r="C18" i="285" s="1"/>
  <c r="H90" i="322"/>
  <c r="BI90" i="322" s="1"/>
  <c r="BI87" i="322"/>
  <c r="BI97" i="322"/>
  <c r="BI87" i="276"/>
  <c r="H90" i="276"/>
  <c r="BI58" i="282"/>
  <c r="H59" i="282"/>
  <c r="H98" i="322" l="1"/>
  <c r="H58" i="322" s="1"/>
  <c r="BI90" i="276"/>
  <c r="H98" i="276"/>
  <c r="H62" i="282"/>
  <c r="BI62" i="282" s="1"/>
  <c r="BI59" i="282"/>
  <c r="C13" i="282" s="1"/>
  <c r="C15" i="282" s="1"/>
  <c r="L39" i="325" l="1"/>
  <c r="L43" i="325"/>
  <c r="L47" i="325"/>
  <c r="L51" i="325"/>
  <c r="L55" i="325"/>
  <c r="M55" i="325" s="1"/>
  <c r="P55" i="325" s="1"/>
  <c r="L59" i="325"/>
  <c r="L63" i="325"/>
  <c r="L67" i="325"/>
  <c r="L71" i="325"/>
  <c r="L75" i="325"/>
  <c r="L40" i="325"/>
  <c r="L44" i="325"/>
  <c r="L48" i="325"/>
  <c r="L52" i="325"/>
  <c r="L56" i="325"/>
  <c r="L60" i="325"/>
  <c r="L64" i="325"/>
  <c r="L68" i="325"/>
  <c r="L72" i="325"/>
  <c r="L76" i="325"/>
  <c r="L41" i="325"/>
  <c r="L49" i="325"/>
  <c r="L57" i="325"/>
  <c r="L65" i="325"/>
  <c r="L73" i="325"/>
  <c r="L42" i="325"/>
  <c r="L50" i="325"/>
  <c r="L58" i="325"/>
  <c r="L66" i="325"/>
  <c r="L74" i="325"/>
  <c r="L45" i="325"/>
  <c r="L53" i="325"/>
  <c r="L61" i="325"/>
  <c r="L69" i="325"/>
  <c r="L38" i="325"/>
  <c r="L46" i="325"/>
  <c r="L54" i="325"/>
  <c r="L62" i="325"/>
  <c r="L70" i="325"/>
  <c r="BI98" i="322"/>
  <c r="BI98" i="276"/>
  <c r="H58" i="276"/>
  <c r="H59" i="322"/>
  <c r="BI58" i="322"/>
  <c r="C16" i="282"/>
  <c r="D10" i="285" s="1"/>
  <c r="E10" i="285"/>
  <c r="B10" i="285"/>
  <c r="M46" i="325" l="1"/>
  <c r="P46" i="325"/>
  <c r="M58" i="325"/>
  <c r="P58" i="325"/>
  <c r="M76" i="325"/>
  <c r="P76" i="325"/>
  <c r="P44" i="325"/>
  <c r="M44" i="325"/>
  <c r="M51" i="325"/>
  <c r="P51" i="325"/>
  <c r="P38" i="325"/>
  <c r="M38" i="325"/>
  <c r="M50" i="325"/>
  <c r="P50" i="325"/>
  <c r="M57" i="325"/>
  <c r="P57" i="325"/>
  <c r="M56" i="325"/>
  <c r="P56" i="325"/>
  <c r="P40" i="325"/>
  <c r="M40" i="325"/>
  <c r="M63" i="325"/>
  <c r="P63" i="325"/>
  <c r="P47" i="325"/>
  <c r="M47" i="325"/>
  <c r="M62" i="325"/>
  <c r="P62" i="325"/>
  <c r="M69" i="325"/>
  <c r="P69" i="325"/>
  <c r="M74" i="325"/>
  <c r="P74" i="325"/>
  <c r="M42" i="325"/>
  <c r="P42" i="325"/>
  <c r="M49" i="325"/>
  <c r="P49" i="325"/>
  <c r="M68" i="325"/>
  <c r="P68" i="325"/>
  <c r="M52" i="325"/>
  <c r="P52" i="325"/>
  <c r="M75" i="325"/>
  <c r="P75" i="325"/>
  <c r="M59" i="325"/>
  <c r="P59" i="325"/>
  <c r="M43" i="325"/>
  <c r="P43" i="325"/>
  <c r="M53" i="325"/>
  <c r="P53" i="325"/>
  <c r="M65" i="325"/>
  <c r="P65" i="325"/>
  <c r="M60" i="325"/>
  <c r="P60" i="325"/>
  <c r="M67" i="325"/>
  <c r="P67" i="325"/>
  <c r="M70" i="325"/>
  <c r="P70" i="325"/>
  <c r="M45" i="325"/>
  <c r="P45" i="325"/>
  <c r="M72" i="325"/>
  <c r="P72" i="325"/>
  <c r="M54" i="325"/>
  <c r="P54" i="325"/>
  <c r="M61" i="325"/>
  <c r="P61" i="325"/>
  <c r="M66" i="325"/>
  <c r="P66" i="325"/>
  <c r="M73" i="325"/>
  <c r="P73" i="325"/>
  <c r="M41" i="325"/>
  <c r="P41" i="325"/>
  <c r="M64" i="325"/>
  <c r="P64" i="325"/>
  <c r="P48" i="325"/>
  <c r="M48" i="325"/>
  <c r="M71" i="325"/>
  <c r="P71" i="325"/>
  <c r="P39" i="325"/>
  <c r="M39" i="325"/>
  <c r="H62" i="322"/>
  <c r="BI62" i="322" s="1"/>
  <c r="BI59" i="322"/>
  <c r="C13" i="322" s="1"/>
  <c r="C15" i="322" s="1"/>
  <c r="H59" i="276"/>
  <c r="BI58" i="276"/>
  <c r="J10" i="285"/>
  <c r="I10" i="285"/>
  <c r="H10" i="285"/>
  <c r="K10" i="285"/>
  <c r="F77" i="279"/>
  <c r="F78" i="279" s="1"/>
  <c r="BI78" i="279" s="1"/>
  <c r="F70" i="279"/>
  <c r="BI70" i="279" s="1"/>
  <c r="C16" i="322" l="1"/>
  <c r="D18" i="285" s="1"/>
  <c r="E18" i="285"/>
  <c r="I18" i="285" s="1"/>
  <c r="B18" i="285"/>
  <c r="H62" i="276"/>
  <c r="BI62" i="276" s="1"/>
  <c r="D17" i="285" s="1"/>
  <c r="BI59" i="276"/>
  <c r="BI77" i="279"/>
  <c r="F58" i="279"/>
  <c r="J18" i="285" l="1"/>
  <c r="H18" i="285"/>
  <c r="K18" i="285"/>
  <c r="B17" i="285"/>
  <c r="E17" i="285"/>
  <c r="K17" i="285" s="1"/>
  <c r="BI58" i="279"/>
  <c r="F60" i="279"/>
  <c r="I17" i="285" l="1"/>
  <c r="H17" i="285"/>
  <c r="J17" i="285"/>
  <c r="BI60" i="279"/>
  <c r="C13" i="279" s="1"/>
  <c r="F62" i="279"/>
  <c r="BI62" i="279" s="1"/>
  <c r="C16" i="279" s="1"/>
  <c r="D13" i="285" s="1"/>
  <c r="B13" i="285" l="1"/>
  <c r="C15" i="279"/>
  <c r="E13" i="285" s="1"/>
  <c r="H13" i="285" l="1"/>
  <c r="H23" i="285" s="1"/>
  <c r="B44" i="285" s="1"/>
  <c r="I13" i="285"/>
  <c r="I23" i="285" s="1"/>
  <c r="B45" i="285" s="1"/>
  <c r="K13" i="285"/>
  <c r="K23" i="285" s="1"/>
  <c r="J13" i="285"/>
  <c r="J23" i="285" s="1"/>
</calcChain>
</file>

<file path=xl/comments1.xml><?xml version="1.0" encoding="utf-8"?>
<comments xmlns="http://schemas.openxmlformats.org/spreadsheetml/2006/main">
  <authors>
    <author>Neil McMahon</author>
  </authors>
  <commentList>
    <comment ref="B5" authorId="0" shapeId="0">
      <text>
        <r>
          <rPr>
            <b/>
            <sz val="9"/>
            <color indexed="81"/>
            <rFont val="Tahoma"/>
            <family val="2"/>
          </rPr>
          <t>Neil McMahon:</t>
        </r>
        <r>
          <rPr>
            <sz val="9"/>
            <color indexed="81"/>
            <rFont val="Tahoma"/>
            <family val="2"/>
          </rPr>
          <t xml:space="preserve">
Use "N/A" if &gt;15 miles
</t>
        </r>
      </text>
    </comment>
    <comment ref="B42" authorId="0" shapeId="0">
      <text>
        <r>
          <rPr>
            <b/>
            <sz val="9"/>
            <color indexed="81"/>
            <rFont val="Tahoma"/>
            <family val="2"/>
          </rPr>
          <t>Neil McMahon:</t>
        </r>
        <r>
          <rPr>
            <sz val="9"/>
            <color indexed="81"/>
            <rFont val="Tahoma"/>
            <family val="2"/>
          </rPr>
          <t xml:space="preserve">
Needs to be determined as an actual value or as a calculation</t>
        </r>
      </text>
    </comment>
  </commentList>
</comments>
</file>

<file path=xl/comments2.xml><?xml version="1.0" encoding="utf-8"?>
<comments xmlns="http://schemas.openxmlformats.org/spreadsheetml/2006/main">
  <authors>
    <author>Neil McMahon</author>
  </authors>
  <commentList>
    <comment ref="V15" authorId="0" shapeId="0">
      <text>
        <r>
          <rPr>
            <b/>
            <sz val="9"/>
            <color indexed="81"/>
            <rFont val="Tahoma"/>
            <family val="2"/>
          </rPr>
          <t>Neil McMahon:</t>
        </r>
        <r>
          <rPr>
            <sz val="9"/>
            <color indexed="81"/>
            <rFont val="Tahoma"/>
            <family val="2"/>
          </rPr>
          <t xml:space="preserve">
Use value from below in blue for region
</t>
        </r>
      </text>
    </comment>
  </commentList>
</comments>
</file>

<file path=xl/comments3.xml><?xml version="1.0" encoding="utf-8"?>
<comments xmlns="http://schemas.openxmlformats.org/spreadsheetml/2006/main">
  <authors>
    <author>Neil McMahon</author>
  </authors>
  <commentList>
    <comment ref="I27" authorId="0" shapeId="0">
      <text>
        <r>
          <rPr>
            <b/>
            <sz val="9"/>
            <color indexed="81"/>
            <rFont val="Tahoma"/>
            <family val="2"/>
          </rPr>
          <t>Neil McMahon:</t>
        </r>
        <r>
          <rPr>
            <sz val="9"/>
            <color indexed="81"/>
            <rFont val="Tahoma"/>
            <family val="2"/>
          </rPr>
          <t xml:space="preserve">
Subtracts two buildings from assumption because powerhouse, w&amp;ww are counted elsewhere</t>
        </r>
      </text>
    </comment>
  </commentList>
</comments>
</file>

<file path=xl/comments4.xml><?xml version="1.0" encoding="utf-8"?>
<comments xmlns="http://schemas.openxmlformats.org/spreadsheetml/2006/main">
  <authors>
    <author>Neil McMahon</author>
  </authors>
  <commentList>
    <comment ref="J6" authorId="0" shapeId="0">
      <text>
        <r>
          <rPr>
            <b/>
            <sz val="9"/>
            <color indexed="81"/>
            <rFont val="Tahoma"/>
            <family val="2"/>
          </rPr>
          <t>Neil McMahon:</t>
        </r>
        <r>
          <rPr>
            <sz val="9"/>
            <color indexed="81"/>
            <rFont val="Tahoma"/>
            <family val="2"/>
          </rPr>
          <t xml:space="preserve">
Use value for average load of genset, or choose another value</t>
        </r>
      </text>
    </comment>
    <comment ref="J7" authorId="0" shapeId="0">
      <text>
        <r>
          <rPr>
            <b/>
            <sz val="9"/>
            <color indexed="81"/>
            <rFont val="Tahoma"/>
            <family val="2"/>
          </rPr>
          <t>Neil McMahon:</t>
        </r>
        <r>
          <rPr>
            <sz val="9"/>
            <color indexed="81"/>
            <rFont val="Tahoma"/>
            <family val="2"/>
          </rPr>
          <t xml:space="preserve">
Use value from PVWatts
</t>
        </r>
      </text>
    </comment>
  </commentList>
</comments>
</file>

<file path=xl/comments5.xml><?xml version="1.0" encoding="utf-8"?>
<comments xmlns="http://schemas.openxmlformats.org/spreadsheetml/2006/main">
  <authors>
    <author>alex</author>
  </authors>
  <commentList>
    <comment ref="C19" authorId="0" shapeId="0">
      <text>
        <r>
          <rPr>
            <b/>
            <sz val="8"/>
            <color indexed="81"/>
            <rFont val="Tahoma"/>
            <family val="2"/>
          </rPr>
          <t xml:space="preserve">ISER:
</t>
        </r>
        <r>
          <rPr>
            <sz val="8"/>
            <color indexed="81"/>
            <rFont val="Tahoma"/>
            <family val="2"/>
          </rPr>
          <t xml:space="preserve">Scenario 2 of Heating Fuel Adder worksheet on Fuel Price Projection 2012-2035 </t>
        </r>
        <r>
          <rPr>
            <sz val="8"/>
            <color indexed="81"/>
            <rFont val="Tahoma"/>
            <family val="2"/>
          </rPr>
          <t xml:space="preserve">
</t>
        </r>
      </text>
    </comment>
  </commentList>
</comments>
</file>

<file path=xl/comments6.xml><?xml version="1.0" encoding="utf-8"?>
<comments xmlns="http://schemas.openxmlformats.org/spreadsheetml/2006/main">
  <authors>
    <author xml:space="preserve"> S Colt</author>
    <author>Sgcolt</author>
  </authors>
  <commentList>
    <comment ref="A1" authorId="0" shapeId="0">
      <text>
        <r>
          <rPr>
            <b/>
            <sz val="8"/>
            <color indexed="81"/>
            <rFont val="Tahoma"/>
            <family val="2"/>
          </rPr>
          <t xml:space="preserve"> S Colt:</t>
        </r>
        <r>
          <rPr>
            <sz val="8"/>
            <color indexed="81"/>
            <rFont val="Tahoma"/>
            <family val="2"/>
          </rPr>
          <t xml:space="preserve">
Initial list from AKWARM 2 Library version June 2011</t>
        </r>
      </text>
    </comment>
    <comment ref="B1" authorId="1" shapeId="0">
      <text>
        <r>
          <rPr>
            <b/>
            <sz val="9"/>
            <color indexed="81"/>
            <rFont val="Tahoma"/>
            <family val="2"/>
          </rPr>
          <t>Sgcolt:</t>
        </r>
        <r>
          <rPr>
            <sz val="9"/>
            <color indexed="81"/>
            <rFont val="Tahoma"/>
            <family val="2"/>
          </rPr>
          <t xml:space="preserve">
values used with ARIS database to generate equations using HDD</t>
        </r>
      </text>
    </comment>
    <comment ref="A148" authorId="0" shapeId="0">
      <text>
        <r>
          <rPr>
            <b/>
            <sz val="8"/>
            <color indexed="81"/>
            <rFont val="Tahoma"/>
            <family val="2"/>
          </rPr>
          <t xml:space="preserve"> S Colt:</t>
        </r>
        <r>
          <rPr>
            <sz val="8"/>
            <color indexed="81"/>
            <rFont val="Tahoma"/>
            <family val="2"/>
          </rPr>
          <t xml:space="preserve">
added by SGC using Petersburg </t>
        </r>
      </text>
    </comment>
  </commentList>
</comments>
</file>

<file path=xl/comments7.xml><?xml version="1.0" encoding="utf-8"?>
<comments xmlns="http://schemas.openxmlformats.org/spreadsheetml/2006/main">
  <authors>
    <author>alex</author>
  </authors>
  <commentList>
    <comment ref="C21" authorId="0" shapeId="0">
      <text>
        <r>
          <rPr>
            <b/>
            <sz val="8"/>
            <color indexed="81"/>
            <rFont val="Tahoma"/>
            <family val="2"/>
          </rPr>
          <t xml:space="preserve">ISER:
</t>
        </r>
        <r>
          <rPr>
            <sz val="8"/>
            <color indexed="81"/>
            <rFont val="Tahoma"/>
            <family val="2"/>
          </rPr>
          <t xml:space="preserve">Scenario 2 of Heating Fuel Adder worksheet on Fuel Price Projection 2012-2035 </t>
        </r>
        <r>
          <rPr>
            <sz val="8"/>
            <color indexed="81"/>
            <rFont val="Tahoma"/>
            <family val="2"/>
          </rPr>
          <t xml:space="preserve">
</t>
        </r>
      </text>
    </comment>
  </commentList>
</comments>
</file>

<file path=xl/sharedStrings.xml><?xml version="1.0" encoding="utf-8"?>
<sst xmlns="http://schemas.openxmlformats.org/spreadsheetml/2006/main" count="24216" uniqueCount="2411">
  <si>
    <t>CO2-equivalent allowance cost</t>
  </si>
  <si>
    <t>Discount Rate</t>
  </si>
  <si>
    <t>Wind</t>
  </si>
  <si>
    <t>Biomass</t>
  </si>
  <si>
    <t>PV</t>
  </si>
  <si>
    <t>O&amp;M</t>
  </si>
  <si>
    <t>Capital Costs</t>
  </si>
  <si>
    <t>ID</t>
  </si>
  <si>
    <t>Gustavus</t>
  </si>
  <si>
    <t>Chignik Lagoon</t>
  </si>
  <si>
    <t>Chistochina</t>
  </si>
  <si>
    <t>Cordova</t>
  </si>
  <si>
    <t>Coffman Cove</t>
  </si>
  <si>
    <t>Tok</t>
  </si>
  <si>
    <t>Hoonah</t>
  </si>
  <si>
    <t>Kake</t>
  </si>
  <si>
    <t>McGrath</t>
  </si>
  <si>
    <t>Fort Yukon</t>
  </si>
  <si>
    <t>Haines</t>
  </si>
  <si>
    <t>Hooper Bay</t>
  </si>
  <si>
    <t>Skagway</t>
  </si>
  <si>
    <t>Nome</t>
  </si>
  <si>
    <t>Unalakleet</t>
  </si>
  <si>
    <t>Dillingham</t>
  </si>
  <si>
    <t>Atka</t>
  </si>
  <si>
    <t>Yakutat</t>
  </si>
  <si>
    <t>Bethel</t>
  </si>
  <si>
    <t>Quinhagak</t>
  </si>
  <si>
    <t>Mekoryuk</t>
  </si>
  <si>
    <t>Old Harbor</t>
  </si>
  <si>
    <t>Ambler</t>
  </si>
  <si>
    <t>Noatak</t>
  </si>
  <si>
    <t>Shungnak</t>
  </si>
  <si>
    <t>Kotzebue</t>
  </si>
  <si>
    <t>Ruby</t>
  </si>
  <si>
    <t>Nikolski</t>
  </si>
  <si>
    <t>Unalaska</t>
  </si>
  <si>
    <t>Hydaburg</t>
  </si>
  <si>
    <t>Kongiganak</t>
  </si>
  <si>
    <t>Napaskiak</t>
  </si>
  <si>
    <t>Angoon</t>
  </si>
  <si>
    <t>Buckland</t>
  </si>
  <si>
    <t>Deering</t>
  </si>
  <si>
    <t>Kobuk</t>
  </si>
  <si>
    <t>Kokhanok</t>
  </si>
  <si>
    <t>Pedro Bay</t>
  </si>
  <si>
    <t>Kiana</t>
  </si>
  <si>
    <t>Utility</t>
  </si>
  <si>
    <t>Akiachak Native Community Electric Co.</t>
  </si>
  <si>
    <t>Akiachak</t>
  </si>
  <si>
    <t>Akiak, City of</t>
  </si>
  <si>
    <t>Akiak</t>
  </si>
  <si>
    <t>Akutan Electric Utility</t>
  </si>
  <si>
    <t>Akutan</t>
  </si>
  <si>
    <t>Alaska Power Company</t>
  </si>
  <si>
    <t>Allakaket, Alatna</t>
  </si>
  <si>
    <t>Bettles, Evansville</t>
  </si>
  <si>
    <t>Craig</t>
  </si>
  <si>
    <t>Dot Lake</t>
  </si>
  <si>
    <t>Eagle, Eagle Village</t>
  </si>
  <si>
    <t>Healy Lake</t>
  </si>
  <si>
    <t>Hollis</t>
  </si>
  <si>
    <t>Klawock</t>
  </si>
  <si>
    <t>Mentasta</t>
  </si>
  <si>
    <t>Naukati</t>
  </si>
  <si>
    <t>Northway, Northway Village</t>
  </si>
  <si>
    <t>Tetlin</t>
  </si>
  <si>
    <t>Thorne Bay/Kasaan</t>
  </si>
  <si>
    <t>Whale Pass</t>
  </si>
  <si>
    <t>Alaska Village Electric Cooperative</t>
  </si>
  <si>
    <t>Alakanuk</t>
  </si>
  <si>
    <t>Anvik</t>
  </si>
  <si>
    <t>Brevig Mission</t>
  </si>
  <si>
    <t>Chevak</t>
  </si>
  <si>
    <t>Eek</t>
  </si>
  <si>
    <t>Elim</t>
  </si>
  <si>
    <t>Emmonak</t>
  </si>
  <si>
    <t>Gambell</t>
  </si>
  <si>
    <t>Goodnews Bay</t>
  </si>
  <si>
    <t>Grayling</t>
  </si>
  <si>
    <t>Holy Cross</t>
  </si>
  <si>
    <t>Huslia</t>
  </si>
  <si>
    <t>Kaltag</t>
  </si>
  <si>
    <t>Kasigluk</t>
  </si>
  <si>
    <t>Kivalina</t>
  </si>
  <si>
    <t>Koyuk</t>
  </si>
  <si>
    <t>Lower Kalskag</t>
  </si>
  <si>
    <t>Marshall</t>
  </si>
  <si>
    <t>Minto</t>
  </si>
  <si>
    <t>Mountain Village</t>
  </si>
  <si>
    <t>New Stuyahok</t>
  </si>
  <si>
    <t>Nightmute</t>
  </si>
  <si>
    <t>Noorvik</t>
  </si>
  <si>
    <t>Nulato</t>
  </si>
  <si>
    <t>Nunapitchuk</t>
  </si>
  <si>
    <t>Pilot Station</t>
  </si>
  <si>
    <t>Pitkas Point</t>
  </si>
  <si>
    <t>Russian Mission</t>
  </si>
  <si>
    <t>Savoonga</t>
  </si>
  <si>
    <t>Scammon Bay</t>
  </si>
  <si>
    <t>Selawik</t>
  </si>
  <si>
    <t>Shageluk</t>
  </si>
  <si>
    <t>Shaktoolik</t>
  </si>
  <si>
    <t>Shishmaref</t>
  </si>
  <si>
    <t>St. Mary's, Andreafsky</t>
  </si>
  <si>
    <t>St. Michael</t>
  </si>
  <si>
    <t>Stebbins</t>
  </si>
  <si>
    <t>Togiak</t>
  </si>
  <si>
    <t>Toksook Bay</t>
  </si>
  <si>
    <t>Tunanak</t>
  </si>
  <si>
    <t>Wales</t>
  </si>
  <si>
    <t>Alutiiq Power Company</t>
  </si>
  <si>
    <t>Karluk</t>
  </si>
  <si>
    <t>Andreanof Electric Corporation (11)</t>
  </si>
  <si>
    <t>Aniak Light &amp; Power Company</t>
  </si>
  <si>
    <t>Aniak</t>
  </si>
  <si>
    <t>Atmautluak Joint Utilities</t>
  </si>
  <si>
    <t>Atmautluak</t>
  </si>
  <si>
    <t>Beaver Joint Utilities</t>
  </si>
  <si>
    <t>Beaver</t>
  </si>
  <si>
    <t>Bethel Utilities Corp.</t>
  </si>
  <si>
    <t>Buckland, City of</t>
  </si>
  <si>
    <t>Central Electric, Inc.</t>
  </si>
  <si>
    <t>Central</t>
  </si>
  <si>
    <t>Chenega  IRA Village Council</t>
  </si>
  <si>
    <t>Chenega</t>
  </si>
  <si>
    <t>Chignik Electric</t>
  </si>
  <si>
    <t xml:space="preserve">Chignik   </t>
  </si>
  <si>
    <t>Chignik Lagoon Power Utility</t>
  </si>
  <si>
    <t>Chignik Lake Electric Utility, Inc. (11)</t>
  </si>
  <si>
    <t>Chitina Electric Inc.</t>
  </si>
  <si>
    <t>Circle Electric Utility</t>
  </si>
  <si>
    <t>Circle</t>
  </si>
  <si>
    <t>Cordova Electric Cooperative, Inc.</t>
  </si>
  <si>
    <t>Diomede Joint Utilities</t>
  </si>
  <si>
    <t>Diomede</t>
  </si>
  <si>
    <t>Egegik Light and Power</t>
  </si>
  <si>
    <t>Egegik</t>
  </si>
  <si>
    <t>Ekwok Electric (10)</t>
  </si>
  <si>
    <t>Ekwok</t>
  </si>
  <si>
    <t>Elfin Cove Electric Utility</t>
  </si>
  <si>
    <t>Elfin Cove</t>
  </si>
  <si>
    <t>False Pass Electric Association (9)</t>
  </si>
  <si>
    <t>False Pass</t>
  </si>
  <si>
    <t>G &amp; K</t>
  </si>
  <si>
    <t>Cold Bay</t>
  </si>
  <si>
    <t>Galena, City of</t>
  </si>
  <si>
    <t>Golovin Power Utilities</t>
  </si>
  <si>
    <t>Golovin</t>
  </si>
  <si>
    <t>Gustavus Electric Company</t>
  </si>
  <si>
    <t>Gwitchyaa Zhee Utilities</t>
  </si>
  <si>
    <t>Hughes Power &amp; Light</t>
  </si>
  <si>
    <t>Hughes</t>
  </si>
  <si>
    <t>Igiugig Electric Company</t>
  </si>
  <si>
    <t>Igiugig</t>
  </si>
  <si>
    <t>I-N-N Electric Cooperative</t>
  </si>
  <si>
    <t>Iliamna, Newhalen, Nondalton</t>
  </si>
  <si>
    <t>Inside Passage Electric Cooperative</t>
  </si>
  <si>
    <t>Chilkat Valley</t>
  </si>
  <si>
    <t>Klukwan</t>
  </si>
  <si>
    <t>Ipnatchiaq Electric Company</t>
  </si>
  <si>
    <t>King Cove, City of</t>
  </si>
  <si>
    <t>King Cove</t>
  </si>
  <si>
    <t>Kipnuk Light Plant</t>
  </si>
  <si>
    <t>Kobuk Valley Electric Company</t>
  </si>
  <si>
    <t>Kokhanok Village Council</t>
  </si>
  <si>
    <t>Koliganek Village Council</t>
  </si>
  <si>
    <t>Koliganek</t>
  </si>
  <si>
    <t>Kotlik Electric Services</t>
  </si>
  <si>
    <t>Kotlik</t>
  </si>
  <si>
    <t>Kotzebue Electric Association</t>
  </si>
  <si>
    <t>Koyukuk, City of (11)</t>
  </si>
  <si>
    <t>Kwethluk, Inc.</t>
  </si>
  <si>
    <t>Kwethluk</t>
  </si>
  <si>
    <t>Kwig Power Company</t>
  </si>
  <si>
    <t>Kwigilligok</t>
  </si>
  <si>
    <t>Larsen Bay Utility Company</t>
  </si>
  <si>
    <t>Larsen Bay</t>
  </si>
  <si>
    <t>Levelock Electric Cooperative</t>
  </si>
  <si>
    <t>Levelock</t>
  </si>
  <si>
    <t>Lime Village Electric Utility</t>
  </si>
  <si>
    <t>Lime Village</t>
  </si>
  <si>
    <t>Manley Utility Company</t>
  </si>
  <si>
    <t>Manley</t>
  </si>
  <si>
    <t>Manokotak Power Company</t>
  </si>
  <si>
    <t>Manokotak</t>
  </si>
  <si>
    <t>McGrath Light &amp; Power</t>
  </si>
  <si>
    <t>Middle Kuskokwim Electric Cooperative</t>
  </si>
  <si>
    <t>Chuathbaluk</t>
  </si>
  <si>
    <t>Crooked Creek</t>
  </si>
  <si>
    <t>Red Devil</t>
  </si>
  <si>
    <t>Sleetmute</t>
  </si>
  <si>
    <t>Stony River</t>
  </si>
  <si>
    <t>Naknek Electric Association</t>
  </si>
  <si>
    <t>Naknek, South Naknek</t>
  </si>
  <si>
    <t>Napakiak Ircinraq Power Company</t>
  </si>
  <si>
    <t>Napakiak</t>
  </si>
  <si>
    <t>Napaskiak Electric Utility</t>
  </si>
  <si>
    <t>Naterkaq Light Plant</t>
  </si>
  <si>
    <t>Chefornak</t>
  </si>
  <si>
    <t>Nelson Lagoon Electric Cooperative</t>
  </si>
  <si>
    <t>Nelson Lagoon</t>
  </si>
  <si>
    <t>Nikolai Light &amp; Power</t>
  </si>
  <si>
    <t>Nikolai</t>
  </si>
  <si>
    <t>Nome Joint Utility System</t>
  </si>
  <si>
    <t>North Slope Borough</t>
  </si>
  <si>
    <t>Anaktuvuk Pass</t>
  </si>
  <si>
    <t>Atqasuk</t>
  </si>
  <si>
    <t>Kaktovik</t>
  </si>
  <si>
    <t>Nuiqsut</t>
  </si>
  <si>
    <t>Point Hope</t>
  </si>
  <si>
    <t>Point Lay</t>
  </si>
  <si>
    <t>Wainwright</t>
  </si>
  <si>
    <t>Nunam Iqua Electric Company</t>
  </si>
  <si>
    <t>Nunam Iqua</t>
  </si>
  <si>
    <t>Nushagak Electric Cooperative</t>
  </si>
  <si>
    <t>Ouzinkie, City of</t>
  </si>
  <si>
    <t>Ouzinkie</t>
  </si>
  <si>
    <t>Pedro Bay Village Council</t>
  </si>
  <si>
    <t>Pilot Point Electrical</t>
  </si>
  <si>
    <t>Pilot Point</t>
  </si>
  <si>
    <t>Platinum, City of</t>
  </si>
  <si>
    <t>Port Heiden, City of</t>
  </si>
  <si>
    <t>Port Heiden</t>
  </si>
  <si>
    <t>Puvurnaq Power Company</t>
  </si>
  <si>
    <t>Ruby, City of</t>
  </si>
  <si>
    <t>Sand Point Electric Company</t>
  </si>
  <si>
    <t>Sand Point</t>
  </si>
  <si>
    <t>St. Paul Municipal Electrical Utility</t>
  </si>
  <si>
    <t>St. Paul</t>
  </si>
  <si>
    <t>Takotna Community Association Utilities</t>
  </si>
  <si>
    <t>Takotna</t>
  </si>
  <si>
    <t>Tanalian Electric Cooperative</t>
  </si>
  <si>
    <t>Port Alsworth</t>
  </si>
  <si>
    <t>Tanana Power Company</t>
  </si>
  <si>
    <t>Tanana</t>
  </si>
  <si>
    <t>Tatitlek Electric Utility</t>
  </si>
  <si>
    <t>Tatitlek</t>
  </si>
  <si>
    <t>Tenakee Springs, City of</t>
  </si>
  <si>
    <t>Tenakee Springs</t>
  </si>
  <si>
    <t>Tuluksak Traditional Power Utility (11)</t>
  </si>
  <si>
    <t>Tuluksak</t>
  </si>
  <si>
    <t>Tuntutuliak Community Service Assoc.</t>
  </si>
  <si>
    <t>Tuntutuliak</t>
  </si>
  <si>
    <t>Twin Hills Village Council</t>
  </si>
  <si>
    <t>Twin Hills</t>
  </si>
  <si>
    <t>Umnak Power Company</t>
  </si>
  <si>
    <t>Unalakleet Valley Electrical Cooperative</t>
  </si>
  <si>
    <t>Unalaska Electric Utility</t>
  </si>
  <si>
    <t>Unqusrag Power Company</t>
  </si>
  <si>
    <t>Newtok</t>
  </si>
  <si>
    <t>White Mountain Utilities</t>
  </si>
  <si>
    <t>Yakutat Power</t>
  </si>
  <si>
    <t>Slana</t>
  </si>
  <si>
    <t>Teller</t>
  </si>
  <si>
    <t>Chignik Lake</t>
  </si>
  <si>
    <t>Galena</t>
  </si>
  <si>
    <t>Kipnuk</t>
  </si>
  <si>
    <t>Koyukuk</t>
  </si>
  <si>
    <t>Platinum</t>
  </si>
  <si>
    <t>St. George</t>
  </si>
  <si>
    <t>White Mountain</t>
  </si>
  <si>
    <t>NPV Benefits</t>
  </si>
  <si>
    <t>Units</t>
  </si>
  <si>
    <t>$ per year</t>
  </si>
  <si>
    <t>$ per kWh</t>
  </si>
  <si>
    <t>kWh per year</t>
  </si>
  <si>
    <t>Fuel Use</t>
  </si>
  <si>
    <t>gallons per year</t>
  </si>
  <si>
    <t>$ per gallon</t>
  </si>
  <si>
    <t>Fuel Cost</t>
  </si>
  <si>
    <t>Unit</t>
  </si>
  <si>
    <t>Value</t>
  </si>
  <si>
    <t>% per year</t>
  </si>
  <si>
    <t xml:space="preserve">Project Capital Cost </t>
  </si>
  <si>
    <t>Parameters</t>
  </si>
  <si>
    <t>Diesel Generator O&amp;M</t>
  </si>
  <si>
    <t>Entered Value</t>
  </si>
  <si>
    <t>NPV Capital Costs</t>
  </si>
  <si>
    <t>Project Life</t>
  </si>
  <si>
    <t>years</t>
  </si>
  <si>
    <t>kWh per gallon</t>
  </si>
  <si>
    <t>Heating Fuel Premium</t>
  </si>
  <si>
    <t>Electric</t>
  </si>
  <si>
    <t>Proposed</t>
  </si>
  <si>
    <t>Base</t>
  </si>
  <si>
    <t>Project Start</t>
  </si>
  <si>
    <t>$</t>
  </si>
  <si>
    <t>Transportation</t>
  </si>
  <si>
    <t>Net Benefit</t>
  </si>
  <si>
    <t>NPV Net Benefit</t>
  </si>
  <si>
    <t>Rural</t>
  </si>
  <si>
    <t>Anchorage</t>
  </si>
  <si>
    <t>Fairbanks</t>
  </si>
  <si>
    <t>Juneau</t>
  </si>
  <si>
    <t>Kenai</t>
  </si>
  <si>
    <t>Ketchikan</t>
  </si>
  <si>
    <t>Palmer</t>
  </si>
  <si>
    <t>Wasilla</t>
  </si>
  <si>
    <t>Urban Heating Fuel</t>
  </si>
  <si>
    <t>Total avoided cost/kWh</t>
  </si>
  <si>
    <t>slope</t>
  </si>
  <si>
    <t>intercept</t>
  </si>
  <si>
    <t>Community Name</t>
  </si>
  <si>
    <t>Geothermal</t>
  </si>
  <si>
    <t>Railbelt North of Alaska Range</t>
  </si>
  <si>
    <t>Railbelt South of Alaska Range</t>
  </si>
  <si>
    <t>Natural Gas Price - Heat</t>
  </si>
  <si>
    <t>y variable: GVEA Rate</t>
  </si>
  <si>
    <t>x variable: Fairbanks Fuel Cost</t>
  </si>
  <si>
    <t>Total avoided cost</t>
  </si>
  <si>
    <t>GVEA</t>
  </si>
  <si>
    <t>CEA</t>
  </si>
  <si>
    <t>Fuel cost per kWh</t>
  </si>
  <si>
    <t>O&amp;M cost per kWh</t>
  </si>
  <si>
    <t>gallons displaced per year</t>
  </si>
  <si>
    <t>Fuel O&amp;M</t>
  </si>
  <si>
    <t>Crude Oil</t>
  </si>
  <si>
    <t>Natural Gas</t>
  </si>
  <si>
    <t>$ per barrel</t>
  </si>
  <si>
    <t>$ per mmBtu</t>
  </si>
  <si>
    <t>Renewable Generation O&amp;M</t>
  </si>
  <si>
    <t>&lt;1,000</t>
  </si>
  <si>
    <t>&gt;100,000</t>
  </si>
  <si>
    <t>Gallons of Displaced Heating Fuel</t>
  </si>
  <si>
    <t>1,000 &lt; 25,000</t>
  </si>
  <si>
    <t>25,000 &gt; 100,000</t>
  </si>
  <si>
    <t>Base System</t>
  </si>
  <si>
    <t>Diesel Generation Efficiency</t>
  </si>
  <si>
    <t>Gallons of Displaced Transportation Fuel</t>
  </si>
  <si>
    <t>All</t>
  </si>
  <si>
    <t>Project Description</t>
  </si>
  <si>
    <t>Region</t>
  </si>
  <si>
    <t>year</t>
  </si>
  <si>
    <t>AEA B/C Model</t>
  </si>
  <si>
    <t>Hydrokinetic</t>
  </si>
  <si>
    <t>Biofuels</t>
  </si>
  <si>
    <t>Ocean/Tidal</t>
  </si>
  <si>
    <t>Solar Thermal</t>
  </si>
  <si>
    <t>Gas</t>
  </si>
  <si>
    <t>Heat Recovery</t>
  </si>
  <si>
    <t>vary</t>
  </si>
  <si>
    <t>O&amp;M Rural</t>
  </si>
  <si>
    <t>O&amp;M Railbelt</t>
  </si>
  <si>
    <t>Installed Cost Rural</t>
  </si>
  <si>
    <t>Installed Cost Railbelt</t>
  </si>
  <si>
    <t>$ per kW</t>
  </si>
  <si>
    <t>Total System Availability</t>
  </si>
  <si>
    <t>Hydro (Run of River)</t>
  </si>
  <si>
    <t>Solar PV</t>
  </si>
  <si>
    <t>Intertie</t>
  </si>
  <si>
    <t>AEA Assumptions</t>
  </si>
  <si>
    <t>%</t>
  </si>
  <si>
    <t>Heat</t>
  </si>
  <si>
    <t>Diesel</t>
  </si>
  <si>
    <t>EIA Mid</t>
  </si>
  <si>
    <t>EIA Low</t>
  </si>
  <si>
    <t>EIA High</t>
  </si>
  <si>
    <t>mmBtu per kWh</t>
  </si>
  <si>
    <t>gallons per kWh</t>
  </si>
  <si>
    <t>Results</t>
  </si>
  <si>
    <t>Performance</t>
  </si>
  <si>
    <t>Displaced Electricity</t>
  </si>
  <si>
    <t>total lifetime kWh</t>
  </si>
  <si>
    <t>Displaced Petroleum Fuel</t>
  </si>
  <si>
    <t>total lifetime gallons</t>
  </si>
  <si>
    <t>Proposed System</t>
  </si>
  <si>
    <t>Displaced Electric</t>
  </si>
  <si>
    <t>Displaced Heat</t>
  </si>
  <si>
    <t>Displaced Transportation</t>
  </si>
  <si>
    <t>Transportation Fuel Premium</t>
  </si>
  <si>
    <t>Proposed Generation Cost</t>
  </si>
  <si>
    <t>Base Generation Cost</t>
  </si>
  <si>
    <t>Proposed Heat Cost</t>
  </si>
  <si>
    <t>Base Heating Cost</t>
  </si>
  <si>
    <t>Community</t>
  </si>
  <si>
    <t>Nearest Fuel Community</t>
  </si>
  <si>
    <t>Hydro (Reservoir)</t>
  </si>
  <si>
    <t>Avoided CO2</t>
  </si>
  <si>
    <t>tonnes per year</t>
  </si>
  <si>
    <t>total lifetime tonnes</t>
  </si>
  <si>
    <t>Generator Scheduled Repairs</t>
  </si>
  <si>
    <t>Fuel Scheduled Repairs</t>
  </si>
  <si>
    <t>Low</t>
  </si>
  <si>
    <t>Mid</t>
  </si>
  <si>
    <t>High</t>
  </si>
  <si>
    <t>2009 CEA/CP Gas Contract using PACI</t>
  </si>
  <si>
    <t>Electric Capacity</t>
  </si>
  <si>
    <t>kW</t>
  </si>
  <si>
    <t>Electric Capacity Factor</t>
  </si>
  <si>
    <t>Heating Capacity</t>
  </si>
  <si>
    <t>Heating Capacity Factor</t>
  </si>
  <si>
    <t>Btu/hr</t>
  </si>
  <si>
    <t>CommunityID</t>
  </si>
  <si>
    <t>Substitute CommunityID</t>
  </si>
  <si>
    <t>Substitute Community</t>
  </si>
  <si>
    <t>Intercept</t>
  </si>
  <si>
    <t>Akhiok, City of</t>
  </si>
  <si>
    <t>Arctic Village</t>
  </si>
  <si>
    <t>Birch Creek</t>
  </si>
  <si>
    <t>Chalkyitsik Village Energy Syst</t>
  </si>
  <si>
    <t>Chignik Lake (11)</t>
  </si>
  <si>
    <t>City of Clark's Point</t>
  </si>
  <si>
    <t>Galena (3)</t>
  </si>
  <si>
    <t>Kipnuk(9)</t>
  </si>
  <si>
    <t>Koyukuk (8)</t>
  </si>
  <si>
    <t>Pelican Utility Company</t>
  </si>
  <si>
    <t>Perryville, City of</t>
  </si>
  <si>
    <t>Platinum (3)</t>
  </si>
  <si>
    <t>Rampart</t>
  </si>
  <si>
    <t>St. George (7)</t>
  </si>
  <si>
    <t>Stevens Village</t>
  </si>
  <si>
    <t>Telida Village Electric</t>
  </si>
  <si>
    <t>Teller (6)</t>
  </si>
  <si>
    <t>Venetie</t>
  </si>
  <si>
    <t>White Mountain (8)</t>
  </si>
  <si>
    <t>Slana (1)</t>
  </si>
  <si>
    <t>projects &lt; 1MW or &lt; 1,000 people</t>
  </si>
  <si>
    <t xml:space="preserve">&gt; 1MW and &gt; 1,000 people </t>
  </si>
  <si>
    <t>Lag (1=Lag, 0=No Lag)</t>
  </si>
  <si>
    <t>Slope</t>
  </si>
  <si>
    <t>Associated Social Cost of Carbon</t>
  </si>
  <si>
    <t>Kassan</t>
  </si>
  <si>
    <t>Thorne Bay</t>
  </si>
  <si>
    <t>Estimated Natural Gas Price w/SCC</t>
  </si>
  <si>
    <t>CommunityName</t>
  </si>
  <si>
    <t>Please use this worksheet to show all your calculations.</t>
  </si>
  <si>
    <t>Biomass Fuel Units</t>
  </si>
  <si>
    <t>Wet cords</t>
  </si>
  <si>
    <t>Green Chips</t>
  </si>
  <si>
    <t>Dry cords</t>
  </si>
  <si>
    <t>Dry chips</t>
  </si>
  <si>
    <t>Moisture Content</t>
  </si>
  <si>
    <t>Heating Value</t>
  </si>
  <si>
    <t>2,000 pounds of undried biomass material. Moisture content must be specified if green tons are used as a measure of fuel energy.</t>
  </si>
  <si>
    <t>Green Tons</t>
  </si>
  <si>
    <t>MMBtu per unit</t>
  </si>
  <si>
    <t>http://www.consumerenergycenter.org/home/heating_cooling/firewood.html</t>
  </si>
  <si>
    <t>Notes</t>
  </si>
  <si>
    <t>1. "Forest Products Measurements and Conversion Factors with Special Emphasis</t>
  </si>
  <si>
    <t>on the U.S. Pacific Northwest.: U of Washington, David Briggs. Most current edition.</t>
  </si>
  <si>
    <t>2. "Conversion Factors for the Forest-Products Industry in Western Canada"</t>
  </si>
  <si>
    <t>by Jock Dobie and D.M. Wright. August 1975 (non-metric units).</t>
  </si>
  <si>
    <t>3. "Wood handbook: Wood as an Engineering Material"</t>
  </si>
  <si>
    <t>USDA, Forest Products Laboratory. Ag Handbook No. 72. Most recent editions.</t>
  </si>
  <si>
    <t>4. "Canadian Woods: Their Properties and Uses.</t>
  </si>
  <si>
    <t>U of Toronto Press in coop with Canadian Forestry Service. Most recent edition.</t>
  </si>
  <si>
    <t>5. "Use of Wood Energy in Remote Interior Alaskan Communities"</t>
  </si>
  <si>
    <t>Reid, Collins Alaska Inc. September 1981.</t>
  </si>
  <si>
    <t>6. "Matanuska-Susitna Borough: Forest Inventory Report"</t>
  </si>
  <si>
    <t>7. Kenai Conversion Tables. Cal Kerr 2002.</t>
  </si>
  <si>
    <t>[I'll send a copy to you.]</t>
  </si>
  <si>
    <t>8. U of A. Cooperative Extension.</t>
  </si>
  <si>
    <t>Axel Carlson. Original author. Now Seifert.</t>
  </si>
  <si>
    <t>Comparative Unit Fuel Costs for Equivalent Dollar Net Heat Output"</t>
  </si>
  <si>
    <t>9. Alaska Power Authority: Wood Cost Model</t>
  </si>
  <si>
    <t>Adapted by Kerr.</t>
  </si>
  <si>
    <t>Softwood</t>
  </si>
  <si>
    <t>Wood Chips</t>
  </si>
  <si>
    <t xml:space="preserve"> Units</t>
  </si>
  <si>
    <t>Biomass Fuel</t>
  </si>
  <si>
    <t>Cords</t>
  </si>
  <si>
    <t>Wood Pellet</t>
  </si>
  <si>
    <t>40 lbs bag</t>
  </si>
  <si>
    <t>Wood Heating and Weights Values</t>
  </si>
  <si>
    <t>Species</t>
  </si>
  <si>
    <t>MMBtu/Cord*</t>
  </si>
  <si>
    <t>Cord Weight (pounds)** GREEN</t>
  </si>
  <si>
    <t>Cord Weight (pounds)** DRY</t>
  </si>
  <si>
    <t>Alder, Red</t>
  </si>
  <si>
    <t>18.4 - 19.5</t>
  </si>
  <si>
    <t>2000 - 2600</t>
  </si>
  <si>
    <t>3200 - 4100</t>
  </si>
  <si>
    <t>Aspen</t>
  </si>
  <si>
    <t>17.0 - 18.0</t>
  </si>
  <si>
    <t>1860 - 2400</t>
  </si>
  <si>
    <t>Southeast</t>
  </si>
  <si>
    <t>Interior</t>
  </si>
  <si>
    <t>Birch</t>
  </si>
  <si>
    <t>25.9-27.5</t>
  </si>
  <si>
    <t>2840 - 3650</t>
  </si>
  <si>
    <t>3020 - 3880</t>
  </si>
  <si>
    <t>4630 - 5960</t>
  </si>
  <si>
    <t>Cottonwood</t>
  </si>
  <si>
    <t>15.8 - 16.8</t>
  </si>
  <si>
    <t>1730 - 2225</t>
  </si>
  <si>
    <t>2700 - 3475</t>
  </si>
  <si>
    <t>Juniper, western</t>
  </si>
  <si>
    <t>23.4 - 26.4</t>
  </si>
  <si>
    <t>2400 - 3050</t>
  </si>
  <si>
    <t>4225 - 5410</t>
  </si>
  <si>
    <t>Pine, Lodgepole (Shore Pine)</t>
  </si>
  <si>
    <t>South</t>
  </si>
  <si>
    <t>3320 - 4270</t>
  </si>
  <si>
    <t xml:space="preserve">19.7 - 22.3 </t>
  </si>
  <si>
    <t>2000 - 2580</t>
  </si>
  <si>
    <t>Spruce, Sitka</t>
  </si>
  <si>
    <t>19.3 - 21.7</t>
  </si>
  <si>
    <t>1960 - 2520</t>
  </si>
  <si>
    <t>3190 - 4100</t>
  </si>
  <si>
    <t>Willow, Black</t>
  </si>
  <si>
    <t>17.5 - 18.6</t>
  </si>
  <si>
    <t>1910 - 2450</t>
  </si>
  <si>
    <t>3140 - 4040</t>
  </si>
  <si>
    <t>*British thermal unit (Btu) values based on specific gravity of 80 cubic feet per cord. 8000 to 8500 Btu per pound for non resinous woods. 8600 to 9700 Btu per pound for resinous woods.</t>
  </si>
  <si>
    <t>**Weights:</t>
  </si>
  <si>
    <t>Higher value of range assumes 90 cubic feet of wood per cord.</t>
  </si>
  <si>
    <t>Lower value of  range assumes 70 cubic feet of wood per cord.</t>
  </si>
  <si>
    <t>Dry weight at 12 percent moisture content</t>
  </si>
  <si>
    <t>All moisture content based on "wet" wood basis</t>
  </si>
  <si>
    <t xml:space="preserve">Source: </t>
  </si>
  <si>
    <t>California Energy Commission</t>
  </si>
  <si>
    <t>Cal Kerr, Northern Economics</t>
  </si>
  <si>
    <t>Southcentral</t>
  </si>
  <si>
    <t>HHV or LHV*</t>
  </si>
  <si>
    <t>Green weight at 40 to 60 percent moisture content</t>
  </si>
  <si>
    <t>Biomass Fuel Type</t>
  </si>
  <si>
    <t>Green Ton - 2,000 pounds of undried biomass material. Moisture content must be specified if green tons are used as a measure of fuel energy.</t>
  </si>
  <si>
    <t>Dec 2006. Sanders Forestry Consulting.</t>
  </si>
  <si>
    <t>Please use this worksheet for reference and to input additional data regarding biomass fuel used in the project being analyzed.</t>
  </si>
  <si>
    <t>*Please enter HHV for High Heating Value or  LHV  for Low Heating Value</t>
  </si>
  <si>
    <t>Other Sources:</t>
  </si>
  <si>
    <t>Note: Below please enter the values being used in the project analysis. If values other than the estimates provided below are not used, please include source and assumptions being used in the 'Notes' column.  Use the blank space in 'Calc' sheet for your calculations.</t>
  </si>
  <si>
    <t>RSquare</t>
  </si>
  <si>
    <t>Slope Significance</t>
  </si>
  <si>
    <t>Regression Output</t>
  </si>
  <si>
    <t>Assumed heat rate from Emerman (Btu/kWh)</t>
  </si>
  <si>
    <t>Assumed variable O&amp;M from Emerman</t>
  </si>
  <si>
    <t>Here are the maximum capacity factors for each wind class. For feasibility proposals, it is safe to use these maximums as the capacity factor assumptions. For design and construction proposals, they should have collected wind data and performed other analysis that will better estimate actual production. These caps would still apply though.</t>
  </si>
  <si>
    <t>Wind Class</t>
  </si>
  <si>
    <t>30 m Wind Speed</t>
  </si>
  <si>
    <t>50 m Wind Speed</t>
  </si>
  <si>
    <t>REF V-VI Net CF</t>
  </si>
  <si>
    <t>0-5.1</t>
  </si>
  <si>
    <t>0-5.6</t>
  </si>
  <si>
    <t>5.1-5.9</t>
  </si>
  <si>
    <t>5.6-6.4</t>
  </si>
  <si>
    <t>5.9-6.5</t>
  </si>
  <si>
    <t>6.4-7</t>
  </si>
  <si>
    <t>6.5-7</t>
  </si>
  <si>
    <t>7-7.5</t>
  </si>
  <si>
    <t>7-7.4</t>
  </si>
  <si>
    <t>7.5-8</t>
  </si>
  <si>
    <t>7.4-7.9</t>
  </si>
  <si>
    <t>8-8.8</t>
  </si>
  <si>
    <t>&gt;7.9</t>
  </si>
  <si>
    <t>&gt;8.8</t>
  </si>
  <si>
    <t>Additional wind assumptions:</t>
  </si>
  <si>
    <t>The cost per installed kW of wind would be for the turbines and short transmission lines only. Longer transmission lines and secondary load systems or other integration components will add to the cost.</t>
  </si>
  <si>
    <t>Kodiak</t>
  </si>
  <si>
    <t>Petersburg</t>
  </si>
  <si>
    <t>Sitka</t>
  </si>
  <si>
    <t>Wrangell</t>
  </si>
  <si>
    <t>Community fuel price = C + β ((West Texas + Brent Average Crude Prices)/2)</t>
  </si>
  <si>
    <t>$2012 per mcf</t>
  </si>
  <si>
    <t>2012$ per kWh</t>
  </si>
  <si>
    <t>$2012 per kWh</t>
  </si>
  <si>
    <t>$2012 per gallon</t>
  </si>
  <si>
    <t>CPI-U Multiplier (2010$-2012$)</t>
  </si>
  <si>
    <t>2010 Values</t>
  </si>
  <si>
    <t>2012$ Values</t>
  </si>
  <si>
    <t>CPI-U Multiplier (2011$-2012$)</t>
  </si>
  <si>
    <t>Comment: Updated w/ 2012$ (CPI muliplier = 1.053)</t>
  </si>
  <si>
    <t>Updated September 2013 (Jeffrey Armagost and Alejandra Villalobos)</t>
  </si>
  <si>
    <t xml:space="preserve"> Scheduled Repairs</t>
  </si>
  <si>
    <t xml:space="preserve"> O&amp;M</t>
  </si>
  <si>
    <t>Electricity Generated, Conserved, or transmitted</t>
  </si>
  <si>
    <t>Heat O&amp;M</t>
  </si>
  <si>
    <t>Heat Scheduled Repairs</t>
  </si>
  <si>
    <t>Technology</t>
  </si>
  <si>
    <t>Project Phase</t>
  </si>
  <si>
    <t>Assumptions</t>
  </si>
  <si>
    <t>Actual</t>
  </si>
  <si>
    <t>&gt;1 MW</t>
  </si>
  <si>
    <t>&lt;1 MW</t>
  </si>
  <si>
    <t>Expected</t>
  </si>
  <si>
    <t>Recon</t>
  </si>
  <si>
    <t>Feasibility</t>
  </si>
  <si>
    <t>Construction</t>
  </si>
  <si>
    <t>Proposed System Analysis</t>
  </si>
  <si>
    <t>/kW</t>
  </si>
  <si>
    <t>Cost for Secondary Loads Component of Project:</t>
  </si>
  <si>
    <t>Cost for Transmission Line Component of Project:</t>
  </si>
  <si>
    <t>kWh</t>
  </si>
  <si>
    <t xml:space="preserve"> Annual Transmission Loss:</t>
  </si>
  <si>
    <t xml:space="preserve"> Annual Percentage of Excess Energy Captured by Boiler(s):</t>
  </si>
  <si>
    <t xml:space="preserve"> Annual Net Excess Energy Captured by Boiler(s):</t>
  </si>
  <si>
    <t xml:space="preserve"> Annual Reduction in Diesel Used for Electrical Generation:</t>
  </si>
  <si>
    <t>gal</t>
  </si>
  <si>
    <t>Loss of Heat Recovered from Gen-set</t>
  </si>
  <si>
    <t>Annual Net Reduction in Diesel Used for Thermal Loads:</t>
  </si>
  <si>
    <t>Proposed Intertie/Transmission Line O&amp;M:</t>
  </si>
  <si>
    <t>System Lifetime:</t>
  </si>
  <si>
    <t>kW proposed</t>
  </si>
  <si>
    <t>Distance to T&amp;D</t>
  </si>
  <si>
    <t>Switchgear suitable</t>
  </si>
  <si>
    <t>Yes</t>
  </si>
  <si>
    <t>No</t>
  </si>
  <si>
    <t>Assumed Capacity Factor</t>
  </si>
  <si>
    <t>Nameplate Capacity of Proposed Wind Turbines:</t>
  </si>
  <si>
    <t xml:space="preserve"> Cost for Wind Component of Project:</t>
  </si>
  <si>
    <t xml:space="preserve"> Cost of Wind Component per installed kW:</t>
  </si>
  <si>
    <t>Cost of Powerhouse Controls</t>
  </si>
  <si>
    <t>Average Wind Penetration:</t>
  </si>
  <si>
    <t xml:space="preserve"> Annual Gross Electricity Produced from Proposed Wind:</t>
  </si>
  <si>
    <t xml:space="preserve"> AnnualTransmission Loss Percentage:</t>
  </si>
  <si>
    <t xml:space="preserve"> Annual Excess Energy</t>
  </si>
  <si>
    <t>Annual Net Electricity Produced from Wind:</t>
  </si>
  <si>
    <t>Percentage of Gross Wind Production that is Excess Electricity:</t>
  </si>
  <si>
    <t>Diesel equivalent captured by Boiler(s)</t>
  </si>
  <si>
    <t>Proposed Wind System O&amp;M:</t>
  </si>
  <si>
    <t>/kWh</t>
  </si>
  <si>
    <t>Proposed Wind System R&amp;R/yr</t>
  </si>
  <si>
    <t>Design</t>
  </si>
  <si>
    <t>Total Cost :</t>
  </si>
  <si>
    <t>Secondary Load?</t>
  </si>
  <si>
    <t>Secondary Load</t>
  </si>
  <si>
    <t>Net  Fuel Decrease</t>
  </si>
  <si>
    <t>Inputs</t>
  </si>
  <si>
    <t>HR on Genset?</t>
  </si>
  <si>
    <t>Total Nameplate Capacity of Wind proposed:</t>
  </si>
  <si>
    <t>Costs Known?</t>
  </si>
  <si>
    <t>Total Cost for wind (if known)</t>
  </si>
  <si>
    <t>Fossil Fuel Generation displaced</t>
  </si>
  <si>
    <r>
      <t xml:space="preserve">Annual Savings </t>
    </r>
    <r>
      <rPr>
        <b/>
        <sz val="10"/>
        <color indexed="10"/>
        <rFont val="Times New Roman"/>
        <family val="1"/>
      </rPr>
      <t>(Costs)</t>
    </r>
  </si>
  <si>
    <r>
      <t>Electric Savings</t>
    </r>
    <r>
      <rPr>
        <sz val="10"/>
        <color indexed="10"/>
        <rFont val="Times New Roman"/>
        <family val="1"/>
      </rPr>
      <t xml:space="preserve"> (Costs)</t>
    </r>
  </si>
  <si>
    <r>
      <t xml:space="preserve">Heating Saving </t>
    </r>
    <r>
      <rPr>
        <sz val="10"/>
        <color indexed="10"/>
        <rFont val="Times New Roman"/>
        <family val="1"/>
      </rPr>
      <t>(Costs)</t>
    </r>
  </si>
  <si>
    <r>
      <t xml:space="preserve">Total Savings </t>
    </r>
    <r>
      <rPr>
        <b/>
        <sz val="10"/>
        <color indexed="10"/>
        <rFont val="Times New Roman"/>
        <family val="1"/>
      </rPr>
      <t>(Costs)</t>
    </r>
  </si>
  <si>
    <t>System Characteristics</t>
  </si>
  <si>
    <t>gallons</t>
  </si>
  <si>
    <t>Fuel costs</t>
  </si>
  <si>
    <t>Electricity</t>
  </si>
  <si>
    <t>Benefits</t>
  </si>
  <si>
    <t>Costs</t>
  </si>
  <si>
    <t>Diesel Efficiency</t>
  </si>
  <si>
    <t>Wind power</t>
  </si>
  <si>
    <t>Hydropower</t>
  </si>
  <si>
    <t>Solar</t>
  </si>
  <si>
    <t>Community Data</t>
  </si>
  <si>
    <t>AEA Assumption</t>
  </si>
  <si>
    <t>Input from Community Data</t>
  </si>
  <si>
    <t>Calculated</t>
  </si>
  <si>
    <t>Distance</t>
  </si>
  <si>
    <t>Other</t>
  </si>
  <si>
    <t>Population</t>
  </si>
  <si>
    <t>Supply</t>
  </si>
  <si>
    <t>Consumer Prices</t>
  </si>
  <si>
    <t>Generation total</t>
  </si>
  <si>
    <t>Gasoline</t>
  </si>
  <si>
    <t>kwh sold</t>
  </si>
  <si>
    <t>Peak kW</t>
  </si>
  <si>
    <t>Diesel (utility)</t>
  </si>
  <si>
    <t>Average Load</t>
  </si>
  <si>
    <t>Fuel Oil</t>
  </si>
  <si>
    <t>Diesel consumed (gallons)</t>
  </si>
  <si>
    <t>Efficiency</t>
  </si>
  <si>
    <t>RE (Type)</t>
  </si>
  <si>
    <t>Coal</t>
  </si>
  <si>
    <t>Nameplate Capacity</t>
  </si>
  <si>
    <t>Commercial</t>
  </si>
  <si>
    <t>Line Loss</t>
  </si>
  <si>
    <t>Surcharges</t>
  </si>
  <si>
    <t>Bulk Fuel</t>
  </si>
  <si>
    <t>Generation--kWh</t>
  </si>
  <si>
    <t>Total # Generators</t>
  </si>
  <si>
    <t>Office</t>
  </si>
  <si>
    <t>Load Sizing</t>
  </si>
  <si>
    <t>Operational</t>
  </si>
  <si>
    <t>More available</t>
  </si>
  <si>
    <t>Infrastructure Condition</t>
  </si>
  <si>
    <t>Gen-sets</t>
  </si>
  <si>
    <t>Life, Health, Safety</t>
  </si>
  <si>
    <t>$/kWh</t>
  </si>
  <si>
    <t>Benchmark</t>
  </si>
  <si>
    <t>kWh Sold</t>
  </si>
  <si>
    <t>Fuel Used (gallons)</t>
  </si>
  <si>
    <t>Efficiency (kWh/gal)</t>
  </si>
  <si>
    <t>Major Repair and Capital Costs</t>
  </si>
  <si>
    <t>Install SCADA</t>
  </si>
  <si>
    <t>Install water jacket HR</t>
  </si>
  <si>
    <t>Powerhouse Upgrade</t>
  </si>
  <si>
    <t>Complete Powerhouse</t>
  </si>
  <si>
    <t>(rounded to nearest 25 kW)</t>
  </si>
  <si>
    <t xml:space="preserve"> O&amp;M ($/kWh)</t>
  </si>
  <si>
    <t>Road Needed for T&amp;D?</t>
  </si>
  <si>
    <t>Current wind Installed capacity</t>
  </si>
  <si>
    <t>Housing Description</t>
  </si>
  <si>
    <t>Avg. House Retrofit Cost</t>
  </si>
  <si>
    <t>Cohort Retrofit Cost</t>
  </si>
  <si>
    <t>Residential (w/PCE)</t>
  </si>
  <si>
    <t>Energy Efficiency</t>
  </si>
  <si>
    <t>Non-Generation Infrastructure</t>
  </si>
  <si>
    <t>Changes from 250k/mile to $500k/mile</t>
  </si>
  <si>
    <t>Total Cost for Hydro (if known)</t>
  </si>
  <si>
    <t>Nameplate Capacity of Proposed Hydro Turbines:</t>
  </si>
  <si>
    <t>Total Nameplate Capacity of Hydro proposed:</t>
  </si>
  <si>
    <t xml:space="preserve"> Cost for Hydro Component of Project:</t>
  </si>
  <si>
    <t xml:space="preserve"> Cost of Hydro Component per installed kW:</t>
  </si>
  <si>
    <t>Average Hydro Penetration:</t>
  </si>
  <si>
    <t xml:space="preserve"> Annual Gross Electricity Produced from Proposed Hydro</t>
  </si>
  <si>
    <t>Annual Net Electricity Produced from Hydro</t>
  </si>
  <si>
    <t>Percentage of Gross Hydro Production that is Excess Electricity:</t>
  </si>
  <si>
    <t>Proposed Hydro System O&amp;M:</t>
  </si>
  <si>
    <t>Proposed Hydro System R&amp;R/yr</t>
  </si>
  <si>
    <t>Energy Region</t>
  </si>
  <si>
    <t>Retrofit assumed consumption</t>
  </si>
  <si>
    <t>gallons/year</t>
  </si>
  <si>
    <t>Regional Retrofit Costs/House</t>
  </si>
  <si>
    <t>$/HH</t>
  </si>
  <si>
    <t>Cohort savings (gallons diesel/yr)</t>
  </si>
  <si>
    <t>Fuel price</t>
  </si>
  <si>
    <t>Fuel cost</t>
  </si>
  <si>
    <t>Current baseline</t>
  </si>
  <si>
    <t>Generator(s) Size relative to load</t>
  </si>
  <si>
    <t>Fuel Price</t>
  </si>
  <si>
    <t>Fossil Fuel Generation (Status Quo)</t>
  </si>
  <si>
    <t>Electricity Generated, Improved</t>
  </si>
  <si>
    <t>Gallons/year</t>
  </si>
  <si>
    <t>Fuel Use, improved</t>
  </si>
  <si>
    <t>R&amp;R Fund</t>
  </si>
  <si>
    <t>HR Installed</t>
  </si>
  <si>
    <t>Gallons diesel eq.</t>
  </si>
  <si>
    <t>Repair existing HR</t>
  </si>
  <si>
    <t>HR need repair?</t>
  </si>
  <si>
    <t>Total cost</t>
  </si>
  <si>
    <t>MMBtu/yr Available</t>
  </si>
  <si>
    <t>HR yearly costs</t>
  </si>
  <si>
    <t>Heat Delivered currently</t>
  </si>
  <si>
    <t>Aleutians</t>
  </si>
  <si>
    <t>Bering Straits</t>
  </si>
  <si>
    <t>Bristol Bay</t>
  </si>
  <si>
    <t>Copper River/Chugach</t>
  </si>
  <si>
    <t>Lower Yukon-Kuskokwim</t>
  </si>
  <si>
    <t>North Slope</t>
  </si>
  <si>
    <t>Northwest Arctic</t>
  </si>
  <si>
    <t>Railbelt</t>
  </si>
  <si>
    <t>Yukon-Koyukuk/Upper Tanana</t>
  </si>
  <si>
    <t>B/C</t>
  </si>
  <si>
    <t>Not Good Standing</t>
  </si>
  <si>
    <t>Good Standing</t>
  </si>
  <si>
    <t>Diesel Sizing</t>
  </si>
  <si>
    <t>Properly sized</t>
  </si>
  <si>
    <t>Oversized</t>
  </si>
  <si>
    <t>Undersized</t>
  </si>
  <si>
    <t>Undersized &amp; Oversized</t>
  </si>
  <si>
    <t xml:space="preserve">RE Electric Heat </t>
  </si>
  <si>
    <t>(MMBtu/yr)</t>
  </si>
  <si>
    <t>Btu available</t>
  </si>
  <si>
    <t>Generation (kWh/yr)</t>
  </si>
  <si>
    <t>Power House &amp; Electricity Generation</t>
  </si>
  <si>
    <t xml:space="preserve">Alternative Heat Supply </t>
  </si>
  <si>
    <t>Biomass Type</t>
  </si>
  <si>
    <t>Price</t>
  </si>
  <si>
    <t>Residential Heating</t>
  </si>
  <si>
    <t>Average gallons diesel/unit</t>
  </si>
  <si>
    <t>Total Gallons</t>
  </si>
  <si>
    <t>Power House &amp; Distribution</t>
  </si>
  <si>
    <t xml:space="preserve">Cost ($/kW) </t>
  </si>
  <si>
    <t>Average</t>
  </si>
  <si>
    <t xml:space="preserve">B/C Ratio </t>
  </si>
  <si>
    <t>Has there been a intertie study?</t>
  </si>
  <si>
    <t>Distance to nearest community with lower cost power (miles)</t>
  </si>
  <si>
    <t>Total Cost for Intertie (if known)</t>
  </si>
  <si>
    <t xml:space="preserve">Project Life </t>
  </si>
  <si>
    <t>Costs for intertie known?</t>
  </si>
  <si>
    <t>Transmission line loss/mile</t>
  </si>
  <si>
    <t>kWh/year currently consumed</t>
  </si>
  <si>
    <t>kWh currently consumed</t>
  </si>
  <si>
    <t>Distribution line Losses:</t>
  </si>
  <si>
    <t>kWh transmitted over intertie</t>
  </si>
  <si>
    <t>Cost for Transmission Line</t>
  </si>
  <si>
    <t>/year</t>
  </si>
  <si>
    <t>HR on current Genset?</t>
  </si>
  <si>
    <t>/kwh</t>
  </si>
  <si>
    <t>Difference in Price between communities</t>
  </si>
  <si>
    <t>Cost of power in nearest community (pre-PCE)</t>
  </si>
  <si>
    <t>Other Non-Fuel Costs</t>
  </si>
  <si>
    <t>Electricity price in lower cost community</t>
  </si>
  <si>
    <t>kWh/year from PVWatts</t>
  </si>
  <si>
    <t>kWh/yr</t>
  </si>
  <si>
    <t>Total Cost for PV (if known)</t>
  </si>
  <si>
    <t>Nameplate Capacity of PV:</t>
  </si>
  <si>
    <t>Total Nameplate Capacity of PV proposed:</t>
  </si>
  <si>
    <t xml:space="preserve"> Cost for PV Component of Project:</t>
  </si>
  <si>
    <t>Average PV Penetration:</t>
  </si>
  <si>
    <t xml:space="preserve"> Annual Gross Electricity Produced from Proposed PV</t>
  </si>
  <si>
    <t>Proposed PV System O&amp;M:</t>
  </si>
  <si>
    <t>Proposed PV System R&amp;R/yr</t>
  </si>
  <si>
    <t>Cost ($/kW) (if not known)</t>
  </si>
  <si>
    <t>Current PV installed</t>
  </si>
  <si>
    <t>R&amp;R ($/year)</t>
  </si>
  <si>
    <t>Switchgear</t>
  </si>
  <si>
    <t>New genset</t>
  </si>
  <si>
    <t>&gt;1MW</t>
  </si>
  <si>
    <t>Is SCADA installed</t>
  </si>
  <si>
    <t>More heat available</t>
  </si>
  <si>
    <t>SCADA &amp; Swtichgear</t>
  </si>
  <si>
    <t>Is community inline for new powerhouse?</t>
  </si>
  <si>
    <t># of gensets to replace</t>
  </si>
  <si>
    <t>Largest genset to replace (kW)</t>
  </si>
  <si>
    <t>Genset cost</t>
  </si>
  <si>
    <t>Total Cost</t>
  </si>
  <si>
    <t>Major Overhaul</t>
  </si>
  <si>
    <t>Major overhaul</t>
  </si>
  <si>
    <t># of Gensets needing major overhaul</t>
  </si>
  <si>
    <t>Round-trip distance to load(s) (ft)</t>
  </si>
  <si>
    <t>Number of buildings</t>
  </si>
  <si>
    <t>Installed Loop cost</t>
  </si>
  <si>
    <t>Installed HR loop costs/ft</t>
  </si>
  <si>
    <t>Cost per Building</t>
  </si>
  <si>
    <t>Other (Engineering, CM, Overhead, Misc)</t>
  </si>
  <si>
    <t>Install New System</t>
  </si>
  <si>
    <t>Project Capital Cost (Electric)</t>
  </si>
  <si>
    <t>Project Capital Cost (Heat Rec)</t>
  </si>
  <si>
    <t xml:space="preserve"> </t>
  </si>
  <si>
    <t>Control Switchgear appropriate for RE</t>
  </si>
  <si>
    <t>Residential non-PCE eligible)</t>
  </si>
  <si>
    <t>SCADA Installed</t>
  </si>
  <si>
    <t>Is switchgear suitable for RE?</t>
  </si>
  <si>
    <t># of Gensets requiring major overhaul</t>
  </si>
  <si>
    <t># of Gensets requiring replacement</t>
  </si>
  <si>
    <t>Size of largest Genset to be replaced</t>
  </si>
  <si>
    <t>Energy Efficiency (residential)</t>
  </si>
  <si>
    <t>Potential PCE Community Buildings</t>
  </si>
  <si>
    <t>Energy Efficiency (Commercial)</t>
  </si>
  <si>
    <t>Potential PCE by Decreasing Line loss</t>
  </si>
  <si>
    <t>Potential PCE Benefits/year</t>
  </si>
  <si>
    <t>HR Reduction</t>
  </si>
  <si>
    <t>Secondary Load HR</t>
  </si>
  <si>
    <t>$ per year equivalent</t>
  </si>
  <si>
    <t>/yr</t>
  </si>
  <si>
    <t>Estimated kWh/yr</t>
  </si>
  <si>
    <t>Gallons HF displaced</t>
  </si>
  <si>
    <t>Proposed Heat Savings</t>
  </si>
  <si>
    <t>Number of Building Type</t>
  </si>
  <si>
    <t>Regional Retrofit Costs</t>
  </si>
  <si>
    <t>$/SF</t>
  </si>
  <si>
    <t>Total Sq. ft to be retrofitted</t>
  </si>
  <si>
    <t>Gallons HF</t>
  </si>
  <si>
    <t>Has there been a Bulk Fuel CDR?</t>
  </si>
  <si>
    <t>Proposed Capacity</t>
  </si>
  <si>
    <t>Current cost of Bulk Fuel (HF)</t>
  </si>
  <si>
    <t>Estimated Total Cost</t>
  </si>
  <si>
    <t>Proposed capacity HF</t>
  </si>
  <si>
    <t>Current cost of Bulk Fuel (Diesel)</t>
  </si>
  <si>
    <t>Capacity is needed for</t>
  </si>
  <si>
    <t>Heating Fuel</t>
  </si>
  <si>
    <t>Utility Diesel</t>
  </si>
  <si>
    <t>Community Diesel</t>
  </si>
  <si>
    <t>Current cost of Bulk Fuel (Gasoline)</t>
  </si>
  <si>
    <t>Proposed capacity Diesel</t>
  </si>
  <si>
    <t>Proposed capacity Gasoline</t>
  </si>
  <si>
    <t>Estimated savings/gallon (HF)</t>
  </si>
  <si>
    <t>Estimated savings/gallon (Utility Diesel)</t>
  </si>
  <si>
    <t>Estimated savings/gallon (Gasoline)</t>
  </si>
  <si>
    <t>Estimated savings/gallon (Community diesel)</t>
  </si>
  <si>
    <t>Estimated savings</t>
  </si>
  <si>
    <t>/gallon</t>
  </si>
  <si>
    <t>Total Estimated Savings</t>
  </si>
  <si>
    <r>
      <t>Fuel Savings</t>
    </r>
    <r>
      <rPr>
        <sz val="10"/>
        <color indexed="10"/>
        <rFont val="Times New Roman"/>
        <family val="1"/>
      </rPr>
      <t xml:space="preserve"> (Costs)</t>
    </r>
  </si>
  <si>
    <t>Current cost of Emergency/non-bulk HF</t>
  </si>
  <si>
    <t>Current cost of Emergency/non-bulk Diesel</t>
  </si>
  <si>
    <t>Current cost of Emergency/non-bulk Gasoline</t>
  </si>
  <si>
    <t>Aleutian/Pribilof Islands Association</t>
  </si>
  <si>
    <t>Arctic Slope Native Association</t>
  </si>
  <si>
    <t>Bristol Bay Area Health Corporation</t>
  </si>
  <si>
    <t>Maniilaq Association</t>
  </si>
  <si>
    <t>Metlakatla</t>
  </si>
  <si>
    <t>Norton Sound Health Corporation</t>
  </si>
  <si>
    <t>Southeast Regional Health Corporation</t>
  </si>
  <si>
    <t>Tanana Chiefs Conference</t>
  </si>
  <si>
    <t>Yukon-Kuskokwim Health Corporation</t>
  </si>
  <si>
    <t>$/gallon (2008)</t>
  </si>
  <si>
    <t>large tank (&gt;500k)</t>
  </si>
  <si>
    <t>small tank (&lt;500k)</t>
  </si>
  <si>
    <t>Cost Escalation=</t>
  </si>
  <si>
    <t>2014$</t>
  </si>
  <si>
    <t>Cohort savings (kWh)</t>
  </si>
  <si>
    <t>Electricity Cost</t>
  </si>
  <si>
    <t>Retrofit assumed Consumption</t>
  </si>
  <si>
    <t xml:space="preserve"> Annual Transmission Loss Percentage:</t>
  </si>
  <si>
    <t xml:space="preserve"> Summary</t>
  </si>
  <si>
    <t>Eligible Residential kWh</t>
  </si>
  <si>
    <t>Eligible Public Facilities kWh</t>
  </si>
  <si>
    <t>PCE Subsidy/kWh</t>
  </si>
  <si>
    <t>PCE Subsidy</t>
  </si>
  <si>
    <t>PCE</t>
  </si>
  <si>
    <t>PCE (10-yr)</t>
  </si>
  <si>
    <t>Deliverable heat (MMBtu/yr)</t>
  </si>
  <si>
    <t>Med</t>
  </si>
  <si>
    <t>N/A</t>
  </si>
  <si>
    <t>NPV Benefit</t>
  </si>
  <si>
    <t>NPV Cost</t>
  </si>
  <si>
    <t>Yearly Fuel (gallons)</t>
  </si>
  <si>
    <t>Retail price of electricity at nearest community with lower price electricity</t>
  </si>
  <si>
    <t>PCE reduced due to poor gen. eff.</t>
  </si>
  <si>
    <t>Current Yearly Costs (Not subsidized)</t>
  </si>
  <si>
    <t>Energy Use Known?</t>
  </si>
  <si>
    <t>Actual Electricity</t>
  </si>
  <si>
    <t>Actual Heating Fuel</t>
  </si>
  <si>
    <t>Estimated Electricity</t>
  </si>
  <si>
    <t>Estimated Heating Fuel</t>
  </si>
  <si>
    <t>Heat Recovery?</t>
  </si>
  <si>
    <t>Actual Heat Recovery</t>
  </si>
  <si>
    <t>Energy Consumption</t>
  </si>
  <si>
    <t>Energy Savings</t>
  </si>
  <si>
    <t>Audit Performed?</t>
  </si>
  <si>
    <t>Audit Electricity savings (kWh)</t>
  </si>
  <si>
    <t>Audit Heating Savings (gal)</t>
  </si>
  <si>
    <t>Audit Cost</t>
  </si>
  <si>
    <t>Energy Efficiency (Water &amp; Wastewater)</t>
  </si>
  <si>
    <t>If not Audit:</t>
  </si>
  <si>
    <t>Heating Degree Days</t>
  </si>
  <si>
    <t>Sensitivity Analysis</t>
  </si>
  <si>
    <t>Median Household Income</t>
  </si>
  <si>
    <t>Comparison with State &amp; Region</t>
  </si>
  <si>
    <t>State Average</t>
  </si>
  <si>
    <t>Current maximum public facilities kWh</t>
  </si>
  <si>
    <t>Circulating/Gravity</t>
  </si>
  <si>
    <t>Circulating/Vac</t>
  </si>
  <si>
    <t>Haul</t>
  </si>
  <si>
    <t>Pressure/Gravity</t>
  </si>
  <si>
    <t>Wash/HB</t>
  </si>
  <si>
    <t>kwh</t>
  </si>
  <si>
    <t>hf</t>
  </si>
  <si>
    <t>HF</t>
  </si>
  <si>
    <t>HDD</t>
  </si>
  <si>
    <t>Water/Wastewater Assumptions</t>
  </si>
  <si>
    <t>Estimated Potential Electricity savings (kWh)</t>
  </si>
  <si>
    <t>Estimated Potential Heat Savings (gal HF)</t>
  </si>
  <si>
    <t>Water/Sewer</t>
  </si>
  <si>
    <t>Circulating/Vacuum</t>
  </si>
  <si>
    <t>Washeteria/Honey Bucket</t>
  </si>
  <si>
    <t>Type of Water &amp; Sewer System</t>
  </si>
  <si>
    <t>Electricity ($/kWh)</t>
  </si>
  <si>
    <t>Number Residential Customers</t>
  </si>
  <si>
    <t>Demand Charge ($/kW)</t>
  </si>
  <si>
    <t>(need BF survey)</t>
  </si>
  <si>
    <t>Transmission &amp; Distribution Condition</t>
  </si>
  <si>
    <t>Potential Extra PCE</t>
  </si>
  <si>
    <t>Streetlights</t>
  </si>
  <si>
    <t>Hospital</t>
  </si>
  <si>
    <t>Maintenance/Shop</t>
  </si>
  <si>
    <t>Pool</t>
  </si>
  <si>
    <t>Athletic_Facility</t>
  </si>
  <si>
    <t>Education-K-12</t>
  </si>
  <si>
    <t>Health_Clinic</t>
  </si>
  <si>
    <t>Public_Assembly</t>
  </si>
  <si>
    <t>Public_Order</t>
  </si>
  <si>
    <t>Residential_Multi_Fam</t>
  </si>
  <si>
    <t>Terminals</t>
  </si>
  <si>
    <t>Warehousing</t>
  </si>
  <si>
    <t xml:space="preserve"> Electricity Consumption</t>
  </si>
  <si>
    <t>Avg. Residential Consumption/Mo</t>
  </si>
  <si>
    <t>Non-Residential Consumption</t>
  </si>
  <si>
    <t># of Residential Units</t>
  </si>
  <si>
    <t>Summary of Consumption</t>
  </si>
  <si>
    <t>Linked from Another Page</t>
  </si>
  <si>
    <t>HR on Genset and Operational</t>
  </si>
  <si>
    <t>Estimated cost/gallon (use table below)</t>
  </si>
  <si>
    <t>Is there a cost estimate?</t>
  </si>
  <si>
    <t>Cost Estimate:</t>
  </si>
  <si>
    <t>Total Residential Consumption</t>
  </si>
  <si>
    <t>HR Operational</t>
  </si>
  <si>
    <t>Yes/No</t>
  </si>
  <si>
    <t>Interties</t>
  </si>
  <si>
    <t>Total</t>
  </si>
  <si>
    <t>Total Estimated Cost</t>
  </si>
  <si>
    <t>HDD in ARIS equations</t>
  </si>
  <si>
    <t>Adak</t>
  </si>
  <si>
    <t>Akhiok</t>
  </si>
  <si>
    <t>Alatna</t>
  </si>
  <si>
    <t>Aleknagik</t>
  </si>
  <si>
    <t>Allakaket</t>
  </si>
  <si>
    <t>Anchor Point</t>
  </si>
  <si>
    <t>Anderson</t>
  </si>
  <si>
    <t>Attu</t>
  </si>
  <si>
    <t>Auke Bay</t>
  </si>
  <si>
    <t>Barrow</t>
  </si>
  <si>
    <t>Bettles</t>
  </si>
  <si>
    <t>Big Lake</t>
  </si>
  <si>
    <t>Bird Creek</t>
  </si>
  <si>
    <t>Boundary</t>
  </si>
  <si>
    <t>Candle</t>
  </si>
  <si>
    <t>Cantwell</t>
  </si>
  <si>
    <t>Chalkyitsik</t>
  </si>
  <si>
    <t>Chandalar Lake</t>
  </si>
  <si>
    <t>Chena Hot Springs</t>
  </si>
  <si>
    <t>Chickaloon</t>
  </si>
  <si>
    <t>Chicken</t>
  </si>
  <si>
    <t>Chignik</t>
  </si>
  <si>
    <t>Chiniak</t>
  </si>
  <si>
    <t>Chitina</t>
  </si>
  <si>
    <t>Chugiak</t>
  </si>
  <si>
    <t>Circle Hot Springs</t>
  </si>
  <si>
    <t>Clam Gulch</t>
  </si>
  <si>
    <t>Clark's Point</t>
  </si>
  <si>
    <t>Clear</t>
  </si>
  <si>
    <t>Coldfoot</t>
  </si>
  <si>
    <t>Cooper Landing</t>
  </si>
  <si>
    <t>Copper Center</t>
  </si>
  <si>
    <t>Delta Junction</t>
  </si>
  <si>
    <t>Denali Nat'l Park</t>
  </si>
  <si>
    <t>Douglas</t>
  </si>
  <si>
    <t>Dry Creek</t>
  </si>
  <si>
    <t>Dutch Harbor</t>
  </si>
  <si>
    <t>Eagle</t>
  </si>
  <si>
    <t>Eagle River</t>
  </si>
  <si>
    <t>Nanwalek</t>
  </si>
  <si>
    <t>Ester</t>
  </si>
  <si>
    <t>Evansville</t>
  </si>
  <si>
    <t>Eyak</t>
  </si>
  <si>
    <t>Gakona</t>
  </si>
  <si>
    <t>Girdwood</t>
  </si>
  <si>
    <t>Glenallen</t>
  </si>
  <si>
    <t>Gulkana</t>
  </si>
  <si>
    <t>Halibut Cove</t>
  </si>
  <si>
    <t>Healy</t>
  </si>
  <si>
    <t>Homer</t>
  </si>
  <si>
    <t>Hope</t>
  </si>
  <si>
    <t>Houston</t>
  </si>
  <si>
    <t>Hyder</t>
  </si>
  <si>
    <t>Iliamna</t>
  </si>
  <si>
    <t>Indian</t>
  </si>
  <si>
    <t>Ivanof Bay</t>
  </si>
  <si>
    <t>Jakolof Bay</t>
  </si>
  <si>
    <t>Juneau, City of</t>
  </si>
  <si>
    <t>Kalifonsky</t>
  </si>
  <si>
    <t>Kasaan</t>
  </si>
  <si>
    <t>Kasilof</t>
  </si>
  <si>
    <t>Kenny Lake</t>
  </si>
  <si>
    <t>King Salmon</t>
  </si>
  <si>
    <t>Kupreanof</t>
  </si>
  <si>
    <t>Kwigillingok</t>
  </si>
  <si>
    <t>Manley Hot Springs</t>
  </si>
  <si>
    <t>McCarthy</t>
  </si>
  <si>
    <t>Mekoryok</t>
  </si>
  <si>
    <t>Mentasta Lake</t>
  </si>
  <si>
    <t>Meyers Chuck</t>
  </si>
  <si>
    <t>Minchumina</t>
  </si>
  <si>
    <t>Moose Pass</t>
  </si>
  <si>
    <t>Naknek</t>
  </si>
  <si>
    <t>Napaimute</t>
  </si>
  <si>
    <t>Nenana</t>
  </si>
  <si>
    <t>Newhalen</t>
  </si>
  <si>
    <t>Nikiski</t>
  </si>
  <si>
    <t>Nikolaevsk</t>
  </si>
  <si>
    <t>Ninilchik</t>
  </si>
  <si>
    <t>Nondalton</t>
  </si>
  <si>
    <t>North Pole</t>
  </si>
  <si>
    <t>Northway</t>
  </si>
  <si>
    <t>Nunum Iqua</t>
  </si>
  <si>
    <t>Oscarville</t>
  </si>
  <si>
    <t>Paxson</t>
  </si>
  <si>
    <t>Pelican</t>
  </si>
  <si>
    <t>Perryville</t>
  </si>
  <si>
    <t>Point Baker</t>
  </si>
  <si>
    <t>Port Alexander</t>
  </si>
  <si>
    <t>Port Graham</t>
  </si>
  <si>
    <t>Port Lions</t>
  </si>
  <si>
    <t>Port Protection</t>
  </si>
  <si>
    <t>Saint George</t>
  </si>
  <si>
    <t>Saint Mary's</t>
  </si>
  <si>
    <t>Saint Michael</t>
  </si>
  <si>
    <t>Saint Paul</t>
  </si>
  <si>
    <t>Salcha</t>
  </si>
  <si>
    <t>Saxman</t>
  </si>
  <si>
    <t>Seldovia</t>
  </si>
  <si>
    <t>Seward</t>
  </si>
  <si>
    <t>Shemya</t>
  </si>
  <si>
    <t>Skwentna</t>
  </si>
  <si>
    <t>Soldotna</t>
  </si>
  <si>
    <t>South Naknek</t>
  </si>
  <si>
    <t>Sterling</t>
  </si>
  <si>
    <t>Sutton</t>
  </si>
  <si>
    <t>Talkeetna</t>
  </si>
  <si>
    <t>Tanacross</t>
  </si>
  <si>
    <t>Tazlina</t>
  </si>
  <si>
    <t>Tonsina</t>
  </si>
  <si>
    <t>Trapper Creek</t>
  </si>
  <si>
    <t>Tununak</t>
  </si>
  <si>
    <t>Tyonek</t>
  </si>
  <si>
    <t>Ugashik</t>
  </si>
  <si>
    <t>Upper Kalskag</t>
  </si>
  <si>
    <t>Valdez</t>
  </si>
  <si>
    <t>Ward Cove</t>
  </si>
  <si>
    <t>Whittier</t>
  </si>
  <si>
    <t>Willow</t>
  </si>
  <si>
    <t>Wiseman</t>
  </si>
  <si>
    <t>Estimated Cost from Audit</t>
  </si>
  <si>
    <t>Residents/Household</t>
  </si>
  <si>
    <t>Heat Recovery Installed</t>
  </si>
  <si>
    <t>Impacted by Geography?</t>
  </si>
  <si>
    <t>Benchmarked Buildings</t>
  </si>
  <si>
    <t>Additional Buildings based on Model (number of buildings, size, and consumption based on assumptions)</t>
  </si>
  <si>
    <t>Building Type</t>
  </si>
  <si>
    <t>Cost</t>
  </si>
  <si>
    <t xml:space="preserve">Total Sq. ft </t>
  </si>
  <si>
    <t>Non-Residential Building/Facilities Description</t>
  </si>
  <si>
    <t>Totals for all Buildings</t>
  </si>
  <si>
    <t xml:space="preserve">Unknown  Type </t>
  </si>
  <si>
    <t>Estimated Savings</t>
  </si>
  <si>
    <t>Is the average load&gt;100kW</t>
  </si>
  <si>
    <t>if NO, do not proceed</t>
  </si>
  <si>
    <t>&lt;250kW</t>
  </si>
  <si>
    <t>250kW-1MW</t>
  </si>
  <si>
    <t>Community Fuel Oil Price Projections for Electric Sector</t>
  </si>
  <si>
    <t>Updated June 2014 (Jeffrey Armagost, ISER Research Associate)</t>
  </si>
  <si>
    <t>$2013 per barrel</t>
  </si>
  <si>
    <t>Rural (0)
Urban (1)</t>
  </si>
  <si>
    <t>Updated July 2014 (Alejandra Villalobos Meléndez, ISER Research Associate)</t>
  </si>
  <si>
    <t>Crude Oil Forecast, Energy Information Administration, Annual Energy Outlook 20014</t>
  </si>
  <si>
    <t>EIA 50/50 Brent/ West Texas Intermediate</t>
  </si>
  <si>
    <t>nominal $ per barrel</t>
  </si>
  <si>
    <t>Assumed growth rates after 2040*</t>
  </si>
  <si>
    <t>*Based on EIA's forecast average growth rate.</t>
  </si>
  <si>
    <t>CPI-rate</t>
  </si>
  <si>
    <t>Annual CPI-U</t>
  </si>
  <si>
    <t xml:space="preserve">CPI multiplier </t>
  </si>
  <si>
    <t>Note: Nunam Iqua, community ID 146 is same as Sheldon Point (community ID#188, not included).</t>
  </si>
  <si>
    <t>Regression Coefficients</t>
  </si>
  <si>
    <t/>
  </si>
  <si>
    <t>ASSUMPTIONS, Renewable Energy Fund Program ROUND 8</t>
  </si>
  <si>
    <t>Updated June 2014 (Jeffrey Armagost, ISER Research Associate), see notes regarding updates at the end of the page.</t>
  </si>
  <si>
    <t>Assumptions by Technology Type</t>
  </si>
  <si>
    <t>CPI-U Multiplier (2010$-2013$)</t>
  </si>
  <si>
    <t>CPI-U Multiplier (2013$-2013$)</t>
  </si>
  <si>
    <t>Additional Assumptions for Wind Projects:</t>
  </si>
  <si>
    <t>2013$ Values</t>
  </si>
  <si>
    <t>Here are the maximum capacity factors for each wind class. For feasibility proposals, it is safe to use these maximums as the capacity factor assumptions. For design and construction proposals, they should have collected wind data and performed other analysis that will better estimate actual production. These caps would still apply though. 
The cost per installed kW of wind would be for the turbines and short transmission lines only. Longer transmission lines and secondary load systems or other integration components will add to the cost.</t>
  </si>
  <si>
    <t>REF V-VIII Net CF</t>
  </si>
  <si>
    <t>Default Fuel Displacement Assumptions</t>
  </si>
  <si>
    <t>Fuel Oil, Coal (GVEA)</t>
  </si>
  <si>
    <t>Natural Gas (CEA)</t>
  </si>
  <si>
    <t>Project Phases</t>
  </si>
  <si>
    <t xml:space="preserve">Name </t>
  </si>
  <si>
    <t>Short Name</t>
  </si>
  <si>
    <t>Definition</t>
  </si>
  <si>
    <t>Phase I</t>
  </si>
  <si>
    <t>Reconnaissance</t>
  </si>
  <si>
    <t>A preliminary general study designed to ascertain whether a feasibility study is warranted</t>
  </si>
  <si>
    <t>Phase II</t>
  </si>
  <si>
    <t>Feasibility Analysis, Resource Assessment, Conceptual Design</t>
  </si>
  <si>
    <t>Detailed evaluation intended to assess technical, economic, financial and operational viability and to narrow focus of final design and construction.</t>
  </si>
  <si>
    <t>Phase III</t>
  </si>
  <si>
    <t>Final Design and Permitting</t>
  </si>
  <si>
    <t>Final Design</t>
  </si>
  <si>
    <t>Project configuration and specifications that guide construction. Land use and resource permits and leases required for construction.</t>
  </si>
  <si>
    <t>Phase IV</t>
  </si>
  <si>
    <t>Construction, Commissioning, Operation and Reporting</t>
  </si>
  <si>
    <t>Completion of project construction, start of operation and final commissioning. It also includes follow-up O&amp;M reporting requirements.</t>
  </si>
  <si>
    <t>NOTES &amp; Previous AEA Assumptions</t>
  </si>
  <si>
    <t>Palmer values is used as proxy</t>
  </si>
  <si>
    <t>Average Railbelt cost</t>
  </si>
  <si>
    <t>Multiplier based on Dept. of Ed Construction estimates</t>
  </si>
  <si>
    <t>Totals</t>
  </si>
  <si>
    <t>Estimated Pre-</t>
  </si>
  <si>
    <t>Estimated Post</t>
  </si>
  <si>
    <t>Baseline Consumption</t>
  </si>
  <si>
    <t>Water &amp; Wastewater Systems</t>
  </si>
  <si>
    <t>Non-Residential Buildings</t>
  </si>
  <si>
    <t>Residential Buildings</t>
  </si>
  <si>
    <t>Wind Power</t>
  </si>
  <si>
    <t>Power Cost Equalization</t>
  </si>
  <si>
    <t>Heating Cost Savings</t>
  </si>
  <si>
    <t>Generation Cost Savings</t>
  </si>
  <si>
    <t>Buildings</t>
  </si>
  <si>
    <t>Glennallen</t>
  </si>
  <si>
    <t>Silver Springs</t>
  </si>
  <si>
    <t>Willow Creek</t>
  </si>
  <si>
    <t>Kodiak Station</t>
  </si>
  <si>
    <t>Womens Bay</t>
  </si>
  <si>
    <t>St. Mary's</t>
  </si>
  <si>
    <t>Covenant Life</t>
  </si>
  <si>
    <t>Mosquito Lake</t>
  </si>
  <si>
    <t>Mud Bay</t>
  </si>
  <si>
    <t>Naukati Bay</t>
  </si>
  <si>
    <t>Dot Lake Village</t>
  </si>
  <si>
    <t>Eagle Village</t>
  </si>
  <si>
    <t>Lake Minchumina</t>
  </si>
  <si>
    <t>New Allakaket</t>
  </si>
  <si>
    <t>Northway Junction</t>
  </si>
  <si>
    <t>Northway Village</t>
  </si>
  <si>
    <t>Estimate of Buildings in Community</t>
  </si>
  <si>
    <t xml:space="preserve">Projected Growth </t>
  </si>
  <si>
    <t>Electricity (Actuals from PCE)</t>
  </si>
  <si>
    <t>Year</t>
  </si>
  <si>
    <t xml:space="preserve">Residential </t>
  </si>
  <si>
    <t>Gov</t>
  </si>
  <si>
    <t>Unbilled</t>
  </si>
  <si>
    <t>Trend</t>
  </si>
  <si>
    <t xml:space="preserve">KWh trend is used below to forecast kWh and kW. Population trends are also used to estimate households &amp; residential HF </t>
  </si>
  <si>
    <t>Heating Fuel Estimates</t>
  </si>
  <si>
    <t>Average kW</t>
  </si>
  <si>
    <t>Population Estimate</t>
  </si>
  <si>
    <t>Sum</t>
  </si>
  <si>
    <t>Energy Regions</t>
  </si>
  <si>
    <t>Phases</t>
  </si>
  <si>
    <t>Yearly Cost Estimates</t>
  </si>
  <si>
    <t>Residential</t>
  </si>
  <si>
    <t>Non-Residential</t>
  </si>
  <si>
    <t>Water &amp; Sewer</t>
  </si>
  <si>
    <t>Electric Consumption Estimates</t>
  </si>
  <si>
    <t>Utility-Scale Solar Power</t>
  </si>
  <si>
    <t>Summary of Potential Project Types</t>
  </si>
  <si>
    <t>Resource Certainty (High/Med/Low)</t>
  </si>
  <si>
    <t>Cost Certainty (High/Med/Low)</t>
  </si>
  <si>
    <t>Certainty</t>
  </si>
  <si>
    <t>Medium</t>
  </si>
  <si>
    <t>Resource Certainty</t>
  </si>
  <si>
    <t>Cost Certainty</t>
  </si>
  <si>
    <t>Resource Potential</t>
  </si>
  <si>
    <r>
      <t xml:space="preserve">Annual Savings </t>
    </r>
    <r>
      <rPr>
        <b/>
        <sz val="10"/>
        <color indexed="10"/>
        <rFont val="Arial"/>
        <family val="2"/>
      </rPr>
      <t>(Costs)</t>
    </r>
  </si>
  <si>
    <r>
      <t>Fuel Savings</t>
    </r>
    <r>
      <rPr>
        <sz val="10"/>
        <color indexed="10"/>
        <rFont val="Arial"/>
        <family val="2"/>
      </rPr>
      <t xml:space="preserve"> (Costs)</t>
    </r>
  </si>
  <si>
    <r>
      <t xml:space="preserve">Total Savings </t>
    </r>
    <r>
      <rPr>
        <b/>
        <sz val="10"/>
        <color indexed="10"/>
        <rFont val="Arial"/>
        <family val="2"/>
      </rPr>
      <t>(Costs)</t>
    </r>
  </si>
  <si>
    <t>Consumption Certainty</t>
  </si>
  <si>
    <t>Average Statewide</t>
  </si>
  <si>
    <t>HR Estimated Costs</t>
  </si>
  <si>
    <t>HR Cost</t>
  </si>
  <si>
    <t>If Yes, estimated cost=</t>
  </si>
  <si>
    <t>Community Cost/SF</t>
  </si>
  <si>
    <t>Pre-Retrofit</t>
  </si>
  <si>
    <t>Data Quantity</t>
  </si>
  <si>
    <t>Percent Biomass</t>
  </si>
  <si>
    <t>Total Consumption</t>
  </si>
  <si>
    <t>Total Retrofit Cost</t>
  </si>
  <si>
    <t>HF Gallons</t>
  </si>
  <si>
    <t>Public Assembly</t>
  </si>
  <si>
    <t>&lt;300</t>
  </si>
  <si>
    <t>&gt;300,&lt;1000</t>
  </si>
  <si>
    <t>Small (&lt;300), Medium (&gt;300,&lt;1000), Large Rural (&gt;1000)</t>
  </si>
  <si>
    <t>Above estimates based on work by ANTHC (clinic and office audits), CCHRC (analysis of ARIS data), Neil McMahon (Analysis of ARIS data</t>
  </si>
  <si>
    <t>RE Capacity Factor</t>
  </si>
  <si>
    <t>Propane (100 pounds)</t>
  </si>
  <si>
    <t>Is there are intertie now?</t>
  </si>
  <si>
    <t>Efficiency of genset on intertie</t>
  </si>
  <si>
    <t>If the power comes from an intertie, the power comes from the community of:</t>
  </si>
  <si>
    <t>kWh generated by diesel</t>
  </si>
  <si>
    <t>Neil McMahon</t>
  </si>
  <si>
    <t>907-771-3981</t>
  </si>
  <si>
    <t>Intended Purpose:</t>
  </si>
  <si>
    <t>Community Retrofit Cost</t>
  </si>
  <si>
    <t xml:space="preserve">The model is based on the best data that AEA has access to about individual communities and project types.  Unless there has been specific work done to explore a particular resource type, it is meant to be a pre-feasibility screening tool.  </t>
  </si>
  <si>
    <t>Limits of the model:</t>
  </si>
  <si>
    <t>How to use the model:</t>
  </si>
  <si>
    <t>The model inputs are the yellow cells.  The data for these cells can be accessed through several sources.  The Energy and Community Profiles developed by the regional planners is one source.  The Alaska Energy Gateway will have data for historical population and electricity consumption by sector.  The 2014 housing assessment is the last data source that will be referenced.  If there are other community specific studies or data, they can be used to override the calculations, if needed.</t>
  </si>
  <si>
    <t>If you have questions about the model, please contact:</t>
  </si>
  <si>
    <t>Alaska Energy Authority</t>
  </si>
  <si>
    <t>Program Manager: Energy Planning</t>
  </si>
  <si>
    <t>Results:</t>
  </si>
  <si>
    <t xml:space="preserve">The model results are summarized on the first two tabs, "Summary Charts" and "Community Summary".    </t>
  </si>
  <si>
    <t>The following model is intended as a way to compare potential energy projects in a community at a pre-feasibility level. This work is part of the Alaska Affordable Energy Strategy (AkAES), a mandate that AEA investigate ways to lower the cost of energy in Alaska. For this reason, the model exclusively compares elements of cost and not at other factors sometimes used to determine which projects are done where.</t>
  </si>
  <si>
    <t>Intermodal Capacity</t>
  </si>
  <si>
    <t>Can Accept large ISO containers</t>
  </si>
  <si>
    <t>Distance to be barged</t>
  </si>
  <si>
    <t>Distance to be Trucked</t>
  </si>
  <si>
    <t xml:space="preserve">Powerhouse </t>
  </si>
  <si>
    <t>Gensets can be retrofit</t>
  </si>
  <si>
    <t>Can Accept dedicated barge</t>
  </si>
  <si>
    <t>Ice-Free?</t>
  </si>
  <si>
    <t>If ice-free, regular deliveries per month</t>
  </si>
  <si>
    <t>LNG</t>
  </si>
  <si>
    <t>Generation</t>
  </si>
  <si>
    <t>Genset costs</t>
  </si>
  <si>
    <t>Storage</t>
  </si>
  <si>
    <t>Barging</t>
  </si>
  <si>
    <t>Trucking</t>
  </si>
  <si>
    <t>Gallons of LNG needed for Power</t>
  </si>
  <si>
    <t>Percent of LNG for power generation</t>
  </si>
  <si>
    <t>Volume of LNG needed</t>
  </si>
  <si>
    <t>LNG Cost/gallon</t>
  </si>
  <si>
    <t>Commodity cost/MMBtu</t>
  </si>
  <si>
    <t>Liquefaction/MMBtu</t>
  </si>
  <si>
    <t>Regasification/MMBtu</t>
  </si>
  <si>
    <t>ACEP Assumption</t>
  </si>
  <si>
    <t>Genset Efficiency</t>
  </si>
  <si>
    <t>Intermodal Costs</t>
  </si>
  <si>
    <t>Dock facilities</t>
  </si>
  <si>
    <t>ISO costs</t>
  </si>
  <si>
    <t>Bulk Fuel costs</t>
  </si>
  <si>
    <t>$/pound/mile + constant</t>
  </si>
  <si>
    <t>$125k/container +  pad</t>
  </si>
  <si>
    <t>$9/gallon + pad</t>
  </si>
  <si>
    <t xml:space="preserve">  </t>
  </si>
  <si>
    <t>Dual-fuel</t>
  </si>
  <si>
    <t xml:space="preserve">$120/kW </t>
  </si>
  <si>
    <t>Infrastructure Costs</t>
  </si>
  <si>
    <t>Recurring Costs</t>
  </si>
  <si>
    <t>Description of Pre</t>
  </si>
  <si>
    <t>Watts per Fixture (include ballast) Pre</t>
  </si>
  <si>
    <t>Watts  per LED Light Post</t>
  </si>
  <si>
    <t>Watt Savings per Light</t>
  </si>
  <si>
    <t># Lights Already Replaced</t>
  </si>
  <si>
    <t># Lights Possible to Replace</t>
  </si>
  <si>
    <t>Annual Hours of Operation  Pre*</t>
  </si>
  <si>
    <t>Annual Hours of Operation Post*</t>
  </si>
  <si>
    <t>Annual kWh Pre</t>
  </si>
  <si>
    <t>Possible Annual kWh Post</t>
  </si>
  <si>
    <t>Possible Annual kWh Saved</t>
  </si>
  <si>
    <t>150 Watt HPS</t>
  </si>
  <si>
    <t>Example</t>
  </si>
  <si>
    <t>Electricity conserved</t>
  </si>
  <si>
    <t>Base  Cost</t>
  </si>
  <si>
    <t>Electricity Price</t>
  </si>
  <si>
    <t>Heating and/or Transportation</t>
  </si>
  <si>
    <t>Cost/light= $550</t>
  </si>
  <si>
    <t>kWh/year</t>
  </si>
  <si>
    <t>Divides by genset efficiency</t>
  </si>
  <si>
    <t>Assumes incremental increase</t>
  </si>
  <si>
    <t>Biomass Boiler</t>
  </si>
  <si>
    <t>Is the average load&gt;50kW</t>
  </si>
  <si>
    <t>These are placeholder values, These need to be done using the data available</t>
  </si>
  <si>
    <t>Capex per capita</t>
  </si>
  <si>
    <t>Baseline Average Capex/person</t>
  </si>
  <si>
    <t>Unit Fuel Cost</t>
  </si>
  <si>
    <t>Total Fuel Cost</t>
  </si>
  <si>
    <t>O&amp;M/R&amp;R</t>
  </si>
  <si>
    <t>150 kW</t>
  </si>
  <si>
    <t>150-360</t>
  </si>
  <si>
    <t>361-600</t>
  </si>
  <si>
    <t>&gt;600kW</t>
  </si>
  <si>
    <t>$/year</t>
  </si>
  <si>
    <t>$/Year</t>
  </si>
  <si>
    <t>O&amp;M and Repairs</t>
  </si>
  <si>
    <t>O&amp;M and R&amp;R</t>
  </si>
  <si>
    <t>$2015 per gallon diesel fuel</t>
  </si>
  <si>
    <t>Utility direct communication</t>
  </si>
  <si>
    <t>KPU</t>
  </si>
  <si>
    <t>Utility reporting</t>
  </si>
  <si>
    <t>Electricity fuel cost</t>
  </si>
  <si>
    <t>Electricity Fuel Cost ($/kWh)</t>
  </si>
  <si>
    <t>Electricity Non-Fuel Cost($/kWh)</t>
  </si>
  <si>
    <t>Assumes non-fuel cost remains constant in $2015 and gen. eff. remains constant</t>
  </si>
  <si>
    <t>Source</t>
  </si>
  <si>
    <t>Date</t>
  </si>
  <si>
    <t>Occupied Houses (2010 Census)</t>
  </si>
  <si>
    <t>BEES</t>
  </si>
  <si>
    <t>Post-Retrofit</t>
  </si>
  <si>
    <t>Number</t>
  </si>
  <si>
    <t>Avg Area (SF)</t>
  </si>
  <si>
    <t>Avg EUI (MMBtu/sf)</t>
  </si>
  <si>
    <t>Total Consumption (MMBtu)</t>
  </si>
  <si>
    <t>Avg. EUI Reduction</t>
  </si>
  <si>
    <t>Consumption</t>
  </si>
  <si>
    <t>Heating &amp; Electricity Consumption (MMBtu)</t>
  </si>
  <si>
    <t>Opportunity</t>
  </si>
  <si>
    <t>Non-Wx, HERP, BEES</t>
  </si>
  <si>
    <t>Potential Reduction (assume local reduction)</t>
  </si>
  <si>
    <t>Savings (gallons)</t>
  </si>
  <si>
    <t>Total Percent Community Savings</t>
  </si>
  <si>
    <t>2015 Assumed Occupied Houses</t>
  </si>
  <si>
    <t>Population/HH</t>
  </si>
  <si>
    <t>Gallons saved (uear 1)</t>
  </si>
  <si>
    <t>HH Estimate</t>
  </si>
  <si>
    <t>Pope-Vannoy Landing</t>
  </si>
  <si>
    <t>Portage Creek</t>
  </si>
  <si>
    <t>Chenega Bay</t>
  </si>
  <si>
    <t>Mendeltna</t>
  </si>
  <si>
    <t>Nelchina</t>
  </si>
  <si>
    <t>Tolsona</t>
  </si>
  <si>
    <t>Aleneva</t>
  </si>
  <si>
    <t>Big Delta</t>
  </si>
  <si>
    <t>Chase</t>
  </si>
  <si>
    <t>Crown Point</t>
  </si>
  <si>
    <t>Deltana</t>
  </si>
  <si>
    <t>Glacier View</t>
  </si>
  <si>
    <t>Lake Louise</t>
  </si>
  <si>
    <t>McKinley Park</t>
  </si>
  <si>
    <t>Salamatof</t>
  </si>
  <si>
    <t>Seldovia Village</t>
  </si>
  <si>
    <t>Tanaina</t>
  </si>
  <si>
    <t>Two Rivers</t>
  </si>
  <si>
    <t>Edna Bay</t>
  </si>
  <si>
    <t>Excursion Inlet</t>
  </si>
  <si>
    <t>Game Creek</t>
  </si>
  <si>
    <t>Hobart Bay</t>
  </si>
  <si>
    <t>Lutak</t>
  </si>
  <si>
    <t>Alcan Border</t>
  </si>
  <si>
    <t>Livengood</t>
  </si>
  <si>
    <t>Telida</t>
  </si>
  <si>
    <t>Avg. EUI Reduction (local or regional if PR total&lt;10)</t>
  </si>
  <si>
    <t>Maximum savings ($/kWh)</t>
  </si>
  <si>
    <t>Nearest Community with Lower Price Power</t>
  </si>
  <si>
    <t>Distance to Community</t>
  </si>
  <si>
    <t>Afognak</t>
  </si>
  <si>
    <t>Andreafsky</t>
  </si>
  <si>
    <t>Anton Larsen Bay</t>
  </si>
  <si>
    <t>Ayakulik</t>
  </si>
  <si>
    <t>Chisana</t>
  </si>
  <si>
    <t>Copperville</t>
  </si>
  <si>
    <t>Council</t>
  </si>
  <si>
    <t>Ekuk</t>
  </si>
  <si>
    <t>Ferry</t>
  </si>
  <si>
    <t>Fishhook</t>
  </si>
  <si>
    <t>Fort Glenn</t>
  </si>
  <si>
    <t>Georgetown</t>
  </si>
  <si>
    <t>Hamilton</t>
  </si>
  <si>
    <t>Iditarod</t>
  </si>
  <si>
    <t>Kachemak</t>
  </si>
  <si>
    <t>Kaguyak</t>
  </si>
  <si>
    <t>Kanatak</t>
  </si>
  <si>
    <t>King Island</t>
  </si>
  <si>
    <t>Litnik</t>
  </si>
  <si>
    <t>Loring</t>
  </si>
  <si>
    <t>Lowell Point</t>
  </si>
  <si>
    <t>Mary's Igloo</t>
  </si>
  <si>
    <t>Medfra</t>
  </si>
  <si>
    <t>Mertarvik</t>
  </si>
  <si>
    <t>Mountain Point</t>
  </si>
  <si>
    <t>Nabesna</t>
  </si>
  <si>
    <t>Nagamut</t>
  </si>
  <si>
    <t>Nunivak Island</t>
  </si>
  <si>
    <t>Ophir</t>
  </si>
  <si>
    <t>Paimiut</t>
  </si>
  <si>
    <t>Pauloff Harbor</t>
  </si>
  <si>
    <t>Pile Bay</t>
  </si>
  <si>
    <t>Point Possession</t>
  </si>
  <si>
    <t>Poorman</t>
  </si>
  <si>
    <t>Port Clarence</t>
  </si>
  <si>
    <t>Port Moller</t>
  </si>
  <si>
    <t>Port William</t>
  </si>
  <si>
    <t>Sanak</t>
  </si>
  <si>
    <t>Shakan Bay</t>
  </si>
  <si>
    <t>Shuyak Island</t>
  </si>
  <si>
    <t>Solomon</t>
  </si>
  <si>
    <t>Squaw Harbor</t>
  </si>
  <si>
    <t>Steele Creek</t>
  </si>
  <si>
    <t>Uganik</t>
  </si>
  <si>
    <t>Umiat</t>
  </si>
  <si>
    <t>Unga</t>
  </si>
  <si>
    <t>Uyak</t>
  </si>
  <si>
    <t>Whitestone</t>
  </si>
  <si>
    <t>Whitestone Logging Camp</t>
  </si>
  <si>
    <t>Community with lower price power</t>
  </si>
  <si>
    <t>#1 Fuel Oil (gal)</t>
  </si>
  <si>
    <t>HW District (gal HF equiv)</t>
  </si>
  <si>
    <t>Electric (kWh)</t>
  </si>
  <si>
    <t>Natural Gas (ccf)</t>
  </si>
  <si>
    <t>Propane (gal)</t>
  </si>
  <si>
    <t>Education - K - 12</t>
  </si>
  <si>
    <t>Health Care - Hospitals</t>
  </si>
  <si>
    <t>ANAKTUVUK PASS</t>
  </si>
  <si>
    <t>Residential - Multi-Family</t>
  </si>
  <si>
    <t>ATQASUK</t>
  </si>
  <si>
    <t>Health Care - Nursing/Residential Care</t>
  </si>
  <si>
    <t>BARROW</t>
  </si>
  <si>
    <t>BETHEL</t>
  </si>
  <si>
    <t>Accomodation Services</t>
  </si>
  <si>
    <t>CORDOVA</t>
  </si>
  <si>
    <t>DILLINGHAM</t>
  </si>
  <si>
    <t>Education - University</t>
  </si>
  <si>
    <t>EAGLE</t>
  </si>
  <si>
    <t>HOONAH</t>
  </si>
  <si>
    <t>JUNEAU</t>
  </si>
  <si>
    <t>KAKE</t>
  </si>
  <si>
    <t>KAKTOVIK</t>
  </si>
  <si>
    <t>KETCHIKAN</t>
  </si>
  <si>
    <t>KODIAK</t>
  </si>
  <si>
    <t>KOTZEBUE</t>
  </si>
  <si>
    <t>MOSQUITO LAKE</t>
  </si>
  <si>
    <t>NOME</t>
  </si>
  <si>
    <t>NORTHWAY</t>
  </si>
  <si>
    <t>NUIQSUT</t>
  </si>
  <si>
    <t>PETERSBURG</t>
  </si>
  <si>
    <t>POINT HOPE</t>
  </si>
  <si>
    <t>POINT LAY</t>
  </si>
  <si>
    <t>PORT LIONS</t>
  </si>
  <si>
    <t>QUINHAGAK</t>
  </si>
  <si>
    <t>SITKA</t>
  </si>
  <si>
    <t>Food Service and Drinking Places</t>
  </si>
  <si>
    <t>SKAGWAY</t>
  </si>
  <si>
    <t>TOK</t>
  </si>
  <si>
    <t>VALDEZ</t>
  </si>
  <si>
    <t>WAINWRIGHT</t>
  </si>
  <si>
    <t>WRANGELL</t>
  </si>
  <si>
    <t>Public Safety</t>
  </si>
  <si>
    <t>SQFT</t>
  </si>
  <si>
    <t>Kongiginak</t>
  </si>
  <si>
    <t>Watering Point</t>
  </si>
  <si>
    <t>HR</t>
  </si>
  <si>
    <t>Steam District</t>
  </si>
  <si>
    <t>HF Used</t>
  </si>
  <si>
    <t>HF w/Retro</t>
  </si>
  <si>
    <t>kWh/yr w/ retro</t>
  </si>
  <si>
    <t>Implementation Cost</t>
  </si>
  <si>
    <t>Retail - Other</t>
  </si>
  <si>
    <t>Attu Station</t>
  </si>
  <si>
    <t>Beluga</t>
  </si>
  <si>
    <t>Chignik Bay</t>
  </si>
  <si>
    <t>Clarks Point</t>
  </si>
  <si>
    <t>Kalskag</t>
  </si>
  <si>
    <t>Sheldon Point</t>
  </si>
  <si>
    <t>Tuntutliak</t>
  </si>
  <si>
    <t>Av Gal/sf</t>
  </si>
  <si>
    <t>Avg kWh/sf</t>
  </si>
  <si>
    <t>Average sf</t>
  </si>
  <si>
    <t>&gt;300,&lt;1200</t>
  </si>
  <si>
    <t>&gt;1200</t>
  </si>
  <si>
    <t>Pre-Retrofit (No BEES)</t>
  </si>
  <si>
    <t>L=1-3, M=4-5, H=6,7</t>
  </si>
  <si>
    <t>-------Developability Factors--------</t>
  </si>
  <si>
    <t>Key:  X: serious flaw-&gt;low potential</t>
  </si>
  <si>
    <t>name</t>
  </si>
  <si>
    <t>Wind Potential</t>
  </si>
  <si>
    <t>Wind-Resource</t>
  </si>
  <si>
    <t>Wind Developability</t>
  </si>
  <si>
    <t xml:space="preserve">Site Accessible </t>
  </si>
  <si>
    <t>Permittability</t>
  </si>
  <si>
    <t>Site Availability</t>
  </si>
  <si>
    <t>Load</t>
  </si>
  <si>
    <t>Note</t>
  </si>
  <si>
    <t>Resource Note</t>
  </si>
  <si>
    <t>Belkofski</t>
  </si>
  <si>
    <t>Shemya Station</t>
  </si>
  <si>
    <t>Woody Island</t>
  </si>
  <si>
    <t>H</t>
  </si>
  <si>
    <t>Y</t>
  </si>
  <si>
    <t>THROUGH 65% DESIGN</t>
  </si>
  <si>
    <t>Ohogamiut</t>
  </si>
  <si>
    <t>Bill Moore's Slough</t>
  </si>
  <si>
    <t>Chandalar</t>
  </si>
  <si>
    <t>Chuloonawick</t>
  </si>
  <si>
    <t>Eureka</t>
  </si>
  <si>
    <t>Eureka Roadhouse</t>
  </si>
  <si>
    <t>Flat</t>
  </si>
  <si>
    <t>Umkumiute</t>
  </si>
  <si>
    <t>L</t>
  </si>
  <si>
    <t>CONCERN ON EXISTING GEN OVERSIZED</t>
  </si>
  <si>
    <t>NO MET TOWER</t>
  </si>
  <si>
    <t>M</t>
  </si>
  <si>
    <t>X</t>
  </si>
  <si>
    <t>POSSIBLY HIGHER WIND RESOURCE ON RIDGE 500' ELEV TO THE WEST</t>
  </si>
  <si>
    <t>N</t>
  </si>
  <si>
    <t>LOAD &lt;100 KW</t>
  </si>
  <si>
    <t>OPERATING</t>
  </si>
  <si>
    <t xml:space="preserve">TIE TO DILLINGHAM.  HIGH RESOURCE IN CINNABAR MT.  POSS LARGER WTGS ON CINNABAR. </t>
  </si>
  <si>
    <t>3 MET TOWERS IN DLG AREA, SO GOOD MODERATE OVERALL VALIDATION OF WIND MAP</t>
  </si>
  <si>
    <t>BETTER RESOURCE ACROSS RIVER BUT NEED SUB CABLE</t>
  </si>
  <si>
    <t>HIGH CERTAINTY BECAUSE OF OTHER MET TOWERS , UPRIVER</t>
  </si>
  <si>
    <t>NEED LOAD FROM ATKA PRIDE</t>
  </si>
  <si>
    <t>LITTLE LAND</t>
  </si>
  <si>
    <t>MET TOWER &gt;12</t>
  </si>
  <si>
    <t>ECON OF SCALE HIGH in Bethel, therefore potential is high (see criteria).</t>
  </si>
  <si>
    <t>CLASS 5-6 BUT HIGHLY TURBULENT SO NO SITE</t>
  </si>
  <si>
    <t>MET &gt;12</t>
  </si>
  <si>
    <t xml:space="preserve">See Rich email 4/8/15.  </t>
  </si>
  <si>
    <t>MET&lt;12</t>
  </si>
  <si>
    <t>POTENTIAL BIRD PERMITTING ISSUES.</t>
  </si>
  <si>
    <t>OTHER MET TOWERS IN AREA (DLG)</t>
  </si>
  <si>
    <t>MET&gt;12 IN TWO SITES, MORE PLANNED</t>
  </si>
  <si>
    <t>TIE TO TOK</t>
  </si>
  <si>
    <t>MET &lt;12</t>
  </si>
  <si>
    <t>POSS TIE TO NEW STUYAKOK.</t>
  </si>
  <si>
    <t>CDR BY MARSH CR:  NEED RPSU</t>
  </si>
  <si>
    <t>MET TOWER NEAR GAKONA</t>
  </si>
  <si>
    <t>MET&gt;12</t>
  </si>
  <si>
    <t>10 M MET TOWER INSTALLED TO VERIFY WIND MAP</t>
  </si>
  <si>
    <t>TIE TO ILIAMNA NEWHALEN AND NONDALTON</t>
  </si>
  <si>
    <t>ASSUME THIS IS UPPER KALSKAG</t>
  </si>
  <si>
    <t>NO ONE FROM KALSKAG HAS APPROACHED</t>
  </si>
  <si>
    <t>LIKELY STRONG BUT SEVERE WIND RESOURCE ON RIDGE</t>
  </si>
  <si>
    <t>ONE NET STUDY FOUND TURBULENCE, OTHER SITES LIKELY AVAIL BUT NOT STUDIED</t>
  </si>
  <si>
    <t>TIE TO NAKNEK, KING SALMON AND S NAKNEK</t>
  </si>
  <si>
    <t>CONFLICT IN COMMUNITY BETWEEN CITY AND TRIBE</t>
  </si>
  <si>
    <t>MET TOWER &lt;12</t>
  </si>
  <si>
    <t>RENEWABLE ENERGY PENETRATION AT 99%.  ADDITIONAL LOAD FOR WIND IS AN ISSUE.</t>
  </si>
  <si>
    <t>HIGH TERRAIN NEARBY MAY HOLD WIND RESOURCE</t>
  </si>
  <si>
    <t>LOCAL GOVT SLOW ON REPORTS, NO GOOD WIND SITES</t>
  </si>
  <si>
    <t>NO CENTRAL POWER SYSTEM</t>
  </si>
  <si>
    <t>TIE TO UPPER KALSKAG WHERE WIND PROJECT HAS POTENTIAL SITE</t>
  </si>
  <si>
    <t>POSS TIE DILLINGHAM</t>
  </si>
  <si>
    <t>MET TOWER AT NEWTOK COMPARISON</t>
  </si>
  <si>
    <t>FEAS UNDERWAY, WIND STABLE, NEED FEAS COMPLETE</t>
  </si>
  <si>
    <t>LARGER BETHEL TURBINES BETTER BET</t>
  </si>
  <si>
    <t>Alpine</t>
  </si>
  <si>
    <t>Deadhorse</t>
  </si>
  <si>
    <t>Prudhoe Bay</t>
  </si>
  <si>
    <t>Red Dog Mine</t>
  </si>
  <si>
    <t>Badger</t>
  </si>
  <si>
    <t>Bear Creek</t>
  </si>
  <si>
    <t>Buffalo Soapstone</t>
  </si>
  <si>
    <t>Butte</t>
  </si>
  <si>
    <t>Chena Ridge</t>
  </si>
  <si>
    <t>Cohoe</t>
  </si>
  <si>
    <t>College</t>
  </si>
  <si>
    <t>Diamond Ridge</t>
  </si>
  <si>
    <t>Eielson AFB</t>
  </si>
  <si>
    <t>Eklutna</t>
  </si>
  <si>
    <t>Farm Loop</t>
  </si>
  <si>
    <t>Farmers Loop</t>
  </si>
  <si>
    <t>Fort Greely</t>
  </si>
  <si>
    <t>Four Mile Road</t>
  </si>
  <si>
    <t>Fox</t>
  </si>
  <si>
    <t>Fox River</t>
  </si>
  <si>
    <t>Fritz Creek</t>
  </si>
  <si>
    <t>Funny River</t>
  </si>
  <si>
    <t>Gateway</t>
  </si>
  <si>
    <t>Goldstream</t>
  </si>
  <si>
    <t>Happy Valley</t>
  </si>
  <si>
    <t>Harding-Birch Lakes</t>
  </si>
  <si>
    <t>Kachemak Selo</t>
  </si>
  <si>
    <t>Kalifornsky</t>
  </si>
  <si>
    <t>Knik River</t>
  </si>
  <si>
    <t>Knik-Fairview</t>
  </si>
  <si>
    <t>Lakes</t>
  </si>
  <si>
    <t>Lazy Mountain</t>
  </si>
  <si>
    <t>Meadow Lakes</t>
  </si>
  <si>
    <t>Miller Landing</t>
  </si>
  <si>
    <t>Moose Creek</t>
  </si>
  <si>
    <t>Petersville</t>
  </si>
  <si>
    <t>Pleasant Valley</t>
  </si>
  <si>
    <t>Point MacKenzie</t>
  </si>
  <si>
    <t>Primrose</t>
  </si>
  <si>
    <t>Ridgeway</t>
  </si>
  <si>
    <t>South Van Horn</t>
  </si>
  <si>
    <t>Sunrise</t>
  </si>
  <si>
    <t>Susitna</t>
  </si>
  <si>
    <t>Susitna North</t>
  </si>
  <si>
    <t>Sutton-Alpine</t>
  </si>
  <si>
    <t>Cube Cove</t>
  </si>
  <si>
    <t>Thom's Place</t>
  </si>
  <si>
    <t>PERMITTING DIFFICULT BECAUSE ON SPIT.  MONOPOLE W ANEM, VANE ONSITE.</t>
  </si>
  <si>
    <t>POSS TIE EKWOK.  SITING ISSUES AT OLD AIRPORT.</t>
  </si>
  <si>
    <t>DEVELOPABILITY LOW SINCE MOVING</t>
  </si>
  <si>
    <t xml:space="preserve">20 M MET TOWER </t>
  </si>
  <si>
    <t>PROJECT IN PLACE BUT NOT FUNCTIONING</t>
  </si>
  <si>
    <t>LIMITED SITES AND BARELY ENOUGH LOAD.  PURSUING EE AND DIESEL PLANT UPGRADES</t>
  </si>
  <si>
    <t>&gt;12 MONTHS</t>
  </si>
  <si>
    <t>AVE LOAD = 97 KW, THUS &lt;100, BUT LOAD ASSUMED ACCEPTABLE.</t>
  </si>
  <si>
    <t>TIED TO BETHEL.  ECON OF SCALE HIGH.</t>
  </si>
  <si>
    <t>OPERATING, BUT ONLY 2-PHASE POWER TO WIND FARM, SO UNBALANCED.  Developability assigned M since project in place, despite low load.</t>
  </si>
  <si>
    <t>OPERATING 10 KW, NON-OPERATING 10 KW</t>
  </si>
  <si>
    <t xml:space="preserve">CONSIDERED FOR TIE TO ST MARYS, BUT MUSHY AND EXPENSIVE?.    </t>
  </si>
  <si>
    <t>NO MET TOWER, BUT NEARBY MET TOWERS IN MARSHALL AND PITKAS</t>
  </si>
  <si>
    <t>RPSU CDR IN PROGRESS, WILL CONSIDER WIND</t>
  </si>
  <si>
    <t>OTHER MET TOWERS NEARBY</t>
  </si>
  <si>
    <t>RPSU COMPLETED.  PROJECT SOON TO OPERATE</t>
  </si>
  <si>
    <t>NO EXISTING ROAD TO WIND SITE</t>
  </si>
  <si>
    <t>MET TOWER INSTALLED OCT 2014 ON TETLIN RD</t>
  </si>
  <si>
    <t>POSS TIE TO TWIN HILLS, TOGIAK</t>
  </si>
  <si>
    <t>7-MILE RIDGE MET TOWER</t>
  </si>
  <si>
    <t>MET TOWER ON TOLSONA RIDGE INDICATES CF=22, BUT WIND CLASS 2</t>
  </si>
  <si>
    <t>POSSIBLE WIND RESOURCE SOUTH OF WILLOW MT</t>
  </si>
  <si>
    <t>1999 STUDY INDICATED TURBULENCE, NO MET TOWER</t>
  </si>
  <si>
    <t>MET ON THOMSON PASS INDICATED TURBULENCE</t>
  </si>
  <si>
    <t>----------------Potential Factors-----------</t>
  </si>
  <si>
    <t>HR Potential</t>
  </si>
  <si>
    <t>HR Equipment at Powerhouse</t>
  </si>
  <si>
    <t>In Operation</t>
  </si>
  <si>
    <t>Recoverable Heat Avail</t>
  </si>
  <si>
    <t>Thermal Loads Nearby</t>
  </si>
  <si>
    <t xml:space="preserve"> REF Project Planned or in Development</t>
  </si>
  <si>
    <t>Non REF Project Planned or in Development</t>
  </si>
  <si>
    <t>NEXT STEP</t>
  </si>
  <si>
    <t>NEEDS RPSU FIRST</t>
  </si>
  <si>
    <t xml:space="preserve">Needs new power distribution.  Currently genset in connex remote from heat loads.  POSSIBILITY OF RELOCATION. </t>
  </si>
  <si>
    <t>POSSIBLE RPSU</t>
  </si>
  <si>
    <t>NO PLANT DUE TO INTERTIE</t>
  </si>
  <si>
    <t>TIE TO ALLAKAKET</t>
  </si>
  <si>
    <t>TIE TO DILLINGHAM</t>
  </si>
  <si>
    <t>ST MARYS</t>
  </si>
  <si>
    <t>AEA</t>
  </si>
  <si>
    <t>CONSIDER MARINE JACKET, HEAT SCHOOL</t>
  </si>
  <si>
    <t>POWER PLANT AT AIRPORT, NO LOADS NEARBY</t>
  </si>
  <si>
    <t>POSS HYDRO HR after controls upgraded.</t>
  </si>
  <si>
    <t>C</t>
  </si>
  <si>
    <t>CONSTRUCTION IN PROGRESS.  DEV:  ADDITIONAL HEAT LEFT?</t>
  </si>
  <si>
    <t>NEW HR SYSTEM IN 2007</t>
  </si>
  <si>
    <t>FEAS RECOMMENDED FUNDING REF8</t>
  </si>
  <si>
    <t>ECON OF SCALE HIGH</t>
  </si>
  <si>
    <t>NO INFORMATION</t>
  </si>
  <si>
    <t>HEAT POWER PLANT OFFICE AND RESIDENCE</t>
  </si>
  <si>
    <t>CURRENTLY HEAT TO SCHOOL,  MORE INFO NEEDED</t>
  </si>
  <si>
    <t>ANTHC</t>
  </si>
  <si>
    <t>DEV:   IS THIS ANTHC PROJECT HAPPENING?  IF SO ARE RATINGS BASED ON COMPLETED PROJECT?</t>
  </si>
  <si>
    <t>GEOTHERMAL POWER PLANT, UNKNOWN DIESEL DISPATCH</t>
  </si>
  <si>
    <t>REF7 CONSTRUCTION</t>
  </si>
  <si>
    <t>CHECK DURING PLANNING</t>
  </si>
  <si>
    <t>NEW HYDRO WILL HAVE DISPATCHABLE BOILERS</t>
  </si>
  <si>
    <t>NEW ENGINES WILL SUPPLY HEAT TO SCHOOL</t>
  </si>
  <si>
    <t>TIED TO SLANA</t>
  </si>
  <si>
    <t>OPERATIONAL, POSS HYDRO HR</t>
  </si>
  <si>
    <t>ANTHC (F)</t>
  </si>
  <si>
    <t>HEAT LOAD IS WATER SYSTEM.</t>
  </si>
  <si>
    <t>UNKNOWN, POSS HR IF POWER PLANT RELOCATED</t>
  </si>
  <si>
    <t>F</t>
  </si>
  <si>
    <t>CVEA SYSTEM</t>
  </si>
  <si>
    <t>ORC IN OPERATION, CITY WATER TANK POSS LOAD</t>
  </si>
  <si>
    <t>MAINTENANCE CONCERNS</t>
  </si>
  <si>
    <t>ICE PRODUCTION POTENTIAL</t>
  </si>
  <si>
    <t>INFO VIA RPSU INVENTORY</t>
  </si>
  <si>
    <t>REF8 RECOMM</t>
  </si>
  <si>
    <t>RECENTLY COMPLETED RPSU</t>
  </si>
  <si>
    <t>POSSIBLE TIE TO NEW STU</t>
  </si>
  <si>
    <t>REF7 CONSTRUCTION,RATINGS ASSUME COMPLETED PROJECT</t>
  </si>
  <si>
    <t>EXISTING SYSTEM FAILED, NEEDS FEAS EVALUATION</t>
  </si>
  <si>
    <t>RATINGS ASSUME COMPLETED PROJECT</t>
  </si>
  <si>
    <t>R</t>
  </si>
  <si>
    <t>ANTHC PLANNED</t>
  </si>
  <si>
    <t>ANTHC PROJECT PLANNED</t>
  </si>
  <si>
    <t>REF8 APPLICATION RECOMMENDED FOR DESIGN</t>
  </si>
  <si>
    <t>UNKNOWN, VERY SMALL SYSTEM, ASSUME NO RECOVERABLE HEAT AVAIL</t>
  </si>
  <si>
    <t>VSW CE2</t>
  </si>
  <si>
    <t>NEED INFOR FROM VSW</t>
  </si>
  <si>
    <t>EXPAND TO CLINIC</t>
  </si>
  <si>
    <t>HYDRO DISPATCHABLE BOILERS</t>
  </si>
  <si>
    <t>POWER PLANT LOCATED BETWEEN KALSKAGS</t>
  </si>
  <si>
    <t>EPA</t>
  </si>
  <si>
    <t>EPA GRANT MAY FUND GENSET REPLACEMENT.</t>
  </si>
  <si>
    <t>TIE TO NAKNEK</t>
  </si>
  <si>
    <t>RPSU COMPLETED.  NO RECOVERABLE HEAT AVAIL.  SHOULD POTENTIAL RATING BE LOW?</t>
  </si>
  <si>
    <t>CHECK ABOUT KODIAK DIESEL HR</t>
  </si>
  <si>
    <t>OPPORTUNITY FROM WIND HEAT</t>
  </si>
  <si>
    <t>AEA CDR</t>
  </si>
  <si>
    <t>STEFFES ELECTRIC THERMAL STOVES.</t>
  </si>
  <si>
    <t>OPPOORTUNITIES FOR IMPROVED MAINT.</t>
  </si>
  <si>
    <t>PLANNED RPSU, NEW SCHOOL</t>
  </si>
  <si>
    <t>STEFFES ELECTRIC THERMAL STOVES, WTP TIE IN NOT COMPLETE.  DIESEL HR PLANNED BUT NO FUNDING</t>
  </si>
  <si>
    <t>ALMOST COMPLETELY HYDRO.  NEW STNDBY DIESEL, NO HR</t>
  </si>
  <si>
    <t>RPSU INVENTORY SAYS NO POTENTIAL, BUT HR GROUP SAYS CHECK IT OUT FOR MARINE JACKET ETC</t>
  </si>
  <si>
    <t>POSS TIE TO DILLINGHAM.  NEED PLAN INPUT</t>
  </si>
  <si>
    <t>REF6 PROJECT IN PROGRESS.</t>
  </si>
  <si>
    <t>WIND TO HEAT AT WASHETERIA IS AVAILABE FOR HR</t>
  </si>
  <si>
    <t>TIED TO TOK</t>
  </si>
  <si>
    <t>POWER PLANT SHOULD INCORPORATE CHP</t>
  </si>
  <si>
    <t>EXPAND TO FIRE STATION, ANTHC FEAS IN PROGRESS</t>
  </si>
  <si>
    <t>PLANNED INTERTIE TO ST MARYS</t>
  </si>
  <si>
    <t>TIE TO BETHEL</t>
  </si>
  <si>
    <t>FEAS COMPLETE, OPERATION CONCERNS, NEED GENSET</t>
  </si>
  <si>
    <t>NEEDS RPSU, NO INFORMATION</t>
  </si>
  <si>
    <t>REF6 CONSTRUCTION.  RATINGS BASED ON COMPLETED PROJECT</t>
  </si>
  <si>
    <t>NEWTOK MOVING</t>
  </si>
  <si>
    <t>TIE TO TOKSOOK</t>
  </si>
  <si>
    <t>NEED INFO, RPSU SAYS NO HR SYSTEM, BUT HR GROUP SAYS SYSTEM SUPPLIES CITY SHOP, CDR NEVER COMPLETED</t>
  </si>
  <si>
    <t>BASED ON RPSU DATABASE</t>
  </si>
  <si>
    <t>UNKNOWN</t>
  </si>
  <si>
    <t>REF 7 CONSTRUCTION</t>
  </si>
  <si>
    <t>TIE TO KASIGLUK</t>
  </si>
  <si>
    <t>HYDRO PROJECT IN FINAL DESIGN</t>
  </si>
  <si>
    <t xml:space="preserve">HYDRO PROJECT COMPLETE.  </t>
  </si>
  <si>
    <t>RPSU UNDER CONSTRUCTION, RATINGS BASED ON COMPLETED PROJECT</t>
  </si>
  <si>
    <t>POTENTIAL EXPANSION TO CITY AND VILLAGE OFFICES</t>
  </si>
  <si>
    <t>NEED AVEC INPUT</t>
  </si>
  <si>
    <t>TIE TO ST MARYS</t>
  </si>
  <si>
    <t>NEED INFO FROM PLANNING</t>
  </si>
  <si>
    <t>ON KODIAK</t>
  </si>
  <si>
    <t>AEA STAFF CONTACT UTILITY</t>
  </si>
  <si>
    <t>RPSU POWERHOUSE COMPLETED</t>
  </si>
  <si>
    <t>REF6 EXPANSION IN PROGRESS, RATINGS ASSUME COMPLETED PROJECT</t>
  </si>
  <si>
    <t>EXPANSION IN PROGRESS, RATINGS ASSUME COMPLETED PROJECT</t>
  </si>
  <si>
    <t>Contruction complete.</t>
  </si>
  <si>
    <t>INFO FROM RPSU INV</t>
  </si>
  <si>
    <t>REF8 RECOMM DESIGN</t>
  </si>
  <si>
    <t>REF6 CONSTRUCTION NOW COMPLETE</t>
  </si>
  <si>
    <t>UNKNOWN WHETHER WTP HR SYSTEM IS OPERATING AND HOW MUCH HEAT AVAIL FOR OTHER LOADS</t>
  </si>
  <si>
    <t>HR GROUP SAYS NO POTENTIAL, BUT NO DOCUMENTATION</t>
  </si>
  <si>
    <t>CURRENT REF HR CONSTRUCTION, RATINGS BASED ON COMPLETED PROJECT</t>
  </si>
  <si>
    <t>VERY SMALL SYSTEM, RPSU INVENTORY NOT COMPLETE.</t>
  </si>
  <si>
    <t>REF5 CONSTRUCTION.  RATINGS BASED ON COMPLETED PROJECT</t>
  </si>
  <si>
    <t>PLAN TO USE REMAINING HEAT FOR WTP</t>
  </si>
  <si>
    <t>REF7 EXPANSION TO WASHETERIA, RES WIND HEAT  NO DIESEL HEAT AVAIL AFTER PROJECT COMPLETED</t>
  </si>
  <si>
    <t>POSS INTERTIE TO TOGIAK, SO HR QUESTIONABLE</t>
  </si>
  <si>
    <t>ORC OPERATIONAL, Electrotherm info to be verified</t>
  </si>
  <si>
    <t>CHECK W CVEA ON POSS HR EXPANSION</t>
  </si>
  <si>
    <t>HR TO TO WASHETERIA, RATINGS ASSUME COMPLETED PROJECT</t>
  </si>
  <si>
    <t>-----------Potential Factors-------</t>
  </si>
  <si>
    <t>Biomass Potential</t>
  </si>
  <si>
    <t>Existing project (Y,N)</t>
  </si>
  <si>
    <t>Productive Forest (H,M,L)</t>
  </si>
  <si>
    <t>Existing Study (R,F) or Development (D,C)</t>
  </si>
  <si>
    <t>To Do</t>
  </si>
  <si>
    <t>Use Atka price</t>
  </si>
  <si>
    <t>Use Old Harbor fuel price</t>
  </si>
  <si>
    <t>Use Allakaket fuel price.  Recon study (2014): B/C=0.32</t>
  </si>
  <si>
    <t>Use Dillingham Fuel Price, Recon shows B/C=0.42</t>
  </si>
  <si>
    <t>Recon study (2014): B/C=0..6</t>
  </si>
  <si>
    <t>Use St. Mary's, Andreafsky from linked ss</t>
  </si>
  <si>
    <t>AWEDTG REPORT NEVER COMPLETED</t>
  </si>
  <si>
    <t>Use Ft. Yukon fuel price</t>
  </si>
  <si>
    <t>Recon study (2014): B/C=1.37</t>
  </si>
  <si>
    <t>Recon studies (2012): B/C=0.23 to 1.02</t>
  </si>
  <si>
    <t>Use Ft. Yukon fuel price.  Recon shows simple payback 4.8 years and greater.</t>
  </si>
  <si>
    <t>Use Fairbanks fuel price</t>
  </si>
  <si>
    <t>Recon (2012): B/C.01 CURRENT CLINIC/TRIBAL HALL PROJECT ECON UNKNOWN BUT FUTURE PROJECT THOUGHT ECONOMIC.</t>
  </si>
  <si>
    <t>Use Dillingham Fuel Price.  Recon study (2013): B/C=6.43</t>
  </si>
  <si>
    <t>Use price from energy profile (shows as -50 cents), JEDC recon study (2006) give payback ~19 yr</t>
  </si>
  <si>
    <t>REF4 recon of community biomass project in progress.  CURRENTLY AWEDTG PROJECT ASSESSING POOL FOR PROJECT.</t>
  </si>
  <si>
    <t>Dev:  status of study (nothing in appx--just wood inv and cordwood processor)</t>
  </si>
  <si>
    <t>EXISTING PROJECT BURNED DOWN.</t>
  </si>
  <si>
    <t>Use Dillingham Fuel Price</t>
  </si>
  <si>
    <t>Recon study shows B/C = 1.81, but low forest productivity</t>
  </si>
  <si>
    <t>Use Cordova</t>
  </si>
  <si>
    <t>D</t>
  </si>
  <si>
    <t xml:space="preserve">Recon (2008) shows payback ~9 yr.  </t>
  </si>
  <si>
    <t>Use price from energy profile (shows as -50 cents).  Recon (2014) gives B/C=1.02</t>
  </si>
  <si>
    <t>Feas study indicates B/C=2.1</t>
  </si>
  <si>
    <t>Use price from energy profile (shows as -50 cents).  Recon (2012):  B/C 0.10 to 1.17</t>
  </si>
  <si>
    <t>Recon (2014):  B/C=(0.37)</t>
  </si>
  <si>
    <t xml:space="preserve">Use price from energy profile (shows as -50 cents).  Recon (2008) payback ~11 years </t>
  </si>
  <si>
    <t>ECONOMICS APPEAR GOOD, BUT NEEDS PERFORMANCE DATA.</t>
  </si>
  <si>
    <t>Recon (2013) B/C=5</t>
  </si>
  <si>
    <t>Recon (2013): payback~9 yr</t>
  </si>
  <si>
    <t>Recon (2010): payback 5 yr</t>
  </si>
  <si>
    <t>Use INN price from linked ss.  Recon (2010): payback 8 yr, Recon (2013):  B/C=0.97</t>
  </si>
  <si>
    <t>Use Chignik Lake</t>
  </si>
  <si>
    <t>Use Lower Kalskag</t>
  </si>
  <si>
    <t>DEV WILL SEND PETER REPORT</t>
  </si>
  <si>
    <t>Use price from energy profile (shows as -50 cents).   JEDC recon study (2006) give payback ~8 yr</t>
  </si>
  <si>
    <t>Use Naknek, South Naknek from linked ss</t>
  </si>
  <si>
    <t>Recon study negative, but does not address suitable loads.</t>
  </si>
  <si>
    <t>Recon (2010): payback 6-9 yr</t>
  </si>
  <si>
    <t>UNKNOWN B/C of existing project.</t>
  </si>
  <si>
    <t>Dev sent Peter Recon report</t>
  </si>
  <si>
    <t>Use Nikolai fuel price</t>
  </si>
  <si>
    <t>Spruce present but sparse and used for residential heating.</t>
  </si>
  <si>
    <t>Low load in recon study yields poor economics, BUT AEA PM SAYS OPPORTUNITY REMAINS</t>
  </si>
  <si>
    <t>Recon (2012) shows neg B/C</t>
  </si>
  <si>
    <t>Use price from energy profile (shows as -50 cents)</t>
  </si>
  <si>
    <t>Recon (2008):  9-12 year payback</t>
  </si>
  <si>
    <t>Use Slana fuel price</t>
  </si>
  <si>
    <t>Use Newtok</t>
  </si>
  <si>
    <t>Recon (2012): B/C 0.4 to 2.1</t>
  </si>
  <si>
    <t>Use Glennallen</t>
  </si>
  <si>
    <t>Recon (2012): B/C 0.4 to 2.1.  Use Fairbanks fuel price</t>
  </si>
  <si>
    <t>Recon (2013): B/C 2.3 to 4.0</t>
  </si>
  <si>
    <t>Use INN price from linked ss. Recon (2010): payback 7 yr</t>
  </si>
  <si>
    <t>Use INN price from linked ss.  Recon (2010): payback 4-6 yr</t>
  </si>
  <si>
    <t>Recon (2014) B/C 0.3 to 0.8</t>
  </si>
  <si>
    <t>Community interested in wood energy, have sawmill.</t>
  </si>
  <si>
    <t>Recon (2010): payback 8 yr</t>
  </si>
  <si>
    <t>Low load in recon study yields poor economics, Recon (2010): payback 19 yr</t>
  </si>
  <si>
    <t>Interested in recon study to heat school.</t>
  </si>
  <si>
    <t>Use Tanana fuel price</t>
  </si>
  <si>
    <t>Recon (2014) B/C 1.8 to 2.1</t>
  </si>
  <si>
    <t>Recon (2014) B/C is negative</t>
  </si>
  <si>
    <t>Use Beaver fuel price.  Recon (2008) rate of return negative</t>
  </si>
  <si>
    <t>Use Tok fuel price.  Recon (2008) payback 5 to 6 years.  PROJECT IN CONSTRUCTION, NEEDS ADDITIONAL FUNDING</t>
  </si>
  <si>
    <t>NEED PROJECT PERFORMANCE DATA</t>
  </si>
  <si>
    <t>Recon (2008) payback 8 to 22 years</t>
  </si>
  <si>
    <t>NEED ADDITIONAL PROJECT PERFORMANCE DATA</t>
  </si>
  <si>
    <t>Recon (2013) shows B/C negative</t>
  </si>
  <si>
    <t>Use Toksook Bay</t>
  </si>
  <si>
    <t>Use price from Valdez Energy profile</t>
  </si>
  <si>
    <t>Use Ft. Yukon fuel price.  Recon (2012) 3 to 18 years</t>
  </si>
  <si>
    <t>Use Anchorage heating fuel minus .50 from linked ss</t>
  </si>
  <si>
    <t>Hydro Potential</t>
  </si>
  <si>
    <t>Hydro Resource Present</t>
  </si>
  <si>
    <t>Identified in Pathway (Y,N)</t>
  </si>
  <si>
    <t>Additional Work Done Since Pathway (Y,N)</t>
  </si>
  <si>
    <t>If yes, study stage (R=Recon, F=Feas, D=Design, C=Construction)</t>
  </si>
  <si>
    <t>Viable Hydro based on Visual Assessment</t>
  </si>
  <si>
    <t>Resource Notes</t>
  </si>
  <si>
    <t>QUESTION/ISSUE FOR DAN</t>
  </si>
  <si>
    <t>PYRAMID CR ONCE FUNDED FOR CONSTRUCTION</t>
  </si>
  <si>
    <t>CHANGED H TO M WHERE BASED ON VISUAL ASSMT</t>
  </si>
  <si>
    <t>CHANGED SINCE BSED ON VISUAL ASSMT</t>
  </si>
  <si>
    <t>TERROR LK</t>
  </si>
  <si>
    <t>TOWN CREEK IN OPERATION</t>
  </si>
  <si>
    <t>y</t>
  </si>
  <si>
    <t>Grant and Elva Lake Feasibility completed. Nushagak not proceding, so I changed to L potential, H certainty for Aleknagik and Dlg.</t>
  </si>
  <si>
    <t xml:space="preserve">FEASIBILITY COMPLETE AND IS RECOMMENDED FOR FINAL DESIGN.  </t>
  </si>
  <si>
    <t xml:space="preserve">I thought AEA did a study for this community but find no record of it. </t>
  </si>
  <si>
    <t>Chikuminuk</t>
  </si>
  <si>
    <t>SERVED BY TAZIMINA HYDRO (SO EXISTING)</t>
  </si>
  <si>
    <t>AEA ANALYSIS OF REF8 APP INDICATED B/C=0.36</t>
  </si>
  <si>
    <t>That B/C ratio is not correct</t>
  </si>
  <si>
    <t>ALLISON CR UNDER CONSTRUCTION</t>
  </si>
  <si>
    <t>UPDATE FOR STUDY RESULTS</t>
  </si>
  <si>
    <t>CARLSON CR RECON INDICATES POOR POTENTIAL</t>
  </si>
  <si>
    <t>I reviewed the carlson creek report and it mentioned "other options" in the area which I found frustrating because they did not list or analyze them. Porcupine Creek appears to have some potential</t>
  </si>
  <si>
    <t>REF PROJECT.  REF8 APP EST B/C=1.4</t>
  </si>
  <si>
    <t>Mcroberts Creek hydro nearby</t>
  </si>
  <si>
    <t>Cooper Lake Hydro nearby</t>
  </si>
  <si>
    <t>McRoberts Creek Hydro</t>
  </si>
  <si>
    <t>Falls Creek Hydro</t>
  </si>
  <si>
    <t>Gartina Falls Hydro</t>
  </si>
  <si>
    <t>Reynolds Creek Hydro</t>
  </si>
  <si>
    <t>Salmon, Gold, Annex, Dorothy projects</t>
  </si>
  <si>
    <t>Chester lake and Purple Lake hydros</t>
  </si>
  <si>
    <t>Pelican Hydro</t>
  </si>
  <si>
    <t>kethickan Lakes, beaver falls, whitman lake</t>
  </si>
  <si>
    <t>blue lake, green lake</t>
  </si>
  <si>
    <t>Kasidaya Creek, Goat Lake</t>
  </si>
  <si>
    <t>Indian River Hydro in construction phase</t>
  </si>
  <si>
    <t>CHANGED SINCE BSED ON VIS ASSMT</t>
  </si>
  <si>
    <t>Yerrick Creek in RECON/FEAS STAGE.  REF8 B/C EST AT 1.2</t>
  </si>
  <si>
    <t>Assumed Wind Class</t>
  </si>
  <si>
    <t>$/cord</t>
  </si>
  <si>
    <t>Met tower study</t>
  </si>
  <si>
    <t>See Unalaska</t>
  </si>
  <si>
    <t>But bear in mind the population and electric load is too small to justify an energy project.</t>
  </si>
  <si>
    <t>Nbased on partial met study</t>
  </si>
  <si>
    <t>Two met tower studies</t>
  </si>
  <si>
    <t>Class 3 sites are in FAA approach or far east of town.</t>
  </si>
  <si>
    <t>Met tower Study</t>
  </si>
  <si>
    <t>Tied in with kodiak?</t>
  </si>
  <si>
    <t xml:space="preserve">Estimated Cost </t>
  </si>
  <si>
    <t>Estimated Cost</t>
  </si>
  <si>
    <t>Estimated Generation</t>
  </si>
  <si>
    <t>Estimated Yearly Generation</t>
  </si>
  <si>
    <t>Total Occupied (2010 Census)</t>
  </si>
  <si>
    <t>Nearest Reference Community</t>
  </si>
  <si>
    <t>Output per 10kW Solar PV</t>
  </si>
  <si>
    <t>ADAK</t>
  </si>
  <si>
    <t>Adak Station</t>
  </si>
  <si>
    <t>COLD BAY</t>
  </si>
  <si>
    <t>EMMONAK</t>
  </si>
  <si>
    <t>BETTLES</t>
  </si>
  <si>
    <t>Alexander Creek</t>
  </si>
  <si>
    <t>HAYES River</t>
  </si>
  <si>
    <t>AMBLER</t>
  </si>
  <si>
    <t>ILIAMNA</t>
  </si>
  <si>
    <t>BIG DELTA</t>
  </si>
  <si>
    <t>ANIAK</t>
  </si>
  <si>
    <t>ANNETTE</t>
  </si>
  <si>
    <t>ANVIK</t>
  </si>
  <si>
    <t>FORT YUKON</t>
  </si>
  <si>
    <t>SHEMYa</t>
  </si>
  <si>
    <t>Big Salt</t>
  </si>
  <si>
    <t>HYDABURG</t>
  </si>
  <si>
    <t>Birchwood</t>
  </si>
  <si>
    <t>SHISHMAREF</t>
  </si>
  <si>
    <t>SELAWIK</t>
  </si>
  <si>
    <t>CHULITNA</t>
  </si>
  <si>
    <t>Canyon Village</t>
  </si>
  <si>
    <t>Cape Lisburne</t>
  </si>
  <si>
    <t>Cape Yakataga</t>
  </si>
  <si>
    <t>YAKUTAT</t>
  </si>
  <si>
    <t>Caswell</t>
  </si>
  <si>
    <t>CHANDALAR LAKE</t>
  </si>
  <si>
    <t>Chatanika</t>
  </si>
  <si>
    <t>PORT HEIDEN</t>
  </si>
  <si>
    <t>GULKANA</t>
  </si>
  <si>
    <t>SLEETMUTE</t>
  </si>
  <si>
    <t>HEALY Lake</t>
  </si>
  <si>
    <t>Dyea</t>
  </si>
  <si>
    <t>KING SALMON</t>
  </si>
  <si>
    <t>ELFIN COVE</t>
  </si>
  <si>
    <t>KOYUK</t>
  </si>
  <si>
    <t>EUREKA</t>
  </si>
  <si>
    <t>GUSTAVUS</t>
  </si>
  <si>
    <t>Saint GEORGE</t>
  </si>
  <si>
    <t>TANANA</t>
  </si>
  <si>
    <t>KALTAG</t>
  </si>
  <si>
    <t>GAMBELL</t>
  </si>
  <si>
    <t>TOGIAk</t>
  </si>
  <si>
    <t>HAYES RIVER</t>
  </si>
  <si>
    <t>Haystack</t>
  </si>
  <si>
    <t>HEALY RIVER AIRPORT</t>
  </si>
  <si>
    <t>HUSLIA</t>
  </si>
  <si>
    <t>SAND POINT</t>
  </si>
  <si>
    <t>NOATAK</t>
  </si>
  <si>
    <t>Klawock Lake</t>
  </si>
  <si>
    <t>Klehini Valley</t>
  </si>
  <si>
    <t>Millers Landing</t>
  </si>
  <si>
    <t>Montana Creek</t>
  </si>
  <si>
    <t>North Lakes</t>
  </si>
  <si>
    <t>Pennock Island</t>
  </si>
  <si>
    <t>Peters Creek</t>
  </si>
  <si>
    <t>PORT ALEXANDER</t>
  </si>
  <si>
    <t>Portage</t>
  </si>
  <si>
    <t>Portlock</t>
  </si>
  <si>
    <t>Prince Rupert</t>
  </si>
  <si>
    <t>Rabbit Creek</t>
  </si>
  <si>
    <t>UNALAKLEET</t>
  </si>
  <si>
    <t>Saint PAUL</t>
  </si>
  <si>
    <t>SAVOONGA</t>
  </si>
  <si>
    <t>SITKA JAPONSKI AP</t>
  </si>
  <si>
    <t>SLANA AIRPORT</t>
  </si>
  <si>
    <t>South Lakes</t>
  </si>
  <si>
    <t>UNALAKLEET FIELD</t>
  </si>
  <si>
    <t>Calendar Year</t>
  </si>
  <si>
    <t xml:space="preserve"> Calendar Year</t>
  </si>
  <si>
    <t>Total # of generators</t>
  </si>
  <si>
    <t>Waste Heat Recovery Opperational</t>
  </si>
  <si>
    <t>Add waste heat Avail</t>
  </si>
  <si>
    <t>Est. current annual heating fuel gallons displaced</t>
  </si>
  <si>
    <t>Est. potential annual heating fuel gallons displaced</t>
  </si>
  <si>
    <t>undersized &amp; oversized</t>
  </si>
  <si>
    <t>none</t>
  </si>
  <si>
    <t>properly sized</t>
  </si>
  <si>
    <t>unknown</t>
  </si>
  <si>
    <t>work being completed</t>
  </si>
  <si>
    <t>oversized</t>
  </si>
  <si>
    <t>Unalaska/Dutch Harbor</t>
  </si>
  <si>
    <t xml:space="preserve">undersized </t>
  </si>
  <si>
    <t xml:space="preserve">N/A </t>
  </si>
  <si>
    <t>undersized</t>
  </si>
  <si>
    <t xml:space="preserve">Pilot Station </t>
  </si>
  <si>
    <t>see notes</t>
  </si>
  <si>
    <t>nee notes</t>
  </si>
  <si>
    <t>operator new, not aware AVEC has records</t>
  </si>
  <si>
    <t>Fasle Island</t>
  </si>
  <si>
    <t>Tenakee</t>
  </si>
  <si>
    <t>Alllakaket/Alatna</t>
  </si>
  <si>
    <t>Total Capacity</t>
  </si>
  <si>
    <t>Sizing</t>
  </si>
  <si>
    <t># to replace ("Poor")</t>
  </si>
  <si>
    <t>Switchgear Suitable</t>
  </si>
  <si>
    <t>Largest</t>
  </si>
  <si>
    <t>Atquasuk</t>
  </si>
  <si>
    <t>St Marys</t>
  </si>
  <si>
    <t>UAF</t>
  </si>
  <si>
    <t>Unisea</t>
  </si>
  <si>
    <t>Borough/Census Area</t>
  </si>
  <si>
    <t>Estimate; Total:</t>
  </si>
  <si>
    <t>Margin of Error; Total:</t>
  </si>
  <si>
    <t>Utility Gas</t>
  </si>
  <si>
    <t>Margin of Error; Total: - Utility gas</t>
  </si>
  <si>
    <t>Bottled, tank, or LP gas</t>
  </si>
  <si>
    <t>Margin of Error; Total: - Bottled, tank, or LP gas</t>
  </si>
  <si>
    <t>Margin of Error; Total: - Electricity</t>
  </si>
  <si>
    <t>Fuel oil, kerosene, etc.</t>
  </si>
  <si>
    <t>Margin of Error; Total: - Fuel oil, kerosene, etc.</t>
  </si>
  <si>
    <t>Coal or coke</t>
  </si>
  <si>
    <t>Margin of Error; Total: - Coal or coke</t>
  </si>
  <si>
    <t>Wood</t>
  </si>
  <si>
    <t>Margin of Error; Total: - Wood</t>
  </si>
  <si>
    <t>ESolar energy</t>
  </si>
  <si>
    <t>Margin of Error; Total: - Solar energy</t>
  </si>
  <si>
    <t>Other fuel</t>
  </si>
  <si>
    <t>Margin of Error; Total: - Other fuel</t>
  </si>
  <si>
    <t>No fuel used</t>
  </si>
  <si>
    <t>Aleutians West Census Area</t>
  </si>
  <si>
    <t>Kodiak Island Borough</t>
  </si>
  <si>
    <t>Bethel Census Area</t>
  </si>
  <si>
    <t>Aleutians East Borough</t>
  </si>
  <si>
    <t>Kusilvak Census Area</t>
  </si>
  <si>
    <t>Yukon-Koyukuk Census Area</t>
  </si>
  <si>
    <t>Southeast Fairbanks Census Area</t>
  </si>
  <si>
    <t>Dillingham Census Area</t>
  </si>
  <si>
    <t>Matanuska-Susitna Borough</t>
  </si>
  <si>
    <t>Northwest Arctic Borough</t>
  </si>
  <si>
    <t>Kenai Peninsula Borough</t>
  </si>
  <si>
    <t>Denali Borough</t>
  </si>
  <si>
    <t>Hoonah-Angoon Census Area</t>
  </si>
  <si>
    <t>Juneau City and Borough</t>
  </si>
  <si>
    <t>Fairbanks North Star Borough</t>
  </si>
  <si>
    <t>Bells Flat</t>
  </si>
  <si>
    <t>Prince of Wales-Hyder Census Area</t>
  </si>
  <si>
    <t>Anchorage Municipality</t>
  </si>
  <si>
    <t>Nome Census Area</t>
  </si>
  <si>
    <t>Bristol Bay Borough</t>
  </si>
  <si>
    <t>Yakutat City and Borough</t>
  </si>
  <si>
    <t>Valdez-Cordova Census Area</t>
  </si>
  <si>
    <t>Lake and Peninsula Borough</t>
  </si>
  <si>
    <t>Circle View Stampede</t>
  </si>
  <si>
    <t>City and Borough of Juneau - CBJ</t>
  </si>
  <si>
    <t>City and Borough of Sitka</t>
  </si>
  <si>
    <t>Sitka City and Borough</t>
  </si>
  <si>
    <t>City and Borough of Wrangell - CBW</t>
  </si>
  <si>
    <t>Wrangell City and Borough</t>
  </si>
  <si>
    <t>City and Borough of Yakutat - CBY</t>
  </si>
  <si>
    <t>Haines Borough</t>
  </si>
  <si>
    <t>Skagway Municipality</t>
  </si>
  <si>
    <t>Ester Dome</t>
  </si>
  <si>
    <t>Fairbanks North Star Borough - FNSB</t>
  </si>
  <si>
    <t>Fort Wainwright</t>
  </si>
  <si>
    <t>Gold Sand Acres</t>
  </si>
  <si>
    <t>Petersburg Census Area</t>
  </si>
  <si>
    <t>Joint Base Elmendorf-Richardson</t>
  </si>
  <si>
    <t>Ketchikan Gateway Borough</t>
  </si>
  <si>
    <t>Knight Island</t>
  </si>
  <si>
    <t>Knik</t>
  </si>
  <si>
    <t>Lignite</t>
  </si>
  <si>
    <t>Municipality of Anchorage</t>
  </si>
  <si>
    <t>Municipality of Skagway</t>
  </si>
  <si>
    <t>Oliktok</t>
  </si>
  <si>
    <t>Olsonville</t>
  </si>
  <si>
    <t>Petersburg Borough</t>
  </si>
  <si>
    <t>Ptarmigan Heights</t>
  </si>
  <si>
    <t>Razdolna Village</t>
  </si>
  <si>
    <t>Saint Lawrence Island</t>
  </si>
  <si>
    <t>Suntrana</t>
  </si>
  <si>
    <t>Thane</t>
  </si>
  <si>
    <t>Usibelli</t>
  </si>
  <si>
    <t>Voznesenka Village</t>
  </si>
  <si>
    <t>Williamsport</t>
  </si>
  <si>
    <t>2013 ACS data (B25040)</t>
  </si>
  <si>
    <t>Wood (Cords)</t>
  </si>
  <si>
    <t>Electricity (for heat) (KWh)</t>
  </si>
  <si>
    <t>Utility Gas (Mcf)</t>
  </si>
  <si>
    <t>Bottled, tank, or LP gas (gallons)</t>
  </si>
  <si>
    <t>Heating Oil</t>
  </si>
  <si>
    <t>Propane</t>
  </si>
  <si>
    <t>Cords/year</t>
  </si>
  <si>
    <t>Mcf/year</t>
  </si>
  <si>
    <t>$/Mcf</t>
  </si>
  <si>
    <t>$/gal</t>
  </si>
  <si>
    <t>Fuel price:  Heating Oil</t>
  </si>
  <si>
    <t>Fuel price:  Wood</t>
  </si>
  <si>
    <t>Fuel price:  Electricity</t>
  </si>
  <si>
    <t>Fuel price:  Utility gas</t>
  </si>
  <si>
    <t>Fuel price:  Propane</t>
  </si>
  <si>
    <t>Largest Unit</t>
  </si>
  <si>
    <t>Average of HDD</t>
  </si>
  <si>
    <t>&gt;1000</t>
  </si>
  <si>
    <t>HDD Ratio</t>
  </si>
  <si>
    <t>Retail: Other</t>
  </si>
  <si>
    <t>Population to kWh Correlation</t>
  </si>
  <si>
    <t>Heating Fuel Price Adder: Based on Average of  2011-2013 PCE Diesel and AHFC/DCRA Heating Oil (N. McMahon 11/2/2015)</t>
  </si>
  <si>
    <t>Accommodation Services</t>
  </si>
  <si>
    <t>Capital Investment</t>
  </si>
  <si>
    <t>NPV Cost if Project has B/C&gt;1</t>
  </si>
  <si>
    <t>Energy Cost Reduction in Year 5 (2020) Financed</t>
  </si>
  <si>
    <t>Energy Cost Recution in Year 5 (2020) (100% Grant-funded)</t>
  </si>
  <si>
    <t xml:space="preserve">Community Name </t>
  </si>
  <si>
    <t>Plant Intertied</t>
  </si>
  <si>
    <t>Community Name with power generation</t>
  </si>
  <si>
    <t>yes</t>
  </si>
  <si>
    <t>Sheep Mountain</t>
  </si>
  <si>
    <t>Affordable Energy ($20/Mmbtu, $0.20/kWh)</t>
  </si>
  <si>
    <t>Sector</t>
  </si>
  <si>
    <t>Sub-Sector</t>
  </si>
  <si>
    <t>W&amp;WW type</t>
  </si>
  <si>
    <t>Washeteria</t>
  </si>
  <si>
    <t>Wells/ST/DF</t>
  </si>
  <si>
    <t>Pressure/NA</t>
  </si>
  <si>
    <t>Wells/Gravity</t>
  </si>
  <si>
    <t>Closed Haul/Closed Haul</t>
  </si>
  <si>
    <t>Circulating/Pressure</t>
  </si>
  <si>
    <t>Wells/ST/OF</t>
  </si>
  <si>
    <t>None</t>
  </si>
  <si>
    <t>Wells/NA</t>
  </si>
  <si>
    <t>Circulating/ST/DF</t>
  </si>
  <si>
    <t>Voznesenka</t>
  </si>
  <si>
    <t>Pressure/ST/DF</t>
  </si>
  <si>
    <t>HR Installed (Yes, No)</t>
  </si>
  <si>
    <t>PauloffHarbor</t>
  </si>
  <si>
    <t>Willow Creek</t>
  </si>
  <si>
    <t>Eagle River-Chugiak</t>
  </si>
  <si>
    <t>Petersville   </t>
  </si>
  <si>
    <t>Healy Lake   </t>
  </si>
  <si>
    <t>Huslia   </t>
  </si>
  <si>
    <t>Venetie   </t>
  </si>
  <si>
    <t>HR to W&amp;WW</t>
  </si>
  <si>
    <t>Heat Recovery (Yes/No)</t>
  </si>
  <si>
    <t>Building 1</t>
  </si>
  <si>
    <t>Building 2</t>
  </si>
  <si>
    <t>Building 3</t>
  </si>
  <si>
    <t>Building 4</t>
  </si>
  <si>
    <t>Building 5</t>
  </si>
  <si>
    <t>Water Plant</t>
  </si>
  <si>
    <t>Community Building</t>
  </si>
  <si>
    <t>Plant Site Bldgs</t>
  </si>
  <si>
    <t xml:space="preserve">Washeteria </t>
  </si>
  <si>
    <t>Power House</t>
  </si>
  <si>
    <t>Airport Garage</t>
  </si>
  <si>
    <t>State Office</t>
  </si>
  <si>
    <t>YKHC Hospital</t>
  </si>
  <si>
    <t>Powerhouse Office</t>
  </si>
  <si>
    <t>Residence</t>
  </si>
  <si>
    <t>Water &amp; Sewer Lines</t>
  </si>
  <si>
    <t>Storage Shed</t>
  </si>
  <si>
    <t>Plant</t>
  </si>
  <si>
    <t>AVEC Connex</t>
  </si>
  <si>
    <t>School</t>
  </si>
  <si>
    <t>Health Clinic</t>
  </si>
  <si>
    <t>BTU meter in place</t>
  </si>
  <si>
    <t>Users Unknown</t>
  </si>
  <si>
    <t>Organic Rankine Cycle</t>
  </si>
  <si>
    <t>Water Treatment Plant</t>
  </si>
  <si>
    <t>Truck Shop</t>
  </si>
  <si>
    <t>Power Plant</t>
  </si>
  <si>
    <t>Community Center</t>
  </si>
  <si>
    <t>AVEC Facility</t>
  </si>
  <si>
    <t>City Shop</t>
  </si>
  <si>
    <t>City Works Bldg</t>
  </si>
  <si>
    <t>Clinic</t>
  </si>
  <si>
    <t>BIA</t>
  </si>
  <si>
    <t xml:space="preserve">School </t>
  </si>
  <si>
    <t xml:space="preserve">Jail </t>
  </si>
  <si>
    <t>AVEC Bunk House</t>
  </si>
  <si>
    <t>Connexes</t>
  </si>
  <si>
    <t>Water Lines</t>
  </si>
  <si>
    <t>AVEC Facilities</t>
  </si>
  <si>
    <t>Pump House</t>
  </si>
  <si>
    <t>Rec. Hall</t>
  </si>
  <si>
    <t>Related Modules</t>
  </si>
  <si>
    <t>Community buildings</t>
  </si>
  <si>
    <t>Garage</t>
  </si>
  <si>
    <t xml:space="preserve">Clinic </t>
  </si>
  <si>
    <t>New School</t>
  </si>
  <si>
    <t>Laundromat</t>
  </si>
  <si>
    <t>School Plant Facility</t>
  </si>
  <si>
    <t>High school</t>
  </si>
  <si>
    <t>Trading Post</t>
  </si>
  <si>
    <t>Hangar</t>
  </si>
  <si>
    <t>Offices</t>
  </si>
  <si>
    <t>AC store</t>
  </si>
  <si>
    <t>Hotel</t>
  </si>
  <si>
    <t>No (AVEC); Yes (RPSU)</t>
  </si>
  <si>
    <t>Power Plant Bldgs</t>
  </si>
  <si>
    <t>BBB School District</t>
  </si>
  <si>
    <t>8 residences</t>
  </si>
  <si>
    <t>AVTEC Shack</t>
  </si>
  <si>
    <t>Bunk House</t>
  </si>
  <si>
    <t xml:space="preserve">City Office </t>
  </si>
  <si>
    <t>Fire Hall</t>
  </si>
  <si>
    <t>Water Holding Facility</t>
  </si>
  <si>
    <t>Utility Office</t>
  </si>
  <si>
    <t>Water Plant/Sewer Plant</t>
  </si>
  <si>
    <t>AVEC</t>
  </si>
  <si>
    <t>Main Office Bldg</t>
  </si>
  <si>
    <t>EMS</t>
  </si>
  <si>
    <t>Fire Depot</t>
  </si>
  <si>
    <t>VPSO</t>
  </si>
  <si>
    <t>Public Safety Bldg</t>
  </si>
  <si>
    <t>City Bldg</t>
  </si>
  <si>
    <t>Motor Pool</t>
  </si>
  <si>
    <t>Public Works</t>
  </si>
  <si>
    <t xml:space="preserve">Fire Station </t>
  </si>
  <si>
    <t>TDX Buidling</t>
  </si>
  <si>
    <t>Connex</t>
  </si>
  <si>
    <t>In progress</t>
  </si>
  <si>
    <t>WTP</t>
  </si>
  <si>
    <t>AVTEC Tool Shack</t>
  </si>
  <si>
    <t>AVEC connex</t>
  </si>
  <si>
    <t>ALLAKAKET</t>
  </si>
  <si>
    <t>ARCTIC VILLAGE</t>
  </si>
  <si>
    <t>BEAVER</t>
  </si>
  <si>
    <t>Beriing Straits</t>
  </si>
  <si>
    <t>CHALKYITSIK</t>
  </si>
  <si>
    <t>Fort YUKON</t>
  </si>
  <si>
    <t>GALENA</t>
  </si>
  <si>
    <t>HOLY CROSS</t>
  </si>
  <si>
    <t>HUGHES</t>
  </si>
  <si>
    <t>KOYUKUK</t>
  </si>
  <si>
    <t>MCGRATH</t>
  </si>
  <si>
    <t>MINTO</t>
  </si>
  <si>
    <t>NENANA</t>
  </si>
  <si>
    <t>NIKOLAI</t>
  </si>
  <si>
    <t>NULATO</t>
  </si>
  <si>
    <t>RAMPART</t>
  </si>
  <si>
    <t>RUBY</t>
  </si>
  <si>
    <t>SHAGELUK</t>
  </si>
  <si>
    <t>VENETIE</t>
  </si>
  <si>
    <t>Firewood ($/cord)</t>
  </si>
  <si>
    <t>Pellets (ton)</t>
  </si>
  <si>
    <t>Chips (ton)</t>
  </si>
  <si>
    <t>$/MMBtu</t>
  </si>
  <si>
    <t>$/HO eq. (Assume 80% eff. HO, 60% firewood)</t>
  </si>
  <si>
    <t>TCC Energy Assistance</t>
  </si>
  <si>
    <t>Per Cal Kerr</t>
  </si>
  <si>
    <t>Closed Haul/Vacuum</t>
  </si>
  <si>
    <t>Buildings with HR</t>
  </si>
  <si>
    <t>Includes Mud Bay</t>
  </si>
  <si>
    <t>Haines/Mud Bay</t>
  </si>
  <si>
    <t>from property assessor</t>
  </si>
  <si>
    <t>property assessor</t>
  </si>
  <si>
    <t>Hydro</t>
  </si>
  <si>
    <t>Maintain constant</t>
  </si>
  <si>
    <t>Assume this absorbs generation change, if present, preferentially to diesel</t>
  </si>
  <si>
    <t>Assume this absorbs generation change (+/-)</t>
  </si>
  <si>
    <t>Maintain constant into future</t>
  </si>
  <si>
    <t>Square Feet</t>
  </si>
  <si>
    <t>Average Gallon/sf</t>
  </si>
  <si>
    <t>HO efficiency</t>
  </si>
  <si>
    <t>Average Net Btu/hr/sf</t>
  </si>
  <si>
    <t>Peak Monthly Btu/hr/sf</t>
  </si>
  <si>
    <t>Hours of storage desired for peak monthly</t>
  </si>
  <si>
    <t>Percent of max output at number of hours</t>
  </si>
  <si>
    <t>Cordwood System Efficiency</t>
  </si>
  <si>
    <t>Max Boiler output (Btu/hr/sf)</t>
  </si>
  <si>
    <t>Maximum boiler output (Btu/hr)</t>
  </si>
  <si>
    <t>Total Btu/hr delivered by storage</t>
  </si>
  <si>
    <t>Climate Capacity Factor</t>
  </si>
  <si>
    <t>Unit Capacity Factor</t>
  </si>
  <si>
    <t>Cords consumed</t>
  </si>
  <si>
    <t>Diesel Displaced</t>
  </si>
  <si>
    <t>$/Capacity (Btu/hr)</t>
  </si>
  <si>
    <t>Total CapEX</t>
  </si>
  <si>
    <t>Hours per Cord</t>
  </si>
  <si>
    <t xml:space="preserve">$/hr </t>
  </si>
  <si>
    <t>Number of 320kBut/hr units</t>
  </si>
  <si>
    <t>Maintenance</t>
  </si>
  <si>
    <t>Operation</t>
  </si>
  <si>
    <t>Biomass cost/cord</t>
  </si>
  <si>
    <t>Fuel unit costs</t>
  </si>
  <si>
    <t>$/cord per year</t>
  </si>
  <si>
    <t>Energy Density</t>
  </si>
  <si>
    <t>Reference Community</t>
  </si>
  <si>
    <t>Peak Month % of total</t>
  </si>
  <si>
    <t>Capacity Factor</t>
  </si>
  <si>
    <t>ANCHORAGE</t>
  </si>
  <si>
    <t>HOMER</t>
  </si>
  <si>
    <t>TALKEETNA</t>
  </si>
  <si>
    <t>FAIRBANKS</t>
  </si>
  <si>
    <t>Assume 30% of Non-res sq. ft</t>
  </si>
  <si>
    <t>Assume Average efficiency</t>
  </si>
  <si>
    <t>Pellet System Efficiency</t>
  </si>
  <si>
    <t>Pellets</t>
  </si>
  <si>
    <t>Cordwood</t>
  </si>
  <si>
    <t>Tons of pellets</t>
  </si>
  <si>
    <t>Energy Density (Btu/ton)</t>
  </si>
  <si>
    <t>On Road system or SE?</t>
  </si>
  <si>
    <t>Pellet Cost</t>
  </si>
  <si>
    <t>Biomass--Cordwood</t>
  </si>
  <si>
    <t>Biomass--Pellets</t>
  </si>
  <si>
    <t>Non-Res Electricity</t>
  </si>
  <si>
    <t>Heating Oil ($/gal)</t>
  </si>
  <si>
    <t>Electricity Cost ($/kWh): pre-PCE</t>
  </si>
  <si>
    <t>Electricity Cost ($/kWh): Post-PCE</t>
  </si>
  <si>
    <t>Community Energy Cost ($/year)</t>
  </si>
  <si>
    <t>Community Energy Cost ($/year)--Cost effective Projects: 100% community financed</t>
  </si>
  <si>
    <t>Community Energy Cost ($/year)--Cost effective Projects: 100% grant</t>
  </si>
  <si>
    <t>Fuel oil #2 (retail)</t>
  </si>
  <si>
    <t>Fuel Oil #1</t>
  </si>
  <si>
    <t>Total kWh Sold</t>
  </si>
  <si>
    <t>Total Generation (kWh)</t>
  </si>
  <si>
    <t>On Road/SE</t>
  </si>
  <si>
    <t>NO</t>
  </si>
  <si>
    <t>no</t>
  </si>
  <si>
    <t>Row Labels</t>
  </si>
  <si>
    <t>Rated Power (kW)</t>
  </si>
  <si>
    <t>Eva Creek</t>
  </si>
  <si>
    <t>Fire Island</t>
  </si>
  <si>
    <t>Fire Island Phase 2</t>
  </si>
  <si>
    <t>Tin City</t>
  </si>
  <si>
    <t>Existing Wind (kW)</t>
  </si>
  <si>
    <t>Total Heating Estimates (MMBtu)</t>
  </si>
  <si>
    <t>Fixed conversion</t>
  </si>
  <si>
    <t>Fixed Equations for Cost</t>
  </si>
  <si>
    <t>Fixed Equations for biomass heat units</t>
  </si>
  <si>
    <t>Total MMBtu</t>
  </si>
  <si>
    <t>Total Thermal MMBtu</t>
  </si>
  <si>
    <t>Residential MMBtu</t>
  </si>
  <si>
    <t>Non-Residential Buildlings (MMBtu)</t>
  </si>
  <si>
    <t>Water/ Sewer MMBtu</t>
  </si>
  <si>
    <t>Inserted Column</t>
  </si>
  <si>
    <t>Fuel price:  Heat Recovery</t>
  </si>
  <si>
    <t>Mmbtu/yr</t>
  </si>
  <si>
    <t>Biomass (Yes/No)</t>
  </si>
  <si>
    <t>Inserted row</t>
  </si>
  <si>
    <t>New logic/data</t>
  </si>
  <si>
    <t>Biomass (Yes,No)</t>
  </si>
  <si>
    <t>Biomass?</t>
  </si>
  <si>
    <t>Estimated Potential Heat Saving (Cords)</t>
  </si>
  <si>
    <t>Estimated Biomass (cords)</t>
  </si>
  <si>
    <t>Cords per year</t>
  </si>
  <si>
    <t>Current Biomass</t>
  </si>
  <si>
    <t>$ per Cord</t>
  </si>
  <si>
    <t>Biomass Price</t>
  </si>
  <si>
    <t>Added Row</t>
  </si>
  <si>
    <t>Changed formula</t>
  </si>
  <si>
    <t>New Value/equation</t>
  </si>
  <si>
    <t>Count of Square Feet</t>
  </si>
  <si>
    <t>Sum of Square Feet2</t>
  </si>
  <si>
    <t>Sum of Fuel Oil (gal)</t>
  </si>
  <si>
    <t>Sum of HW District (gal HF Eq)</t>
  </si>
  <si>
    <t>Sum of Electric (kWh)</t>
  </si>
  <si>
    <t>Sum of Natural Gas (ccf)</t>
  </si>
  <si>
    <t>Sum of Propane (gal)</t>
  </si>
  <si>
    <t>Sum of Biomass</t>
  </si>
  <si>
    <t>Sum of Post Retrofit Fuel Oil (gal)</t>
  </si>
  <si>
    <t>Sum of Post Retrofit HW District (gal HF equiv)</t>
  </si>
  <si>
    <t>Sum of Post retrofit Electric (kWh)</t>
  </si>
  <si>
    <t>Sum of Post retrofit Natural Gas (ccf)</t>
  </si>
  <si>
    <t>Sum of Post Retrofit Propane (gal)</t>
  </si>
  <si>
    <t>Sum of Post Retrofit Biomass</t>
  </si>
  <si>
    <t>Sum of Retrofit IMPLEMENTATION COST</t>
  </si>
  <si>
    <t>Gal HO eq/year</t>
  </si>
  <si>
    <t>Estimated Post-Retrofit Consumption</t>
  </si>
  <si>
    <t>Heating oil (gal.year)</t>
  </si>
  <si>
    <t>Project Type</t>
  </si>
  <si>
    <t>Capital Investment Needed</t>
  </si>
  <si>
    <t>Residential Description</t>
  </si>
  <si>
    <t>Non-Residential Description</t>
  </si>
  <si>
    <t># of Houses</t>
  </si>
  <si>
    <t>Av. Sq. Ft.</t>
  </si>
  <si>
    <t>Diesel for Electricity (gallons)</t>
  </si>
  <si>
    <t>Total Electricity Cost</t>
  </si>
  <si>
    <t>Residential Heating Oil Gallons</t>
  </si>
  <si>
    <t>Non-Residential Heating Oil Gallons</t>
  </si>
  <si>
    <t>Water/ Sewer Heating Oil Gallons</t>
  </si>
  <si>
    <t>Residential Heating Oil Cost</t>
  </si>
  <si>
    <t>Non-Residential Heating Oil Cost</t>
  </si>
  <si>
    <t>Water/ Sewer Heating Oil Cost</t>
  </si>
  <si>
    <t># of Buildings</t>
  </si>
  <si>
    <t>Assumed Buildings</t>
  </si>
  <si>
    <t>Retrofit</t>
  </si>
  <si>
    <t>Not Retrofit</t>
  </si>
  <si>
    <t>Primay Residential Heatinig Fuel (Percent of Households)</t>
  </si>
  <si>
    <t>Project Size</t>
  </si>
  <si>
    <t>Population and Consumption Forecast</t>
  </si>
  <si>
    <t>Type</t>
  </si>
  <si>
    <t>Water &amp; Wastewater System Description</t>
  </si>
  <si>
    <t>Total Sq. Ft (est.)</t>
  </si>
  <si>
    <t>Heating Oil Gallons (est.)</t>
  </si>
  <si>
    <t>kWh (est.)</t>
  </si>
  <si>
    <t>Community Energy Costs:  Current and Forecast</t>
  </si>
  <si>
    <t>Potential Community Energy Cost Reducing Projects</t>
  </si>
  <si>
    <t>Net  Savings over Project Life</t>
  </si>
  <si>
    <t>Energy Efficiency (Residential)</t>
  </si>
  <si>
    <t>Powerhouse Description</t>
  </si>
  <si>
    <t>Correctly Sized?</t>
  </si>
  <si>
    <t>Average Load (kW)</t>
  </si>
  <si>
    <t>Total Capacity (kW)</t>
  </si>
  <si>
    <t>Efficiency (kWh/gallon)</t>
  </si>
  <si>
    <t>Regional Averages</t>
  </si>
  <si>
    <t>Statewide Averages</t>
  </si>
  <si>
    <t>Community Infrastructure Descriptions</t>
  </si>
  <si>
    <t>Reduction in Heating Oil (gallons)</t>
  </si>
  <si>
    <t>Reduction in Diesel for Generation (gallons)</t>
  </si>
  <si>
    <t>Non-fuel costs (retail rates)</t>
  </si>
  <si>
    <t>Non-fuel costs (RCA Filings)</t>
  </si>
  <si>
    <t>Average Gallons Heating oil eq. per year</t>
  </si>
  <si>
    <t>Installed Renewable Energy Description</t>
  </si>
  <si>
    <t>Per Capita Average</t>
  </si>
  <si>
    <t>Per Capita Consumption (gallons diesel/HO)</t>
  </si>
  <si>
    <t>Per Capita Consumption: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</si>
</sst>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_);_(@_)"/>
    <numFmt numFmtId="165" formatCode="_(* #,##0_);_(* \(#,##0\);_(* &quot;-&quot;??_);_(@_)"/>
    <numFmt numFmtId="166" formatCode="_(&quot;$&quot;* #,##0.00_);_(&quot;$&quot;* \(#,##0.00\);_(&quot;$&quot;* &quot;-&quot;_);_(@_)"/>
    <numFmt numFmtId="167" formatCode="&quot;$&quot;#,##0.000_);[Red]\(&quot;$&quot;#,##0.000\)"/>
    <numFmt numFmtId="168" formatCode="_(&quot;$&quot;* #,##0.000_);_(&quot;$&quot;* \(#,##0.000\);_(&quot;$&quot;* &quot;-&quot;??_);_(@_)"/>
    <numFmt numFmtId="169" formatCode="0.000"/>
    <numFmt numFmtId="170" formatCode="_(&quot;$&quot;* #,##0_);_(&quot;$&quot;* \(#,##0\);_(&quot;$&quot;* &quot;-&quot;??_);_(@_)"/>
    <numFmt numFmtId="171" formatCode="_(* #,##0.00_);_(* \(#,##0.00\);_(* \-_);_(@_)"/>
    <numFmt numFmtId="172" formatCode="0.00_)"/>
    <numFmt numFmtId="173" formatCode="0.0%"/>
    <numFmt numFmtId="174" formatCode="_(* #,##0.00000_);_(* \(#,##0.00000\);_(* &quot;-&quot;??_);_(@_)"/>
    <numFmt numFmtId="175" formatCode="_(* #,##0.000_);_(* \(#,##0.000\);_(* &quot;-&quot;??_);_(@_)"/>
    <numFmt numFmtId="176" formatCode="yyyy"/>
    <numFmt numFmtId="177" formatCode="0.0"/>
    <numFmt numFmtId="178" formatCode="#,###"/>
    <numFmt numFmtId="179" formatCode="&quot;$&quot;#,###.00"/>
    <numFmt numFmtId="180" formatCode="0.0000"/>
    <numFmt numFmtId="181" formatCode="_(* #,##0.0_);_(* \(#,##0.0\);_(* \-_);_(@_)"/>
    <numFmt numFmtId="182" formatCode="[$$-409]\ #,##0"/>
    <numFmt numFmtId="183" formatCode="_(&quot;$&quot;* #,##0.00_);_(&quot;$&quot;* \(#,##0.00\);_(&quot;$&quot;* &quot;0.00&quot;\ "/>
    <numFmt numFmtId="184" formatCode="_(* #,##0.0_);_(* \(#,##0.0\);_(* &quot;-&quot;??_);_(@_)"/>
    <numFmt numFmtId="185" formatCode="&quot;$&quot;#,##0.00"/>
  </numFmts>
  <fonts count="14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1"/>
      <color indexed="1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indexed="12"/>
      <name val="Calibri"/>
      <family val="2"/>
    </font>
    <font>
      <sz val="10"/>
      <name val="Arial"/>
      <family val="2"/>
    </font>
    <font>
      <b/>
      <sz val="10"/>
      <name val="Arial"/>
      <family val="2"/>
    </font>
    <font>
      <sz val="8"/>
      <name val="Arial"/>
      <family val="2"/>
    </font>
    <font>
      <sz val="10"/>
      <color indexed="8"/>
      <name val="Arial"/>
      <family val="2"/>
    </font>
    <font>
      <sz val="8"/>
      <color indexed="8"/>
      <name val="Arial"/>
      <family val="2"/>
    </font>
    <font>
      <i/>
      <sz val="10"/>
      <name val="Arial"/>
      <family val="2"/>
    </font>
    <font>
      <sz val="10"/>
      <color indexed="12"/>
      <name val="Arial"/>
      <family val="2"/>
    </font>
    <font>
      <sz val="10"/>
      <color indexed="12"/>
      <name val="Arial"/>
      <family val="2"/>
    </font>
    <font>
      <b/>
      <sz val="10"/>
      <color indexed="8"/>
      <name val="Arial"/>
      <family val="2"/>
    </font>
    <font>
      <u/>
      <sz val="10"/>
      <color indexed="12"/>
      <name val="Arial"/>
      <family val="2"/>
    </font>
    <font>
      <sz val="11"/>
      <color rgb="FF1F497D"/>
      <name val="Calibri"/>
      <family val="2"/>
    </font>
    <font>
      <sz val="11"/>
      <color rgb="FF0070C0"/>
      <name val="Calibri"/>
      <family val="2"/>
    </font>
    <font>
      <b/>
      <sz val="11"/>
      <name val="Calibri"/>
      <family val="2"/>
    </font>
    <font>
      <sz val="10"/>
      <color rgb="FF0000FF"/>
      <name val="Arial"/>
      <family val="2"/>
    </font>
    <font>
      <sz val="11"/>
      <name val="Calibri"/>
      <family val="2"/>
    </font>
    <font>
      <b/>
      <sz val="9"/>
      <name val="Arial"/>
      <family val="2"/>
    </font>
    <font>
      <sz val="8"/>
      <color indexed="81"/>
      <name val="Tahoma"/>
      <family val="2"/>
    </font>
    <font>
      <b/>
      <sz val="8"/>
      <color indexed="81"/>
      <name val="Tahoma"/>
      <family val="2"/>
    </font>
    <font>
      <b/>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theme="10"/>
      <name val="Calibri"/>
      <family val="2"/>
    </font>
    <font>
      <b/>
      <sz val="8"/>
      <color rgb="FF000000"/>
      <name val="Arial"/>
      <family val="2"/>
    </font>
    <font>
      <b/>
      <sz val="8"/>
      <color theme="1"/>
      <name val="Arial"/>
      <family val="2"/>
    </font>
    <font>
      <sz val="8"/>
      <color rgb="FF000000"/>
      <name val="Arial"/>
      <family val="2"/>
    </font>
    <font>
      <u/>
      <sz val="11"/>
      <color theme="10"/>
      <name val="Calibri"/>
      <family val="2"/>
      <scheme val="minor"/>
    </font>
    <font>
      <sz val="10"/>
      <name val="Arial"/>
      <family val="2"/>
      <charset val="1"/>
    </font>
    <font>
      <sz val="12"/>
      <name val="Arial"/>
      <family val="2"/>
    </font>
    <font>
      <sz val="12"/>
      <name val="Helv"/>
    </font>
    <font>
      <sz val="11"/>
      <color rgb="FF000000"/>
      <name val="Calibri"/>
      <family val="2"/>
    </font>
    <font>
      <sz val="10"/>
      <name val="Arial"/>
      <family val="2"/>
    </font>
    <font>
      <u/>
      <sz val="10"/>
      <color indexed="12"/>
      <name val="Arial"/>
      <family val="2"/>
    </font>
    <font>
      <sz val="9"/>
      <color indexed="81"/>
      <name val="Tahoma"/>
      <family val="2"/>
    </font>
    <font>
      <b/>
      <sz val="9"/>
      <color indexed="81"/>
      <name val="Tahoma"/>
      <family val="2"/>
    </font>
    <font>
      <sz val="10"/>
      <name val="Times New Roman"/>
      <family val="1"/>
    </font>
    <font>
      <b/>
      <sz val="12"/>
      <color indexed="8"/>
      <name val="Times New Roman"/>
      <family val="1"/>
    </font>
    <font>
      <b/>
      <sz val="10"/>
      <color indexed="8"/>
      <name val="Times New Roman"/>
      <family val="1"/>
    </font>
    <font>
      <b/>
      <sz val="16"/>
      <name val="Times New Roman"/>
      <family val="1"/>
    </font>
    <font>
      <b/>
      <sz val="11"/>
      <color indexed="8"/>
      <name val="Times New Roman"/>
      <family val="1"/>
    </font>
    <font>
      <sz val="10"/>
      <color indexed="8"/>
      <name val="Times New Roman"/>
      <family val="1"/>
    </font>
    <font>
      <i/>
      <sz val="10"/>
      <color indexed="8"/>
      <name val="Times New Roman"/>
      <family val="1"/>
    </font>
    <font>
      <b/>
      <sz val="10"/>
      <name val="Times New Roman"/>
      <family val="1"/>
    </font>
    <font>
      <sz val="10"/>
      <color indexed="12"/>
      <name val="Times New Roman"/>
      <family val="1"/>
    </font>
    <font>
      <b/>
      <sz val="11"/>
      <color theme="1"/>
      <name val="Times New Roman"/>
      <family val="1"/>
    </font>
    <font>
      <sz val="9"/>
      <color theme="1"/>
      <name val="Times New Roman"/>
      <family val="1"/>
    </font>
    <font>
      <b/>
      <sz val="10"/>
      <color indexed="10"/>
      <name val="Times New Roman"/>
      <family val="1"/>
    </font>
    <font>
      <b/>
      <sz val="10"/>
      <color indexed="12"/>
      <name val="Times New Roman"/>
      <family val="1"/>
    </font>
    <font>
      <sz val="10"/>
      <color indexed="10"/>
      <name val="Times New Roman"/>
      <family val="1"/>
    </font>
    <font>
      <sz val="11"/>
      <name val="Times New Roman"/>
      <family val="1"/>
    </font>
    <font>
      <b/>
      <sz val="10"/>
      <color theme="1"/>
      <name val="Times New Roman"/>
      <family val="1"/>
    </font>
    <font>
      <sz val="10"/>
      <color theme="1"/>
      <name val="Times New Roman"/>
      <family val="1"/>
    </font>
    <font>
      <sz val="11"/>
      <color theme="1"/>
      <name val="Times New Roman"/>
      <family val="1"/>
    </font>
    <font>
      <i/>
      <sz val="10"/>
      <name val="Times New Roman"/>
      <family val="1"/>
    </font>
    <font>
      <b/>
      <i/>
      <sz val="10"/>
      <name val="Arial"/>
      <family val="2"/>
    </font>
    <font>
      <b/>
      <sz val="14"/>
      <name val="Times New Roman"/>
      <family val="1"/>
    </font>
    <font>
      <b/>
      <sz val="14"/>
      <name val="Arial"/>
      <family val="2"/>
    </font>
    <font>
      <sz val="10"/>
      <name val="MS Sans Serif"/>
      <family val="2"/>
    </font>
    <font>
      <b/>
      <sz val="10"/>
      <color theme="0"/>
      <name val="Arial"/>
      <family val="2"/>
    </font>
    <font>
      <sz val="11"/>
      <color theme="1"/>
      <name val="Arial"/>
      <family val="2"/>
    </font>
    <font>
      <sz val="12"/>
      <color theme="1"/>
      <name val="Calibri"/>
      <family val="2"/>
      <scheme val="minor"/>
    </font>
    <font>
      <b/>
      <sz val="12"/>
      <name val="Arial"/>
      <family val="2"/>
    </font>
    <font>
      <b/>
      <sz val="12"/>
      <color theme="4"/>
      <name val="Calibri"/>
      <family val="2"/>
      <scheme val="minor"/>
    </font>
    <font>
      <sz val="9"/>
      <color theme="1"/>
      <name val="Calibri"/>
      <family val="2"/>
      <scheme val="minor"/>
    </font>
    <font>
      <b/>
      <sz val="9"/>
      <color theme="1"/>
      <name val="Calibri"/>
      <family val="2"/>
      <scheme val="minor"/>
    </font>
    <font>
      <sz val="10"/>
      <color theme="1"/>
      <name val="Times New Roman"/>
      <family val="2"/>
    </font>
    <font>
      <b/>
      <sz val="18"/>
      <name val="Arial"/>
      <family val="2"/>
    </font>
    <font>
      <u/>
      <sz val="10"/>
      <color indexed="12"/>
      <name val="MS Sans Serif"/>
      <family val="2"/>
    </font>
    <font>
      <sz val="10"/>
      <color theme="1"/>
      <name val="Arial"/>
      <family val="2"/>
      <charset val="128"/>
    </font>
    <font>
      <sz val="11"/>
      <color rgb="FF0000FF"/>
      <name val="Calibri"/>
      <family val="2"/>
    </font>
    <font>
      <sz val="10"/>
      <color theme="0"/>
      <name val="Arial"/>
      <family val="2"/>
    </font>
    <font>
      <b/>
      <sz val="11"/>
      <color theme="0"/>
      <name val="Calibri"/>
      <family val="2"/>
    </font>
    <font>
      <b/>
      <sz val="12"/>
      <color theme="0"/>
      <name val="Arial"/>
      <family val="2"/>
    </font>
    <font>
      <b/>
      <sz val="18"/>
      <name val="Times New Roman"/>
      <family val="1"/>
    </font>
    <font>
      <i/>
      <sz val="11"/>
      <color theme="1"/>
      <name val="Calibri"/>
      <family val="2"/>
      <scheme val="minor"/>
    </font>
    <font>
      <sz val="8"/>
      <color theme="1"/>
      <name val="Arial"/>
      <family val="2"/>
    </font>
    <font>
      <b/>
      <sz val="11"/>
      <name val="Times New Roman"/>
      <family val="1"/>
    </font>
    <font>
      <b/>
      <sz val="14"/>
      <color theme="1"/>
      <name val="Calibri"/>
      <family val="2"/>
      <scheme val="minor"/>
    </font>
    <font>
      <sz val="10"/>
      <color theme="1"/>
      <name val="Arial"/>
      <family val="2"/>
    </font>
    <font>
      <b/>
      <sz val="10"/>
      <color theme="1"/>
      <name val="Arial"/>
      <family val="2"/>
    </font>
    <font>
      <b/>
      <sz val="12"/>
      <color indexed="8"/>
      <name val="Arial"/>
      <family val="2"/>
    </font>
    <font>
      <b/>
      <sz val="16"/>
      <name val="Arial"/>
      <family val="2"/>
    </font>
    <font>
      <b/>
      <sz val="11"/>
      <color indexed="8"/>
      <name val="Arial"/>
      <family val="2"/>
    </font>
    <font>
      <i/>
      <sz val="10"/>
      <color indexed="8"/>
      <name val="Arial"/>
      <family val="2"/>
    </font>
    <font>
      <b/>
      <sz val="11"/>
      <color theme="1"/>
      <name val="Arial"/>
      <family val="2"/>
    </font>
    <font>
      <sz val="9"/>
      <color theme="1"/>
      <name val="Arial"/>
      <family val="2"/>
    </font>
    <font>
      <b/>
      <sz val="10"/>
      <color indexed="10"/>
      <name val="Arial"/>
      <family val="2"/>
    </font>
    <font>
      <b/>
      <sz val="10"/>
      <color indexed="12"/>
      <name val="Arial"/>
      <family val="2"/>
    </font>
    <font>
      <sz val="10"/>
      <color indexed="10"/>
      <name val="Arial"/>
      <family val="2"/>
    </font>
    <font>
      <sz val="11"/>
      <name val="Arial"/>
      <family val="2"/>
    </font>
    <font>
      <sz val="16"/>
      <name val="Arial"/>
      <family val="2"/>
    </font>
    <font>
      <i/>
      <sz val="11"/>
      <color theme="5"/>
      <name val="Calibri"/>
      <family val="2"/>
      <scheme val="minor"/>
    </font>
    <font>
      <sz val="11"/>
      <name val="Calibri"/>
      <family val="2"/>
      <scheme val="minor"/>
    </font>
    <font>
      <i/>
      <sz val="11"/>
      <name val="Calibri"/>
      <family val="2"/>
      <scheme val="minor"/>
    </font>
    <font>
      <b/>
      <sz val="12"/>
      <name val="Times New Roman"/>
      <family val="1"/>
    </font>
    <font>
      <b/>
      <sz val="12"/>
      <color theme="1"/>
      <name val="Calibri"/>
      <family val="2"/>
      <scheme val="minor"/>
    </font>
    <font>
      <b/>
      <sz val="14"/>
      <color rgb="FF000000"/>
      <name val="Calibri"/>
      <family val="2"/>
      <scheme val="minor"/>
    </font>
    <font>
      <sz val="12"/>
      <color rgb="FF000000"/>
      <name val="Calibri"/>
      <family val="2"/>
      <scheme val="minor"/>
    </font>
    <font>
      <sz val="11"/>
      <color rgb="FF000000"/>
      <name val="Calibri"/>
      <family val="2"/>
      <scheme val="minor"/>
    </font>
    <font>
      <sz val="10"/>
      <color rgb="FFFF0000"/>
      <name val="Arial"/>
      <family val="2"/>
    </font>
    <font>
      <sz val="10"/>
      <color rgb="FFFF0000"/>
      <name val="Times New Roman"/>
      <family val="1"/>
    </font>
    <font>
      <sz val="11"/>
      <color rgb="FFFF0000"/>
      <name val="Times New Roman"/>
      <family val="1"/>
    </font>
    <font>
      <b/>
      <sz val="10"/>
      <color rgb="FFFF0000"/>
      <name val="Times New Roman"/>
      <family val="1"/>
    </font>
    <font>
      <b/>
      <sz val="10"/>
      <color rgb="FFFF0000"/>
      <name val="Arial"/>
      <family val="2"/>
    </font>
    <font>
      <sz val="13"/>
      <color rgb="FF000000"/>
      <name val="Segoe UI"/>
      <family val="2"/>
    </font>
    <font>
      <sz val="14"/>
      <name val="Arial"/>
      <family val="2"/>
    </font>
    <font>
      <sz val="20"/>
      <name val="Arial"/>
      <family val="2"/>
    </font>
    <font>
      <b/>
      <sz val="24"/>
      <name val="Arial"/>
      <family val="2"/>
    </font>
  </fonts>
  <fills count="8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10"/>
        <bgColor indexed="64"/>
      </patternFill>
    </fill>
    <fill>
      <patternFill patternType="solid">
        <fgColor rgb="FFFFFF00"/>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7"/>
        <bgColor indexed="64"/>
      </patternFill>
    </fill>
    <fill>
      <patternFill patternType="solid">
        <fgColor rgb="FFD8E4BC"/>
        <bgColor indexed="64"/>
      </patternFill>
    </fill>
    <fill>
      <patternFill patternType="solid">
        <fgColor rgb="FFEBF1DE"/>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theme="9"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7" tint="0.79998168889431442"/>
        <bgColor indexed="64"/>
      </patternFill>
    </fill>
    <fill>
      <patternFill patternType="solid">
        <fgColor rgb="FF2E3C76"/>
        <bgColor indexed="64"/>
      </patternFill>
    </fill>
    <fill>
      <patternFill patternType="solid">
        <fgColor theme="8" tint="0.79998168889431442"/>
        <bgColor theme="8" tint="0.79998168889431442"/>
      </patternFill>
    </fill>
    <fill>
      <patternFill patternType="solid">
        <fgColor theme="4" tint="0.79998168889431442"/>
        <bgColor indexed="64"/>
      </patternFill>
    </fill>
    <fill>
      <patternFill patternType="solid">
        <fgColor rgb="FFCCFFCC"/>
        <bgColor indexed="64"/>
      </patternFill>
    </fill>
    <fill>
      <patternFill patternType="solid">
        <fgColor rgb="FFCCFFCC"/>
        <bgColor rgb="FF000000"/>
      </patternFill>
    </fill>
    <fill>
      <patternFill patternType="solid">
        <fgColor theme="9" tint="0.39997558519241921"/>
        <bgColor indexed="64"/>
      </patternFill>
    </fill>
    <fill>
      <patternFill patternType="solid">
        <fgColor theme="7" tint="0.59999389629810485"/>
        <bgColor indexed="64"/>
      </patternFill>
    </fill>
  </fills>
  <borders count="12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bottom/>
      <diagonal/>
    </border>
    <border>
      <left/>
      <right style="medium">
        <color indexed="64"/>
      </right>
      <top/>
      <bottom style="medium">
        <color indexed="64"/>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style="medium">
        <color indexed="64"/>
      </bottom>
      <diagonal/>
    </border>
    <border>
      <left/>
      <right/>
      <top style="medium">
        <color indexed="64"/>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right style="thin">
        <color indexed="22"/>
      </right>
      <top/>
      <bottom/>
      <diagonal/>
    </border>
    <border>
      <left style="thin">
        <color indexed="22"/>
      </left>
      <right style="medium">
        <color indexed="64"/>
      </right>
      <top style="hair">
        <color indexed="64"/>
      </top>
      <bottom style="thin">
        <color indexed="2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diagonal/>
    </border>
    <border>
      <left/>
      <right style="thin">
        <color indexed="22"/>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22"/>
      </left>
      <right style="medium">
        <color indexed="64"/>
      </right>
      <top style="thin">
        <color indexed="22"/>
      </top>
      <bottom/>
      <diagonal/>
    </border>
    <border>
      <left style="thin">
        <color indexed="64"/>
      </left>
      <right style="medium">
        <color indexed="64"/>
      </right>
      <top style="medium">
        <color indexed="64"/>
      </top>
      <bottom style="medium">
        <color indexed="64"/>
      </bottom>
      <diagonal/>
    </border>
    <border>
      <left style="thin">
        <color indexed="22"/>
      </left>
      <right style="medium">
        <color indexed="64"/>
      </right>
      <top style="thin">
        <color indexed="22"/>
      </top>
      <bottom style="thin">
        <color indexed="64"/>
      </bottom>
      <diagonal/>
    </border>
    <border>
      <left style="thin">
        <color indexed="64"/>
      </left>
      <right style="thin">
        <color indexed="64"/>
      </right>
      <top style="medium">
        <color indexed="64"/>
      </top>
      <bottom/>
      <diagonal/>
    </border>
    <border>
      <left style="medium">
        <color indexed="64"/>
      </left>
      <right style="thin">
        <color indexed="40"/>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bottom style="thin">
        <color indexed="64"/>
      </bottom>
      <diagonal/>
    </border>
    <border>
      <left/>
      <right/>
      <top/>
      <bottom style="dashed">
        <color theme="0" tint="-0.24994659260841701"/>
      </bottom>
      <diagonal/>
    </border>
    <border>
      <left/>
      <right/>
      <top style="medium">
        <color theme="4"/>
      </top>
      <bottom/>
      <diagonal/>
    </border>
    <border>
      <left style="thick">
        <color theme="0"/>
      </left>
      <right style="thick">
        <color theme="0"/>
      </right>
      <top/>
      <bottom style="thin">
        <color theme="0" tint="-0.24994659260841701"/>
      </bottom>
      <diagonal/>
    </border>
    <border>
      <left/>
      <right/>
      <top/>
      <bottom style="thin">
        <color theme="0" tint="-0.249977111117893"/>
      </bottom>
      <diagonal/>
    </border>
    <border>
      <left/>
      <right/>
      <top style="thin">
        <color theme="4"/>
      </top>
      <bottom style="dashed">
        <color theme="0" tint="-0.24994659260841701"/>
      </bottom>
      <diagonal/>
    </border>
    <border>
      <left/>
      <right/>
      <top style="thin">
        <color theme="4"/>
      </top>
      <bottom style="thin">
        <color theme="0" tint="-0.24994659260841701"/>
      </bottom>
      <diagonal/>
    </border>
    <border>
      <left/>
      <right/>
      <top style="double">
        <color indexed="9"/>
      </top>
      <bottom/>
      <diagonal/>
    </border>
    <border>
      <left style="thin">
        <color indexed="64"/>
      </left>
      <right/>
      <top style="medium">
        <color indexed="64"/>
      </top>
      <bottom/>
      <diagonal/>
    </border>
    <border>
      <left/>
      <right style="thin">
        <color indexed="64"/>
      </right>
      <top style="medium">
        <color indexed="64"/>
      </top>
      <bottom/>
      <diagonal/>
    </border>
    <border>
      <left/>
      <right style="thin">
        <color indexed="64"/>
      </right>
      <top/>
      <bottom style="medium">
        <color indexed="64"/>
      </bottom>
      <diagonal/>
    </border>
    <border>
      <left/>
      <right style="medium">
        <color indexed="64"/>
      </right>
      <top/>
      <bottom style="thin">
        <color indexed="40"/>
      </bottom>
      <diagonal/>
    </border>
    <border>
      <left/>
      <right style="medium">
        <color indexed="64"/>
      </right>
      <top style="thin">
        <color indexed="40"/>
      </top>
      <bottom/>
      <diagonal/>
    </border>
    <border>
      <left style="thin">
        <color indexed="64"/>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indexed="64"/>
      </right>
      <top/>
      <bottom style="thin">
        <color theme="0" tint="-0.14996795556505021"/>
      </bottom>
      <diagonal/>
    </border>
    <border>
      <left style="thin">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style="thin">
        <color indexed="64"/>
      </left>
      <right/>
      <top style="medium">
        <color indexed="64"/>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indexed="64"/>
      </right>
      <top/>
      <bottom style="thin">
        <color indexed="64"/>
      </bottom>
      <diagonal/>
    </border>
    <border>
      <left/>
      <right style="thin">
        <color indexed="64"/>
      </right>
      <top style="medium">
        <color indexed="64"/>
      </top>
      <bottom style="thin">
        <color indexed="64"/>
      </bottom>
      <diagonal/>
    </border>
  </borders>
  <cellStyleXfs count="32089">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4" fontId="9" fillId="0" borderId="0" applyFont="0" applyFill="0" applyBorder="0" applyAlignment="0" applyProtection="0"/>
    <xf numFmtId="44" fontId="10" fillId="0" borderId="0" applyFont="0" applyFill="0" applyBorder="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20" fillId="0" borderId="0" applyNumberFormat="0" applyFill="0" applyBorder="0" applyAlignment="0" applyProtection="0">
      <alignment vertical="top"/>
      <protection locked="0"/>
    </xf>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29" fillId="0" borderId="0"/>
    <xf numFmtId="0" fontId="29" fillId="0" borderId="0"/>
    <xf numFmtId="0" fontId="32" fillId="0" borderId="0"/>
    <xf numFmtId="0" fontId="10" fillId="23" borderId="7" applyNumberFormat="0" applyFont="0" applyAlignment="0" applyProtection="0"/>
    <xf numFmtId="0" fontId="24" fillId="20" borderId="8" applyNumberFormat="0" applyAlignment="0" applyProtection="0"/>
    <xf numFmtId="9" fontId="9" fillId="0" borderId="0" applyFont="0" applyFill="0" applyBorder="0" applyAlignment="0" applyProtection="0"/>
    <xf numFmtId="9" fontId="10"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9" fillId="0" borderId="0"/>
    <xf numFmtId="0" fontId="38" fillId="0" borderId="0" applyNumberFormat="0" applyFill="0" applyBorder="0" applyAlignment="0" applyProtection="0">
      <alignment vertical="top"/>
      <protection locked="0"/>
    </xf>
    <xf numFmtId="0" fontId="8" fillId="0" borderId="0"/>
    <xf numFmtId="0" fontId="48" fillId="0" borderId="0" applyNumberFormat="0" applyFill="0" applyBorder="0" applyAlignment="0" applyProtection="0"/>
    <xf numFmtId="0" fontId="49" fillId="0" borderId="44" applyNumberFormat="0" applyFill="0" applyAlignment="0" applyProtection="0"/>
    <xf numFmtId="0" fontId="50" fillId="0" borderId="45" applyNumberFormat="0" applyFill="0" applyAlignment="0" applyProtection="0"/>
    <xf numFmtId="0" fontId="51" fillId="0" borderId="46" applyNumberFormat="0" applyFill="0" applyAlignment="0" applyProtection="0"/>
    <xf numFmtId="0" fontId="51" fillId="0" borderId="0" applyNumberFormat="0" applyFill="0" applyBorder="0" applyAlignment="0" applyProtection="0"/>
    <xf numFmtId="0" fontId="52" fillId="30" borderId="0" applyNumberFormat="0" applyBorder="0" applyAlignment="0" applyProtection="0"/>
    <xf numFmtId="0" fontId="53" fillId="31" borderId="0" applyNumberFormat="0" applyBorder="0" applyAlignment="0" applyProtection="0"/>
    <xf numFmtId="0" fontId="54" fillId="32" borderId="0" applyNumberFormat="0" applyBorder="0" applyAlignment="0" applyProtection="0"/>
    <xf numFmtId="0" fontId="55" fillId="33" borderId="47" applyNumberFormat="0" applyAlignment="0" applyProtection="0"/>
    <xf numFmtId="0" fontId="56" fillId="34" borderId="48" applyNumberFormat="0" applyAlignment="0" applyProtection="0"/>
    <xf numFmtId="0" fontId="57" fillId="34" borderId="47" applyNumberFormat="0" applyAlignment="0" applyProtection="0"/>
    <xf numFmtId="0" fontId="58" fillId="0" borderId="49" applyNumberFormat="0" applyFill="0" applyAlignment="0" applyProtection="0"/>
    <xf numFmtId="0" fontId="59" fillId="35" borderId="50" applyNumberFormat="0" applyAlignment="0" applyProtection="0"/>
    <xf numFmtId="0" fontId="60" fillId="0" borderId="0" applyNumberFormat="0" applyFill="0" applyBorder="0" applyAlignment="0" applyProtection="0"/>
    <xf numFmtId="0" fontId="8" fillId="36" borderId="51" applyNumberFormat="0" applyFont="0" applyAlignment="0" applyProtection="0"/>
    <xf numFmtId="0" fontId="61" fillId="0" borderId="0" applyNumberFormat="0" applyFill="0" applyBorder="0" applyAlignment="0" applyProtection="0"/>
    <xf numFmtId="0" fontId="47" fillId="0" borderId="52" applyNumberFormat="0" applyFill="0" applyAlignment="0" applyProtection="0"/>
    <xf numFmtId="0" fontId="62" fillId="37"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62" fillId="40" borderId="0" applyNumberFormat="0" applyBorder="0" applyAlignment="0" applyProtection="0"/>
    <xf numFmtId="0" fontId="62" fillId="4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62" fillId="44" borderId="0" applyNumberFormat="0" applyBorder="0" applyAlignment="0" applyProtection="0"/>
    <xf numFmtId="0" fontId="62" fillId="45"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62" fillId="48" borderId="0" applyNumberFormat="0" applyBorder="0" applyAlignment="0" applyProtection="0"/>
    <xf numFmtId="0" fontId="62" fillId="49"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62" fillId="52" borderId="0" applyNumberFormat="0" applyBorder="0" applyAlignment="0" applyProtection="0"/>
    <xf numFmtId="0" fontId="62" fillId="53"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62" fillId="56" borderId="0" applyNumberFormat="0" applyBorder="0" applyAlignment="0" applyProtection="0"/>
    <xf numFmtId="0" fontId="62" fillId="57"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62" fillId="60" borderId="0" applyNumberFormat="0" applyBorder="0" applyAlignment="0" applyProtection="0"/>
    <xf numFmtId="0" fontId="8" fillId="0" borderId="0"/>
    <xf numFmtId="0" fontId="8" fillId="0" borderId="0"/>
    <xf numFmtId="0" fontId="63" fillId="0" borderId="0" applyNumberFormat="0" applyFill="0" applyBorder="0" applyAlignment="0" applyProtection="0">
      <alignment vertical="top"/>
      <protection locked="0"/>
    </xf>
    <xf numFmtId="9" fontId="8" fillId="0" borderId="0" applyFont="0" applyFill="0" applyBorder="0" applyAlignment="0" applyProtection="0"/>
    <xf numFmtId="0" fontId="9" fillId="0" borderId="0"/>
    <xf numFmtId="0" fontId="8" fillId="0" borderId="0"/>
    <xf numFmtId="43" fontId="8" fillId="0" borderId="0" applyFont="0" applyFill="0" applyBorder="0" applyAlignment="0" applyProtection="0"/>
    <xf numFmtId="9" fontId="8" fillId="0" borderId="0" applyFont="0" applyFill="0" applyBorder="0" applyAlignment="0" applyProtection="0"/>
    <xf numFmtId="0" fontId="8" fillId="36" borderId="51" applyNumberFormat="0" applyFont="0" applyAlignment="0" applyProtection="0"/>
    <xf numFmtId="0" fontId="8" fillId="38"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9" fillId="0" borderId="0"/>
    <xf numFmtId="9" fontId="9" fillId="0" borderId="0" applyFont="0" applyFill="0" applyBorder="0" applyAlignment="0" applyProtection="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9" fillId="0" borderId="0" applyFont="0" applyFill="0" applyBorder="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38" fillId="0" borderId="0" applyNumberFormat="0" applyFill="0" applyBorder="0" applyAlignment="0" applyProtection="0">
      <alignment vertical="top"/>
      <protection locked="0"/>
    </xf>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10" fillId="23" borderId="7" applyNumberFormat="0" applyFont="0" applyAlignment="0" applyProtection="0"/>
    <xf numFmtId="0" fontId="24" fillId="20" borderId="8" applyNumberFormat="0" applyAlignment="0" applyProtection="0"/>
    <xf numFmtId="9" fontId="9"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8" fillId="0" borderId="0"/>
    <xf numFmtId="0" fontId="8" fillId="36" borderId="51" applyNumberFormat="0" applyFont="0" applyAlignment="0" applyProtection="0"/>
    <xf numFmtId="0" fontId="8" fillId="38"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8" fillId="0" borderId="0"/>
    <xf numFmtId="0" fontId="8" fillId="0" borderId="0"/>
    <xf numFmtId="9" fontId="8" fillId="0" borderId="0" applyFont="0" applyFill="0" applyBorder="0" applyAlignment="0" applyProtection="0"/>
    <xf numFmtId="0" fontId="65" fillId="0" borderId="0">
      <alignment horizontal="center" wrapText="1"/>
    </xf>
    <xf numFmtId="0" fontId="65" fillId="0" borderId="0">
      <alignment horizontal="center"/>
    </xf>
    <xf numFmtId="4" fontId="66" fillId="0" borderId="0" applyBorder="0">
      <alignment horizontal="right"/>
    </xf>
    <xf numFmtId="176" fontId="66" fillId="0" borderId="0" applyBorder="0">
      <alignment horizontal="left"/>
    </xf>
    <xf numFmtId="0" fontId="64" fillId="61" borderId="0"/>
    <xf numFmtId="10" fontId="66" fillId="0" borderId="0" applyBorder="0">
      <alignment horizontal="right"/>
    </xf>
    <xf numFmtId="0" fontId="66" fillId="0" borderId="0" applyBorder="0">
      <alignment horizontal="left"/>
    </xf>
    <xf numFmtId="0" fontId="67" fillId="0" borderId="0" applyNumberFormat="0" applyFill="0" applyBorder="0" applyAlignment="0" applyProtection="0"/>
    <xf numFmtId="0" fontId="9" fillId="0" borderId="0"/>
    <xf numFmtId="0" fontId="9" fillId="0" borderId="0"/>
    <xf numFmtId="43" fontId="9" fillId="0" borderId="0" applyFont="0" applyFill="0" applyBorder="0" applyAlignment="0" applyProtection="0"/>
    <xf numFmtId="44" fontId="9" fillId="0" borderId="0" applyFont="0" applyFill="0" applyBorder="0" applyAlignment="0" applyProtection="0"/>
    <xf numFmtId="0" fontId="8" fillId="0" borderId="0"/>
    <xf numFmtId="0" fontId="9" fillId="0" borderId="0"/>
    <xf numFmtId="49" fontId="9" fillId="0" borderId="10" applyFont="0" applyAlignment="0">
      <alignment vertical="top"/>
    </xf>
    <xf numFmtId="0" fontId="9" fillId="0" borderId="0"/>
    <xf numFmtId="0" fontId="68" fillId="0" borderId="0"/>
    <xf numFmtId="0" fontId="8" fillId="0" borderId="0"/>
    <xf numFmtId="0" fontId="8" fillId="0" borderId="0"/>
    <xf numFmtId="0" fontId="8" fillId="0" borderId="0"/>
    <xf numFmtId="0" fontId="9" fillId="0" borderId="0"/>
    <xf numFmtId="0" fontId="8" fillId="0" borderId="0"/>
    <xf numFmtId="0" fontId="69" fillId="0" borderId="0"/>
    <xf numFmtId="0" fontId="70" fillId="0" borderId="0"/>
    <xf numFmtId="0" fontId="7" fillId="0" borderId="0"/>
    <xf numFmtId="0" fontId="15" fillId="0" borderId="0" applyNumberFormat="0" applyFill="0" applyBorder="0" applyAlignment="0" applyProtection="0"/>
    <xf numFmtId="0" fontId="17" fillId="0" borderId="3" applyNumberFormat="0" applyFill="0" applyAlignment="0" applyProtection="0"/>
    <xf numFmtId="0" fontId="7" fillId="0" borderId="0"/>
    <xf numFmtId="0" fontId="11" fillId="14" borderId="0" applyNumberFormat="0" applyBorder="0" applyAlignment="0" applyProtection="0"/>
    <xf numFmtId="0" fontId="16" fillId="4" borderId="0" applyNumberFormat="0" applyBorder="0" applyAlignment="0" applyProtection="0"/>
    <xf numFmtId="0" fontId="64" fillId="0" borderId="0">
      <alignment horizontal="left"/>
    </xf>
    <xf numFmtId="0" fontId="25" fillId="0" borderId="0" applyNumberFormat="0" applyFill="0" applyBorder="0" applyAlignment="0" applyProtection="0"/>
    <xf numFmtId="0" fontId="10" fillId="10" borderId="0" applyNumberFormat="0" applyBorder="0" applyAlignment="0" applyProtection="0"/>
    <xf numFmtId="0" fontId="11" fillId="15" borderId="0" applyNumberFormat="0" applyBorder="0" applyAlignment="0" applyProtection="0"/>
    <xf numFmtId="0" fontId="10" fillId="23" borderId="7" applyNumberFormat="0" applyFont="0" applyAlignment="0" applyProtection="0"/>
    <xf numFmtId="0" fontId="24" fillId="20" borderId="8" applyNumberFormat="0" applyAlignment="0" applyProtection="0"/>
    <xf numFmtId="0" fontId="9" fillId="0" borderId="0" applyNumberFormat="0" applyFill="0" applyBorder="0" applyAlignment="0" applyProtection="0"/>
    <xf numFmtId="0" fontId="9" fillId="0" borderId="0" applyNumberFormat="0" applyFill="0" applyBorder="0" applyAlignment="0" applyProtection="0"/>
    <xf numFmtId="43" fontId="9" fillId="0" borderId="0" applyFont="0" applyFill="0" applyBorder="0" applyAlignment="0" applyProtection="0"/>
    <xf numFmtId="0" fontId="13" fillId="20" borderId="1" applyNumberFormat="0" applyAlignment="0" applyProtection="0"/>
    <xf numFmtId="0" fontId="7" fillId="0" borderId="0"/>
    <xf numFmtId="0" fontId="12" fillId="3" borderId="0" applyNumberFormat="0" applyBorder="0" applyAlignment="0" applyProtection="0"/>
    <xf numFmtId="0" fontId="10" fillId="9" borderId="0" applyNumberFormat="0" applyBorder="0" applyAlignment="0" applyProtection="0"/>
    <xf numFmtId="0" fontId="11" fillId="16" borderId="0" applyNumberFormat="0" applyBorder="0" applyAlignment="0" applyProtection="0"/>
    <xf numFmtId="0" fontId="10" fillId="8" borderId="0" applyNumberFormat="0" applyBorder="0" applyAlignment="0" applyProtection="0"/>
    <xf numFmtId="0" fontId="11" fillId="10" borderId="0" applyNumberFormat="0" applyBorder="0" applyAlignment="0" applyProtection="0"/>
    <xf numFmtId="0" fontId="22" fillId="0" borderId="6" applyNumberFormat="0" applyFill="0" applyAlignment="0" applyProtection="0"/>
    <xf numFmtId="0" fontId="7" fillId="36" borderId="51" applyNumberFormat="0" applyFont="0" applyAlignment="0" applyProtection="0"/>
    <xf numFmtId="0" fontId="11" fillId="9" borderId="0" applyNumberFormat="0" applyBorder="0" applyAlignment="0" applyProtection="0"/>
    <xf numFmtId="0" fontId="23" fillId="22" borderId="0" applyNumberFormat="0" applyBorder="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19" fillId="0" borderId="0" applyNumberFormat="0" applyFill="0" applyBorder="0" applyAlignment="0" applyProtection="0"/>
    <xf numFmtId="0" fontId="7" fillId="46" borderId="0" applyNumberFormat="0" applyBorder="0" applyAlignment="0" applyProtection="0"/>
    <xf numFmtId="0" fontId="7" fillId="47" borderId="0" applyNumberFormat="0" applyBorder="0" applyAlignment="0" applyProtection="0"/>
    <xf numFmtId="0" fontId="9" fillId="0" borderId="0" applyNumberFormat="0" applyFill="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19" fillId="0" borderId="5" applyNumberFormat="0" applyFill="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67" fillId="0" borderId="0" applyNumberFormat="0" applyFill="0" applyBorder="0" applyAlignment="0" applyProtection="0"/>
    <xf numFmtId="0" fontId="10" fillId="8" borderId="0" applyNumberFormat="0" applyBorder="0" applyAlignment="0" applyProtection="0"/>
    <xf numFmtId="0" fontId="11" fillId="18" borderId="0" applyNumberFormat="0" applyBorder="0" applyAlignment="0" applyProtection="0"/>
    <xf numFmtId="0" fontId="7" fillId="36" borderId="51" applyNumberFormat="0" applyFont="0" applyAlignment="0" applyProtection="0"/>
    <xf numFmtId="178" fontId="66" fillId="0" borderId="0" applyBorder="0">
      <alignment horizontal="right"/>
    </xf>
    <xf numFmtId="0" fontId="14" fillId="21" borderId="2" applyNumberFormat="0" applyAlignment="0" applyProtection="0"/>
    <xf numFmtId="0" fontId="11" fillId="17" borderId="0" applyNumberFormat="0" applyBorder="0" applyAlignment="0" applyProtection="0"/>
    <xf numFmtId="0" fontId="10" fillId="7" borderId="0" applyNumberFormat="0" applyBorder="0" applyAlignment="0" applyProtection="0"/>
    <xf numFmtId="0" fontId="7" fillId="0" borderId="0"/>
    <xf numFmtId="0" fontId="9" fillId="0" borderId="0" applyNumberFormat="0" applyFill="0" applyBorder="0" applyAlignment="0" applyProtection="0"/>
    <xf numFmtId="0" fontId="63" fillId="0" borderId="0" applyNumberFormat="0" applyFill="0" applyBorder="0" applyAlignment="0" applyProtection="0">
      <alignment vertical="top"/>
      <protection locked="0"/>
    </xf>
    <xf numFmtId="179" fontId="66" fillId="0" borderId="0" applyBorder="0">
      <alignment horizontal="right"/>
    </xf>
    <xf numFmtId="0" fontId="26" fillId="0" borderId="9" applyNumberFormat="0" applyFill="0" applyAlignment="0" applyProtection="0"/>
    <xf numFmtId="0" fontId="11" fillId="13" borderId="0" applyNumberFormat="0" applyBorder="0" applyAlignment="0" applyProtection="0"/>
    <xf numFmtId="0" fontId="7" fillId="39" borderId="0" applyNumberFormat="0" applyBorder="0" applyAlignment="0" applyProtection="0"/>
    <xf numFmtId="0" fontId="27" fillId="0" borderId="0" applyNumberFormat="0" applyFill="0" applyBorder="0" applyAlignment="0" applyProtection="0"/>
    <xf numFmtId="0" fontId="11" fillId="14" borderId="0" applyNumberFormat="0" applyBorder="0" applyAlignment="0" applyProtection="0"/>
    <xf numFmtId="0" fontId="18" fillId="0" borderId="4" applyNumberFormat="0" applyFill="0" applyAlignment="0" applyProtection="0"/>
    <xf numFmtId="0" fontId="11" fillId="19" borderId="0" applyNumberFormat="0" applyBorder="0" applyAlignment="0" applyProtection="0"/>
    <xf numFmtId="9" fontId="9" fillId="0" borderId="0" applyFont="0" applyFill="0" applyBorder="0" applyAlignment="0" applyProtection="0"/>
    <xf numFmtId="0" fontId="11" fillId="13" borderId="0" applyNumberFormat="0" applyBorder="0" applyAlignment="0" applyProtection="0"/>
    <xf numFmtId="0" fontId="21" fillId="7" borderId="1" applyNumberFormat="0" applyAlignment="0" applyProtection="0"/>
    <xf numFmtId="0" fontId="10" fillId="5" borderId="0" applyNumberFormat="0" applyBorder="0" applyAlignment="0" applyProtection="0"/>
    <xf numFmtId="0" fontId="11" fillId="12" borderId="0" applyNumberFormat="0" applyBorder="0" applyAlignment="0" applyProtection="0"/>
    <xf numFmtId="0" fontId="10" fillId="11" borderId="0" applyNumberFormat="0" applyBorder="0" applyAlignment="0" applyProtection="0"/>
    <xf numFmtId="0" fontId="64" fillId="0" borderId="0" applyBorder="0">
      <alignment horizontal="center"/>
    </xf>
    <xf numFmtId="9" fontId="7" fillId="0" borderId="0" applyFont="0" applyFill="0" applyBorder="0" applyAlignment="0" applyProtection="0"/>
    <xf numFmtId="0" fontId="7" fillId="0" borderId="0"/>
    <xf numFmtId="0" fontId="72" fillId="0" borderId="0"/>
    <xf numFmtId="0" fontId="73" fillId="0" borderId="0" applyNumberFormat="0" applyFill="0" applyBorder="0" applyAlignment="0" applyProtection="0">
      <alignment vertical="top"/>
      <protection locked="0"/>
    </xf>
    <xf numFmtId="0" fontId="9" fillId="0" borderId="0"/>
    <xf numFmtId="9" fontId="72" fillId="0" borderId="0" applyFont="0" applyFill="0" applyBorder="0" applyAlignment="0" applyProtection="0"/>
    <xf numFmtId="0" fontId="38" fillId="0" borderId="0" applyNumberFormat="0" applyFill="0" applyBorder="0" applyAlignment="0" applyProtection="0">
      <alignment vertical="top"/>
      <protection locked="0"/>
    </xf>
    <xf numFmtId="0" fontId="7" fillId="43" borderId="0" applyNumberFormat="0" applyBorder="0" applyAlignment="0" applyProtection="0"/>
    <xf numFmtId="0" fontId="7" fillId="50" borderId="0" applyNumberFormat="0" applyBorder="0" applyAlignment="0" applyProtection="0"/>
    <xf numFmtId="0" fontId="7" fillId="46" borderId="0" applyNumberFormat="0" applyBorder="0" applyAlignment="0" applyProtection="0"/>
    <xf numFmtId="0" fontId="9" fillId="0" borderId="0"/>
    <xf numFmtId="0" fontId="7" fillId="0" borderId="0"/>
    <xf numFmtId="0" fontId="9" fillId="0" borderId="0" applyNumberFormat="0" applyFill="0" applyBorder="0" applyAlignment="0" applyProtection="0"/>
    <xf numFmtId="0" fontId="10" fillId="4" borderId="0" applyNumberFormat="0" applyBorder="0" applyAlignment="0" applyProtection="0"/>
    <xf numFmtId="0" fontId="10" fillId="6" borderId="0" applyNumberFormat="0" applyBorder="0" applyAlignment="0" applyProtection="0"/>
    <xf numFmtId="0" fontId="10" fillId="2" borderId="0" applyNumberFormat="0" applyBorder="0" applyAlignment="0" applyProtection="0"/>
    <xf numFmtId="0" fontId="10" fillId="3" borderId="0" applyNumberFormat="0" applyBorder="0" applyAlignment="0" applyProtection="0"/>
    <xf numFmtId="0" fontId="10" fillId="5" borderId="0" applyNumberFormat="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47" borderId="0" applyNumberFormat="0" applyBorder="0" applyAlignment="0" applyProtection="0"/>
    <xf numFmtId="0" fontId="7" fillId="0" borderId="0"/>
    <xf numFmtId="0" fontId="38" fillId="0" borderId="0" applyNumberFormat="0" applyFill="0" applyBorder="0" applyAlignment="0" applyProtection="0">
      <alignment vertical="top"/>
      <protection locked="0"/>
    </xf>
    <xf numFmtId="0" fontId="7" fillId="38" borderId="0" applyNumberFormat="0" applyBorder="0" applyAlignment="0" applyProtection="0"/>
    <xf numFmtId="0" fontId="67" fillId="0" borderId="0" applyNumberFormat="0" applyFill="0" applyBorder="0" applyAlignment="0" applyProtection="0"/>
    <xf numFmtId="0" fontId="9" fillId="0" borderId="0"/>
    <xf numFmtId="44" fontId="7" fillId="0" borderId="0" applyFont="0" applyFill="0" applyBorder="0" applyAlignment="0" applyProtection="0"/>
    <xf numFmtId="0" fontId="7" fillId="0" borderId="0"/>
    <xf numFmtId="0" fontId="7" fillId="0" borderId="0"/>
    <xf numFmtId="0" fontId="7" fillId="0" borderId="0"/>
    <xf numFmtId="0" fontId="7" fillId="42" borderId="0" applyNumberFormat="0" applyBorder="0" applyAlignment="0" applyProtection="0"/>
    <xf numFmtId="0" fontId="7" fillId="36" borderId="51" applyNumberFormat="0" applyFont="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9" fontId="7" fillId="0" borderId="0" applyFont="0" applyFill="0" applyBorder="0" applyAlignment="0" applyProtection="0"/>
    <xf numFmtId="0" fontId="9" fillId="0" borderId="0"/>
    <xf numFmtId="0" fontId="7" fillId="0" borderId="0"/>
    <xf numFmtId="0" fontId="67" fillId="0" borderId="0" applyNumberFormat="0" applyFill="0" applyBorder="0" applyAlignment="0" applyProtection="0"/>
    <xf numFmtId="0" fontId="9" fillId="0" borderId="0"/>
    <xf numFmtId="0" fontId="9" fillId="0" borderId="0"/>
    <xf numFmtId="0" fontId="7" fillId="0" borderId="0"/>
    <xf numFmtId="0" fontId="9" fillId="0" borderId="0"/>
    <xf numFmtId="0" fontId="69"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36" borderId="51" applyNumberFormat="0" applyFont="0" applyAlignment="0" applyProtection="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9" fontId="7" fillId="0" borderId="0" applyFont="0" applyFill="0" applyBorder="0" applyAlignment="0" applyProtection="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6" fillId="36" borderId="51"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36" borderId="51"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36" borderId="51"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5" fillId="0" borderId="0"/>
    <xf numFmtId="0" fontId="72"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9" fillId="0" borderId="0" applyFont="0" applyFill="0" applyBorder="0" applyAlignment="0" applyProtection="0"/>
    <xf numFmtId="44" fontId="9" fillId="0" borderId="0" applyFont="0" applyFill="0" applyBorder="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10" fillId="23" borderId="7" applyNumberFormat="0" applyFont="0" applyAlignment="0" applyProtection="0"/>
    <xf numFmtId="0" fontId="24" fillId="20" borderId="8" applyNumberFormat="0" applyAlignment="0" applyProtection="0"/>
    <xf numFmtId="9" fontId="9"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36" borderId="51" applyNumberFormat="0" applyFont="0" applyAlignment="0" applyProtection="0"/>
    <xf numFmtId="0" fontId="5" fillId="0" borderId="0"/>
    <xf numFmtId="0" fontId="5" fillId="39" borderId="0" applyNumberFormat="0" applyBorder="0" applyAlignment="0" applyProtection="0"/>
    <xf numFmtId="9" fontId="5" fillId="0" borderId="0" applyFont="0" applyFill="0" applyBorder="0" applyAlignment="0" applyProtection="0"/>
    <xf numFmtId="0" fontId="5" fillId="0" borderId="0"/>
    <xf numFmtId="0" fontId="5" fillId="43" borderId="0" applyNumberFormat="0" applyBorder="0" applyAlignment="0" applyProtection="0"/>
    <xf numFmtId="0" fontId="5" fillId="50" borderId="0" applyNumberFormat="0" applyBorder="0" applyAlignment="0" applyProtection="0"/>
    <xf numFmtId="0" fontId="5" fillId="46" borderId="0" applyNumberFormat="0" applyBorder="0" applyAlignment="0" applyProtection="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47" borderId="0" applyNumberFormat="0" applyBorder="0" applyAlignment="0" applyProtection="0"/>
    <xf numFmtId="0" fontId="5" fillId="0" borderId="0"/>
    <xf numFmtId="0" fontId="5" fillId="38" borderId="0" applyNumberFormat="0" applyBorder="0" applyAlignment="0" applyProtection="0"/>
    <xf numFmtId="44" fontId="5" fillId="0" borderId="0" applyFont="0" applyFill="0" applyBorder="0" applyAlignment="0" applyProtection="0"/>
    <xf numFmtId="0" fontId="5" fillId="0" borderId="0"/>
    <xf numFmtId="0" fontId="5" fillId="0" borderId="0"/>
    <xf numFmtId="0" fontId="5" fillId="0" borderId="0"/>
    <xf numFmtId="0" fontId="5" fillId="42" borderId="0" applyNumberFormat="0" applyBorder="0" applyAlignment="0" applyProtection="0"/>
    <xf numFmtId="0" fontId="5" fillId="36" borderId="51" applyNumberFormat="0" applyFont="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9" fontId="5" fillId="0" borderId="0" applyFont="0" applyFill="0" applyBorder="0" applyAlignment="0" applyProtection="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0" borderId="0"/>
    <xf numFmtId="0" fontId="4" fillId="39" borderId="0" applyNumberFormat="0" applyBorder="0" applyAlignment="0" applyProtection="0"/>
    <xf numFmtId="9" fontId="4" fillId="0" borderId="0" applyFont="0" applyFill="0" applyBorder="0" applyAlignment="0" applyProtection="0"/>
    <xf numFmtId="0" fontId="4" fillId="0" borderId="0"/>
    <xf numFmtId="0" fontId="4" fillId="43" borderId="0" applyNumberFormat="0" applyBorder="0" applyAlignment="0" applyProtection="0"/>
    <xf numFmtId="0" fontId="4" fillId="50" borderId="0" applyNumberFormat="0" applyBorder="0" applyAlignment="0" applyProtection="0"/>
    <xf numFmtId="0" fontId="4" fillId="46" borderId="0" applyNumberFormat="0" applyBorder="0" applyAlignment="0" applyProtection="0"/>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47" borderId="0" applyNumberFormat="0" applyBorder="0" applyAlignment="0" applyProtection="0"/>
    <xf numFmtId="0" fontId="4" fillId="0" borderId="0"/>
    <xf numFmtId="0" fontId="4" fillId="38" borderId="0" applyNumberFormat="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42" borderId="0" applyNumberFormat="0" applyBorder="0" applyAlignment="0" applyProtection="0"/>
    <xf numFmtId="0" fontId="4" fillId="36" borderId="51" applyNumberFormat="0" applyFont="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0" borderId="0"/>
    <xf numFmtId="0" fontId="4" fillId="39" borderId="0" applyNumberFormat="0" applyBorder="0" applyAlignment="0" applyProtection="0"/>
    <xf numFmtId="9" fontId="4" fillId="0" borderId="0" applyFont="0" applyFill="0" applyBorder="0" applyAlignment="0" applyProtection="0"/>
    <xf numFmtId="0" fontId="4" fillId="0" borderId="0"/>
    <xf numFmtId="0" fontId="4" fillId="43" borderId="0" applyNumberFormat="0" applyBorder="0" applyAlignment="0" applyProtection="0"/>
    <xf numFmtId="0" fontId="4" fillId="50" borderId="0" applyNumberFormat="0" applyBorder="0" applyAlignment="0" applyProtection="0"/>
    <xf numFmtId="0" fontId="4" fillId="46" borderId="0" applyNumberFormat="0" applyBorder="0" applyAlignment="0" applyProtection="0"/>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47" borderId="0" applyNumberFormat="0" applyBorder="0" applyAlignment="0" applyProtection="0"/>
    <xf numFmtId="0" fontId="4" fillId="0" borderId="0"/>
    <xf numFmtId="0" fontId="4" fillId="38" borderId="0" applyNumberFormat="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42" borderId="0" applyNumberFormat="0" applyBorder="0" applyAlignment="0" applyProtection="0"/>
    <xf numFmtId="0" fontId="4" fillId="36" borderId="51" applyNumberFormat="0" applyFont="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3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9" fillId="0" borderId="0"/>
    <xf numFmtId="0" fontId="38" fillId="0" borderId="0" applyNumberFormat="0" applyFill="0" applyBorder="0" applyAlignment="0" applyProtection="0">
      <alignment vertical="top"/>
      <protection locked="0"/>
    </xf>
    <xf numFmtId="9" fontId="9" fillId="0" borderId="0" applyFont="0" applyFill="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9" fillId="0" borderId="0" applyNumberFormat="0" applyFill="0" applyBorder="0" applyAlignment="0" applyProtection="0"/>
    <xf numFmtId="43" fontId="9" fillId="0" borderId="0" applyFont="0" applyFill="0" applyBorder="0" applyAlignment="0" applyProtection="0"/>
    <xf numFmtId="0" fontId="107" fillId="0" borderId="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0" fontId="2" fillId="0" borderId="0"/>
    <xf numFmtId="43" fontId="9" fillId="0" borderId="0" applyFont="0" applyFill="0" applyBorder="0" applyAlignment="0" applyProtection="0"/>
    <xf numFmtId="0" fontId="2" fillId="36" borderId="51" applyNumberFormat="0" applyFont="0" applyAlignment="0" applyProtection="0"/>
    <xf numFmtId="0" fontId="105" fillId="0" borderId="92" applyNumberFormat="0" applyProtection="0">
      <alignment horizontal="left" wrapText="1"/>
    </xf>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43" fontId="9" fillId="0" borderId="0" applyFont="0" applyFill="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43" fontId="9"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43" fontId="9" fillId="0" borderId="0" applyFont="0" applyFill="0" applyBorder="0" applyAlignment="0" applyProtection="0"/>
    <xf numFmtId="14" fontId="9" fillId="0" borderId="0"/>
    <xf numFmtId="43" fontId="9" fillId="0" borderId="0" applyFont="0" applyFill="0" applyBorder="0" applyAlignment="0" applyProtection="0"/>
    <xf numFmtId="43" fontId="9" fillId="0" borderId="0" applyFont="0" applyFill="0" applyBorder="0" applyAlignment="0" applyProtection="0"/>
    <xf numFmtId="0" fontId="10" fillId="4"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38" fillId="0" borderId="0" applyNumberFormat="0" applyFill="0" applyBorder="0" applyAlignment="0" applyProtection="0">
      <alignment vertical="top"/>
      <protection locked="0"/>
    </xf>
    <xf numFmtId="43" fontId="9"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9" fillId="0" borderId="0" applyFont="0" applyFill="0" applyBorder="0" applyAlignment="0" applyProtection="0"/>
    <xf numFmtId="0" fontId="10" fillId="23" borderId="7" applyNumberFormat="0" applyFont="0" applyAlignment="0" applyProtection="0"/>
    <xf numFmtId="0" fontId="9" fillId="0" borderId="0"/>
    <xf numFmtId="0" fontId="10" fillId="6" borderId="0" applyNumberFormat="0" applyBorder="0" applyAlignment="0" applyProtection="0"/>
    <xf numFmtId="43" fontId="9" fillId="0" borderId="0" applyFont="0" applyFill="0" applyBorder="0" applyAlignment="0" applyProtection="0"/>
    <xf numFmtId="0" fontId="2" fillId="38" borderId="0" applyNumberFormat="0" applyBorder="0" applyAlignment="0" applyProtection="0"/>
    <xf numFmtId="0" fontId="2" fillId="39" borderId="0" applyNumberFormat="0" applyBorder="0" applyAlignment="0" applyProtection="0"/>
    <xf numFmtId="43" fontId="9"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10" fillId="4"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10" fillId="11" borderId="0" applyNumberFormat="0" applyBorder="0" applyAlignment="0" applyProtection="0"/>
    <xf numFmtId="0" fontId="2" fillId="0" borderId="0"/>
    <xf numFmtId="0" fontId="2" fillId="36" borderId="51" applyNumberFormat="0" applyFont="0" applyAlignment="0" applyProtection="0"/>
    <xf numFmtId="0" fontId="9" fillId="0" borderId="0"/>
    <xf numFmtId="0" fontId="10" fillId="5" borderId="0" applyNumberFormat="0" applyBorder="0" applyAlignment="0" applyProtection="0"/>
    <xf numFmtId="0" fontId="10" fillId="2" borderId="0" applyNumberFormat="0" applyBorder="0" applyAlignment="0" applyProtection="0"/>
    <xf numFmtId="0" fontId="10" fillId="8" borderId="0" applyNumberFormat="0" applyBorder="0" applyAlignment="0" applyProtection="0"/>
    <xf numFmtId="0" fontId="10" fillId="5" borderId="0" applyNumberFormat="0" applyBorder="0" applyAlignment="0" applyProtection="0"/>
    <xf numFmtId="0" fontId="10" fillId="10" borderId="0" applyNumberFormat="0" applyBorder="0" applyAlignment="0" applyProtection="0"/>
    <xf numFmtId="9" fontId="2" fillId="0" borderId="0" applyFont="0" applyFill="0" applyBorder="0" applyAlignment="0" applyProtection="0"/>
    <xf numFmtId="0" fontId="10" fillId="8" borderId="0" applyNumberFormat="0" applyBorder="0" applyAlignment="0" applyProtection="0"/>
    <xf numFmtId="0" fontId="2" fillId="0" borderId="0"/>
    <xf numFmtId="43" fontId="9" fillId="0" borderId="0" applyFont="0" applyFill="0" applyBorder="0" applyAlignment="0" applyProtection="0"/>
    <xf numFmtId="0" fontId="2" fillId="36" borderId="51" applyNumberFormat="0" applyFont="0" applyAlignment="0" applyProtection="0"/>
    <xf numFmtId="0" fontId="10" fillId="9" borderId="0" applyNumberFormat="0" applyBorder="0" applyAlignment="0" applyProtection="0"/>
    <xf numFmtId="43" fontId="9" fillId="0" borderId="0" applyFont="0" applyFill="0" applyBorder="0" applyAlignment="0" applyProtection="0"/>
    <xf numFmtId="0" fontId="2" fillId="38" borderId="0" applyNumberFormat="0" applyBorder="0" applyAlignment="0" applyProtection="0"/>
    <xf numFmtId="0" fontId="2" fillId="39" borderId="0" applyNumberFormat="0" applyBorder="0" applyAlignment="0" applyProtection="0"/>
    <xf numFmtId="43" fontId="9"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10" fillId="7"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9" fillId="0" borderId="0"/>
    <xf numFmtId="0" fontId="38" fillId="0" borderId="0" applyNumberFormat="0" applyFill="0" applyBorder="0" applyAlignment="0" applyProtection="0">
      <alignment vertical="top"/>
      <protection locked="0"/>
    </xf>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98" fillId="0" borderId="0"/>
    <xf numFmtId="0" fontId="10" fillId="9" borderId="0" applyNumberFormat="0" applyBorder="0" applyAlignment="0" applyProtection="0"/>
    <xf numFmtId="0" fontId="9" fillId="0" borderId="0" applyNumberForma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 fillId="3" borderId="0" applyNumberFormat="0" applyBorder="0" applyAlignment="0" applyProtection="0"/>
    <xf numFmtId="0" fontId="2" fillId="0" borderId="0"/>
    <xf numFmtId="0" fontId="2" fillId="0" borderId="0"/>
    <xf numFmtId="0" fontId="2" fillId="0" borderId="0"/>
    <xf numFmtId="0" fontId="2" fillId="0" borderId="0"/>
    <xf numFmtId="0" fontId="105" fillId="0" borderId="95" applyNumberFormat="0" applyFill="0" applyProtection="0">
      <alignment wrapText="1"/>
    </xf>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10" fillId="8" borderId="0" applyNumberFormat="0" applyBorder="0" applyAlignment="0" applyProtection="0"/>
    <xf numFmtId="0" fontId="10" fillId="2"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6" borderId="0" applyNumberFormat="0" applyBorder="0" applyAlignment="0" applyProtection="0"/>
    <xf numFmtId="0" fontId="10" fillId="3" borderId="0" applyNumberFormat="0" applyBorder="0" applyAlignment="0" applyProtection="0"/>
    <xf numFmtId="0" fontId="43" fillId="0" borderId="0"/>
    <xf numFmtId="0" fontId="10" fillId="7" borderId="0" applyNumberFormat="0" applyBorder="0" applyAlignment="0" applyProtection="0"/>
    <xf numFmtId="0" fontId="10" fillId="11" borderId="0" applyNumberFormat="0" applyBorder="0" applyAlignment="0" applyProtection="0"/>
    <xf numFmtId="0" fontId="10" fillId="23" borderId="7" applyNumberFormat="0" applyFont="0" applyAlignment="0" applyProtection="0"/>
    <xf numFmtId="0" fontId="9" fillId="0" borderId="0"/>
    <xf numFmtId="0" fontId="10" fillId="4" borderId="0" applyNumberFormat="0" applyBorder="0" applyAlignment="0" applyProtection="0"/>
    <xf numFmtId="0" fontId="10" fillId="10" borderId="0" applyNumberFormat="0" applyBorder="0" applyAlignment="0" applyProtection="0"/>
    <xf numFmtId="0" fontId="10" fillId="9" borderId="0" applyNumberFormat="0" applyBorder="0" applyAlignment="0" applyProtection="0"/>
    <xf numFmtId="0" fontId="9" fillId="0" borderId="0" applyNumberFormat="0" applyFill="0" applyBorder="0" applyAlignment="0" applyProtection="0"/>
    <xf numFmtId="0" fontId="9"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38" fillId="0" borderId="0" applyNumberFormat="0" applyFill="0" applyBorder="0" applyAlignment="0" applyProtection="0">
      <alignment vertical="top"/>
      <protection locked="0"/>
    </xf>
    <xf numFmtId="43" fontId="9" fillId="0" borderId="0" applyFont="0" applyFill="0" applyBorder="0" applyAlignment="0" applyProtection="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100"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9"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10" fillId="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10" fillId="3"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10" fillId="4"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10" fillId="5"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10" fillId="6"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10" fillId="7"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10" fillId="8"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10" fillId="9"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10" fillId="10"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10" fillId="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10" fillId="8"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10" fillId="11"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182" fontId="9" fillId="0" borderId="0"/>
    <xf numFmtId="0" fontId="13" fillId="20" borderId="1" applyNumberFormat="0" applyAlignment="0" applyProtection="0"/>
    <xf numFmtId="0" fontId="100"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0" fontId="67" fillId="0" borderId="0" applyNumberFormat="0" applyFill="0" applyBorder="0" applyAlignment="0" applyProtection="0"/>
    <xf numFmtId="0" fontId="38" fillId="0" borderId="0" applyNumberFormat="0" applyFill="0" applyBorder="0" applyAlignment="0" applyProtection="0">
      <alignment vertical="top"/>
      <protection locked="0"/>
    </xf>
    <xf numFmtId="0" fontId="21" fillId="7" borderId="1" applyNumberFormat="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3" fillId="0" borderId="0"/>
    <xf numFmtId="0" fontId="9"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4" fillId="20" borderId="8"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9" fontId="9" fillId="0" borderId="10" applyFont="0" applyAlignment="0">
      <alignment vertical="top"/>
    </xf>
    <xf numFmtId="0" fontId="26" fillId="0" borderId="9" applyNumberFormat="0" applyFill="0" applyAlignment="0" applyProtection="0"/>
    <xf numFmtId="0" fontId="38" fillId="0" borderId="0" applyNumberFormat="0" applyFill="0" applyBorder="0" applyAlignment="0" applyProtection="0">
      <alignment vertical="top"/>
      <protection locked="0"/>
    </xf>
    <xf numFmtId="0" fontId="2" fillId="0" borderId="0"/>
    <xf numFmtId="0" fontId="13" fillId="20" borderId="1" applyNumberFormat="0" applyAlignment="0" applyProtection="0"/>
    <xf numFmtId="0" fontId="21" fillId="7" borderId="1" applyNumberFormat="0" applyAlignment="0" applyProtection="0"/>
    <xf numFmtId="0" fontId="10" fillId="23" borderId="7" applyNumberFormat="0" applyFont="0" applyAlignment="0" applyProtection="0"/>
    <xf numFmtId="0" fontId="24" fillId="20" borderId="8" applyNumberFormat="0" applyAlignment="0" applyProtection="0"/>
    <xf numFmtId="0" fontId="26" fillId="0" borderId="9" applyNumberFormat="0" applyFill="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9" fontId="9" fillId="0" borderId="10" applyFont="0" applyAlignment="0">
      <alignment vertical="top"/>
    </xf>
    <xf numFmtId="0" fontId="2" fillId="0" borderId="0"/>
    <xf numFmtId="0" fontId="2" fillId="0" borderId="0"/>
    <xf numFmtId="0" fontId="2" fillId="0" borderId="0"/>
    <xf numFmtId="0" fontId="2" fillId="0" borderId="0"/>
    <xf numFmtId="0" fontId="10" fillId="23" borderId="7"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1" fillId="7" borderId="1" applyNumberFormat="0" applyAlignment="0" applyProtection="0"/>
    <xf numFmtId="9" fontId="2" fillId="0" borderId="0" applyFont="0" applyFill="0" applyBorder="0" applyAlignment="0" applyProtection="0"/>
    <xf numFmtId="0" fontId="13" fillId="20" borderId="1" applyNumberFormat="0" applyAlignment="0" applyProtection="0"/>
    <xf numFmtId="0" fontId="2" fillId="0" borderId="0"/>
    <xf numFmtId="0" fontId="24" fillId="20" borderId="8" applyNumberFormat="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6" fillId="0" borderId="9" applyNumberFormat="0" applyFill="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9"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10" fillId="23" borderId="7" applyNumberFormat="0" applyFont="0" applyAlignment="0" applyProtection="0"/>
    <xf numFmtId="0" fontId="9"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13" fillId="20" borderId="1" applyNumberFormat="0" applyAlignment="0" applyProtection="0"/>
    <xf numFmtId="0" fontId="13" fillId="20" borderId="1"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1" fillId="7" borderId="1" applyNumberFormat="0" applyAlignment="0" applyProtection="0"/>
    <xf numFmtId="0" fontId="21" fillId="7" borderId="1"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4" fillId="20" borderId="8" applyNumberFormat="0" applyAlignment="0" applyProtection="0"/>
    <xf numFmtId="0" fontId="24" fillId="20" borderId="8"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9" fontId="9" fillId="0" borderId="10" applyFont="0" applyAlignment="0">
      <alignment vertical="top"/>
    </xf>
    <xf numFmtId="0" fontId="26" fillId="0" borderId="9" applyNumberFormat="0" applyFill="0" applyAlignment="0" applyProtection="0"/>
    <xf numFmtId="0" fontId="26" fillId="0" borderId="9" applyNumberFormat="0" applyFill="0" applyAlignment="0" applyProtection="0"/>
    <xf numFmtId="43" fontId="9" fillId="0" borderId="0" applyFont="0" applyFill="0" applyBorder="0" applyAlignment="0" applyProtection="0"/>
    <xf numFmtId="0" fontId="38"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0" fontId="10" fillId="3"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0" applyNumberFormat="0" applyFill="0" applyBorder="0" applyAlignment="0" applyProtection="0"/>
    <xf numFmtId="0" fontId="10" fillId="9" borderId="0" applyNumberFormat="0" applyBorder="0" applyAlignment="0" applyProtection="0"/>
    <xf numFmtId="43" fontId="9" fillId="0" borderId="0" applyFont="0" applyFill="0" applyBorder="0" applyAlignment="0" applyProtection="0"/>
    <xf numFmtId="0" fontId="101" fillId="0" borderId="0"/>
    <xf numFmtId="3" fontId="9" fillId="0" borderId="0"/>
    <xf numFmtId="43" fontId="9" fillId="0" borderId="0" applyFont="0" applyFill="0" applyBorder="0" applyAlignment="0" applyProtection="0"/>
    <xf numFmtId="43" fontId="9" fillId="0" borderId="0" applyFont="0" applyFill="0" applyBorder="0" applyAlignment="0" applyProtection="0"/>
    <xf numFmtId="0" fontId="10" fillId="8" borderId="0" applyNumberFormat="0" applyBorder="0" applyAlignment="0" applyProtection="0"/>
    <xf numFmtId="9" fontId="2" fillId="0" borderId="0" applyFont="0" applyFill="0" applyBorder="0" applyAlignment="0" applyProtection="0"/>
    <xf numFmtId="0" fontId="100" fillId="58" borderId="0" applyNumberFormat="0" applyBorder="0" applyAlignment="0" applyProtection="0"/>
    <xf numFmtId="43" fontId="9" fillId="0" borderId="0" applyFont="0" applyFill="0" applyBorder="0" applyAlignment="0" applyProtection="0"/>
    <xf numFmtId="0" fontId="9" fillId="0" borderId="0"/>
    <xf numFmtId="43" fontId="9" fillId="0" borderId="0" applyFont="0" applyFill="0" applyBorder="0" applyAlignment="0" applyProtection="0"/>
    <xf numFmtId="43" fontId="9" fillId="0" borderId="0" applyFont="0" applyFill="0" applyBorder="0" applyAlignment="0" applyProtection="0"/>
    <xf numFmtId="0" fontId="100" fillId="38"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0" fontId="100" fillId="42"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0" fillId="0" borderId="0"/>
    <xf numFmtId="0" fontId="9" fillId="0" borderId="0" applyNumberFormat="0" applyFill="0" applyBorder="0" applyAlignment="0" applyProtection="0"/>
    <xf numFmtId="0" fontId="9"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20" fillId="0" borderId="0" applyNumberFormat="0" applyFill="0" applyBorder="0" applyAlignment="0" applyProtection="0">
      <alignment vertical="top"/>
      <protection locked="0"/>
    </xf>
    <xf numFmtId="43" fontId="9" fillId="0" borderId="0" applyFont="0" applyFill="0" applyBorder="0" applyAlignment="0" applyProtection="0"/>
    <xf numFmtId="0" fontId="98" fillId="0" borderId="0"/>
    <xf numFmtId="43" fontId="9" fillId="0" borderId="0" applyFont="0" applyFill="0" applyBorder="0" applyAlignment="0" applyProtection="0"/>
    <xf numFmtId="43" fontId="9" fillId="0" borderId="0" applyFont="0" applyFill="0" applyBorder="0" applyAlignment="0" applyProtection="0"/>
    <xf numFmtId="0" fontId="10" fillId="23" borderId="7" applyNumberFormat="0" applyFont="0" applyAlignment="0" applyProtection="0"/>
    <xf numFmtId="43" fontId="9" fillId="0" borderId="0" applyFont="0" applyFill="0" applyBorder="0" applyAlignment="0" applyProtection="0"/>
    <xf numFmtId="0" fontId="105" fillId="0" borderId="44" applyNumberFormat="0" applyProtection="0">
      <alignment wrapText="1"/>
    </xf>
    <xf numFmtId="43" fontId="9" fillId="0" borderId="0" applyFont="0" applyFill="0" applyBorder="0" applyAlignment="0" applyProtection="0"/>
    <xf numFmtId="9" fontId="106"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5"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5" fillId="0" borderId="93" applyNumberFormat="0" applyProtection="0">
      <alignment wrapText="1"/>
    </xf>
    <xf numFmtId="43" fontId="9" fillId="0" borderId="0" applyFont="0" applyFill="0" applyBorder="0" applyAlignment="0" applyProtection="0"/>
    <xf numFmtId="0" fontId="98" fillId="0" borderId="0"/>
    <xf numFmtId="43" fontId="9" fillId="0" borderId="0" applyFont="0" applyFill="0" applyBorder="0" applyAlignment="0" applyProtection="0"/>
    <xf numFmtId="43" fontId="9" fillId="0" borderId="0" applyFont="0" applyFill="0" applyBorder="0" applyAlignment="0" applyProtection="0"/>
    <xf numFmtId="0" fontId="2" fillId="0" borderId="0"/>
    <xf numFmtId="43" fontId="9"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10" borderId="0" applyNumberFormat="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0" fontId="10" fillId="2"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2" fontId="9" fillId="0" borderId="0"/>
    <xf numFmtId="0" fontId="100" fillId="47" borderId="0" applyNumberFormat="0" applyBorder="0" applyAlignment="0" applyProtection="0"/>
    <xf numFmtId="43" fontId="9" fillId="0" borderId="0" applyFont="0" applyFill="0" applyBorder="0" applyAlignment="0" applyProtection="0"/>
    <xf numFmtId="0" fontId="100"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3" fillId="0" borderId="0" applyNumberFormat="0" applyProtection="0">
      <alignment horizontal="left"/>
    </xf>
    <xf numFmtId="0" fontId="10" fillId="11" borderId="0" applyNumberFormat="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90" applyNumberFormat="0" applyFont="0" applyProtection="0">
      <alignment wrapText="1"/>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20" fillId="0" borderId="0" applyNumberFormat="0" applyFill="0" applyBorder="0" applyAlignment="0" applyProtection="0">
      <alignment vertical="top"/>
      <protection locked="0"/>
    </xf>
    <xf numFmtId="43" fontId="9" fillId="0" borderId="0" applyFont="0" applyFill="0" applyBorder="0" applyAlignment="0" applyProtection="0"/>
    <xf numFmtId="44" fontId="10"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0" fontId="100" fillId="43"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94" applyNumberFormat="0" applyFont="0" applyFill="0" applyProtection="0">
      <alignment wrapText="1"/>
    </xf>
    <xf numFmtId="0" fontId="20"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5" borderId="0" applyNumberFormat="0" applyBorder="0" applyAlignment="0" applyProtection="0"/>
    <xf numFmtId="0" fontId="9" fillId="0" borderId="0"/>
    <xf numFmtId="0" fontId="9"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0" fillId="51" borderId="0" applyNumberFormat="0" applyBorder="0" applyAlignment="0" applyProtection="0"/>
    <xf numFmtId="0" fontId="10" fillId="8" borderId="0" applyNumberFormat="0" applyBorder="0" applyAlignment="0" applyProtection="0"/>
    <xf numFmtId="44"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8" fillId="0" borderId="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 fillId="8" borderId="0" applyNumberFormat="0" applyBorder="0" applyAlignment="0" applyProtection="0"/>
    <xf numFmtId="0" fontId="2" fillId="0" borderId="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11" borderId="0" applyNumberFormat="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 fillId="5" borderId="0" applyNumberFormat="0" applyBorder="0" applyAlignment="0" applyProtection="0"/>
    <xf numFmtId="43" fontId="9" fillId="0" borderId="0" applyFont="0" applyFill="0" applyBorder="0" applyAlignment="0" applyProtection="0"/>
    <xf numFmtId="0" fontId="98" fillId="23" borderId="7" applyNumberFormat="0" applyFont="0" applyAlignment="0" applyProtection="0"/>
    <xf numFmtId="0" fontId="108"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7" borderId="0" applyNumberFormat="0" applyBorder="0" applyAlignment="0" applyProtection="0"/>
    <xf numFmtId="43" fontId="9" fillId="0" borderId="0" applyFont="0" applyFill="0" applyBorder="0" applyAlignment="0" applyProtection="0"/>
    <xf numFmtId="0" fontId="10" fillId="8"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0" applyNumberFormat="0" applyProtection="0">
      <alignment vertical="top" wrapText="1"/>
    </xf>
    <xf numFmtId="43" fontId="9" fillId="0" borderId="0" applyFont="0" applyFill="0" applyBorder="0" applyAlignment="0" applyProtection="0"/>
    <xf numFmtId="43" fontId="9" fillId="0" borderId="0" applyFont="0" applyFill="0" applyBorder="0" applyAlignment="0" applyProtection="0"/>
    <xf numFmtId="0" fontId="100" fillId="36" borderId="51" applyNumberFormat="0" applyFont="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 fillId="0" borderId="0"/>
    <xf numFmtId="43" fontId="9" fillId="0" borderId="0" applyFont="0" applyFill="0" applyBorder="0" applyAlignment="0" applyProtection="0"/>
    <xf numFmtId="43" fontId="9" fillId="0" borderId="0" applyFont="0" applyFill="0" applyBorder="0" applyAlignment="0" applyProtection="0"/>
    <xf numFmtId="0" fontId="100" fillId="50"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0" fillId="55" borderId="0" applyNumberFormat="0" applyBorder="0" applyAlignment="0" applyProtection="0"/>
    <xf numFmtId="0" fontId="10" fillId="6" borderId="0" applyNumberFormat="0" applyBorder="0" applyAlignment="0" applyProtection="0"/>
    <xf numFmtId="43" fontId="2"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91" applyNumberFormat="0" applyProtection="0">
      <alignment vertical="top" wrapText="1"/>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2" fillId="0" borderId="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0" fontId="2" fillId="0" borderId="0"/>
    <xf numFmtId="0" fontId="10" fillId="2" borderId="0" applyNumberFormat="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6" fillId="0" borderId="0"/>
    <xf numFmtId="0" fontId="10" fillId="5" borderId="0" applyNumberFormat="0" applyBorder="0" applyAlignment="0" applyProtection="0"/>
    <xf numFmtId="0" fontId="9" fillId="0" borderId="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8" fillId="0" borderId="0"/>
    <xf numFmtId="0" fontId="100" fillId="54"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7" borderId="0" applyNumberFormat="0" applyBorder="0" applyAlignment="0" applyProtection="0"/>
    <xf numFmtId="0" fontId="9" fillId="0" borderId="96"/>
    <xf numFmtId="0" fontId="98" fillId="0" borderId="0"/>
    <xf numFmtId="0" fontId="10" fillId="6" borderId="0" applyNumberFormat="0" applyBorder="0" applyAlignment="0" applyProtection="0"/>
    <xf numFmtId="43" fontId="9" fillId="0" borderId="0" applyFont="0" applyFill="0" applyBorder="0" applyAlignment="0" applyProtection="0"/>
    <xf numFmtId="0" fontId="2" fillId="0" borderId="0"/>
    <xf numFmtId="43" fontId="2" fillId="0" borderId="0" applyFont="0" applyFill="0" applyBorder="0" applyAlignment="0" applyProtection="0"/>
    <xf numFmtId="0" fontId="10" fillId="4" borderId="0" applyNumberFormat="0" applyBorder="0" applyAlignment="0" applyProtection="0"/>
    <xf numFmtId="43" fontId="9" fillId="0" borderId="0" applyFont="0" applyFill="0" applyBorder="0" applyAlignment="0" applyProtection="0"/>
    <xf numFmtId="0" fontId="100" fillId="46" borderId="0" applyNumberFormat="0" applyBorder="0" applyAlignment="0" applyProtection="0"/>
    <xf numFmtId="43" fontId="9" fillId="0" borderId="0" applyFont="0" applyFill="0" applyBorder="0" applyAlignment="0" applyProtection="0"/>
    <xf numFmtId="44" fontId="2" fillId="0" borderId="0" applyFont="0" applyFill="0" applyBorder="0" applyAlignment="0" applyProtection="0"/>
    <xf numFmtId="0" fontId="10" fillId="3" borderId="0" applyNumberFormat="0" applyBorder="0" applyAlignment="0" applyProtection="0"/>
    <xf numFmtId="0" fontId="63"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10" fillId="10" borderId="0" applyNumberFormat="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109" fillId="0" borderId="0"/>
    <xf numFmtId="44" fontId="109" fillId="0" borderId="0" applyFont="0" applyFill="0" applyBorder="0" applyAlignment="0" applyProtection="0"/>
    <xf numFmtId="9" fontId="109"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9" fontId="9" fillId="0" borderId="0" applyFont="0" applyFill="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3" fontId="10" fillId="0" borderId="0" applyFont="0" applyFill="0" applyBorder="0" applyAlignment="0" applyProtection="0"/>
    <xf numFmtId="0" fontId="19" fillId="0" borderId="0" applyNumberFormat="0" applyFill="0" applyBorder="0" applyAlignment="0" applyProtection="0"/>
    <xf numFmtId="0" fontId="19" fillId="0" borderId="5" applyNumberFormat="0" applyFill="0" applyAlignment="0" applyProtection="0"/>
    <xf numFmtId="0" fontId="18" fillId="0" borderId="4" applyNumberFormat="0" applyFill="0" applyAlignment="0" applyProtection="0"/>
    <xf numFmtId="0" fontId="17" fillId="0" borderId="3" applyNumberFormat="0" applyFill="0" applyAlignment="0" applyProtection="0"/>
    <xf numFmtId="0" fontId="16" fillId="4" borderId="0" applyNumberFormat="0" applyBorder="0" applyAlignment="0" applyProtection="0"/>
    <xf numFmtId="0" fontId="15" fillId="0" borderId="0" applyNumberFormat="0" applyFill="0" applyBorder="0" applyAlignment="0" applyProtection="0"/>
    <xf numFmtId="0" fontId="14" fillId="21" borderId="2" applyNumberFormat="0" applyAlignment="0" applyProtection="0"/>
    <xf numFmtId="0" fontId="13" fillId="20" borderId="1" applyNumberFormat="0" applyAlignment="0" applyProtection="0"/>
    <xf numFmtId="0" fontId="12" fillId="3" borderId="0" applyNumberFormat="0" applyBorder="0" applyAlignment="0" applyProtection="0"/>
    <xf numFmtId="0" fontId="11" fillId="19" borderId="0" applyNumberFormat="0" applyBorder="0" applyAlignment="0" applyProtection="0"/>
    <xf numFmtId="0" fontId="11" fillId="14" borderId="0" applyNumberFormat="0" applyBorder="0" applyAlignment="0" applyProtection="0"/>
    <xf numFmtId="0" fontId="11" fillId="13" borderId="0" applyNumberFormat="0" applyBorder="0" applyAlignment="0" applyProtection="0"/>
    <xf numFmtId="0" fontId="11" fillId="18" borderId="0" applyNumberFormat="0" applyBorder="0" applyAlignment="0" applyProtection="0"/>
    <xf numFmtId="0" fontId="11" fillId="17" borderId="0" applyNumberFormat="0" applyBorder="0" applyAlignment="0" applyProtection="0"/>
    <xf numFmtId="0" fontId="11" fillId="16" borderId="0" applyNumberFormat="0" applyBorder="0" applyAlignment="0" applyProtection="0"/>
    <xf numFmtId="0" fontId="11" fillId="15" borderId="0" applyNumberFormat="0" applyBorder="0" applyAlignment="0" applyProtection="0"/>
    <xf numFmtId="0" fontId="11" fillId="14" borderId="0" applyNumberFormat="0" applyBorder="0" applyAlignment="0" applyProtection="0"/>
    <xf numFmtId="0" fontId="11" fillId="13" borderId="0" applyNumberFormat="0" applyBorder="0" applyAlignment="0" applyProtection="0"/>
    <xf numFmtId="0" fontId="11" fillId="10"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2" fillId="0" borderId="0"/>
    <xf numFmtId="0" fontId="2" fillId="0" borderId="0"/>
    <xf numFmtId="0" fontId="2" fillId="0" borderId="0"/>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9" fillId="0" borderId="0"/>
    <xf numFmtId="0" fontId="9" fillId="0" borderId="0"/>
    <xf numFmtId="0" fontId="2" fillId="0" borderId="0"/>
    <xf numFmtId="0" fontId="24" fillId="20" borderId="8" applyNumberFormat="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0" borderId="0"/>
    <xf numFmtId="0" fontId="2" fillId="42" borderId="0" applyNumberFormat="0" applyBorder="0" applyAlignment="0" applyProtection="0"/>
    <xf numFmtId="0" fontId="2" fillId="55" borderId="0" applyNumberFormat="0" applyBorder="0" applyAlignment="0" applyProtection="0"/>
    <xf numFmtId="0" fontId="2" fillId="0" borderId="0"/>
    <xf numFmtId="0" fontId="2" fillId="0" borderId="0"/>
    <xf numFmtId="0" fontId="2" fillId="59" borderId="0" applyNumberFormat="0" applyBorder="0" applyAlignment="0" applyProtection="0"/>
    <xf numFmtId="0" fontId="2" fillId="47"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39"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0" borderId="0"/>
    <xf numFmtId="0" fontId="2" fillId="55"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2" fillId="38" borderId="0" applyNumberFormat="0" applyBorder="0" applyAlignment="0" applyProtection="0"/>
    <xf numFmtId="0" fontId="2" fillId="0" borderId="0"/>
    <xf numFmtId="0" fontId="2" fillId="36" borderId="51" applyNumberFormat="0" applyFont="0" applyAlignment="0" applyProtection="0"/>
    <xf numFmtId="0" fontId="2" fillId="58"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51" borderId="0" applyNumberFormat="0" applyBorder="0" applyAlignment="0" applyProtection="0"/>
    <xf numFmtId="0" fontId="2" fillId="0" borderId="0"/>
    <xf numFmtId="0" fontId="2" fillId="58" borderId="0" applyNumberFormat="0" applyBorder="0" applyAlignment="0" applyProtection="0"/>
    <xf numFmtId="0" fontId="2" fillId="36" borderId="51" applyNumberFormat="0" applyFont="0" applyAlignment="0" applyProtection="0"/>
    <xf numFmtId="0" fontId="2" fillId="59" borderId="0" applyNumberFormat="0" applyBorder="0" applyAlignment="0" applyProtection="0"/>
    <xf numFmtId="0" fontId="2" fillId="42" borderId="0" applyNumberFormat="0" applyBorder="0" applyAlignment="0" applyProtection="0"/>
    <xf numFmtId="0" fontId="2" fillId="38"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0" borderId="0"/>
    <xf numFmtId="0" fontId="2" fillId="43" borderId="0" applyNumberFormat="0" applyBorder="0" applyAlignment="0" applyProtection="0"/>
    <xf numFmtId="0" fontId="2" fillId="0" borderId="0"/>
    <xf numFmtId="0" fontId="2" fillId="43" borderId="0" applyNumberFormat="0" applyBorder="0" applyAlignment="0" applyProtection="0"/>
    <xf numFmtId="0" fontId="2" fillId="47" borderId="0" applyNumberFormat="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0" fontId="2" fillId="0" borderId="0"/>
    <xf numFmtId="0" fontId="2" fillId="58"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0" fontId="2" fillId="58" borderId="0" applyNumberFormat="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59"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50"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2" fillId="0" borderId="0"/>
    <xf numFmtId="0" fontId="2" fillId="50" borderId="0" applyNumberFormat="0" applyBorder="0" applyAlignment="0" applyProtection="0"/>
    <xf numFmtId="0" fontId="2" fillId="51" borderId="0" applyNumberFormat="0" applyBorder="0" applyAlignment="0" applyProtection="0"/>
    <xf numFmtId="0" fontId="2" fillId="0" borderId="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46"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4"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42" borderId="0" applyNumberFormat="0" applyBorder="0" applyAlignment="0" applyProtection="0"/>
    <xf numFmtId="0" fontId="2" fillId="50" borderId="0" applyNumberFormat="0" applyBorder="0" applyAlignment="0" applyProtection="0"/>
    <xf numFmtId="0" fontId="2" fillId="0" borderId="0"/>
    <xf numFmtId="0" fontId="2" fillId="47" borderId="0" applyNumberFormat="0" applyBorder="0" applyAlignment="0" applyProtection="0"/>
    <xf numFmtId="0" fontId="2" fillId="46" borderId="0" applyNumberFormat="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0" borderId="0"/>
    <xf numFmtId="9" fontId="2" fillId="0" borderId="0" applyFont="0" applyFill="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54" borderId="0" applyNumberFormat="0" applyBorder="0" applyAlignment="0" applyProtection="0"/>
    <xf numFmtId="0" fontId="2" fillId="0" borderId="0"/>
    <xf numFmtId="0" fontId="2" fillId="54"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1" borderId="0" applyNumberFormat="0" applyBorder="0" applyAlignment="0" applyProtection="0"/>
    <xf numFmtId="0" fontId="2" fillId="0" borderId="0"/>
    <xf numFmtId="0" fontId="2" fillId="59" borderId="0" applyNumberFormat="0" applyBorder="0" applyAlignment="0" applyProtection="0"/>
    <xf numFmtId="0" fontId="2" fillId="50" borderId="0" applyNumberFormat="0" applyBorder="0" applyAlignment="0" applyProtection="0"/>
    <xf numFmtId="0" fontId="2" fillId="0" borderId="0"/>
    <xf numFmtId="0" fontId="2" fillId="0" borderId="0"/>
    <xf numFmtId="0" fontId="2" fillId="0" borderId="0"/>
    <xf numFmtId="0" fontId="2" fillId="50"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8"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0" borderId="0"/>
    <xf numFmtId="0" fontId="2" fillId="43"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43" borderId="0" applyNumberFormat="0" applyBorder="0" applyAlignment="0" applyProtection="0"/>
    <xf numFmtId="0" fontId="2" fillId="39"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51"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54" borderId="0" applyNumberFormat="0" applyBorder="0" applyAlignment="0" applyProtection="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55"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0" borderId="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46"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0" borderId="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51"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58" borderId="0" applyNumberFormat="0" applyBorder="0" applyAlignment="0" applyProtection="0"/>
    <xf numFmtId="0" fontId="2" fillId="43" borderId="0" applyNumberFormat="0" applyBorder="0" applyAlignment="0" applyProtection="0"/>
    <xf numFmtId="0" fontId="2" fillId="0" borderId="0"/>
    <xf numFmtId="0" fontId="2" fillId="39"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0" fontId="2" fillId="0" borderId="0"/>
    <xf numFmtId="0" fontId="2" fillId="58" borderId="0" applyNumberFormat="0" applyBorder="0" applyAlignment="0" applyProtection="0"/>
    <xf numFmtId="0" fontId="2" fillId="47" borderId="0" applyNumberFormat="0" applyBorder="0" applyAlignment="0" applyProtection="0"/>
    <xf numFmtId="0" fontId="2" fillId="55"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50" borderId="0" applyNumberFormat="0" applyBorder="0" applyAlignment="0" applyProtection="0"/>
    <xf numFmtId="0" fontId="2" fillId="38" borderId="0" applyNumberFormat="0" applyBorder="0" applyAlignment="0" applyProtection="0"/>
    <xf numFmtId="0" fontId="2" fillId="47" borderId="0" applyNumberFormat="0" applyBorder="0" applyAlignment="0" applyProtection="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0" borderId="0"/>
    <xf numFmtId="0" fontId="2" fillId="42" borderId="0" applyNumberFormat="0" applyBorder="0" applyAlignment="0" applyProtection="0"/>
    <xf numFmtId="0" fontId="2" fillId="0" borderId="0"/>
    <xf numFmtId="0" fontId="2" fillId="50" borderId="0" applyNumberFormat="0" applyBorder="0" applyAlignment="0" applyProtection="0"/>
    <xf numFmtId="0" fontId="2" fillId="58" borderId="0" applyNumberFormat="0" applyBorder="0" applyAlignment="0" applyProtection="0"/>
    <xf numFmtId="0" fontId="2" fillId="38" borderId="0" applyNumberFormat="0" applyBorder="0" applyAlignment="0" applyProtection="0"/>
    <xf numFmtId="0" fontId="2" fillId="55"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38"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8" borderId="0" applyNumberFormat="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0" borderId="0"/>
    <xf numFmtId="0" fontId="2" fillId="55" borderId="0" applyNumberFormat="0" applyBorder="0" applyAlignment="0" applyProtection="0"/>
    <xf numFmtId="0" fontId="2" fillId="43" borderId="0" applyNumberFormat="0" applyBorder="0" applyAlignment="0" applyProtection="0"/>
    <xf numFmtId="0" fontId="2" fillId="0" borderId="0"/>
    <xf numFmtId="0" fontId="2" fillId="59"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59"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58" borderId="0" applyNumberFormat="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8"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54"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58" borderId="0" applyNumberFormat="0" applyBorder="0" applyAlignment="0" applyProtection="0"/>
    <xf numFmtId="0" fontId="2" fillId="46"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5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43"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6" borderId="0" applyNumberFormat="0" applyBorder="0" applyAlignment="0" applyProtection="0"/>
    <xf numFmtId="0" fontId="2" fillId="0" borderId="0"/>
    <xf numFmtId="0" fontId="2" fillId="3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1"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0" borderId="0"/>
    <xf numFmtId="0" fontId="2" fillId="47"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0" fontId="2" fillId="59"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55" borderId="0" applyNumberFormat="0" applyBorder="0" applyAlignment="0" applyProtection="0"/>
    <xf numFmtId="0" fontId="2" fillId="36" borderId="51" applyNumberFormat="0" applyFont="0" applyAlignment="0" applyProtection="0"/>
    <xf numFmtId="0" fontId="2" fillId="54"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46"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59"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38" borderId="0" applyNumberFormat="0" applyBorder="0" applyAlignment="0" applyProtection="0"/>
    <xf numFmtId="0" fontId="2" fillId="0" borderId="0"/>
    <xf numFmtId="0" fontId="2" fillId="0" borderId="0"/>
    <xf numFmtId="0" fontId="2" fillId="51"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55"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59" borderId="0" applyNumberFormat="0" applyBorder="0" applyAlignment="0" applyProtection="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47" borderId="0" applyNumberFormat="0" applyBorder="0" applyAlignment="0" applyProtection="0"/>
    <xf numFmtId="0" fontId="2" fillId="55" borderId="0" applyNumberFormat="0" applyBorder="0" applyAlignment="0" applyProtection="0"/>
    <xf numFmtId="0" fontId="2" fillId="0" borderId="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6" borderId="51" applyNumberFormat="0" applyFont="0" applyAlignment="0" applyProtection="0"/>
    <xf numFmtId="0" fontId="2" fillId="54" borderId="0" applyNumberFormat="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36" borderId="51" applyNumberFormat="0" applyFont="0" applyAlignment="0" applyProtection="0"/>
    <xf numFmtId="0" fontId="2" fillId="0" borderId="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47"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46"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58"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6"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54" borderId="0" applyNumberFormat="0" applyBorder="0" applyAlignment="0" applyProtection="0"/>
    <xf numFmtId="0" fontId="2" fillId="0" borderId="0"/>
    <xf numFmtId="0" fontId="2" fillId="47"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39"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2"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7" borderId="0" applyNumberFormat="0" applyBorder="0" applyAlignment="0" applyProtection="0"/>
    <xf numFmtId="0" fontId="2" fillId="0" borderId="0"/>
    <xf numFmtId="0" fontId="2" fillId="59"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46" borderId="0" applyNumberFormat="0" applyBorder="0" applyAlignment="0" applyProtection="0"/>
    <xf numFmtId="0" fontId="2" fillId="0" borderId="0"/>
    <xf numFmtId="0" fontId="2" fillId="55"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59"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46"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54"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51" borderId="0" applyNumberFormat="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0" borderId="0"/>
    <xf numFmtId="0" fontId="2" fillId="47"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55"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43"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47"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59"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51"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9"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58" borderId="0" applyNumberFormat="0" applyBorder="0" applyAlignment="0" applyProtection="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42" borderId="0" applyNumberFormat="0" applyBorder="0" applyAlignment="0" applyProtection="0"/>
    <xf numFmtId="0" fontId="2" fillId="55" borderId="0" applyNumberFormat="0" applyBorder="0" applyAlignment="0" applyProtection="0"/>
    <xf numFmtId="0" fontId="2" fillId="0" borderId="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6" borderId="51" applyNumberFormat="0" applyFont="0" applyAlignment="0" applyProtection="0"/>
    <xf numFmtId="0" fontId="2" fillId="54" borderId="0" applyNumberFormat="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6" borderId="51" applyNumberFormat="0" applyFont="0" applyAlignment="0" applyProtection="0"/>
    <xf numFmtId="0" fontId="2" fillId="51" borderId="0" applyNumberFormat="0" applyBorder="0" applyAlignment="0" applyProtection="0"/>
    <xf numFmtId="0" fontId="2" fillId="36" borderId="51" applyNumberFormat="0" applyFont="0" applyAlignment="0" applyProtection="0"/>
    <xf numFmtId="0" fontId="2" fillId="0" borderId="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0" borderId="0"/>
    <xf numFmtId="0" fontId="2" fillId="50"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54" borderId="0" applyNumberFormat="0" applyBorder="0" applyAlignment="0" applyProtection="0"/>
    <xf numFmtId="0" fontId="2" fillId="38" borderId="0" applyNumberFormat="0" applyBorder="0" applyAlignment="0" applyProtection="0"/>
    <xf numFmtId="0" fontId="2" fillId="0" borderId="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46" borderId="0" applyNumberFormat="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55"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6"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0" borderId="0"/>
    <xf numFmtId="0" fontId="2" fillId="39"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38" borderId="0" applyNumberFormat="0" applyBorder="0" applyAlignment="0" applyProtection="0"/>
    <xf numFmtId="0" fontId="2" fillId="55"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36" borderId="51" applyNumberFormat="0" applyFont="0" applyAlignment="0" applyProtection="0"/>
    <xf numFmtId="0" fontId="2" fillId="42"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7" borderId="0" applyNumberFormat="0" applyBorder="0" applyAlignment="0" applyProtection="0"/>
    <xf numFmtId="0" fontId="2" fillId="0" borderId="0"/>
    <xf numFmtId="0" fontId="2" fillId="5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54"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0" borderId="0"/>
    <xf numFmtId="0" fontId="2" fillId="55" borderId="0" applyNumberFormat="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8" borderId="0" applyNumberFormat="0" applyBorder="0" applyAlignment="0" applyProtection="0"/>
    <xf numFmtId="0" fontId="2" fillId="0" borderId="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51"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9" fontId="2" fillId="0" borderId="0" applyFont="0" applyFill="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59"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59"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39"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3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8"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0" borderId="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38" borderId="0" applyNumberFormat="0" applyBorder="0" applyAlignment="0" applyProtection="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0" borderId="0" applyNumberFormat="0" applyBorder="0" applyAlignment="0" applyProtection="0"/>
    <xf numFmtId="0" fontId="2" fillId="0" borderId="0"/>
    <xf numFmtId="0" fontId="2" fillId="0" borderId="0"/>
    <xf numFmtId="0" fontId="2" fillId="51"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6"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55"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55"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38"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0" borderId="0"/>
    <xf numFmtId="0" fontId="2" fillId="50" borderId="0" applyNumberFormat="0" applyBorder="0" applyAlignment="0" applyProtection="0"/>
    <xf numFmtId="0" fontId="2" fillId="46" borderId="0" applyNumberFormat="0" applyBorder="0" applyAlignment="0" applyProtection="0"/>
    <xf numFmtId="0" fontId="2" fillId="0" borderId="0"/>
    <xf numFmtId="0" fontId="2" fillId="39" borderId="0" applyNumberFormat="0" applyBorder="0" applyAlignment="0" applyProtection="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6" borderId="51" applyNumberFormat="0" applyFont="0" applyAlignment="0" applyProtection="0"/>
    <xf numFmtId="0" fontId="2" fillId="51"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50"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0" borderId="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9" borderId="0" applyNumberFormat="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54" borderId="0" applyNumberFormat="0" applyBorder="0" applyAlignment="0" applyProtection="0"/>
    <xf numFmtId="0" fontId="2" fillId="0" borderId="0"/>
    <xf numFmtId="0" fontId="2" fillId="46"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0" borderId="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46" borderId="0" applyNumberFormat="0" applyBorder="0" applyAlignment="0" applyProtection="0"/>
    <xf numFmtId="0" fontId="2" fillId="0" borderId="0"/>
    <xf numFmtId="0" fontId="2" fillId="50" borderId="0" applyNumberFormat="0" applyBorder="0" applyAlignment="0" applyProtection="0"/>
    <xf numFmtId="0" fontId="2" fillId="39" borderId="0" applyNumberFormat="0" applyBorder="0" applyAlignment="0" applyProtection="0"/>
    <xf numFmtId="0" fontId="2" fillId="0" borderId="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9" fontId="2" fillId="0" borderId="0" applyFont="0" applyFill="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0" fontId="2" fillId="54" borderId="0" applyNumberFormat="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6" borderId="0" applyNumberFormat="0" applyBorder="0" applyAlignment="0" applyProtection="0"/>
    <xf numFmtId="0" fontId="2" fillId="0" borderId="0"/>
    <xf numFmtId="0" fontId="2" fillId="42"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58"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0" borderId="0"/>
    <xf numFmtId="0" fontId="2" fillId="54" borderId="0" applyNumberFormat="0" applyBorder="0" applyAlignment="0" applyProtection="0"/>
    <xf numFmtId="0" fontId="2" fillId="54"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46" borderId="0" applyNumberFormat="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0" borderId="0"/>
    <xf numFmtId="0" fontId="2" fillId="59"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51"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9"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2" borderId="0" applyNumberFormat="0" applyBorder="0" applyAlignment="0" applyProtection="0"/>
    <xf numFmtId="0" fontId="2" fillId="0" borderId="0"/>
    <xf numFmtId="0" fontId="2" fillId="38"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36" borderId="51" applyNumberFormat="0" applyFont="0" applyAlignment="0" applyProtection="0"/>
    <xf numFmtId="0" fontId="2" fillId="0" borderId="0"/>
    <xf numFmtId="0" fontId="2" fillId="58"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1" borderId="0" applyNumberFormat="0" applyBorder="0" applyAlignment="0" applyProtection="0"/>
    <xf numFmtId="0" fontId="2" fillId="47"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9" fontId="2" fillId="0" borderId="0" applyFont="0" applyFill="0" applyBorder="0" applyAlignment="0" applyProtection="0"/>
    <xf numFmtId="0" fontId="2" fillId="59" borderId="0" applyNumberFormat="0" applyBorder="0" applyAlignment="0" applyProtection="0"/>
    <xf numFmtId="0" fontId="2" fillId="0" borderId="0"/>
    <xf numFmtId="0" fontId="2" fillId="3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55"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42"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8" borderId="0" applyNumberFormat="0" applyBorder="0" applyAlignment="0" applyProtection="0"/>
    <xf numFmtId="0" fontId="2" fillId="0" borderId="0"/>
    <xf numFmtId="0" fontId="2" fillId="54" borderId="0" applyNumberFormat="0" applyBorder="0" applyAlignment="0" applyProtection="0"/>
    <xf numFmtId="0" fontId="2" fillId="0" borderId="0"/>
    <xf numFmtId="0" fontId="2" fillId="59" borderId="0" applyNumberFormat="0" applyBorder="0" applyAlignment="0" applyProtection="0"/>
    <xf numFmtId="0" fontId="2" fillId="55" borderId="0" applyNumberFormat="0" applyBorder="0" applyAlignment="0" applyProtection="0"/>
    <xf numFmtId="0" fontId="2" fillId="0" borderId="0"/>
    <xf numFmtId="0" fontId="2" fillId="55"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0" borderId="0"/>
    <xf numFmtId="9" fontId="2" fillId="0" borderId="0" applyFont="0" applyFill="0" applyBorder="0" applyAlignment="0" applyProtection="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4" fontId="2" fillId="0" borderId="0" applyFont="0" applyFill="0" applyBorder="0" applyAlignment="0" applyProtection="0"/>
    <xf numFmtId="0" fontId="2" fillId="58"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0" fontId="2" fillId="54"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0" borderId="0"/>
    <xf numFmtId="0" fontId="2"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5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39"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44" fontId="2" fillId="0" borderId="0" applyFont="0" applyFill="0" applyBorder="0" applyAlignment="0" applyProtection="0"/>
    <xf numFmtId="0" fontId="2" fillId="0" borderId="0"/>
    <xf numFmtId="0" fontId="2" fillId="54"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54" borderId="0" applyNumberFormat="0" applyBorder="0" applyAlignment="0" applyProtection="0"/>
    <xf numFmtId="0" fontId="2" fillId="39" borderId="0" applyNumberFormat="0" applyBorder="0" applyAlignment="0" applyProtection="0"/>
    <xf numFmtId="0" fontId="2" fillId="54"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0" borderId="0"/>
    <xf numFmtId="0" fontId="2" fillId="59" borderId="0" applyNumberFormat="0" applyBorder="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5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0" borderId="0"/>
    <xf numFmtId="0" fontId="2" fillId="42"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3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0" borderId="0"/>
    <xf numFmtId="0" fontId="2" fillId="39"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39"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42"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50"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0" fontId="2" fillId="0" borderId="0"/>
    <xf numFmtId="0" fontId="2" fillId="0" borderId="0"/>
    <xf numFmtId="0" fontId="2" fillId="58" borderId="0" applyNumberFormat="0" applyBorder="0" applyAlignment="0" applyProtection="0"/>
    <xf numFmtId="9" fontId="2" fillId="0" borderId="0" applyFont="0" applyFill="0" applyBorder="0" applyAlignment="0" applyProtection="0"/>
    <xf numFmtId="0" fontId="2" fillId="0" borderId="0"/>
    <xf numFmtId="0" fontId="2" fillId="39" borderId="0" applyNumberFormat="0" applyBorder="0" applyAlignment="0" applyProtection="0"/>
    <xf numFmtId="0" fontId="2" fillId="36" borderId="51" applyNumberFormat="0" applyFont="0" applyAlignment="0" applyProtection="0"/>
    <xf numFmtId="0" fontId="2" fillId="0" borderId="0"/>
    <xf numFmtId="0" fontId="2" fillId="0" borderId="0"/>
    <xf numFmtId="43"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38"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0" borderId="0"/>
    <xf numFmtId="0" fontId="2" fillId="58"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0" borderId="0"/>
    <xf numFmtId="0" fontId="2" fillId="0" borderId="0"/>
    <xf numFmtId="0" fontId="2" fillId="43" borderId="0" applyNumberFormat="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55" borderId="0" applyNumberFormat="0" applyBorder="0" applyAlignment="0" applyProtection="0"/>
    <xf numFmtId="0" fontId="2" fillId="38" borderId="0" applyNumberFormat="0" applyBorder="0" applyAlignment="0" applyProtection="0"/>
    <xf numFmtId="0" fontId="2" fillId="0" borderId="0"/>
    <xf numFmtId="0" fontId="2" fillId="58" borderId="0" applyNumberFormat="0" applyBorder="0" applyAlignment="0" applyProtection="0"/>
    <xf numFmtId="0" fontId="2" fillId="59" borderId="0" applyNumberFormat="0" applyBorder="0" applyAlignment="0" applyProtection="0"/>
    <xf numFmtId="0" fontId="2" fillId="51" borderId="0" applyNumberFormat="0" applyBorder="0" applyAlignment="0" applyProtection="0"/>
    <xf numFmtId="0" fontId="2" fillId="0" borderId="0"/>
    <xf numFmtId="0" fontId="2" fillId="47" borderId="0" applyNumberFormat="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43" fontId="2" fillId="0" borderId="0" applyFont="0" applyFill="0" applyBorder="0" applyAlignment="0" applyProtection="0"/>
    <xf numFmtId="0" fontId="2" fillId="51" borderId="0" applyNumberFormat="0" applyBorder="0" applyAlignment="0" applyProtection="0"/>
    <xf numFmtId="0" fontId="2" fillId="0" borderId="0"/>
    <xf numFmtId="0" fontId="2" fillId="0" borderId="0"/>
    <xf numFmtId="0" fontId="2" fillId="42"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0" borderId="0"/>
    <xf numFmtId="0" fontId="2" fillId="54"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9" borderId="0" applyNumberFormat="0" applyBorder="0" applyAlignment="0" applyProtection="0"/>
    <xf numFmtId="0" fontId="2" fillId="55" borderId="0" applyNumberFormat="0" applyBorder="0" applyAlignment="0" applyProtection="0"/>
    <xf numFmtId="0" fontId="2" fillId="0" borderId="0"/>
    <xf numFmtId="0" fontId="2" fillId="47"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38"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0" borderId="0"/>
    <xf numFmtId="44" fontId="2" fillId="0" borderId="0" applyFont="0" applyFill="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2"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46" borderId="0" applyNumberFormat="0" applyBorder="0" applyAlignment="0" applyProtection="0"/>
    <xf numFmtId="0" fontId="2" fillId="58" borderId="0" applyNumberFormat="0" applyBorder="0" applyAlignment="0" applyProtection="0"/>
    <xf numFmtId="0" fontId="2" fillId="50"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42" borderId="0" applyNumberFormat="0" applyBorder="0" applyAlignment="0" applyProtection="0"/>
    <xf numFmtId="0" fontId="2" fillId="55"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0" fontId="2" fillId="0" borderId="0"/>
    <xf numFmtId="0" fontId="2" fillId="42"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54" borderId="0" applyNumberFormat="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0" borderId="0"/>
    <xf numFmtId="0" fontId="2" fillId="47"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59" borderId="0" applyNumberFormat="0" applyBorder="0" applyAlignment="0" applyProtection="0"/>
    <xf numFmtId="0" fontId="2" fillId="0" borderId="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51"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55"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6" borderId="51" applyNumberFormat="0" applyFont="0" applyAlignment="0" applyProtection="0"/>
    <xf numFmtId="0" fontId="2" fillId="51"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38" borderId="0" applyNumberFormat="0" applyBorder="0" applyAlignment="0" applyProtection="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0" borderId="0"/>
    <xf numFmtId="0" fontId="2" fillId="39"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cellStyleXfs>
  <cellXfs count="2221">
    <xf numFmtId="0" fontId="0" fillId="0" borderId="0" xfId="0"/>
    <xf numFmtId="0" fontId="0" fillId="0" borderId="0" xfId="0"/>
    <xf numFmtId="0" fontId="26" fillId="0" borderId="0" xfId="0" applyFont="1"/>
    <xf numFmtId="0" fontId="30" fillId="0" borderId="0" xfId="0" applyFont="1"/>
    <xf numFmtId="0" fontId="29" fillId="0" borderId="0" xfId="0" applyFont="1"/>
    <xf numFmtId="0" fontId="20" fillId="0" borderId="0" xfId="39" applyAlignment="1" applyProtection="1"/>
    <xf numFmtId="8" fontId="0" fillId="0" borderId="0" xfId="0" applyNumberFormat="1"/>
    <xf numFmtId="0" fontId="0" fillId="0" borderId="13" xfId="0" applyBorder="1"/>
    <xf numFmtId="0" fontId="0" fillId="0" borderId="0" xfId="0" applyBorder="1"/>
    <xf numFmtId="0" fontId="0" fillId="0" borderId="0" xfId="0" applyFill="1" applyBorder="1"/>
    <xf numFmtId="44" fontId="0" fillId="0" borderId="0" xfId="31" applyFont="1"/>
    <xf numFmtId="0" fontId="29" fillId="0" borderId="0" xfId="0" applyFont="1" applyFill="1"/>
    <xf numFmtId="0" fontId="30" fillId="0" borderId="0" xfId="0" applyFont="1" applyFill="1" applyBorder="1"/>
    <xf numFmtId="0" fontId="30" fillId="0" borderId="0" xfId="0" applyFont="1" applyFill="1"/>
    <xf numFmtId="0" fontId="0" fillId="0" borderId="0" xfId="0" applyFill="1"/>
    <xf numFmtId="0" fontId="26" fillId="0" borderId="15" xfId="0" applyFont="1" applyBorder="1"/>
    <xf numFmtId="0" fontId="29" fillId="0" borderId="0" xfId="0" applyFont="1" applyAlignment="1">
      <alignment horizontal="right"/>
    </xf>
    <xf numFmtId="167" fontId="0" fillId="0" borderId="0" xfId="0" applyNumberFormat="1"/>
    <xf numFmtId="168" fontId="29" fillId="0" borderId="0" xfId="31" applyNumberFormat="1" applyFont="1"/>
    <xf numFmtId="0" fontId="30" fillId="0" borderId="0" xfId="0" applyFont="1" applyAlignment="1">
      <alignment horizontal="right"/>
    </xf>
    <xf numFmtId="167" fontId="26" fillId="0" borderId="0" xfId="0" applyNumberFormat="1" applyFont="1"/>
    <xf numFmtId="44" fontId="0" fillId="0" borderId="0" xfId="0" applyNumberFormat="1"/>
    <xf numFmtId="44" fontId="0" fillId="0" borderId="0" xfId="0" applyNumberFormat="1"/>
    <xf numFmtId="0" fontId="29" fillId="0" borderId="0" xfId="0" applyFont="1" applyAlignment="1">
      <alignment horizontal="left"/>
    </xf>
    <xf numFmtId="167" fontId="10" fillId="0" borderId="0" xfId="0" applyNumberFormat="1" applyFont="1"/>
    <xf numFmtId="8" fontId="10" fillId="0" borderId="0" xfId="0" applyNumberFormat="1" applyFont="1"/>
    <xf numFmtId="0" fontId="0" fillId="0" borderId="17" xfId="0" applyBorder="1"/>
    <xf numFmtId="0" fontId="35" fillId="0" borderId="16" xfId="0" applyFont="1" applyBorder="1"/>
    <xf numFmtId="8" fontId="0" fillId="0" borderId="0" xfId="0" applyNumberFormat="1" applyFill="1"/>
    <xf numFmtId="174" fontId="0" fillId="0" borderId="15" xfId="28" applyNumberFormat="1" applyFont="1" applyBorder="1"/>
    <xf numFmtId="0" fontId="10" fillId="24" borderId="0" xfId="0" applyFont="1" applyFill="1"/>
    <xf numFmtId="168" fontId="0" fillId="0" borderId="0" xfId="0" applyNumberFormat="1" applyBorder="1"/>
    <xf numFmtId="169" fontId="35" fillId="0" borderId="0" xfId="0" applyNumberFormat="1" applyFont="1"/>
    <xf numFmtId="175" fontId="28" fillId="24" borderId="0" xfId="28" applyNumberFormat="1" applyFont="1" applyFill="1"/>
    <xf numFmtId="0" fontId="0" fillId="0" borderId="24" xfId="0" applyBorder="1"/>
    <xf numFmtId="0" fontId="0" fillId="0" borderId="27" xfId="0" applyBorder="1"/>
    <xf numFmtId="0" fontId="35" fillId="0" borderId="0" xfId="0" applyFont="1" applyBorder="1"/>
    <xf numFmtId="0" fontId="35" fillId="0" borderId="15" xfId="0" applyFont="1" applyBorder="1"/>
    <xf numFmtId="0" fontId="37" fillId="0" borderId="0" xfId="0" applyFont="1"/>
    <xf numFmtId="0" fontId="9" fillId="0" borderId="0" xfId="0" applyFont="1" applyFill="1"/>
    <xf numFmtId="0" fontId="9" fillId="0" borderId="0" xfId="0" applyFont="1"/>
    <xf numFmtId="0" fontId="26" fillId="0" borderId="0" xfId="0" applyFont="1" applyBorder="1"/>
    <xf numFmtId="0" fontId="32" fillId="0" borderId="0" xfId="0" applyFont="1"/>
    <xf numFmtId="168" fontId="36" fillId="26" borderId="0" xfId="31" applyNumberFormat="1" applyFont="1" applyFill="1"/>
    <xf numFmtId="0" fontId="29" fillId="26" borderId="0" xfId="0" applyFont="1" applyFill="1" applyAlignment="1">
      <alignment horizontal="right"/>
    </xf>
    <xf numFmtId="3" fontId="36" fillId="26" borderId="0" xfId="0" applyNumberFormat="1" applyFont="1" applyFill="1"/>
    <xf numFmtId="0" fontId="0" fillId="26" borderId="0" xfId="0" applyFill="1"/>
    <xf numFmtId="0" fontId="9" fillId="0" borderId="24" xfId="0" applyFont="1" applyFill="1" applyBorder="1"/>
    <xf numFmtId="0" fontId="41" fillId="0" borderId="0" xfId="39" applyFont="1" applyAlignment="1" applyProtection="1"/>
    <xf numFmtId="9" fontId="0" fillId="0" borderId="0" xfId="48" applyFont="1"/>
    <xf numFmtId="0" fontId="9" fillId="0" borderId="0" xfId="0" applyFont="1" applyAlignment="1">
      <alignment horizontal="right"/>
    </xf>
    <xf numFmtId="0" fontId="9" fillId="0" borderId="27" xfId="0" applyFont="1" applyBorder="1"/>
    <xf numFmtId="0" fontId="0" fillId="28" borderId="0" xfId="0" applyFill="1"/>
    <xf numFmtId="0" fontId="9" fillId="28" borderId="0" xfId="0" applyFont="1" applyFill="1"/>
    <xf numFmtId="8" fontId="0" fillId="28" borderId="0" xfId="0" applyNumberFormat="1" applyFill="1"/>
    <xf numFmtId="0" fontId="9" fillId="28" borderId="0" xfId="0" applyFont="1" applyFill="1" applyBorder="1"/>
    <xf numFmtId="0" fontId="9" fillId="28" borderId="15" xfId="0" applyFont="1" applyFill="1" applyBorder="1" applyAlignment="1">
      <alignment horizontal="center"/>
    </xf>
    <xf numFmtId="0" fontId="9" fillId="28" borderId="15" xfId="0" applyFont="1" applyFill="1" applyBorder="1"/>
    <xf numFmtId="0" fontId="0" fillId="0" borderId="0" xfId="0" applyFont="1"/>
    <xf numFmtId="0" fontId="9" fillId="0" borderId="0" xfId="0" quotePrefix="1" applyFont="1" applyAlignment="1">
      <alignment horizontal="left"/>
    </xf>
    <xf numFmtId="165" fontId="0" fillId="0" borderId="0" xfId="28" applyNumberFormat="1" applyFont="1"/>
    <xf numFmtId="9" fontId="0" fillId="28" borderId="0" xfId="0" applyNumberFormat="1" applyFill="1"/>
    <xf numFmtId="165" fontId="0" fillId="28" borderId="0" xfId="28" applyNumberFormat="1" applyFont="1" applyFill="1"/>
    <xf numFmtId="0" fontId="43" fillId="0" borderId="0" xfId="39" applyFont="1" applyAlignment="1" applyProtection="1"/>
    <xf numFmtId="0" fontId="30" fillId="0" borderId="0" xfId="0" applyNumberFormat="1" applyFont="1" applyAlignment="1">
      <alignment wrapText="1"/>
    </xf>
    <xf numFmtId="3" fontId="0" fillId="28" borderId="0" xfId="0" applyNumberFormat="1" applyFill="1"/>
    <xf numFmtId="0" fontId="30" fillId="28" borderId="0" xfId="0" applyFont="1" applyFill="1" applyBorder="1"/>
    <xf numFmtId="0" fontId="30" fillId="28" borderId="15" xfId="0" applyFont="1" applyFill="1" applyBorder="1" applyAlignment="1">
      <alignment horizontal="center"/>
    </xf>
    <xf numFmtId="0" fontId="30" fillId="28" borderId="15" xfId="0" applyFont="1" applyFill="1" applyBorder="1"/>
    <xf numFmtId="0" fontId="30" fillId="29" borderId="0" xfId="0" applyFont="1" applyFill="1"/>
    <xf numFmtId="0" fontId="30" fillId="29" borderId="15" xfId="0" applyFont="1" applyFill="1" applyBorder="1" applyAlignment="1">
      <alignment horizontal="center"/>
    </xf>
    <xf numFmtId="0" fontId="30" fillId="29" borderId="15" xfId="0" applyFont="1" applyFill="1" applyBorder="1"/>
    <xf numFmtId="0" fontId="9" fillId="29" borderId="0" xfId="0" applyFont="1" applyFill="1"/>
    <xf numFmtId="0" fontId="0" fillId="29" borderId="0" xfId="0" applyFill="1"/>
    <xf numFmtId="0" fontId="30" fillId="29" borderId="15" xfId="0" applyFont="1" applyFill="1" applyBorder="1" applyAlignment="1">
      <alignment wrapText="1"/>
    </xf>
    <xf numFmtId="0" fontId="9" fillId="29" borderId="20" xfId="0" applyFont="1" applyFill="1" applyBorder="1"/>
    <xf numFmtId="0" fontId="0" fillId="29" borderId="20" xfId="0" applyFill="1" applyBorder="1"/>
    <xf numFmtId="3" fontId="0" fillId="29" borderId="20" xfId="0" applyNumberFormat="1" applyFill="1" applyBorder="1"/>
    <xf numFmtId="0" fontId="44" fillId="29" borderId="0" xfId="0" applyFont="1" applyFill="1" applyBorder="1"/>
    <xf numFmtId="0" fontId="9" fillId="0" borderId="0" xfId="0" applyFont="1" applyAlignment="1">
      <alignment horizontal="left"/>
    </xf>
    <xf numFmtId="0" fontId="39" fillId="0" borderId="0" xfId="0" applyFont="1" applyAlignment="1">
      <alignment vertical="center"/>
    </xf>
    <xf numFmtId="0" fontId="71" fillId="62" borderId="53" xfId="0" applyFont="1" applyFill="1" applyBorder="1" applyAlignment="1">
      <alignment horizontal="center" vertical="center"/>
    </xf>
    <xf numFmtId="0" fontId="71" fillId="62" borderId="54" xfId="0" applyFont="1" applyFill="1" applyBorder="1" applyAlignment="1">
      <alignment horizontal="center" vertical="center"/>
    </xf>
    <xf numFmtId="0" fontId="71" fillId="0" borderId="38" xfId="0" applyFont="1" applyBorder="1" applyAlignment="1">
      <alignment horizontal="center" vertical="center"/>
    </xf>
    <xf numFmtId="0" fontId="71" fillId="0" borderId="30" xfId="0" applyFont="1" applyBorder="1" applyAlignment="1">
      <alignment horizontal="center" vertical="center"/>
    </xf>
    <xf numFmtId="0" fontId="71" fillId="63" borderId="38" xfId="0" applyFont="1" applyFill="1" applyBorder="1" applyAlignment="1">
      <alignment horizontal="center" vertical="center"/>
    </xf>
    <xf numFmtId="0" fontId="71" fillId="63" borderId="30" xfId="0" applyFont="1" applyFill="1" applyBorder="1" applyAlignment="1">
      <alignment horizontal="center" vertical="center"/>
    </xf>
    <xf numFmtId="10" fontId="71" fillId="63" borderId="30" xfId="0" applyNumberFormat="1" applyFont="1" applyFill="1" applyBorder="1" applyAlignment="1">
      <alignment horizontal="center" vertical="center"/>
    </xf>
    <xf numFmtId="10" fontId="71" fillId="0" borderId="30" xfId="0" applyNumberFormat="1" applyFont="1" applyBorder="1" applyAlignment="1">
      <alignment horizontal="center" vertical="center"/>
    </xf>
    <xf numFmtId="169" fontId="0" fillId="0" borderId="0" xfId="0" applyNumberFormat="1"/>
    <xf numFmtId="0" fontId="0" fillId="0" borderId="0" xfId="0"/>
    <xf numFmtId="0" fontId="31" fillId="0" borderId="0" xfId="0" applyFont="1" applyFill="1"/>
    <xf numFmtId="0" fontId="30" fillId="0" borderId="0" xfId="0" applyFont="1"/>
    <xf numFmtId="0" fontId="9" fillId="0" borderId="0" xfId="0" applyFont="1"/>
    <xf numFmtId="8" fontId="0" fillId="0" borderId="0" xfId="0" applyNumberFormat="1"/>
    <xf numFmtId="0" fontId="34" fillId="0" borderId="0" xfId="0" applyFont="1"/>
    <xf numFmtId="0" fontId="9" fillId="0" borderId="0" xfId="0" applyFont="1" applyFill="1" applyBorder="1"/>
    <xf numFmtId="0" fontId="30" fillId="0" borderId="0" xfId="0" applyFont="1" applyAlignment="1">
      <alignment horizontal="center"/>
    </xf>
    <xf numFmtId="0" fontId="0" fillId="0" borderId="0" xfId="0" applyFill="1"/>
    <xf numFmtId="0" fontId="26" fillId="0" borderId="15" xfId="0" applyFont="1" applyBorder="1"/>
    <xf numFmtId="167" fontId="0" fillId="0" borderId="0" xfId="0" applyNumberFormat="1"/>
    <xf numFmtId="167" fontId="26" fillId="0" borderId="0" xfId="0" applyNumberFormat="1" applyFont="1"/>
    <xf numFmtId="44" fontId="0" fillId="0" borderId="0" xfId="0" applyNumberFormat="1"/>
    <xf numFmtId="0" fontId="9" fillId="0" borderId="0" xfId="0" applyFont="1" applyAlignment="1">
      <alignment horizontal="left"/>
    </xf>
    <xf numFmtId="167" fontId="10" fillId="0" borderId="0" xfId="0" applyNumberFormat="1" applyFont="1"/>
    <xf numFmtId="8" fontId="10" fillId="0" borderId="0" xfId="0" applyNumberFormat="1" applyFont="1"/>
    <xf numFmtId="8" fontId="9" fillId="0" borderId="0" xfId="0" applyNumberFormat="1" applyFont="1" applyFill="1" applyBorder="1"/>
    <xf numFmtId="174" fontId="0" fillId="0" borderId="15" xfId="28" applyNumberFormat="1" applyFont="1" applyBorder="1"/>
    <xf numFmtId="168" fontId="0" fillId="0" borderId="0" xfId="0" applyNumberFormat="1" applyBorder="1"/>
    <xf numFmtId="175" fontId="28" fillId="24" borderId="0" xfId="28" applyNumberFormat="1" applyFont="1" applyFill="1"/>
    <xf numFmtId="0" fontId="26" fillId="0" borderId="0" xfId="0" applyFont="1" applyBorder="1"/>
    <xf numFmtId="0" fontId="35" fillId="0" borderId="17" xfId="0" applyFont="1" applyBorder="1"/>
    <xf numFmtId="180" fontId="35" fillId="0" borderId="13" xfId="0" applyNumberFormat="1" applyFont="1" applyBorder="1"/>
    <xf numFmtId="0" fontId="35" fillId="0" borderId="13" xfId="0" applyFont="1" applyBorder="1"/>
    <xf numFmtId="180" fontId="35" fillId="0" borderId="0" xfId="0" applyNumberFormat="1" applyFont="1" applyBorder="1"/>
    <xf numFmtId="6" fontId="40" fillId="0" borderId="0" xfId="0" applyNumberFormat="1" applyFont="1" applyBorder="1"/>
    <xf numFmtId="169" fontId="35" fillId="0" borderId="0" xfId="0" applyNumberFormat="1" applyFont="1" applyBorder="1"/>
    <xf numFmtId="0" fontId="35" fillId="0" borderId="18" xfId="0" applyFont="1" applyBorder="1"/>
    <xf numFmtId="0" fontId="76" fillId="0" borderId="0" xfId="0" applyFont="1" applyFill="1"/>
    <xf numFmtId="0" fontId="76" fillId="0" borderId="0" xfId="0" applyFont="1" applyFill="1" applyAlignment="1">
      <alignment wrapText="1"/>
    </xf>
    <xf numFmtId="0" fontId="76" fillId="0" borderId="0" xfId="0" applyFont="1"/>
    <xf numFmtId="0" fontId="76" fillId="0" borderId="0" xfId="0" applyFont="1" applyFill="1" applyBorder="1"/>
    <xf numFmtId="0" fontId="76" fillId="0" borderId="0" xfId="0" applyFont="1" applyFill="1" applyBorder="1" applyAlignment="1"/>
    <xf numFmtId="0" fontId="80" fillId="0" borderId="0" xfId="0" applyFont="1" applyBorder="1" applyAlignment="1">
      <alignment horizontal="right" wrapText="1"/>
    </xf>
    <xf numFmtId="0" fontId="76" fillId="0" borderId="0" xfId="0" applyFont="1" applyBorder="1" applyAlignment="1">
      <alignment wrapText="1"/>
    </xf>
    <xf numFmtId="0" fontId="76" fillId="0" borderId="0" xfId="0" applyFont="1" applyBorder="1" applyAlignment="1"/>
    <xf numFmtId="0" fontId="78" fillId="24" borderId="21" xfId="0" applyFont="1" applyFill="1" applyBorder="1" applyAlignment="1">
      <alignment horizontal="left" wrapText="1"/>
    </xf>
    <xf numFmtId="0" fontId="76" fillId="0" borderId="10" xfId="0" applyFont="1" applyBorder="1" applyAlignment="1"/>
    <xf numFmtId="0" fontId="76" fillId="0" borderId="24" xfId="0" applyFont="1" applyFill="1" applyBorder="1" applyAlignment="1">
      <alignment wrapText="1"/>
    </xf>
    <xf numFmtId="0" fontId="76" fillId="0" borderId="10" xfId="0" applyFont="1" applyBorder="1" applyAlignment="1">
      <alignment horizontal="left"/>
    </xf>
    <xf numFmtId="0" fontId="85" fillId="26" borderId="10" xfId="0" applyFont="1" applyFill="1" applyBorder="1" applyAlignment="1">
      <alignment horizontal="center"/>
    </xf>
    <xf numFmtId="0" fontId="85" fillId="0" borderId="0" xfId="0" applyFont="1" applyBorder="1" applyAlignment="1">
      <alignment horizontal="center"/>
    </xf>
    <xf numFmtId="0" fontId="85" fillId="0" borderId="0" xfId="0" applyFont="1" applyBorder="1" applyAlignment="1">
      <alignment horizontal="left"/>
    </xf>
    <xf numFmtId="0" fontId="76" fillId="0" borderId="0" xfId="0" applyFont="1" applyBorder="1" applyAlignment="1">
      <alignment vertical="center" wrapText="1"/>
    </xf>
    <xf numFmtId="0" fontId="76" fillId="0" borderId="25" xfId="0" applyFont="1" applyFill="1" applyBorder="1" applyAlignment="1">
      <alignment wrapText="1"/>
    </xf>
    <xf numFmtId="43" fontId="76" fillId="0" borderId="0" xfId="0" applyNumberFormat="1" applyFont="1"/>
    <xf numFmtId="0" fontId="76" fillId="0" borderId="0" xfId="0" applyFont="1" applyBorder="1"/>
    <xf numFmtId="0" fontId="80" fillId="24" borderId="21" xfId="0" applyFont="1" applyFill="1" applyBorder="1" applyAlignment="1">
      <alignment horizontal="left" wrapText="1"/>
    </xf>
    <xf numFmtId="0" fontId="76" fillId="0" borderId="0" xfId="0" applyFont="1" applyFill="1" applyBorder="1" applyAlignment="1">
      <alignment wrapText="1"/>
    </xf>
    <xf numFmtId="0" fontId="76" fillId="0" borderId="10" xfId="0" applyFont="1" applyBorder="1"/>
    <xf numFmtId="0" fontId="83" fillId="72" borderId="39" xfId="0" applyFont="1" applyFill="1" applyBorder="1" applyAlignment="1">
      <alignment wrapText="1"/>
    </xf>
    <xf numFmtId="0" fontId="85" fillId="0" borderId="10" xfId="0" applyFont="1" applyBorder="1" applyAlignment="1">
      <alignment wrapText="1"/>
    </xf>
    <xf numFmtId="0" fontId="83" fillId="72" borderId="58" xfId="0" applyFont="1" applyFill="1" applyBorder="1" applyAlignment="1">
      <alignment wrapText="1"/>
    </xf>
    <xf numFmtId="0" fontId="76" fillId="0" borderId="28" xfId="0" applyFont="1" applyFill="1" applyBorder="1" applyAlignment="1">
      <alignment wrapText="1"/>
    </xf>
    <xf numFmtId="9" fontId="76" fillId="64" borderId="10" xfId="48" applyFont="1" applyFill="1" applyBorder="1"/>
    <xf numFmtId="6" fontId="76" fillId="0" borderId="0" xfId="0" applyNumberFormat="1" applyFont="1" applyFill="1" applyBorder="1" applyAlignment="1">
      <alignment wrapText="1"/>
    </xf>
    <xf numFmtId="170" fontId="76" fillId="64" borderId="10" xfId="31" applyNumberFormat="1" applyFont="1" applyFill="1" applyBorder="1"/>
    <xf numFmtId="0" fontId="86" fillId="0" borderId="0" xfId="0" applyFont="1" applyBorder="1" applyAlignment="1">
      <alignment horizontal="left"/>
    </xf>
    <xf numFmtId="164" fontId="83" fillId="0" borderId="28" xfId="29" applyNumberFormat="1" applyFont="1" applyFill="1" applyBorder="1" applyAlignment="1" applyProtection="1">
      <alignment horizontal="center" vertical="center" wrapText="1"/>
    </xf>
    <xf numFmtId="0" fontId="83" fillId="24" borderId="21" xfId="0" applyFont="1" applyFill="1" applyBorder="1" applyAlignment="1">
      <alignment wrapText="1"/>
    </xf>
    <xf numFmtId="0" fontId="83" fillId="0" borderId="22" xfId="0" applyFont="1" applyFill="1" applyBorder="1" applyAlignment="1">
      <alignment wrapText="1"/>
    </xf>
    <xf numFmtId="0" fontId="81" fillId="0" borderId="0" xfId="0" applyFont="1" applyFill="1" applyBorder="1" applyAlignment="1">
      <alignment wrapText="1"/>
    </xf>
    <xf numFmtId="0" fontId="76" fillId="0" borderId="42" xfId="0" applyFont="1" applyFill="1" applyBorder="1" applyAlignment="1">
      <alignment wrapText="1"/>
    </xf>
    <xf numFmtId="0" fontId="78" fillId="0" borderId="26" xfId="0" applyFont="1" applyFill="1" applyBorder="1" applyAlignment="1">
      <alignment horizontal="right" wrapText="1"/>
    </xf>
    <xf numFmtId="0" fontId="76" fillId="0" borderId="26" xfId="0" applyFont="1" applyFill="1" applyBorder="1" applyAlignment="1">
      <alignment wrapText="1"/>
    </xf>
    <xf numFmtId="0" fontId="76" fillId="0" borderId="26" xfId="0" applyFont="1" applyFill="1" applyBorder="1"/>
    <xf numFmtId="0" fontId="78" fillId="24" borderId="0" xfId="0" applyFont="1" applyFill="1" applyBorder="1" applyAlignment="1">
      <alignment horizontal="left" wrapText="1"/>
    </xf>
    <xf numFmtId="0" fontId="83" fillId="0" borderId="0" xfId="0" applyFont="1" applyFill="1" applyBorder="1" applyAlignment="1">
      <alignment wrapText="1"/>
    </xf>
    <xf numFmtId="0" fontId="81" fillId="0" borderId="0" xfId="0" applyFont="1" applyFill="1" applyBorder="1" applyAlignment="1">
      <alignment horizontal="left" wrapText="1"/>
    </xf>
    <xf numFmtId="165" fontId="84" fillId="0" borderId="0" xfId="28" applyNumberFormat="1" applyFont="1" applyFill="1" applyBorder="1" applyAlignment="1">
      <alignment wrapText="1"/>
    </xf>
    <xf numFmtId="0" fontId="81" fillId="0" borderId="28" xfId="0" applyFont="1" applyFill="1" applyBorder="1" applyAlignment="1">
      <alignment horizontal="left" wrapText="1"/>
    </xf>
    <xf numFmtId="0" fontId="78" fillId="0" borderId="34" xfId="0" applyFont="1" applyFill="1" applyBorder="1" applyAlignment="1">
      <alignment horizontal="right" wrapText="1"/>
    </xf>
    <xf numFmtId="0" fontId="76" fillId="0" borderId="34" xfId="0" applyFont="1" applyFill="1" applyBorder="1" applyAlignment="1">
      <alignment wrapText="1"/>
    </xf>
    <xf numFmtId="0" fontId="76" fillId="0" borderId="34" xfId="0" applyFont="1" applyFill="1" applyBorder="1"/>
    <xf numFmtId="44" fontId="76" fillId="0" borderId="27" xfId="0" applyNumberFormat="1" applyFont="1" applyFill="1" applyBorder="1"/>
    <xf numFmtId="0" fontId="81" fillId="0" borderId="28" xfId="0" applyFont="1" applyFill="1" applyBorder="1" applyAlignment="1">
      <alignment wrapText="1"/>
    </xf>
    <xf numFmtId="0" fontId="78" fillId="0" borderId="0" xfId="0" applyFont="1" applyFill="1" applyBorder="1" applyAlignment="1">
      <alignment horizontal="right" wrapText="1"/>
    </xf>
    <xf numFmtId="0" fontId="83" fillId="0" borderId="0" xfId="0" applyFont="1" applyAlignment="1">
      <alignment horizontal="center"/>
    </xf>
    <xf numFmtId="0" fontId="78" fillId="24" borderId="11" xfId="0" applyFont="1" applyFill="1" applyBorder="1" applyAlignment="1">
      <alignment horizontal="left" wrapText="1"/>
    </xf>
    <xf numFmtId="0" fontId="76" fillId="0" borderId="14" xfId="0" applyFont="1" applyBorder="1"/>
    <xf numFmtId="0" fontId="83" fillId="0" borderId="14" xfId="0" applyFont="1" applyFill="1" applyBorder="1"/>
    <xf numFmtId="0" fontId="83" fillId="0" borderId="14" xfId="0" applyFont="1" applyBorder="1" applyAlignment="1">
      <alignment horizontal="center"/>
    </xf>
    <xf numFmtId="0" fontId="88" fillId="0" borderId="13" xfId="0" applyFont="1" applyBorder="1" applyAlignment="1">
      <alignment horizontal="right" wrapText="1"/>
    </xf>
    <xf numFmtId="0" fontId="81" fillId="0" borderId="0" xfId="0" applyFont="1" applyFill="1" applyBorder="1"/>
    <xf numFmtId="170" fontId="84" fillId="0" borderId="0" xfId="0" applyNumberFormat="1" applyFont="1" applyFill="1" applyBorder="1" applyAlignment="1">
      <alignment horizontal="right"/>
    </xf>
    <xf numFmtId="6" fontId="78" fillId="0" borderId="0" xfId="0" applyNumberFormat="1" applyFont="1" applyFill="1" applyBorder="1"/>
    <xf numFmtId="42" fontId="84" fillId="0" borderId="0" xfId="0" applyNumberFormat="1" applyFont="1" applyFill="1" applyBorder="1" applyAlignment="1">
      <alignment horizontal="right"/>
    </xf>
    <xf numFmtId="0" fontId="78" fillId="0" borderId="13" xfId="0" applyFont="1" applyBorder="1" applyAlignment="1">
      <alignment horizontal="right" wrapText="1"/>
    </xf>
    <xf numFmtId="6" fontId="76" fillId="0" borderId="0" xfId="0" applyNumberFormat="1" applyFont="1" applyBorder="1"/>
    <xf numFmtId="0" fontId="83" fillId="0" borderId="0" xfId="0" applyFont="1" applyBorder="1"/>
    <xf numFmtId="0" fontId="83" fillId="0" borderId="0" xfId="0" applyFont="1" applyFill="1" applyBorder="1"/>
    <xf numFmtId="170" fontId="76" fillId="0" borderId="0" xfId="31" applyNumberFormat="1" applyFont="1" applyBorder="1"/>
    <xf numFmtId="0" fontId="78" fillId="0" borderId="17" xfId="0" applyFont="1" applyBorder="1" applyAlignment="1">
      <alignment horizontal="right" wrapText="1"/>
    </xf>
    <xf numFmtId="0" fontId="83" fillId="0" borderId="15" xfId="0" applyFont="1" applyBorder="1"/>
    <xf numFmtId="0" fontId="83" fillId="0" borderId="15" xfId="0" applyFont="1" applyFill="1" applyBorder="1"/>
    <xf numFmtId="6" fontId="83" fillId="0" borderId="15" xfId="0" applyNumberFormat="1" applyFont="1" applyBorder="1"/>
    <xf numFmtId="0" fontId="78" fillId="0" borderId="0" xfId="0" applyFont="1" applyBorder="1" applyAlignment="1">
      <alignment horizontal="right" wrapText="1"/>
    </xf>
    <xf numFmtId="166" fontId="76" fillId="0" borderId="0" xfId="0" applyNumberFormat="1" applyFont="1" applyFill="1" applyBorder="1" applyAlignment="1">
      <alignment horizontal="right"/>
    </xf>
    <xf numFmtId="0" fontId="78" fillId="0" borderId="0" xfId="0" applyFont="1" applyBorder="1"/>
    <xf numFmtId="165" fontId="76" fillId="0" borderId="0" xfId="28" applyNumberFormat="1" applyFont="1" applyBorder="1"/>
    <xf numFmtId="0" fontId="78" fillId="0" borderId="13" xfId="0" applyFont="1" applyFill="1" applyBorder="1" applyAlignment="1">
      <alignment horizontal="right" wrapText="1"/>
    </xf>
    <xf numFmtId="42" fontId="81" fillId="0" borderId="0" xfId="32" applyNumberFormat="1" applyFont="1" applyFill="1" applyBorder="1" applyAlignment="1">
      <alignment horizontal="right"/>
    </xf>
    <xf numFmtId="0" fontId="83" fillId="0" borderId="0" xfId="0" applyFont="1" applyFill="1"/>
    <xf numFmtId="0" fontId="83" fillId="0" borderId="0" xfId="0" applyFont="1" applyFill="1" applyAlignment="1">
      <alignment wrapText="1"/>
    </xf>
    <xf numFmtId="42" fontId="78" fillId="0" borderId="0" xfId="32" applyNumberFormat="1" applyFont="1" applyFill="1" applyBorder="1"/>
    <xf numFmtId="42" fontId="81" fillId="0" borderId="0" xfId="32" applyNumberFormat="1" applyFont="1" applyFill="1" applyBorder="1"/>
    <xf numFmtId="165" fontId="76" fillId="0" borderId="0" xfId="28" applyNumberFormat="1" applyFont="1" applyFill="1" applyBorder="1" applyAlignment="1">
      <alignment horizontal="right"/>
    </xf>
    <xf numFmtId="42" fontId="78" fillId="0" borderId="15" xfId="32" applyNumberFormat="1" applyFont="1" applyFill="1" applyBorder="1"/>
    <xf numFmtId="0" fontId="76" fillId="0" borderId="14" xfId="0" applyFont="1" applyFill="1" applyBorder="1"/>
    <xf numFmtId="0" fontId="83" fillId="0" borderId="14" xfId="0" applyFont="1" applyFill="1" applyBorder="1" applyAlignment="1">
      <alignment horizontal="center"/>
    </xf>
    <xf numFmtId="0" fontId="78" fillId="0" borderId="0" xfId="0" applyFont="1" applyFill="1" applyBorder="1"/>
    <xf numFmtId="0" fontId="88" fillId="0" borderId="13" xfId="0" applyFont="1" applyFill="1" applyBorder="1" applyAlignment="1">
      <alignment horizontal="right" wrapText="1"/>
    </xf>
    <xf numFmtId="0" fontId="78" fillId="0" borderId="17" xfId="0" applyFont="1" applyFill="1" applyBorder="1" applyAlignment="1">
      <alignment horizontal="right" wrapText="1"/>
    </xf>
    <xf numFmtId="0" fontId="80" fillId="0" borderId="0" xfId="0" applyFont="1" applyAlignment="1">
      <alignment horizontal="right" wrapText="1"/>
    </xf>
    <xf numFmtId="0" fontId="90" fillId="0" borderId="0" xfId="0" applyFont="1" applyBorder="1"/>
    <xf numFmtId="0" fontId="83" fillId="26" borderId="10" xfId="0" applyFont="1" applyFill="1" applyBorder="1"/>
    <xf numFmtId="0" fontId="76" fillId="0" borderId="10" xfId="0" applyFont="1" applyFill="1" applyBorder="1" applyAlignment="1">
      <alignment horizontal="left"/>
    </xf>
    <xf numFmtId="6" fontId="83" fillId="73" borderId="57" xfId="0" applyNumberFormat="1" applyFont="1" applyFill="1" applyBorder="1" applyAlignment="1">
      <alignment wrapText="1"/>
    </xf>
    <xf numFmtId="0" fontId="76" fillId="0" borderId="10" xfId="0" applyFont="1" applyBorder="1" applyAlignment="1">
      <alignment wrapText="1"/>
    </xf>
    <xf numFmtId="6" fontId="76" fillId="0" borderId="10" xfId="0" applyNumberFormat="1" applyFont="1" applyFill="1" applyBorder="1" applyAlignment="1">
      <alignment wrapText="1"/>
    </xf>
    <xf numFmtId="0" fontId="76" fillId="0" borderId="0" xfId="0" applyFont="1" applyBorder="1" applyAlignment="1">
      <alignment horizontal="center" wrapText="1"/>
    </xf>
    <xf numFmtId="0" fontId="86" fillId="0" borderId="0" xfId="0" applyFont="1" applyBorder="1" applyAlignment="1">
      <alignment horizontal="center" wrapText="1"/>
    </xf>
    <xf numFmtId="0" fontId="76" fillId="0" borderId="10" xfId="0" applyFont="1" applyBorder="1" applyAlignment="1">
      <alignment horizontal="center"/>
    </xf>
    <xf numFmtId="0" fontId="47" fillId="0" borderId="0" xfId="0" applyFont="1" applyBorder="1" applyAlignment="1">
      <alignment horizontal="center"/>
    </xf>
    <xf numFmtId="0" fontId="0" fillId="0" borderId="0" xfId="0" applyFont="1" applyBorder="1" applyAlignment="1">
      <alignment horizontal="center"/>
    </xf>
    <xf numFmtId="0" fontId="0" fillId="0" borderId="10" xfId="0" applyBorder="1"/>
    <xf numFmtId="1" fontId="0" fillId="0" borderId="0" xfId="0" applyNumberFormat="1"/>
    <xf numFmtId="0" fontId="86" fillId="0" borderId="0" xfId="0" applyFont="1" applyBorder="1" applyAlignment="1">
      <alignment wrapText="1"/>
    </xf>
    <xf numFmtId="0" fontId="0" fillId="0" borderId="0" xfId="0" applyAlignment="1">
      <alignment horizontal="center"/>
    </xf>
    <xf numFmtId="0" fontId="82" fillId="0" borderId="0" xfId="0" applyFont="1" applyFill="1" applyBorder="1"/>
    <xf numFmtId="0" fontId="82" fillId="0" borderId="0" xfId="0" applyFont="1" applyFill="1" applyBorder="1" applyAlignment="1">
      <alignment wrapText="1"/>
    </xf>
    <xf numFmtId="0" fontId="78" fillId="0" borderId="0" xfId="0" applyFont="1" applyFill="1" applyBorder="1" applyAlignment="1"/>
    <xf numFmtId="0" fontId="76" fillId="26" borderId="10" xfId="0" applyFont="1" applyFill="1" applyBorder="1" applyAlignment="1">
      <alignment horizontal="center"/>
    </xf>
    <xf numFmtId="0" fontId="0" fillId="64" borderId="10" xfId="0" applyFill="1" applyBorder="1"/>
    <xf numFmtId="0" fontId="47" fillId="0" borderId="10" xfId="0" applyFont="1" applyBorder="1"/>
    <xf numFmtId="0" fontId="0" fillId="26" borderId="10" xfId="0" applyFill="1" applyBorder="1"/>
    <xf numFmtId="0" fontId="0" fillId="26" borderId="10" xfId="0" applyFill="1" applyBorder="1" applyAlignment="1">
      <alignment horizontal="center"/>
    </xf>
    <xf numFmtId="0" fontId="0" fillId="0" borderId="0" xfId="0" applyFill="1" applyBorder="1" applyAlignment="1">
      <alignment horizontal="center"/>
    </xf>
    <xf numFmtId="0" fontId="0" fillId="0" borderId="0" xfId="0" applyBorder="1" applyAlignment="1">
      <alignment horizontal="center" wrapText="1"/>
    </xf>
    <xf numFmtId="0" fontId="0" fillId="0" borderId="0" xfId="0" applyAlignment="1">
      <alignment horizontal="right"/>
    </xf>
    <xf numFmtId="0" fontId="0" fillId="0" borderId="0" xfId="0" applyBorder="1" applyAlignment="1">
      <alignment horizontal="left"/>
    </xf>
    <xf numFmtId="0" fontId="0" fillId="0" borderId="0" xfId="0" applyBorder="1" applyAlignment="1">
      <alignment wrapText="1"/>
    </xf>
    <xf numFmtId="0" fontId="0" fillId="73" borderId="10" xfId="0" applyFill="1" applyBorder="1"/>
    <xf numFmtId="0" fontId="47" fillId="0" borderId="0" xfId="0" applyFont="1" applyBorder="1" applyAlignment="1">
      <alignment vertical="center"/>
    </xf>
    <xf numFmtId="165" fontId="0" fillId="0" borderId="10" xfId="28" applyNumberFormat="1" applyFont="1" applyBorder="1" applyAlignment="1">
      <alignment horizontal="center"/>
    </xf>
    <xf numFmtId="0" fontId="0" fillId="64" borderId="55" xfId="0" applyFill="1" applyBorder="1" applyAlignment="1">
      <alignment horizontal="center"/>
    </xf>
    <xf numFmtId="0" fontId="0" fillId="0" borderId="63" xfId="0" applyFill="1" applyBorder="1" applyAlignment="1">
      <alignment horizontal="right"/>
    </xf>
    <xf numFmtId="0" fontId="0" fillId="0" borderId="66" xfId="0" applyFill="1" applyBorder="1" applyAlignment="1">
      <alignment horizontal="right"/>
    </xf>
    <xf numFmtId="0" fontId="0" fillId="75" borderId="68" xfId="0" applyFill="1" applyBorder="1" applyAlignment="1">
      <alignment horizontal="center"/>
    </xf>
    <xf numFmtId="9" fontId="0" fillId="64" borderId="10" xfId="48" applyFont="1" applyFill="1" applyBorder="1" applyAlignment="1">
      <alignment horizontal="center"/>
    </xf>
    <xf numFmtId="170" fontId="76" fillId="0" borderId="0" xfId="31" applyNumberFormat="1" applyFont="1" applyFill="1" applyBorder="1"/>
    <xf numFmtId="173" fontId="76" fillId="0" borderId="0" xfId="48" applyNumberFormat="1" applyFont="1" applyFill="1" applyBorder="1" applyAlignment="1">
      <alignment horizontal="center"/>
    </xf>
    <xf numFmtId="1" fontId="85" fillId="73" borderId="10" xfId="0" applyNumberFormat="1" applyFont="1" applyFill="1" applyBorder="1" applyAlignment="1">
      <alignment horizontal="center"/>
    </xf>
    <xf numFmtId="0" fontId="76" fillId="0" borderId="10" xfId="0" applyFont="1" applyFill="1" applyBorder="1" applyAlignment="1">
      <alignment horizontal="left" wrapText="1"/>
    </xf>
    <xf numFmtId="0" fontId="76" fillId="0" borderId="0" xfId="0" applyNumberFormat="1" applyFont="1" applyFill="1" applyBorder="1" applyAlignment="1">
      <alignment wrapText="1"/>
    </xf>
    <xf numFmtId="1" fontId="76" fillId="73" borderId="10" xfId="0" applyNumberFormat="1" applyFont="1" applyFill="1" applyBorder="1" applyAlignment="1">
      <alignment horizontal="right" wrapText="1"/>
    </xf>
    <xf numFmtId="0" fontId="76" fillId="65" borderId="10" xfId="0" applyFont="1" applyFill="1" applyBorder="1" applyAlignment="1">
      <alignment wrapText="1"/>
    </xf>
    <xf numFmtId="0" fontId="76" fillId="66" borderId="10" xfId="0" applyFont="1" applyFill="1" applyBorder="1" applyAlignment="1">
      <alignment wrapText="1"/>
    </xf>
    <xf numFmtId="170" fontId="83" fillId="73" borderId="10" xfId="0" applyNumberFormat="1" applyFont="1" applyFill="1" applyBorder="1" applyAlignment="1">
      <alignment horizontal="right" wrapText="1"/>
    </xf>
    <xf numFmtId="0" fontId="83" fillId="67" borderId="10" xfId="0" applyFont="1" applyFill="1" applyBorder="1" applyAlignment="1">
      <alignment wrapText="1"/>
    </xf>
    <xf numFmtId="0" fontId="76" fillId="69" borderId="10" xfId="0" applyFont="1" applyFill="1" applyBorder="1" applyAlignment="1">
      <alignment wrapText="1"/>
    </xf>
    <xf numFmtId="3" fontId="85" fillId="73" borderId="10" xfId="0" applyNumberFormat="1" applyFont="1" applyFill="1" applyBorder="1" applyAlignment="1">
      <alignment horizontal="right" wrapText="1"/>
    </xf>
    <xf numFmtId="0" fontId="85" fillId="69" borderId="10" xfId="0" applyFont="1" applyFill="1" applyBorder="1" applyAlignment="1">
      <alignment wrapText="1"/>
    </xf>
    <xf numFmtId="10" fontId="76" fillId="65" borderId="10" xfId="0" applyNumberFormat="1" applyFont="1" applyFill="1" applyBorder="1" applyAlignment="1">
      <alignment wrapText="1"/>
    </xf>
    <xf numFmtId="0" fontId="85" fillId="65" borderId="10" xfId="0" applyFont="1" applyFill="1" applyBorder="1" applyAlignment="1">
      <alignment wrapText="1"/>
    </xf>
    <xf numFmtId="9" fontId="76" fillId="73" borderId="10" xfId="48" applyFont="1" applyFill="1" applyBorder="1" applyAlignment="1">
      <alignment horizontal="right" wrapText="1"/>
    </xf>
    <xf numFmtId="9" fontId="76" fillId="73" borderId="10" xfId="0" applyNumberFormat="1" applyFont="1" applyFill="1" applyBorder="1" applyAlignment="1">
      <alignment wrapText="1"/>
    </xf>
    <xf numFmtId="3" fontId="76" fillId="73" borderId="10" xfId="0" applyNumberFormat="1" applyFont="1" applyFill="1" applyBorder="1" applyAlignment="1">
      <alignment horizontal="right" wrapText="1"/>
    </xf>
    <xf numFmtId="10" fontId="76" fillId="69" borderId="10" xfId="0" applyNumberFormat="1" applyFont="1" applyFill="1" applyBorder="1" applyAlignment="1">
      <alignment horizontal="left" wrapText="1"/>
    </xf>
    <xf numFmtId="3" fontId="83" fillId="73" borderId="10" xfId="0" applyNumberFormat="1" applyFont="1" applyFill="1" applyBorder="1" applyAlignment="1">
      <alignment horizontal="right" wrapText="1"/>
    </xf>
    <xf numFmtId="10" fontId="83" fillId="69" borderId="10" xfId="0" applyNumberFormat="1" applyFont="1" applyFill="1" applyBorder="1" applyAlignment="1">
      <alignment horizontal="left" wrapText="1"/>
    </xf>
    <xf numFmtId="0" fontId="85" fillId="68" borderId="10" xfId="0" applyFont="1" applyFill="1" applyBorder="1" applyAlignment="1">
      <alignment wrapText="1"/>
    </xf>
    <xf numFmtId="0" fontId="85" fillId="70" borderId="10" xfId="0" applyFont="1" applyFill="1" applyBorder="1" applyAlignment="1">
      <alignment wrapText="1"/>
    </xf>
    <xf numFmtId="166" fontId="76" fillId="64" borderId="10" xfId="0" applyNumberFormat="1" applyFont="1" applyFill="1" applyBorder="1" applyAlignment="1">
      <alignment horizontal="right" wrapText="1"/>
    </xf>
    <xf numFmtId="0" fontId="76" fillId="71" borderId="10" xfId="0" quotePrefix="1" applyFont="1" applyFill="1" applyBorder="1" applyAlignment="1">
      <alignment wrapText="1"/>
    </xf>
    <xf numFmtId="166" fontId="76" fillId="71" borderId="10" xfId="0" applyNumberFormat="1" applyFont="1" applyFill="1" applyBorder="1" applyAlignment="1">
      <alignment horizontal="right" wrapText="1"/>
    </xf>
    <xf numFmtId="0" fontId="76" fillId="71" borderId="10" xfId="0" applyFont="1" applyFill="1" applyBorder="1" applyAlignment="1">
      <alignment wrapText="1"/>
    </xf>
    <xf numFmtId="0" fontId="47" fillId="0" borderId="0" xfId="0" applyFont="1" applyBorder="1" applyAlignment="1">
      <alignment horizontal="center" wrapText="1"/>
    </xf>
    <xf numFmtId="0" fontId="0" fillId="0" borderId="0" xfId="0" applyFont="1" applyFill="1" applyBorder="1" applyAlignment="1">
      <alignment horizontal="center"/>
    </xf>
    <xf numFmtId="0" fontId="0" fillId="0" borderId="0" xfId="0" applyFill="1" applyBorder="1" applyAlignment="1">
      <alignment horizontal="center" vertical="center"/>
    </xf>
    <xf numFmtId="0" fontId="0" fillId="0" borderId="0" xfId="0" applyFill="1" applyBorder="1" applyAlignment="1">
      <alignment horizontal="center" wrapText="1"/>
    </xf>
    <xf numFmtId="0" fontId="0" fillId="0" borderId="0" xfId="0" applyFill="1" applyBorder="1" applyAlignment="1">
      <alignment vertical="center"/>
    </xf>
    <xf numFmtId="0" fontId="47" fillId="0" borderId="0" xfId="0" applyFont="1" applyFill="1" applyBorder="1" applyAlignment="1">
      <alignment vertical="center"/>
    </xf>
    <xf numFmtId="0" fontId="0" fillId="0" borderId="0" xfId="0" applyFill="1" applyBorder="1" applyAlignment="1">
      <alignment horizontal="left" vertical="center"/>
    </xf>
    <xf numFmtId="0" fontId="47" fillId="0" borderId="0" xfId="0" applyFont="1" applyFill="1" applyBorder="1" applyAlignment="1">
      <alignment horizontal="left" vertical="center"/>
    </xf>
    <xf numFmtId="0" fontId="85" fillId="0" borderId="0" xfId="0" applyFont="1" applyBorder="1" applyAlignment="1">
      <alignment horizontal="center" wrapText="1"/>
    </xf>
    <xf numFmtId="42" fontId="76" fillId="64" borderId="10" xfId="0" applyNumberFormat="1" applyFont="1" applyFill="1" applyBorder="1" applyAlignment="1">
      <alignment horizontal="right" wrapText="1"/>
    </xf>
    <xf numFmtId="0" fontId="0" fillId="0" borderId="71" xfId="0" applyBorder="1" applyAlignment="1">
      <alignment horizontal="center" wrapText="1"/>
    </xf>
    <xf numFmtId="0" fontId="0" fillId="0" borderId="10" xfId="0" applyBorder="1" applyAlignment="1">
      <alignment horizontal="center"/>
    </xf>
    <xf numFmtId="0" fontId="47" fillId="0" borderId="0" xfId="0" applyFont="1" applyBorder="1" applyAlignment="1">
      <alignment horizontal="center"/>
    </xf>
    <xf numFmtId="0" fontId="0" fillId="26" borderId="0" xfId="0" applyFill="1" applyBorder="1"/>
    <xf numFmtId="0" fontId="9" fillId="0" borderId="10" xfId="0" applyFont="1" applyBorder="1" applyAlignment="1">
      <alignment horizontal="center" wrapText="1"/>
    </xf>
    <xf numFmtId="166" fontId="84" fillId="0" borderId="0" xfId="0" applyNumberFormat="1" applyFont="1" applyFill="1" applyBorder="1" applyAlignment="1">
      <alignment horizontal="right"/>
    </xf>
    <xf numFmtId="42" fontId="84" fillId="76" borderId="0" xfId="0" applyNumberFormat="1" applyFont="1" applyFill="1" applyBorder="1" applyAlignment="1">
      <alignment horizontal="right"/>
    </xf>
    <xf numFmtId="177" fontId="0" fillId="73" borderId="55" xfId="0" applyNumberFormat="1" applyFill="1" applyBorder="1" applyAlignment="1">
      <alignment horizontal="center"/>
    </xf>
    <xf numFmtId="44" fontId="78" fillId="0" borderId="0" xfId="32" applyNumberFormat="1" applyFont="1" applyFill="1" applyBorder="1"/>
    <xf numFmtId="0" fontId="0" fillId="0" borderId="0" xfId="0" applyFill="1" applyBorder="1" applyAlignment="1"/>
    <xf numFmtId="0" fontId="0" fillId="0" borderId="0" xfId="0" applyAlignment="1">
      <alignment horizontal="center"/>
    </xf>
    <xf numFmtId="0" fontId="0" fillId="0" borderId="0" xfId="0" applyBorder="1" applyAlignment="1"/>
    <xf numFmtId="0" fontId="0" fillId="0" borderId="0" xfId="0" applyBorder="1" applyAlignment="1">
      <alignment horizontal="right"/>
    </xf>
    <xf numFmtId="0" fontId="0" fillId="0" borderId="0" xfId="0" applyFill="1" applyBorder="1" applyAlignment="1">
      <alignment wrapText="1"/>
    </xf>
    <xf numFmtId="0" fontId="0" fillId="0" borderId="66" xfId="0" applyBorder="1" applyAlignment="1">
      <alignment horizontal="right"/>
    </xf>
    <xf numFmtId="0" fontId="0" fillId="0" borderId="66" xfId="0" applyBorder="1"/>
    <xf numFmtId="0" fontId="0" fillId="26" borderId="67" xfId="0" applyFill="1" applyBorder="1" applyAlignment="1">
      <alignment horizontal="center"/>
    </xf>
    <xf numFmtId="0" fontId="0" fillId="0" borderId="66" xfId="0" applyFill="1" applyBorder="1"/>
    <xf numFmtId="0" fontId="0" fillId="0" borderId="66" xfId="0" applyFont="1" applyBorder="1"/>
    <xf numFmtId="0" fontId="9" fillId="0" borderId="66" xfId="0" applyFont="1" applyBorder="1"/>
    <xf numFmtId="0" fontId="0" fillId="0" borderId="58" xfId="0" applyFont="1" applyFill="1" applyBorder="1" applyAlignment="1">
      <alignment horizontal="right"/>
    </xf>
    <xf numFmtId="0" fontId="0" fillId="0" borderId="66" xfId="0" applyBorder="1" applyAlignment="1">
      <alignment horizontal="left"/>
    </xf>
    <xf numFmtId="0" fontId="0" fillId="0" borderId="58" xfId="0" applyBorder="1"/>
    <xf numFmtId="0" fontId="9" fillId="0" borderId="66" xfId="0" applyFont="1" applyFill="1" applyBorder="1"/>
    <xf numFmtId="0" fontId="0" fillId="0" borderId="0" xfId="0" applyFont="1" applyFill="1" applyBorder="1" applyAlignment="1"/>
    <xf numFmtId="0" fontId="0" fillId="0" borderId="24" xfId="0" applyBorder="1" applyAlignment="1">
      <alignment horizontal="left"/>
    </xf>
    <xf numFmtId="0" fontId="0" fillId="0" borderId="27" xfId="0" applyBorder="1" applyAlignment="1">
      <alignment horizontal="right"/>
    </xf>
    <xf numFmtId="0" fontId="0" fillId="0" borderId="71" xfId="0" applyFill="1" applyBorder="1" applyAlignment="1">
      <alignment horizontal="left"/>
    </xf>
    <xf numFmtId="0" fontId="0" fillId="0" borderId="58" xfId="0" applyFill="1" applyBorder="1" applyAlignment="1">
      <alignment horizontal="left"/>
    </xf>
    <xf numFmtId="0" fontId="83" fillId="0" borderId="0" xfId="0" applyFont="1" applyBorder="1" applyAlignment="1">
      <alignment horizontal="center"/>
    </xf>
    <xf numFmtId="0" fontId="83" fillId="0" borderId="0" xfId="0" applyFont="1" applyFill="1" applyBorder="1" applyAlignment="1">
      <alignment horizontal="center"/>
    </xf>
    <xf numFmtId="0" fontId="9" fillId="26" borderId="10" xfId="0" applyFont="1" applyFill="1" applyBorder="1" applyAlignment="1">
      <alignment horizontal="center"/>
    </xf>
    <xf numFmtId="0" fontId="76" fillId="0" borderId="0" xfId="0" applyFont="1" applyBorder="1" applyAlignment="1">
      <alignment horizontal="left"/>
    </xf>
    <xf numFmtId="0" fontId="83" fillId="0" borderId="23" xfId="0" applyFont="1" applyFill="1" applyBorder="1"/>
    <xf numFmtId="0" fontId="81" fillId="0" borderId="24" xfId="0" applyFont="1" applyFill="1" applyBorder="1" applyAlignment="1">
      <alignment horizontal="left" wrapText="1"/>
    </xf>
    <xf numFmtId="0" fontId="83" fillId="0" borderId="23" xfId="0" applyFont="1" applyFill="1" applyBorder="1" applyAlignment="1">
      <alignment horizontal="center"/>
    </xf>
    <xf numFmtId="0" fontId="76" fillId="0" borderId="75" xfId="0" applyFont="1" applyFill="1" applyBorder="1" applyAlignment="1">
      <alignment wrapText="1"/>
    </xf>
    <xf numFmtId="6" fontId="83" fillId="0" borderId="22" xfId="0" applyNumberFormat="1" applyFont="1" applyFill="1" applyBorder="1" applyAlignment="1">
      <alignment wrapText="1"/>
    </xf>
    <xf numFmtId="0" fontId="83" fillId="0" borderId="65" xfId="0" applyFont="1" applyBorder="1" applyAlignment="1">
      <alignment horizontal="center"/>
    </xf>
    <xf numFmtId="0" fontId="76" fillId="0" borderId="66" xfId="0" applyFont="1" applyFill="1" applyBorder="1" applyAlignment="1">
      <alignment wrapText="1"/>
    </xf>
    <xf numFmtId="165" fontId="76" fillId="0" borderId="27" xfId="28" applyNumberFormat="1" applyFont="1" applyBorder="1"/>
    <xf numFmtId="0" fontId="76" fillId="0" borderId="58" xfId="0" applyFont="1" applyFill="1" applyBorder="1" applyAlignment="1">
      <alignment wrapText="1"/>
    </xf>
    <xf numFmtId="6" fontId="76" fillId="0" borderId="69" xfId="0" applyNumberFormat="1" applyFont="1" applyFill="1" applyBorder="1" applyAlignment="1">
      <alignment wrapText="1"/>
    </xf>
    <xf numFmtId="0" fontId="83" fillId="0" borderId="65" xfId="0" applyFont="1" applyBorder="1" applyAlignment="1">
      <alignment horizontal="center" wrapText="1"/>
    </xf>
    <xf numFmtId="8" fontId="81" fillId="73" borderId="67" xfId="0" applyNumberFormat="1" applyFont="1" applyFill="1" applyBorder="1" applyAlignment="1">
      <alignment wrapText="1" shrinkToFit="1"/>
    </xf>
    <xf numFmtId="6" fontId="81" fillId="73" borderId="67" xfId="0" applyNumberFormat="1" applyFont="1" applyFill="1" applyBorder="1" applyAlignment="1">
      <alignment wrapText="1" shrinkToFit="1"/>
    </xf>
    <xf numFmtId="171" fontId="76" fillId="73" borderId="76" xfId="29" applyNumberFormat="1" applyFont="1" applyFill="1" applyBorder="1" applyAlignment="1" applyProtection="1">
      <alignment wrapText="1"/>
    </xf>
    <xf numFmtId="0" fontId="83" fillId="0" borderId="58" xfId="0" applyFont="1" applyFill="1" applyBorder="1" applyAlignment="1">
      <alignment wrapText="1"/>
    </xf>
    <xf numFmtId="2" fontId="83" fillId="0" borderId="59" xfId="0" applyNumberFormat="1" applyFont="1" applyFill="1" applyBorder="1" applyAlignment="1">
      <alignment wrapText="1"/>
    </xf>
    <xf numFmtId="0" fontId="9" fillId="0" borderId="10" xfId="0" applyFont="1" applyBorder="1" applyAlignment="1">
      <alignment horizontal="center"/>
    </xf>
    <xf numFmtId="0" fontId="85" fillId="0" borderId="0" xfId="0" applyFont="1" applyFill="1" applyBorder="1" applyAlignment="1">
      <alignment wrapText="1"/>
    </xf>
    <xf numFmtId="9" fontId="76" fillId="0" borderId="0" xfId="48" applyFont="1" applyFill="1" applyBorder="1"/>
    <xf numFmtId="44" fontId="76" fillId="0" borderId="0" xfId="31" applyFont="1" applyFill="1" applyBorder="1"/>
    <xf numFmtId="3" fontId="85" fillId="0" borderId="0" xfId="0" applyNumberFormat="1" applyFont="1" applyFill="1" applyBorder="1" applyAlignment="1">
      <alignment horizontal="right" wrapText="1"/>
    </xf>
    <xf numFmtId="9" fontId="76" fillId="0" borderId="0" xfId="48" applyFont="1" applyFill="1" applyBorder="1" applyAlignment="1">
      <alignment horizontal="right" wrapText="1"/>
    </xf>
    <xf numFmtId="9" fontId="76" fillId="0" borderId="0" xfId="0" applyNumberFormat="1" applyFont="1" applyFill="1" applyBorder="1" applyAlignment="1">
      <alignment wrapText="1"/>
    </xf>
    <xf numFmtId="10" fontId="76" fillId="0" borderId="0" xfId="0" applyNumberFormat="1" applyFont="1" applyFill="1" applyBorder="1" applyAlignment="1">
      <alignment wrapText="1"/>
    </xf>
    <xf numFmtId="3" fontId="76" fillId="0" borderId="0" xfId="0" applyNumberFormat="1" applyFont="1" applyFill="1" applyBorder="1" applyAlignment="1">
      <alignment horizontal="right" wrapText="1"/>
    </xf>
    <xf numFmtId="10" fontId="76" fillId="0" borderId="0" xfId="0" applyNumberFormat="1" applyFont="1" applyFill="1" applyBorder="1" applyAlignment="1">
      <alignment horizontal="left" wrapText="1"/>
    </xf>
    <xf numFmtId="3" fontId="83" fillId="0" borderId="0" xfId="0" applyNumberFormat="1" applyFont="1" applyFill="1" applyBorder="1" applyAlignment="1">
      <alignment horizontal="right" wrapText="1"/>
    </xf>
    <xf numFmtId="10" fontId="83" fillId="0" borderId="0" xfId="0" applyNumberFormat="1" applyFont="1" applyFill="1" applyBorder="1" applyAlignment="1">
      <alignment horizontal="left" wrapText="1"/>
    </xf>
    <xf numFmtId="166" fontId="76" fillId="0" borderId="0" xfId="0" applyNumberFormat="1" applyFont="1" applyFill="1" applyBorder="1" applyAlignment="1">
      <alignment horizontal="right" wrapText="1"/>
    </xf>
    <xf numFmtId="0" fontId="76" fillId="0" borderId="0" xfId="0" quotePrefix="1" applyFont="1" applyFill="1" applyBorder="1" applyAlignment="1">
      <alignment wrapText="1"/>
    </xf>
    <xf numFmtId="42" fontId="76" fillId="73" borderId="10" xfId="0" applyNumberFormat="1" applyFont="1" applyFill="1" applyBorder="1" applyAlignment="1">
      <alignment horizontal="right" wrapText="1"/>
    </xf>
    <xf numFmtId="0" fontId="92" fillId="0" borderId="0" xfId="0" applyFont="1" applyFill="1" applyBorder="1" applyAlignment="1">
      <alignment wrapText="1"/>
    </xf>
    <xf numFmtId="0" fontId="91" fillId="0" borderId="0" xfId="0" applyFont="1" applyFill="1" applyBorder="1" applyAlignment="1">
      <alignment wrapText="1"/>
    </xf>
    <xf numFmtId="44" fontId="76" fillId="64" borderId="10" xfId="31" applyNumberFormat="1" applyFont="1" applyFill="1" applyBorder="1"/>
    <xf numFmtId="0" fontId="47" fillId="0" borderId="0" xfId="0" applyFont="1" applyFill="1" applyBorder="1" applyAlignment="1">
      <alignment horizontal="center" wrapText="1"/>
    </xf>
    <xf numFmtId="9" fontId="0" fillId="75" borderId="55" xfId="48" applyFont="1" applyFill="1" applyBorder="1" applyAlignment="1">
      <alignment horizontal="center"/>
    </xf>
    <xf numFmtId="9" fontId="0" fillId="0" borderId="0" xfId="48" applyFont="1" applyFill="1" applyBorder="1" applyAlignment="1">
      <alignment horizontal="center"/>
    </xf>
    <xf numFmtId="2" fontId="83" fillId="0" borderId="0" xfId="0" applyNumberFormat="1" applyFont="1" applyFill="1" applyBorder="1" applyAlignment="1">
      <alignment wrapText="1"/>
    </xf>
    <xf numFmtId="170" fontId="0" fillId="0" borderId="55" xfId="31" applyNumberFormat="1" applyFont="1" applyBorder="1"/>
    <xf numFmtId="170" fontId="0" fillId="0" borderId="0" xfId="31" applyNumberFormat="1" applyFont="1" applyBorder="1"/>
    <xf numFmtId="0" fontId="47" fillId="0" borderId="27" xfId="0" applyFont="1" applyBorder="1" applyAlignment="1">
      <alignment vertical="center"/>
    </xf>
    <xf numFmtId="0" fontId="76" fillId="0" borderId="27" xfId="0" applyFont="1" applyBorder="1"/>
    <xf numFmtId="0" fontId="76" fillId="0" borderId="30" xfId="0" applyFont="1" applyBorder="1"/>
    <xf numFmtId="0" fontId="76" fillId="0" borderId="67" xfId="0" applyFont="1" applyBorder="1" applyAlignment="1">
      <alignment horizontal="center"/>
    </xf>
    <xf numFmtId="165" fontId="81" fillId="0" borderId="0" xfId="28" applyNumberFormat="1" applyFont="1" applyFill="1" applyBorder="1" applyAlignment="1">
      <alignment horizontal="right"/>
    </xf>
    <xf numFmtId="0" fontId="47" fillId="0" borderId="0" xfId="0" applyFont="1" applyBorder="1" applyAlignment="1"/>
    <xf numFmtId="0" fontId="76" fillId="0" borderId="20" xfId="0" applyFont="1" applyBorder="1" applyAlignment="1">
      <alignment horizontal="left"/>
    </xf>
    <xf numFmtId="0" fontId="30" fillId="0" borderId="10" xfId="0" applyFont="1" applyBorder="1" applyAlignment="1">
      <alignment horizontal="center"/>
    </xf>
    <xf numFmtId="0" fontId="76" fillId="0" borderId="0" xfId="0" applyFont="1" applyBorder="1" applyAlignment="1">
      <alignment horizontal="left"/>
    </xf>
    <xf numFmtId="170" fontId="0" fillId="73" borderId="10" xfId="31" applyNumberFormat="1" applyFont="1" applyFill="1" applyBorder="1"/>
    <xf numFmtId="0" fontId="0" fillId="0" borderId="24" xfId="0" applyBorder="1" applyAlignment="1">
      <alignment horizontal="right" wrapText="1"/>
    </xf>
    <xf numFmtId="0" fontId="9" fillId="0" borderId="66" xfId="0" applyFont="1" applyFill="1" applyBorder="1" applyAlignment="1">
      <alignment horizontal="right"/>
    </xf>
    <xf numFmtId="170" fontId="0" fillId="64" borderId="69" xfId="31" applyNumberFormat="1" applyFont="1" applyFill="1" applyBorder="1"/>
    <xf numFmtId="0" fontId="76" fillId="65" borderId="67" xfId="0" applyFont="1" applyFill="1" applyBorder="1" applyAlignment="1">
      <alignment wrapText="1"/>
    </xf>
    <xf numFmtId="0" fontId="76" fillId="66" borderId="67" xfId="0" applyFont="1" applyFill="1" applyBorder="1" applyAlignment="1">
      <alignment wrapText="1"/>
    </xf>
    <xf numFmtId="0" fontId="83" fillId="67" borderId="67" xfId="0" applyFont="1" applyFill="1" applyBorder="1" applyAlignment="1">
      <alignment wrapText="1"/>
    </xf>
    <xf numFmtId="0" fontId="76" fillId="69" borderId="67" xfId="0" applyFont="1" applyFill="1" applyBorder="1" applyAlignment="1">
      <alignment wrapText="1"/>
    </xf>
    <xf numFmtId="0" fontId="85" fillId="69" borderId="67" xfId="0" applyFont="1" applyFill="1" applyBorder="1" applyAlignment="1">
      <alignment wrapText="1"/>
    </xf>
    <xf numFmtId="0" fontId="76" fillId="0" borderId="72" xfId="0" applyFont="1" applyBorder="1" applyAlignment="1">
      <alignment horizontal="left"/>
    </xf>
    <xf numFmtId="0" fontId="85" fillId="70" borderId="67" xfId="0" applyFont="1" applyFill="1" applyBorder="1" applyAlignment="1">
      <alignment wrapText="1"/>
    </xf>
    <xf numFmtId="0" fontId="76" fillId="71" borderId="67" xfId="0" quotePrefix="1" applyFont="1" applyFill="1" applyBorder="1" applyAlignment="1">
      <alignment wrapText="1"/>
    </xf>
    <xf numFmtId="0" fontId="76" fillId="71" borderId="67" xfId="0" applyFont="1" applyFill="1" applyBorder="1" applyAlignment="1">
      <alignment wrapText="1"/>
    </xf>
    <xf numFmtId="0" fontId="76" fillId="65" borderId="59" xfId="0" applyFont="1" applyFill="1" applyBorder="1" applyAlignment="1">
      <alignment wrapText="1"/>
    </xf>
    <xf numFmtId="0" fontId="81" fillId="0" borderId="13" xfId="0" applyFont="1" applyFill="1" applyBorder="1" applyAlignment="1">
      <alignment horizontal="right" wrapText="1"/>
    </xf>
    <xf numFmtId="6" fontId="81" fillId="0" borderId="0" xfId="0" applyNumberFormat="1" applyFont="1" applyFill="1" applyBorder="1"/>
    <xf numFmtId="44" fontId="81" fillId="0" borderId="0" xfId="32" applyNumberFormat="1" applyFont="1" applyFill="1" applyBorder="1"/>
    <xf numFmtId="44" fontId="76" fillId="0" borderId="0" xfId="0" applyNumberFormat="1" applyFont="1" applyBorder="1"/>
    <xf numFmtId="0" fontId="76" fillId="0" borderId="24" xfId="0" applyFont="1" applyFill="1" applyBorder="1" applyAlignment="1"/>
    <xf numFmtId="0" fontId="76" fillId="0" borderId="25" xfId="0" applyFont="1" applyFill="1" applyBorder="1" applyAlignment="1"/>
    <xf numFmtId="0" fontId="76" fillId="0" borderId="28" xfId="0" applyFont="1" applyFill="1" applyBorder="1"/>
    <xf numFmtId="9" fontId="76" fillId="0" borderId="28" xfId="48" applyFont="1" applyFill="1" applyBorder="1"/>
    <xf numFmtId="0" fontId="76" fillId="0" borderId="28" xfId="0" applyFont="1" applyBorder="1" applyAlignment="1"/>
    <xf numFmtId="0" fontId="76" fillId="0" borderId="28" xfId="0" applyFont="1" applyBorder="1"/>
    <xf numFmtId="43" fontId="76" fillId="0" borderId="0" xfId="28" applyFont="1" applyBorder="1"/>
    <xf numFmtId="44" fontId="76" fillId="0" borderId="0" xfId="31" applyNumberFormat="1" applyFont="1" applyFill="1" applyBorder="1"/>
    <xf numFmtId="1" fontId="0" fillId="0" borderId="0" xfId="0" applyNumberFormat="1" applyFill="1" applyBorder="1" applyAlignment="1">
      <alignment horizontal="center"/>
    </xf>
    <xf numFmtId="1" fontId="76" fillId="0" borderId="0" xfId="0" applyNumberFormat="1" applyFont="1" applyFill="1" applyBorder="1" applyAlignment="1">
      <alignment horizontal="center"/>
    </xf>
    <xf numFmtId="1" fontId="0" fillId="0" borderId="0" xfId="0" applyNumberFormat="1" applyFill="1" applyBorder="1"/>
    <xf numFmtId="165" fontId="0" fillId="0" borderId="0" xfId="28" applyNumberFormat="1" applyFont="1" applyFill="1" applyBorder="1"/>
    <xf numFmtId="43" fontId="0" fillId="0" borderId="0" xfId="28" applyFont="1" applyFill="1" applyBorder="1" applyAlignment="1">
      <alignment horizontal="center"/>
    </xf>
    <xf numFmtId="1" fontId="0" fillId="0" borderId="0" xfId="31" applyNumberFormat="1" applyFont="1" applyFill="1" applyBorder="1"/>
    <xf numFmtId="170" fontId="0" fillId="0" borderId="0" xfId="31" applyNumberFormat="1" applyFont="1" applyFill="1" applyBorder="1"/>
    <xf numFmtId="44" fontId="0" fillId="0" borderId="0" xfId="31" applyFont="1" applyFill="1" applyBorder="1"/>
    <xf numFmtId="0" fontId="9" fillId="0" borderId="66" xfId="0" applyFont="1" applyFill="1" applyBorder="1" applyAlignment="1">
      <alignment horizontal="left" wrapText="1"/>
    </xf>
    <xf numFmtId="0" fontId="0" fillId="0" borderId="66" xfId="0" applyFill="1" applyBorder="1" applyAlignment="1">
      <alignment horizontal="left"/>
    </xf>
    <xf numFmtId="0" fontId="76" fillId="0" borderId="66" xfId="0" applyFont="1" applyFill="1" applyBorder="1"/>
    <xf numFmtId="0" fontId="0" fillId="0" borderId="77" xfId="0" applyFill="1" applyBorder="1" applyAlignment="1">
      <alignment horizontal="left"/>
    </xf>
    <xf numFmtId="170" fontId="0" fillId="64" borderId="10" xfId="31" applyNumberFormat="1" applyFont="1" applyFill="1" applyBorder="1" applyAlignment="1">
      <alignment horizontal="center"/>
    </xf>
    <xf numFmtId="170" fontId="0" fillId="64" borderId="55" xfId="31" applyNumberFormat="1" applyFont="1" applyFill="1" applyBorder="1" applyAlignment="1">
      <alignment horizontal="center"/>
    </xf>
    <xf numFmtId="170" fontId="0" fillId="64" borderId="68" xfId="31" applyNumberFormat="1" applyFont="1" applyFill="1" applyBorder="1" applyAlignment="1">
      <alignment horizontal="center"/>
    </xf>
    <xf numFmtId="170" fontId="0" fillId="64" borderId="68" xfId="31" applyNumberFormat="1" applyFont="1" applyFill="1" applyBorder="1"/>
    <xf numFmtId="170" fontId="0" fillId="64" borderId="69" xfId="31" applyNumberFormat="1" applyFont="1" applyFill="1" applyBorder="1" applyAlignment="1">
      <alignment horizontal="center"/>
    </xf>
    <xf numFmtId="170" fontId="76" fillId="64" borderId="67" xfId="31" applyNumberFormat="1" applyFont="1" applyFill="1" applyBorder="1"/>
    <xf numFmtId="170" fontId="76" fillId="0" borderId="0" xfId="0" applyNumberFormat="1" applyFont="1"/>
    <xf numFmtId="0" fontId="85" fillId="0" borderId="0" xfId="0" applyFont="1" applyFill="1" applyBorder="1" applyAlignment="1">
      <alignment horizontal="center"/>
    </xf>
    <xf numFmtId="165" fontId="92" fillId="0" borderId="0" xfId="28" applyNumberFormat="1" applyFont="1" applyFill="1" applyBorder="1" applyAlignment="1">
      <alignment horizontal="center"/>
    </xf>
    <xf numFmtId="166" fontId="92" fillId="0" borderId="0" xfId="0" applyNumberFormat="1" applyFont="1" applyFill="1" applyBorder="1" applyAlignment="1">
      <alignment horizontal="right" wrapText="1"/>
    </xf>
    <xf numFmtId="0" fontId="93" fillId="0" borderId="0" xfId="0" applyFont="1" applyFill="1" applyBorder="1" applyAlignment="1">
      <alignment wrapText="1"/>
    </xf>
    <xf numFmtId="170" fontId="92" fillId="0" borderId="0" xfId="31" applyNumberFormat="1" applyFont="1" applyFill="1" applyBorder="1" applyAlignment="1">
      <alignment horizontal="right" wrapText="1"/>
    </xf>
    <xf numFmtId="0" fontId="92" fillId="0" borderId="0" xfId="0" quotePrefix="1" applyFont="1" applyFill="1" applyBorder="1" applyAlignment="1">
      <alignment wrapText="1"/>
    </xf>
    <xf numFmtId="170" fontId="76" fillId="0" borderId="0" xfId="0" applyNumberFormat="1" applyFont="1" applyBorder="1"/>
    <xf numFmtId="8" fontId="76" fillId="0" borderId="0" xfId="0" applyNumberFormat="1" applyFont="1" applyFill="1" applyBorder="1"/>
    <xf numFmtId="0" fontId="9" fillId="0" borderId="17" xfId="0" applyFont="1" applyBorder="1" applyAlignment="1">
      <alignment horizontal="center" vertical="center" wrapText="1"/>
    </xf>
    <xf numFmtId="165" fontId="0" fillId="73" borderId="10" xfId="28" applyNumberFormat="1" applyFont="1" applyFill="1" applyBorder="1" applyAlignment="1">
      <alignment horizontal="center"/>
    </xf>
    <xf numFmtId="0" fontId="9" fillId="0" borderId="71" xfId="0" applyFont="1" applyBorder="1" applyAlignment="1">
      <alignment horizontal="center" vertical="center" wrapText="1"/>
    </xf>
    <xf numFmtId="0" fontId="9" fillId="0" borderId="68" xfId="0" applyFont="1" applyBorder="1" applyAlignment="1">
      <alignment horizontal="center" vertical="center" wrapText="1"/>
    </xf>
    <xf numFmtId="0" fontId="9" fillId="0" borderId="24" xfId="0" applyFont="1" applyBorder="1"/>
    <xf numFmtId="0" fontId="9" fillId="0" borderId="25" xfId="0" applyFont="1" applyFill="1" applyBorder="1"/>
    <xf numFmtId="0" fontId="30" fillId="0" borderId="10" xfId="0" applyFont="1" applyBorder="1" applyAlignment="1">
      <alignment horizontal="center" wrapText="1"/>
    </xf>
    <xf numFmtId="0" fontId="0" fillId="0" borderId="0" xfId="0" applyFill="1" applyBorder="1" applyAlignment="1">
      <alignment horizontal="center"/>
    </xf>
    <xf numFmtId="0" fontId="76" fillId="0" borderId="0" xfId="0" applyFont="1" applyFill="1" applyBorder="1" applyAlignment="1">
      <alignment vertical="center" wrapText="1"/>
    </xf>
    <xf numFmtId="0" fontId="86" fillId="0" borderId="0" xfId="0" applyFont="1" applyFill="1" applyBorder="1" applyAlignment="1">
      <alignment wrapText="1"/>
    </xf>
    <xf numFmtId="0" fontId="86" fillId="0" borderId="0" xfId="0" applyFont="1" applyFill="1" applyBorder="1" applyAlignment="1">
      <alignment horizontal="center" wrapText="1"/>
    </xf>
    <xf numFmtId="165" fontId="76" fillId="0" borderId="0" xfId="28" applyNumberFormat="1" applyFont="1" applyFill="1" applyBorder="1" applyAlignment="1">
      <alignment horizontal="right" wrapText="1"/>
    </xf>
    <xf numFmtId="44" fontId="76" fillId="0" borderId="0" xfId="31" applyFont="1" applyFill="1" applyBorder="1" applyAlignment="1">
      <alignment wrapText="1"/>
    </xf>
    <xf numFmtId="170" fontId="76" fillId="0" borderId="0" xfId="31" applyNumberFormat="1" applyFont="1" applyFill="1" applyBorder="1" applyAlignment="1">
      <alignment horizontal="right" wrapText="1"/>
    </xf>
    <xf numFmtId="44" fontId="76" fillId="0" borderId="0" xfId="0" applyNumberFormat="1" applyFont="1" applyFill="1" applyBorder="1"/>
    <xf numFmtId="0" fontId="85" fillId="0" borderId="0" xfId="0" applyNumberFormat="1" applyFont="1" applyFill="1" applyBorder="1" applyAlignment="1">
      <alignment vertical="center"/>
    </xf>
    <xf numFmtId="0" fontId="76" fillId="0" borderId="0" xfId="0" quotePrefix="1" applyFont="1" applyFill="1" applyBorder="1"/>
    <xf numFmtId="0" fontId="91" fillId="0" borderId="0" xfId="0" applyFont="1" applyFill="1" applyBorder="1" applyAlignment="1">
      <alignment horizontal="center"/>
    </xf>
    <xf numFmtId="0" fontId="85" fillId="0" borderId="0" xfId="0" applyFont="1" applyFill="1" applyBorder="1" applyAlignment="1">
      <alignment horizontal="center" wrapText="1"/>
    </xf>
    <xf numFmtId="44" fontId="92" fillId="0" borderId="0" xfId="0" applyNumberFormat="1" applyFont="1" applyFill="1" applyBorder="1" applyAlignment="1">
      <alignment horizontal="center"/>
    </xf>
    <xf numFmtId="44" fontId="92" fillId="0" borderId="0" xfId="31" applyFont="1" applyFill="1" applyBorder="1" applyAlignment="1">
      <alignment horizontal="center"/>
    </xf>
    <xf numFmtId="9" fontId="35" fillId="0" borderId="0" xfId="48" applyFont="1" applyBorder="1"/>
    <xf numFmtId="165" fontId="0" fillId="0" borderId="0" xfId="28" applyNumberFormat="1" applyFont="1" applyBorder="1"/>
    <xf numFmtId="170" fontId="0" fillId="0" borderId="0" xfId="31" applyNumberFormat="1" applyFont="1" applyFill="1" applyBorder="1" applyAlignment="1">
      <alignment horizontal="center"/>
    </xf>
    <xf numFmtId="0" fontId="0" fillId="0" borderId="0" xfId="0" applyFill="1" applyBorder="1" applyAlignment="1">
      <alignment horizontal="left"/>
    </xf>
    <xf numFmtId="0" fontId="9" fillId="0" borderId="0" xfId="0" applyFont="1" applyFill="1" applyBorder="1" applyAlignment="1">
      <alignment horizontal="center"/>
    </xf>
    <xf numFmtId="0" fontId="0" fillId="0" borderId="0" xfId="0" applyFill="1" applyBorder="1" applyAlignment="1">
      <alignment horizontal="right"/>
    </xf>
    <xf numFmtId="44" fontId="0" fillId="0" borderId="0" xfId="31" applyFont="1" applyFill="1" applyBorder="1" applyAlignment="1">
      <alignment horizontal="center"/>
    </xf>
    <xf numFmtId="0" fontId="47" fillId="0" borderId="0" xfId="0" applyFont="1" applyFill="1" applyBorder="1" applyAlignment="1"/>
    <xf numFmtId="165" fontId="0" fillId="0" borderId="0" xfId="28" applyNumberFormat="1" applyFont="1" applyFill="1" applyBorder="1" applyAlignment="1">
      <alignment horizontal="center"/>
    </xf>
    <xf numFmtId="177" fontId="0" fillId="0" borderId="0" xfId="0" applyNumberFormat="1" applyFill="1" applyBorder="1" applyAlignment="1">
      <alignment horizontal="center"/>
    </xf>
    <xf numFmtId="44" fontId="0" fillId="0" borderId="0" xfId="0" applyNumberFormat="1" applyFill="1" applyBorder="1" applyAlignment="1">
      <alignment horizontal="center"/>
    </xf>
    <xf numFmtId="170" fontId="76" fillId="0" borderId="0" xfId="0" applyNumberFormat="1" applyFont="1" applyFill="1" applyBorder="1"/>
    <xf numFmtId="44" fontId="83" fillId="0" borderId="0" xfId="0" applyNumberFormat="1" applyFont="1" applyFill="1" applyBorder="1"/>
    <xf numFmtId="170" fontId="0" fillId="0" borderId="0" xfId="31" applyNumberFormat="1" applyFont="1"/>
    <xf numFmtId="170" fontId="0" fillId="0" borderId="30" xfId="31" applyNumberFormat="1" applyFont="1" applyBorder="1"/>
    <xf numFmtId="6" fontId="30" fillId="0" borderId="0" xfId="0" applyNumberFormat="1" applyFont="1"/>
    <xf numFmtId="165" fontId="76" fillId="0" borderId="0" xfId="28" applyNumberFormat="1" applyFont="1" applyFill="1" applyBorder="1" applyAlignment="1">
      <alignment horizontal="center"/>
    </xf>
    <xf numFmtId="165" fontId="76" fillId="0" borderId="0" xfId="28" applyNumberFormat="1" applyFont="1" applyFill="1" applyBorder="1"/>
    <xf numFmtId="170" fontId="0" fillId="0" borderId="27" xfId="0" applyNumberFormat="1" applyBorder="1"/>
    <xf numFmtId="170" fontId="0" fillId="0" borderId="27" xfId="31" applyNumberFormat="1" applyFont="1" applyBorder="1"/>
    <xf numFmtId="0" fontId="86" fillId="0" borderId="0" xfId="0" applyFont="1" applyFill="1" applyBorder="1" applyAlignment="1">
      <alignment horizontal="left"/>
    </xf>
    <xf numFmtId="0" fontId="76" fillId="0" borderId="0" xfId="0" applyFont="1" applyFill="1" applyBorder="1" applyAlignment="1">
      <alignment horizontal="center" wrapText="1"/>
    </xf>
    <xf numFmtId="0" fontId="76"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165" fontId="0" fillId="0" borderId="0" xfId="28" applyNumberFormat="1" applyFont="1" applyFill="1" applyBorder="1" applyAlignment="1">
      <alignment horizontal="left"/>
    </xf>
    <xf numFmtId="1" fontId="0" fillId="0" borderId="0" xfId="31" applyNumberFormat="1" applyFont="1" applyFill="1" applyBorder="1" applyAlignment="1">
      <alignment horizontal="center"/>
    </xf>
    <xf numFmtId="0" fontId="30" fillId="0" borderId="0" xfId="0" applyFont="1" applyFill="1" applyBorder="1" applyAlignment="1"/>
    <xf numFmtId="0" fontId="0" fillId="0" borderId="0" xfId="0" applyFill="1" applyBorder="1" applyAlignment="1">
      <alignment horizontal="center"/>
    </xf>
    <xf numFmtId="170" fontId="0" fillId="0" borderId="0" xfId="0" applyNumberFormat="1" applyBorder="1"/>
    <xf numFmtId="170" fontId="30" fillId="0" borderId="0" xfId="0" applyNumberFormat="1" applyFont="1" applyBorder="1"/>
    <xf numFmtId="0" fontId="0" fillId="0" borderId="24" xfId="0" applyFont="1" applyFill="1" applyBorder="1" applyAlignment="1">
      <alignment horizontal="right"/>
    </xf>
    <xf numFmtId="0" fontId="9" fillId="0" borderId="0" xfId="0" applyFont="1" applyBorder="1" applyAlignment="1">
      <alignment horizontal="center" vertical="center" wrapText="1"/>
    </xf>
    <xf numFmtId="0" fontId="9" fillId="0" borderId="66" xfId="0" applyFont="1" applyFill="1" applyBorder="1" applyAlignment="1">
      <alignment horizontal="left"/>
    </xf>
    <xf numFmtId="0" fontId="9" fillId="0" borderId="0" xfId="0" applyFont="1" applyBorder="1"/>
    <xf numFmtId="8" fontId="0" fillId="0" borderId="0" xfId="0" applyNumberFormat="1" applyBorder="1"/>
    <xf numFmtId="44" fontId="0" fillId="0" borderId="0" xfId="0" applyNumberFormat="1" applyBorder="1"/>
    <xf numFmtId="44" fontId="0" fillId="0" borderId="0" xfId="31" applyFont="1" applyBorder="1"/>
    <xf numFmtId="0" fontId="9" fillId="0" borderId="0" xfId="0" applyFont="1" applyFill="1" applyBorder="1" applyAlignment="1"/>
    <xf numFmtId="0" fontId="9" fillId="0" borderId="0" xfId="0" applyFont="1" applyBorder="1" applyAlignment="1">
      <alignment horizontal="center" wrapText="1"/>
    </xf>
    <xf numFmtId="0" fontId="0" fillId="0" borderId="0" xfId="0" applyFill="1" applyBorder="1" applyAlignment="1">
      <alignment horizontal="center"/>
    </xf>
    <xf numFmtId="0" fontId="0" fillId="71" borderId="0" xfId="0" applyFill="1" applyBorder="1"/>
    <xf numFmtId="0" fontId="0" fillId="71" borderId="0" xfId="0" applyFill="1" applyBorder="1" applyAlignment="1">
      <alignment horizontal="center"/>
    </xf>
    <xf numFmtId="0" fontId="0" fillId="71" borderId="24" xfId="0" applyFill="1" applyBorder="1" applyAlignment="1"/>
    <xf numFmtId="0" fontId="0" fillId="71" borderId="25" xfId="0" applyFill="1" applyBorder="1" applyAlignment="1"/>
    <xf numFmtId="43" fontId="9" fillId="0" borderId="0" xfId="28" applyFont="1" applyFill="1" applyBorder="1" applyAlignment="1">
      <alignment horizontal="left"/>
    </xf>
    <xf numFmtId="177" fontId="0" fillId="0" borderId="28" xfId="0" applyNumberFormat="1" applyFill="1" applyBorder="1" applyAlignment="1"/>
    <xf numFmtId="170" fontId="9" fillId="0" borderId="0" xfId="31" applyNumberFormat="1" applyFont="1" applyFill="1" applyBorder="1"/>
    <xf numFmtId="0" fontId="0" fillId="0" borderId="39" xfId="0" applyFill="1" applyBorder="1" applyAlignment="1">
      <alignment wrapText="1"/>
    </xf>
    <xf numFmtId="0" fontId="0" fillId="0" borderId="24" xfId="0" applyFill="1" applyBorder="1" applyAlignment="1">
      <alignment wrapText="1"/>
    </xf>
    <xf numFmtId="44" fontId="0" fillId="0" borderId="40" xfId="31" applyFont="1" applyFill="1" applyBorder="1"/>
    <xf numFmtId="0" fontId="9" fillId="0" borderId="24" xfId="0" applyFont="1" applyFill="1" applyBorder="1" applyAlignment="1">
      <alignment wrapText="1"/>
    </xf>
    <xf numFmtId="0" fontId="76" fillId="0" borderId="24" xfId="0" applyFont="1" applyFill="1" applyBorder="1"/>
    <xf numFmtId="0" fontId="0" fillId="0" borderId="24" xfId="0" applyFill="1" applyBorder="1" applyAlignment="1">
      <alignment horizontal="left"/>
    </xf>
    <xf numFmtId="0" fontId="76" fillId="0" borderId="27" xfId="0" applyFont="1" applyFill="1" applyBorder="1"/>
    <xf numFmtId="0" fontId="76" fillId="0" borderId="25" xfId="0" applyFont="1" applyFill="1" applyBorder="1"/>
    <xf numFmtId="0" fontId="76" fillId="0" borderId="23" xfId="0" applyFont="1" applyFill="1" applyBorder="1" applyAlignment="1">
      <alignment wrapText="1"/>
    </xf>
    <xf numFmtId="0" fontId="84" fillId="26" borderId="32" xfId="0" applyFont="1" applyFill="1" applyBorder="1" applyAlignment="1">
      <alignment horizontal="left" wrapText="1"/>
    </xf>
    <xf numFmtId="0" fontId="9" fillId="0" borderId="24" xfId="0" applyFont="1" applyBorder="1" applyAlignment="1">
      <alignment horizontal="center" wrapText="1"/>
    </xf>
    <xf numFmtId="0" fontId="9" fillId="0" borderId="27" xfId="0" applyFont="1" applyBorder="1" applyAlignment="1">
      <alignment horizontal="center" wrapText="1"/>
    </xf>
    <xf numFmtId="0" fontId="9" fillId="0" borderId="24" xfId="0" applyFont="1" applyBorder="1" applyAlignment="1">
      <alignment wrapText="1"/>
    </xf>
    <xf numFmtId="0" fontId="9" fillId="0" borderId="25" xfId="0" applyFont="1" applyBorder="1" applyAlignment="1">
      <alignment wrapText="1"/>
    </xf>
    <xf numFmtId="0" fontId="9" fillId="0" borderId="28" xfId="0" applyFont="1" applyBorder="1"/>
    <xf numFmtId="0" fontId="9" fillId="0" borderId="77" xfId="0" applyFont="1" applyBorder="1"/>
    <xf numFmtId="0" fontId="0" fillId="0" borderId="40" xfId="0" applyBorder="1" applyAlignment="1"/>
    <xf numFmtId="0" fontId="0" fillId="26" borderId="19" xfId="0" applyFill="1" applyBorder="1" applyAlignment="1">
      <alignment horizontal="center"/>
    </xf>
    <xf numFmtId="0" fontId="0" fillId="26" borderId="70" xfId="0" applyFill="1" applyBorder="1" applyAlignment="1">
      <alignment horizontal="center"/>
    </xf>
    <xf numFmtId="0" fontId="0" fillId="0" borderId="27" xfId="0" applyFill="1" applyBorder="1" applyAlignment="1">
      <alignment horizontal="right"/>
    </xf>
    <xf numFmtId="0" fontId="0" fillId="0" borderId="30" xfId="0" applyBorder="1" applyAlignment="1"/>
    <xf numFmtId="0" fontId="83" fillId="72" borderId="60" xfId="0" applyFont="1" applyFill="1" applyBorder="1" applyAlignment="1">
      <alignment wrapText="1"/>
    </xf>
    <xf numFmtId="6" fontId="83" fillId="73" borderId="81" xfId="0" applyNumberFormat="1" applyFont="1" applyFill="1" applyBorder="1" applyAlignment="1">
      <alignment wrapText="1"/>
    </xf>
    <xf numFmtId="0" fontId="78" fillId="24" borderId="39" xfId="0" applyFont="1" applyFill="1" applyBorder="1" applyAlignment="1">
      <alignment horizontal="left" wrapText="1"/>
    </xf>
    <xf numFmtId="0" fontId="83" fillId="0" borderId="34" xfId="0" applyFont="1" applyFill="1" applyBorder="1" applyAlignment="1">
      <alignment wrapText="1"/>
    </xf>
    <xf numFmtId="0" fontId="83" fillId="0" borderId="40" xfId="0" applyFont="1" applyFill="1" applyBorder="1"/>
    <xf numFmtId="0" fontId="81" fillId="0" borderId="25" xfId="0" applyFont="1" applyFill="1" applyBorder="1" applyAlignment="1">
      <alignment horizontal="left" wrapText="1"/>
    </xf>
    <xf numFmtId="0" fontId="83" fillId="0" borderId="78" xfId="0" applyFont="1" applyFill="1" applyBorder="1" applyAlignment="1">
      <alignment wrapText="1"/>
    </xf>
    <xf numFmtId="2" fontId="83" fillId="0" borderId="79" xfId="0" applyNumberFormat="1" applyFont="1" applyFill="1" applyBorder="1" applyAlignment="1">
      <alignment wrapText="1"/>
    </xf>
    <xf numFmtId="0" fontId="83" fillId="0" borderId="66" xfId="0" applyFont="1" applyBorder="1"/>
    <xf numFmtId="0" fontId="30" fillId="0" borderId="67" xfId="0" applyFont="1" applyFill="1" applyBorder="1"/>
    <xf numFmtId="0" fontId="0" fillId="0" borderId="24" xfId="0" applyBorder="1" applyAlignment="1">
      <alignment wrapText="1"/>
    </xf>
    <xf numFmtId="44" fontId="0" fillId="64" borderId="67" xfId="31" applyFont="1" applyFill="1" applyBorder="1"/>
    <xf numFmtId="0" fontId="0" fillId="0" borderId="25" xfId="0" applyBorder="1" applyAlignment="1">
      <alignment wrapText="1"/>
    </xf>
    <xf numFmtId="0" fontId="83" fillId="0" borderId="67" xfId="0" applyFont="1" applyBorder="1" applyAlignment="1">
      <alignment horizontal="center" wrapText="1"/>
    </xf>
    <xf numFmtId="181" fontId="76" fillId="73" borderId="67" xfId="29" applyNumberFormat="1" applyFont="1" applyFill="1" applyBorder="1" applyAlignment="1" applyProtection="1">
      <alignment wrapText="1"/>
    </xf>
    <xf numFmtId="6" fontId="83" fillId="73" borderId="59" xfId="0" applyNumberFormat="1" applyFont="1" applyFill="1" applyBorder="1" applyAlignment="1">
      <alignment wrapText="1"/>
    </xf>
    <xf numFmtId="0" fontId="47" fillId="0" borderId="39" xfId="0" applyFont="1" applyBorder="1" applyAlignment="1">
      <alignment vertical="center"/>
    </xf>
    <xf numFmtId="0" fontId="47" fillId="0" borderId="66" xfId="0" applyFont="1" applyBorder="1" applyAlignment="1">
      <alignment vertical="center"/>
    </xf>
    <xf numFmtId="0" fontId="47" fillId="0" borderId="58" xfId="0" applyFont="1" applyBorder="1" applyAlignment="1">
      <alignment vertical="center"/>
    </xf>
    <xf numFmtId="0" fontId="47" fillId="0" borderId="69" xfId="0" applyFont="1" applyBorder="1" applyAlignment="1">
      <alignment vertical="center"/>
    </xf>
    <xf numFmtId="0" fontId="47" fillId="0" borderId="59" xfId="0" applyFont="1" applyFill="1" applyBorder="1" applyAlignment="1">
      <alignment vertical="center"/>
    </xf>
    <xf numFmtId="0" fontId="0" fillId="0" borderId="66" xfId="0" applyFont="1" applyBorder="1" applyAlignment="1">
      <alignment horizontal="left"/>
    </xf>
    <xf numFmtId="0" fontId="76" fillId="0" borderId="24" xfId="0" applyFont="1" applyBorder="1"/>
    <xf numFmtId="0" fontId="76" fillId="26" borderId="67" xfId="0" applyFont="1" applyFill="1" applyBorder="1" applyAlignment="1">
      <alignment horizontal="center"/>
    </xf>
    <xf numFmtId="0" fontId="76" fillId="73" borderId="67" xfId="0" applyFont="1" applyFill="1" applyBorder="1" applyAlignment="1">
      <alignment horizontal="center"/>
    </xf>
    <xf numFmtId="0" fontId="76" fillId="0" borderId="58" xfId="0" applyFont="1" applyFill="1" applyBorder="1"/>
    <xf numFmtId="165" fontId="76" fillId="73" borderId="59" xfId="28" applyNumberFormat="1" applyFont="1" applyFill="1" applyBorder="1" applyAlignment="1">
      <alignment horizontal="center"/>
    </xf>
    <xf numFmtId="44" fontId="76" fillId="64" borderId="67" xfId="31" applyFont="1" applyFill="1" applyBorder="1"/>
    <xf numFmtId="44" fontId="76" fillId="73" borderId="27" xfId="31" applyFont="1" applyFill="1" applyBorder="1"/>
    <xf numFmtId="44" fontId="76" fillId="73" borderId="67" xfId="0" applyNumberFormat="1" applyFont="1" applyFill="1" applyBorder="1"/>
    <xf numFmtId="44" fontId="76" fillId="73" borderId="67" xfId="31" applyFont="1" applyFill="1" applyBorder="1"/>
    <xf numFmtId="0" fontId="76" fillId="0" borderId="66" xfId="0" applyFont="1" applyFill="1" applyBorder="1" applyAlignment="1">
      <alignment horizontal="center"/>
    </xf>
    <xf numFmtId="0" fontId="76" fillId="0" borderId="67" xfId="0" applyFont="1" applyFill="1" applyBorder="1" applyAlignment="1">
      <alignment horizontal="center"/>
    </xf>
    <xf numFmtId="0" fontId="76" fillId="64" borderId="59" xfId="0" applyFont="1" applyFill="1" applyBorder="1"/>
    <xf numFmtId="8" fontId="81" fillId="73" borderId="67" xfId="0" applyNumberFormat="1" applyFont="1" applyFill="1" applyBorder="1" applyAlignment="1">
      <alignment horizontal="center" wrapText="1" shrinkToFit="1"/>
    </xf>
    <xf numFmtId="6" fontId="81" fillId="73" borderId="67" xfId="0" applyNumberFormat="1" applyFont="1" applyFill="1" applyBorder="1" applyAlignment="1">
      <alignment horizontal="center" wrapText="1" shrinkToFit="1"/>
    </xf>
    <xf numFmtId="6" fontId="83" fillId="73" borderId="57" xfId="0" applyNumberFormat="1" applyFont="1" applyFill="1" applyBorder="1" applyAlignment="1">
      <alignment horizontal="center" wrapText="1"/>
    </xf>
    <xf numFmtId="2" fontId="83" fillId="73" borderId="59" xfId="0" applyNumberFormat="1" applyFont="1" applyFill="1" applyBorder="1" applyAlignment="1">
      <alignment horizontal="center" wrapText="1"/>
    </xf>
    <xf numFmtId="0" fontId="76" fillId="0" borderId="66" xfId="0" applyFont="1" applyBorder="1"/>
    <xf numFmtId="10" fontId="76" fillId="65" borderId="67" xfId="0" applyNumberFormat="1" applyFont="1" applyFill="1" applyBorder="1" applyAlignment="1">
      <alignment wrapText="1"/>
    </xf>
    <xf numFmtId="0" fontId="85" fillId="65" borderId="67" xfId="0" applyFont="1" applyFill="1" applyBorder="1" applyAlignment="1">
      <alignment wrapText="1"/>
    </xf>
    <xf numFmtId="10" fontId="76" fillId="69" borderId="67" xfId="0" applyNumberFormat="1" applyFont="1" applyFill="1" applyBorder="1" applyAlignment="1">
      <alignment horizontal="left" wrapText="1"/>
    </xf>
    <xf numFmtId="10" fontId="83" fillId="69" borderId="67" xfId="0" applyNumberFormat="1" applyFont="1" applyFill="1" applyBorder="1" applyAlignment="1">
      <alignment horizontal="left" wrapText="1"/>
    </xf>
    <xf numFmtId="0" fontId="85" fillId="68" borderId="67" xfId="0" applyFont="1" applyFill="1" applyBorder="1" applyAlignment="1">
      <alignment wrapText="1"/>
    </xf>
    <xf numFmtId="0" fontId="76" fillId="64" borderId="69" xfId="0" applyFont="1" applyFill="1" applyBorder="1" applyAlignment="1">
      <alignment horizontal="right" wrapText="1"/>
    </xf>
    <xf numFmtId="0" fontId="76" fillId="0" borderId="63" xfId="0" applyFont="1" applyBorder="1" applyAlignment="1"/>
    <xf numFmtId="0" fontId="76" fillId="0" borderId="66" xfId="0" applyFont="1" applyBorder="1" applyAlignment="1">
      <alignment horizontal="left"/>
    </xf>
    <xf numFmtId="0" fontId="85" fillId="26" borderId="67" xfId="0" applyFont="1" applyFill="1" applyBorder="1" applyAlignment="1">
      <alignment horizontal="center"/>
    </xf>
    <xf numFmtId="1" fontId="85" fillId="26" borderId="67" xfId="0" applyNumberFormat="1" applyFont="1" applyFill="1" applyBorder="1" applyAlignment="1">
      <alignment horizontal="center"/>
    </xf>
    <xf numFmtId="165" fontId="83" fillId="26" borderId="67" xfId="28" applyNumberFormat="1" applyFont="1" applyFill="1" applyBorder="1" applyAlignment="1">
      <alignment horizontal="center"/>
    </xf>
    <xf numFmtId="0" fontId="76" fillId="0" borderId="66" xfId="0" applyFont="1" applyFill="1" applyBorder="1" applyAlignment="1">
      <alignment horizontal="left"/>
    </xf>
    <xf numFmtId="0" fontId="76" fillId="0" borderId="29" xfId="0" applyFont="1" applyFill="1" applyBorder="1" applyAlignment="1">
      <alignment horizontal="left" wrapText="1"/>
    </xf>
    <xf numFmtId="0" fontId="76" fillId="0" borderId="58" xfId="0" applyFont="1" applyFill="1" applyBorder="1" applyAlignment="1">
      <alignment horizontal="left" wrapText="1"/>
    </xf>
    <xf numFmtId="170" fontId="83" fillId="26" borderId="59" xfId="31" applyNumberFormat="1" applyFont="1" applyFill="1" applyBorder="1"/>
    <xf numFmtId="0" fontId="76" fillId="0" borderId="66" xfId="0" applyFont="1" applyFill="1" applyBorder="1" applyAlignment="1">
      <alignment horizontal="left" wrapText="1"/>
    </xf>
    <xf numFmtId="0" fontId="83" fillId="26" borderId="67" xfId="0" applyFont="1" applyFill="1" applyBorder="1"/>
    <xf numFmtId="0" fontId="93" fillId="0" borderId="66" xfId="0" applyFont="1" applyBorder="1" applyAlignment="1">
      <alignment wrapText="1"/>
    </xf>
    <xf numFmtId="0" fontId="85" fillId="0" borderId="66" xfId="0" applyFont="1" applyBorder="1" applyAlignment="1">
      <alignment wrapText="1"/>
    </xf>
    <xf numFmtId="44" fontId="76" fillId="64" borderId="67" xfId="31" applyNumberFormat="1" applyFont="1" applyFill="1" applyBorder="1"/>
    <xf numFmtId="0" fontId="85" fillId="0" borderId="58" xfId="0" applyFont="1" applyBorder="1" applyAlignment="1">
      <alignment wrapText="1"/>
    </xf>
    <xf numFmtId="2" fontId="83" fillId="0" borderId="0" xfId="0" applyNumberFormat="1" applyFont="1" applyFill="1" applyBorder="1" applyAlignment="1">
      <alignment horizontal="center" wrapText="1"/>
    </xf>
    <xf numFmtId="171" fontId="76" fillId="73" borderId="76" xfId="29" applyNumberFormat="1" applyFont="1" applyFill="1" applyBorder="1" applyAlignment="1" applyProtection="1">
      <alignment horizontal="center" wrapText="1"/>
    </xf>
    <xf numFmtId="6" fontId="83" fillId="73" borderId="81" xfId="0" applyNumberFormat="1" applyFont="1" applyFill="1" applyBorder="1" applyAlignment="1">
      <alignment horizontal="center" wrapText="1"/>
    </xf>
    <xf numFmtId="0" fontId="76" fillId="0" borderId="84" xfId="0" applyFont="1" applyBorder="1" applyAlignment="1"/>
    <xf numFmtId="0" fontId="76" fillId="0" borderId="66" xfId="0" applyFont="1" applyBorder="1" applyAlignment="1"/>
    <xf numFmtId="0" fontId="76" fillId="0" borderId="66" xfId="0" applyFont="1" applyBorder="1" applyAlignment="1">
      <alignment horizontal="left" wrapText="1"/>
    </xf>
    <xf numFmtId="44" fontId="83" fillId="26" borderId="67" xfId="31" applyFont="1" applyFill="1" applyBorder="1" applyAlignment="1">
      <alignment horizontal="center"/>
    </xf>
    <xf numFmtId="44" fontId="76" fillId="64" borderId="27" xfId="31" applyNumberFormat="1" applyFont="1" applyFill="1" applyBorder="1"/>
    <xf numFmtId="0" fontId="76" fillId="64" borderId="59" xfId="0" applyFont="1" applyFill="1" applyBorder="1" applyAlignment="1">
      <alignment horizontal="center"/>
    </xf>
    <xf numFmtId="177" fontId="76" fillId="73" borderId="0" xfId="0" applyNumberFormat="1" applyFont="1" applyFill="1" applyBorder="1"/>
    <xf numFmtId="0" fontId="76" fillId="65" borderId="76" xfId="0" applyFont="1" applyFill="1" applyBorder="1" applyAlignment="1">
      <alignment wrapText="1"/>
    </xf>
    <xf numFmtId="0" fontId="76" fillId="0" borderId="30" xfId="0" applyFont="1" applyFill="1" applyBorder="1"/>
    <xf numFmtId="0" fontId="0" fillId="0" borderId="25" xfId="0" applyBorder="1"/>
    <xf numFmtId="0" fontId="76" fillId="26" borderId="27" xfId="0" applyFont="1" applyFill="1" applyBorder="1"/>
    <xf numFmtId="0" fontId="9" fillId="0" borderId="66" xfId="0" applyFont="1" applyBorder="1" applyAlignment="1">
      <alignment horizontal="right"/>
    </xf>
    <xf numFmtId="0" fontId="0" fillId="0" borderId="63" xfId="0" applyBorder="1"/>
    <xf numFmtId="0" fontId="0" fillId="0" borderId="66" xfId="0" applyBorder="1" applyAlignment="1">
      <alignment wrapText="1"/>
    </xf>
    <xf numFmtId="0" fontId="0" fillId="0" borderId="58" xfId="0" applyFill="1" applyBorder="1"/>
    <xf numFmtId="0" fontId="9" fillId="0" borderId="39" xfId="0" applyFont="1" applyBorder="1" applyAlignment="1">
      <alignment horizontal="center"/>
    </xf>
    <xf numFmtId="0" fontId="9" fillId="0" borderId="34" xfId="0" applyFont="1" applyBorder="1" applyAlignment="1">
      <alignment horizontal="center"/>
    </xf>
    <xf numFmtId="0" fontId="9" fillId="0" borderId="0" xfId="0" applyFont="1" applyBorder="1" applyAlignment="1"/>
    <xf numFmtId="0" fontId="0" fillId="0" borderId="0" xfId="0" applyFill="1" applyBorder="1" applyAlignment="1">
      <alignment horizontal="center"/>
    </xf>
    <xf numFmtId="0" fontId="76" fillId="0" borderId="0" xfId="0" applyFont="1" applyFill="1" applyBorder="1" applyAlignment="1">
      <alignment horizontal="center"/>
    </xf>
    <xf numFmtId="0" fontId="83" fillId="0" borderId="0" xfId="0" applyFont="1" applyFill="1" applyBorder="1" applyAlignment="1">
      <alignment horizontal="center"/>
    </xf>
    <xf numFmtId="0" fontId="9" fillId="0" borderId="0" xfId="0" applyFont="1" applyFill="1" applyBorder="1" applyAlignment="1">
      <alignment horizontal="left"/>
    </xf>
    <xf numFmtId="0" fontId="84" fillId="0" borderId="32" xfId="0" applyFont="1" applyFill="1" applyBorder="1" applyAlignment="1">
      <alignment horizontal="left" wrapText="1"/>
    </xf>
    <xf numFmtId="0" fontId="84" fillId="0" borderId="80" xfId="0" applyFont="1" applyFill="1" applyBorder="1" applyAlignment="1">
      <alignment horizontal="left" wrapText="1"/>
    </xf>
    <xf numFmtId="0" fontId="84" fillId="26" borderId="32" xfId="28" applyNumberFormat="1" applyFont="1" applyFill="1" applyBorder="1" applyAlignment="1">
      <alignment wrapText="1"/>
    </xf>
    <xf numFmtId="42" fontId="84" fillId="73" borderId="31" xfId="0" applyNumberFormat="1" applyFont="1" applyFill="1" applyBorder="1" applyAlignment="1">
      <alignment horizontal="right"/>
    </xf>
    <xf numFmtId="165" fontId="84" fillId="73" borderId="43" xfId="28" applyNumberFormat="1" applyFont="1" applyFill="1" applyBorder="1" applyAlignment="1">
      <alignment wrapText="1"/>
    </xf>
    <xf numFmtId="165" fontId="84" fillId="73" borderId="31" xfId="28" applyNumberFormat="1" applyFont="1" applyFill="1" applyBorder="1" applyAlignment="1">
      <alignment wrapText="1"/>
    </xf>
    <xf numFmtId="165" fontId="84" fillId="0" borderId="32" xfId="28" applyNumberFormat="1" applyFont="1" applyFill="1" applyBorder="1" applyAlignment="1">
      <alignment wrapText="1"/>
    </xf>
    <xf numFmtId="165" fontId="84" fillId="64" borderId="32" xfId="28" applyNumberFormat="1" applyFont="1" applyFill="1" applyBorder="1" applyAlignment="1">
      <alignment wrapText="1"/>
    </xf>
    <xf numFmtId="0" fontId="84" fillId="64" borderId="31" xfId="28" applyNumberFormat="1" applyFont="1" applyFill="1" applyBorder="1" applyAlignment="1">
      <alignment wrapText="1"/>
    </xf>
    <xf numFmtId="3" fontId="84" fillId="26" borderId="43" xfId="28" applyNumberFormat="1" applyFont="1" applyFill="1" applyBorder="1" applyAlignment="1">
      <alignment wrapText="1"/>
    </xf>
    <xf numFmtId="3" fontId="84" fillId="26" borderId="32" xfId="28" applyNumberFormat="1" applyFont="1" applyFill="1" applyBorder="1" applyAlignment="1">
      <alignment wrapText="1"/>
    </xf>
    <xf numFmtId="3" fontId="84" fillId="64" borderId="33" xfId="28" applyNumberFormat="1" applyFont="1" applyFill="1" applyBorder="1" applyAlignment="1">
      <alignment wrapText="1"/>
    </xf>
    <xf numFmtId="168" fontId="84" fillId="64" borderId="32" xfId="0" applyNumberFormat="1" applyFont="1" applyFill="1" applyBorder="1"/>
    <xf numFmtId="43" fontId="84" fillId="73" borderId="33" xfId="28" applyNumberFormat="1" applyFont="1" applyFill="1" applyBorder="1" applyAlignment="1">
      <alignment wrapText="1"/>
    </xf>
    <xf numFmtId="44" fontId="76" fillId="64" borderId="10" xfId="31" applyFont="1" applyFill="1" applyBorder="1"/>
    <xf numFmtId="44" fontId="76" fillId="64" borderId="10" xfId="0" applyNumberFormat="1" applyFont="1" applyFill="1" applyBorder="1"/>
    <xf numFmtId="9" fontId="81" fillId="64" borderId="10" xfId="49" applyFont="1" applyFill="1" applyBorder="1" applyAlignment="1">
      <alignment wrapText="1"/>
    </xf>
    <xf numFmtId="44" fontId="81" fillId="64" borderId="10" xfId="31" applyFont="1" applyFill="1" applyBorder="1" applyAlignment="1">
      <alignment horizontal="right" wrapText="1"/>
    </xf>
    <xf numFmtId="0" fontId="0" fillId="0" borderId="10" xfId="0" applyBorder="1" applyAlignment="1">
      <alignment horizontal="center" wrapText="1"/>
    </xf>
    <xf numFmtId="165" fontId="76" fillId="73" borderId="67" xfId="28" applyNumberFormat="1" applyFont="1" applyFill="1" applyBorder="1"/>
    <xf numFmtId="165" fontId="76" fillId="73" borderId="67" xfId="0" applyNumberFormat="1" applyFont="1" applyFill="1" applyBorder="1"/>
    <xf numFmtId="43" fontId="76" fillId="73" borderId="67" xfId="28" applyNumberFormat="1" applyFont="1" applyFill="1" applyBorder="1"/>
    <xf numFmtId="165" fontId="76" fillId="73" borderId="59" xfId="28" applyNumberFormat="1" applyFont="1" applyFill="1" applyBorder="1"/>
    <xf numFmtId="0" fontId="84" fillId="64" borderId="32" xfId="28" applyNumberFormat="1" applyFont="1" applyFill="1" applyBorder="1" applyAlignment="1">
      <alignment wrapText="1"/>
    </xf>
    <xf numFmtId="0" fontId="84" fillId="0" borderId="82" xfId="0" applyFont="1" applyFill="1" applyBorder="1" applyAlignment="1">
      <alignment horizontal="left" wrapText="1"/>
    </xf>
    <xf numFmtId="0" fontId="9" fillId="77" borderId="10" xfId="0" applyFont="1" applyFill="1" applyBorder="1" applyAlignment="1">
      <alignment horizontal="right"/>
    </xf>
    <xf numFmtId="0" fontId="0" fillId="77" borderId="10" xfId="0" applyFill="1" applyBorder="1" applyAlignment="1">
      <alignment horizontal="center"/>
    </xf>
    <xf numFmtId="43" fontId="84" fillId="77" borderId="33" xfId="28" applyNumberFormat="1" applyFont="1" applyFill="1" applyBorder="1" applyAlignment="1">
      <alignment wrapText="1"/>
    </xf>
    <xf numFmtId="0" fontId="83" fillId="0" borderId="39" xfId="0" applyFont="1" applyFill="1" applyBorder="1" applyAlignment="1">
      <alignment wrapText="1"/>
    </xf>
    <xf numFmtId="165" fontId="0" fillId="77" borderId="10" xfId="28" applyNumberFormat="1" applyFont="1" applyFill="1" applyBorder="1"/>
    <xf numFmtId="44" fontId="0" fillId="77" borderId="10" xfId="31" applyFont="1" applyFill="1" applyBorder="1"/>
    <xf numFmtId="44" fontId="0" fillId="73" borderId="10" xfId="31" applyFont="1" applyFill="1" applyBorder="1" applyAlignment="1">
      <alignment horizontal="center"/>
    </xf>
    <xf numFmtId="9" fontId="0" fillId="77" borderId="10" xfId="48" applyFont="1" applyFill="1" applyBorder="1" applyAlignment="1">
      <alignment horizontal="center"/>
    </xf>
    <xf numFmtId="0" fontId="0" fillId="77" borderId="10" xfId="0" applyFont="1" applyFill="1" applyBorder="1" applyAlignment="1">
      <alignment horizontal="center"/>
    </xf>
    <xf numFmtId="0" fontId="76" fillId="77" borderId="10" xfId="0" applyFont="1" applyFill="1" applyBorder="1" applyAlignment="1">
      <alignment horizontal="center"/>
    </xf>
    <xf numFmtId="170" fontId="76" fillId="73" borderId="10" xfId="0" applyNumberFormat="1" applyFont="1" applyFill="1" applyBorder="1"/>
    <xf numFmtId="44" fontId="76" fillId="73" borderId="10" xfId="31" applyFont="1" applyFill="1" applyBorder="1"/>
    <xf numFmtId="170" fontId="76" fillId="73" borderId="10" xfId="31" applyNumberFormat="1" applyFont="1" applyFill="1" applyBorder="1"/>
    <xf numFmtId="44" fontId="83" fillId="73" borderId="10" xfId="0" applyNumberFormat="1" applyFont="1" applyFill="1" applyBorder="1"/>
    <xf numFmtId="0" fontId="83" fillId="77" borderId="10" xfId="0" applyFont="1" applyFill="1" applyBorder="1" applyAlignment="1">
      <alignment horizontal="center"/>
    </xf>
    <xf numFmtId="0" fontId="85" fillId="77" borderId="10" xfId="0" applyFont="1" applyFill="1" applyBorder="1" applyAlignment="1">
      <alignment horizontal="center"/>
    </xf>
    <xf numFmtId="1" fontId="76" fillId="77" borderId="10" xfId="0" applyNumberFormat="1" applyFont="1" applyFill="1" applyBorder="1" applyAlignment="1">
      <alignment horizontal="right" wrapText="1"/>
    </xf>
    <xf numFmtId="170" fontId="76" fillId="73" borderId="10" xfId="31" applyNumberFormat="1" applyFont="1" applyFill="1" applyBorder="1" applyAlignment="1">
      <alignment horizontal="right" wrapText="1"/>
    </xf>
    <xf numFmtId="173" fontId="76" fillId="73" borderId="10" xfId="0" applyNumberFormat="1" applyFont="1" applyFill="1" applyBorder="1" applyAlignment="1">
      <alignment horizontal="right" wrapText="1"/>
    </xf>
    <xf numFmtId="9" fontId="76" fillId="77" borderId="10" xfId="0" applyNumberFormat="1" applyFont="1" applyFill="1" applyBorder="1" applyAlignment="1">
      <alignment wrapText="1"/>
    </xf>
    <xf numFmtId="0" fontId="76" fillId="64" borderId="10" xfId="0" applyFont="1" applyFill="1" applyBorder="1" applyAlignment="1">
      <alignment horizontal="right" wrapText="1"/>
    </xf>
    <xf numFmtId="0" fontId="83" fillId="77" borderId="65" xfId="0" applyFont="1" applyFill="1" applyBorder="1" applyAlignment="1">
      <alignment horizontal="center"/>
    </xf>
    <xf numFmtId="0" fontId="85" fillId="77" borderId="67" xfId="0" applyFont="1" applyFill="1" applyBorder="1" applyAlignment="1">
      <alignment horizontal="center"/>
    </xf>
    <xf numFmtId="0" fontId="85" fillId="0" borderId="74" xfId="0" applyFont="1" applyFill="1" applyBorder="1" applyAlignment="1">
      <alignment horizontal="center"/>
    </xf>
    <xf numFmtId="0" fontId="85" fillId="0" borderId="67" xfId="0" applyFont="1" applyFill="1" applyBorder="1" applyAlignment="1">
      <alignment horizontal="center"/>
    </xf>
    <xf numFmtId="166" fontId="76" fillId="26" borderId="10" xfId="0" applyNumberFormat="1" applyFont="1" applyFill="1" applyBorder="1" applyAlignment="1">
      <alignment horizontal="right" wrapText="1"/>
    </xf>
    <xf numFmtId="166" fontId="76" fillId="73" borderId="10" xfId="0" applyNumberFormat="1" applyFont="1" applyFill="1" applyBorder="1" applyAlignment="1">
      <alignment horizontal="right" wrapText="1"/>
    </xf>
    <xf numFmtId="0" fontId="84" fillId="26" borderId="32" xfId="0" applyFont="1" applyFill="1" applyBorder="1" applyAlignment="1">
      <alignment horizontal="center" wrapText="1"/>
    </xf>
    <xf numFmtId="0" fontId="84" fillId="0" borderId="32" xfId="0" applyFont="1" applyFill="1" applyBorder="1" applyAlignment="1">
      <alignment horizontal="center" wrapText="1"/>
    </xf>
    <xf numFmtId="44" fontId="76" fillId="77" borderId="27" xfId="31" applyFont="1" applyFill="1" applyBorder="1" applyAlignment="1">
      <alignment horizontal="center"/>
    </xf>
    <xf numFmtId="9" fontId="76" fillId="77" borderId="10" xfId="48" applyFont="1" applyFill="1" applyBorder="1" applyAlignment="1">
      <alignment horizontal="right" wrapText="1"/>
    </xf>
    <xf numFmtId="0" fontId="76" fillId="64" borderId="55" xfId="0" applyFont="1" applyFill="1" applyBorder="1" applyAlignment="1">
      <alignment horizontal="right" wrapText="1"/>
    </xf>
    <xf numFmtId="44" fontId="76" fillId="73" borderId="28" xfId="31" applyFont="1" applyFill="1" applyBorder="1"/>
    <xf numFmtId="170" fontId="76" fillId="73" borderId="0" xfId="31" applyNumberFormat="1" applyFont="1" applyFill="1" applyBorder="1"/>
    <xf numFmtId="165" fontId="0" fillId="77" borderId="67" xfId="28" applyNumberFormat="1" applyFont="1" applyFill="1" applyBorder="1"/>
    <xf numFmtId="0" fontId="0" fillId="77" borderId="67" xfId="0" applyFill="1" applyBorder="1"/>
    <xf numFmtId="1" fontId="0" fillId="77" borderId="67" xfId="0" applyNumberFormat="1" applyFill="1" applyBorder="1"/>
    <xf numFmtId="9" fontId="0" fillId="77" borderId="10" xfId="48" applyFont="1" applyFill="1" applyBorder="1" applyAlignment="1">
      <alignment horizontal="center" wrapText="1"/>
    </xf>
    <xf numFmtId="0" fontId="9" fillId="0" borderId="0" xfId="0" applyFont="1" applyBorder="1" applyAlignment="1">
      <alignment horizontal="center" wrapText="1"/>
    </xf>
    <xf numFmtId="0" fontId="84" fillId="26" borderId="32" xfId="28" applyNumberFormat="1" applyFont="1" applyFill="1" applyBorder="1" applyAlignment="1">
      <alignment horizontal="center" wrapText="1"/>
    </xf>
    <xf numFmtId="0" fontId="9" fillId="0" borderId="25" xfId="0" applyFont="1" applyBorder="1"/>
    <xf numFmtId="0" fontId="9" fillId="0" borderId="25" xfId="0" applyFont="1" applyFill="1" applyBorder="1" applyAlignment="1">
      <alignment wrapText="1"/>
    </xf>
    <xf numFmtId="0" fontId="32" fillId="0" borderId="7" xfId="1578" applyFont="1" applyFill="1" applyBorder="1" applyAlignment="1">
      <alignment wrapText="1"/>
    </xf>
    <xf numFmtId="0" fontId="9" fillId="0" borderId="24" xfId="0" applyFont="1" applyFill="1" applyBorder="1" applyAlignment="1">
      <alignment horizontal="left"/>
    </xf>
    <xf numFmtId="0" fontId="34" fillId="0" borderId="0" xfId="0" applyFont="1" applyFill="1" applyBorder="1" applyAlignment="1">
      <alignment horizontal="left"/>
    </xf>
    <xf numFmtId="0" fontId="9" fillId="0" borderId="36" xfId="0" applyFont="1" applyBorder="1"/>
    <xf numFmtId="0" fontId="9" fillId="0" borderId="37" xfId="0" applyFont="1" applyBorder="1"/>
    <xf numFmtId="0" fontId="9" fillId="0" borderId="38" xfId="0" applyFont="1" applyBorder="1"/>
    <xf numFmtId="0" fontId="9" fillId="0" borderId="85" xfId="0" applyFont="1" applyBorder="1" applyAlignment="1">
      <alignment horizontal="right"/>
    </xf>
    <xf numFmtId="0" fontId="9" fillId="0" borderId="86" xfId="0" applyFont="1" applyBorder="1" applyAlignment="1">
      <alignment horizontal="right"/>
    </xf>
    <xf numFmtId="0" fontId="9" fillId="0" borderId="37" xfId="0" applyFont="1" applyFill="1" applyBorder="1" applyAlignment="1">
      <alignment horizontal="right"/>
    </xf>
    <xf numFmtId="0" fontId="9" fillId="0" borderId="38" xfId="0" applyFont="1" applyFill="1" applyBorder="1" applyAlignment="1">
      <alignment horizontal="right"/>
    </xf>
    <xf numFmtId="0" fontId="84" fillId="64" borderId="32" xfId="28" applyNumberFormat="1" applyFont="1" applyFill="1" applyBorder="1" applyAlignment="1">
      <alignment horizontal="center" wrapText="1"/>
    </xf>
    <xf numFmtId="165" fontId="76" fillId="73" borderId="67" xfId="28" applyNumberFormat="1" applyFont="1" applyFill="1" applyBorder="1" applyAlignment="1">
      <alignment horizontal="center"/>
    </xf>
    <xf numFmtId="165" fontId="76" fillId="73" borderId="67" xfId="0" applyNumberFormat="1" applyFont="1" applyFill="1" applyBorder="1" applyAlignment="1">
      <alignment horizontal="center"/>
    </xf>
    <xf numFmtId="43" fontId="76" fillId="73" borderId="67" xfId="28" applyNumberFormat="1" applyFont="1" applyFill="1" applyBorder="1" applyAlignment="1">
      <alignment horizontal="center"/>
    </xf>
    <xf numFmtId="42" fontId="84" fillId="73" borderId="31" xfId="0" applyNumberFormat="1" applyFont="1" applyFill="1" applyBorder="1" applyAlignment="1">
      <alignment horizontal="center"/>
    </xf>
    <xf numFmtId="165" fontId="84" fillId="73" borderId="43" xfId="28" applyNumberFormat="1" applyFont="1" applyFill="1" applyBorder="1" applyAlignment="1">
      <alignment horizontal="center" wrapText="1"/>
    </xf>
    <xf numFmtId="165" fontId="84" fillId="73" borderId="31" xfId="28" applyNumberFormat="1" applyFont="1" applyFill="1" applyBorder="1" applyAlignment="1">
      <alignment horizontal="center" wrapText="1"/>
    </xf>
    <xf numFmtId="165" fontId="84" fillId="0" borderId="32" xfId="28" applyNumberFormat="1" applyFont="1" applyFill="1" applyBorder="1" applyAlignment="1">
      <alignment horizontal="center" wrapText="1"/>
    </xf>
    <xf numFmtId="165" fontId="84" fillId="64" borderId="32" xfId="28" applyNumberFormat="1" applyFont="1" applyFill="1" applyBorder="1" applyAlignment="1">
      <alignment horizontal="center" wrapText="1"/>
    </xf>
    <xf numFmtId="3" fontId="84" fillId="26" borderId="43" xfId="28" applyNumberFormat="1" applyFont="1" applyFill="1" applyBorder="1" applyAlignment="1">
      <alignment horizontal="center" wrapText="1"/>
    </xf>
    <xf numFmtId="0" fontId="84" fillId="64" borderId="31" xfId="28" applyNumberFormat="1" applyFont="1" applyFill="1" applyBorder="1" applyAlignment="1">
      <alignment horizontal="center" wrapText="1"/>
    </xf>
    <xf numFmtId="3" fontId="84" fillId="26" borderId="32" xfId="28" applyNumberFormat="1" applyFont="1" applyFill="1" applyBorder="1" applyAlignment="1">
      <alignment horizontal="center" wrapText="1"/>
    </xf>
    <xf numFmtId="3" fontId="84" fillId="64" borderId="33" xfId="28" applyNumberFormat="1" applyFont="1" applyFill="1" applyBorder="1" applyAlignment="1">
      <alignment horizontal="center" wrapText="1"/>
    </xf>
    <xf numFmtId="0" fontId="76" fillId="0" borderId="26" xfId="0" applyFont="1" applyFill="1" applyBorder="1" applyAlignment="1">
      <alignment horizontal="center"/>
    </xf>
    <xf numFmtId="0" fontId="83" fillId="0" borderId="40" xfId="0" applyFont="1" applyFill="1" applyBorder="1" applyAlignment="1">
      <alignment horizontal="center"/>
    </xf>
    <xf numFmtId="168" fontId="84" fillId="64" borderId="32" xfId="0" applyNumberFormat="1" applyFont="1" applyFill="1" applyBorder="1" applyAlignment="1">
      <alignment horizontal="center"/>
    </xf>
    <xf numFmtId="43" fontId="84" fillId="77" borderId="33" xfId="28" applyNumberFormat="1" applyFont="1" applyFill="1" applyBorder="1" applyAlignment="1">
      <alignment horizontal="center" wrapText="1"/>
    </xf>
    <xf numFmtId="0" fontId="76" fillId="0" borderId="34" xfId="0" applyFont="1" applyFill="1" applyBorder="1" applyAlignment="1">
      <alignment horizontal="center"/>
    </xf>
    <xf numFmtId="44" fontId="76" fillId="64" borderId="10" xfId="0" applyNumberFormat="1" applyFont="1" applyFill="1" applyBorder="1" applyAlignment="1">
      <alignment horizontal="center"/>
    </xf>
    <xf numFmtId="9" fontId="81" fillId="64" borderId="10" xfId="49" applyFont="1" applyFill="1" applyBorder="1" applyAlignment="1">
      <alignment horizontal="center" wrapText="1"/>
    </xf>
    <xf numFmtId="44" fontId="81" fillId="64" borderId="10" xfId="31" applyFont="1" applyFill="1" applyBorder="1" applyAlignment="1">
      <alignment horizontal="center" wrapText="1"/>
    </xf>
    <xf numFmtId="0" fontId="76" fillId="77" borderId="0" xfId="0" applyFont="1" applyFill="1" applyBorder="1" applyAlignment="1"/>
    <xf numFmtId="0" fontId="30" fillId="77" borderId="0" xfId="0" applyFont="1" applyFill="1" applyBorder="1" applyAlignment="1"/>
    <xf numFmtId="165" fontId="83" fillId="0" borderId="0" xfId="28" applyNumberFormat="1" applyFont="1" applyBorder="1"/>
    <xf numFmtId="0" fontId="94" fillId="0" borderId="0" xfId="0" applyFont="1" applyFill="1" applyBorder="1" applyAlignment="1">
      <alignment wrapText="1"/>
    </xf>
    <xf numFmtId="0" fontId="76" fillId="0" borderId="0" xfId="0" applyFont="1" applyBorder="1" applyAlignment="1">
      <alignment horizontal="left"/>
    </xf>
    <xf numFmtId="0" fontId="76" fillId="0" borderId="0" xfId="0" applyFont="1" applyFill="1" applyBorder="1" applyAlignment="1">
      <alignment horizontal="left"/>
    </xf>
    <xf numFmtId="0" fontId="83" fillId="0" borderId="0" xfId="0" applyFont="1" applyFill="1" applyBorder="1" applyAlignment="1">
      <alignment horizontal="center"/>
    </xf>
    <xf numFmtId="0" fontId="86" fillId="0" borderId="0" xfId="0" applyFont="1" applyBorder="1" applyAlignment="1">
      <alignment horizontal="left" wrapText="1"/>
    </xf>
    <xf numFmtId="0" fontId="86" fillId="0" borderId="0" xfId="0" applyFont="1" applyFill="1" applyBorder="1" applyAlignment="1">
      <alignment horizontal="left" wrapText="1"/>
    </xf>
    <xf numFmtId="0" fontId="0" fillId="0" borderId="0" xfId="0" applyBorder="1" applyAlignment="1">
      <alignment horizontal="center"/>
    </xf>
    <xf numFmtId="0" fontId="78" fillId="0" borderId="0" xfId="0" applyFont="1" applyBorder="1" applyAlignment="1">
      <alignment horizontal="center"/>
    </xf>
    <xf numFmtId="6" fontId="83" fillId="0" borderId="0" xfId="0" applyNumberFormat="1" applyFont="1" applyBorder="1"/>
    <xf numFmtId="0" fontId="78" fillId="0" borderId="0" xfId="0" applyFont="1" applyFill="1" applyBorder="1" applyAlignment="1">
      <alignment horizontal="center"/>
    </xf>
    <xf numFmtId="0" fontId="0" fillId="0" borderId="0" xfId="0" applyBorder="1" applyAlignment="1">
      <alignment horizontal="center" vertical="center" wrapText="1"/>
    </xf>
    <xf numFmtId="0" fontId="30" fillId="0" borderId="0" xfId="0" applyFont="1" applyBorder="1" applyAlignment="1"/>
    <xf numFmtId="0" fontId="83" fillId="0" borderId="0" xfId="0" applyFont="1" applyFill="1" applyBorder="1" applyAlignment="1"/>
    <xf numFmtId="0" fontId="96" fillId="0" borderId="0" xfId="0" applyFont="1" applyBorder="1" applyAlignment="1"/>
    <xf numFmtId="0" fontId="9" fillId="0" borderId="0" xfId="0" applyFont="1" applyFill="1" applyBorder="1" applyAlignment="1">
      <alignment horizontal="left"/>
    </xf>
    <xf numFmtId="0" fontId="9" fillId="0" borderId="0" xfId="0" applyFont="1" applyFill="1" applyBorder="1" applyAlignment="1">
      <alignment wrapText="1"/>
    </xf>
    <xf numFmtId="0" fontId="9" fillId="0" borderId="0" xfId="0" applyFont="1" applyFill="1" applyBorder="1" applyAlignment="1">
      <alignment vertical="center"/>
    </xf>
    <xf numFmtId="0" fontId="3" fillId="0" borderId="0" xfId="0" applyFont="1" applyFill="1" applyBorder="1" applyAlignment="1">
      <alignment horizontal="center"/>
    </xf>
    <xf numFmtId="0" fontId="30" fillId="0" borderId="0" xfId="0" applyFont="1" applyFill="1" applyBorder="1" applyAlignment="1">
      <alignment wrapText="1"/>
    </xf>
    <xf numFmtId="165" fontId="9" fillId="0" borderId="0" xfId="28" applyNumberFormat="1" applyFont="1" applyFill="1" applyBorder="1" applyAlignment="1"/>
    <xf numFmtId="165" fontId="0" fillId="0" borderId="0" xfId="28" applyNumberFormat="1" applyFont="1" applyFill="1" applyBorder="1" applyAlignment="1"/>
    <xf numFmtId="165" fontId="0" fillId="0" borderId="27" xfId="28" applyNumberFormat="1" applyFont="1" applyFill="1" applyBorder="1" applyAlignment="1"/>
    <xf numFmtId="0" fontId="34" fillId="0" borderId="0" xfId="0" applyFont="1" applyFill="1" applyBorder="1" applyAlignment="1"/>
    <xf numFmtId="165" fontId="47" fillId="0" borderId="0" xfId="0" applyNumberFormat="1" applyFont="1" applyFill="1" applyBorder="1" applyAlignment="1">
      <alignment horizontal="center"/>
    </xf>
    <xf numFmtId="0" fontId="83" fillId="0" borderId="60" xfId="0" applyFont="1" applyFill="1" applyBorder="1" applyAlignment="1">
      <alignment horizontal="center"/>
    </xf>
    <xf numFmtId="0" fontId="9" fillId="0" borderId="10" xfId="0" applyFont="1" applyBorder="1" applyAlignment="1">
      <alignment horizontal="center" vertical="center" wrapText="1"/>
    </xf>
    <xf numFmtId="0" fontId="76" fillId="0" borderId="10"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37" xfId="0" applyBorder="1" applyAlignment="1">
      <alignment horizontal="center" vertical="center" wrapText="1"/>
    </xf>
    <xf numFmtId="0" fontId="96" fillId="0" borderId="0" xfId="0" applyFont="1" applyFill="1" applyBorder="1" applyAlignment="1"/>
    <xf numFmtId="0" fontId="9" fillId="0" borderId="0" xfId="0" applyFont="1" applyAlignment="1">
      <alignment horizontal="center" wrapText="1"/>
    </xf>
    <xf numFmtId="0" fontId="9" fillId="0" borderId="0" xfId="0" applyFont="1" applyAlignment="1">
      <alignment horizontal="center"/>
    </xf>
    <xf numFmtId="0" fontId="0" fillId="73" borderId="0" xfId="0" applyFill="1"/>
    <xf numFmtId="0" fontId="9" fillId="77" borderId="0" xfId="0" applyFont="1" applyFill="1" applyAlignment="1">
      <alignment horizontal="center" wrapText="1"/>
    </xf>
    <xf numFmtId="0" fontId="9" fillId="0" borderId="24" xfId="0" applyFont="1" applyBorder="1" applyAlignment="1">
      <alignment horizontal="center" vertical="center" wrapText="1"/>
    </xf>
    <xf numFmtId="0" fontId="9" fillId="0" borderId="56" xfId="0" applyFont="1" applyBorder="1" applyAlignment="1">
      <alignment horizontal="center" vertical="center" wrapText="1"/>
    </xf>
    <xf numFmtId="165" fontId="0" fillId="73" borderId="0" xfId="28" applyNumberFormat="1" applyFont="1" applyFill="1" applyBorder="1" applyAlignment="1">
      <alignment horizontal="center"/>
    </xf>
    <xf numFmtId="0" fontId="83" fillId="0" borderId="60" xfId="0" applyFont="1" applyBorder="1" applyAlignment="1">
      <alignment vertical="center" wrapText="1"/>
    </xf>
    <xf numFmtId="170" fontId="34" fillId="0" borderId="0" xfId="31" applyNumberFormat="1" applyFont="1" applyFill="1" applyBorder="1"/>
    <xf numFmtId="0" fontId="9" fillId="64" borderId="83" xfId="0" applyFont="1" applyFill="1" applyBorder="1" applyAlignment="1">
      <alignment horizontal="center"/>
    </xf>
    <xf numFmtId="0" fontId="30" fillId="0" borderId="19" xfId="0" applyFont="1" applyFill="1" applyBorder="1" applyAlignment="1">
      <alignment horizontal="center" vertical="center"/>
    </xf>
    <xf numFmtId="170" fontId="0" fillId="64" borderId="19" xfId="31" applyNumberFormat="1" applyFont="1" applyFill="1" applyBorder="1" applyAlignment="1">
      <alignment horizontal="center" vertical="center"/>
    </xf>
    <xf numFmtId="0" fontId="0" fillId="0" borderId="89" xfId="0" applyBorder="1" applyAlignment="1">
      <alignment horizontal="center" wrapText="1"/>
    </xf>
    <xf numFmtId="170" fontId="0" fillId="73" borderId="67" xfId="31" applyNumberFormat="1" applyFont="1" applyFill="1" applyBorder="1"/>
    <xf numFmtId="0" fontId="112" fillId="73" borderId="35" xfId="0" applyFont="1" applyFill="1" applyBorder="1" applyAlignment="1">
      <alignment horizontal="center" vertical="center"/>
    </xf>
    <xf numFmtId="44" fontId="81" fillId="0" borderId="10" xfId="31" applyFont="1" applyFill="1" applyBorder="1" applyAlignment="1">
      <alignment horizontal="center" wrapText="1"/>
    </xf>
    <xf numFmtId="0" fontId="111" fillId="73" borderId="11" xfId="0" applyFont="1" applyFill="1" applyBorder="1"/>
    <xf numFmtId="173" fontId="110" fillId="0" borderId="16" xfId="0" applyNumberFormat="1" applyFont="1" applyFill="1" applyBorder="1" applyAlignment="1">
      <alignment horizontal="center" vertical="center"/>
    </xf>
    <xf numFmtId="0" fontId="112" fillId="73" borderId="20" xfId="0" applyFont="1" applyFill="1" applyBorder="1" applyAlignment="1">
      <alignment horizontal="center" vertical="center"/>
    </xf>
    <xf numFmtId="0" fontId="99" fillId="73" borderId="17" xfId="0" applyFont="1" applyFill="1" applyBorder="1"/>
    <xf numFmtId="2" fontId="0" fillId="0" borderId="0" xfId="0" applyNumberFormat="1" applyFill="1"/>
    <xf numFmtId="0" fontId="113" fillId="73" borderId="0" xfId="0" applyFont="1" applyFill="1"/>
    <xf numFmtId="0" fontId="99" fillId="73" borderId="0" xfId="0" applyFont="1" applyFill="1" applyAlignment="1">
      <alignment wrapText="1"/>
    </xf>
    <xf numFmtId="0" fontId="110" fillId="0" borderId="0" xfId="0" applyFont="1" applyFill="1" applyBorder="1" applyAlignment="1">
      <alignment horizontal="center" vertical="center"/>
    </xf>
    <xf numFmtId="0" fontId="42" fillId="0" borderId="18" xfId="0" applyFont="1" applyBorder="1"/>
    <xf numFmtId="2" fontId="2" fillId="0" borderId="0" xfId="3197" applyNumberFormat="1" applyFill="1" applyAlignment="1">
      <alignment wrapText="1"/>
    </xf>
    <xf numFmtId="173" fontId="110" fillId="0" borderId="18" xfId="0" applyNumberFormat="1" applyFont="1" applyFill="1" applyBorder="1" applyAlignment="1">
      <alignment horizontal="center" vertical="center"/>
    </xf>
    <xf numFmtId="0" fontId="99" fillId="73" borderId="0" xfId="0" applyFont="1" applyFill="1" applyBorder="1" applyAlignment="1">
      <alignment horizontal="center" wrapText="1"/>
    </xf>
    <xf numFmtId="0" fontId="110" fillId="0" borderId="0" xfId="0" applyFont="1" applyAlignment="1">
      <alignment horizontal="left" vertical="center" wrapText="1"/>
    </xf>
    <xf numFmtId="0" fontId="42" fillId="0" borderId="15" xfId="0" applyFont="1" applyBorder="1"/>
    <xf numFmtId="0" fontId="110" fillId="0" borderId="15" xfId="0" applyFont="1" applyFill="1" applyBorder="1" applyAlignment="1">
      <alignment horizontal="center" vertical="center"/>
    </xf>
    <xf numFmtId="0" fontId="110" fillId="0" borderId="16" xfId="0" applyFont="1" applyBorder="1" applyAlignment="1">
      <alignment horizontal="center" vertical="center"/>
    </xf>
    <xf numFmtId="169" fontId="0" fillId="0" borderId="0" xfId="0" applyNumberFormat="1" applyFill="1"/>
    <xf numFmtId="2" fontId="2" fillId="0" borderId="0" xfId="6430" applyNumberFormat="1" applyFill="1"/>
    <xf numFmtId="0" fontId="99" fillId="73" borderId="0" xfId="0" applyFont="1" applyFill="1"/>
    <xf numFmtId="0" fontId="111" fillId="73" borderId="0" xfId="0" applyFont="1" applyFill="1"/>
    <xf numFmtId="0" fontId="111" fillId="0" borderId="0" xfId="0" applyFont="1"/>
    <xf numFmtId="0" fontId="110" fillId="0" borderId="0" xfId="0" applyFont="1" applyBorder="1"/>
    <xf numFmtId="0" fontId="99" fillId="73" borderId="13" xfId="0" applyFont="1" applyFill="1" applyBorder="1" applyAlignment="1">
      <alignment horizontal="center" wrapText="1"/>
    </xf>
    <xf numFmtId="0" fontId="99" fillId="73" borderId="12" xfId="0" applyFont="1" applyFill="1" applyBorder="1"/>
    <xf numFmtId="0" fontId="99" fillId="73" borderId="14" xfId="0" applyFont="1" applyFill="1" applyBorder="1"/>
    <xf numFmtId="0" fontId="111" fillId="73" borderId="13" xfId="0" applyFont="1" applyFill="1" applyBorder="1" applyAlignment="1">
      <alignment horizontal="center"/>
    </xf>
    <xf numFmtId="0" fontId="111" fillId="73" borderId="13" xfId="0" applyFont="1" applyFill="1" applyBorder="1"/>
    <xf numFmtId="0" fontId="99" fillId="73" borderId="11" xfId="0" applyFont="1" applyFill="1" applyBorder="1"/>
    <xf numFmtId="0" fontId="99" fillId="0" borderId="0" xfId="0" applyFont="1" applyFill="1"/>
    <xf numFmtId="172" fontId="111" fillId="73" borderId="0" xfId="0" applyNumberFormat="1" applyFont="1" applyFill="1" applyProtection="1"/>
    <xf numFmtId="0" fontId="111" fillId="73" borderId="0" xfId="0" applyFont="1" applyFill="1" applyBorder="1" applyAlignment="1">
      <alignment horizontal="center"/>
    </xf>
    <xf numFmtId="0" fontId="112" fillId="73" borderId="17" xfId="0" applyFont="1" applyFill="1" applyBorder="1" applyAlignment="1">
      <alignment horizontal="center" vertical="center"/>
    </xf>
    <xf numFmtId="0" fontId="110" fillId="0" borderId="0" xfId="0" applyFont="1" applyBorder="1" applyAlignment="1">
      <alignment horizontal="center" vertical="center"/>
    </xf>
    <xf numFmtId="0" fontId="99" fillId="73" borderId="0" xfId="0" applyFont="1" applyFill="1" applyAlignment="1">
      <alignment horizontal="center"/>
    </xf>
    <xf numFmtId="0" fontId="111" fillId="0" borderId="0" xfId="0" applyFont="1" applyFill="1"/>
    <xf numFmtId="0" fontId="31" fillId="0" borderId="0" xfId="4623" applyFont="1" applyFill="1"/>
    <xf numFmtId="0" fontId="42" fillId="0" borderId="16" xfId="0" applyFont="1" applyBorder="1"/>
    <xf numFmtId="0" fontId="112" fillId="73" borderId="19" xfId="0" applyFont="1" applyFill="1" applyBorder="1" applyAlignment="1">
      <alignment horizontal="center" vertical="center"/>
    </xf>
    <xf numFmtId="0" fontId="30" fillId="73" borderId="11" xfId="0" applyFont="1" applyFill="1" applyBorder="1"/>
    <xf numFmtId="0" fontId="99" fillId="73" borderId="13" xfId="0" applyFont="1" applyFill="1" applyBorder="1"/>
    <xf numFmtId="0" fontId="99" fillId="73" borderId="16" xfId="0" applyFont="1" applyFill="1" applyBorder="1" applyAlignment="1">
      <alignment horizontal="center" wrapText="1"/>
    </xf>
    <xf numFmtId="0" fontId="111" fillId="73" borderId="16" xfId="0" applyFont="1" applyFill="1" applyBorder="1" applyAlignment="1">
      <alignment horizontal="center"/>
    </xf>
    <xf numFmtId="0" fontId="42" fillId="0" borderId="0" xfId="0" applyFont="1" applyBorder="1"/>
    <xf numFmtId="0" fontId="99" fillId="73" borderId="0" xfId="0" applyFont="1" applyFill="1" applyBorder="1"/>
    <xf numFmtId="0" fontId="112" fillId="73" borderId="13" xfId="0" applyFont="1" applyFill="1" applyBorder="1" applyAlignment="1">
      <alignment horizontal="center" vertical="center"/>
    </xf>
    <xf numFmtId="172" fontId="111" fillId="0" borderId="0" xfId="0" applyNumberFormat="1" applyFont="1" applyFill="1" applyProtection="1"/>
    <xf numFmtId="0" fontId="31" fillId="0" borderId="0" xfId="0" applyFont="1"/>
    <xf numFmtId="9" fontId="35" fillId="0" borderId="16" xfId="48" applyFont="1" applyBorder="1"/>
    <xf numFmtId="170" fontId="35" fillId="0" borderId="0" xfId="31" applyNumberFormat="1" applyFont="1" applyBorder="1"/>
    <xf numFmtId="168" fontId="35" fillId="0" borderId="0" xfId="31" applyNumberFormat="1" applyFont="1" applyBorder="1"/>
    <xf numFmtId="9" fontId="35" fillId="0" borderId="18" xfId="48" applyFont="1" applyBorder="1"/>
    <xf numFmtId="0" fontId="9" fillId="0" borderId="0" xfId="118"/>
    <xf numFmtId="0" fontId="47" fillId="0" borderId="0" xfId="118" applyFont="1"/>
    <xf numFmtId="169" fontId="9" fillId="0" borderId="0" xfId="118" applyNumberFormat="1"/>
    <xf numFmtId="44" fontId="35" fillId="0" borderId="16" xfId="31" applyFont="1" applyBorder="1"/>
    <xf numFmtId="44" fontId="35" fillId="0" borderId="18" xfId="31" applyFont="1" applyBorder="1"/>
    <xf numFmtId="168" fontId="35" fillId="0" borderId="13" xfId="31" applyNumberFormat="1" applyFont="1" applyBorder="1"/>
    <xf numFmtId="170" fontId="35" fillId="0" borderId="16" xfId="31" applyNumberFormat="1" applyFont="1" applyBorder="1"/>
    <xf numFmtId="169" fontId="42" fillId="0" borderId="0" xfId="285" applyNumberFormat="1" applyFont="1" applyFill="1"/>
    <xf numFmtId="169" fontId="42" fillId="0" borderId="0" xfId="118" applyNumberFormat="1" applyFont="1" applyFill="1"/>
    <xf numFmtId="169" fontId="9" fillId="0" borderId="0" xfId="285" applyNumberFormat="1"/>
    <xf numFmtId="169" fontId="9" fillId="0" borderId="0" xfId="285" applyNumberFormat="1" applyFill="1"/>
    <xf numFmtId="173" fontId="9" fillId="0" borderId="0" xfId="48" applyNumberFormat="1" applyFont="1" applyAlignment="1" applyProtection="1"/>
    <xf numFmtId="173" fontId="9" fillId="0" borderId="0" xfId="48" applyNumberFormat="1" applyFont="1" applyAlignment="1"/>
    <xf numFmtId="2" fontId="9" fillId="0" borderId="0" xfId="48" applyNumberFormat="1" applyFont="1" applyAlignment="1" applyProtection="1"/>
    <xf numFmtId="2" fontId="9" fillId="0" borderId="0" xfId="48" applyNumberFormat="1" applyFont="1" applyAlignment="1"/>
    <xf numFmtId="2" fontId="9" fillId="0" borderId="0" xfId="4078" applyNumberFormat="1" applyFont="1"/>
    <xf numFmtId="165" fontId="35" fillId="0" borderId="0" xfId="28" applyNumberFormat="1" applyFont="1" applyBorder="1"/>
    <xf numFmtId="9" fontId="35" fillId="0" borderId="16" xfId="48" applyFont="1" applyBorder="1" applyAlignment="1">
      <alignment horizontal="right"/>
    </xf>
    <xf numFmtId="44" fontId="35" fillId="0" borderId="0" xfId="31" applyFont="1" applyBorder="1"/>
    <xf numFmtId="44" fontId="35" fillId="0" borderId="15" xfId="31" applyFont="1" applyBorder="1"/>
    <xf numFmtId="173" fontId="111" fillId="73" borderId="0" xfId="48" applyNumberFormat="1" applyFont="1" applyFill="1" applyAlignment="1"/>
    <xf numFmtId="0" fontId="59" fillId="73" borderId="0" xfId="285" applyFont="1" applyFill="1"/>
    <xf numFmtId="0" fontId="62" fillId="73" borderId="0" xfId="285" applyFont="1" applyFill="1"/>
    <xf numFmtId="0" fontId="111" fillId="73" borderId="0" xfId="118" applyFont="1" applyFill="1"/>
    <xf numFmtId="169" fontId="9" fillId="0" borderId="0" xfId="285" applyNumberFormat="1" applyFont="1" applyFill="1"/>
    <xf numFmtId="0" fontId="9" fillId="0" borderId="15" xfId="4623" applyFont="1" applyBorder="1" applyAlignment="1">
      <alignment wrapText="1"/>
    </xf>
    <xf numFmtId="0" fontId="99" fillId="73" borderId="14" xfId="4623" applyFont="1" applyFill="1" applyBorder="1"/>
    <xf numFmtId="0" fontId="9" fillId="0" borderId="17" xfId="4623" applyFont="1" applyFill="1" applyBorder="1"/>
    <xf numFmtId="0" fontId="9" fillId="0" borderId="15" xfId="4623" applyFont="1" applyBorder="1"/>
    <xf numFmtId="0" fontId="99" fillId="0" borderId="0" xfId="285" applyFont="1" applyFill="1"/>
    <xf numFmtId="0" fontId="9" fillId="0" borderId="0" xfId="4623" applyFont="1" applyBorder="1" applyAlignment="1">
      <alignment horizontal="left" wrapText="1"/>
    </xf>
    <xf numFmtId="0" fontId="9" fillId="0" borderId="0" xfId="4623" applyFont="1" applyBorder="1" applyAlignment="1">
      <alignment wrapText="1"/>
    </xf>
    <xf numFmtId="0" fontId="9" fillId="0" borderId="13" xfId="4623" applyFont="1" applyBorder="1"/>
    <xf numFmtId="0" fontId="99" fillId="73" borderId="11" xfId="4623" applyFont="1" applyFill="1" applyBorder="1"/>
    <xf numFmtId="0" fontId="9" fillId="0" borderId="0" xfId="4623" applyFont="1" applyBorder="1"/>
    <xf numFmtId="0" fontId="9" fillId="0" borderId="0" xfId="4623" applyFont="1" applyFill="1" applyBorder="1"/>
    <xf numFmtId="0" fontId="9" fillId="0" borderId="13" xfId="4623" applyFont="1" applyFill="1" applyBorder="1"/>
    <xf numFmtId="44" fontId="35" fillId="0" borderId="0" xfId="31" applyNumberFormat="1" applyFont="1" applyBorder="1"/>
    <xf numFmtId="44" fontId="35" fillId="0" borderId="16" xfId="31" applyNumberFormat="1" applyFont="1" applyBorder="1"/>
    <xf numFmtId="183" fontId="35" fillId="0" borderId="0" xfId="31" applyNumberFormat="1" applyFont="1" applyBorder="1" applyAlignment="1">
      <alignment horizontal="right"/>
    </xf>
    <xf numFmtId="183" fontId="35" fillId="0" borderId="16" xfId="31" applyNumberFormat="1" applyFont="1" applyBorder="1" applyAlignment="1">
      <alignment horizontal="right"/>
    </xf>
    <xf numFmtId="0" fontId="76" fillId="73" borderId="0" xfId="0" applyFont="1" applyFill="1" applyBorder="1"/>
    <xf numFmtId="165" fontId="76" fillId="73" borderId="0" xfId="0" applyNumberFormat="1" applyFont="1" applyFill="1" applyBorder="1"/>
    <xf numFmtId="170" fontId="78" fillId="0" borderId="0" xfId="32" applyNumberFormat="1" applyFont="1" applyFill="1" applyBorder="1"/>
    <xf numFmtId="42" fontId="76" fillId="0" borderId="0" xfId="0" applyNumberFormat="1" applyFont="1" applyBorder="1"/>
    <xf numFmtId="0" fontId="85" fillId="0" borderId="24" xfId="0" applyFont="1" applyFill="1" applyBorder="1" applyAlignment="1">
      <alignment vertical="center" wrapText="1"/>
    </xf>
    <xf numFmtId="0" fontId="85" fillId="0" borderId="0" xfId="0" applyFont="1" applyFill="1" applyBorder="1" applyAlignment="1">
      <alignment vertical="center" wrapText="1"/>
    </xf>
    <xf numFmtId="170" fontId="78" fillId="0" borderId="0" xfId="0" applyNumberFormat="1" applyFont="1" applyFill="1" applyBorder="1"/>
    <xf numFmtId="0" fontId="9" fillId="0" borderId="77" xfId="0" applyFont="1" applyBorder="1" applyAlignment="1">
      <alignment horizontal="left"/>
    </xf>
    <xf numFmtId="0" fontId="9" fillId="0" borderId="34" xfId="0" applyFont="1" applyBorder="1" applyAlignment="1">
      <alignment horizontal="center"/>
    </xf>
    <xf numFmtId="0" fontId="0" fillId="0" borderId="0" xfId="0" applyBorder="1" applyAlignment="1">
      <alignment horizontal="center"/>
    </xf>
    <xf numFmtId="0" fontId="47" fillId="0" borderId="0" xfId="0" applyFont="1" applyBorder="1" applyAlignment="1">
      <alignment horizontal="center"/>
    </xf>
    <xf numFmtId="0" fontId="76" fillId="0" borderId="0" xfId="0" applyFont="1" applyBorder="1" applyAlignment="1">
      <alignment horizontal="left"/>
    </xf>
    <xf numFmtId="0" fontId="76" fillId="0" borderId="0" xfId="0" applyFont="1" applyFill="1" applyBorder="1" applyAlignment="1">
      <alignment horizontal="left"/>
    </xf>
    <xf numFmtId="0" fontId="47" fillId="0" borderId="0" xfId="0" applyFont="1" applyFill="1" applyBorder="1" applyAlignment="1">
      <alignment horizontal="center"/>
    </xf>
    <xf numFmtId="0" fontId="76" fillId="0" borderId="0" xfId="0" applyFont="1" applyFill="1" applyBorder="1" applyAlignment="1">
      <alignment horizontal="center"/>
    </xf>
    <xf numFmtId="0" fontId="0" fillId="0" borderId="0" xfId="0" applyFill="1" applyBorder="1" applyAlignment="1">
      <alignment horizontal="center"/>
    </xf>
    <xf numFmtId="0" fontId="86" fillId="0" borderId="0" xfId="0" applyFont="1" applyBorder="1" applyAlignment="1">
      <alignment horizontal="left" wrapText="1"/>
    </xf>
    <xf numFmtId="0" fontId="47" fillId="0" borderId="10" xfId="0" applyFont="1" applyBorder="1" applyAlignment="1">
      <alignment horizontal="center"/>
    </xf>
    <xf numFmtId="0" fontId="85" fillId="27" borderId="21" xfId="0" applyNumberFormat="1" applyFont="1" applyFill="1" applyBorder="1" applyAlignment="1">
      <alignment horizontal="center" vertical="center"/>
    </xf>
    <xf numFmtId="9" fontId="76" fillId="0" borderId="0" xfId="48" applyFont="1" applyFill="1" applyBorder="1" applyAlignment="1">
      <alignment horizontal="center"/>
    </xf>
    <xf numFmtId="0" fontId="76" fillId="0" borderId="0" xfId="0" applyFont="1" applyBorder="1" applyAlignment="1">
      <alignment horizontal="center"/>
    </xf>
    <xf numFmtId="0" fontId="0" fillId="26" borderId="0" xfId="0" applyFill="1" applyBorder="1" applyAlignment="1">
      <alignment horizontal="center"/>
    </xf>
    <xf numFmtId="0" fontId="0" fillId="0" borderId="28" xfId="0" applyFill="1" applyBorder="1" applyAlignment="1">
      <alignment horizontal="center"/>
    </xf>
    <xf numFmtId="0" fontId="0" fillId="0" borderId="64" xfId="0" applyBorder="1" applyAlignment="1">
      <alignment horizontal="center"/>
    </xf>
    <xf numFmtId="0" fontId="9" fillId="0" borderId="34" xfId="0" applyFont="1" applyFill="1" applyBorder="1" applyAlignment="1">
      <alignment horizontal="center"/>
    </xf>
    <xf numFmtId="0" fontId="34" fillId="0" borderId="0" xfId="0" applyFont="1" applyBorder="1" applyAlignment="1">
      <alignment vertical="center" wrapText="1"/>
    </xf>
    <xf numFmtId="0" fontId="0" fillId="0" borderId="66" xfId="0" applyFill="1" applyBorder="1" applyAlignment="1">
      <alignment horizontal="center"/>
    </xf>
    <xf numFmtId="0" fontId="115" fillId="0" borderId="0" xfId="0" applyFont="1" applyFill="1" applyBorder="1" applyAlignment="1">
      <alignment horizontal="center"/>
    </xf>
    <xf numFmtId="0" fontId="0" fillId="0" borderId="77" xfId="0" applyFill="1" applyBorder="1" applyAlignment="1">
      <alignment horizontal="center"/>
    </xf>
    <xf numFmtId="1" fontId="0" fillId="0" borderId="0" xfId="0" applyNumberFormat="1" applyBorder="1" applyAlignment="1">
      <alignment horizontal="center"/>
    </xf>
    <xf numFmtId="165" fontId="0" fillId="0" borderId="0" xfId="28" applyNumberFormat="1" applyFont="1" applyBorder="1" applyAlignment="1">
      <alignment horizontal="center"/>
    </xf>
    <xf numFmtId="0" fontId="0" fillId="0" borderId="27" xfId="0" applyFont="1" applyFill="1" applyBorder="1" applyAlignment="1">
      <alignment horizontal="center" wrapText="1"/>
    </xf>
    <xf numFmtId="0" fontId="0" fillId="0" borderId="24" xfId="0" applyBorder="1" applyAlignment="1">
      <alignment horizontal="center"/>
    </xf>
    <xf numFmtId="0" fontId="0" fillId="0" borderId="25" xfId="0" applyBorder="1" applyAlignment="1">
      <alignment horizontal="center"/>
    </xf>
    <xf numFmtId="0" fontId="76" fillId="73" borderId="24" xfId="0" applyFont="1" applyFill="1" applyBorder="1"/>
    <xf numFmtId="0" fontId="76" fillId="73" borderId="27" xfId="0" applyFont="1" applyFill="1" applyBorder="1"/>
    <xf numFmtId="165" fontId="76" fillId="73" borderId="27" xfId="0" applyNumberFormat="1" applyFont="1" applyFill="1" applyBorder="1"/>
    <xf numFmtId="0" fontId="76" fillId="73" borderId="25" xfId="0" applyFont="1" applyFill="1" applyBorder="1"/>
    <xf numFmtId="165" fontId="76" fillId="73" borderId="28" xfId="0" applyNumberFormat="1" applyFont="1" applyFill="1" applyBorder="1"/>
    <xf numFmtId="165" fontId="76" fillId="73" borderId="30" xfId="0" applyNumberFormat="1" applyFont="1" applyFill="1" applyBorder="1"/>
    <xf numFmtId="0" fontId="0" fillId="0" borderId="39" xfId="0" applyBorder="1"/>
    <xf numFmtId="0" fontId="9" fillId="0" borderId="98" xfId="0" applyFont="1" applyBorder="1"/>
    <xf numFmtId="0" fontId="29" fillId="0" borderId="40" xfId="0" applyFont="1" applyBorder="1"/>
    <xf numFmtId="44" fontId="35" fillId="0" borderId="27" xfId="31" applyFont="1" applyBorder="1"/>
    <xf numFmtId="44" fontId="35" fillId="0" borderId="99" xfId="31" applyFont="1" applyBorder="1"/>
    <xf numFmtId="44" fontId="35" fillId="0" borderId="30" xfId="31" applyFont="1" applyBorder="1"/>
    <xf numFmtId="0" fontId="9" fillId="74" borderId="0" xfId="0" applyFont="1" applyFill="1" applyBorder="1"/>
    <xf numFmtId="0" fontId="0" fillId="74" borderId="36" xfId="0" applyFill="1" applyBorder="1"/>
    <xf numFmtId="0" fontId="0" fillId="74" borderId="37" xfId="0" applyFill="1" applyBorder="1"/>
    <xf numFmtId="0" fontId="0" fillId="74" borderId="38" xfId="0" applyFill="1" applyBorder="1"/>
    <xf numFmtId="0" fontId="30" fillId="74" borderId="36" xfId="0" applyFont="1" applyFill="1" applyBorder="1" applyAlignment="1">
      <alignment horizontal="center"/>
    </xf>
    <xf numFmtId="0" fontId="9" fillId="74" borderId="36" xfId="0" applyFont="1" applyFill="1" applyBorder="1" applyAlignment="1">
      <alignment horizontal="center"/>
    </xf>
    <xf numFmtId="0" fontId="0" fillId="74" borderId="37" xfId="0" applyFill="1" applyBorder="1" applyAlignment="1">
      <alignment horizontal="center"/>
    </xf>
    <xf numFmtId="0" fontId="0" fillId="74" borderId="38" xfId="0" applyFill="1" applyBorder="1" applyAlignment="1">
      <alignment horizontal="center"/>
    </xf>
    <xf numFmtId="0" fontId="9" fillId="74" borderId="0" xfId="0" applyFont="1" applyFill="1"/>
    <xf numFmtId="0" fontId="9" fillId="74" borderId="36" xfId="0" applyFont="1" applyFill="1" applyBorder="1"/>
    <xf numFmtId="0" fontId="9" fillId="74" borderId="37" xfId="0" applyFont="1" applyFill="1" applyBorder="1"/>
    <xf numFmtId="0" fontId="9" fillId="74" borderId="38" xfId="0" applyFont="1" applyFill="1" applyBorder="1"/>
    <xf numFmtId="0" fontId="30" fillId="74" borderId="0" xfId="0" applyFont="1" applyFill="1" applyBorder="1" applyAlignment="1">
      <alignment wrapText="1"/>
    </xf>
    <xf numFmtId="0" fontId="30" fillId="74" borderId="0" xfId="0" applyFont="1" applyFill="1" applyBorder="1" applyAlignment="1">
      <alignment horizontal="center" wrapText="1"/>
    </xf>
    <xf numFmtId="0" fontId="29" fillId="74" borderId="0" xfId="0" applyFont="1" applyFill="1" applyBorder="1" applyAlignment="1">
      <alignment horizontal="right"/>
    </xf>
    <xf numFmtId="0" fontId="29" fillId="74" borderId="0" xfId="0" applyFont="1" applyFill="1" applyBorder="1" applyAlignment="1">
      <alignment horizontal="center"/>
    </xf>
    <xf numFmtId="169" fontId="35" fillId="74" borderId="0" xfId="0" applyNumberFormat="1" applyFont="1" applyFill="1" applyBorder="1"/>
    <xf numFmtId="170" fontId="35" fillId="74" borderId="0" xfId="31" applyNumberFormat="1" applyFont="1" applyFill="1" applyBorder="1"/>
    <xf numFmtId="0" fontId="35" fillId="74" borderId="0" xfId="0" applyFont="1" applyFill="1" applyBorder="1" applyAlignment="1">
      <alignment horizontal="center"/>
    </xf>
    <xf numFmtId="180" fontId="35" fillId="74" borderId="0" xfId="0" applyNumberFormat="1" applyFont="1" applyFill="1" applyBorder="1" applyAlignment="1">
      <alignment horizontal="center"/>
    </xf>
    <xf numFmtId="6" fontId="40" fillId="74" borderId="0" xfId="0" applyNumberFormat="1" applyFont="1" applyFill="1" applyBorder="1" applyAlignment="1">
      <alignment horizontal="center"/>
    </xf>
    <xf numFmtId="0" fontId="35" fillId="74" borderId="0" xfId="0" applyFont="1" applyFill="1" applyBorder="1"/>
    <xf numFmtId="6" fontId="40" fillId="74" borderId="0" xfId="0" applyNumberFormat="1" applyFont="1" applyFill="1" applyBorder="1"/>
    <xf numFmtId="0" fontId="39" fillId="74" borderId="0" xfId="0" applyFont="1" applyFill="1" applyBorder="1"/>
    <xf numFmtId="0" fontId="30" fillId="74" borderId="39" xfId="0" applyFont="1" applyFill="1" applyBorder="1"/>
    <xf numFmtId="0" fontId="0" fillId="74" borderId="24" xfId="0" applyFill="1" applyBorder="1"/>
    <xf numFmtId="0" fontId="30" fillId="74" borderId="27" xfId="0" applyFont="1" applyFill="1" applyBorder="1" applyAlignment="1">
      <alignment wrapText="1"/>
    </xf>
    <xf numFmtId="0" fontId="29" fillId="74" borderId="27" xfId="0" applyFont="1" applyFill="1" applyBorder="1" applyAlignment="1">
      <alignment horizontal="center"/>
    </xf>
    <xf numFmtId="170" fontId="35" fillId="74" borderId="27" xfId="31" applyNumberFormat="1" applyFont="1" applyFill="1" applyBorder="1" applyAlignment="1">
      <alignment horizontal="center"/>
    </xf>
    <xf numFmtId="0" fontId="35" fillId="74" borderId="27" xfId="0" applyFont="1" applyFill="1" applyBorder="1"/>
    <xf numFmtId="0" fontId="0" fillId="74" borderId="25" xfId="0" applyFill="1" applyBorder="1"/>
    <xf numFmtId="0" fontId="35" fillId="74" borderId="28" xfId="0" applyFont="1" applyFill="1" applyBorder="1"/>
    <xf numFmtId="0" fontId="35" fillId="74" borderId="30" xfId="0" applyFont="1" applyFill="1" applyBorder="1"/>
    <xf numFmtId="0" fontId="30" fillId="74" borderId="24" xfId="0" applyFont="1" applyFill="1" applyBorder="1" applyAlignment="1">
      <alignment wrapText="1"/>
    </xf>
    <xf numFmtId="0" fontId="29" fillId="74" borderId="24" xfId="0" applyFont="1" applyFill="1" applyBorder="1" applyAlignment="1">
      <alignment horizontal="center"/>
    </xf>
    <xf numFmtId="180" fontId="35" fillId="74" borderId="24" xfId="0" applyNumberFormat="1" applyFont="1" applyFill="1" applyBorder="1" applyAlignment="1">
      <alignment horizontal="center"/>
    </xf>
    <xf numFmtId="0" fontId="35" fillId="74" borderId="24" xfId="0" applyFont="1" applyFill="1" applyBorder="1"/>
    <xf numFmtId="168" fontId="35" fillId="74" borderId="24" xfId="31" applyNumberFormat="1" applyFont="1" applyFill="1" applyBorder="1"/>
    <xf numFmtId="0" fontId="35" fillId="74" borderId="25" xfId="0" applyFont="1" applyFill="1" applyBorder="1"/>
    <xf numFmtId="0" fontId="29" fillId="74" borderId="24" xfId="0" applyFont="1" applyFill="1" applyBorder="1" applyAlignment="1">
      <alignment horizontal="right"/>
    </xf>
    <xf numFmtId="0" fontId="0" fillId="74" borderId="27" xfId="0" applyFill="1" applyBorder="1" applyAlignment="1">
      <alignment horizontal="right"/>
    </xf>
    <xf numFmtId="169" fontId="35" fillId="74" borderId="24" xfId="0" applyNumberFormat="1" applyFont="1" applyFill="1" applyBorder="1"/>
    <xf numFmtId="9" fontId="35" fillId="74" borderId="27" xfId="48" applyFont="1" applyFill="1" applyBorder="1" applyAlignment="1">
      <alignment horizontal="center"/>
    </xf>
    <xf numFmtId="9" fontId="35" fillId="74" borderId="30" xfId="48" applyFont="1" applyFill="1" applyBorder="1"/>
    <xf numFmtId="0" fontId="9" fillId="0" borderId="39" xfId="0" applyFont="1" applyBorder="1"/>
    <xf numFmtId="170" fontId="0" fillId="0" borderId="40" xfId="0" applyNumberFormat="1" applyBorder="1"/>
    <xf numFmtId="170" fontId="0" fillId="0" borderId="30" xfId="0" applyNumberFormat="1" applyBorder="1"/>
    <xf numFmtId="0" fontId="9" fillId="0" borderId="0" xfId="0" applyFont="1" applyBorder="1" applyAlignment="1">
      <alignment horizontal="center"/>
    </xf>
    <xf numFmtId="0" fontId="9" fillId="0" borderId="0" xfId="0" applyFont="1" applyFill="1" applyBorder="1" applyAlignment="1">
      <alignment horizontal="center" wrapText="1"/>
    </xf>
    <xf numFmtId="0" fontId="30" fillId="0" borderId="40" xfId="0" applyFont="1" applyBorder="1" applyAlignment="1"/>
    <xf numFmtId="0" fontId="0" fillId="0" borderId="28" xfId="0" applyBorder="1"/>
    <xf numFmtId="1" fontId="0" fillId="73" borderId="27" xfId="0" applyNumberFormat="1" applyFill="1" applyBorder="1" applyAlignment="1">
      <alignment horizontal="center"/>
    </xf>
    <xf numFmtId="165" fontId="0" fillId="73" borderId="0" xfId="28" applyNumberFormat="1" applyFont="1" applyFill="1" applyBorder="1"/>
    <xf numFmtId="165" fontId="0" fillId="73" borderId="27" xfId="0" applyNumberFormat="1" applyFill="1" applyBorder="1"/>
    <xf numFmtId="1" fontId="0" fillId="73" borderId="30" xfId="0" applyNumberFormat="1" applyFill="1" applyBorder="1" applyAlignment="1">
      <alignment horizontal="center"/>
    </xf>
    <xf numFmtId="165" fontId="0" fillId="73" borderId="28" xfId="28" applyNumberFormat="1" applyFont="1" applyFill="1" applyBorder="1"/>
    <xf numFmtId="165" fontId="0" fillId="73" borderId="30" xfId="0" applyNumberFormat="1" applyFill="1" applyBorder="1"/>
    <xf numFmtId="0" fontId="83" fillId="73" borderId="0" xfId="0" applyFont="1" applyFill="1" applyBorder="1" applyAlignment="1">
      <alignment horizontal="center"/>
    </xf>
    <xf numFmtId="0" fontId="76" fillId="0" borderId="27" xfId="0" applyFont="1" applyBorder="1" applyAlignment="1"/>
    <xf numFmtId="0" fontId="76" fillId="0" borderId="27" xfId="0" applyNumberFormat="1" applyFont="1" applyFill="1" applyBorder="1" applyAlignment="1">
      <alignment wrapText="1"/>
    </xf>
    <xf numFmtId="0" fontId="9" fillId="0" borderId="37" xfId="0" applyFont="1" applyFill="1" applyBorder="1" applyAlignment="1">
      <alignment wrapText="1"/>
    </xf>
    <xf numFmtId="0" fontId="0" fillId="0" borderId="37" xfId="0" applyBorder="1" applyAlignment="1">
      <alignment wrapText="1"/>
    </xf>
    <xf numFmtId="0" fontId="85" fillId="0" borderId="27" xfId="0" applyNumberFormat="1" applyFont="1" applyFill="1" applyBorder="1" applyAlignment="1">
      <alignment wrapText="1"/>
    </xf>
    <xf numFmtId="0" fontId="76" fillId="0" borderId="27" xfId="0" applyNumberFormat="1" applyFont="1" applyFill="1" applyBorder="1" applyAlignment="1">
      <alignment horizontal="left" wrapText="1"/>
    </xf>
    <xf numFmtId="44" fontId="47" fillId="0" borderId="30" xfId="31" applyFont="1" applyFill="1" applyBorder="1" applyAlignment="1">
      <alignment vertical="center"/>
    </xf>
    <xf numFmtId="0" fontId="83" fillId="0" borderId="66" xfId="0" applyFont="1" applyBorder="1" applyAlignment="1">
      <alignment vertical="center"/>
    </xf>
    <xf numFmtId="0" fontId="76" fillId="0" borderId="27" xfId="0" applyFont="1" applyBorder="1" applyAlignment="1">
      <alignment horizontal="center" wrapText="1"/>
    </xf>
    <xf numFmtId="9" fontId="0" fillId="0" borderId="27" xfId="0" applyNumberFormat="1" applyFill="1" applyBorder="1" applyAlignment="1">
      <alignment horizontal="center" wrapText="1"/>
    </xf>
    <xf numFmtId="9" fontId="0" fillId="0" borderId="27" xfId="0" applyNumberFormat="1" applyFill="1" applyBorder="1" applyAlignment="1">
      <alignment horizontal="center"/>
    </xf>
    <xf numFmtId="170" fontId="0" fillId="64" borderId="70" xfId="31" applyNumberFormat="1" applyFont="1" applyFill="1" applyBorder="1" applyAlignment="1">
      <alignment horizontal="center" vertical="center"/>
    </xf>
    <xf numFmtId="9" fontId="76" fillId="0" borderId="30" xfId="0" applyNumberFormat="1" applyFont="1" applyFill="1" applyBorder="1" applyAlignment="1">
      <alignment horizontal="center"/>
    </xf>
    <xf numFmtId="0" fontId="30" fillId="0" borderId="24" xfId="0" applyFont="1" applyFill="1" applyBorder="1" applyAlignment="1">
      <alignment horizontal="right"/>
    </xf>
    <xf numFmtId="0" fontId="9" fillId="0" borderId="24" xfId="0" applyFont="1" applyFill="1" applyBorder="1" applyAlignment="1">
      <alignment horizontal="right"/>
    </xf>
    <xf numFmtId="170" fontId="0" fillId="0" borderId="27" xfId="31" applyNumberFormat="1" applyFont="1" applyFill="1" applyBorder="1" applyAlignment="1">
      <alignment horizontal="center"/>
    </xf>
    <xf numFmtId="0" fontId="76" fillId="0" borderId="27" xfId="0" applyFont="1" applyBorder="1" applyAlignment="1">
      <alignment wrapText="1"/>
    </xf>
    <xf numFmtId="0" fontId="0" fillId="0" borderId="24" xfId="0" applyBorder="1" applyAlignment="1">
      <alignment horizontal="center" wrapText="1"/>
    </xf>
    <xf numFmtId="0" fontId="9" fillId="77" borderId="41" xfId="0" applyFont="1" applyFill="1" applyBorder="1" applyAlignment="1">
      <alignment horizontal="right"/>
    </xf>
    <xf numFmtId="0" fontId="9" fillId="73" borderId="25" xfId="0" applyFont="1" applyFill="1" applyBorder="1" applyAlignment="1">
      <alignment horizontal="right"/>
    </xf>
    <xf numFmtId="170" fontId="0" fillId="0" borderId="28" xfId="31" applyNumberFormat="1" applyFont="1" applyFill="1" applyBorder="1" applyAlignment="1">
      <alignment horizontal="center"/>
    </xf>
    <xf numFmtId="0" fontId="76" fillId="0" borderId="30" xfId="0" applyFont="1" applyBorder="1" applyAlignment="1"/>
    <xf numFmtId="0" fontId="30" fillId="0" borderId="27" xfId="0" applyFont="1" applyBorder="1" applyAlignment="1"/>
    <xf numFmtId="1" fontId="0" fillId="0" borderId="0" xfId="0" applyNumberFormat="1" applyBorder="1"/>
    <xf numFmtId="0" fontId="0" fillId="0" borderId="28" xfId="0" applyFill="1" applyBorder="1"/>
    <xf numFmtId="0" fontId="76" fillId="0" borderId="28" xfId="0" applyFont="1" applyFill="1" applyBorder="1" applyAlignment="1"/>
    <xf numFmtId="0" fontId="76" fillId="0" borderId="27" xfId="0" applyFont="1" applyFill="1" applyBorder="1" applyAlignment="1"/>
    <xf numFmtId="0" fontId="0" fillId="0" borderId="24" xfId="0" applyFill="1" applyBorder="1"/>
    <xf numFmtId="0" fontId="0" fillId="0" borderId="24" xfId="0" applyFill="1" applyBorder="1" applyAlignment="1">
      <alignment horizontal="center" wrapText="1"/>
    </xf>
    <xf numFmtId="0" fontId="9" fillId="0" borderId="27" xfId="0" applyFont="1" applyFill="1" applyBorder="1" applyAlignment="1">
      <alignment horizontal="center" vertical="center" wrapText="1"/>
    </xf>
    <xf numFmtId="1" fontId="0" fillId="0" borderId="27" xfId="31" applyNumberFormat="1" applyFont="1" applyFill="1" applyBorder="1" applyAlignment="1">
      <alignment horizontal="center"/>
    </xf>
    <xf numFmtId="1" fontId="76" fillId="0" borderId="27" xfId="0" applyNumberFormat="1" applyFont="1" applyFill="1" applyBorder="1" applyAlignment="1">
      <alignment horizontal="center"/>
    </xf>
    <xf numFmtId="165" fontId="0" fillId="0" borderId="27" xfId="28" applyNumberFormat="1" applyFont="1" applyFill="1" applyBorder="1"/>
    <xf numFmtId="165" fontId="76" fillId="0" borderId="27" xfId="28" applyNumberFormat="1" applyFont="1" applyFill="1" applyBorder="1"/>
    <xf numFmtId="0" fontId="47" fillId="0" borderId="24" xfId="0" applyFont="1" applyBorder="1" applyAlignment="1"/>
    <xf numFmtId="0" fontId="86" fillId="0" borderId="27" xfId="0" applyFont="1" applyBorder="1" applyAlignment="1">
      <alignment wrapText="1"/>
    </xf>
    <xf numFmtId="0" fontId="76" fillId="0" borderId="27" xfId="0" applyFont="1" applyBorder="1" applyAlignment="1">
      <alignment vertical="center" wrapText="1"/>
    </xf>
    <xf numFmtId="0" fontId="0" fillId="0" borderId="77" xfId="0" applyBorder="1"/>
    <xf numFmtId="0" fontId="0" fillId="0" borderId="77" xfId="0" applyFill="1" applyBorder="1" applyAlignment="1">
      <alignment wrapText="1"/>
    </xf>
    <xf numFmtId="0" fontId="0" fillId="0" borderId="71" xfId="0" applyBorder="1" applyAlignment="1">
      <alignment wrapText="1"/>
    </xf>
    <xf numFmtId="0" fontId="76" fillId="0" borderId="66" xfId="0" applyFont="1" applyBorder="1" applyAlignment="1">
      <alignment wrapText="1"/>
    </xf>
    <xf numFmtId="0" fontId="86" fillId="0" borderId="27" xfId="0" applyFont="1" applyBorder="1" applyAlignment="1">
      <alignment horizontal="center" wrapText="1"/>
    </xf>
    <xf numFmtId="0" fontId="76" fillId="0" borderId="27" xfId="0" applyFont="1" applyBorder="1" applyAlignment="1">
      <alignment horizontal="left"/>
    </xf>
    <xf numFmtId="0" fontId="86" fillId="0" borderId="27" xfId="0" applyFont="1" applyBorder="1" applyAlignment="1">
      <alignment horizontal="left"/>
    </xf>
    <xf numFmtId="0" fontId="47" fillId="0" borderId="27" xfId="0" applyFont="1" applyFill="1" applyBorder="1" applyAlignment="1">
      <alignment horizontal="center"/>
    </xf>
    <xf numFmtId="0" fontId="0" fillId="0" borderId="27" xfId="0" applyFill="1" applyBorder="1" applyAlignment="1">
      <alignment horizontal="center"/>
    </xf>
    <xf numFmtId="0" fontId="0" fillId="0" borderId="27" xfId="0" applyFill="1" applyBorder="1"/>
    <xf numFmtId="0" fontId="47" fillId="0" borderId="24" xfId="0" applyFont="1" applyFill="1" applyBorder="1" applyAlignment="1"/>
    <xf numFmtId="0" fontId="34" fillId="0" borderId="24" xfId="0" applyFont="1" applyFill="1" applyBorder="1" applyAlignment="1"/>
    <xf numFmtId="0" fontId="0" fillId="0" borderId="24" xfId="0" applyFill="1" applyBorder="1" applyAlignment="1">
      <alignment horizontal="right"/>
    </xf>
    <xf numFmtId="0" fontId="83" fillId="0" borderId="24" xfId="0" applyFont="1" applyFill="1" applyBorder="1"/>
    <xf numFmtId="0" fontId="9" fillId="0" borderId="24" xfId="0" applyFont="1" applyFill="1" applyBorder="1" applyAlignment="1">
      <alignment horizontal="left" wrapText="1"/>
    </xf>
    <xf numFmtId="0" fontId="47" fillId="0" borderId="28" xfId="0" applyFont="1" applyFill="1" applyBorder="1" applyAlignment="1">
      <alignment horizontal="center"/>
    </xf>
    <xf numFmtId="0" fontId="47" fillId="0" borderId="30" xfId="0" applyFont="1" applyFill="1" applyBorder="1" applyAlignment="1">
      <alignment horizontal="center"/>
    </xf>
    <xf numFmtId="0" fontId="0" fillId="0" borderId="0" xfId="0" applyBorder="1" applyAlignment="1">
      <alignment horizontal="center" vertical="center"/>
    </xf>
    <xf numFmtId="0" fontId="0" fillId="0" borderId="0" xfId="0" applyBorder="1" applyAlignment="1">
      <alignment vertical="center"/>
    </xf>
    <xf numFmtId="0" fontId="47" fillId="0" borderId="28" xfId="0" applyFont="1" applyBorder="1" applyAlignment="1">
      <alignment vertical="center"/>
    </xf>
    <xf numFmtId="0" fontId="117" fillId="26" borderId="65" xfId="0" applyFont="1" applyFill="1" applyBorder="1" applyAlignment="1">
      <alignment horizontal="center"/>
    </xf>
    <xf numFmtId="0" fontId="117" fillId="77" borderId="67" xfId="0" applyFont="1" applyFill="1" applyBorder="1" applyAlignment="1">
      <alignment horizontal="center"/>
    </xf>
    <xf numFmtId="0" fontId="117" fillId="0" borderId="0" xfId="0" applyFont="1" applyBorder="1" applyAlignment="1">
      <alignment horizontal="center"/>
    </xf>
    <xf numFmtId="0" fontId="117" fillId="26" borderId="67" xfId="0" applyFont="1" applyFill="1" applyBorder="1" applyAlignment="1">
      <alignment horizontal="center"/>
    </xf>
    <xf numFmtId="0" fontId="117" fillId="0" borderId="0" xfId="0" applyFont="1" applyBorder="1" applyAlignment="1">
      <alignment horizontal="center" wrapText="1"/>
    </xf>
    <xf numFmtId="173" fontId="117" fillId="64" borderId="67" xfId="48" applyNumberFormat="1" applyFont="1" applyFill="1" applyBorder="1" applyAlignment="1">
      <alignment horizontal="center"/>
    </xf>
    <xf numFmtId="3" fontId="117" fillId="73" borderId="10" xfId="0" applyNumberFormat="1" applyFont="1" applyFill="1" applyBorder="1" applyAlignment="1">
      <alignment horizontal="right" wrapText="1"/>
    </xf>
    <xf numFmtId="0" fontId="117" fillId="70" borderId="67" xfId="0" applyFont="1" applyFill="1" applyBorder="1" applyAlignment="1">
      <alignment wrapText="1"/>
    </xf>
    <xf numFmtId="0" fontId="117" fillId="0" borderId="77" xfId="0" applyFont="1" applyBorder="1" applyAlignment="1">
      <alignment wrapText="1"/>
    </xf>
    <xf numFmtId="0" fontId="117" fillId="0" borderId="58" xfId="0" applyFont="1" applyBorder="1" applyAlignment="1">
      <alignment wrapText="1"/>
    </xf>
    <xf numFmtId="0" fontId="117" fillId="0" borderId="0" xfId="0" applyFont="1" applyFill="1" applyBorder="1" applyAlignment="1">
      <alignment wrapText="1"/>
    </xf>
    <xf numFmtId="3" fontId="117" fillId="0" borderId="0" xfId="0" applyNumberFormat="1" applyFont="1" applyFill="1" applyBorder="1" applyAlignment="1">
      <alignment horizontal="right" wrapText="1"/>
    </xf>
    <xf numFmtId="0" fontId="76" fillId="0" borderId="27" xfId="0" applyFont="1" applyFill="1" applyBorder="1" applyAlignment="1">
      <alignment wrapText="1"/>
    </xf>
    <xf numFmtId="0" fontId="85" fillId="0" borderId="27" xfId="0" applyNumberFormat="1" applyFont="1" applyFill="1" applyBorder="1" applyAlignment="1"/>
    <xf numFmtId="0" fontId="47" fillId="0" borderId="13" xfId="0" applyFont="1" applyBorder="1"/>
    <xf numFmtId="0" fontId="0" fillId="0" borderId="72" xfId="0" applyBorder="1" applyAlignment="1">
      <alignment horizontal="center" wrapText="1"/>
    </xf>
    <xf numFmtId="0" fontId="0" fillId="0" borderId="67" xfId="0" applyBorder="1" applyAlignment="1">
      <alignment horizontal="center" wrapText="1"/>
    </xf>
    <xf numFmtId="0" fontId="0" fillId="0" borderId="72" xfId="0" applyBorder="1" applyAlignment="1">
      <alignment wrapText="1"/>
    </xf>
    <xf numFmtId="0" fontId="0" fillId="0" borderId="67" xfId="0" applyBorder="1"/>
    <xf numFmtId="0" fontId="9" fillId="0" borderId="72" xfId="0" applyFont="1" applyBorder="1" applyAlignment="1">
      <alignment wrapText="1"/>
    </xf>
    <xf numFmtId="0" fontId="9" fillId="0" borderId="72" xfId="0" applyFont="1" applyBorder="1" applyAlignment="1">
      <alignment horizontal="left" wrapText="1"/>
    </xf>
    <xf numFmtId="0" fontId="0" fillId="0" borderId="66" xfId="0" applyFont="1" applyFill="1" applyBorder="1" applyAlignment="1">
      <alignment wrapText="1"/>
    </xf>
    <xf numFmtId="0" fontId="0" fillId="0" borderId="58" xfId="0" applyFont="1" applyFill="1" applyBorder="1" applyAlignment="1">
      <alignment wrapText="1"/>
    </xf>
    <xf numFmtId="0" fontId="0" fillId="0" borderId="59" xfId="0" applyBorder="1"/>
    <xf numFmtId="0" fontId="30" fillId="0" borderId="23" xfId="0" applyFont="1" applyFill="1" applyBorder="1" applyAlignment="1">
      <alignment horizontal="center"/>
    </xf>
    <xf numFmtId="0" fontId="30" fillId="0" borderId="0" xfId="0" applyFont="1" applyFill="1" applyBorder="1" applyAlignment="1">
      <alignment horizontal="center"/>
    </xf>
    <xf numFmtId="9" fontId="76" fillId="0" borderId="0" xfId="48" applyFont="1" applyFill="1" applyBorder="1" applyAlignment="1">
      <alignment horizontal="center"/>
    </xf>
    <xf numFmtId="0" fontId="0" fillId="0" borderId="0" xfId="0" applyBorder="1" applyAlignment="1">
      <alignment horizontal="center"/>
    </xf>
    <xf numFmtId="0" fontId="9" fillId="0" borderId="24" xfId="0" applyFont="1" applyFill="1" applyBorder="1" applyAlignment="1">
      <alignment horizontal="center"/>
    </xf>
    <xf numFmtId="170" fontId="9" fillId="0" borderId="0" xfId="31" applyNumberFormat="1" applyFont="1" applyBorder="1"/>
    <xf numFmtId="165" fontId="0" fillId="0" borderId="0" xfId="0" applyNumberFormat="1" applyBorder="1"/>
    <xf numFmtId="0" fontId="9" fillId="0" borderId="34" xfId="0" applyFont="1" applyBorder="1" applyAlignment="1">
      <alignment vertical="center"/>
    </xf>
    <xf numFmtId="170" fontId="0" fillId="0" borderId="34" xfId="0" applyNumberFormat="1" applyBorder="1" applyAlignment="1">
      <alignment vertical="center"/>
    </xf>
    <xf numFmtId="165" fontId="0" fillId="0" borderId="34" xfId="28" applyNumberFormat="1" applyFont="1" applyBorder="1" applyAlignment="1">
      <alignment vertical="center"/>
    </xf>
    <xf numFmtId="0" fontId="9" fillId="0" borderId="28" xfId="0" applyFont="1" applyBorder="1" applyAlignment="1">
      <alignment vertical="center"/>
    </xf>
    <xf numFmtId="170" fontId="0" fillId="0" borderId="28" xfId="0" applyNumberFormat="1" applyBorder="1" applyAlignment="1">
      <alignment vertical="center"/>
    </xf>
    <xf numFmtId="165" fontId="0" fillId="0" borderId="28" xfId="28" applyNumberFormat="1" applyFont="1" applyBorder="1" applyAlignment="1">
      <alignment vertical="center"/>
    </xf>
    <xf numFmtId="0" fontId="9" fillId="0" borderId="39" xfId="0" applyFont="1" applyFill="1" applyBorder="1"/>
    <xf numFmtId="0" fontId="37" fillId="0" borderId="0" xfId="0" applyFont="1" applyFill="1" applyBorder="1" applyAlignment="1"/>
    <xf numFmtId="0" fontId="123" fillId="0" borderId="0" xfId="0" applyFont="1" applyBorder="1" applyAlignment="1">
      <alignment horizontal="right" wrapText="1"/>
    </xf>
    <xf numFmtId="0" fontId="9" fillId="0" borderId="0" xfId="0" applyFont="1" applyBorder="1" applyAlignment="1">
      <alignment wrapText="1"/>
    </xf>
    <xf numFmtId="0" fontId="32" fillId="0" borderId="0" xfId="0" applyFont="1" applyFill="1" applyBorder="1"/>
    <xf numFmtId="0" fontId="9" fillId="0" borderId="24" xfId="0" applyFont="1" applyFill="1" applyBorder="1" applyAlignment="1"/>
    <xf numFmtId="0" fontId="9" fillId="0" borderId="84" xfId="0" applyFont="1" applyBorder="1" applyAlignment="1"/>
    <xf numFmtId="0" fontId="120" fillId="26" borderId="65" xfId="0" applyFont="1" applyFill="1" applyBorder="1" applyAlignment="1">
      <alignment horizontal="center"/>
    </xf>
    <xf numFmtId="0" fontId="9" fillId="0" borderId="27" xfId="0" applyFont="1" applyBorder="1" applyAlignment="1"/>
    <xf numFmtId="0" fontId="124" fillId="0" borderId="0" xfId="0" applyFont="1" applyFill="1" applyBorder="1"/>
    <xf numFmtId="0" fontId="120" fillId="26" borderId="67" xfId="0" applyFont="1" applyFill="1" applyBorder="1" applyAlignment="1">
      <alignment horizontal="center"/>
    </xf>
    <xf numFmtId="0" fontId="9" fillId="0" borderId="24" xfId="0" applyFont="1" applyBorder="1" applyAlignment="1">
      <alignment horizontal="right"/>
    </xf>
    <xf numFmtId="44" fontId="9" fillId="26" borderId="27" xfId="31" applyFont="1" applyFill="1" applyBorder="1"/>
    <xf numFmtId="0" fontId="125" fillId="0" borderId="0" xfId="0" applyFont="1" applyBorder="1" applyAlignment="1">
      <alignment horizontal="center"/>
    </xf>
    <xf numFmtId="0" fontId="35" fillId="0" borderId="32" xfId="0" applyFont="1" applyFill="1" applyBorder="1" applyAlignment="1">
      <alignment horizontal="center" wrapText="1"/>
    </xf>
    <xf numFmtId="1" fontId="9" fillId="26" borderId="30" xfId="0" applyNumberFormat="1" applyFont="1" applyFill="1" applyBorder="1"/>
    <xf numFmtId="0" fontId="9" fillId="0" borderId="66" xfId="0" applyFont="1" applyBorder="1" applyAlignment="1">
      <alignment horizontal="left"/>
    </xf>
    <xf numFmtId="0" fontId="120" fillId="77" borderId="67" xfId="0" applyFont="1" applyFill="1" applyBorder="1" applyAlignment="1">
      <alignment horizontal="center"/>
    </xf>
    <xf numFmtId="0" fontId="9" fillId="0" borderId="0" xfId="0" quotePrefix="1" applyFont="1" applyFill="1" applyBorder="1"/>
    <xf numFmtId="0" fontId="120" fillId="0" borderId="58" xfId="0" applyFont="1" applyBorder="1" applyAlignment="1">
      <alignment wrapText="1"/>
    </xf>
    <xf numFmtId="0" fontId="9" fillId="64" borderId="59" xfId="0" applyFont="1" applyFill="1" applyBorder="1" applyAlignment="1">
      <alignment horizontal="center"/>
    </xf>
    <xf numFmtId="165" fontId="9" fillId="73" borderId="10" xfId="28" applyNumberFormat="1" applyFont="1" applyFill="1" applyBorder="1" applyAlignment="1">
      <alignment horizontal="right" wrapText="1"/>
    </xf>
    <xf numFmtId="0" fontId="9" fillId="65" borderId="67" xfId="0" applyFont="1" applyFill="1" applyBorder="1" applyAlignment="1">
      <alignment wrapText="1"/>
    </xf>
    <xf numFmtId="0" fontId="9" fillId="0" borderId="27" xfId="0" applyNumberFormat="1" applyFont="1" applyFill="1" applyBorder="1" applyAlignment="1">
      <alignment wrapText="1"/>
    </xf>
    <xf numFmtId="44" fontId="9" fillId="0" borderId="0" xfId="31" applyFont="1" applyFill="1" applyBorder="1" applyAlignment="1">
      <alignment horizontal="center"/>
    </xf>
    <xf numFmtId="0" fontId="125" fillId="0" borderId="0" xfId="0" applyFont="1" applyBorder="1" applyAlignment="1">
      <alignment horizontal="center" wrapText="1"/>
    </xf>
    <xf numFmtId="44" fontId="9" fillId="26" borderId="10" xfId="31" applyFont="1" applyFill="1" applyBorder="1" applyAlignment="1">
      <alignment wrapText="1"/>
    </xf>
    <xf numFmtId="10" fontId="9" fillId="65" borderId="67" xfId="0" applyNumberFormat="1" applyFont="1" applyFill="1" applyBorder="1" applyAlignment="1">
      <alignment wrapText="1"/>
    </xf>
    <xf numFmtId="0" fontId="35" fillId="26" borderId="32" xfId="0" applyFont="1" applyFill="1" applyBorder="1" applyAlignment="1">
      <alignment horizontal="center" wrapText="1"/>
    </xf>
    <xf numFmtId="0" fontId="9" fillId="0" borderId="40" xfId="0" applyFont="1" applyFill="1" applyBorder="1"/>
    <xf numFmtId="0" fontId="125" fillId="0" borderId="0" xfId="0" applyFont="1" applyFill="1" applyBorder="1" applyAlignment="1">
      <alignment horizontal="center"/>
    </xf>
    <xf numFmtId="170" fontId="9" fillId="73" borderId="10" xfId="31" applyNumberFormat="1" applyFont="1" applyFill="1" applyBorder="1" applyAlignment="1">
      <alignment horizontal="right" wrapText="1"/>
    </xf>
    <xf numFmtId="0" fontId="9" fillId="69" borderId="67" xfId="0" applyFont="1" applyFill="1" applyBorder="1" applyAlignment="1">
      <alignment wrapText="1"/>
    </xf>
    <xf numFmtId="0" fontId="9" fillId="0" borderId="0" xfId="0" applyFont="1" applyBorder="1" applyAlignment="1">
      <alignment vertical="center" wrapText="1"/>
    </xf>
    <xf numFmtId="44" fontId="119" fillId="77" borderId="27" xfId="0" applyNumberFormat="1" applyFont="1" applyFill="1" applyBorder="1" applyAlignment="1">
      <alignment horizontal="center"/>
    </xf>
    <xf numFmtId="44" fontId="9" fillId="73" borderId="0" xfId="0" applyNumberFormat="1" applyFont="1" applyFill="1" applyBorder="1"/>
    <xf numFmtId="0" fontId="9" fillId="0" borderId="27" xfId="0" applyFont="1" applyFill="1" applyBorder="1"/>
    <xf numFmtId="0" fontId="35" fillId="0" borderId="82" xfId="0" applyFont="1" applyFill="1" applyBorder="1" applyAlignment="1">
      <alignment horizontal="left" wrapText="1"/>
    </xf>
    <xf numFmtId="43" fontId="9" fillId="0" borderId="0" xfId="0" applyNumberFormat="1" applyFont="1"/>
    <xf numFmtId="44" fontId="9" fillId="26" borderId="27" xfId="31" applyFont="1" applyFill="1" applyBorder="1" applyAlignment="1">
      <alignment horizontal="center"/>
    </xf>
    <xf numFmtId="170" fontId="9" fillId="73" borderId="0" xfId="31" applyNumberFormat="1" applyFont="1" applyFill="1" applyBorder="1"/>
    <xf numFmtId="0" fontId="9" fillId="65" borderId="76" xfId="0" applyFont="1" applyFill="1" applyBorder="1" applyAlignment="1">
      <alignment wrapText="1"/>
    </xf>
    <xf numFmtId="0" fontId="123" fillId="24" borderId="21" xfId="0" applyFont="1" applyFill="1" applyBorder="1" applyAlignment="1">
      <alignment horizontal="left" wrapText="1"/>
    </xf>
    <xf numFmtId="0" fontId="30" fillId="0" borderId="67" xfId="0" applyFont="1" applyBorder="1" applyAlignment="1">
      <alignment horizontal="center" wrapText="1"/>
    </xf>
    <xf numFmtId="0" fontId="30" fillId="0" borderId="0" xfId="0" applyFont="1" applyBorder="1" applyAlignment="1">
      <alignment horizontal="center"/>
    </xf>
    <xf numFmtId="0" fontId="9" fillId="0" borderId="25" xfId="0" applyFont="1" applyFill="1" applyBorder="1" applyAlignment="1">
      <alignment horizontal="left"/>
    </xf>
    <xf numFmtId="165" fontId="119" fillId="26" borderId="30" xfId="28" applyNumberFormat="1" applyFont="1" applyFill="1" applyBorder="1" applyAlignment="1">
      <alignment horizontal="center"/>
    </xf>
    <xf numFmtId="166" fontId="9" fillId="73" borderId="55" xfId="0" applyNumberFormat="1" applyFont="1" applyFill="1" applyBorder="1" applyAlignment="1">
      <alignment horizontal="right" wrapText="1"/>
    </xf>
    <xf numFmtId="0" fontId="100" fillId="0" borderId="27" xfId="0" applyFont="1" applyFill="1" applyBorder="1" applyAlignment="1">
      <alignment wrapText="1"/>
    </xf>
    <xf numFmtId="8" fontId="32" fillId="73" borderId="67" xfId="0" applyNumberFormat="1" applyFont="1" applyFill="1" applyBorder="1" applyAlignment="1">
      <alignment horizontal="center" wrapText="1" shrinkToFit="1"/>
    </xf>
    <xf numFmtId="6" fontId="32" fillId="73" borderId="67" xfId="0" applyNumberFormat="1" applyFont="1" applyFill="1" applyBorder="1" applyAlignment="1">
      <alignment horizontal="center" wrapText="1" shrinkToFit="1"/>
    </xf>
    <xf numFmtId="166" fontId="119" fillId="73" borderId="0" xfId="0" applyNumberFormat="1" applyFont="1" applyFill="1" applyBorder="1" applyAlignment="1">
      <alignment horizontal="right" wrapText="1"/>
    </xf>
    <xf numFmtId="171" fontId="9" fillId="73" borderId="76" xfId="29" applyNumberFormat="1" applyFont="1" applyFill="1" applyBorder="1" applyAlignment="1" applyProtection="1">
      <alignment horizontal="center" wrapText="1"/>
    </xf>
    <xf numFmtId="44" fontId="9" fillId="73" borderId="0" xfId="31" applyFont="1" applyFill="1" applyBorder="1"/>
    <xf numFmtId="0" fontId="30" fillId="72" borderId="60" xfId="0" applyFont="1" applyFill="1" applyBorder="1" applyAlignment="1">
      <alignment wrapText="1"/>
    </xf>
    <xf numFmtId="6" fontId="30" fillId="73" borderId="81" xfId="0" applyNumberFormat="1" applyFont="1" applyFill="1" applyBorder="1" applyAlignment="1">
      <alignment horizontal="center" wrapText="1"/>
    </xf>
    <xf numFmtId="166" fontId="9" fillId="73" borderId="0" xfId="0" applyNumberFormat="1" applyFont="1" applyFill="1" applyBorder="1" applyAlignment="1">
      <alignment horizontal="right" wrapText="1"/>
    </xf>
    <xf numFmtId="0" fontId="125" fillId="0" borderId="27" xfId="0" applyNumberFormat="1" applyFont="1" applyFill="1" applyBorder="1" applyAlignment="1">
      <alignment wrapText="1"/>
    </xf>
    <xf numFmtId="2" fontId="30" fillId="0" borderId="0" xfId="0" applyNumberFormat="1" applyFont="1" applyFill="1" applyBorder="1" applyAlignment="1">
      <alignment horizontal="center" wrapText="1"/>
    </xf>
    <xf numFmtId="44" fontId="119" fillId="26" borderId="27" xfId="31" applyFont="1" applyFill="1" applyBorder="1" applyAlignment="1">
      <alignment horizontal="center"/>
    </xf>
    <xf numFmtId="0" fontId="126" fillId="0" borderId="0" xfId="0" applyFont="1" applyBorder="1" applyAlignment="1">
      <alignment wrapText="1"/>
    </xf>
    <xf numFmtId="6" fontId="9" fillId="0" borderId="0" xfId="0" applyNumberFormat="1" applyFont="1" applyFill="1" applyBorder="1" applyAlignment="1">
      <alignment wrapText="1"/>
    </xf>
    <xf numFmtId="6" fontId="30" fillId="0" borderId="22" xfId="0" applyNumberFormat="1" applyFont="1" applyFill="1" applyBorder="1" applyAlignment="1">
      <alignment wrapText="1"/>
    </xf>
    <xf numFmtId="0" fontId="30" fillId="0" borderId="65" xfId="0" applyFont="1" applyBorder="1" applyAlignment="1">
      <alignment horizontal="center"/>
    </xf>
    <xf numFmtId="170" fontId="119" fillId="73" borderId="28" xfId="31" applyNumberFormat="1" applyFont="1" applyFill="1" applyBorder="1" applyAlignment="1">
      <alignment horizontal="right" wrapText="1"/>
    </xf>
    <xf numFmtId="0" fontId="119" fillId="0" borderId="30" xfId="0" quotePrefix="1" applyFont="1" applyFill="1" applyBorder="1" applyAlignment="1">
      <alignment wrapText="1"/>
    </xf>
    <xf numFmtId="0" fontId="9" fillId="0" borderId="66" xfId="0" applyFont="1" applyFill="1" applyBorder="1" applyAlignment="1">
      <alignment wrapText="1"/>
    </xf>
    <xf numFmtId="0" fontId="9" fillId="0" borderId="10" xfId="0" applyFont="1" applyBorder="1" applyAlignment="1">
      <alignment wrapText="1"/>
    </xf>
    <xf numFmtId="165" fontId="9" fillId="73" borderId="67" xfId="28" applyNumberFormat="1" applyFont="1" applyFill="1" applyBorder="1"/>
    <xf numFmtId="9" fontId="9" fillId="0" borderId="0" xfId="48" applyFont="1" applyFill="1" applyBorder="1" applyAlignment="1">
      <alignment horizontal="center"/>
    </xf>
    <xf numFmtId="0" fontId="120" fillId="0" borderId="0" xfId="0" applyFont="1" applyFill="1" applyBorder="1" applyAlignment="1">
      <alignment wrapText="1"/>
    </xf>
    <xf numFmtId="3" fontId="125" fillId="0" borderId="0" xfId="0" applyNumberFormat="1" applyFont="1" applyFill="1" applyBorder="1" applyAlignment="1">
      <alignment horizontal="right" wrapText="1"/>
    </xf>
    <xf numFmtId="0" fontId="125" fillId="0" borderId="0" xfId="0" applyFont="1" applyFill="1" applyBorder="1" applyAlignment="1">
      <alignment wrapText="1"/>
    </xf>
    <xf numFmtId="6" fontId="9" fillId="0" borderId="10" xfId="0" applyNumberFormat="1" applyFont="1" applyFill="1" applyBorder="1" applyAlignment="1">
      <alignment wrapText="1"/>
    </xf>
    <xf numFmtId="165" fontId="9" fillId="73" borderId="67" xfId="0" applyNumberFormat="1" applyFont="1" applyFill="1" applyBorder="1"/>
    <xf numFmtId="9" fontId="9" fillId="0" borderId="0" xfId="48" applyFont="1" applyFill="1" applyBorder="1" applyAlignment="1">
      <alignment horizontal="right" wrapText="1"/>
    </xf>
    <xf numFmtId="0" fontId="126" fillId="0" borderId="0" xfId="0" applyFont="1" applyBorder="1" applyAlignment="1">
      <alignment horizontal="center" wrapText="1"/>
    </xf>
    <xf numFmtId="9" fontId="9" fillId="0" borderId="0" xfId="0" applyNumberFormat="1" applyFont="1" applyFill="1" applyBorder="1" applyAlignment="1">
      <alignment wrapText="1"/>
    </xf>
    <xf numFmtId="10" fontId="9" fillId="0" borderId="0" xfId="0" applyNumberFormat="1" applyFont="1" applyFill="1" applyBorder="1" applyAlignment="1">
      <alignment wrapText="1"/>
    </xf>
    <xf numFmtId="43" fontId="9" fillId="73" borderId="67" xfId="28" applyNumberFormat="1" applyFont="1" applyFill="1" applyBorder="1"/>
    <xf numFmtId="3" fontId="9" fillId="0" borderId="0" xfId="0" applyNumberFormat="1" applyFont="1" applyFill="1" applyBorder="1" applyAlignment="1">
      <alignment horizontal="right" wrapText="1"/>
    </xf>
    <xf numFmtId="10" fontId="9" fillId="0" borderId="0" xfId="0" applyNumberFormat="1" applyFont="1" applyFill="1" applyBorder="1" applyAlignment="1">
      <alignment horizontal="left" wrapText="1"/>
    </xf>
    <xf numFmtId="0" fontId="9" fillId="0" borderId="27" xfId="0" applyNumberFormat="1" applyFont="1" applyFill="1" applyBorder="1" applyAlignment="1">
      <alignment horizontal="left" wrapText="1"/>
    </xf>
    <xf numFmtId="0" fontId="126" fillId="0" borderId="0" xfId="0" applyFont="1" applyBorder="1" applyAlignment="1">
      <alignment horizontal="left" wrapText="1"/>
    </xf>
    <xf numFmtId="165" fontId="9" fillId="0" borderId="27" xfId="28" applyNumberFormat="1" applyFont="1" applyBorder="1"/>
    <xf numFmtId="3" fontId="30" fillId="0" borderId="0" xfId="0" applyNumberFormat="1" applyFont="1" applyFill="1" applyBorder="1" applyAlignment="1">
      <alignment horizontal="right" wrapText="1"/>
    </xf>
    <xf numFmtId="10" fontId="30" fillId="0" borderId="0" xfId="0" applyNumberFormat="1" applyFont="1" applyFill="1" applyBorder="1" applyAlignment="1">
      <alignment horizontal="left" wrapText="1"/>
    </xf>
    <xf numFmtId="0" fontId="9" fillId="0" borderId="0" xfId="0" applyFont="1" applyBorder="1" applyAlignment="1">
      <alignment horizontal="left"/>
    </xf>
    <xf numFmtId="0" fontId="126" fillId="0" borderId="0" xfId="0" applyFont="1" applyBorder="1" applyAlignment="1">
      <alignment horizontal="left"/>
    </xf>
    <xf numFmtId="0" fontId="9" fillId="0" borderId="58" xfId="0" applyFont="1" applyFill="1" applyBorder="1" applyAlignment="1">
      <alignment wrapText="1"/>
    </xf>
    <xf numFmtId="6" fontId="9" fillId="0" borderId="69" xfId="0" applyNumberFormat="1" applyFont="1" applyFill="1" applyBorder="1" applyAlignment="1">
      <alignment wrapText="1"/>
    </xf>
    <xf numFmtId="165" fontId="9" fillId="73" borderId="59" xfId="28" applyNumberFormat="1" applyFont="1" applyFill="1" applyBorder="1"/>
    <xf numFmtId="0" fontId="9" fillId="0" borderId="28" xfId="0" applyFont="1" applyFill="1" applyBorder="1" applyAlignment="1">
      <alignment wrapText="1"/>
    </xf>
    <xf numFmtId="164" fontId="30" fillId="0" borderId="28" xfId="29" applyNumberFormat="1" applyFont="1" applyFill="1" applyBorder="1" applyAlignment="1" applyProtection="1">
      <alignment horizontal="center" vertical="center" wrapText="1"/>
    </xf>
    <xf numFmtId="166" fontId="9" fillId="0" borderId="0" xfId="0" applyNumberFormat="1" applyFont="1" applyFill="1" applyBorder="1" applyAlignment="1">
      <alignment horizontal="right" wrapText="1"/>
    </xf>
    <xf numFmtId="0" fontId="9" fillId="0" borderId="0" xfId="0" quotePrefix="1" applyFont="1" applyFill="1" applyBorder="1" applyAlignment="1">
      <alignment wrapText="1"/>
    </xf>
    <xf numFmtId="0" fontId="30" fillId="24" borderId="21" xfId="0" applyFont="1" applyFill="1" applyBorder="1" applyAlignment="1">
      <alignment wrapText="1"/>
    </xf>
    <xf numFmtId="0" fontId="30" fillId="0" borderId="22" xfId="0" applyFont="1" applyFill="1" applyBorder="1" applyAlignment="1">
      <alignment wrapText="1"/>
    </xf>
    <xf numFmtId="42" fontId="35" fillId="73" borderId="31" xfId="0" applyNumberFormat="1" applyFont="1" applyFill="1" applyBorder="1" applyAlignment="1">
      <alignment horizontal="right"/>
    </xf>
    <xf numFmtId="0" fontId="125" fillId="0" borderId="39" xfId="0" applyFont="1" applyFill="1" applyBorder="1" applyAlignment="1">
      <alignment wrapText="1"/>
    </xf>
    <xf numFmtId="0" fontId="9" fillId="0" borderId="34" xfId="0" applyFont="1" applyFill="1" applyBorder="1"/>
    <xf numFmtId="0" fontId="9" fillId="0" borderId="40" xfId="0" applyFont="1" applyBorder="1" applyAlignment="1"/>
    <xf numFmtId="0" fontId="35" fillId="26" borderId="32" xfId="28" applyNumberFormat="1" applyFont="1" applyFill="1" applyBorder="1" applyAlignment="1">
      <alignment wrapText="1"/>
    </xf>
    <xf numFmtId="0" fontId="35" fillId="64" borderId="32" xfId="28" applyNumberFormat="1" applyFont="1" applyFill="1" applyBorder="1" applyAlignment="1">
      <alignment horizontal="center" wrapText="1"/>
    </xf>
    <xf numFmtId="0" fontId="32" fillId="0" borderId="0" xfId="0" applyFont="1" applyFill="1" applyBorder="1" applyAlignment="1">
      <alignment wrapText="1"/>
    </xf>
    <xf numFmtId="165" fontId="35" fillId="73" borderId="43" xfId="28" applyNumberFormat="1" applyFont="1" applyFill="1" applyBorder="1" applyAlignment="1">
      <alignment wrapText="1"/>
    </xf>
    <xf numFmtId="8" fontId="9" fillId="64" borderId="10" xfId="0" applyNumberFormat="1" applyFont="1" applyFill="1" applyBorder="1"/>
    <xf numFmtId="165" fontId="35" fillId="73" borderId="31" xfId="28" applyNumberFormat="1" applyFont="1" applyFill="1" applyBorder="1" applyAlignment="1">
      <alignment wrapText="1"/>
    </xf>
    <xf numFmtId="165" fontId="35" fillId="0" borderId="32" xfId="28" applyNumberFormat="1" applyFont="1" applyFill="1" applyBorder="1" applyAlignment="1">
      <alignment wrapText="1"/>
    </xf>
    <xf numFmtId="0" fontId="9" fillId="0" borderId="42" xfId="0" applyFont="1" applyFill="1" applyBorder="1" applyAlignment="1">
      <alignment wrapText="1"/>
    </xf>
    <xf numFmtId="165" fontId="35" fillId="64" borderId="32" xfId="28" applyNumberFormat="1" applyFont="1" applyFill="1" applyBorder="1" applyAlignment="1">
      <alignment wrapText="1"/>
    </xf>
    <xf numFmtId="3" fontId="35" fillId="26" borderId="43" xfId="28" applyNumberFormat="1" applyFont="1" applyFill="1" applyBorder="1" applyAlignment="1">
      <alignment wrapText="1"/>
    </xf>
    <xf numFmtId="0" fontId="35" fillId="64" borderId="31" xfId="28" applyNumberFormat="1" applyFont="1" applyFill="1" applyBorder="1" applyAlignment="1">
      <alignment wrapText="1"/>
    </xf>
    <xf numFmtId="3" fontId="35" fillId="26" borderId="32" xfId="28" applyNumberFormat="1" applyFont="1" applyFill="1" applyBorder="1" applyAlignment="1">
      <alignment wrapText="1"/>
    </xf>
    <xf numFmtId="0" fontId="9" fillId="0" borderId="75" xfId="0" applyFont="1" applyFill="1" applyBorder="1" applyAlignment="1">
      <alignment wrapText="1"/>
    </xf>
    <xf numFmtId="3" fontId="35" fillId="64" borderId="33" xfId="28" applyNumberFormat="1" applyFont="1" applyFill="1" applyBorder="1" applyAlignment="1">
      <alignment wrapText="1"/>
    </xf>
    <xf numFmtId="0" fontId="37" fillId="0" borderId="26" xfId="0" applyFont="1" applyFill="1" applyBorder="1" applyAlignment="1">
      <alignment horizontal="right" wrapText="1"/>
    </xf>
    <xf numFmtId="0" fontId="9" fillId="0" borderId="26" xfId="0" applyFont="1" applyFill="1" applyBorder="1" applyAlignment="1">
      <alignment wrapText="1"/>
    </xf>
    <xf numFmtId="0" fontId="9" fillId="0" borderId="26" xfId="0" applyFont="1" applyFill="1" applyBorder="1"/>
    <xf numFmtId="0" fontId="37" fillId="24" borderId="39" xfId="0" applyFont="1" applyFill="1" applyBorder="1" applyAlignment="1">
      <alignment horizontal="left" wrapText="1"/>
    </xf>
    <xf numFmtId="0" fontId="30" fillId="0" borderId="34" xfId="0" applyFont="1" applyFill="1" applyBorder="1" applyAlignment="1">
      <alignment wrapText="1"/>
    </xf>
    <xf numFmtId="0" fontId="30" fillId="0" borderId="40" xfId="0" applyFont="1" applyFill="1" applyBorder="1"/>
    <xf numFmtId="0" fontId="32" fillId="0" borderId="24" xfId="0" applyFont="1" applyFill="1" applyBorder="1" applyAlignment="1">
      <alignment horizontal="left" wrapText="1"/>
    </xf>
    <xf numFmtId="168" fontId="35" fillId="64" borderId="32" xfId="0" applyNumberFormat="1" applyFont="1" applyFill="1" applyBorder="1"/>
    <xf numFmtId="165" fontId="35" fillId="0" borderId="0" xfId="28" applyNumberFormat="1" applyFont="1" applyFill="1" applyBorder="1" applyAlignment="1">
      <alignment wrapText="1"/>
    </xf>
    <xf numFmtId="0" fontId="32" fillId="0" borderId="25" xfId="0" applyFont="1" applyFill="1" applyBorder="1" applyAlignment="1">
      <alignment horizontal="left" wrapText="1"/>
    </xf>
    <xf numFmtId="43" fontId="35" fillId="77" borderId="33" xfId="28" applyNumberFormat="1" applyFont="1" applyFill="1" applyBorder="1" applyAlignment="1">
      <alignment wrapText="1"/>
    </xf>
    <xf numFmtId="0" fontId="37" fillId="0" borderId="34" xfId="0" applyFont="1" applyFill="1" applyBorder="1" applyAlignment="1">
      <alignment horizontal="right" wrapText="1"/>
    </xf>
    <xf numFmtId="0" fontId="9" fillId="0" borderId="34" xfId="0" applyFont="1" applyFill="1" applyBorder="1" applyAlignment="1">
      <alignment wrapText="1"/>
    </xf>
    <xf numFmtId="0" fontId="37" fillId="24" borderId="21" xfId="0" applyFont="1" applyFill="1" applyBorder="1" applyAlignment="1">
      <alignment horizontal="left" wrapText="1"/>
    </xf>
    <xf numFmtId="0" fontId="30" fillId="0" borderId="23" xfId="0" applyFont="1" applyFill="1" applyBorder="1"/>
    <xf numFmtId="44" fontId="9" fillId="64" borderId="10" xfId="0" applyNumberFormat="1" applyFont="1" applyFill="1" applyBorder="1"/>
    <xf numFmtId="0" fontId="9" fillId="0" borderId="25" xfId="0" applyFont="1" applyFill="1" applyBorder="1" applyAlignment="1"/>
    <xf numFmtId="0" fontId="9" fillId="0" borderId="28" xfId="0" applyFont="1" applyBorder="1" applyAlignment="1"/>
    <xf numFmtId="0" fontId="9" fillId="0" borderId="30" xfId="0" applyFont="1" applyBorder="1" applyAlignment="1"/>
    <xf numFmtId="9" fontId="32" fillId="64" borderId="10" xfId="49" applyFont="1" applyFill="1" applyBorder="1" applyAlignment="1">
      <alignment wrapText="1"/>
    </xf>
    <xf numFmtId="44" fontId="32" fillId="64" borderId="10" xfId="31" applyFont="1" applyFill="1" applyBorder="1" applyAlignment="1">
      <alignment horizontal="right" wrapText="1"/>
    </xf>
    <xf numFmtId="0" fontId="124" fillId="0" borderId="0" xfId="0" applyFont="1" applyFill="1" applyBorder="1" applyAlignment="1">
      <alignment wrapText="1"/>
    </xf>
    <xf numFmtId="0" fontId="32" fillId="0" borderId="28" xfId="0" applyFont="1" applyFill="1" applyBorder="1" applyAlignment="1">
      <alignment wrapText="1"/>
    </xf>
    <xf numFmtId="0" fontId="9" fillId="0" borderId="0" xfId="0" applyFont="1" applyFill="1" applyAlignment="1">
      <alignment wrapText="1"/>
    </xf>
    <xf numFmtId="0" fontId="37" fillId="0" borderId="0" xfId="0" applyFont="1" applyFill="1" applyBorder="1" applyAlignment="1">
      <alignment horizontal="right" wrapText="1"/>
    </xf>
    <xf numFmtId="0" fontId="37" fillId="24" borderId="11" xfId="0" applyFont="1" applyFill="1" applyBorder="1" applyAlignment="1">
      <alignment horizontal="left" wrapText="1"/>
    </xf>
    <xf numFmtId="0" fontId="9" fillId="0" borderId="14" xfId="0" applyFont="1" applyBorder="1"/>
    <xf numFmtId="0" fontId="30" fillId="0" borderId="14" xfId="0" applyFont="1" applyFill="1" applyBorder="1"/>
    <xf numFmtId="0" fontId="30" fillId="0" borderId="14" xfId="0" applyFont="1" applyBorder="1" applyAlignment="1">
      <alignment horizontal="center"/>
    </xf>
    <xf numFmtId="0" fontId="37" fillId="0" borderId="0" xfId="0" applyFont="1" applyBorder="1" applyAlignment="1">
      <alignment horizontal="center"/>
    </xf>
    <xf numFmtId="0" fontId="128" fillId="0" borderId="13" xfId="0" applyFont="1" applyBorder="1" applyAlignment="1">
      <alignment horizontal="right" wrapText="1"/>
    </xf>
    <xf numFmtId="170" fontId="35" fillId="0" borderId="0" xfId="0" applyNumberFormat="1" applyFont="1" applyFill="1" applyBorder="1" applyAlignment="1">
      <alignment horizontal="right"/>
    </xf>
    <xf numFmtId="6" fontId="37" fillId="0" borderId="0" xfId="0" applyNumberFormat="1" applyFont="1" applyFill="1" applyBorder="1"/>
    <xf numFmtId="42" fontId="35" fillId="0" borderId="0" xfId="0" applyNumberFormat="1" applyFont="1" applyFill="1" applyBorder="1" applyAlignment="1">
      <alignment horizontal="right"/>
    </xf>
    <xf numFmtId="0" fontId="37" fillId="0" borderId="13" xfId="0" applyFont="1" applyBorder="1" applyAlignment="1">
      <alignment horizontal="right" wrapText="1"/>
    </xf>
    <xf numFmtId="6" fontId="9" fillId="0" borderId="0" xfId="0" applyNumberFormat="1" applyFont="1" applyBorder="1"/>
    <xf numFmtId="170" fontId="9" fillId="0" borderId="0" xfId="0" applyNumberFormat="1" applyFont="1" applyBorder="1"/>
    <xf numFmtId="0" fontId="30" fillId="0" borderId="0" xfId="0" applyFont="1" applyBorder="1"/>
    <xf numFmtId="0" fontId="37" fillId="0" borderId="17" xfId="0" applyFont="1" applyBorder="1" applyAlignment="1">
      <alignment horizontal="right" wrapText="1"/>
    </xf>
    <xf numFmtId="0" fontId="30" fillId="0" borderId="15" xfId="0" applyFont="1" applyBorder="1"/>
    <xf numFmtId="0" fontId="30" fillId="0" borderId="15" xfId="0" applyFont="1" applyFill="1" applyBorder="1"/>
    <xf numFmtId="6" fontId="30" fillId="0" borderId="15" xfId="0" applyNumberFormat="1" applyFont="1" applyBorder="1"/>
    <xf numFmtId="6" fontId="30" fillId="0" borderId="0" xfId="0" applyNumberFormat="1" applyFont="1" applyBorder="1"/>
    <xf numFmtId="0" fontId="37" fillId="0" borderId="0" xfId="0" applyFont="1" applyBorder="1" applyAlignment="1">
      <alignment horizontal="right" wrapText="1"/>
    </xf>
    <xf numFmtId="166" fontId="9" fillId="0" borderId="0" xfId="0" applyNumberFormat="1" applyFont="1" applyFill="1" applyBorder="1" applyAlignment="1">
      <alignment horizontal="right"/>
    </xf>
    <xf numFmtId="0" fontId="37" fillId="0" borderId="0" xfId="0" applyFont="1" applyBorder="1"/>
    <xf numFmtId="165" fontId="9" fillId="0" borderId="0" xfId="28" applyNumberFormat="1" applyFont="1" applyBorder="1"/>
    <xf numFmtId="166" fontId="35" fillId="0" borderId="0" xfId="0" applyNumberFormat="1" applyFont="1" applyFill="1" applyBorder="1" applyAlignment="1">
      <alignment horizontal="right"/>
    </xf>
    <xf numFmtId="0" fontId="37" fillId="0" borderId="13" xfId="0" applyFont="1" applyFill="1" applyBorder="1" applyAlignment="1">
      <alignment horizontal="right" wrapText="1"/>
    </xf>
    <xf numFmtId="42" fontId="32" fillId="0" borderId="0" xfId="32" applyNumberFormat="1" applyFont="1" applyFill="1" applyBorder="1" applyAlignment="1">
      <alignment horizontal="right"/>
    </xf>
    <xf numFmtId="0" fontId="30" fillId="0" borderId="0" xfId="0" applyFont="1" applyFill="1" applyAlignment="1">
      <alignment wrapText="1"/>
    </xf>
    <xf numFmtId="42" fontId="37" fillId="0" borderId="0" xfId="32" applyNumberFormat="1" applyFont="1" applyFill="1" applyBorder="1"/>
    <xf numFmtId="42" fontId="32" fillId="0" borderId="0" xfId="32" applyNumberFormat="1" applyFont="1" applyFill="1" applyBorder="1"/>
    <xf numFmtId="165" fontId="9" fillId="0" borderId="0" xfId="28" applyNumberFormat="1" applyFont="1" applyFill="1" applyBorder="1" applyAlignment="1">
      <alignment horizontal="right"/>
    </xf>
    <xf numFmtId="42" fontId="37" fillId="0" borderId="15" xfId="32" applyNumberFormat="1" applyFont="1" applyFill="1" applyBorder="1"/>
    <xf numFmtId="0" fontId="9" fillId="0" borderId="14" xfId="0" applyFont="1" applyFill="1" applyBorder="1"/>
    <xf numFmtId="0" fontId="30" fillId="0" borderId="14" xfId="0" applyFont="1" applyFill="1" applyBorder="1" applyAlignment="1">
      <alignment horizontal="center"/>
    </xf>
    <xf numFmtId="0" fontId="37" fillId="0" borderId="0" xfId="0" applyFont="1" applyFill="1" applyBorder="1" applyAlignment="1">
      <alignment horizontal="center"/>
    </xf>
    <xf numFmtId="0" fontId="37" fillId="0" borderId="0" xfId="0" applyFont="1" applyFill="1" applyBorder="1"/>
    <xf numFmtId="0" fontId="128" fillId="0" borderId="13" xfId="0" applyFont="1" applyFill="1" applyBorder="1" applyAlignment="1">
      <alignment horizontal="right" wrapText="1"/>
    </xf>
    <xf numFmtId="0" fontId="37" fillId="0" borderId="17" xfId="0" applyFont="1" applyFill="1" applyBorder="1" applyAlignment="1">
      <alignment horizontal="right" wrapText="1"/>
    </xf>
    <xf numFmtId="0" fontId="123" fillId="0" borderId="0" xfId="0" applyFont="1" applyAlignment="1">
      <alignment horizontal="right" wrapText="1"/>
    </xf>
    <xf numFmtId="0" fontId="130" fillId="0" borderId="0" xfId="0" applyFont="1" applyBorder="1"/>
    <xf numFmtId="8" fontId="76" fillId="0" borderId="0" xfId="0" applyNumberFormat="1" applyFont="1" applyBorder="1"/>
    <xf numFmtId="0" fontId="9" fillId="26" borderId="40" xfId="0" applyFont="1" applyFill="1" applyBorder="1" applyAlignment="1">
      <alignment horizontal="center"/>
    </xf>
    <xf numFmtId="0" fontId="9" fillId="26" borderId="27" xfId="0" applyFont="1" applyFill="1" applyBorder="1" applyAlignment="1">
      <alignment horizontal="center"/>
    </xf>
    <xf numFmtId="0" fontId="76" fillId="73" borderId="30" xfId="0" applyFont="1" applyFill="1" applyBorder="1" applyAlignment="1">
      <alignment horizontal="center"/>
    </xf>
    <xf numFmtId="1" fontId="9" fillId="73" borderId="27" xfId="0" applyNumberFormat="1" applyFont="1" applyFill="1" applyBorder="1" applyAlignment="1">
      <alignment horizontal="center"/>
    </xf>
    <xf numFmtId="43" fontId="76" fillId="73" borderId="59" xfId="28" applyNumberFormat="1" applyFont="1" applyFill="1" applyBorder="1"/>
    <xf numFmtId="9" fontId="30" fillId="0" borderId="0" xfId="48" applyFont="1" applyFill="1" applyBorder="1" applyAlignment="1">
      <alignment horizontal="center"/>
    </xf>
    <xf numFmtId="0" fontId="47" fillId="26" borderId="0" xfId="0" applyFont="1" applyFill="1" applyBorder="1" applyAlignment="1">
      <alignment horizontal="center"/>
    </xf>
    <xf numFmtId="44" fontId="47" fillId="26" borderId="0" xfId="31" applyFont="1" applyFill="1" applyBorder="1" applyAlignment="1">
      <alignment horizontal="center"/>
    </xf>
    <xf numFmtId="1" fontId="9" fillId="73" borderId="30" xfId="0" applyNumberFormat="1" applyFont="1" applyFill="1" applyBorder="1" applyAlignment="1">
      <alignment horizontal="center"/>
    </xf>
    <xf numFmtId="0" fontId="9" fillId="77" borderId="10" xfId="0" applyFont="1" applyFill="1" applyBorder="1" applyAlignment="1">
      <alignment horizontal="center"/>
    </xf>
    <xf numFmtId="0" fontId="0" fillId="77" borderId="69" xfId="0" applyFill="1" applyBorder="1" applyAlignment="1">
      <alignment horizontal="center"/>
    </xf>
    <xf numFmtId="6" fontId="0" fillId="77" borderId="10" xfId="0" applyNumberFormat="1" applyFill="1" applyBorder="1" applyAlignment="1">
      <alignment horizontal="center"/>
    </xf>
    <xf numFmtId="2" fontId="0" fillId="77" borderId="10" xfId="0" applyNumberFormat="1" applyFill="1" applyBorder="1" applyAlignment="1">
      <alignment horizontal="center"/>
    </xf>
    <xf numFmtId="6" fontId="0" fillId="77" borderId="10" xfId="0" applyNumberFormat="1" applyFill="1" applyBorder="1" applyAlignment="1">
      <alignment horizontal="center" wrapText="1"/>
    </xf>
    <xf numFmtId="2" fontId="0" fillId="77" borderId="10" xfId="0" applyNumberFormat="1" applyFill="1" applyBorder="1" applyAlignment="1">
      <alignment horizontal="center" wrapText="1"/>
    </xf>
    <xf numFmtId="8" fontId="0" fillId="77" borderId="10" xfId="0" applyNumberFormat="1" applyFill="1" applyBorder="1" applyAlignment="1">
      <alignment horizontal="center" wrapText="1"/>
    </xf>
    <xf numFmtId="8" fontId="0" fillId="77" borderId="10" xfId="0" applyNumberFormat="1" applyFill="1" applyBorder="1" applyAlignment="1">
      <alignment horizontal="center"/>
    </xf>
    <xf numFmtId="6" fontId="0" fillId="77" borderId="69" xfId="0" applyNumberFormat="1" applyFill="1" applyBorder="1" applyAlignment="1">
      <alignment horizontal="center"/>
    </xf>
    <xf numFmtId="6" fontId="0" fillId="77" borderId="10" xfId="31" applyNumberFormat="1" applyFont="1" applyFill="1" applyBorder="1"/>
    <xf numFmtId="6" fontId="0" fillId="77" borderId="69" xfId="31" applyNumberFormat="1" applyFont="1" applyFill="1" applyBorder="1"/>
    <xf numFmtId="0" fontId="0" fillId="77" borderId="10" xfId="0" applyFill="1" applyBorder="1" applyAlignment="1">
      <alignment horizontal="center" wrapText="1"/>
    </xf>
    <xf numFmtId="173" fontId="76" fillId="73" borderId="10" xfId="0" applyNumberFormat="1" applyFont="1" applyFill="1" applyBorder="1" applyAlignment="1">
      <alignment wrapText="1"/>
    </xf>
    <xf numFmtId="0" fontId="76" fillId="0" borderId="100" xfId="0" applyFont="1" applyBorder="1" applyAlignment="1"/>
    <xf numFmtId="0" fontId="76" fillId="0" borderId="101" xfId="0" applyFont="1" applyBorder="1" applyAlignment="1"/>
    <xf numFmtId="0" fontId="76" fillId="79" borderId="27" xfId="0" applyNumberFormat="1" applyFont="1" applyFill="1" applyBorder="1" applyAlignment="1"/>
    <xf numFmtId="0" fontId="76" fillId="0" borderId="27" xfId="0" applyNumberFormat="1" applyFont="1" applyFill="1" applyBorder="1" applyAlignment="1">
      <alignment horizontal="left"/>
    </xf>
    <xf numFmtId="0" fontId="117" fillId="0" borderId="27" xfId="0" applyNumberFormat="1" applyFont="1" applyFill="1" applyBorder="1" applyAlignment="1">
      <alignment wrapText="1"/>
    </xf>
    <xf numFmtId="170" fontId="9" fillId="77" borderId="40" xfId="31" applyNumberFormat="1" applyFont="1" applyFill="1" applyBorder="1" applyAlignment="1">
      <alignment horizontal="center" vertical="center"/>
    </xf>
    <xf numFmtId="170" fontId="9" fillId="77" borderId="30" xfId="31" applyNumberFormat="1" applyFont="1" applyFill="1" applyBorder="1" applyAlignment="1">
      <alignment horizontal="center" vertical="center"/>
    </xf>
    <xf numFmtId="0" fontId="0" fillId="26" borderId="0" xfId="0" applyFill="1" applyBorder="1" applyAlignment="1">
      <alignment horizontal="center"/>
    </xf>
    <xf numFmtId="0" fontId="76" fillId="0" borderId="60" xfId="0" applyFont="1" applyBorder="1" applyAlignment="1">
      <alignment wrapText="1"/>
    </xf>
    <xf numFmtId="170" fontId="9" fillId="64" borderId="40" xfId="31" applyNumberFormat="1" applyFont="1" applyFill="1" applyBorder="1" applyAlignment="1">
      <alignment horizontal="center" vertical="center"/>
    </xf>
    <xf numFmtId="0" fontId="9" fillId="64" borderId="40" xfId="0" applyFont="1" applyFill="1" applyBorder="1" applyAlignment="1">
      <alignment horizontal="center"/>
    </xf>
    <xf numFmtId="0" fontId="9" fillId="64" borderId="27" xfId="0" applyFont="1" applyFill="1" applyBorder="1" applyAlignment="1">
      <alignment horizontal="center"/>
    </xf>
    <xf numFmtId="0" fontId="47" fillId="0" borderId="0" xfId="0" applyFont="1" applyFill="1" applyBorder="1" applyAlignment="1">
      <alignment horizontal="center"/>
    </xf>
    <xf numFmtId="0" fontId="47" fillId="0" borderId="40" xfId="0" applyFont="1" applyFill="1" applyBorder="1" applyAlignment="1">
      <alignment horizontal="center" vertical="center" wrapText="1"/>
    </xf>
    <xf numFmtId="1" fontId="0" fillId="0" borderId="0" xfId="28" applyNumberFormat="1" applyFont="1" applyFill="1" applyBorder="1" applyAlignment="1">
      <alignment horizontal="center"/>
    </xf>
    <xf numFmtId="0" fontId="83" fillId="0" borderId="39" xfId="0" applyFont="1" applyFill="1" applyBorder="1" applyAlignment="1">
      <alignment vertical="center"/>
    </xf>
    <xf numFmtId="165" fontId="76" fillId="77" borderId="40" xfId="28" applyNumberFormat="1" applyFont="1" applyFill="1" applyBorder="1"/>
    <xf numFmtId="0" fontId="83" fillId="0" borderId="25" xfId="0" applyFont="1" applyFill="1" applyBorder="1" applyAlignment="1">
      <alignment vertical="center"/>
    </xf>
    <xf numFmtId="170" fontId="76" fillId="77" borderId="30" xfId="31" applyNumberFormat="1" applyFont="1" applyFill="1" applyBorder="1"/>
    <xf numFmtId="0" fontId="9" fillId="0" borderId="10" xfId="0" applyFont="1" applyBorder="1"/>
    <xf numFmtId="0" fontId="9" fillId="73" borderId="10" xfId="0" applyFont="1" applyFill="1" applyBorder="1" applyAlignment="1">
      <alignment horizontal="center"/>
    </xf>
    <xf numFmtId="0" fontId="9" fillId="0" borderId="10" xfId="0" applyFont="1" applyFill="1" applyBorder="1"/>
    <xf numFmtId="0" fontId="76" fillId="0" borderId="10" xfId="0" applyFont="1" applyFill="1" applyBorder="1"/>
    <xf numFmtId="0" fontId="0" fillId="0" borderId="0" xfId="0" applyAlignment="1">
      <alignment horizontal="center" wrapText="1"/>
    </xf>
    <xf numFmtId="0" fontId="9" fillId="0" borderId="0" xfId="0" applyFont="1" applyFill="1" applyBorder="1" applyAlignment="1">
      <alignment horizontal="right"/>
    </xf>
    <xf numFmtId="0" fontId="76" fillId="73" borderId="54" xfId="0" applyFont="1" applyFill="1" applyBorder="1" applyAlignment="1">
      <alignment horizontal="center" vertical="center"/>
    </xf>
    <xf numFmtId="0" fontId="9" fillId="0" borderId="24" xfId="0" applyFont="1" applyBorder="1" applyAlignment="1">
      <alignment horizontal="right" wrapText="1"/>
    </xf>
    <xf numFmtId="0" fontId="9" fillId="0" borderId="0" xfId="0" applyFont="1" applyBorder="1" applyAlignment="1">
      <alignment horizontal="left" wrapText="1"/>
    </xf>
    <xf numFmtId="44" fontId="76" fillId="77" borderId="54" xfId="31" applyFont="1" applyFill="1" applyBorder="1"/>
    <xf numFmtId="170" fontId="0" fillId="77" borderId="66" xfId="31" applyNumberFormat="1" applyFont="1" applyFill="1" applyBorder="1"/>
    <xf numFmtId="0" fontId="0" fillId="0" borderId="34" xfId="0" applyBorder="1"/>
    <xf numFmtId="0" fontId="0" fillId="0" borderId="40" xfId="0" applyBorder="1"/>
    <xf numFmtId="0" fontId="0" fillId="0" borderId="30" xfId="0" applyBorder="1"/>
    <xf numFmtId="0" fontId="0" fillId="0" borderId="0" xfId="0" applyBorder="1" applyAlignment="1">
      <alignment horizontal="left" wrapText="1"/>
    </xf>
    <xf numFmtId="0" fontId="9" fillId="0" borderId="39" xfId="0" applyFont="1" applyBorder="1" applyAlignment="1">
      <alignment horizontal="left" wrapText="1"/>
    </xf>
    <xf numFmtId="0" fontId="0" fillId="0" borderId="34" xfId="0" applyBorder="1" applyAlignment="1">
      <alignment horizontal="left" wrapText="1"/>
    </xf>
    <xf numFmtId="0" fontId="0" fillId="0" borderId="40" xfId="0" applyBorder="1" applyAlignment="1">
      <alignment horizontal="left" wrapText="1"/>
    </xf>
    <xf numFmtId="0" fontId="30" fillId="0" borderId="23" xfId="0" applyFont="1" applyFill="1" applyBorder="1" applyAlignment="1">
      <alignment horizontal="center"/>
    </xf>
    <xf numFmtId="0" fontId="30" fillId="0" borderId="0" xfId="0" applyFont="1" applyFill="1" applyBorder="1" applyAlignment="1">
      <alignment horizontal="center"/>
    </xf>
    <xf numFmtId="0" fontId="126" fillId="0" borderId="0" xfId="0" applyFont="1" applyBorder="1" applyAlignment="1">
      <alignment horizontal="left" wrapText="1"/>
    </xf>
    <xf numFmtId="0" fontId="9" fillId="0" borderId="0" xfId="0" applyFont="1" applyBorder="1" applyAlignment="1">
      <alignment horizontal="left"/>
    </xf>
    <xf numFmtId="0" fontId="9" fillId="0" borderId="0" xfId="0" applyFont="1" applyFill="1" applyBorder="1" applyAlignment="1">
      <alignment horizontal="left"/>
    </xf>
    <xf numFmtId="9" fontId="9" fillId="0" borderId="0" xfId="48" applyFont="1" applyFill="1" applyBorder="1" applyAlignment="1">
      <alignment horizontal="center"/>
    </xf>
    <xf numFmtId="0" fontId="76" fillId="0" borderId="0" xfId="0" applyFont="1" applyFill="1" applyBorder="1" applyAlignment="1">
      <alignment horizontal="left"/>
    </xf>
    <xf numFmtId="0" fontId="47" fillId="0" borderId="0" xfId="0" applyFont="1" applyFill="1" applyBorder="1" applyAlignment="1">
      <alignment horizontal="center"/>
    </xf>
    <xf numFmtId="0" fontId="76" fillId="0" borderId="0" xfId="0" applyFont="1" applyFill="1" applyBorder="1" applyAlignment="1">
      <alignment horizontal="center"/>
    </xf>
    <xf numFmtId="0" fontId="0" fillId="0" borderId="0" xfId="0" applyFill="1" applyBorder="1" applyAlignment="1">
      <alignment horizontal="center"/>
    </xf>
    <xf numFmtId="44" fontId="9" fillId="0" borderId="27" xfId="31" applyFont="1" applyFill="1" applyBorder="1"/>
    <xf numFmtId="0" fontId="125" fillId="0" borderId="0" xfId="0" applyFont="1" applyFill="1" applyBorder="1" applyAlignment="1">
      <alignment horizontal="center" wrapText="1"/>
    </xf>
    <xf numFmtId="44" fontId="119" fillId="0" borderId="27" xfId="0" applyNumberFormat="1" applyFont="1" applyFill="1" applyBorder="1" applyAlignment="1">
      <alignment horizontal="center"/>
    </xf>
    <xf numFmtId="44" fontId="9" fillId="0" borderId="27" xfId="31" applyFont="1" applyFill="1" applyBorder="1" applyAlignment="1">
      <alignment horizontal="center"/>
    </xf>
    <xf numFmtId="166" fontId="119" fillId="0" borderId="0" xfId="0" applyNumberFormat="1" applyFont="1" applyFill="1" applyBorder="1" applyAlignment="1">
      <alignment horizontal="right" wrapText="1"/>
    </xf>
    <xf numFmtId="44" fontId="9" fillId="0" borderId="0" xfId="31" applyFont="1" applyFill="1" applyBorder="1"/>
    <xf numFmtId="0" fontId="120" fillId="0" borderId="0" xfId="0" applyFont="1" applyFill="1" applyBorder="1" applyAlignment="1">
      <alignment horizontal="center"/>
    </xf>
    <xf numFmtId="44" fontId="119" fillId="0" borderId="0" xfId="0" applyNumberFormat="1" applyFont="1" applyFill="1" applyBorder="1" applyAlignment="1">
      <alignment horizontal="center"/>
    </xf>
    <xf numFmtId="165" fontId="119" fillId="0" borderId="0" xfId="28" applyNumberFormat="1" applyFont="1" applyFill="1" applyBorder="1" applyAlignment="1">
      <alignment horizontal="center"/>
    </xf>
    <xf numFmtId="0" fontId="100" fillId="0" borderId="0" xfId="0" applyFont="1" applyFill="1" applyBorder="1" applyAlignment="1">
      <alignment wrapText="1"/>
    </xf>
    <xf numFmtId="44" fontId="119" fillId="0" borderId="0" xfId="31" applyFont="1" applyFill="1" applyBorder="1" applyAlignment="1">
      <alignment horizontal="center"/>
    </xf>
    <xf numFmtId="170" fontId="119" fillId="0" borderId="0" xfId="31" applyNumberFormat="1" applyFont="1" applyFill="1" applyBorder="1" applyAlignment="1">
      <alignment horizontal="right" wrapText="1"/>
    </xf>
    <xf numFmtId="0" fontId="119" fillId="0" borderId="0" xfId="0" quotePrefix="1" applyFont="1" applyFill="1" applyBorder="1" applyAlignment="1">
      <alignment wrapText="1"/>
    </xf>
    <xf numFmtId="0" fontId="125" fillId="0" borderId="0" xfId="0" applyNumberFormat="1" applyFont="1" applyFill="1" applyBorder="1" applyAlignment="1">
      <alignment vertical="center"/>
    </xf>
    <xf numFmtId="0" fontId="119" fillId="0" borderId="0" xfId="0" applyFont="1" applyFill="1" applyBorder="1" applyAlignment="1">
      <alignment wrapText="1"/>
    </xf>
    <xf numFmtId="9" fontId="9" fillId="0" borderId="0" xfId="48" applyFont="1" applyFill="1" applyBorder="1" applyAlignment="1"/>
    <xf numFmtId="0" fontId="9" fillId="0" borderId="40" xfId="0" applyFont="1" applyBorder="1"/>
    <xf numFmtId="0" fontId="9" fillId="0" borderId="27" xfId="0" applyFont="1" applyFill="1" applyBorder="1" applyAlignment="1"/>
    <xf numFmtId="0" fontId="125" fillId="0" borderId="27" xfId="0" applyNumberFormat="1" applyFont="1" applyFill="1" applyBorder="1" applyAlignment="1">
      <alignment vertical="center"/>
    </xf>
    <xf numFmtId="165" fontId="9" fillId="0" borderId="27" xfId="28" applyNumberFormat="1" applyFont="1" applyFill="1" applyBorder="1" applyAlignment="1">
      <alignment horizontal="right" wrapText="1"/>
    </xf>
    <xf numFmtId="44" fontId="34" fillId="0" borderId="27" xfId="31" applyFont="1" applyFill="1" applyBorder="1" applyAlignment="1">
      <alignment wrapText="1"/>
    </xf>
    <xf numFmtId="170" fontId="9" fillId="0" borderId="27" xfId="31" applyNumberFormat="1" applyFont="1" applyFill="1" applyBorder="1" applyAlignment="1">
      <alignment horizontal="right" wrapText="1"/>
    </xf>
    <xf numFmtId="44" fontId="9" fillId="0" borderId="27" xfId="0" applyNumberFormat="1" applyFont="1" applyFill="1" applyBorder="1"/>
    <xf numFmtId="170" fontId="9" fillId="0" borderId="27" xfId="31" applyNumberFormat="1" applyFont="1" applyFill="1" applyBorder="1"/>
    <xf numFmtId="0" fontId="9" fillId="0" borderId="25" xfId="0" applyFont="1" applyFill="1" applyBorder="1" applyAlignment="1">
      <alignment horizontal="right"/>
    </xf>
    <xf numFmtId="0" fontId="9" fillId="0" borderId="28" xfId="0" applyFont="1" applyFill="1" applyBorder="1" applyAlignment="1"/>
    <xf numFmtId="166" fontId="9" fillId="0" borderId="30" xfId="0" applyNumberFormat="1" applyFont="1" applyFill="1" applyBorder="1" applyAlignment="1">
      <alignment horizontal="right" wrapText="1"/>
    </xf>
    <xf numFmtId="0" fontId="9" fillId="0" borderId="30" xfId="0" applyFont="1" applyFill="1" applyBorder="1" applyAlignment="1"/>
    <xf numFmtId="0" fontId="120" fillId="0" borderId="39" xfId="0" applyFont="1" applyFill="1" applyBorder="1" applyAlignment="1">
      <alignment wrapText="1"/>
    </xf>
    <xf numFmtId="0" fontId="9" fillId="0" borderId="40" xfId="0" applyFont="1" applyFill="1" applyBorder="1" applyAlignment="1">
      <alignment horizontal="center"/>
    </xf>
    <xf numFmtId="0" fontId="9" fillId="0" borderId="24" xfId="0" applyFont="1" applyFill="1" applyBorder="1" applyAlignment="1">
      <alignment horizontal="right" wrapText="1"/>
    </xf>
    <xf numFmtId="0" fontId="30" fillId="0" borderId="39" xfId="0" applyFont="1" applyFill="1" applyBorder="1"/>
    <xf numFmtId="0" fontId="120" fillId="0" borderId="40" xfId="0" applyFont="1" applyFill="1" applyBorder="1" applyAlignment="1">
      <alignment horizontal="center"/>
    </xf>
    <xf numFmtId="44" fontId="9" fillId="0" borderId="30" xfId="31" applyFont="1" applyFill="1" applyBorder="1"/>
    <xf numFmtId="0" fontId="30" fillId="0" borderId="39" xfId="0" applyFont="1" applyFill="1" applyBorder="1" applyAlignment="1">
      <alignment horizontal="left" wrapText="1"/>
    </xf>
    <xf numFmtId="44" fontId="9" fillId="0" borderId="40" xfId="31" applyFont="1" applyFill="1" applyBorder="1" applyAlignment="1">
      <alignment horizontal="center"/>
    </xf>
    <xf numFmtId="0" fontId="30" fillId="0" borderId="24" xfId="0" applyFont="1" applyFill="1" applyBorder="1"/>
    <xf numFmtId="44" fontId="119" fillId="0" borderId="30" xfId="31" applyFont="1" applyFill="1" applyBorder="1" applyAlignment="1">
      <alignment horizontal="center"/>
    </xf>
    <xf numFmtId="0" fontId="30" fillId="0" borderId="39" xfId="0" applyFont="1" applyBorder="1"/>
    <xf numFmtId="0" fontId="34" fillId="0" borderId="27" xfId="0" applyFont="1" applyFill="1" applyBorder="1"/>
    <xf numFmtId="44" fontId="9" fillId="0" borderId="28" xfId="31" applyFont="1" applyFill="1" applyBorder="1"/>
    <xf numFmtId="0" fontId="34" fillId="0" borderId="30" xfId="0" applyFont="1" applyFill="1" applyBorder="1"/>
    <xf numFmtId="0" fontId="0" fillId="0" borderId="10" xfId="0" applyFont="1" applyBorder="1" applyAlignment="1">
      <alignment horizontal="center" wrapText="1"/>
    </xf>
    <xf numFmtId="185" fontId="132" fillId="0" borderId="0" xfId="0" applyNumberFormat="1" applyFont="1" applyBorder="1"/>
    <xf numFmtId="185" fontId="134" fillId="0" borderId="0" xfId="0" applyNumberFormat="1" applyFont="1" applyBorder="1"/>
    <xf numFmtId="0" fontId="133" fillId="26" borderId="10" xfId="0" applyFont="1" applyFill="1" applyBorder="1" applyAlignment="1">
      <alignment wrapText="1"/>
    </xf>
    <xf numFmtId="165" fontId="133" fillId="26" borderId="10" xfId="28" applyNumberFormat="1" applyFont="1" applyFill="1" applyBorder="1"/>
    <xf numFmtId="165" fontId="133" fillId="64" borderId="10" xfId="28" applyNumberFormat="1" applyFont="1" applyFill="1" applyBorder="1"/>
    <xf numFmtId="165" fontId="134" fillId="73" borderId="10" xfId="28" applyNumberFormat="1" applyFont="1" applyFill="1" applyBorder="1"/>
    <xf numFmtId="165" fontId="134" fillId="73" borderId="10" xfId="0" applyNumberFormat="1" applyFont="1" applyFill="1" applyBorder="1"/>
    <xf numFmtId="165" fontId="134" fillId="73" borderId="55" xfId="28" applyNumberFormat="1" applyFont="1" applyFill="1" applyBorder="1"/>
    <xf numFmtId="165" fontId="134" fillId="73" borderId="55" xfId="0" applyNumberFormat="1" applyFont="1" applyFill="1" applyBorder="1"/>
    <xf numFmtId="170" fontId="76" fillId="73" borderId="54" xfId="0" applyNumberFormat="1" applyFont="1" applyFill="1" applyBorder="1"/>
    <xf numFmtId="0" fontId="76" fillId="0" borderId="10" xfId="0" applyFont="1" applyBorder="1" applyAlignment="1">
      <alignment horizontal="center" wrapText="1"/>
    </xf>
    <xf numFmtId="0" fontId="34" fillId="0" borderId="0" xfId="0" applyFont="1" applyFill="1" applyBorder="1" applyAlignment="1">
      <alignment horizontal="right"/>
    </xf>
    <xf numFmtId="0" fontId="83" fillId="0" borderId="0" xfId="0" applyFont="1" applyFill="1" applyAlignment="1"/>
    <xf numFmtId="165" fontId="76" fillId="73" borderId="60" xfId="28" applyNumberFormat="1" applyFont="1" applyFill="1" applyBorder="1"/>
    <xf numFmtId="165" fontId="133" fillId="26" borderId="55" xfId="28" applyNumberFormat="1" applyFont="1" applyFill="1" applyBorder="1"/>
    <xf numFmtId="165" fontId="133" fillId="64" borderId="55" xfId="28" applyNumberFormat="1" applyFont="1" applyFill="1" applyBorder="1"/>
    <xf numFmtId="0" fontId="132" fillId="79" borderId="10" xfId="0" applyFont="1" applyFill="1" applyBorder="1" applyAlignment="1">
      <alignment wrapText="1"/>
    </xf>
    <xf numFmtId="165" fontId="132" fillId="79" borderId="10" xfId="28" applyNumberFormat="1" applyFont="1" applyFill="1" applyBorder="1"/>
    <xf numFmtId="165" fontId="132" fillId="79" borderId="68" xfId="0" applyNumberFormat="1" applyFont="1" applyFill="1" applyBorder="1"/>
    <xf numFmtId="170" fontId="76" fillId="79" borderId="10" xfId="31" applyNumberFormat="1" applyFont="1" applyFill="1" applyBorder="1"/>
    <xf numFmtId="165" fontId="133" fillId="73" borderId="10" xfId="28" applyNumberFormat="1" applyFont="1" applyFill="1" applyBorder="1"/>
    <xf numFmtId="0" fontId="9" fillId="0" borderId="57" xfId="0" applyFont="1" applyBorder="1" applyAlignment="1">
      <alignment horizontal="center"/>
    </xf>
    <xf numFmtId="165" fontId="33" fillId="26" borderId="10" xfId="28" applyNumberFormat="1" applyFont="1" applyFill="1" applyBorder="1" applyAlignment="1">
      <alignment horizontal="right" wrapText="1"/>
    </xf>
    <xf numFmtId="165" fontId="33" fillId="26" borderId="10" xfId="28" applyNumberFormat="1" applyFont="1" applyFill="1" applyBorder="1" applyAlignment="1">
      <alignment horizontal="right"/>
    </xf>
    <xf numFmtId="165" fontId="116" fillId="26" borderId="10" xfId="28" applyNumberFormat="1" applyFont="1" applyFill="1" applyBorder="1"/>
    <xf numFmtId="0" fontId="0" fillId="0" borderId="55" xfId="0" applyBorder="1"/>
    <xf numFmtId="165" fontId="116" fillId="0" borderId="55" xfId="28" applyNumberFormat="1" applyFont="1" applyBorder="1"/>
    <xf numFmtId="0" fontId="0" fillId="0" borderId="61" xfId="0" applyFill="1" applyBorder="1" applyAlignment="1">
      <alignment horizontal="center"/>
    </xf>
    <xf numFmtId="173" fontId="0" fillId="73" borderId="54" xfId="48" applyNumberFormat="1" applyFont="1" applyFill="1" applyBorder="1" applyAlignment="1">
      <alignment horizontal="center"/>
    </xf>
    <xf numFmtId="165" fontId="76" fillId="73" borderId="10" xfId="28" applyNumberFormat="1" applyFont="1" applyFill="1" applyBorder="1"/>
    <xf numFmtId="0" fontId="9" fillId="0" borderId="29" xfId="0" applyFont="1" applyBorder="1" applyAlignment="1">
      <alignment horizontal="center" wrapText="1"/>
    </xf>
    <xf numFmtId="0" fontId="0" fillId="0" borderId="10" xfId="0" applyFill="1" applyBorder="1" applyAlignment="1">
      <alignment wrapText="1"/>
    </xf>
    <xf numFmtId="43" fontId="0" fillId="26" borderId="10" xfId="28" applyFont="1" applyFill="1" applyBorder="1"/>
    <xf numFmtId="0" fontId="9" fillId="0" borderId="10" xfId="0" applyFont="1" applyFill="1" applyBorder="1" applyAlignment="1">
      <alignment wrapText="1"/>
    </xf>
    <xf numFmtId="0" fontId="9" fillId="0" borderId="10" xfId="0" applyFont="1" applyFill="1" applyBorder="1" applyAlignment="1">
      <alignment vertical="center" wrapText="1"/>
    </xf>
    <xf numFmtId="165" fontId="0" fillId="73" borderId="10" xfId="28" applyNumberFormat="1" applyFont="1" applyFill="1" applyBorder="1" applyAlignment="1">
      <alignment vertical="center"/>
    </xf>
    <xf numFmtId="0" fontId="76" fillId="0" borderId="10" xfId="0" applyFont="1" applyBorder="1" applyAlignment="1">
      <alignment vertical="center"/>
    </xf>
    <xf numFmtId="170" fontId="76" fillId="64" borderId="10" xfId="31" applyNumberFormat="1" applyFont="1" applyFill="1" applyBorder="1" applyAlignment="1">
      <alignment vertical="center"/>
    </xf>
    <xf numFmtId="170" fontId="0" fillId="73" borderId="10" xfId="31" applyNumberFormat="1" applyFont="1" applyFill="1" applyBorder="1" applyAlignment="1">
      <alignment vertical="center"/>
    </xf>
    <xf numFmtId="165" fontId="9" fillId="73" borderId="63" xfId="28" applyNumberFormat="1" applyFont="1" applyFill="1" applyBorder="1" applyAlignment="1">
      <alignment horizontal="left"/>
    </xf>
    <xf numFmtId="165" fontId="9" fillId="73" borderId="64" xfId="28" applyNumberFormat="1" applyFont="1" applyFill="1" applyBorder="1" applyAlignment="1">
      <alignment horizontal="center" wrapText="1"/>
    </xf>
    <xf numFmtId="0" fontId="76" fillId="73" borderId="65" xfId="0" applyFont="1" applyFill="1" applyBorder="1" applyAlignment="1">
      <alignment horizontal="center" wrapText="1"/>
    </xf>
    <xf numFmtId="165" fontId="9" fillId="73" borderId="66" xfId="28" applyNumberFormat="1" applyFont="1" applyFill="1" applyBorder="1" applyAlignment="1">
      <alignment horizontal="left"/>
    </xf>
    <xf numFmtId="165" fontId="0" fillId="73" borderId="67" xfId="28" applyNumberFormat="1" applyFont="1" applyFill="1" applyBorder="1" applyAlignment="1">
      <alignment horizontal="center"/>
    </xf>
    <xf numFmtId="0" fontId="9" fillId="73" borderId="58" xfId="0" applyFont="1" applyFill="1" applyBorder="1"/>
    <xf numFmtId="165" fontId="0" fillId="73" borderId="69" xfId="28" applyNumberFormat="1" applyFont="1" applyFill="1" applyBorder="1" applyAlignment="1">
      <alignment horizontal="center"/>
    </xf>
    <xf numFmtId="165" fontId="76" fillId="73" borderId="69" xfId="28" applyNumberFormat="1" applyFont="1" applyFill="1" applyBorder="1"/>
    <xf numFmtId="165" fontId="0" fillId="73" borderId="59" xfId="28" applyNumberFormat="1" applyFont="1" applyFill="1" applyBorder="1" applyAlignment="1">
      <alignment horizontal="center"/>
    </xf>
    <xf numFmtId="0" fontId="76" fillId="26" borderId="67" xfId="0" applyFont="1" applyFill="1" applyBorder="1"/>
    <xf numFmtId="0" fontId="76" fillId="0" borderId="67" xfId="0" applyFont="1" applyFill="1" applyBorder="1"/>
    <xf numFmtId="0" fontId="76" fillId="0" borderId="39" xfId="0" applyFont="1" applyFill="1" applyBorder="1"/>
    <xf numFmtId="0" fontId="92" fillId="77" borderId="40" xfId="0" applyFont="1" applyFill="1" applyBorder="1" applyAlignment="1">
      <alignment horizontal="right"/>
    </xf>
    <xf numFmtId="165" fontId="76" fillId="77" borderId="27" xfId="28" applyNumberFormat="1" applyFont="1" applyFill="1" applyBorder="1"/>
    <xf numFmtId="0" fontId="76" fillId="0" borderId="24" xfId="0" applyFont="1" applyFill="1" applyBorder="1" applyAlignment="1">
      <alignment horizontal="left"/>
    </xf>
    <xf numFmtId="165" fontId="92" fillId="77" borderId="27" xfId="28" applyNumberFormat="1" applyFont="1" applyFill="1" applyBorder="1" applyAlignment="1">
      <alignment horizontal="right"/>
    </xf>
    <xf numFmtId="0" fontId="76" fillId="0" borderId="24" xfId="0" applyFont="1" applyBorder="1" applyAlignment="1">
      <alignment wrapText="1"/>
    </xf>
    <xf numFmtId="165" fontId="76" fillId="73" borderId="27" xfId="28" applyNumberFormat="1" applyFont="1" applyFill="1" applyBorder="1"/>
    <xf numFmtId="0" fontId="92" fillId="0" borderId="24" xfId="0" applyFont="1" applyFill="1" applyBorder="1" applyAlignment="1">
      <alignment wrapText="1"/>
    </xf>
    <xf numFmtId="44" fontId="76" fillId="77" borderId="27" xfId="0" applyNumberFormat="1" applyFont="1" applyFill="1" applyBorder="1" applyAlignment="1">
      <alignment horizontal="center"/>
    </xf>
    <xf numFmtId="44" fontId="76" fillId="73" borderId="30" xfId="31" applyFont="1" applyFill="1" applyBorder="1" applyAlignment="1">
      <alignment horizontal="center"/>
    </xf>
    <xf numFmtId="0" fontId="97" fillId="0" borderId="39" xfId="0" applyFont="1" applyBorder="1" applyAlignment="1">
      <alignment horizontal="center"/>
    </xf>
    <xf numFmtId="0" fontId="97" fillId="0" borderId="34" xfId="0" applyFont="1" applyBorder="1" applyAlignment="1">
      <alignment horizontal="center"/>
    </xf>
    <xf numFmtId="0" fontId="76" fillId="65" borderId="35" xfId="0" applyFont="1" applyFill="1" applyBorder="1" applyAlignment="1">
      <alignment horizontal="left" wrapText="1"/>
    </xf>
    <xf numFmtId="0" fontId="0" fillId="0" borderId="0" xfId="0" applyAlignment="1"/>
    <xf numFmtId="44" fontId="35" fillId="0" borderId="0" xfId="31" applyFont="1" applyBorder="1" applyAlignment="1"/>
    <xf numFmtId="0" fontId="71" fillId="0" borderId="38" xfId="0" applyFont="1" applyBorder="1" applyAlignment="1">
      <alignment vertical="center"/>
    </xf>
    <xf numFmtId="0" fontId="71" fillId="0" borderId="30" xfId="0" applyFont="1" applyBorder="1" applyAlignment="1">
      <alignment vertical="center"/>
    </xf>
    <xf numFmtId="10" fontId="71" fillId="0" borderId="30" xfId="0" applyNumberFormat="1" applyFont="1" applyBorder="1" applyAlignment="1">
      <alignment vertical="center"/>
    </xf>
    <xf numFmtId="165" fontId="9" fillId="0" borderId="27" xfId="28" applyNumberFormat="1" applyFont="1" applyBorder="1" applyAlignment="1"/>
    <xf numFmtId="165" fontId="76" fillId="0" borderId="27" xfId="28" applyNumberFormat="1" applyFont="1" applyBorder="1" applyAlignment="1"/>
    <xf numFmtId="165" fontId="76" fillId="0" borderId="0" xfId="28" applyNumberFormat="1" applyFont="1" applyBorder="1" applyAlignment="1"/>
    <xf numFmtId="0" fontId="9" fillId="26" borderId="10" xfId="0" applyFont="1" applyFill="1" applyBorder="1" applyAlignment="1"/>
    <xf numFmtId="165" fontId="76" fillId="0" borderId="0" xfId="28" applyNumberFormat="1" applyFont="1" applyFill="1" applyBorder="1" applyAlignment="1"/>
    <xf numFmtId="0" fontId="76" fillId="0" borderId="0" xfId="0" applyFont="1" applyAlignment="1"/>
    <xf numFmtId="0" fontId="9" fillId="0" borderId="66" xfId="0" applyFont="1" applyFill="1" applyBorder="1" applyAlignment="1"/>
    <xf numFmtId="177" fontId="0" fillId="77" borderId="67" xfId="0" applyNumberFormat="1" applyFill="1" applyBorder="1" applyAlignment="1"/>
    <xf numFmtId="0" fontId="30" fillId="0" borderId="34" xfId="0" applyFont="1" applyBorder="1" applyAlignment="1"/>
    <xf numFmtId="0" fontId="76" fillId="65" borderId="72" xfId="0" applyFont="1" applyFill="1" applyBorder="1" applyAlignment="1">
      <alignment wrapText="1"/>
    </xf>
    <xf numFmtId="0" fontId="97" fillId="0" borderId="34" xfId="0" applyFont="1" applyBorder="1" applyAlignment="1"/>
    <xf numFmtId="0" fontId="97" fillId="0" borderId="40" xfId="0" applyFont="1" applyBorder="1" applyAlignment="1"/>
    <xf numFmtId="0" fontId="9" fillId="26" borderId="0" xfId="0" applyFont="1" applyFill="1" applyAlignment="1">
      <alignment horizontal="center"/>
    </xf>
    <xf numFmtId="0" fontId="0" fillId="0" borderId="0" xfId="0" applyNumberFormat="1"/>
    <xf numFmtId="0" fontId="83" fillId="0" borderId="0" xfId="0" applyFont="1" applyFill="1" applyBorder="1" applyAlignment="1">
      <alignment horizontal="center"/>
    </xf>
    <xf numFmtId="44" fontId="76" fillId="73" borderId="54" xfId="0" applyNumberFormat="1" applyFont="1" applyFill="1" applyBorder="1" applyAlignment="1"/>
    <xf numFmtId="170" fontId="0" fillId="0" borderId="0" xfId="0" applyNumberFormat="1"/>
    <xf numFmtId="8" fontId="0" fillId="78" borderId="0" xfId="0" applyNumberFormat="1" applyFill="1" applyBorder="1"/>
    <xf numFmtId="8" fontId="0" fillId="78" borderId="27" xfId="0" applyNumberFormat="1" applyFill="1" applyBorder="1"/>
    <xf numFmtId="44" fontId="0" fillId="78" borderId="0" xfId="31" applyFont="1" applyFill="1" applyBorder="1"/>
    <xf numFmtId="44" fontId="0" fillId="78" borderId="27" xfId="31" applyFont="1" applyFill="1" applyBorder="1"/>
    <xf numFmtId="44" fontId="0" fillId="78" borderId="28" xfId="31" applyFont="1" applyFill="1" applyBorder="1"/>
    <xf numFmtId="44" fontId="0" fillId="78" borderId="30" xfId="31" applyFont="1" applyFill="1" applyBorder="1"/>
    <xf numFmtId="0" fontId="76" fillId="0" borderId="0" xfId="0" applyFont="1" applyAlignment="1">
      <alignment horizontal="center" wrapText="1"/>
    </xf>
    <xf numFmtId="165" fontId="47" fillId="73" borderId="0" xfId="0" applyNumberFormat="1" applyFont="1" applyFill="1" applyBorder="1" applyAlignment="1">
      <alignment horizontal="center"/>
    </xf>
    <xf numFmtId="44" fontId="76" fillId="0" borderId="0" xfId="31" applyFont="1" applyFill="1" applyBorder="1" applyAlignment="1"/>
    <xf numFmtId="170" fontId="0" fillId="64" borderId="13" xfId="31" applyNumberFormat="1" applyFont="1" applyFill="1" applyBorder="1" applyAlignment="1">
      <alignment horizontal="center" vertical="center"/>
    </xf>
    <xf numFmtId="0" fontId="9" fillId="64" borderId="57" xfId="0" applyFont="1" applyFill="1" applyBorder="1" applyAlignment="1">
      <alignment horizontal="center"/>
    </xf>
    <xf numFmtId="44" fontId="47" fillId="0" borderId="10" xfId="31" applyFont="1" applyBorder="1" applyAlignment="1">
      <alignment vertical="center"/>
    </xf>
    <xf numFmtId="44" fontId="47" fillId="0" borderId="67" xfId="31" applyFont="1" applyFill="1" applyBorder="1" applyAlignment="1">
      <alignment vertical="center"/>
    </xf>
    <xf numFmtId="0" fontId="99" fillId="80" borderId="19" xfId="0" applyFont="1" applyFill="1" applyBorder="1"/>
    <xf numFmtId="0" fontId="0" fillId="80" borderId="20" xfId="0" applyFill="1" applyBorder="1"/>
    <xf numFmtId="0" fontId="111" fillId="80" borderId="20" xfId="0" applyFont="1" applyFill="1" applyBorder="1"/>
    <xf numFmtId="0" fontId="111" fillId="80" borderId="35" xfId="0" applyFont="1" applyFill="1" applyBorder="1"/>
    <xf numFmtId="0" fontId="111" fillId="80" borderId="0" xfId="0" applyFont="1" applyFill="1"/>
    <xf numFmtId="0" fontId="0" fillId="80" borderId="19" xfId="0" applyFill="1" applyBorder="1"/>
    <xf numFmtId="0" fontId="99" fillId="80" borderId="20" xfId="0" applyFont="1" applyFill="1" applyBorder="1"/>
    <xf numFmtId="44" fontId="111" fillId="80" borderId="20" xfId="0" applyNumberFormat="1" applyFont="1" applyFill="1" applyBorder="1"/>
    <xf numFmtId="44" fontId="111" fillId="80" borderId="35" xfId="0" applyNumberFormat="1" applyFont="1" applyFill="1" applyBorder="1"/>
    <xf numFmtId="0" fontId="0" fillId="0" borderId="20" xfId="0" applyBorder="1"/>
    <xf numFmtId="0" fontId="99" fillId="80" borderId="0" xfId="4623" applyFont="1" applyFill="1" applyBorder="1"/>
    <xf numFmtId="0" fontId="99" fillId="80" borderId="0" xfId="4623" applyFont="1" applyFill="1" applyBorder="1" applyAlignment="1">
      <alignment wrapText="1"/>
    </xf>
    <xf numFmtId="0" fontId="99" fillId="80" borderId="11" xfId="4623" applyFont="1" applyFill="1" applyBorder="1"/>
    <xf numFmtId="0" fontId="99" fillId="80" borderId="14" xfId="0" applyFont="1" applyFill="1" applyBorder="1" applyAlignment="1" applyProtection="1">
      <alignment horizontal="left"/>
    </xf>
    <xf numFmtId="0" fontId="99" fillId="80" borderId="12" xfId="0" applyFont="1" applyFill="1" applyBorder="1" applyAlignment="1" applyProtection="1">
      <alignment horizontal="left"/>
    </xf>
    <xf numFmtId="0" fontId="31" fillId="81" borderId="102" xfId="4623" applyNumberFormat="1" applyFont="1" applyFill="1" applyBorder="1" applyAlignment="1"/>
    <xf numFmtId="0" fontId="31" fillId="81" borderId="103" xfId="4623" applyNumberFormat="1" applyFont="1" applyFill="1" applyBorder="1" applyAlignment="1"/>
    <xf numFmtId="0" fontId="31" fillId="81" borderId="103" xfId="45" applyNumberFormat="1" applyFont="1" applyFill="1" applyBorder="1" applyAlignment="1">
      <alignment wrapText="1"/>
    </xf>
    <xf numFmtId="185" fontId="9" fillId="81" borderId="103" xfId="0" applyNumberFormat="1" applyFont="1" applyFill="1" applyBorder="1"/>
    <xf numFmtId="185" fontId="9" fillId="81" borderId="104" xfId="0" applyNumberFormat="1" applyFont="1" applyFill="1" applyBorder="1"/>
    <xf numFmtId="0" fontId="31" fillId="0" borderId="105" xfId="4623" applyNumberFormat="1" applyFont="1" applyBorder="1" applyAlignment="1"/>
    <xf numFmtId="0" fontId="31" fillId="0" borderId="106" xfId="4623" applyNumberFormat="1" applyFont="1" applyBorder="1" applyAlignment="1"/>
    <xf numFmtId="0" fontId="31" fillId="0" borderId="106" xfId="45" applyNumberFormat="1" applyFont="1" applyBorder="1" applyAlignment="1">
      <alignment wrapText="1"/>
    </xf>
    <xf numFmtId="185" fontId="9" fillId="0" borderId="106" xfId="0" applyNumberFormat="1" applyFont="1" applyBorder="1"/>
    <xf numFmtId="185" fontId="9" fillId="0" borderId="107" xfId="0" applyNumberFormat="1" applyFont="1" applyBorder="1"/>
    <xf numFmtId="0" fontId="31" fillId="81" borderId="105" xfId="4623" applyNumberFormat="1" applyFont="1" applyFill="1" applyBorder="1" applyAlignment="1"/>
    <xf numFmtId="0" fontId="31" fillId="81" borderId="106" xfId="4623" applyNumberFormat="1" applyFont="1" applyFill="1" applyBorder="1" applyAlignment="1"/>
    <xf numFmtId="0" fontId="31" fillId="81" borderId="106" xfId="45" applyNumberFormat="1" applyFont="1" applyFill="1" applyBorder="1" applyAlignment="1">
      <alignment wrapText="1"/>
    </xf>
    <xf numFmtId="185" fontId="9" fillId="81" borderId="106" xfId="0" applyNumberFormat="1" applyFont="1" applyFill="1" applyBorder="1"/>
    <xf numFmtId="185" fontId="9" fillId="81" borderId="107" xfId="0" applyNumberFormat="1" applyFont="1" applyFill="1" applyBorder="1"/>
    <xf numFmtId="185" fontId="133" fillId="81" borderId="106" xfId="0" applyNumberFormat="1" applyFont="1" applyFill="1" applyBorder="1"/>
    <xf numFmtId="0" fontId="9" fillId="81" borderId="105" xfId="4623" applyNumberFormat="1" applyFont="1" applyFill="1" applyBorder="1" applyAlignment="1"/>
    <xf numFmtId="0" fontId="9" fillId="81" borderId="106" xfId="4623" applyNumberFormat="1" applyFont="1" applyFill="1" applyBorder="1" applyAlignment="1"/>
    <xf numFmtId="185" fontId="133" fillId="0" borderId="106" xfId="0" applyNumberFormat="1" applyFont="1" applyBorder="1"/>
    <xf numFmtId="0" fontId="9" fillId="0" borderId="105" xfId="4623" applyNumberFormat="1" applyFont="1" applyBorder="1" applyAlignment="1"/>
    <xf numFmtId="0" fontId="9" fillId="0" borderId="106" xfId="4623" applyNumberFormat="1" applyFont="1" applyBorder="1" applyAlignment="1"/>
    <xf numFmtId="0" fontId="31" fillId="81" borderId="108" xfId="4623" applyNumberFormat="1" applyFont="1" applyFill="1" applyBorder="1" applyAlignment="1"/>
    <xf numFmtId="0" fontId="31" fillId="81" borderId="109" xfId="4623" applyNumberFormat="1" applyFont="1" applyFill="1" applyBorder="1" applyAlignment="1"/>
    <xf numFmtId="0" fontId="31" fillId="81" borderId="109" xfId="45" applyNumberFormat="1" applyFont="1" applyFill="1" applyBorder="1" applyAlignment="1">
      <alignment wrapText="1"/>
    </xf>
    <xf numFmtId="185" fontId="9" fillId="81" borderId="109" xfId="0" applyNumberFormat="1" applyFont="1" applyFill="1" applyBorder="1"/>
    <xf numFmtId="185" fontId="9" fillId="81" borderId="110" xfId="0" applyNumberFormat="1" applyFont="1" applyFill="1" applyBorder="1"/>
    <xf numFmtId="1" fontId="9" fillId="0" borderId="0" xfId="0" applyNumberFormat="1" applyFont="1"/>
    <xf numFmtId="0" fontId="1" fillId="0" borderId="24" xfId="0" applyFont="1" applyBorder="1" applyAlignment="1">
      <alignment horizontal="left"/>
    </xf>
    <xf numFmtId="0" fontId="9" fillId="0" borderId="25" xfId="0" applyFont="1" applyBorder="1" applyAlignment="1">
      <alignment horizontal="left"/>
    </xf>
    <xf numFmtId="0" fontId="0" fillId="0" borderId="0" xfId="0" applyBorder="1" applyAlignment="1">
      <alignment horizontal="center"/>
    </xf>
    <xf numFmtId="0" fontId="0" fillId="0" borderId="27" xfId="0" applyBorder="1" applyAlignment="1">
      <alignment horizontal="center"/>
    </xf>
    <xf numFmtId="0" fontId="9" fillId="0" borderId="0" xfId="0" applyFont="1" applyFill="1" applyBorder="1" applyAlignment="1">
      <alignment horizontal="left"/>
    </xf>
    <xf numFmtId="0" fontId="0" fillId="0" borderId="0" xfId="0" applyFill="1" applyBorder="1" applyAlignment="1">
      <alignment horizontal="center"/>
    </xf>
    <xf numFmtId="0" fontId="30" fillId="0" borderId="24" xfId="0" applyFont="1" applyFill="1" applyBorder="1" applyAlignment="1">
      <alignment horizontal="center"/>
    </xf>
    <xf numFmtId="0" fontId="0" fillId="0" borderId="24" xfId="0" applyFill="1" applyBorder="1" applyAlignment="1">
      <alignment horizontal="center"/>
    </xf>
    <xf numFmtId="0" fontId="0" fillId="0" borderId="0" xfId="0" applyBorder="1" applyAlignment="1">
      <alignment horizontal="center"/>
    </xf>
    <xf numFmtId="0" fontId="9" fillId="26" borderId="0" xfId="0" applyFont="1" applyFill="1" applyBorder="1" applyAlignment="1">
      <alignment horizontal="center"/>
    </xf>
    <xf numFmtId="165" fontId="9" fillId="0" borderId="0" xfId="28" applyNumberFormat="1" applyFont="1" applyFill="1" applyBorder="1" applyAlignment="1">
      <alignment horizontal="left"/>
    </xf>
    <xf numFmtId="43" fontId="0" fillId="0" borderId="0" xfId="28" applyNumberFormat="1" applyFont="1" applyFill="1" applyBorder="1"/>
    <xf numFmtId="165" fontId="9" fillId="0" borderId="0" xfId="0" applyNumberFormat="1" applyFont="1" applyFill="1" applyBorder="1" applyAlignment="1">
      <alignment horizontal="left"/>
    </xf>
    <xf numFmtId="44" fontId="0" fillId="0" borderId="0" xfId="0" applyNumberFormat="1" applyFill="1" applyBorder="1"/>
    <xf numFmtId="0" fontId="30" fillId="0" borderId="10" xfId="0" applyFont="1" applyFill="1" applyBorder="1" applyAlignment="1">
      <alignment horizontal="left"/>
    </xf>
    <xf numFmtId="0" fontId="30" fillId="0" borderId="10" xfId="0" applyFont="1" applyFill="1" applyBorder="1"/>
    <xf numFmtId="9" fontId="0" fillId="73" borderId="0" xfId="48" applyFont="1" applyFill="1" applyBorder="1" applyAlignment="1">
      <alignment horizontal="center"/>
    </xf>
    <xf numFmtId="0" fontId="0" fillId="0" borderId="0" xfId="0" applyFill="1" applyAlignment="1">
      <alignment horizontal="center"/>
    </xf>
    <xf numFmtId="0" fontId="9" fillId="26" borderId="111" xfId="0" applyFont="1" applyFill="1" applyBorder="1" applyAlignment="1">
      <alignment horizontal="center"/>
    </xf>
    <xf numFmtId="0" fontId="0" fillId="26" borderId="19" xfId="0" applyFill="1" applyBorder="1" applyAlignment="1">
      <alignment horizontal="center" wrapText="1"/>
    </xf>
    <xf numFmtId="44" fontId="9" fillId="26" borderId="19" xfId="31" applyFont="1" applyFill="1" applyBorder="1" applyAlignment="1">
      <alignment horizontal="center"/>
    </xf>
    <xf numFmtId="0" fontId="9" fillId="26" borderId="19" xfId="0" applyFont="1" applyFill="1" applyBorder="1" applyAlignment="1">
      <alignment horizontal="center"/>
    </xf>
    <xf numFmtId="170" fontId="0" fillId="26" borderId="19" xfId="31" applyNumberFormat="1" applyFont="1" applyFill="1" applyBorder="1" applyAlignment="1">
      <alignment horizontal="center"/>
    </xf>
    <xf numFmtId="0" fontId="0" fillId="77" borderId="70" xfId="0" applyFill="1" applyBorder="1" applyAlignment="1">
      <alignment horizontal="center"/>
    </xf>
    <xf numFmtId="1" fontId="0" fillId="26" borderId="19" xfId="28" applyNumberFormat="1" applyFont="1" applyFill="1" applyBorder="1" applyAlignment="1">
      <alignment horizontal="center"/>
    </xf>
    <xf numFmtId="1" fontId="0" fillId="26" borderId="19" xfId="0" applyNumberFormat="1" applyFill="1" applyBorder="1" applyAlignment="1">
      <alignment horizontal="center"/>
    </xf>
    <xf numFmtId="1" fontId="0" fillId="73" borderId="19" xfId="0" applyNumberFormat="1" applyFill="1" applyBorder="1" applyAlignment="1">
      <alignment horizontal="center"/>
    </xf>
    <xf numFmtId="165" fontId="0" fillId="26" borderId="19" xfId="28" applyNumberFormat="1" applyFont="1" applyFill="1" applyBorder="1" applyAlignment="1">
      <alignment horizontal="center"/>
    </xf>
    <xf numFmtId="177" fontId="0" fillId="73" borderId="19" xfId="0" applyNumberFormat="1" applyFill="1" applyBorder="1" applyAlignment="1">
      <alignment horizontal="center"/>
    </xf>
    <xf numFmtId="10" fontId="0" fillId="26" borderId="19" xfId="48" applyNumberFormat="1" applyFont="1" applyFill="1" applyBorder="1" applyAlignment="1">
      <alignment horizontal="center"/>
    </xf>
    <xf numFmtId="9" fontId="0" fillId="0" borderId="19" xfId="48" applyFont="1" applyFill="1" applyBorder="1" applyAlignment="1">
      <alignment horizontal="center"/>
    </xf>
    <xf numFmtId="2" fontId="0" fillId="26" borderId="19" xfId="0" applyNumberFormat="1" applyFill="1" applyBorder="1" applyAlignment="1">
      <alignment horizontal="center"/>
    </xf>
    <xf numFmtId="0" fontId="0" fillId="0" borderId="19" xfId="0" applyBorder="1" applyAlignment="1">
      <alignment horizontal="center"/>
    </xf>
    <xf numFmtId="0" fontId="0" fillId="0" borderId="70" xfId="0" applyBorder="1" applyAlignment="1">
      <alignment horizontal="center"/>
    </xf>
    <xf numFmtId="0" fontId="9" fillId="0" borderId="39" xfId="0" applyFont="1" applyFill="1" applyBorder="1" applyAlignment="1">
      <alignment horizontal="center"/>
    </xf>
    <xf numFmtId="0" fontId="9" fillId="0" borderId="27" xfId="0" applyFont="1" applyFill="1" applyBorder="1" applyAlignment="1">
      <alignment horizontal="center"/>
    </xf>
    <xf numFmtId="0" fontId="0" fillId="0" borderId="27" xfId="0" applyFill="1" applyBorder="1" applyAlignment="1">
      <alignment horizontal="center" wrapText="1"/>
    </xf>
    <xf numFmtId="44" fontId="9" fillId="0" borderId="24" xfId="31" applyFont="1" applyFill="1" applyBorder="1" applyAlignment="1">
      <alignment horizontal="center"/>
    </xf>
    <xf numFmtId="170" fontId="0" fillId="0" borderId="24" xfId="31" applyNumberFormat="1" applyFont="1" applyFill="1" applyBorder="1" applyAlignment="1">
      <alignment horizontal="center"/>
    </xf>
    <xf numFmtId="0" fontId="47" fillId="0" borderId="24" xfId="0" applyFont="1" applyFill="1" applyBorder="1" applyAlignment="1">
      <alignment horizontal="center"/>
    </xf>
    <xf numFmtId="1" fontId="0" fillId="0" borderId="24" xfId="28" applyNumberFormat="1" applyFont="1" applyFill="1" applyBorder="1" applyAlignment="1">
      <alignment horizontal="center"/>
    </xf>
    <xf numFmtId="1" fontId="0" fillId="0" borderId="27" xfId="28" applyNumberFormat="1" applyFont="1" applyFill="1" applyBorder="1" applyAlignment="1">
      <alignment horizontal="center"/>
    </xf>
    <xf numFmtId="1" fontId="0" fillId="0" borderId="24" xfId="0" applyNumberFormat="1" applyFill="1" applyBorder="1" applyAlignment="1">
      <alignment horizontal="center"/>
    </xf>
    <xf numFmtId="1" fontId="0" fillId="0" borderId="27" xfId="0" applyNumberFormat="1" applyFill="1" applyBorder="1" applyAlignment="1">
      <alignment horizontal="center"/>
    </xf>
    <xf numFmtId="165" fontId="0" fillId="0" borderId="24" xfId="28" applyNumberFormat="1" applyFont="1" applyFill="1" applyBorder="1" applyAlignment="1">
      <alignment horizontal="center"/>
    </xf>
    <xf numFmtId="165" fontId="0" fillId="0" borderId="27" xfId="28" applyNumberFormat="1" applyFont="1" applyFill="1" applyBorder="1" applyAlignment="1">
      <alignment horizontal="center"/>
    </xf>
    <xf numFmtId="177" fontId="0" fillId="0" borderId="24" xfId="0" applyNumberFormat="1" applyFill="1" applyBorder="1" applyAlignment="1">
      <alignment horizontal="center"/>
    </xf>
    <xf numFmtId="177" fontId="0" fillId="0" borderId="27" xfId="0" applyNumberFormat="1" applyFill="1" applyBorder="1" applyAlignment="1">
      <alignment horizontal="center"/>
    </xf>
    <xf numFmtId="10" fontId="0" fillId="0" borderId="24" xfId="48" applyNumberFormat="1" applyFont="1" applyFill="1" applyBorder="1" applyAlignment="1">
      <alignment horizontal="center"/>
    </xf>
    <xf numFmtId="10" fontId="0" fillId="0" borderId="27" xfId="48" applyNumberFormat="1" applyFont="1" applyFill="1" applyBorder="1" applyAlignment="1">
      <alignment horizontal="center"/>
    </xf>
    <xf numFmtId="9" fontId="0" fillId="0" borderId="24" xfId="48" applyFont="1" applyFill="1" applyBorder="1" applyAlignment="1">
      <alignment horizontal="center"/>
    </xf>
    <xf numFmtId="9" fontId="0" fillId="0" borderId="27" xfId="48" applyFont="1" applyFill="1" applyBorder="1" applyAlignment="1">
      <alignment horizontal="center"/>
    </xf>
    <xf numFmtId="2" fontId="0" fillId="0" borderId="24" xfId="0" applyNumberFormat="1" applyFill="1" applyBorder="1" applyAlignment="1">
      <alignment horizontal="center"/>
    </xf>
    <xf numFmtId="2" fontId="0" fillId="0" borderId="27" xfId="0" applyNumberFormat="1" applyFill="1" applyBorder="1" applyAlignment="1">
      <alignment horizontal="center"/>
    </xf>
    <xf numFmtId="0" fontId="30" fillId="0" borderId="27" xfId="0" applyFont="1" applyFill="1" applyBorder="1" applyAlignment="1">
      <alignment horizontal="center"/>
    </xf>
    <xf numFmtId="0" fontId="0" fillId="0" borderId="25" xfId="0" applyFill="1" applyBorder="1" applyAlignment="1">
      <alignment horizontal="center"/>
    </xf>
    <xf numFmtId="0" fontId="0" fillId="0" borderId="30" xfId="0" applyFill="1" applyBorder="1" applyAlignment="1">
      <alignment horizontal="center"/>
    </xf>
    <xf numFmtId="165" fontId="30" fillId="26" borderId="19" xfId="28" applyNumberFormat="1" applyFont="1" applyFill="1" applyBorder="1" applyAlignment="1">
      <alignment horizontal="center"/>
    </xf>
    <xf numFmtId="165" fontId="30" fillId="77" borderId="19" xfId="28" applyNumberFormat="1" applyFont="1" applyFill="1" applyBorder="1" applyAlignment="1">
      <alignment horizontal="center"/>
    </xf>
    <xf numFmtId="0" fontId="0" fillId="0" borderId="24" xfId="0" applyFill="1" applyBorder="1" applyAlignment="1"/>
    <xf numFmtId="44" fontId="0" fillId="26" borderId="19" xfId="31" applyFont="1" applyFill="1" applyBorder="1"/>
    <xf numFmtId="0" fontId="0" fillId="26" borderId="19" xfId="0" applyFill="1" applyBorder="1"/>
    <xf numFmtId="44" fontId="0" fillId="26" borderId="0" xfId="31" applyFont="1" applyFill="1" applyBorder="1"/>
    <xf numFmtId="0" fontId="0" fillId="26" borderId="70" xfId="0" applyFill="1" applyBorder="1"/>
    <xf numFmtId="44" fontId="0" fillId="73" borderId="19" xfId="31" applyFont="1" applyFill="1" applyBorder="1"/>
    <xf numFmtId="44" fontId="0" fillId="26" borderId="11" xfId="31" applyFont="1" applyFill="1" applyBorder="1"/>
    <xf numFmtId="0" fontId="0" fillId="0" borderId="24" xfId="0" applyBorder="1" applyAlignment="1"/>
    <xf numFmtId="0" fontId="0" fillId="0" borderId="27" xfId="0" applyBorder="1" applyAlignment="1"/>
    <xf numFmtId="43" fontId="0" fillId="0" borderId="27" xfId="28" applyFont="1" applyBorder="1"/>
    <xf numFmtId="44" fontId="0" fillId="73" borderId="0" xfId="31" applyFont="1" applyFill="1" applyBorder="1"/>
    <xf numFmtId="44" fontId="0" fillId="73" borderId="28" xfId="0" applyNumberFormat="1" applyFill="1" applyBorder="1"/>
    <xf numFmtId="0" fontId="0" fillId="0" borderId="0" xfId="0" applyFill="1" applyBorder="1" applyAlignment="1">
      <alignment horizontal="center"/>
    </xf>
    <xf numFmtId="44" fontId="76" fillId="0" borderId="0" xfId="31" applyFont="1" applyBorder="1"/>
    <xf numFmtId="0" fontId="83" fillId="0" borderId="0" xfId="0" applyFont="1" applyFill="1" applyBorder="1" applyAlignment="1">
      <alignment vertical="center" wrapText="1"/>
    </xf>
    <xf numFmtId="165" fontId="76" fillId="0" borderId="0" xfId="0" applyNumberFormat="1" applyFont="1" applyFill="1" applyBorder="1"/>
    <xf numFmtId="0" fontId="76" fillId="0" borderId="0" xfId="0" applyFont="1" applyFill="1" applyAlignment="1"/>
    <xf numFmtId="1" fontId="76" fillId="0" borderId="0" xfId="0" applyNumberFormat="1" applyFont="1" applyFill="1" applyBorder="1"/>
    <xf numFmtId="0" fontId="47" fillId="82" borderId="10" xfId="0" applyFont="1" applyFill="1" applyBorder="1" applyAlignment="1">
      <alignment horizontal="center" vertical="center" wrapText="1"/>
    </xf>
    <xf numFmtId="0" fontId="47" fillId="74" borderId="10" xfId="0" applyFont="1" applyFill="1" applyBorder="1" applyAlignment="1">
      <alignment horizontal="center" vertical="center" wrapText="1"/>
    </xf>
    <xf numFmtId="165" fontId="47" fillId="82" borderId="10" xfId="28" applyNumberFormat="1" applyFont="1" applyFill="1" applyBorder="1" applyAlignment="1">
      <alignment horizontal="center" vertical="center" wrapText="1"/>
    </xf>
    <xf numFmtId="1" fontId="47" fillId="74" borderId="10" xfId="28" applyNumberFormat="1" applyFont="1" applyFill="1" applyBorder="1" applyAlignment="1">
      <alignment horizontal="center" vertical="center" wrapText="1"/>
    </xf>
    <xf numFmtId="165" fontId="47" fillId="74" borderId="10" xfId="28" applyNumberFormat="1" applyFont="1" applyFill="1" applyBorder="1" applyAlignment="1">
      <alignment horizontal="center" vertical="center" wrapText="1"/>
    </xf>
    <xf numFmtId="9" fontId="47" fillId="74" borderId="10" xfId="48" applyFont="1" applyFill="1" applyBorder="1" applyAlignment="1">
      <alignment horizontal="center" vertical="center" wrapText="1"/>
    </xf>
    <xf numFmtId="1" fontId="47" fillId="74" borderId="10" xfId="0" applyNumberFormat="1" applyFont="1" applyFill="1" applyBorder="1" applyAlignment="1">
      <alignment horizontal="center" vertical="center" wrapText="1"/>
    </xf>
    <xf numFmtId="0" fontId="47" fillId="66" borderId="10" xfId="0" applyFont="1" applyFill="1" applyBorder="1" applyAlignment="1">
      <alignment horizontal="center" vertical="center" wrapText="1"/>
    </xf>
    <xf numFmtId="0" fontId="47" fillId="74" borderId="35" xfId="0" applyFont="1" applyFill="1" applyBorder="1" applyAlignment="1">
      <alignment vertical="center" wrapText="1"/>
    </xf>
    <xf numFmtId="0" fontId="0" fillId="73" borderId="0" xfId="0" applyFill="1" applyBorder="1" applyAlignment="1">
      <alignment horizontal="center"/>
    </xf>
    <xf numFmtId="184" fontId="76" fillId="77" borderId="27" xfId="28" applyNumberFormat="1" applyFont="1" applyFill="1" applyBorder="1"/>
    <xf numFmtId="184" fontId="76" fillId="0" borderId="0" xfId="28" applyNumberFormat="1" applyFont="1" applyFill="1" applyBorder="1"/>
    <xf numFmtId="0" fontId="83" fillId="0" borderId="60" xfId="0" applyFont="1" applyFill="1" applyBorder="1" applyAlignment="1"/>
    <xf numFmtId="177" fontId="76" fillId="0" borderId="54" xfId="0" applyNumberFormat="1" applyFont="1" applyFill="1" applyBorder="1"/>
    <xf numFmtId="165" fontId="76" fillId="0" borderId="0" xfId="0" applyNumberFormat="1" applyFont="1" applyBorder="1"/>
    <xf numFmtId="165" fontId="9" fillId="73" borderId="24" xfId="28" applyNumberFormat="1" applyFont="1" applyFill="1" applyBorder="1" applyAlignment="1">
      <alignment horizontal="center"/>
    </xf>
    <xf numFmtId="43" fontId="0" fillId="0" borderId="0" xfId="28" applyFont="1"/>
    <xf numFmtId="0" fontId="0" fillId="68" borderId="0" xfId="0" applyFill="1"/>
    <xf numFmtId="165" fontId="0" fillId="68" borderId="0" xfId="28" applyNumberFormat="1" applyFont="1" applyFill="1"/>
    <xf numFmtId="43" fontId="0" fillId="68" borderId="0" xfId="28" applyFont="1" applyFill="1"/>
    <xf numFmtId="165" fontId="0" fillId="66" borderId="0" xfId="28" applyNumberFormat="1" applyFont="1" applyFill="1"/>
    <xf numFmtId="43" fontId="76" fillId="77" borderId="55" xfId="28" applyFont="1" applyFill="1" applyBorder="1"/>
    <xf numFmtId="0" fontId="76" fillId="77" borderId="55" xfId="0" applyFont="1" applyFill="1" applyBorder="1"/>
    <xf numFmtId="9" fontId="76" fillId="77" borderId="55" xfId="48" applyFont="1" applyFill="1" applyBorder="1"/>
    <xf numFmtId="0" fontId="76" fillId="77" borderId="0" xfId="0" applyFont="1" applyFill="1"/>
    <xf numFmtId="0" fontId="0" fillId="0" borderId="0" xfId="0" applyFill="1" applyBorder="1" applyAlignment="1">
      <alignment horizontal="center"/>
    </xf>
    <xf numFmtId="0" fontId="76" fillId="0" borderId="39" xfId="0" applyFont="1" applyFill="1" applyBorder="1" applyAlignment="1"/>
    <xf numFmtId="0" fontId="30" fillId="0" borderId="25" xfId="0" applyFont="1" applyFill="1" applyBorder="1" applyAlignment="1">
      <alignment horizontal="right"/>
    </xf>
    <xf numFmtId="0" fontId="83" fillId="0" borderId="10" xfId="0" applyFont="1" applyFill="1" applyBorder="1" applyAlignment="1">
      <alignment horizontal="left"/>
    </xf>
    <xf numFmtId="0" fontId="30" fillId="0" borderId="10" xfId="0" applyFont="1" applyFill="1" applyBorder="1" applyAlignment="1">
      <alignment horizontal="left" wrapText="1"/>
    </xf>
    <xf numFmtId="0" fontId="130" fillId="73" borderId="55" xfId="0" applyFont="1" applyFill="1" applyBorder="1" applyAlignment="1">
      <alignment horizontal="center"/>
    </xf>
    <xf numFmtId="165" fontId="130" fillId="77" borderId="10" xfId="28" applyNumberFormat="1" applyFont="1" applyFill="1" applyBorder="1" applyAlignment="1">
      <alignment horizontal="left"/>
    </xf>
    <xf numFmtId="43" fontId="130" fillId="77" borderId="10" xfId="28" applyNumberFormat="1" applyFont="1" applyFill="1" applyBorder="1" applyAlignment="1">
      <alignment horizontal="left"/>
    </xf>
    <xf numFmtId="165" fontId="130" fillId="73" borderId="11" xfId="28" applyNumberFormat="1" applyFont="1" applyFill="1" applyBorder="1" applyAlignment="1">
      <alignment horizontal="center"/>
    </xf>
    <xf numFmtId="165" fontId="130" fillId="73" borderId="0" xfId="28" applyNumberFormat="1" applyFont="1" applyFill="1" applyBorder="1" applyAlignment="1">
      <alignment horizontal="center"/>
    </xf>
    <xf numFmtId="170" fontId="130" fillId="73" borderId="0" xfId="31" applyNumberFormat="1" applyFont="1" applyFill="1" applyBorder="1" applyAlignment="1">
      <alignment horizontal="center"/>
    </xf>
    <xf numFmtId="0" fontId="90" fillId="73" borderId="0" xfId="0" applyFont="1" applyFill="1" applyBorder="1" applyAlignment="1">
      <alignment horizontal="center"/>
    </xf>
    <xf numFmtId="165" fontId="130" fillId="73" borderId="28" xfId="28" applyNumberFormat="1" applyFont="1" applyFill="1" applyBorder="1" applyAlignment="1">
      <alignment horizontal="center"/>
    </xf>
    <xf numFmtId="165" fontId="90" fillId="73" borderId="28" xfId="0" applyNumberFormat="1" applyFont="1" applyFill="1" applyBorder="1" applyAlignment="1">
      <alignment horizontal="center"/>
    </xf>
    <xf numFmtId="43" fontId="130" fillId="73" borderId="28" xfId="28" applyFont="1" applyFill="1" applyBorder="1" applyAlignment="1">
      <alignment horizontal="center"/>
    </xf>
    <xf numFmtId="170" fontId="130" fillId="73" borderId="28" xfId="31" applyNumberFormat="1" applyFont="1" applyFill="1" applyBorder="1" applyAlignment="1">
      <alignment horizontal="center"/>
    </xf>
    <xf numFmtId="165" fontId="90" fillId="77" borderId="10" xfId="28" applyNumberFormat="1" applyFont="1" applyFill="1" applyBorder="1"/>
    <xf numFmtId="165" fontId="90" fillId="73" borderId="38" xfId="28" applyNumberFormat="1" applyFont="1" applyFill="1" applyBorder="1"/>
    <xf numFmtId="43" fontId="90" fillId="73" borderId="38" xfId="28" applyFont="1" applyFill="1" applyBorder="1"/>
    <xf numFmtId="44" fontId="90" fillId="73" borderId="38" xfId="0" applyNumberFormat="1" applyFont="1" applyFill="1" applyBorder="1"/>
    <xf numFmtId="0" fontId="9" fillId="0" borderId="0" xfId="0" applyFont="1" applyBorder="1" applyAlignment="1">
      <alignment horizontal="center" wrapText="1"/>
    </xf>
    <xf numFmtId="0" fontId="9" fillId="0" borderId="39" xfId="0" applyFont="1" applyBorder="1" applyAlignment="1">
      <alignment horizontal="center"/>
    </xf>
    <xf numFmtId="0" fontId="9" fillId="0" borderId="40" xfId="0" applyFont="1" applyBorder="1" applyAlignment="1">
      <alignment horizontal="center" wrapText="1"/>
    </xf>
    <xf numFmtId="0" fontId="9" fillId="0" borderId="39" xfId="0" applyFont="1" applyBorder="1" applyAlignment="1">
      <alignment horizontal="center" wrapText="1"/>
    </xf>
    <xf numFmtId="0" fontId="9" fillId="0" borderId="34" xfId="0" applyFont="1" applyFill="1" applyBorder="1" applyAlignment="1">
      <alignment horizontal="center" wrapText="1"/>
    </xf>
    <xf numFmtId="1" fontId="0" fillId="73" borderId="24" xfId="0" applyNumberFormat="1" applyFill="1" applyBorder="1" applyAlignment="1">
      <alignment horizontal="center"/>
    </xf>
    <xf numFmtId="1" fontId="0" fillId="73" borderId="25" xfId="0" applyNumberFormat="1" applyFill="1" applyBorder="1" applyAlignment="1">
      <alignment horizontal="center"/>
    </xf>
    <xf numFmtId="165" fontId="0" fillId="73" borderId="28" xfId="28" applyNumberFormat="1" applyFont="1" applyFill="1" applyBorder="1" applyAlignment="1">
      <alignment horizontal="center"/>
    </xf>
    <xf numFmtId="0" fontId="83" fillId="0" borderId="35" xfId="0" applyFont="1" applyBorder="1"/>
    <xf numFmtId="170" fontId="130" fillId="0" borderId="0" xfId="31" applyNumberFormat="1" applyFont="1" applyFill="1" applyBorder="1" applyAlignment="1">
      <alignment horizontal="center"/>
    </xf>
    <xf numFmtId="44" fontId="90" fillId="0" borderId="0" xfId="31" applyFont="1" applyFill="1" applyBorder="1"/>
    <xf numFmtId="43" fontId="0" fillId="0" borderId="0" xfId="28" applyFont="1" applyAlignment="1">
      <alignment horizontal="center"/>
    </xf>
    <xf numFmtId="0" fontId="0" fillId="0" borderId="0" xfId="0" applyAlignment="1">
      <alignment horizontal="left"/>
    </xf>
    <xf numFmtId="0" fontId="76" fillId="0" borderId="0" xfId="0" applyFont="1" applyFill="1" applyBorder="1" applyAlignment="1">
      <alignment horizontal="center"/>
    </xf>
    <xf numFmtId="9" fontId="0" fillId="0" borderId="0" xfId="48" applyFont="1" applyAlignment="1"/>
    <xf numFmtId="0" fontId="0" fillId="66" borderId="0" xfId="0" applyFill="1"/>
    <xf numFmtId="43" fontId="0" fillId="66" borderId="0" xfId="28" applyFont="1" applyFill="1"/>
    <xf numFmtId="9" fontId="0" fillId="68" borderId="0" xfId="48" applyFont="1" applyFill="1"/>
    <xf numFmtId="9" fontId="0" fillId="68" borderId="0" xfId="48" applyFont="1" applyFill="1" applyAlignment="1">
      <alignment horizontal="center" wrapText="1"/>
    </xf>
    <xf numFmtId="0" fontId="0" fillId="68" borderId="0" xfId="0" applyFill="1" applyAlignment="1">
      <alignment horizontal="center" wrapText="1"/>
    </xf>
    <xf numFmtId="165" fontId="0" fillId="68" borderId="0" xfId="28" applyNumberFormat="1" applyFont="1" applyFill="1" applyAlignment="1">
      <alignment horizontal="center" wrapText="1"/>
    </xf>
    <xf numFmtId="43" fontId="0" fillId="68" borderId="0" xfId="28" applyFont="1" applyFill="1" applyAlignment="1">
      <alignment horizontal="center" wrapText="1"/>
    </xf>
    <xf numFmtId="0" fontId="0" fillId="66" borderId="0" xfId="0" applyFill="1" applyAlignment="1">
      <alignment horizontal="center" wrapText="1"/>
    </xf>
    <xf numFmtId="165" fontId="0" fillId="66" borderId="0" xfId="28" applyNumberFormat="1" applyFont="1" applyFill="1" applyAlignment="1">
      <alignment horizontal="center" wrapText="1"/>
    </xf>
    <xf numFmtId="43" fontId="0" fillId="66" borderId="0" xfId="28" applyFont="1" applyFill="1" applyAlignment="1">
      <alignment horizontal="center" wrapText="1"/>
    </xf>
    <xf numFmtId="165" fontId="76" fillId="77" borderId="55" xfId="28" applyNumberFormat="1" applyFont="1" applyFill="1" applyBorder="1"/>
    <xf numFmtId="0" fontId="0" fillId="0" borderId="0" xfId="0" applyBorder="1" applyAlignment="1">
      <alignment horizontal="center"/>
    </xf>
    <xf numFmtId="0" fontId="0" fillId="26" borderId="0" xfId="0" applyFill="1" applyBorder="1" applyAlignment="1">
      <alignment horizontal="center"/>
    </xf>
    <xf numFmtId="0" fontId="0" fillId="0" borderId="0" xfId="0" applyAlignment="1">
      <alignment horizontal="center"/>
    </xf>
    <xf numFmtId="0" fontId="76" fillId="64" borderId="67" xfId="0" applyFont="1" applyFill="1" applyBorder="1" applyAlignment="1">
      <alignment horizontal="center"/>
    </xf>
    <xf numFmtId="0" fontId="118" fillId="83" borderId="0" xfId="0" applyFont="1" applyFill="1" applyAlignment="1">
      <alignment horizontal="center"/>
    </xf>
    <xf numFmtId="0" fontId="101" fillId="0" borderId="0" xfId="0" applyFont="1" applyAlignment="1">
      <alignment horizontal="center" wrapText="1"/>
    </xf>
    <xf numFmtId="0" fontId="101" fillId="0" borderId="0" xfId="0" applyFont="1" applyAlignment="1">
      <alignment horizontal="center"/>
    </xf>
    <xf numFmtId="0" fontId="136" fillId="0" borderId="0" xfId="0" quotePrefix="1" applyFont="1" applyAlignment="1">
      <alignment horizontal="left"/>
    </xf>
    <xf numFmtId="0" fontId="47" fillId="0" borderId="0" xfId="0" applyFont="1" applyAlignment="1">
      <alignment wrapText="1"/>
    </xf>
    <xf numFmtId="0" fontId="118" fillId="83" borderId="0" xfId="0" applyFont="1" applyFill="1" applyAlignment="1">
      <alignment horizontal="center" wrapText="1"/>
    </xf>
    <xf numFmtId="0" fontId="136" fillId="0" borderId="0" xfId="0" applyFont="1" applyAlignment="1">
      <alignment horizontal="center" wrapText="1"/>
    </xf>
    <xf numFmtId="0" fontId="47" fillId="0" borderId="0" xfId="0" applyFont="1" applyAlignment="1">
      <alignment horizontal="center" wrapText="1"/>
    </xf>
    <xf numFmtId="0" fontId="47" fillId="0" borderId="0" xfId="0" applyFont="1" applyAlignment="1">
      <alignment horizontal="left" wrapText="1"/>
    </xf>
    <xf numFmtId="0" fontId="0" fillId="0" borderId="0" xfId="0" applyAlignment="1">
      <alignment wrapText="1"/>
    </xf>
    <xf numFmtId="0" fontId="0" fillId="0" borderId="0" xfId="0" applyFill="1" applyAlignment="1">
      <alignment horizontal="left"/>
    </xf>
    <xf numFmtId="0" fontId="137" fillId="84" borderId="0" xfId="0" applyFont="1" applyFill="1" applyAlignment="1">
      <alignment horizontal="center"/>
    </xf>
    <xf numFmtId="0" fontId="138" fillId="0" borderId="0" xfId="0" applyFont="1" applyAlignment="1">
      <alignment horizontal="center"/>
    </xf>
    <xf numFmtId="0" fontId="139" fillId="0" borderId="0" xfId="0" applyFont="1" applyAlignment="1">
      <alignment horizontal="center"/>
    </xf>
    <xf numFmtId="0" fontId="0" fillId="83" borderId="0" xfId="0" applyFill="1" applyAlignment="1">
      <alignment horizontal="center"/>
    </xf>
    <xf numFmtId="0" fontId="0" fillId="0" borderId="0" xfId="0" applyAlignment="1">
      <alignment horizontal="left" wrapText="1"/>
    </xf>
    <xf numFmtId="0" fontId="0" fillId="83" borderId="0" xfId="0" applyFill="1" applyBorder="1" applyAlignment="1">
      <alignment horizontal="center"/>
    </xf>
    <xf numFmtId="0" fontId="0" fillId="85" borderId="0" xfId="0" applyFill="1" applyAlignment="1">
      <alignment horizontal="left"/>
    </xf>
    <xf numFmtId="0" fontId="0" fillId="0" borderId="112" xfId="0" applyBorder="1"/>
    <xf numFmtId="0" fontId="0" fillId="83" borderId="113" xfId="0" applyFill="1" applyBorder="1" applyAlignment="1">
      <alignment horizontal="center"/>
    </xf>
    <xf numFmtId="0" fontId="0" fillId="0" borderId="113" xfId="0" applyBorder="1" applyAlignment="1">
      <alignment horizontal="center"/>
    </xf>
    <xf numFmtId="0" fontId="0" fillId="0" borderId="114" xfId="0" applyBorder="1" applyAlignment="1">
      <alignment horizontal="left"/>
    </xf>
    <xf numFmtId="0" fontId="0" fillId="0" borderId="115" xfId="0" applyBorder="1" applyAlignment="1">
      <alignment horizontal="left"/>
    </xf>
    <xf numFmtId="0" fontId="0" fillId="0" borderId="115" xfId="0" applyFill="1" applyBorder="1" applyAlignment="1">
      <alignment horizontal="left"/>
    </xf>
    <xf numFmtId="0" fontId="0" fillId="0" borderId="116" xfId="0" applyBorder="1"/>
    <xf numFmtId="0" fontId="0" fillId="0" borderId="117" xfId="0" applyBorder="1" applyAlignment="1">
      <alignment horizontal="center"/>
    </xf>
    <xf numFmtId="0" fontId="0" fillId="83" borderId="117" xfId="0" applyFill="1" applyBorder="1" applyAlignment="1">
      <alignment horizontal="center"/>
    </xf>
    <xf numFmtId="0" fontId="0" fillId="0" borderId="118" xfId="0" applyBorder="1" applyAlignment="1">
      <alignment horizontal="left"/>
    </xf>
    <xf numFmtId="0" fontId="85" fillId="64" borderId="10" xfId="0" applyFont="1" applyFill="1" applyBorder="1" applyAlignment="1">
      <alignment horizontal="center"/>
    </xf>
    <xf numFmtId="0" fontId="0" fillId="26" borderId="0" xfId="0" applyFill="1" applyBorder="1" applyAlignment="1">
      <alignment horizontal="center"/>
    </xf>
    <xf numFmtId="0" fontId="0" fillId="26" borderId="0" xfId="0" applyFill="1" applyAlignment="1">
      <alignment horizontal="center"/>
    </xf>
    <xf numFmtId="0" fontId="47" fillId="26" borderId="0" xfId="0" applyFont="1" applyFill="1" applyAlignment="1">
      <alignment horizontal="center" wrapText="1"/>
    </xf>
    <xf numFmtId="0" fontId="118" fillId="26" borderId="0" xfId="0" applyFont="1" applyFill="1" applyAlignment="1">
      <alignment horizontal="center" wrapText="1"/>
    </xf>
    <xf numFmtId="0" fontId="0" fillId="26" borderId="113" xfId="0" applyFill="1" applyBorder="1" applyAlignment="1">
      <alignment horizontal="center"/>
    </xf>
    <xf numFmtId="0" fontId="0" fillId="26" borderId="117" xfId="0" applyFill="1" applyBorder="1" applyAlignment="1">
      <alignment horizontal="center"/>
    </xf>
    <xf numFmtId="0" fontId="9" fillId="26" borderId="0" xfId="0" applyFont="1" applyFill="1" applyAlignment="1">
      <alignment horizontal="center" wrapText="1"/>
    </xf>
    <xf numFmtId="165" fontId="76" fillId="73" borderId="27" xfId="28" applyNumberFormat="1" applyFont="1" applyFill="1" applyBorder="1" applyAlignment="1">
      <alignment horizontal="center" vertical="center"/>
    </xf>
    <xf numFmtId="44" fontId="81" fillId="64" borderId="55" xfId="31" applyFont="1" applyFill="1" applyBorder="1" applyAlignment="1">
      <alignment horizontal="right" wrapText="1"/>
    </xf>
    <xf numFmtId="164" fontId="83" fillId="0" borderId="26" xfId="29" applyNumberFormat="1" applyFont="1" applyFill="1" applyBorder="1" applyAlignment="1" applyProtection="1">
      <alignment horizontal="center" vertical="center" wrapText="1"/>
    </xf>
    <xf numFmtId="0" fontId="83" fillId="0" borderId="119" xfId="0" applyFont="1" applyFill="1" applyBorder="1" applyAlignment="1">
      <alignment horizontal="center"/>
    </xf>
    <xf numFmtId="0" fontId="0" fillId="0" borderId="0" xfId="0" applyBorder="1" applyAlignment="1">
      <alignment horizontal="center"/>
    </xf>
    <xf numFmtId="0" fontId="9" fillId="0" borderId="34" xfId="0" applyFont="1" applyBorder="1" applyAlignment="1">
      <alignment horizontal="center"/>
    </xf>
    <xf numFmtId="0" fontId="0" fillId="0" borderId="20" xfId="0" applyFill="1" applyBorder="1" applyAlignment="1">
      <alignment horizontal="center"/>
    </xf>
    <xf numFmtId="0" fontId="0" fillId="0" borderId="26" xfId="0" applyFill="1" applyBorder="1" applyAlignment="1">
      <alignment horizontal="center"/>
    </xf>
    <xf numFmtId="0" fontId="9" fillId="0" borderId="120" xfId="0" applyFont="1" applyFill="1" applyBorder="1" applyAlignment="1">
      <alignment horizontal="center"/>
    </xf>
    <xf numFmtId="0" fontId="9" fillId="0" borderId="63" xfId="0" applyFont="1" applyFill="1" applyBorder="1" applyAlignment="1">
      <alignment horizontal="center"/>
    </xf>
    <xf numFmtId="0" fontId="0" fillId="0" borderId="0" xfId="0" applyAlignment="1">
      <alignment horizontal="center"/>
    </xf>
    <xf numFmtId="0" fontId="0" fillId="0" borderId="0" xfId="0" applyFill="1" applyBorder="1" applyAlignment="1">
      <alignment horizontal="center"/>
    </xf>
    <xf numFmtId="9" fontId="0" fillId="0" borderId="0" xfId="48" applyFont="1" applyAlignment="1">
      <alignment wrapText="1"/>
    </xf>
    <xf numFmtId="9" fontId="0" fillId="0" borderId="0" xfId="48" applyFont="1" applyAlignment="1">
      <alignment horizontal="center" wrapText="1"/>
    </xf>
    <xf numFmtId="165" fontId="76" fillId="73" borderId="55" xfId="28" applyNumberFormat="1" applyFont="1" applyFill="1" applyBorder="1"/>
    <xf numFmtId="43" fontId="76" fillId="73" borderId="0" xfId="0" applyNumberFormat="1" applyFont="1" applyFill="1"/>
    <xf numFmtId="0" fontId="76" fillId="82" borderId="10" xfId="0" applyFont="1" applyFill="1" applyBorder="1" applyAlignment="1">
      <alignment horizontal="center" vertical="center" wrapText="1"/>
    </xf>
    <xf numFmtId="9" fontId="9" fillId="82" borderId="10" xfId="48" applyFont="1" applyFill="1" applyBorder="1" applyAlignment="1">
      <alignment horizontal="center" vertical="center" wrapText="1"/>
    </xf>
    <xf numFmtId="0" fontId="76" fillId="74" borderId="10" xfId="0" applyFont="1" applyFill="1" applyBorder="1" applyAlignment="1">
      <alignment horizontal="center" vertical="center" wrapText="1"/>
    </xf>
    <xf numFmtId="9" fontId="9" fillId="74" borderId="10" xfId="48" applyFont="1" applyFill="1" applyBorder="1" applyAlignment="1">
      <alignment horizontal="center" vertical="center" wrapText="1"/>
    </xf>
    <xf numFmtId="9" fontId="76" fillId="0" borderId="0" xfId="48" applyFont="1"/>
    <xf numFmtId="0" fontId="9" fillId="0" borderId="39" xfId="0" applyFont="1" applyBorder="1" applyAlignment="1">
      <alignment horizontal="center"/>
    </xf>
    <xf numFmtId="0" fontId="0" fillId="77" borderId="19" xfId="0" applyFill="1" applyBorder="1" applyAlignment="1">
      <alignment horizontal="center"/>
    </xf>
    <xf numFmtId="0" fontId="0" fillId="0" borderId="24" xfId="0" applyFont="1" applyFill="1" applyBorder="1"/>
    <xf numFmtId="2" fontId="76" fillId="77" borderId="0" xfId="0" applyNumberFormat="1" applyFont="1" applyFill="1" applyBorder="1" applyAlignment="1"/>
    <xf numFmtId="2" fontId="76" fillId="0" borderId="0" xfId="0" applyNumberFormat="1" applyFont="1" applyBorder="1" applyAlignment="1">
      <alignment horizontal="center"/>
    </xf>
    <xf numFmtId="0" fontId="9" fillId="0" borderId="25" xfId="0" applyFont="1" applyBorder="1" applyAlignment="1">
      <alignment horizontal="center"/>
    </xf>
    <xf numFmtId="0" fontId="0" fillId="73" borderId="40" xfId="0" applyFill="1" applyBorder="1" applyAlignment="1">
      <alignment horizontal="center"/>
    </xf>
    <xf numFmtId="0" fontId="0" fillId="73" borderId="30" xfId="0" applyFill="1" applyBorder="1" applyAlignment="1">
      <alignment horizontal="center"/>
    </xf>
    <xf numFmtId="0" fontId="71" fillId="0" borderId="0" xfId="0" applyFont="1" applyBorder="1" applyAlignment="1">
      <alignment horizontal="center" vertical="center"/>
    </xf>
    <xf numFmtId="10" fontId="71" fillId="0" borderId="0" xfId="0" applyNumberFormat="1" applyFont="1" applyBorder="1" applyAlignment="1">
      <alignment horizontal="center" vertical="center"/>
    </xf>
    <xf numFmtId="44" fontId="0" fillId="0" borderId="27" xfId="31" applyFont="1" applyBorder="1"/>
    <xf numFmtId="44" fontId="0" fillId="0" borderId="30" xfId="31" applyFont="1" applyBorder="1"/>
    <xf numFmtId="9" fontId="76" fillId="0" borderId="0" xfId="48" applyFont="1" applyFill="1" applyBorder="1" applyAlignment="1"/>
    <xf numFmtId="1" fontId="0" fillId="0" borderId="0" xfId="0" applyNumberFormat="1" applyFill="1"/>
    <xf numFmtId="1" fontId="0" fillId="0" borderId="0" xfId="0" applyNumberFormat="1" applyAlignment="1">
      <alignment horizontal="center"/>
    </xf>
    <xf numFmtId="1" fontId="0" fillId="26" borderId="0" xfId="0" applyNumberFormat="1" applyFill="1" applyAlignment="1">
      <alignment horizontal="center"/>
    </xf>
    <xf numFmtId="177" fontId="0" fillId="0" borderId="0" xfId="0" applyNumberFormat="1" applyAlignment="1">
      <alignment horizontal="center"/>
    </xf>
    <xf numFmtId="177" fontId="0" fillId="26" borderId="0" xfId="0" applyNumberFormat="1" applyFill="1" applyAlignment="1">
      <alignment horizontal="center"/>
    </xf>
    <xf numFmtId="1" fontId="0" fillId="77" borderId="67" xfId="0" applyNumberFormat="1" applyFont="1" applyFill="1" applyBorder="1" applyAlignment="1">
      <alignment horizontal="center"/>
    </xf>
    <xf numFmtId="0" fontId="0" fillId="0" borderId="0" xfId="0" applyAlignment="1">
      <alignment horizontal="center"/>
    </xf>
    <xf numFmtId="0" fontId="9" fillId="0" borderId="34" xfId="0" applyFont="1" applyBorder="1" applyAlignment="1">
      <alignment horizontal="center"/>
    </xf>
    <xf numFmtId="0" fontId="0" fillId="0" borderId="0" xfId="0" applyFont="1" applyFill="1"/>
    <xf numFmtId="0" fontId="0" fillId="0" borderId="0" xfId="0" applyAlignment="1">
      <alignment horizontal="center"/>
    </xf>
    <xf numFmtId="0" fontId="9" fillId="0" borderId="0" xfId="0" applyFont="1" applyAlignment="1">
      <alignment horizontal="center"/>
    </xf>
    <xf numFmtId="0" fontId="0" fillId="0" borderId="0" xfId="0" applyAlignment="1">
      <alignment horizontal="center"/>
    </xf>
    <xf numFmtId="165" fontId="30" fillId="0" borderId="0" xfId="28" applyNumberFormat="1" applyFont="1" applyAlignment="1">
      <alignment horizontal="center"/>
    </xf>
    <xf numFmtId="44" fontId="30" fillId="0" borderId="0" xfId="31" applyFont="1" applyAlignment="1">
      <alignment horizontal="center"/>
    </xf>
    <xf numFmtId="165" fontId="0" fillId="0" borderId="0" xfId="28" applyNumberFormat="1" applyFont="1" applyAlignment="1">
      <alignment horizontal="center"/>
    </xf>
    <xf numFmtId="44" fontId="0" fillId="0" borderId="0" xfId="31" applyFont="1" applyAlignment="1">
      <alignment horizontal="center"/>
    </xf>
    <xf numFmtId="0" fontId="0" fillId="0" borderId="0" xfId="0" applyFont="1" applyAlignment="1">
      <alignment horizontal="center"/>
    </xf>
    <xf numFmtId="0" fontId="0" fillId="0" borderId="0" xfId="0" applyAlignment="1">
      <alignment horizontal="center"/>
    </xf>
    <xf numFmtId="0" fontId="140" fillId="0" borderId="0" xfId="0" applyFont="1"/>
    <xf numFmtId="0" fontId="0" fillId="73" borderId="55" xfId="0" applyFill="1" applyBorder="1"/>
    <xf numFmtId="0" fontId="9" fillId="0" borderId="0" xfId="0" applyFont="1" applyAlignment="1">
      <alignment horizontal="center"/>
    </xf>
    <xf numFmtId="177" fontId="0" fillId="0" borderId="28" xfId="0" applyNumberFormat="1" applyFill="1" applyBorder="1" applyAlignment="1">
      <alignment horizontal="center"/>
    </xf>
    <xf numFmtId="177" fontId="0" fillId="0" borderId="0" xfId="0" applyNumberFormat="1" applyFill="1" applyBorder="1" applyAlignment="1"/>
    <xf numFmtId="0" fontId="0" fillId="0" borderId="0" xfId="0" applyAlignment="1">
      <alignment horizontal="center"/>
    </xf>
    <xf numFmtId="0" fontId="9" fillId="0" borderId="0" xfId="0" applyFont="1"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9" fillId="0" borderId="0" xfId="0" applyFont="1" applyFill="1" applyBorder="1" applyAlignment="1">
      <alignment horizontal="left"/>
    </xf>
    <xf numFmtId="170" fontId="0" fillId="0" borderId="10" xfId="31" applyNumberFormat="1" applyFont="1" applyFill="1" applyBorder="1"/>
    <xf numFmtId="170" fontId="0" fillId="0" borderId="10" xfId="31" applyNumberFormat="1" applyFont="1" applyFill="1" applyBorder="1" applyAlignment="1">
      <alignment horizontal="center"/>
    </xf>
    <xf numFmtId="44" fontId="0" fillId="0" borderId="10" xfId="31" applyFont="1" applyFill="1" applyBorder="1"/>
    <xf numFmtId="0" fontId="0" fillId="0" borderId="10" xfId="0" applyFill="1" applyBorder="1" applyAlignment="1">
      <alignment horizontal="center"/>
    </xf>
    <xf numFmtId="44" fontId="0" fillId="0" borderId="10" xfId="31" applyFont="1" applyFill="1" applyBorder="1" applyAlignment="1">
      <alignment horizontal="center"/>
    </xf>
    <xf numFmtId="0" fontId="0" fillId="0" borderId="61" xfId="0" applyFill="1" applyBorder="1"/>
    <xf numFmtId="44" fontId="0" fillId="0" borderId="62" xfId="31" applyFont="1" applyFill="1" applyBorder="1"/>
    <xf numFmtId="44" fontId="0" fillId="0" borderId="62" xfId="0" applyNumberFormat="1" applyFill="1" applyBorder="1" applyAlignment="1">
      <alignment horizontal="center"/>
    </xf>
    <xf numFmtId="9" fontId="0" fillId="0" borderId="64" xfId="48" applyFont="1" applyFill="1" applyBorder="1"/>
    <xf numFmtId="44" fontId="0" fillId="0" borderId="64" xfId="31" applyFont="1" applyFill="1" applyBorder="1" applyAlignment="1">
      <alignment horizontal="center"/>
    </xf>
    <xf numFmtId="9" fontId="0" fillId="0" borderId="10" xfId="48" applyFont="1" applyFill="1" applyBorder="1"/>
    <xf numFmtId="0" fontId="47" fillId="0" borderId="0" xfId="0" applyFont="1" applyBorder="1" applyAlignment="1">
      <alignment horizontal="center"/>
    </xf>
    <xf numFmtId="0" fontId="47" fillId="0" borderId="0" xfId="0" applyFont="1" applyFill="1" applyBorder="1" applyAlignment="1">
      <alignment horizontal="center"/>
    </xf>
    <xf numFmtId="0" fontId="0" fillId="0" borderId="39" xfId="0" applyBorder="1" applyAlignment="1">
      <alignment horizontal="center"/>
    </xf>
    <xf numFmtId="0" fontId="9" fillId="0" borderId="0" xfId="0" applyFont="1" applyFill="1" applyBorder="1" applyAlignment="1">
      <alignment horizontal="left"/>
    </xf>
    <xf numFmtId="0" fontId="9" fillId="0" borderId="0" xfId="0" applyFont="1" applyFill="1" applyBorder="1" applyAlignment="1">
      <alignment horizontal="center"/>
    </xf>
    <xf numFmtId="0" fontId="0" fillId="0" borderId="40" xfId="0" applyBorder="1" applyAlignment="1">
      <alignment horizontal="center" wrapText="1"/>
    </xf>
    <xf numFmtId="0" fontId="47" fillId="74" borderId="0" xfId="0" applyFont="1" applyFill="1" applyBorder="1" applyAlignment="1">
      <alignment horizontal="center" wrapText="1"/>
    </xf>
    <xf numFmtId="0" fontId="47" fillId="74" borderId="27" xfId="0" applyFont="1" applyFill="1" applyBorder="1" applyAlignment="1">
      <alignment horizontal="center" wrapText="1"/>
    </xf>
    <xf numFmtId="0" fontId="76" fillId="0" borderId="77" xfId="0" applyFont="1" applyFill="1" applyBorder="1"/>
    <xf numFmtId="1" fontId="76" fillId="0" borderId="55" xfId="0" applyNumberFormat="1" applyFont="1" applyFill="1" applyBorder="1" applyAlignment="1">
      <alignment horizontal="center"/>
    </xf>
    <xf numFmtId="0" fontId="76" fillId="0" borderId="76" xfId="0" applyFont="1" applyFill="1" applyBorder="1"/>
    <xf numFmtId="1" fontId="47" fillId="0" borderId="0" xfId="0" applyNumberFormat="1" applyFont="1" applyFill="1" applyBorder="1" applyAlignment="1">
      <alignment horizontal="center"/>
    </xf>
    <xf numFmtId="44" fontId="47" fillId="0" borderId="0" xfId="31" applyFont="1" applyFill="1" applyBorder="1" applyAlignment="1">
      <alignment horizontal="center"/>
    </xf>
    <xf numFmtId="44" fontId="47" fillId="0" borderId="0" xfId="0" applyNumberFormat="1" applyFont="1" applyFill="1" applyBorder="1" applyAlignment="1">
      <alignment horizontal="center"/>
    </xf>
    <xf numFmtId="0" fontId="0" fillId="0" borderId="0" xfId="0" applyFont="1" applyFill="1" applyBorder="1" applyAlignment="1">
      <alignment horizontal="left"/>
    </xf>
    <xf numFmtId="9" fontId="0" fillId="77" borderId="0" xfId="48" applyFont="1" applyFill="1" applyBorder="1"/>
    <xf numFmtId="0" fontId="0" fillId="73" borderId="24" xfId="0" applyFill="1" applyBorder="1"/>
    <xf numFmtId="9" fontId="0" fillId="64" borderId="0" xfId="48" applyFont="1" applyFill="1" applyBorder="1" applyAlignment="1">
      <alignment horizontal="center"/>
    </xf>
    <xf numFmtId="1" fontId="0" fillId="73" borderId="0" xfId="0" applyNumberFormat="1" applyFill="1" applyBorder="1" applyAlignment="1">
      <alignment horizontal="center"/>
    </xf>
    <xf numFmtId="0" fontId="0" fillId="64" borderId="0" xfId="0" applyFill="1" applyBorder="1"/>
    <xf numFmtId="9" fontId="0" fillId="64" borderId="0" xfId="48" applyFont="1" applyFill="1" applyBorder="1"/>
    <xf numFmtId="165" fontId="0" fillId="73" borderId="0" xfId="0" applyNumberFormat="1" applyFill="1" applyBorder="1"/>
    <xf numFmtId="2" fontId="0" fillId="73" borderId="0" xfId="0" applyNumberFormat="1" applyFill="1" applyBorder="1" applyAlignment="1">
      <alignment horizontal="center"/>
    </xf>
    <xf numFmtId="0" fontId="47" fillId="0" borderId="0" xfId="0" applyFont="1" applyBorder="1" applyAlignment="1">
      <alignment horizontal="center"/>
    </xf>
    <xf numFmtId="0" fontId="76" fillId="0" borderId="0" xfId="0" applyFont="1" applyFill="1" applyBorder="1" applyAlignment="1">
      <alignment horizontal="center"/>
    </xf>
    <xf numFmtId="0" fontId="76" fillId="0" borderId="0" xfId="0" applyFont="1" applyBorder="1" applyAlignment="1">
      <alignment horizontal="left"/>
    </xf>
    <xf numFmtId="0" fontId="83" fillId="0" borderId="0" xfId="0" applyFont="1" applyFill="1" applyBorder="1" applyAlignment="1">
      <alignment horizontal="center"/>
    </xf>
    <xf numFmtId="0" fontId="0" fillId="0" borderId="0" xfId="0" applyFill="1" applyBorder="1" applyAlignment="1">
      <alignment horizontal="center"/>
    </xf>
    <xf numFmtId="0" fontId="47" fillId="0" borderId="0" xfId="0" applyFont="1" applyFill="1" applyBorder="1" applyAlignment="1">
      <alignment horizontal="center"/>
    </xf>
    <xf numFmtId="0" fontId="0" fillId="0" borderId="39" xfId="0" applyBorder="1" applyAlignment="1">
      <alignment horizontal="center"/>
    </xf>
    <xf numFmtId="0" fontId="86" fillId="0" borderId="0" xfId="0" applyFont="1" applyBorder="1" applyAlignment="1">
      <alignment horizontal="left" wrapText="1"/>
    </xf>
    <xf numFmtId="0" fontId="9" fillId="0" borderId="0" xfId="0" applyFont="1" applyFill="1" applyBorder="1" applyAlignment="1">
      <alignment horizontal="left"/>
    </xf>
    <xf numFmtId="0" fontId="9" fillId="0" borderId="0" xfId="0" applyFont="1" applyBorder="1" applyAlignment="1">
      <alignment horizontal="center"/>
    </xf>
    <xf numFmtId="0" fontId="9" fillId="0" borderId="0" xfId="0" applyFont="1" applyFill="1" applyBorder="1" applyAlignment="1">
      <alignment horizontal="center"/>
    </xf>
    <xf numFmtId="0" fontId="0" fillId="0" borderId="40" xfId="0" applyBorder="1" applyAlignment="1">
      <alignment horizontal="center" wrapText="1"/>
    </xf>
    <xf numFmtId="0" fontId="0" fillId="0" borderId="34" xfId="0" applyBorder="1" applyAlignment="1">
      <alignment horizontal="center" wrapText="1"/>
    </xf>
    <xf numFmtId="9" fontId="0" fillId="73" borderId="27" xfId="48" applyFont="1" applyFill="1" applyBorder="1"/>
    <xf numFmtId="0" fontId="76" fillId="64" borderId="28" xfId="0" applyFont="1" applyFill="1" applyBorder="1"/>
    <xf numFmtId="43" fontId="0" fillId="73" borderId="28" xfId="28" applyNumberFormat="1" applyFont="1" applyFill="1" applyBorder="1" applyAlignment="1">
      <alignment horizontal="center"/>
    </xf>
    <xf numFmtId="44" fontId="0" fillId="73" borderId="28" xfId="31" applyFont="1" applyFill="1" applyBorder="1"/>
    <xf numFmtId="0" fontId="0" fillId="64" borderId="28" xfId="0" applyFill="1" applyBorder="1"/>
    <xf numFmtId="44" fontId="0" fillId="64" borderId="28" xfId="31" applyFont="1" applyFill="1" applyBorder="1"/>
    <xf numFmtId="170" fontId="0" fillId="73" borderId="30" xfId="31" applyNumberFormat="1" applyFont="1" applyFill="1" applyBorder="1"/>
    <xf numFmtId="44" fontId="76" fillId="73" borderId="28" xfId="31" applyFont="1" applyFill="1" applyBorder="1" applyAlignment="1"/>
    <xf numFmtId="44" fontId="76" fillId="73" borderId="28" xfId="0" applyNumberFormat="1" applyFont="1" applyFill="1" applyBorder="1" applyAlignment="1"/>
    <xf numFmtId="0" fontId="76" fillId="0" borderId="28" xfId="0" applyFont="1" applyBorder="1" applyAlignment="1">
      <alignment vertical="center" wrapText="1"/>
    </xf>
    <xf numFmtId="0" fontId="76" fillId="0" borderId="30" xfId="0" applyFont="1" applyBorder="1" applyAlignment="1">
      <alignment wrapText="1"/>
    </xf>
    <xf numFmtId="0" fontId="47" fillId="0" borderId="24" xfId="0" applyFont="1" applyBorder="1" applyAlignment="1">
      <alignment horizontal="center"/>
    </xf>
    <xf numFmtId="0" fontId="47" fillId="64" borderId="0" xfId="0" applyFont="1" applyFill="1" applyBorder="1" applyAlignment="1">
      <alignment horizontal="center"/>
    </xf>
    <xf numFmtId="43" fontId="76" fillId="73" borderId="0" xfId="0" applyNumberFormat="1" applyFont="1" applyFill="1" applyBorder="1" applyAlignment="1"/>
    <xf numFmtId="43" fontId="0" fillId="73" borderId="28" xfId="0" applyNumberFormat="1" applyFill="1" applyBorder="1" applyAlignment="1">
      <alignment horizontal="center" wrapText="1"/>
    </xf>
    <xf numFmtId="0" fontId="9" fillId="64" borderId="28" xfId="0" applyFont="1" applyFill="1" applyBorder="1" applyAlignment="1">
      <alignment horizontal="center"/>
    </xf>
    <xf numFmtId="43" fontId="47" fillId="73" borderId="28" xfId="0" applyNumberFormat="1" applyFont="1" applyFill="1" applyBorder="1" applyAlignment="1">
      <alignment horizontal="center"/>
    </xf>
    <xf numFmtId="0" fontId="83" fillId="0" borderId="0" xfId="0" applyFont="1" applyFill="1" applyBorder="1" applyAlignment="1">
      <alignment vertical="center"/>
    </xf>
    <xf numFmtId="2" fontId="0" fillId="0" borderId="0" xfId="0" applyNumberFormat="1" applyFill="1" applyBorder="1" applyAlignment="1">
      <alignment horizontal="center"/>
    </xf>
    <xf numFmtId="9" fontId="0" fillId="0" borderId="0" xfId="48" applyFont="1" applyFill="1" applyBorder="1"/>
    <xf numFmtId="165" fontId="0" fillId="0" borderId="0" xfId="0" applyNumberFormat="1" applyFill="1" applyBorder="1"/>
    <xf numFmtId="43" fontId="0" fillId="0" borderId="0" xfId="28" applyNumberFormat="1" applyFont="1" applyFill="1" applyBorder="1" applyAlignment="1">
      <alignment horizontal="center"/>
    </xf>
    <xf numFmtId="165" fontId="0" fillId="0" borderId="0" xfId="0" applyNumberFormat="1" applyFill="1" applyBorder="1" applyAlignment="1">
      <alignment horizontal="center"/>
    </xf>
    <xf numFmtId="44" fontId="76" fillId="0" borderId="0" xfId="0" applyNumberFormat="1" applyFont="1" applyFill="1" applyBorder="1" applyAlignment="1"/>
    <xf numFmtId="0" fontId="0" fillId="64" borderId="28" xfId="0" applyFill="1" applyBorder="1" applyAlignment="1">
      <alignment horizontal="center" vertical="center"/>
    </xf>
    <xf numFmtId="0" fontId="83" fillId="0" borderId="24" xfId="0" applyFont="1" applyFill="1" applyBorder="1" applyAlignment="1"/>
    <xf numFmtId="43" fontId="76" fillId="0" borderId="0" xfId="0" applyNumberFormat="1" applyFont="1" applyFill="1" applyBorder="1" applyAlignment="1"/>
    <xf numFmtId="43" fontId="0" fillId="0" borderId="0" xfId="0" applyNumberFormat="1" applyFill="1" applyBorder="1" applyAlignment="1">
      <alignment horizontal="center" wrapText="1"/>
    </xf>
    <xf numFmtId="43" fontId="47" fillId="0" borderId="0" xfId="0" applyNumberFormat="1" applyFont="1" applyFill="1" applyBorder="1" applyAlignment="1">
      <alignment horizontal="center"/>
    </xf>
    <xf numFmtId="44" fontId="9" fillId="0" borderId="0" xfId="31" applyFont="1" applyFill="1" applyBorder="1" applyAlignment="1">
      <alignment horizontal="left"/>
    </xf>
    <xf numFmtId="43" fontId="76" fillId="73" borderId="28" xfId="0" applyNumberFormat="1" applyFont="1" applyFill="1" applyBorder="1" applyAlignment="1"/>
    <xf numFmtId="0" fontId="9" fillId="0" borderId="39" xfId="0" applyFont="1" applyBorder="1" applyAlignment="1">
      <alignment vertical="center"/>
    </xf>
    <xf numFmtId="0" fontId="0" fillId="0" borderId="25" xfId="0" applyBorder="1" applyAlignment="1">
      <alignment vertical="center"/>
    </xf>
    <xf numFmtId="0" fontId="0" fillId="77" borderId="19" xfId="0" applyFill="1" applyBorder="1"/>
    <xf numFmtId="0" fontId="0" fillId="0" borderId="0" xfId="0" applyAlignment="1">
      <alignment horizontal="center"/>
    </xf>
    <xf numFmtId="0" fontId="9" fillId="0" borderId="0" xfId="0" applyFont="1" applyAlignment="1">
      <alignment horizontal="center"/>
    </xf>
    <xf numFmtId="0" fontId="83" fillId="0" borderId="0" xfId="0" applyFont="1" applyFill="1" applyBorder="1" applyAlignment="1">
      <alignment horizontal="center"/>
    </xf>
    <xf numFmtId="0" fontId="0" fillId="0" borderId="0" xfId="0" applyFill="1" applyBorder="1" applyAlignment="1">
      <alignment horizontal="center"/>
    </xf>
    <xf numFmtId="0" fontId="9" fillId="0" borderId="0" xfId="0" applyFont="1" applyFill="1" applyBorder="1" applyAlignment="1">
      <alignment horizontal="center"/>
    </xf>
    <xf numFmtId="0" fontId="141" fillId="0" borderId="0" xfId="0" applyFont="1" applyFill="1" applyBorder="1"/>
    <xf numFmtId="166" fontId="141" fillId="0" borderId="0" xfId="0" applyNumberFormat="1" applyFont="1" applyFill="1" applyBorder="1" applyAlignment="1">
      <alignment horizontal="right"/>
    </xf>
    <xf numFmtId="42" fontId="141" fillId="0" borderId="0" xfId="32" applyNumberFormat="1" applyFont="1" applyFill="1" applyBorder="1"/>
    <xf numFmtId="42" fontId="141" fillId="0" borderId="0" xfId="32" applyNumberFormat="1" applyFont="1" applyFill="1" applyBorder="1" applyAlignment="1">
      <alignment horizontal="right"/>
    </xf>
    <xf numFmtId="0" fontId="80" fillId="0" borderId="112" xfId="0" applyFont="1" applyBorder="1" applyAlignment="1">
      <alignment horizontal="right" wrapText="1"/>
    </xf>
    <xf numFmtId="0" fontId="76" fillId="0" borderId="113" xfId="0" applyFont="1" applyBorder="1"/>
    <xf numFmtId="165" fontId="76" fillId="0" borderId="113" xfId="0" applyNumberFormat="1" applyFont="1" applyBorder="1"/>
    <xf numFmtId="0" fontId="76" fillId="0" borderId="114" xfId="0" applyFont="1" applyBorder="1"/>
    <xf numFmtId="0" fontId="80" fillId="0" borderId="116" xfId="0" applyFont="1" applyBorder="1" applyAlignment="1">
      <alignment horizontal="right" wrapText="1"/>
    </xf>
    <xf numFmtId="0" fontId="76" fillId="0" borderId="117" xfId="0" applyFont="1" applyBorder="1"/>
    <xf numFmtId="0" fontId="76" fillId="0" borderId="118" xfId="0" applyFont="1" applyBorder="1"/>
    <xf numFmtId="0" fontId="83" fillId="0" borderId="113" xfId="0" applyFont="1" applyBorder="1"/>
    <xf numFmtId="0" fontId="78" fillId="0" borderId="112" xfId="0" applyFont="1" applyBorder="1" applyAlignment="1">
      <alignment horizontal="right" wrapText="1"/>
    </xf>
    <xf numFmtId="0" fontId="78" fillId="0" borderId="116" xfId="0" applyFont="1" applyBorder="1" applyAlignment="1">
      <alignment horizontal="right" wrapText="1"/>
    </xf>
    <xf numFmtId="0" fontId="140" fillId="0" borderId="0" xfId="0" applyFont="1" applyBorder="1" applyAlignment="1">
      <alignment horizontal="center" vertical="center" wrapText="1"/>
    </xf>
    <xf numFmtId="0" fontId="140" fillId="0" borderId="0" xfId="0" applyFont="1" applyFill="1" applyBorder="1" applyAlignment="1"/>
    <xf numFmtId="0" fontId="9" fillId="0" borderId="13" xfId="0" applyFont="1" applyBorder="1" applyAlignment="1">
      <alignment horizontal="center" vertical="center" wrapText="1"/>
    </xf>
    <xf numFmtId="0" fontId="83" fillId="0" borderId="27" xfId="0" applyFont="1" applyBorder="1" applyAlignment="1">
      <alignment horizontal="center"/>
    </xf>
    <xf numFmtId="0" fontId="140" fillId="0" borderId="56" xfId="0" applyFont="1" applyBorder="1" applyAlignment="1">
      <alignment horizontal="center" vertical="center" wrapText="1"/>
    </xf>
    <xf numFmtId="165" fontId="140" fillId="0" borderId="0" xfId="28" applyNumberFormat="1" applyFont="1" applyFill="1" applyBorder="1" applyAlignment="1">
      <alignment horizontal="center" vertical="center" wrapText="1"/>
    </xf>
    <xf numFmtId="0" fontId="141" fillId="0" borderId="0" xfId="0" applyFont="1" applyFill="1" applyAlignment="1">
      <alignment wrapText="1"/>
    </xf>
    <xf numFmtId="44" fontId="141" fillId="0" borderId="0" xfId="31" applyFont="1" applyBorder="1"/>
    <xf numFmtId="165" fontId="141" fillId="0" borderId="0" xfId="28" applyNumberFormat="1" applyFont="1" applyFill="1" applyBorder="1" applyAlignment="1">
      <alignment horizontal="right"/>
    </xf>
    <xf numFmtId="43" fontId="142" fillId="73" borderId="38" xfId="28" applyFont="1" applyFill="1" applyBorder="1"/>
    <xf numFmtId="0" fontId="141" fillId="0" borderId="10" xfId="0" applyFont="1" applyBorder="1" applyAlignment="1"/>
    <xf numFmtId="0" fontId="143" fillId="26" borderId="10" xfId="0" applyFont="1" applyFill="1" applyBorder="1" applyAlignment="1">
      <alignment horizontal="center"/>
    </xf>
    <xf numFmtId="0" fontId="141" fillId="0" borderId="24" xfId="0" applyFont="1" applyFill="1" applyBorder="1" applyAlignment="1"/>
    <xf numFmtId="165" fontId="144" fillId="82" borderId="0" xfId="28" applyNumberFormat="1" applyFont="1" applyFill="1" applyAlignment="1">
      <alignment horizontal="center" wrapText="1"/>
    </xf>
    <xf numFmtId="0" fontId="0" fillId="82" borderId="0" xfId="0" applyFill="1"/>
    <xf numFmtId="0" fontId="9" fillId="82" borderId="0" xfId="0" applyFont="1" applyFill="1"/>
    <xf numFmtId="0" fontId="141" fillId="0" borderId="10" xfId="0" applyFont="1" applyBorder="1"/>
    <xf numFmtId="0" fontId="141" fillId="26" borderId="10" xfId="0" applyFont="1" applyFill="1" applyBorder="1" applyAlignment="1">
      <alignment horizontal="center"/>
    </xf>
    <xf numFmtId="0" fontId="141" fillId="0" borderId="10" xfId="0" applyFont="1" applyFill="1" applyBorder="1" applyAlignment="1">
      <alignment vertical="center" wrapText="1"/>
    </xf>
    <xf numFmtId="165" fontId="141" fillId="73" borderId="10" xfId="28" applyNumberFormat="1" applyFont="1" applyFill="1" applyBorder="1" applyAlignment="1">
      <alignment vertical="center"/>
    </xf>
    <xf numFmtId="165" fontId="9" fillId="73" borderId="76" xfId="28" applyNumberFormat="1" applyFont="1" applyFill="1" applyBorder="1"/>
    <xf numFmtId="0" fontId="140" fillId="0" borderId="10" xfId="0" applyFont="1" applyFill="1" applyBorder="1" applyAlignment="1">
      <alignment wrapText="1"/>
    </xf>
    <xf numFmtId="0" fontId="143" fillId="0" borderId="13" xfId="0" applyFont="1" applyFill="1" applyBorder="1" applyAlignment="1">
      <alignment horizontal="right" wrapText="1"/>
    </xf>
    <xf numFmtId="1" fontId="0" fillId="26" borderId="67" xfId="0" applyNumberFormat="1" applyFill="1" applyBorder="1" applyAlignment="1">
      <alignment horizontal="center"/>
    </xf>
    <xf numFmtId="165" fontId="140" fillId="73" borderId="10" xfId="28" applyNumberFormat="1" applyFont="1" applyFill="1" applyBorder="1"/>
    <xf numFmtId="165" fontId="9" fillId="0" borderId="0" xfId="28" applyNumberFormat="1" applyFont="1" applyFill="1" applyBorder="1" applyAlignment="1">
      <alignment horizontal="center" wrapText="1"/>
    </xf>
    <xf numFmtId="0" fontId="119" fillId="0" borderId="0" xfId="0" applyFont="1" applyBorder="1" applyAlignment="1">
      <alignment horizontal="center" vertical="center" wrapText="1"/>
    </xf>
    <xf numFmtId="43" fontId="76" fillId="0" borderId="0" xfId="28" applyFont="1" applyFill="1" applyBorder="1"/>
    <xf numFmtId="0" fontId="140" fillId="0" borderId="24" xfId="0" applyFont="1" applyBorder="1" applyAlignment="1">
      <alignment horizontal="center" wrapText="1"/>
    </xf>
    <xf numFmtId="0" fontId="140" fillId="0" borderId="0" xfId="0" applyFont="1" applyBorder="1" applyAlignment="1">
      <alignment horizontal="center" wrapText="1"/>
    </xf>
    <xf numFmtId="0" fontId="140" fillId="0" borderId="27" xfId="0" applyFont="1" applyFill="1" applyBorder="1" applyAlignment="1">
      <alignment horizontal="center" wrapText="1"/>
    </xf>
    <xf numFmtId="165" fontId="140" fillId="73" borderId="24" xfId="28" applyNumberFormat="1" applyFont="1" applyFill="1" applyBorder="1" applyAlignment="1">
      <alignment horizontal="center"/>
    </xf>
    <xf numFmtId="165" fontId="140" fillId="73" borderId="0" xfId="28" applyNumberFormat="1" applyFont="1" applyFill="1" applyBorder="1"/>
    <xf numFmtId="165" fontId="140" fillId="73" borderId="0" xfId="28" applyNumberFormat="1" applyFont="1" applyFill="1" applyBorder="1" applyAlignment="1">
      <alignment horizontal="center"/>
    </xf>
    <xf numFmtId="165" fontId="140" fillId="73" borderId="27" xfId="0" applyNumberFormat="1" applyFont="1" applyFill="1" applyBorder="1"/>
    <xf numFmtId="0" fontId="141" fillId="0" borderId="0" xfId="0" applyFont="1" applyBorder="1"/>
    <xf numFmtId="0" fontId="145" fillId="0" borderId="0" xfId="0" applyFont="1"/>
    <xf numFmtId="9" fontId="85" fillId="0" borderId="0" xfId="48" applyFont="1" applyBorder="1" applyAlignment="1">
      <alignment horizontal="center"/>
    </xf>
    <xf numFmtId="0" fontId="131" fillId="0" borderId="0" xfId="0" applyFont="1" applyAlignment="1">
      <alignment horizontal="center"/>
    </xf>
    <xf numFmtId="0" fontId="9" fillId="0" borderId="34" xfId="0" applyFont="1" applyBorder="1" applyAlignment="1">
      <alignment horizontal="center" wrapText="1"/>
    </xf>
    <xf numFmtId="0" fontId="9" fillId="0" borderId="0" xfId="0" applyFont="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center"/>
    </xf>
    <xf numFmtId="0" fontId="0" fillId="0" borderId="0" xfId="0" applyBorder="1" applyAlignment="1">
      <alignment horizontal="center"/>
    </xf>
    <xf numFmtId="0" fontId="9" fillId="0" borderId="39" xfId="0" applyFont="1" applyBorder="1" applyAlignment="1">
      <alignment horizontal="center"/>
    </xf>
    <xf numFmtId="0" fontId="9" fillId="0" borderId="34" xfId="0" applyFont="1" applyBorder="1" applyAlignment="1">
      <alignment horizontal="center"/>
    </xf>
    <xf numFmtId="0" fontId="9" fillId="0" borderId="0" xfId="0" applyFont="1" applyFill="1" applyBorder="1" applyAlignment="1">
      <alignment horizontal="center"/>
    </xf>
    <xf numFmtId="0" fontId="9" fillId="0" borderId="39" xfId="0" applyFont="1" applyBorder="1" applyAlignment="1">
      <alignment horizontal="center" wrapText="1"/>
    </xf>
    <xf numFmtId="0" fontId="0" fillId="0" borderId="0" xfId="0" applyAlignment="1">
      <alignment horizontal="center"/>
    </xf>
    <xf numFmtId="0" fontId="9" fillId="0" borderId="0" xfId="0" applyFont="1" applyAlignment="1">
      <alignment horizontal="center"/>
    </xf>
    <xf numFmtId="44" fontId="0" fillId="0" borderId="34" xfId="0" applyNumberFormat="1" applyBorder="1" applyAlignment="1">
      <alignment vertical="center"/>
    </xf>
    <xf numFmtId="0" fontId="0" fillId="0" borderId="117" xfId="0" applyBorder="1"/>
    <xf numFmtId="0" fontId="30" fillId="0" borderId="60" xfId="0" applyFont="1" applyBorder="1" applyAlignment="1"/>
    <xf numFmtId="0" fontId="30" fillId="0" borderId="26" xfId="0" applyFont="1" applyBorder="1" applyAlignment="1"/>
    <xf numFmtId="0" fontId="30" fillId="0" borderId="54" xfId="0" applyFont="1" applyBorder="1" applyAlignment="1"/>
    <xf numFmtId="44" fontId="0" fillId="73" borderId="0" xfId="31" applyFont="1" applyFill="1" applyBorder="1" applyAlignment="1">
      <alignment horizontal="center"/>
    </xf>
    <xf numFmtId="0" fontId="30" fillId="0" borderId="39" xfId="0" applyFont="1" applyBorder="1" applyAlignment="1">
      <alignment wrapText="1"/>
    </xf>
    <xf numFmtId="0" fontId="30" fillId="0" borderId="34" xfId="0" applyFont="1" applyBorder="1" applyAlignment="1">
      <alignment wrapText="1"/>
    </xf>
    <xf numFmtId="0" fontId="30" fillId="0" borderId="40" xfId="0" applyFont="1" applyBorder="1" applyAlignment="1">
      <alignment wrapText="1"/>
    </xf>
    <xf numFmtId="170" fontId="0" fillId="73" borderId="0" xfId="31" applyNumberFormat="1" applyFont="1" applyFill="1" applyBorder="1"/>
    <xf numFmtId="0" fontId="9" fillId="0" borderId="117" xfId="0" applyFont="1" applyFill="1" applyBorder="1" applyAlignment="1">
      <alignment horizontal="center"/>
    </xf>
    <xf numFmtId="0" fontId="9" fillId="0" borderId="13" xfId="0" applyFont="1" applyBorder="1" applyAlignment="1">
      <alignment horizontal="center"/>
    </xf>
    <xf numFmtId="2" fontId="0" fillId="73" borderId="28" xfId="0" applyNumberFormat="1" applyFill="1" applyBorder="1" applyAlignment="1">
      <alignment horizontal="center"/>
    </xf>
    <xf numFmtId="0" fontId="69" fillId="0" borderId="24" xfId="0" applyFont="1" applyBorder="1"/>
    <xf numFmtId="0" fontId="69" fillId="0" borderId="0" xfId="0" applyFont="1" applyBorder="1" applyAlignment="1">
      <alignment horizontal="center" wrapText="1"/>
    </xf>
    <xf numFmtId="0" fontId="69" fillId="0" borderId="27" xfId="0" applyFont="1" applyFill="1" applyBorder="1" applyAlignment="1">
      <alignment horizontal="center" wrapText="1"/>
    </xf>
    <xf numFmtId="0" fontId="69" fillId="0" borderId="0" xfId="0" applyFont="1" applyBorder="1" applyAlignment="1">
      <alignment horizontal="center"/>
    </xf>
    <xf numFmtId="1" fontId="69" fillId="0" borderId="0" xfId="28" applyNumberFormat="1" applyFont="1" applyBorder="1" applyAlignment="1">
      <alignment horizontal="center"/>
    </xf>
    <xf numFmtId="0" fontId="69" fillId="0" borderId="0" xfId="0" applyFont="1" applyBorder="1"/>
    <xf numFmtId="0" fontId="69" fillId="0" borderId="27" xfId="0" applyFont="1" applyBorder="1"/>
    <xf numFmtId="9" fontId="69" fillId="0" borderId="0" xfId="0" applyNumberFormat="1" applyFont="1" applyBorder="1"/>
    <xf numFmtId="0" fontId="69" fillId="0" borderId="25" xfId="0" applyFont="1" applyBorder="1"/>
    <xf numFmtId="9" fontId="69" fillId="0" borderId="28" xfId="0" applyNumberFormat="1" applyFont="1" applyBorder="1"/>
    <xf numFmtId="0" fontId="69" fillId="0" borderId="28" xfId="0" applyFont="1" applyBorder="1"/>
    <xf numFmtId="0" fontId="69" fillId="0" borderId="30" xfId="0" applyFont="1" applyBorder="1"/>
    <xf numFmtId="0" fontId="102" fillId="0" borderId="24" xfId="0" applyFont="1" applyBorder="1"/>
    <xf numFmtId="0" fontId="69" fillId="0" borderId="0" xfId="0" applyFont="1" applyBorder="1" applyAlignment="1">
      <alignment horizontal="center" vertical="center" wrapText="1"/>
    </xf>
    <xf numFmtId="0" fontId="69" fillId="0" borderId="0" xfId="0" applyFont="1" applyFill="1" applyBorder="1" applyAlignment="1">
      <alignment horizontal="center" vertical="center" wrapText="1"/>
    </xf>
    <xf numFmtId="0" fontId="69" fillId="0" borderId="27" xfId="0" applyFont="1" applyFill="1" applyBorder="1" applyAlignment="1">
      <alignment horizontal="center" vertical="center" wrapText="1"/>
    </xf>
    <xf numFmtId="165" fontId="69" fillId="0" borderId="0" xfId="28" applyNumberFormat="1" applyFont="1" applyBorder="1" applyAlignment="1">
      <alignment horizontal="center"/>
    </xf>
    <xf numFmtId="165" fontId="69" fillId="0" borderId="27" xfId="28" applyNumberFormat="1" applyFont="1" applyBorder="1" applyAlignment="1">
      <alignment horizontal="center"/>
    </xf>
    <xf numFmtId="165" fontId="69" fillId="0" borderId="0" xfId="0" applyNumberFormat="1" applyFont="1" applyBorder="1" applyAlignment="1">
      <alignment horizontal="center"/>
    </xf>
    <xf numFmtId="165" fontId="69" fillId="0" borderId="27" xfId="0" applyNumberFormat="1" applyFont="1" applyBorder="1" applyAlignment="1">
      <alignment horizontal="center"/>
    </xf>
    <xf numFmtId="0" fontId="102" fillId="0" borderId="25" xfId="0" applyFont="1" applyFill="1" applyBorder="1"/>
    <xf numFmtId="0" fontId="102" fillId="0" borderId="28" xfId="0" applyFont="1" applyBorder="1" applyAlignment="1">
      <alignment horizontal="center"/>
    </xf>
    <xf numFmtId="165" fontId="102" fillId="0" borderId="28" xfId="28" applyNumberFormat="1" applyFont="1" applyBorder="1" applyAlignment="1">
      <alignment horizontal="center"/>
    </xf>
    <xf numFmtId="165" fontId="102" fillId="0" borderId="30" xfId="0" applyNumberFormat="1" applyFont="1" applyBorder="1" applyAlignment="1">
      <alignment horizontal="center"/>
    </xf>
    <xf numFmtId="0" fontId="147" fillId="0" borderId="0" xfId="0" applyFont="1" applyBorder="1" applyAlignment="1">
      <alignment horizontal="center"/>
    </xf>
    <xf numFmtId="0" fontId="69" fillId="0" borderId="0" xfId="0" applyFont="1" applyFill="1" applyBorder="1"/>
    <xf numFmtId="0" fontId="69" fillId="0" borderId="0" xfId="0" applyFont="1" applyBorder="1" applyAlignment="1">
      <alignment horizontal="left"/>
    </xf>
    <xf numFmtId="0" fontId="69" fillId="0" borderId="24" xfId="0" applyFont="1" applyFill="1" applyBorder="1"/>
    <xf numFmtId="0" fontId="69" fillId="0" borderId="25" xfId="0" applyFont="1" applyFill="1" applyBorder="1"/>
    <xf numFmtId="0" fontId="69" fillId="0" borderId="28" xfId="0" applyFont="1" applyBorder="1" applyAlignment="1">
      <alignment horizontal="center"/>
    </xf>
    <xf numFmtId="6" fontId="130" fillId="0" borderId="0" xfId="0" applyNumberFormat="1" applyFont="1" applyFill="1" applyBorder="1" applyAlignment="1">
      <alignment horizontal="center" vertical="center"/>
    </xf>
    <xf numFmtId="0" fontId="130" fillId="0" borderId="27" xfId="0" applyFont="1" applyBorder="1" applyAlignment="1">
      <alignment horizontal="center" vertical="center" wrapText="1"/>
    </xf>
    <xf numFmtId="0" fontId="130" fillId="0" borderId="30" xfId="0" applyFont="1" applyBorder="1" applyAlignment="1">
      <alignment horizontal="center" vertical="center" wrapText="1"/>
    </xf>
    <xf numFmtId="0" fontId="69" fillId="0" borderId="22" xfId="0" applyFont="1" applyBorder="1" applyAlignment="1">
      <alignment horizontal="center" vertical="center" wrapText="1"/>
    </xf>
    <xf numFmtId="0" fontId="69" fillId="0" borderId="23" xfId="0" applyFont="1" applyBorder="1" applyAlignment="1">
      <alignment horizontal="center" vertical="center"/>
    </xf>
    <xf numFmtId="0" fontId="69" fillId="0" borderId="21" xfId="0" applyFont="1" applyBorder="1" applyAlignment="1">
      <alignment horizontal="center" vertical="center" wrapText="1"/>
    </xf>
    <xf numFmtId="0" fontId="69" fillId="0" borderId="24" xfId="0" applyFont="1" applyBorder="1" applyAlignment="1">
      <alignment vertical="center" wrapText="1"/>
    </xf>
    <xf numFmtId="0" fontId="69" fillId="0" borderId="24" xfId="0" applyFont="1" applyBorder="1" applyAlignment="1">
      <alignment horizontal="left" vertical="center" wrapText="1"/>
    </xf>
    <xf numFmtId="0" fontId="69" fillId="0" borderId="25" xfId="0" applyFont="1" applyFill="1" applyBorder="1" applyAlignment="1">
      <alignment vertical="center" wrapText="1"/>
    </xf>
    <xf numFmtId="0" fontId="102" fillId="0" borderId="0" xfId="0" applyFont="1" applyFill="1" applyBorder="1"/>
    <xf numFmtId="165" fontId="102" fillId="0" borderId="0" xfId="0" applyNumberFormat="1" applyFont="1" applyBorder="1" applyAlignment="1">
      <alignment horizontal="center"/>
    </xf>
    <xf numFmtId="0" fontId="102" fillId="0" borderId="0" xfId="0" applyFont="1" applyFill="1" applyBorder="1" applyAlignment="1">
      <alignment horizontal="center"/>
    </xf>
    <xf numFmtId="177" fontId="69" fillId="0" borderId="0" xfId="0" applyNumberFormat="1" applyFont="1" applyFill="1" applyBorder="1" applyAlignment="1">
      <alignment horizontal="center"/>
    </xf>
    <xf numFmtId="9" fontId="69" fillId="0" borderId="0" xfId="48" applyFont="1" applyBorder="1" applyAlignment="1">
      <alignment horizontal="center"/>
    </xf>
    <xf numFmtId="0" fontId="69" fillId="0" borderId="0" xfId="0" applyFont="1" applyFill="1" applyBorder="1" applyAlignment="1">
      <alignment horizontal="center" wrapText="1"/>
    </xf>
    <xf numFmtId="0" fontId="69" fillId="0" borderId="0" xfId="0" applyFont="1"/>
    <xf numFmtId="1" fontId="69" fillId="0" borderId="0" xfId="0" applyNumberFormat="1" applyFont="1" applyAlignment="1">
      <alignment horizontal="center"/>
    </xf>
    <xf numFmtId="165" fontId="102" fillId="0" borderId="0" xfId="0" applyNumberFormat="1" applyFont="1" applyBorder="1" applyAlignment="1">
      <alignment horizontal="center" wrapText="1"/>
    </xf>
    <xf numFmtId="0" fontId="69" fillId="0" borderId="0" xfId="0" applyFont="1" applyAlignment="1">
      <alignment horizontal="center" wrapText="1"/>
    </xf>
    <xf numFmtId="0" fontId="69" fillId="0" borderId="24" xfId="0" applyFont="1" applyBorder="1" applyAlignment="1">
      <alignment horizontal="left"/>
    </xf>
    <xf numFmtId="0" fontId="69" fillId="0" borderId="24" xfId="0" applyFont="1" applyFill="1" applyBorder="1" applyAlignment="1">
      <alignment horizontal="left"/>
    </xf>
    <xf numFmtId="0" fontId="69" fillId="0" borderId="0" xfId="0" applyFont="1" applyFill="1" applyBorder="1" applyAlignment="1">
      <alignment horizontal="left"/>
    </xf>
    <xf numFmtId="170" fontId="130" fillId="0" borderId="0" xfId="31" applyNumberFormat="1" applyFont="1" applyFill="1" applyBorder="1" applyAlignment="1">
      <alignment horizontal="center" vertical="center"/>
    </xf>
    <xf numFmtId="0" fontId="102" fillId="0" borderId="0" xfId="0" applyFont="1"/>
    <xf numFmtId="0" fontId="0" fillId="0" borderId="0" xfId="0" applyAlignment="1">
      <alignment horizontal="center"/>
    </xf>
    <xf numFmtId="1" fontId="69" fillId="0" borderId="27" xfId="0" applyNumberFormat="1" applyFont="1" applyBorder="1" applyAlignment="1">
      <alignment horizontal="center"/>
    </xf>
    <xf numFmtId="1" fontId="69" fillId="0" borderId="27" xfId="28" applyNumberFormat="1" applyFont="1" applyBorder="1" applyAlignment="1">
      <alignment horizontal="center"/>
    </xf>
    <xf numFmtId="0" fontId="9" fillId="0" borderId="25" xfId="0" applyFont="1" applyBorder="1" applyAlignment="1">
      <alignment horizontal="left" wrapText="1"/>
    </xf>
    <xf numFmtId="0" fontId="0" fillId="0" borderId="28" xfId="0" applyBorder="1" applyAlignment="1">
      <alignment horizontal="left" wrapText="1"/>
    </xf>
    <xf numFmtId="0" fontId="0" fillId="0" borderId="30" xfId="0" applyBorder="1" applyAlignment="1">
      <alignment horizontal="left" wrapText="1"/>
    </xf>
    <xf numFmtId="0" fontId="9" fillId="0" borderId="39" xfId="0" applyFont="1" applyBorder="1" applyAlignment="1">
      <alignment horizontal="left"/>
    </xf>
    <xf numFmtId="0" fontId="9" fillId="0" borderId="34" xfId="0" applyFont="1" applyBorder="1" applyAlignment="1">
      <alignment horizontal="left"/>
    </xf>
    <xf numFmtId="0" fontId="9" fillId="0" borderId="40" xfId="0" applyFont="1" applyBorder="1" applyAlignment="1">
      <alignment horizontal="left"/>
    </xf>
    <xf numFmtId="0" fontId="9" fillId="0" borderId="28" xfId="0" applyFont="1" applyBorder="1" applyAlignment="1">
      <alignment horizontal="left" wrapText="1"/>
    </xf>
    <xf numFmtId="0" fontId="9" fillId="0" borderId="30" xfId="0" applyFont="1" applyBorder="1" applyAlignment="1">
      <alignment horizontal="left" wrapText="1"/>
    </xf>
    <xf numFmtId="0" fontId="148" fillId="0" borderId="0" xfId="0" applyFont="1" applyAlignment="1">
      <alignment horizontal="center"/>
    </xf>
    <xf numFmtId="0" fontId="147" fillId="0" borderId="0" xfId="0" applyFont="1" applyBorder="1" applyAlignment="1">
      <alignment horizontal="center"/>
    </xf>
    <xf numFmtId="0" fontId="122" fillId="0" borderId="0" xfId="0" applyFont="1" applyBorder="1" applyAlignment="1">
      <alignment horizontal="center"/>
    </xf>
    <xf numFmtId="0" fontId="146" fillId="0" borderId="39" xfId="0" applyFont="1" applyBorder="1" applyAlignment="1">
      <alignment horizontal="center"/>
    </xf>
    <xf numFmtId="0" fontId="146" fillId="0" borderId="34" xfId="0" applyFont="1" applyBorder="1" applyAlignment="1">
      <alignment horizontal="center"/>
    </xf>
    <xf numFmtId="0" fontId="146" fillId="0" borderId="40" xfId="0" applyFont="1" applyBorder="1" applyAlignment="1">
      <alignment horizontal="center"/>
    </xf>
    <xf numFmtId="0" fontId="102" fillId="0" borderId="24" xfId="0" applyFont="1" applyBorder="1" applyAlignment="1">
      <alignment horizontal="left"/>
    </xf>
    <xf numFmtId="0" fontId="102" fillId="0" borderId="0" xfId="0" applyFont="1" applyBorder="1" applyAlignment="1">
      <alignment horizontal="left"/>
    </xf>
    <xf numFmtId="0" fontId="102" fillId="0" borderId="27" xfId="0" applyFont="1" applyBorder="1" applyAlignment="1">
      <alignment horizontal="left"/>
    </xf>
    <xf numFmtId="0" fontId="30" fillId="0" borderId="39" xfId="0" applyFont="1" applyFill="1" applyBorder="1" applyAlignment="1">
      <alignment horizontal="center" wrapText="1"/>
    </xf>
    <xf numFmtId="0" fontId="30" fillId="0" borderId="40" xfId="0" applyFont="1" applyFill="1" applyBorder="1" applyAlignment="1">
      <alignment horizontal="center" wrapText="1"/>
    </xf>
    <xf numFmtId="0" fontId="47" fillId="0" borderId="0" xfId="0" applyFont="1" applyBorder="1" applyAlignment="1">
      <alignment horizontal="center"/>
    </xf>
    <xf numFmtId="0" fontId="30" fillId="0" borderId="39" xfId="0" applyFont="1" applyBorder="1" applyAlignment="1">
      <alignment horizontal="center" wrapText="1"/>
    </xf>
    <xf numFmtId="0" fontId="30" fillId="0" borderId="34" xfId="0" applyFont="1" applyBorder="1" applyAlignment="1">
      <alignment horizontal="center" wrapText="1"/>
    </xf>
    <xf numFmtId="0" fontId="30" fillId="0" borderId="40" xfId="0" applyFont="1" applyBorder="1" applyAlignment="1">
      <alignment horizontal="center" wrapText="1"/>
    </xf>
    <xf numFmtId="0" fontId="30" fillId="0" borderId="28" xfId="0" applyFont="1" applyBorder="1" applyAlignment="1">
      <alignment horizontal="center"/>
    </xf>
    <xf numFmtId="0" fontId="9" fillId="0" borderId="39" xfId="0" applyFont="1" applyBorder="1" applyAlignment="1">
      <alignment horizontal="center" vertical="center"/>
    </xf>
    <xf numFmtId="0" fontId="0" fillId="0" borderId="25" xfId="0" applyBorder="1" applyAlignment="1">
      <alignment horizontal="center" vertical="center"/>
    </xf>
    <xf numFmtId="0" fontId="118" fillId="0" borderId="21" xfId="0" applyFont="1" applyBorder="1" applyAlignment="1">
      <alignment horizontal="center"/>
    </xf>
    <xf numFmtId="0" fontId="118" fillId="0" borderId="22" xfId="0" applyFont="1" applyBorder="1" applyAlignment="1">
      <alignment horizontal="center"/>
    </xf>
    <xf numFmtId="0" fontId="118" fillId="0" borderId="23" xfId="0" applyFont="1" applyBorder="1" applyAlignment="1">
      <alignment horizontal="center"/>
    </xf>
    <xf numFmtId="0" fontId="9" fillId="0" borderId="25" xfId="0" applyFont="1" applyBorder="1" applyAlignment="1">
      <alignment horizontal="center" vertical="center"/>
    </xf>
    <xf numFmtId="0" fontId="47" fillId="0" borderId="60" xfId="0" applyFont="1" applyBorder="1" applyAlignment="1">
      <alignment horizontal="center"/>
    </xf>
    <xf numFmtId="0" fontId="47" fillId="0" borderId="26" xfId="0" applyFont="1" applyBorder="1" applyAlignment="1">
      <alignment horizontal="center"/>
    </xf>
    <xf numFmtId="0" fontId="47" fillId="0" borderId="54" xfId="0" applyFont="1" applyBorder="1" applyAlignment="1">
      <alignment horizontal="center"/>
    </xf>
    <xf numFmtId="0" fontId="47" fillId="0" borderId="66" xfId="0" applyFont="1" applyBorder="1" applyAlignment="1">
      <alignment horizontal="center"/>
    </xf>
    <xf numFmtId="0" fontId="47" fillId="0" borderId="19" xfId="0" applyFont="1" applyBorder="1" applyAlignment="1">
      <alignment horizontal="center"/>
    </xf>
    <xf numFmtId="0" fontId="47" fillId="0" borderId="39" xfId="0" applyFont="1" applyBorder="1" applyAlignment="1">
      <alignment horizontal="center"/>
    </xf>
    <xf numFmtId="0" fontId="47" fillId="0" borderId="34" xfId="0" applyFont="1" applyBorder="1" applyAlignment="1">
      <alignment horizontal="center"/>
    </xf>
    <xf numFmtId="0" fontId="30" fillId="0" borderId="66" xfId="0" applyFont="1" applyBorder="1" applyAlignment="1">
      <alignment horizontal="center"/>
    </xf>
    <xf numFmtId="0" fontId="30" fillId="0" borderId="19" xfId="0" applyFont="1" applyBorder="1" applyAlignment="1">
      <alignment horizontal="center"/>
    </xf>
    <xf numFmtId="0" fontId="47" fillId="0" borderId="21" xfId="0" applyFont="1" applyBorder="1" applyAlignment="1">
      <alignment horizontal="center"/>
    </xf>
    <xf numFmtId="0" fontId="47" fillId="0" borderId="22" xfId="0" applyFont="1" applyBorder="1" applyAlignment="1">
      <alignment horizontal="center"/>
    </xf>
    <xf numFmtId="0" fontId="0" fillId="0" borderId="72" xfId="0" applyBorder="1" applyAlignment="1">
      <alignment horizontal="center"/>
    </xf>
    <xf numFmtId="0" fontId="0" fillId="0" borderId="20" xfId="0" applyBorder="1" applyAlignment="1">
      <alignment horizontal="center"/>
    </xf>
    <xf numFmtId="0" fontId="47" fillId="0" borderId="10" xfId="0" applyFont="1" applyBorder="1" applyAlignment="1">
      <alignment horizontal="center"/>
    </xf>
    <xf numFmtId="0" fontId="30" fillId="0" borderId="21" xfId="0" applyFont="1" applyFill="1" applyBorder="1" applyAlignment="1">
      <alignment horizontal="center"/>
    </xf>
    <xf numFmtId="0" fontId="30" fillId="0" borderId="23" xfId="0" applyFont="1" applyFill="1" applyBorder="1" applyAlignment="1">
      <alignment horizontal="center"/>
    </xf>
    <xf numFmtId="0" fontId="30" fillId="0" borderId="39" xfId="0" applyFont="1" applyBorder="1" applyAlignment="1">
      <alignment horizontal="center"/>
    </xf>
    <xf numFmtId="0" fontId="30" fillId="0" borderId="34" xfId="0" applyFont="1" applyBorder="1" applyAlignment="1">
      <alignment horizontal="center"/>
    </xf>
    <xf numFmtId="0" fontId="0" fillId="0" borderId="10" xfId="0" applyBorder="1" applyAlignment="1">
      <alignment horizontal="left"/>
    </xf>
    <xf numFmtId="0" fontId="0" fillId="0" borderId="19" xfId="0" applyBorder="1" applyAlignment="1">
      <alignment horizontal="left"/>
    </xf>
    <xf numFmtId="0" fontId="0" fillId="0" borderId="35" xfId="0" applyBorder="1" applyAlignment="1">
      <alignment horizontal="left"/>
    </xf>
    <xf numFmtId="0" fontId="9" fillId="0" borderId="10" xfId="0" applyFont="1" applyFill="1" applyBorder="1" applyAlignment="1">
      <alignment horizontal="left"/>
    </xf>
    <xf numFmtId="0" fontId="0" fillId="0" borderId="10" xfId="0" applyFill="1" applyBorder="1" applyAlignment="1">
      <alignment horizontal="left"/>
    </xf>
    <xf numFmtId="0" fontId="47" fillId="0" borderId="40" xfId="0" applyFont="1" applyBorder="1" applyAlignment="1">
      <alignment horizontal="center"/>
    </xf>
    <xf numFmtId="0" fontId="9" fillId="0" borderId="28" xfId="0" applyFont="1" applyFill="1" applyBorder="1" applyAlignment="1">
      <alignment horizontal="center"/>
    </xf>
    <xf numFmtId="0" fontId="0" fillId="0" borderId="28" xfId="0" applyFill="1" applyBorder="1" applyAlignment="1">
      <alignment horizontal="center"/>
    </xf>
    <xf numFmtId="0" fontId="34" fillId="0" borderId="97" xfId="0" applyFont="1" applyBorder="1" applyAlignment="1">
      <alignment horizontal="center" wrapText="1"/>
    </xf>
    <xf numFmtId="0" fontId="34" fillId="0" borderId="34" xfId="0" applyFont="1" applyBorder="1" applyAlignment="1">
      <alignment horizontal="center" wrapText="1"/>
    </xf>
    <xf numFmtId="0" fontId="83" fillId="0" borderId="39" xfId="0" applyFont="1" applyBorder="1" applyAlignment="1">
      <alignment horizontal="center" vertical="center"/>
    </xf>
    <xf numFmtId="0" fontId="83" fillId="0" borderId="34" xfId="0" applyFont="1" applyBorder="1" applyAlignment="1">
      <alignment horizontal="center" vertical="center"/>
    </xf>
    <xf numFmtId="0" fontId="83" fillId="0" borderId="40" xfId="0" applyFont="1" applyBorder="1" applyAlignment="1">
      <alignment horizontal="center" vertical="center"/>
    </xf>
    <xf numFmtId="0" fontId="76" fillId="0" borderId="0" xfId="0" applyFont="1" applyFill="1" applyBorder="1" applyAlignment="1">
      <alignment horizontal="center"/>
    </xf>
    <xf numFmtId="0" fontId="30" fillId="0" borderId="0" xfId="0" applyFont="1" applyFill="1" applyBorder="1" applyAlignment="1">
      <alignment horizontal="center"/>
    </xf>
    <xf numFmtId="0" fontId="114" fillId="0" borderId="0" xfId="0" applyFont="1" applyFill="1" applyAlignment="1">
      <alignment horizontal="center" wrapText="1"/>
    </xf>
    <xf numFmtId="0" fontId="30" fillId="0" borderId="60" xfId="0" applyFont="1" applyBorder="1" applyAlignment="1">
      <alignment horizontal="center"/>
    </xf>
    <xf numFmtId="0" fontId="30" fillId="0" borderId="54" xfId="0" applyFont="1" applyBorder="1" applyAlignment="1">
      <alignment horizontal="center"/>
    </xf>
    <xf numFmtId="0" fontId="76" fillId="0" borderId="17" xfId="0" applyFont="1" applyBorder="1" applyAlignment="1">
      <alignment horizontal="center"/>
    </xf>
    <xf numFmtId="0" fontId="76" fillId="0" borderId="15" xfId="0" applyFont="1" applyBorder="1" applyAlignment="1">
      <alignment horizontal="center"/>
    </xf>
    <xf numFmtId="0" fontId="79" fillId="24" borderId="24" xfId="0" applyFont="1" applyFill="1" applyBorder="1" applyAlignment="1">
      <alignment horizontal="center"/>
    </xf>
    <xf numFmtId="0" fontId="79" fillId="24" borderId="0" xfId="0" applyFont="1" applyFill="1" applyBorder="1" applyAlignment="1">
      <alignment horizontal="center"/>
    </xf>
    <xf numFmtId="0" fontId="47" fillId="82" borderId="19" xfId="0" applyFont="1" applyFill="1" applyBorder="1" applyAlignment="1">
      <alignment horizontal="center" vertical="center" wrapText="1"/>
    </xf>
    <xf numFmtId="0" fontId="47" fillId="82" borderId="20" xfId="0" applyFont="1" applyFill="1" applyBorder="1" applyAlignment="1">
      <alignment horizontal="center" vertical="center" wrapText="1"/>
    </xf>
    <xf numFmtId="0" fontId="47" fillId="82" borderId="35" xfId="0" applyFont="1" applyFill="1" applyBorder="1" applyAlignment="1">
      <alignment horizontal="center" vertical="center" wrapText="1"/>
    </xf>
    <xf numFmtId="0" fontId="47" fillId="74" borderId="19" xfId="0" applyFont="1" applyFill="1" applyBorder="1" applyAlignment="1">
      <alignment horizontal="center" vertical="center" wrapText="1"/>
    </xf>
    <xf numFmtId="0" fontId="47" fillId="74" borderId="20" xfId="0" applyFont="1" applyFill="1" applyBorder="1" applyAlignment="1">
      <alignment horizontal="center" vertical="center" wrapText="1"/>
    </xf>
    <xf numFmtId="165" fontId="47" fillId="82" borderId="116" xfId="28" applyNumberFormat="1" applyFont="1" applyFill="1" applyBorder="1" applyAlignment="1">
      <alignment horizontal="center" vertical="center" wrapText="1"/>
    </xf>
    <xf numFmtId="165" fontId="47" fillId="82" borderId="117" xfId="28" applyNumberFormat="1" applyFont="1" applyFill="1" applyBorder="1" applyAlignment="1">
      <alignment horizontal="center" vertical="center" wrapText="1"/>
    </xf>
    <xf numFmtId="1" fontId="47" fillId="74" borderId="117" xfId="0" applyNumberFormat="1" applyFont="1" applyFill="1" applyBorder="1" applyAlignment="1">
      <alignment horizontal="center"/>
    </xf>
    <xf numFmtId="1" fontId="47" fillId="74" borderId="119" xfId="0" applyNumberFormat="1" applyFont="1" applyFill="1" applyBorder="1" applyAlignment="1">
      <alignment horizontal="center"/>
    </xf>
    <xf numFmtId="0" fontId="78" fillId="0" borderId="13" xfId="0" applyFont="1" applyFill="1" applyBorder="1" applyAlignment="1">
      <alignment horizontal="left"/>
    </xf>
    <xf numFmtId="0" fontId="76" fillId="0" borderId="0" xfId="0" applyFont="1" applyBorder="1" applyAlignment="1">
      <alignment horizontal="left"/>
    </xf>
    <xf numFmtId="0" fontId="76" fillId="0" borderId="0" xfId="0" applyFont="1" applyFill="1" applyBorder="1" applyAlignment="1">
      <alignment horizontal="left"/>
    </xf>
    <xf numFmtId="0" fontId="77" fillId="25" borderId="0" xfId="0" applyFont="1" applyFill="1" applyAlignment="1">
      <alignment horizontal="center"/>
    </xf>
    <xf numFmtId="0" fontId="0" fillId="68" borderId="0" xfId="0" applyFill="1" applyAlignment="1">
      <alignment horizontal="center"/>
    </xf>
    <xf numFmtId="0" fontId="0" fillId="66" borderId="0" xfId="0" applyFill="1" applyAlignment="1">
      <alignment horizontal="center"/>
    </xf>
    <xf numFmtId="165" fontId="0" fillId="66" borderId="0" xfId="28" applyNumberFormat="1" applyFont="1" applyFill="1" applyAlignment="1">
      <alignment horizontal="center"/>
    </xf>
    <xf numFmtId="165" fontId="0" fillId="68" borderId="0" xfId="28" applyNumberFormat="1" applyFont="1" applyFill="1" applyAlignment="1">
      <alignment horizontal="center"/>
    </xf>
    <xf numFmtId="0" fontId="30" fillId="0" borderId="26" xfId="0" applyFont="1" applyBorder="1" applyAlignment="1">
      <alignment horizontal="center"/>
    </xf>
    <xf numFmtId="0" fontId="30" fillId="0" borderId="87" xfId="0" applyFont="1" applyBorder="1" applyAlignment="1">
      <alignment horizontal="center"/>
    </xf>
    <xf numFmtId="0" fontId="83" fillId="0" borderId="34" xfId="0" applyFont="1" applyBorder="1" applyAlignment="1">
      <alignment horizontal="center"/>
    </xf>
    <xf numFmtId="0" fontId="83" fillId="0" borderId="40" xfId="0" applyFont="1" applyBorder="1" applyAlignment="1">
      <alignment horizontal="center"/>
    </xf>
    <xf numFmtId="0" fontId="79" fillId="24" borderId="39" xfId="0" applyFont="1" applyFill="1" applyBorder="1" applyAlignment="1">
      <alignment horizontal="center"/>
    </xf>
    <xf numFmtId="0" fontId="79" fillId="24" borderId="34" xfId="0" applyFont="1" applyFill="1" applyBorder="1" applyAlignment="1">
      <alignment horizontal="center"/>
    </xf>
    <xf numFmtId="0" fontId="79" fillId="24" borderId="40" xfId="0" applyFont="1" applyFill="1" applyBorder="1" applyAlignment="1">
      <alignment horizontal="center"/>
    </xf>
    <xf numFmtId="0" fontId="96" fillId="73" borderId="39" xfId="0" applyFont="1" applyFill="1" applyBorder="1" applyAlignment="1">
      <alignment horizontal="center"/>
    </xf>
    <xf numFmtId="0" fontId="96" fillId="73" borderId="34" xfId="0" applyFont="1" applyFill="1" applyBorder="1" applyAlignment="1">
      <alignment horizontal="center"/>
    </xf>
    <xf numFmtId="0" fontId="96" fillId="73" borderId="40" xfId="0" applyFont="1" applyFill="1" applyBorder="1" applyAlignment="1">
      <alignment horizontal="center"/>
    </xf>
    <xf numFmtId="0" fontId="83" fillId="0" borderId="88" xfId="0" applyFont="1" applyFill="1" applyBorder="1" applyAlignment="1">
      <alignment horizontal="center"/>
    </xf>
    <xf numFmtId="0" fontId="83" fillId="0" borderId="54" xfId="0" applyFont="1" applyFill="1" applyBorder="1" applyAlignment="1">
      <alignment horizontal="center"/>
    </xf>
    <xf numFmtId="0" fontId="96" fillId="0" borderId="28" xfId="0" applyFont="1" applyBorder="1" applyAlignment="1">
      <alignment horizontal="center"/>
    </xf>
    <xf numFmtId="0" fontId="97" fillId="0" borderId="15" xfId="0" applyFont="1" applyFill="1" applyBorder="1" applyAlignment="1">
      <alignment horizontal="center"/>
    </xf>
    <xf numFmtId="0" fontId="83" fillId="0" borderId="116" xfId="0" applyFont="1" applyBorder="1" applyAlignment="1">
      <alignment horizontal="center"/>
    </xf>
    <xf numFmtId="0" fontId="83" fillId="0" borderId="117" xfId="0" applyFont="1" applyBorder="1" applyAlignment="1">
      <alignment horizontal="center"/>
    </xf>
    <xf numFmtId="0" fontId="83" fillId="0" borderId="118" xfId="0" applyFont="1" applyBorder="1" applyAlignment="1">
      <alignment horizontal="center"/>
    </xf>
    <xf numFmtId="0" fontId="30" fillId="0" borderId="116" xfId="0" applyFont="1" applyBorder="1" applyAlignment="1">
      <alignment horizontal="center" wrapText="1"/>
    </xf>
    <xf numFmtId="0" fontId="30" fillId="0" borderId="117" xfId="0" applyFont="1" applyBorder="1" applyAlignment="1">
      <alignment horizontal="center" wrapText="1"/>
    </xf>
    <xf numFmtId="0" fontId="30" fillId="0" borderId="118" xfId="0" applyFont="1" applyBorder="1" applyAlignment="1">
      <alignment horizontal="center" wrapText="1"/>
    </xf>
    <xf numFmtId="0" fontId="96" fillId="0" borderId="19" xfId="0" applyFont="1" applyBorder="1" applyAlignment="1">
      <alignment horizontal="center"/>
    </xf>
    <xf numFmtId="0" fontId="96" fillId="0" borderId="20" xfId="0" applyFont="1" applyBorder="1" applyAlignment="1">
      <alignment horizontal="center"/>
    </xf>
    <xf numFmtId="0" fontId="96" fillId="0" borderId="35" xfId="0" applyFont="1" applyBorder="1" applyAlignment="1">
      <alignment horizontal="center"/>
    </xf>
    <xf numFmtId="0" fontId="0" fillId="0" borderId="0" xfId="0" applyAlignment="1">
      <alignment horizontal="center"/>
    </xf>
    <xf numFmtId="0" fontId="30" fillId="0" borderId="0" xfId="0" applyFont="1" applyAlignment="1">
      <alignment horizontal="center" wrapText="1"/>
    </xf>
    <xf numFmtId="0" fontId="95" fillId="0" borderId="0" xfId="0" applyFont="1" applyFill="1" applyBorder="1" applyAlignment="1">
      <alignment horizontal="center" wrapText="1"/>
    </xf>
    <xf numFmtId="0" fontId="9" fillId="0" borderId="0" xfId="0" applyFont="1" applyAlignment="1">
      <alignment horizontal="center"/>
    </xf>
    <xf numFmtId="0" fontId="79" fillId="24" borderId="60" xfId="0" applyFont="1" applyFill="1" applyBorder="1" applyAlignment="1">
      <alignment horizontal="center"/>
    </xf>
    <xf numFmtId="0" fontId="79" fillId="24" borderId="26" xfId="0" applyFont="1" applyFill="1" applyBorder="1" applyAlignment="1">
      <alignment horizontal="center"/>
    </xf>
    <xf numFmtId="0" fontId="79" fillId="24" borderId="54" xfId="0" applyFont="1" applyFill="1" applyBorder="1" applyAlignment="1">
      <alignment horizontal="center"/>
    </xf>
    <xf numFmtId="0" fontId="83" fillId="0" borderId="0" xfId="0" applyFont="1" applyFill="1" applyBorder="1" applyAlignment="1">
      <alignment horizontal="center"/>
    </xf>
    <xf numFmtId="0" fontId="83" fillId="0" borderId="27" xfId="0" applyFont="1" applyFill="1" applyBorder="1" applyAlignment="1">
      <alignment horizontal="center"/>
    </xf>
    <xf numFmtId="0" fontId="0" fillId="0" borderId="0" xfId="0" applyFill="1" applyBorder="1" applyAlignment="1">
      <alignment horizontal="center"/>
    </xf>
    <xf numFmtId="165" fontId="30" fillId="0" borderId="0" xfId="28" applyNumberFormat="1" applyFont="1" applyFill="1" applyBorder="1" applyAlignment="1">
      <alignment horizontal="center"/>
    </xf>
    <xf numFmtId="0" fontId="83" fillId="0" borderId="39" xfId="0" applyFont="1" applyFill="1" applyBorder="1" applyAlignment="1">
      <alignment horizontal="center"/>
    </xf>
    <xf numFmtId="0" fontId="83" fillId="0" borderId="40" xfId="0" applyFont="1" applyFill="1" applyBorder="1" applyAlignment="1">
      <alignment horizontal="center"/>
    </xf>
    <xf numFmtId="0" fontId="135" fillId="0" borderId="60" xfId="0" applyFont="1" applyBorder="1" applyAlignment="1">
      <alignment horizontal="center"/>
    </xf>
    <xf numFmtId="0" fontId="135" fillId="0" borderId="26" xfId="0" applyFont="1" applyBorder="1" applyAlignment="1">
      <alignment horizontal="center"/>
    </xf>
    <xf numFmtId="0" fontId="135" fillId="0" borderId="54" xfId="0" applyFont="1" applyBorder="1" applyAlignment="1">
      <alignment horizontal="center"/>
    </xf>
    <xf numFmtId="0" fontId="47" fillId="0" borderId="0" xfId="0" applyFont="1" applyFill="1" applyBorder="1" applyAlignment="1">
      <alignment horizontal="center"/>
    </xf>
    <xf numFmtId="0" fontId="78" fillId="0" borderId="0" xfId="0" applyFont="1" applyFill="1" applyBorder="1" applyAlignment="1">
      <alignment horizontal="left"/>
    </xf>
    <xf numFmtId="0" fontId="0" fillId="0" borderId="39" xfId="0" applyBorder="1" applyAlignment="1">
      <alignment horizontal="center"/>
    </xf>
    <xf numFmtId="0" fontId="0" fillId="0" borderId="34" xfId="0" applyBorder="1" applyAlignment="1">
      <alignment horizontal="center"/>
    </xf>
    <xf numFmtId="0" fontId="0" fillId="0" borderId="40" xfId="0" applyBorder="1" applyAlignment="1">
      <alignment horizontal="center"/>
    </xf>
    <xf numFmtId="0" fontId="30" fillId="0" borderId="66" xfId="0" applyFont="1" applyFill="1" applyBorder="1" applyAlignment="1">
      <alignment horizontal="center"/>
    </xf>
    <xf numFmtId="0" fontId="30" fillId="0" borderId="10" xfId="0" applyFont="1" applyFill="1" applyBorder="1" applyAlignment="1">
      <alignment horizontal="center"/>
    </xf>
    <xf numFmtId="0" fontId="95" fillId="0" borderId="24" xfId="0" applyFont="1" applyFill="1" applyBorder="1" applyAlignment="1">
      <alignment horizontal="center"/>
    </xf>
    <xf numFmtId="0" fontId="95" fillId="0" borderId="0" xfId="0" applyFont="1" applyFill="1" applyBorder="1" applyAlignment="1">
      <alignment horizontal="center"/>
    </xf>
    <xf numFmtId="0" fontId="47" fillId="0" borderId="63" xfId="0" applyFont="1" applyBorder="1" applyAlignment="1">
      <alignment horizontal="center"/>
    </xf>
    <xf numFmtId="0" fontId="47" fillId="0" borderId="65" xfId="0" applyFont="1" applyBorder="1" applyAlignment="1">
      <alignment horizontal="center"/>
    </xf>
    <xf numFmtId="0" fontId="76" fillId="0" borderId="63" xfId="0" applyFont="1" applyFill="1" applyBorder="1" applyAlignment="1">
      <alignment horizontal="center"/>
    </xf>
    <xf numFmtId="0" fontId="76" fillId="0" borderId="65" xfId="0" applyFont="1" applyFill="1" applyBorder="1" applyAlignment="1">
      <alignment horizontal="center"/>
    </xf>
    <xf numFmtId="0" fontId="30" fillId="0" borderId="24" xfId="0" applyFont="1" applyFill="1" applyBorder="1" applyAlignment="1">
      <alignment horizontal="center"/>
    </xf>
    <xf numFmtId="0" fontId="0" fillId="0" borderId="24" xfId="0" applyFill="1" applyBorder="1" applyAlignment="1">
      <alignment horizontal="center"/>
    </xf>
    <xf numFmtId="0" fontId="85" fillId="0" borderId="27" xfId="0" applyNumberFormat="1" applyFont="1" applyFill="1" applyBorder="1" applyAlignment="1">
      <alignment horizontal="center"/>
    </xf>
    <xf numFmtId="0" fontId="83" fillId="71" borderId="10" xfId="0" applyFont="1" applyFill="1" applyBorder="1" applyAlignment="1">
      <alignment horizontal="left" wrapText="1"/>
    </xf>
    <xf numFmtId="0" fontId="91" fillId="68" borderId="10" xfId="0" applyFont="1" applyFill="1" applyBorder="1" applyAlignment="1">
      <alignment horizontal="left" wrapText="1"/>
    </xf>
    <xf numFmtId="0" fontId="91" fillId="70" borderId="10" xfId="0" applyFont="1" applyFill="1" applyBorder="1" applyAlignment="1">
      <alignment horizontal="left" wrapText="1"/>
    </xf>
    <xf numFmtId="0" fontId="76" fillId="68" borderId="10" xfId="0" applyFont="1" applyFill="1" applyBorder="1" applyAlignment="1">
      <alignment horizontal="left" wrapText="1"/>
    </xf>
    <xf numFmtId="0" fontId="83" fillId="68" borderId="10" xfId="0" applyFont="1" applyFill="1" applyBorder="1" applyAlignment="1">
      <alignment horizontal="left" wrapText="1"/>
    </xf>
    <xf numFmtId="0" fontId="76" fillId="65" borderId="10" xfId="0" applyFont="1" applyFill="1" applyBorder="1" applyAlignment="1">
      <alignment horizontal="left" wrapText="1"/>
    </xf>
    <xf numFmtId="0" fontId="85" fillId="27" borderId="10" xfId="0" applyNumberFormat="1" applyFont="1" applyFill="1" applyBorder="1" applyAlignment="1">
      <alignment horizontal="center" vertical="center"/>
    </xf>
    <xf numFmtId="0" fontId="83" fillId="78" borderId="0" xfId="0" applyFont="1" applyFill="1" applyBorder="1" applyAlignment="1">
      <alignment horizontal="center"/>
    </xf>
    <xf numFmtId="0" fontId="86" fillId="0" borderId="0" xfId="0" applyFont="1" applyBorder="1" applyAlignment="1">
      <alignment horizontal="left" wrapText="1"/>
    </xf>
    <xf numFmtId="0" fontId="76" fillId="0" borderId="0" xfId="0" applyFont="1" applyBorder="1" applyAlignment="1">
      <alignment horizontal="left" wrapText="1"/>
    </xf>
    <xf numFmtId="0" fontId="76" fillId="66" borderId="10" xfId="0" applyFont="1" applyFill="1" applyBorder="1" applyAlignment="1">
      <alignment horizontal="left" wrapText="1"/>
    </xf>
    <xf numFmtId="0" fontId="83" fillId="67" borderId="10" xfId="0" applyFont="1" applyFill="1" applyBorder="1" applyAlignment="1">
      <alignment horizontal="left" wrapText="1"/>
    </xf>
    <xf numFmtId="0" fontId="92" fillId="68" borderId="10" xfId="0" applyFont="1" applyFill="1" applyBorder="1" applyAlignment="1">
      <alignment horizontal="left" wrapText="1"/>
    </xf>
    <xf numFmtId="0" fontId="76" fillId="0" borderId="19" xfId="0" applyFont="1" applyBorder="1" applyAlignment="1">
      <alignment horizontal="center"/>
    </xf>
    <xf numFmtId="0" fontId="76" fillId="0" borderId="35" xfId="0" applyFont="1" applyBorder="1" applyAlignment="1">
      <alignment horizontal="center"/>
    </xf>
    <xf numFmtId="0" fontId="83" fillId="86" borderId="39" xfId="0" applyFont="1" applyFill="1" applyBorder="1" applyAlignment="1">
      <alignment horizontal="center" vertical="center"/>
    </xf>
    <xf numFmtId="0" fontId="83" fillId="86" borderId="24" xfId="0" applyFont="1" applyFill="1" applyBorder="1" applyAlignment="1">
      <alignment horizontal="center" vertical="center"/>
    </xf>
    <xf numFmtId="0" fontId="83" fillId="86" borderId="25" xfId="0" applyFont="1" applyFill="1" applyBorder="1" applyAlignment="1">
      <alignment horizontal="center" vertical="center"/>
    </xf>
    <xf numFmtId="0" fontId="47" fillId="0" borderId="24" xfId="0" applyFont="1" applyBorder="1" applyAlignment="1">
      <alignment horizontal="center"/>
    </xf>
    <xf numFmtId="0" fontId="83" fillId="67" borderId="66" xfId="0" applyFont="1" applyFill="1" applyBorder="1" applyAlignment="1">
      <alignment horizontal="left" wrapText="1"/>
    </xf>
    <xf numFmtId="0" fontId="83" fillId="71" borderId="66" xfId="0" applyFont="1" applyFill="1" applyBorder="1" applyAlignment="1">
      <alignment horizontal="left" wrapText="1"/>
    </xf>
    <xf numFmtId="0" fontId="78" fillId="24" borderId="21" xfId="0" applyFont="1" applyFill="1" applyBorder="1" applyAlignment="1">
      <alignment horizontal="center" wrapText="1"/>
    </xf>
    <xf numFmtId="0" fontId="78" fillId="24" borderId="23" xfId="0" applyFont="1" applyFill="1" applyBorder="1" applyAlignment="1">
      <alignment horizontal="center" wrapText="1"/>
    </xf>
    <xf numFmtId="0" fontId="92" fillId="68" borderId="66" xfId="0" applyFont="1" applyFill="1" applyBorder="1" applyAlignment="1">
      <alignment horizontal="left" wrapText="1"/>
    </xf>
    <xf numFmtId="0" fontId="91" fillId="68" borderId="66" xfId="0" applyFont="1" applyFill="1" applyBorder="1" applyAlignment="1">
      <alignment horizontal="left" wrapText="1"/>
    </xf>
    <xf numFmtId="0" fontId="76" fillId="68" borderId="66" xfId="0" applyFont="1" applyFill="1" applyBorder="1" applyAlignment="1">
      <alignment horizontal="left" wrapText="1"/>
    </xf>
    <xf numFmtId="0" fontId="83" fillId="68" borderId="66" xfId="0" applyFont="1" applyFill="1" applyBorder="1" applyAlignment="1">
      <alignment horizontal="left" wrapText="1"/>
    </xf>
    <xf numFmtId="0" fontId="83" fillId="68" borderId="58" xfId="0" applyFont="1" applyFill="1" applyBorder="1" applyAlignment="1">
      <alignment horizontal="left" wrapText="1"/>
    </xf>
    <xf numFmtId="0" fontId="83" fillId="68" borderId="69" xfId="0" applyFont="1" applyFill="1" applyBorder="1" applyAlignment="1">
      <alignment horizontal="left" wrapText="1"/>
    </xf>
    <xf numFmtId="0" fontId="91" fillId="70" borderId="66" xfId="0" applyFont="1" applyFill="1" applyBorder="1" applyAlignment="1">
      <alignment horizontal="left" wrapText="1"/>
    </xf>
    <xf numFmtId="0" fontId="85" fillId="27" borderId="21" xfId="0" applyNumberFormat="1" applyFont="1" applyFill="1" applyBorder="1" applyAlignment="1">
      <alignment horizontal="center" vertical="center"/>
    </xf>
    <xf numFmtId="0" fontId="85" fillId="27" borderId="22" xfId="0" applyNumberFormat="1" applyFont="1" applyFill="1" applyBorder="1" applyAlignment="1">
      <alignment horizontal="center" vertical="center"/>
    </xf>
    <xf numFmtId="0" fontId="85" fillId="27" borderId="23" xfId="0" applyNumberFormat="1" applyFont="1" applyFill="1" applyBorder="1" applyAlignment="1">
      <alignment horizontal="center" vertical="center"/>
    </xf>
    <xf numFmtId="0" fontId="76" fillId="65" borderId="66" xfId="0" applyFont="1" applyFill="1" applyBorder="1" applyAlignment="1">
      <alignment horizontal="left" wrapText="1"/>
    </xf>
    <xf numFmtId="0" fontId="76" fillId="66" borderId="66" xfId="0" applyFont="1" applyFill="1" applyBorder="1" applyAlignment="1">
      <alignment horizontal="left" wrapText="1"/>
    </xf>
    <xf numFmtId="0" fontId="76" fillId="66" borderId="72" xfId="0" applyFont="1" applyFill="1" applyBorder="1" applyAlignment="1">
      <alignment horizontal="left" wrapText="1"/>
    </xf>
    <xf numFmtId="0" fontId="76" fillId="66" borderId="35" xfId="0" applyFont="1" applyFill="1" applyBorder="1" applyAlignment="1">
      <alignment horizontal="left" wrapText="1"/>
    </xf>
    <xf numFmtId="0" fontId="76" fillId="65" borderId="72" xfId="0" applyFont="1" applyFill="1" applyBorder="1" applyAlignment="1">
      <alignment horizontal="left" wrapText="1"/>
    </xf>
    <xf numFmtId="0" fontId="76" fillId="65" borderId="35" xfId="0" applyFont="1" applyFill="1" applyBorder="1" applyAlignment="1">
      <alignment horizontal="left" wrapText="1"/>
    </xf>
    <xf numFmtId="0" fontId="83" fillId="67" borderId="72" xfId="0" applyFont="1" applyFill="1" applyBorder="1" applyAlignment="1">
      <alignment horizontal="left" wrapText="1"/>
    </xf>
    <xf numFmtId="0" fontId="83" fillId="67" borderId="35" xfId="0" applyFont="1" applyFill="1" applyBorder="1" applyAlignment="1">
      <alignment horizontal="left" wrapText="1"/>
    </xf>
    <xf numFmtId="0" fontId="76" fillId="68" borderId="72" xfId="0" applyFont="1" applyFill="1" applyBorder="1" applyAlignment="1">
      <alignment horizontal="left" wrapText="1"/>
    </xf>
    <xf numFmtId="0" fontId="76" fillId="68" borderId="35" xfId="0" applyFont="1" applyFill="1" applyBorder="1" applyAlignment="1">
      <alignment horizontal="left" wrapText="1"/>
    </xf>
    <xf numFmtId="0" fontId="91" fillId="68" borderId="72" xfId="0" applyFont="1" applyFill="1" applyBorder="1" applyAlignment="1">
      <alignment horizontal="left" wrapText="1"/>
    </xf>
    <xf numFmtId="0" fontId="91" fillId="68" borderId="35" xfId="0" applyFont="1" applyFill="1" applyBorder="1" applyAlignment="1">
      <alignment horizontal="left" wrapText="1"/>
    </xf>
    <xf numFmtId="0" fontId="83" fillId="71" borderId="72" xfId="0" applyFont="1" applyFill="1" applyBorder="1" applyAlignment="1">
      <alignment horizontal="left" wrapText="1"/>
    </xf>
    <xf numFmtId="0" fontId="83" fillId="71" borderId="35" xfId="0" applyFont="1" applyFill="1" applyBorder="1" applyAlignment="1">
      <alignment horizontal="left" wrapText="1"/>
    </xf>
    <xf numFmtId="0" fontId="91" fillId="70" borderId="72" xfId="0" applyFont="1" applyFill="1" applyBorder="1" applyAlignment="1">
      <alignment horizontal="left" wrapText="1"/>
    </xf>
    <xf numFmtId="0" fontId="91" fillId="70" borderId="35" xfId="0" applyFont="1" applyFill="1" applyBorder="1" applyAlignment="1">
      <alignment horizontal="left" wrapText="1"/>
    </xf>
    <xf numFmtId="0" fontId="76" fillId="0" borderId="41" xfId="0" applyFont="1" applyFill="1" applyBorder="1" applyAlignment="1">
      <alignment horizontal="left"/>
    </xf>
    <xf numFmtId="0" fontId="76" fillId="0" borderId="14" xfId="0" applyFont="1" applyFill="1" applyBorder="1" applyAlignment="1">
      <alignment horizontal="left"/>
    </xf>
    <xf numFmtId="0" fontId="117" fillId="27" borderId="63" xfId="0" applyNumberFormat="1" applyFont="1" applyFill="1" applyBorder="1" applyAlignment="1">
      <alignment horizontal="center" vertical="center"/>
    </xf>
    <xf numFmtId="0" fontId="117" fillId="27" borderId="64" xfId="0" applyNumberFormat="1" applyFont="1" applyFill="1" applyBorder="1" applyAlignment="1">
      <alignment horizontal="center" vertical="center"/>
    </xf>
    <xf numFmtId="0" fontId="117" fillId="27" borderId="65" xfId="0" applyNumberFormat="1" applyFont="1" applyFill="1" applyBorder="1" applyAlignment="1">
      <alignment horizontal="center" vertical="center"/>
    </xf>
    <xf numFmtId="0" fontId="117" fillId="27" borderId="66" xfId="0" applyNumberFormat="1" applyFont="1" applyFill="1" applyBorder="1" applyAlignment="1">
      <alignment horizontal="center" vertical="center"/>
    </xf>
    <xf numFmtId="0" fontId="117" fillId="27" borderId="10" xfId="0" applyNumberFormat="1" applyFont="1" applyFill="1" applyBorder="1" applyAlignment="1">
      <alignment horizontal="center" vertical="center"/>
    </xf>
    <xf numFmtId="0" fontId="117" fillId="27" borderId="67" xfId="0" applyNumberFormat="1" applyFont="1" applyFill="1" applyBorder="1" applyAlignment="1">
      <alignment horizontal="center" vertical="center"/>
    </xf>
    <xf numFmtId="0" fontId="117" fillId="0" borderId="27" xfId="0" applyNumberFormat="1" applyFont="1" applyFill="1" applyBorder="1" applyAlignment="1">
      <alignment horizontal="center"/>
    </xf>
    <xf numFmtId="0" fontId="83" fillId="68" borderId="41" xfId="0" applyFont="1" applyFill="1" applyBorder="1" applyAlignment="1">
      <alignment horizontal="left" wrapText="1"/>
    </xf>
    <xf numFmtId="0" fontId="83" fillId="68" borderId="12" xfId="0" applyFont="1" applyFill="1" applyBorder="1" applyAlignment="1">
      <alignment horizontal="left" wrapText="1"/>
    </xf>
    <xf numFmtId="0" fontId="114" fillId="0" borderId="25" xfId="0" applyFont="1" applyFill="1" applyBorder="1" applyAlignment="1">
      <alignment horizontal="center" wrapText="1"/>
    </xf>
    <xf numFmtId="0" fontId="114" fillId="0" borderId="28" xfId="0" applyFont="1" applyFill="1" applyBorder="1" applyAlignment="1">
      <alignment horizontal="center" wrapText="1"/>
    </xf>
    <xf numFmtId="0" fontId="83" fillId="70" borderId="72" xfId="0" applyFont="1" applyFill="1" applyBorder="1" applyAlignment="1">
      <alignment horizontal="left" wrapText="1"/>
    </xf>
    <xf numFmtId="0" fontId="83" fillId="70" borderId="35" xfId="0" applyFont="1" applyFill="1" applyBorder="1" applyAlignment="1">
      <alignment horizontal="left" wrapText="1"/>
    </xf>
    <xf numFmtId="0" fontId="76" fillId="0" borderId="25" xfId="0" applyFont="1" applyFill="1" applyBorder="1" applyAlignment="1">
      <alignment horizontal="left"/>
    </xf>
    <xf numFmtId="0" fontId="76" fillId="0" borderId="28" xfId="0" applyFont="1" applyFill="1" applyBorder="1" applyAlignment="1">
      <alignment horizontal="left"/>
    </xf>
    <xf numFmtId="0" fontId="9" fillId="0" borderId="0" xfId="0" applyFont="1" applyBorder="1" applyAlignment="1">
      <alignment horizontal="left" wrapText="1"/>
    </xf>
    <xf numFmtId="0" fontId="126" fillId="0" borderId="0" xfId="0" applyFont="1" applyBorder="1" applyAlignment="1">
      <alignment horizontal="left" wrapText="1"/>
    </xf>
    <xf numFmtId="0" fontId="107" fillId="0" borderId="0" xfId="0" applyFont="1" applyFill="1" applyAlignment="1">
      <alignment horizontal="center" wrapText="1"/>
    </xf>
    <xf numFmtId="0" fontId="121" fillId="25" borderId="0" xfId="0" applyFont="1" applyFill="1" applyAlignment="1">
      <alignment horizontal="center"/>
    </xf>
    <xf numFmtId="0" fontId="122" fillId="24" borderId="39" xfId="0" applyFont="1" applyFill="1" applyBorder="1" applyAlignment="1">
      <alignment horizontal="center"/>
    </xf>
    <xf numFmtId="0" fontId="122" fillId="24" borderId="34" xfId="0" applyFont="1" applyFill="1" applyBorder="1" applyAlignment="1">
      <alignment horizontal="center"/>
    </xf>
    <xf numFmtId="0" fontId="122" fillId="24" borderId="40" xfId="0" applyFont="1" applyFill="1" applyBorder="1" applyAlignment="1">
      <alignment horizontal="center"/>
    </xf>
    <xf numFmtId="0" fontId="37" fillId="24" borderId="21" xfId="0" applyFont="1" applyFill="1" applyBorder="1" applyAlignment="1">
      <alignment horizontal="center" wrapText="1"/>
    </xf>
    <xf numFmtId="0" fontId="37" fillId="24" borderId="23" xfId="0" applyFont="1" applyFill="1" applyBorder="1" applyAlignment="1">
      <alignment horizontal="center" wrapText="1"/>
    </xf>
    <xf numFmtId="0" fontId="125" fillId="0" borderId="27" xfId="0" applyNumberFormat="1" applyFont="1" applyFill="1" applyBorder="1" applyAlignment="1">
      <alignment horizontal="center"/>
    </xf>
    <xf numFmtId="0" fontId="37" fillId="0" borderId="13" xfId="0" applyFont="1" applyFill="1" applyBorder="1" applyAlignment="1">
      <alignment horizontal="left"/>
    </xf>
    <xf numFmtId="0" fontId="9" fillId="0" borderId="0" xfId="0" applyFont="1" applyFill="1" applyBorder="1" applyAlignment="1">
      <alignment horizontal="left"/>
    </xf>
    <xf numFmtId="0" fontId="30" fillId="0" borderId="39" xfId="0" applyFont="1" applyFill="1" applyBorder="1" applyAlignment="1">
      <alignment horizontal="center"/>
    </xf>
    <xf numFmtId="0" fontId="30" fillId="0" borderId="34" xfId="0" applyFont="1" applyFill="1" applyBorder="1" applyAlignment="1">
      <alignment horizontal="center"/>
    </xf>
    <xf numFmtId="0" fontId="30" fillId="0" borderId="40" xfId="0" applyFont="1" applyFill="1" applyBorder="1" applyAlignment="1">
      <alignment horizontal="center"/>
    </xf>
    <xf numFmtId="0" fontId="9" fillId="0" borderId="0" xfId="0" applyFont="1" applyBorder="1" applyAlignment="1">
      <alignment horizontal="left"/>
    </xf>
    <xf numFmtId="9" fontId="9" fillId="0" borderId="0" xfId="48" applyFont="1" applyFill="1" applyBorder="1" applyAlignment="1">
      <alignment horizontal="center"/>
    </xf>
    <xf numFmtId="0" fontId="9" fillId="0" borderId="0" xfId="0" applyFont="1" applyBorder="1" applyAlignment="1">
      <alignment horizontal="center"/>
    </xf>
    <xf numFmtId="0" fontId="9" fillId="0" borderId="27" xfId="0" applyFont="1" applyBorder="1" applyAlignment="1">
      <alignment horizontal="center"/>
    </xf>
    <xf numFmtId="0" fontId="9" fillId="0" borderId="41" xfId="0" applyFont="1" applyFill="1" applyBorder="1" applyAlignment="1">
      <alignment horizontal="left"/>
    </xf>
    <xf numFmtId="0" fontId="9" fillId="0" borderId="14" xfId="0" applyFont="1" applyFill="1" applyBorder="1" applyAlignment="1">
      <alignment horizontal="left"/>
    </xf>
    <xf numFmtId="0" fontId="9" fillId="0" borderId="73" xfId="0" applyFont="1" applyBorder="1" applyAlignment="1">
      <alignment horizontal="left"/>
    </xf>
    <xf numFmtId="0" fontId="9" fillId="0" borderId="15" xfId="0" applyFont="1" applyBorder="1" applyAlignment="1">
      <alignment horizontal="left"/>
    </xf>
    <xf numFmtId="0" fontId="119" fillId="0" borderId="25" xfId="0" applyFont="1" applyFill="1" applyBorder="1" applyAlignment="1">
      <alignment horizontal="left" wrapText="1"/>
    </xf>
    <xf numFmtId="0" fontId="119" fillId="0" borderId="28" xfId="0" applyFont="1" applyFill="1" applyBorder="1" applyAlignment="1">
      <alignment horizontal="left" wrapText="1"/>
    </xf>
    <xf numFmtId="0" fontId="9" fillId="68" borderId="72" xfId="0" applyFont="1" applyFill="1" applyBorder="1" applyAlignment="1">
      <alignment horizontal="left" wrapText="1"/>
    </xf>
    <xf numFmtId="0" fontId="9" fillId="68" borderId="35" xfId="0" applyFont="1" applyFill="1" applyBorder="1" applyAlignment="1">
      <alignment horizontal="left" wrapText="1"/>
    </xf>
    <xf numFmtId="0" fontId="9" fillId="0" borderId="12" xfId="0" applyFont="1" applyFill="1" applyBorder="1" applyAlignment="1">
      <alignment horizontal="left"/>
    </xf>
    <xf numFmtId="0" fontId="125" fillId="27" borderId="63" xfId="0" applyNumberFormat="1" applyFont="1" applyFill="1" applyBorder="1" applyAlignment="1">
      <alignment horizontal="center" vertical="center"/>
    </xf>
    <xf numFmtId="0" fontId="125" fillId="27" borderId="64" xfId="0" applyNumberFormat="1" applyFont="1" applyFill="1" applyBorder="1" applyAlignment="1">
      <alignment horizontal="center" vertical="center"/>
    </xf>
    <xf numFmtId="0" fontId="125" fillId="27" borderId="65" xfId="0" applyNumberFormat="1" applyFont="1" applyFill="1" applyBorder="1" applyAlignment="1">
      <alignment horizontal="center" vertical="center"/>
    </xf>
    <xf numFmtId="0" fontId="125" fillId="27" borderId="66" xfId="0" applyNumberFormat="1" applyFont="1" applyFill="1" applyBorder="1" applyAlignment="1">
      <alignment horizontal="center" vertical="center"/>
    </xf>
    <xf numFmtId="0" fontId="125" fillId="27" borderId="10" xfId="0" applyNumberFormat="1" applyFont="1" applyFill="1" applyBorder="1" applyAlignment="1">
      <alignment horizontal="center" vertical="center"/>
    </xf>
    <xf numFmtId="0" fontId="125" fillId="27" borderId="67" xfId="0" applyNumberFormat="1" applyFont="1" applyFill="1" applyBorder="1" applyAlignment="1">
      <alignment horizontal="center" vertical="center"/>
    </xf>
    <xf numFmtId="0" fontId="9" fillId="65" borderId="66" xfId="0" applyFont="1" applyFill="1" applyBorder="1" applyAlignment="1">
      <alignment horizontal="left" wrapText="1"/>
    </xf>
    <xf numFmtId="0" fontId="9" fillId="65" borderId="10" xfId="0" applyFont="1" applyFill="1" applyBorder="1" applyAlignment="1">
      <alignment horizontal="left" wrapText="1"/>
    </xf>
    <xf numFmtId="0" fontId="0" fillId="74" borderId="39" xfId="0" applyFill="1" applyBorder="1" applyAlignment="1">
      <alignment horizontal="center"/>
    </xf>
    <xf numFmtId="0" fontId="0" fillId="74" borderId="34" xfId="0" applyFill="1" applyBorder="1" applyAlignment="1">
      <alignment horizontal="center"/>
    </xf>
    <xf numFmtId="0" fontId="0" fillId="74" borderId="40" xfId="0" applyFill="1" applyBorder="1" applyAlignment="1">
      <alignment horizontal="center"/>
    </xf>
    <xf numFmtId="0" fontId="0" fillId="74" borderId="39" xfId="0" applyFill="1" applyBorder="1" applyAlignment="1">
      <alignment horizontal="left"/>
    </xf>
    <xf numFmtId="0" fontId="0" fillId="74" borderId="34" xfId="0" applyFill="1" applyBorder="1" applyAlignment="1">
      <alignment horizontal="left"/>
    </xf>
    <xf numFmtId="0" fontId="0" fillId="74" borderId="40" xfId="0" applyFill="1" applyBorder="1" applyAlignment="1">
      <alignment horizontal="left"/>
    </xf>
    <xf numFmtId="0" fontId="39" fillId="0" borderId="0" xfId="0" applyFont="1" applyAlignment="1">
      <alignment horizontal="center" vertical="center" wrapText="1"/>
    </xf>
    <xf numFmtId="0" fontId="39" fillId="0" borderId="0" xfId="0" applyFont="1" applyAlignment="1">
      <alignment horizontal="center" wrapText="1"/>
    </xf>
    <xf numFmtId="0" fontId="0" fillId="0" borderId="0" xfId="0" applyBorder="1" applyAlignment="1">
      <alignment horizontal="center"/>
    </xf>
    <xf numFmtId="0" fontId="0" fillId="0" borderId="27" xfId="0" applyBorder="1" applyAlignment="1">
      <alignment horizontal="center"/>
    </xf>
    <xf numFmtId="0" fontId="0" fillId="71" borderId="0" xfId="0" applyFill="1" applyBorder="1" applyAlignment="1">
      <alignment horizontal="center"/>
    </xf>
    <xf numFmtId="0" fontId="9" fillId="0" borderId="39" xfId="0" applyFont="1" applyBorder="1" applyAlignment="1">
      <alignment horizontal="center"/>
    </xf>
    <xf numFmtId="0" fontId="9" fillId="0" borderId="34" xfId="0" applyFont="1" applyBorder="1" applyAlignment="1">
      <alignment horizontal="center"/>
    </xf>
    <xf numFmtId="0" fontId="9" fillId="0" borderId="40" xfId="0" applyFont="1" applyBorder="1" applyAlignment="1">
      <alignment horizontal="center"/>
    </xf>
    <xf numFmtId="0" fontId="9" fillId="0" borderId="0" xfId="0" applyFont="1" applyFill="1" applyBorder="1" applyAlignment="1">
      <alignment horizontal="center"/>
    </xf>
    <xf numFmtId="0" fontId="9" fillId="0" borderId="39" xfId="0" applyFont="1" applyBorder="1" applyAlignment="1">
      <alignment horizontal="center" wrapText="1"/>
    </xf>
    <xf numFmtId="0" fontId="0" fillId="0" borderId="40" xfId="0" applyBorder="1" applyAlignment="1">
      <alignment horizontal="center" wrapText="1"/>
    </xf>
    <xf numFmtId="0" fontId="99" fillId="73" borderId="0" xfId="0" applyFont="1" applyFill="1" applyAlignment="1">
      <alignment horizontal="left"/>
    </xf>
    <xf numFmtId="0" fontId="9" fillId="0" borderId="0" xfId="4623" applyFont="1" applyBorder="1" applyAlignment="1">
      <alignment horizontal="left" wrapText="1"/>
    </xf>
    <xf numFmtId="0" fontId="9" fillId="0" borderId="16" xfId="4623" applyFont="1" applyBorder="1" applyAlignment="1">
      <alignment horizontal="left" wrapText="1"/>
    </xf>
    <xf numFmtId="0" fontId="9" fillId="0" borderId="15" xfId="4623" applyFont="1" applyBorder="1" applyAlignment="1">
      <alignment horizontal="left" wrapText="1"/>
    </xf>
    <xf numFmtId="0" fontId="9" fillId="0" borderId="18" xfId="4623" applyFont="1" applyBorder="1" applyAlignment="1">
      <alignment horizontal="left" wrapText="1"/>
    </xf>
    <xf numFmtId="0" fontId="34" fillId="73" borderId="14" xfId="0" applyFont="1" applyFill="1" applyBorder="1" applyAlignment="1">
      <alignment horizontal="left"/>
    </xf>
    <xf numFmtId="0" fontId="34" fillId="73" borderId="12" xfId="0" applyFont="1" applyFill="1" applyBorder="1" applyAlignment="1">
      <alignment horizontal="left"/>
    </xf>
    <xf numFmtId="0" fontId="99" fillId="73" borderId="11" xfId="0" applyFont="1" applyFill="1" applyBorder="1" applyAlignment="1">
      <alignment horizontal="center"/>
    </xf>
    <xf numFmtId="0" fontId="99" fillId="73" borderId="14" xfId="0" applyFont="1" applyFill="1" applyBorder="1" applyAlignment="1">
      <alignment horizontal="center"/>
    </xf>
    <xf numFmtId="0" fontId="99" fillId="73" borderId="12" xfId="0" applyFont="1" applyFill="1" applyBorder="1" applyAlignment="1">
      <alignment horizontal="center"/>
    </xf>
    <xf numFmtId="0" fontId="110" fillId="0" borderId="0" xfId="0" applyFont="1" applyAlignment="1">
      <alignment horizontal="left" vertical="center" wrapText="1"/>
    </xf>
    <xf numFmtId="0" fontId="99" fillId="73" borderId="14" xfId="4623" applyFont="1" applyFill="1" applyBorder="1" applyAlignment="1">
      <alignment horizontal="left"/>
    </xf>
    <xf numFmtId="0" fontId="99" fillId="73" borderId="12" xfId="4623" applyFont="1" applyFill="1" applyBorder="1" applyAlignment="1">
      <alignment horizontal="left"/>
    </xf>
    <xf numFmtId="0" fontId="9" fillId="0" borderId="0" xfId="4623" applyBorder="1" applyAlignment="1">
      <alignment horizontal="left" wrapText="1"/>
    </xf>
    <xf numFmtId="0" fontId="9" fillId="0" borderId="16" xfId="4623" applyBorder="1" applyAlignment="1">
      <alignment horizontal="left" wrapText="1"/>
    </xf>
    <xf numFmtId="0" fontId="30" fillId="26" borderId="0" xfId="0" applyFont="1" applyFill="1" applyAlignment="1">
      <alignment horizontal="left"/>
    </xf>
    <xf numFmtId="0" fontId="30" fillId="29" borderId="0" xfId="0" applyFont="1" applyFill="1" applyBorder="1" applyAlignment="1">
      <alignment horizontal="center" vertical="center"/>
    </xf>
    <xf numFmtId="0" fontId="30" fillId="29" borderId="15" xfId="0" applyFont="1" applyFill="1" applyBorder="1" applyAlignment="1">
      <alignment horizontal="center" vertical="center"/>
    </xf>
    <xf numFmtId="0" fontId="43" fillId="0" borderId="0" xfId="39" applyFont="1" applyAlignment="1" applyProtection="1">
      <alignment horizontal="left" wrapText="1"/>
    </xf>
    <xf numFmtId="0" fontId="30" fillId="28" borderId="0" xfId="0" applyFont="1" applyFill="1" applyBorder="1" applyAlignment="1">
      <alignment horizontal="center" vertical="center"/>
    </xf>
    <xf numFmtId="0" fontId="30" fillId="28" borderId="15" xfId="0" applyFont="1" applyFill="1" applyBorder="1" applyAlignment="1">
      <alignment horizontal="center" vertical="center"/>
    </xf>
    <xf numFmtId="0" fontId="9" fillId="28" borderId="0" xfId="0" applyFont="1" applyFill="1" applyAlignment="1">
      <alignment horizontal="left" wrapText="1"/>
    </xf>
    <xf numFmtId="0" fontId="30" fillId="29" borderId="15" xfId="0" applyFont="1" applyFill="1" applyBorder="1" applyAlignment="1">
      <alignment horizontal="left"/>
    </xf>
    <xf numFmtId="0" fontId="0" fillId="29" borderId="20" xfId="0" applyFill="1" applyBorder="1" applyAlignment="1">
      <alignment horizontal="left"/>
    </xf>
    <xf numFmtId="0" fontId="0" fillId="29" borderId="0" xfId="0" applyFill="1" applyAlignment="1">
      <alignment horizontal="left"/>
    </xf>
    <xf numFmtId="0" fontId="30" fillId="29" borderId="0" xfId="0" applyFont="1" applyFill="1" applyAlignment="1">
      <alignment horizontal="center"/>
    </xf>
    <xf numFmtId="0" fontId="30" fillId="29" borderId="15" xfId="0" applyFont="1" applyFill="1" applyBorder="1" applyAlignment="1">
      <alignment horizontal="center"/>
    </xf>
    <xf numFmtId="0" fontId="9" fillId="28" borderId="0" xfId="0" applyFont="1" applyFill="1" applyBorder="1" applyAlignment="1">
      <alignment horizontal="center" vertical="center"/>
    </xf>
    <xf numFmtId="0" fontId="9" fillId="28" borderId="15" xfId="0" applyFont="1" applyFill="1" applyBorder="1" applyAlignment="1">
      <alignment horizontal="center" vertical="center"/>
    </xf>
    <xf numFmtId="43" fontId="102" fillId="0" borderId="0" xfId="0" applyNumberFormat="1" applyFont="1" applyBorder="1" applyAlignment="1">
      <alignment horizontal="center"/>
    </xf>
    <xf numFmtId="0" fontId="102" fillId="0" borderId="34" xfId="0" applyFont="1" applyBorder="1" applyAlignment="1">
      <alignment horizontal="left"/>
    </xf>
    <xf numFmtId="0" fontId="140" fillId="0" borderId="0" xfId="0" applyFont="1" applyFill="1" applyBorder="1" applyAlignment="1">
      <alignment horizontal="center" wrapText="1"/>
    </xf>
    <xf numFmtId="0" fontId="131" fillId="0" borderId="36" xfId="0" applyFont="1" applyBorder="1" applyAlignment="1">
      <alignment horizontal="center"/>
    </xf>
    <xf numFmtId="1" fontId="0" fillId="0" borderId="38" xfId="0" applyNumberFormat="1" applyBorder="1" applyAlignment="1">
      <alignment horizontal="center"/>
    </xf>
  </cellXfs>
  <cellStyles count="32089">
    <cellStyle name="20% - Accent1" xfId="1" builtinId="30" customBuiltin="1"/>
    <cellStyle name="20% - Accent1 2" xfId="74"/>
    <cellStyle name="20% - Accent1 2 10" xfId="4291"/>
    <cellStyle name="20% - Accent1 2 10 2" xfId="9265"/>
    <cellStyle name="20% - Accent1 2 10 3" xfId="13542"/>
    <cellStyle name="20% - Accent1 2 10 4" xfId="17802"/>
    <cellStyle name="20% - Accent1 2 10 5" xfId="22021"/>
    <cellStyle name="20% - Accent1 2 10 6" xfId="26219"/>
    <cellStyle name="20% - Accent1 2 10 7" xfId="30116"/>
    <cellStyle name="20% - Accent1 2 11" xfId="5647"/>
    <cellStyle name="20% - Accent1 2 11 2" xfId="10619"/>
    <cellStyle name="20% - Accent1 2 11 3" xfId="14897"/>
    <cellStyle name="20% - Accent1 2 11 4" xfId="19154"/>
    <cellStyle name="20% - Accent1 2 11 5" xfId="23371"/>
    <cellStyle name="20% - Accent1 2 11 6" xfId="27557"/>
    <cellStyle name="20% - Accent1 2 11 7" xfId="31436"/>
    <cellStyle name="20% - Accent1 2 12" xfId="6374"/>
    <cellStyle name="20% - Accent1 2 13" xfId="8925"/>
    <cellStyle name="20% - Accent1 2 14" xfId="13210"/>
    <cellStyle name="20% - Accent1 2 15" xfId="17482"/>
    <cellStyle name="20% - Accent1 2 16" xfId="17619"/>
    <cellStyle name="20% - Accent1 2 17" xfId="25955"/>
    <cellStyle name="20% - Accent1 2 18" xfId="1581"/>
    <cellStyle name="20% - Accent1 2 2" xfId="166"/>
    <cellStyle name="20% - Accent1 2 2 10" xfId="5679"/>
    <cellStyle name="20% - Accent1 2 2 10 2" xfId="10651"/>
    <cellStyle name="20% - Accent1 2 2 10 3" xfId="14929"/>
    <cellStyle name="20% - Accent1 2 2 10 4" xfId="19186"/>
    <cellStyle name="20% - Accent1 2 2 10 5" xfId="23403"/>
    <cellStyle name="20% - Accent1 2 2 10 6" xfId="27589"/>
    <cellStyle name="20% - Accent1 2 2 10 7" xfId="31468"/>
    <cellStyle name="20% - Accent1 2 2 11" xfId="6465"/>
    <cellStyle name="20% - Accent1 2 2 12" xfId="8802"/>
    <cellStyle name="20% - Accent1 2 2 13" xfId="13087"/>
    <cellStyle name="20% - Accent1 2 2 14" xfId="17359"/>
    <cellStyle name="20% - Accent1 2 2 15" xfId="7262"/>
    <cellStyle name="20% - Accent1 2 2 16" xfId="25832"/>
    <cellStyle name="20% - Accent1 2 2 17" xfId="1614"/>
    <cellStyle name="20% - Accent1 2 2 2" xfId="310"/>
    <cellStyle name="20% - Accent1 2 2 2 10" xfId="11579"/>
    <cellStyle name="20% - Accent1 2 2 2 11" xfId="15857"/>
    <cellStyle name="20% - Accent1 2 2 2 12" xfId="21831"/>
    <cellStyle name="20% - Accent1 2 2 2 13" xfId="24361"/>
    <cellStyle name="20% - Accent1 2 2 2 14" xfId="1682"/>
    <cellStyle name="20% - Accent1 2 2 2 2" xfId="474"/>
    <cellStyle name="20% - Accent1 2 2 2 2 10" xfId="6432"/>
    <cellStyle name="20% - Accent1 2 2 2 2 11" xfId="16699"/>
    <cellStyle name="20% - Accent1 2 2 2 2 12" xfId="21871"/>
    <cellStyle name="20% - Accent1 2 2 2 2 13" xfId="1837"/>
    <cellStyle name="20% - Accent1 2 2 2 2 2" xfId="848"/>
    <cellStyle name="20% - Accent1 2 2 2 2 2 10" xfId="24223"/>
    <cellStyle name="20% - Accent1 2 2 2 2 2 11" xfId="28375"/>
    <cellStyle name="20% - Accent1 2 2 2 2 2 12" xfId="2167"/>
    <cellStyle name="20% - Accent1 2 2 2 2 2 2" xfId="1505"/>
    <cellStyle name="20% - Accent1 2 2 2 2 2 2 2" xfId="5536"/>
    <cellStyle name="20% - Accent1 2 2 2 2 2 2 2 2" xfId="10510"/>
    <cellStyle name="20% - Accent1 2 2 2 2 2 2 2 3" xfId="14787"/>
    <cellStyle name="20% - Accent1 2 2 2 2 2 2 2 4" xfId="19046"/>
    <cellStyle name="20% - Accent1 2 2 2 2 2 2 2 5" xfId="23265"/>
    <cellStyle name="20% - Accent1 2 2 2 2 2 2 2 6" xfId="27460"/>
    <cellStyle name="20% - Accent1 2 2 2 2 2 2 2 7" xfId="31356"/>
    <cellStyle name="20% - Accent1 2 2 2 2 2 2 3" xfId="8491"/>
    <cellStyle name="20% - Accent1 2 2 2 2 2 2 4" xfId="12776"/>
    <cellStyle name="20% - Accent1 2 2 2 2 2 2 5" xfId="17048"/>
    <cellStyle name="20% - Accent1 2 2 2 2 2 2 6" xfId="21283"/>
    <cellStyle name="20% - Accent1 2 2 2 2 2 2 7" xfId="25521"/>
    <cellStyle name="20% - Accent1 2 2 2 2 2 2 8" xfId="29599"/>
    <cellStyle name="20% - Accent1 2 2 2 2 2 2 9" xfId="3515"/>
    <cellStyle name="20% - Accent1 2 2 2 2 2 3" xfId="2658"/>
    <cellStyle name="20% - Accent1 2 2 2 2 2 3 2" xfId="7635"/>
    <cellStyle name="20% - Accent1 2 2 2 2 2 3 3" xfId="11924"/>
    <cellStyle name="20% - Accent1 2 2 2 2 2 3 4" xfId="16200"/>
    <cellStyle name="20% - Accent1 2 2 2 2 2 3 5" xfId="20442"/>
    <cellStyle name="20% - Accent1 2 2 2 2 2 3 6" xfId="24689"/>
    <cellStyle name="20% - Accent1 2 2 2 2 2 3 7" xfId="28792"/>
    <cellStyle name="20% - Accent1 2 2 2 2 2 4" xfId="4879"/>
    <cellStyle name="20% - Accent1 2 2 2 2 2 4 2" xfId="9853"/>
    <cellStyle name="20% - Accent1 2 2 2 2 2 4 3" xfId="14130"/>
    <cellStyle name="20% - Accent1 2 2 2 2 2 4 4" xfId="18389"/>
    <cellStyle name="20% - Accent1 2 2 2 2 2 4 5" xfId="22608"/>
    <cellStyle name="20% - Accent1 2 2 2 2 2 4 6" xfId="26803"/>
    <cellStyle name="20% - Accent1 2 2 2 2 2 4 7" xfId="30699"/>
    <cellStyle name="20% - Accent1 2 2 2 2 2 5" xfId="6227"/>
    <cellStyle name="20% - Accent1 2 2 2 2 2 5 2" xfId="11199"/>
    <cellStyle name="20% - Accent1 2 2 2 2 2 5 3" xfId="15477"/>
    <cellStyle name="20% - Accent1 2 2 2 2 2 5 4" xfId="19734"/>
    <cellStyle name="20% - Accent1 2 2 2 2 2 5 5" xfId="23951"/>
    <cellStyle name="20% - Accent1 2 2 2 2 2 5 6" xfId="28137"/>
    <cellStyle name="20% - Accent1 2 2 2 2 2 5 7" xfId="32016"/>
    <cellStyle name="20% - Accent1 2 2 2 2 2 6" xfId="7145"/>
    <cellStyle name="20% - Accent1 2 2 2 2 2 7" xfId="11437"/>
    <cellStyle name="20% - Accent1 2 2 2 2 2 8" xfId="15715"/>
    <cellStyle name="20% - Accent1 2 2 2 2 2 9" xfId="19972"/>
    <cellStyle name="20% - Accent1 2 2 2 2 3" xfId="1176"/>
    <cellStyle name="20% - Accent1 2 2 2 2 3 2" xfId="5207"/>
    <cellStyle name="20% - Accent1 2 2 2 2 3 2 2" xfId="10181"/>
    <cellStyle name="20% - Accent1 2 2 2 2 3 2 3" xfId="14458"/>
    <cellStyle name="20% - Accent1 2 2 2 2 3 2 4" xfId="18717"/>
    <cellStyle name="20% - Accent1 2 2 2 2 3 2 5" xfId="22936"/>
    <cellStyle name="20% - Accent1 2 2 2 2 3 2 6" xfId="27131"/>
    <cellStyle name="20% - Accent1 2 2 2 2 3 2 7" xfId="31027"/>
    <cellStyle name="20% - Accent1 2 2 2 2 3 3" xfId="8402"/>
    <cellStyle name="20% - Accent1 2 2 2 2 3 4" xfId="12687"/>
    <cellStyle name="20% - Accent1 2 2 2 2 3 5" xfId="16959"/>
    <cellStyle name="20% - Accent1 2 2 2 2 3 6" xfId="21194"/>
    <cellStyle name="20% - Accent1 2 2 2 2 3 7" xfId="25432"/>
    <cellStyle name="20% - Accent1 2 2 2 2 3 8" xfId="29510"/>
    <cellStyle name="20% - Accent1 2 2 2 2 3 9" xfId="3426"/>
    <cellStyle name="20% - Accent1 2 2 2 2 4" xfId="2565"/>
    <cellStyle name="20% - Accent1 2 2 2 2 4 2" xfId="7542"/>
    <cellStyle name="20% - Accent1 2 2 2 2 4 3" xfId="11831"/>
    <cellStyle name="20% - Accent1 2 2 2 2 4 4" xfId="16109"/>
    <cellStyle name="20% - Accent1 2 2 2 2 4 5" xfId="20352"/>
    <cellStyle name="20% - Accent1 2 2 2 2 4 6" xfId="24598"/>
    <cellStyle name="20% - Accent1 2 2 2 2 4 7" xfId="28703"/>
    <cellStyle name="20% - Accent1 2 2 2 2 5" xfId="4549"/>
    <cellStyle name="20% - Accent1 2 2 2 2 5 2" xfId="9523"/>
    <cellStyle name="20% - Accent1 2 2 2 2 5 3" xfId="13800"/>
    <cellStyle name="20% - Accent1 2 2 2 2 5 4" xfId="18060"/>
    <cellStyle name="20% - Accent1 2 2 2 2 5 5" xfId="22278"/>
    <cellStyle name="20% - Accent1 2 2 2 2 5 6" xfId="26474"/>
    <cellStyle name="20% - Accent1 2 2 2 2 5 7" xfId="30370"/>
    <cellStyle name="20% - Accent1 2 2 2 2 6" xfId="5898"/>
    <cellStyle name="20% - Accent1 2 2 2 2 6 2" xfId="10870"/>
    <cellStyle name="20% - Accent1 2 2 2 2 6 3" xfId="15148"/>
    <cellStyle name="20% - Accent1 2 2 2 2 6 4" xfId="19405"/>
    <cellStyle name="20% - Accent1 2 2 2 2 6 5" xfId="23622"/>
    <cellStyle name="20% - Accent1 2 2 2 2 6 6" xfId="27808"/>
    <cellStyle name="20% - Accent1 2 2 2 2 6 7" xfId="31687"/>
    <cellStyle name="20% - Accent1 2 2 2 2 7" xfId="6772"/>
    <cellStyle name="20% - Accent1 2 2 2 2 8" xfId="6872"/>
    <cellStyle name="20% - Accent1 2 2 2 2 9" xfId="6857"/>
    <cellStyle name="20% - Accent1 2 2 2 3" xfId="693"/>
    <cellStyle name="20% - Accent1 2 2 2 3 10" xfId="24068"/>
    <cellStyle name="20% - Accent1 2 2 2 3 11" xfId="28220"/>
    <cellStyle name="20% - Accent1 2 2 2 3 12" xfId="2012"/>
    <cellStyle name="20% - Accent1 2 2 2 3 2" xfId="1350"/>
    <cellStyle name="20% - Accent1 2 2 2 3 2 2" xfId="5381"/>
    <cellStyle name="20% - Accent1 2 2 2 3 2 2 2" xfId="10355"/>
    <cellStyle name="20% - Accent1 2 2 2 3 2 2 3" xfId="14632"/>
    <cellStyle name="20% - Accent1 2 2 2 3 2 2 4" xfId="18891"/>
    <cellStyle name="20% - Accent1 2 2 2 3 2 2 5" xfId="23110"/>
    <cellStyle name="20% - Accent1 2 2 2 3 2 2 6" xfId="27305"/>
    <cellStyle name="20% - Accent1 2 2 2 3 2 2 7" xfId="31201"/>
    <cellStyle name="20% - Accent1 2 2 2 3 2 3" xfId="8492"/>
    <cellStyle name="20% - Accent1 2 2 2 3 2 4" xfId="12777"/>
    <cellStyle name="20% - Accent1 2 2 2 3 2 5" xfId="17049"/>
    <cellStyle name="20% - Accent1 2 2 2 3 2 6" xfId="21284"/>
    <cellStyle name="20% - Accent1 2 2 2 3 2 7" xfId="25522"/>
    <cellStyle name="20% - Accent1 2 2 2 3 2 8" xfId="29600"/>
    <cellStyle name="20% - Accent1 2 2 2 3 2 9" xfId="3516"/>
    <cellStyle name="20% - Accent1 2 2 2 3 3" xfId="2659"/>
    <cellStyle name="20% - Accent1 2 2 2 3 3 2" xfId="7636"/>
    <cellStyle name="20% - Accent1 2 2 2 3 3 3" xfId="11925"/>
    <cellStyle name="20% - Accent1 2 2 2 3 3 4" xfId="16201"/>
    <cellStyle name="20% - Accent1 2 2 2 3 3 5" xfId="20443"/>
    <cellStyle name="20% - Accent1 2 2 2 3 3 6" xfId="24690"/>
    <cellStyle name="20% - Accent1 2 2 2 3 3 7" xfId="28793"/>
    <cellStyle name="20% - Accent1 2 2 2 3 4" xfId="4724"/>
    <cellStyle name="20% - Accent1 2 2 2 3 4 2" xfId="9698"/>
    <cellStyle name="20% - Accent1 2 2 2 3 4 3" xfId="13975"/>
    <cellStyle name="20% - Accent1 2 2 2 3 4 4" xfId="18234"/>
    <cellStyle name="20% - Accent1 2 2 2 3 4 5" xfId="22453"/>
    <cellStyle name="20% - Accent1 2 2 2 3 4 6" xfId="26648"/>
    <cellStyle name="20% - Accent1 2 2 2 3 4 7" xfId="30544"/>
    <cellStyle name="20% - Accent1 2 2 2 3 5" xfId="6072"/>
    <cellStyle name="20% - Accent1 2 2 2 3 5 2" xfId="11044"/>
    <cellStyle name="20% - Accent1 2 2 2 3 5 3" xfId="15322"/>
    <cellStyle name="20% - Accent1 2 2 2 3 5 4" xfId="19579"/>
    <cellStyle name="20% - Accent1 2 2 2 3 5 5" xfId="23796"/>
    <cellStyle name="20% - Accent1 2 2 2 3 5 6" xfId="27982"/>
    <cellStyle name="20% - Accent1 2 2 2 3 5 7" xfId="31861"/>
    <cellStyle name="20% - Accent1 2 2 2 3 6" xfId="6990"/>
    <cellStyle name="20% - Accent1 2 2 2 3 7" xfId="11282"/>
    <cellStyle name="20% - Accent1 2 2 2 3 8" xfId="15560"/>
    <cellStyle name="20% - Accent1 2 2 2 3 9" xfId="19817"/>
    <cellStyle name="20% - Accent1 2 2 2 4" xfId="1021"/>
    <cellStyle name="20% - Accent1 2 2 2 4 2" xfId="5052"/>
    <cellStyle name="20% - Accent1 2 2 2 4 2 2" xfId="10026"/>
    <cellStyle name="20% - Accent1 2 2 2 4 2 3" xfId="14303"/>
    <cellStyle name="20% - Accent1 2 2 2 4 2 4" xfId="18562"/>
    <cellStyle name="20% - Accent1 2 2 2 4 2 5" xfId="22781"/>
    <cellStyle name="20% - Accent1 2 2 2 4 2 6" xfId="26976"/>
    <cellStyle name="20% - Accent1 2 2 2 4 2 7" xfId="30872"/>
    <cellStyle name="20% - Accent1 2 2 2 4 3" xfId="8250"/>
    <cellStyle name="20% - Accent1 2 2 2 4 4" xfId="12535"/>
    <cellStyle name="20% - Accent1 2 2 2 4 5" xfId="16808"/>
    <cellStyle name="20% - Accent1 2 2 2 4 6" xfId="21044"/>
    <cellStyle name="20% - Accent1 2 2 2 4 7" xfId="25282"/>
    <cellStyle name="20% - Accent1 2 2 2 4 8" xfId="29360"/>
    <cellStyle name="20% - Accent1 2 2 2 4 9" xfId="3274"/>
    <cellStyle name="20% - Accent1 2 2 2 5" xfId="2390"/>
    <cellStyle name="20% - Accent1 2 2 2 5 2" xfId="7368"/>
    <cellStyle name="20% - Accent1 2 2 2 5 3" xfId="11657"/>
    <cellStyle name="20% - Accent1 2 2 2 5 4" xfId="15935"/>
    <cellStyle name="20% - Accent1 2 2 2 5 5" xfId="20184"/>
    <cellStyle name="20% - Accent1 2 2 2 5 6" xfId="24432"/>
    <cellStyle name="20% - Accent1 2 2 2 5 7" xfId="28552"/>
    <cellStyle name="20% - Accent1 2 2 2 6" xfId="4394"/>
    <cellStyle name="20% - Accent1 2 2 2 6 2" xfId="9368"/>
    <cellStyle name="20% - Accent1 2 2 2 6 3" xfId="13645"/>
    <cellStyle name="20% - Accent1 2 2 2 6 4" xfId="17905"/>
    <cellStyle name="20% - Accent1 2 2 2 6 5" xfId="22123"/>
    <cellStyle name="20% - Accent1 2 2 2 6 6" xfId="26319"/>
    <cellStyle name="20% - Accent1 2 2 2 6 7" xfId="30215"/>
    <cellStyle name="20% - Accent1 2 2 2 7" xfId="5743"/>
    <cellStyle name="20% - Accent1 2 2 2 7 2" xfId="10715"/>
    <cellStyle name="20% - Accent1 2 2 2 7 3" xfId="14993"/>
    <cellStyle name="20% - Accent1 2 2 2 7 4" xfId="19250"/>
    <cellStyle name="20% - Accent1 2 2 2 7 5" xfId="23467"/>
    <cellStyle name="20% - Accent1 2 2 2 7 6" xfId="27653"/>
    <cellStyle name="20% - Accent1 2 2 2 7 7" xfId="31532"/>
    <cellStyle name="20% - Accent1 2 2 2 8" xfId="6608"/>
    <cellStyle name="20% - Accent1 2 2 2 9" xfId="7289"/>
    <cellStyle name="20% - Accent1 2 2 3" xfId="413"/>
    <cellStyle name="20% - Accent1 2 2 3 10" xfId="17558"/>
    <cellStyle name="20% - Accent1 2 2 3 11" xfId="21905"/>
    <cellStyle name="20% - Accent1 2 2 3 12" xfId="26019"/>
    <cellStyle name="20% - Accent1 2 2 3 13" xfId="1776"/>
    <cellStyle name="20% - Accent1 2 2 3 2" xfId="787"/>
    <cellStyle name="20% - Accent1 2 2 3 2 10" xfId="24162"/>
    <cellStyle name="20% - Accent1 2 2 3 2 11" xfId="28314"/>
    <cellStyle name="20% - Accent1 2 2 3 2 12" xfId="2106"/>
    <cellStyle name="20% - Accent1 2 2 3 2 2" xfId="1444"/>
    <cellStyle name="20% - Accent1 2 2 3 2 2 2" xfId="5475"/>
    <cellStyle name="20% - Accent1 2 2 3 2 2 2 2" xfId="10449"/>
    <cellStyle name="20% - Accent1 2 2 3 2 2 2 3" xfId="14726"/>
    <cellStyle name="20% - Accent1 2 2 3 2 2 2 4" xfId="18985"/>
    <cellStyle name="20% - Accent1 2 2 3 2 2 2 5" xfId="23204"/>
    <cellStyle name="20% - Accent1 2 2 3 2 2 2 6" xfId="27399"/>
    <cellStyle name="20% - Accent1 2 2 3 2 2 2 7" xfId="31295"/>
    <cellStyle name="20% - Accent1 2 2 3 2 2 3" xfId="8493"/>
    <cellStyle name="20% - Accent1 2 2 3 2 2 4" xfId="12778"/>
    <cellStyle name="20% - Accent1 2 2 3 2 2 5" xfId="17050"/>
    <cellStyle name="20% - Accent1 2 2 3 2 2 6" xfId="21285"/>
    <cellStyle name="20% - Accent1 2 2 3 2 2 7" xfId="25523"/>
    <cellStyle name="20% - Accent1 2 2 3 2 2 8" xfId="29601"/>
    <cellStyle name="20% - Accent1 2 2 3 2 2 9" xfId="3517"/>
    <cellStyle name="20% - Accent1 2 2 3 2 3" xfId="2660"/>
    <cellStyle name="20% - Accent1 2 2 3 2 3 2" xfId="7637"/>
    <cellStyle name="20% - Accent1 2 2 3 2 3 3" xfId="11926"/>
    <cellStyle name="20% - Accent1 2 2 3 2 3 4" xfId="16202"/>
    <cellStyle name="20% - Accent1 2 2 3 2 3 5" xfId="20444"/>
    <cellStyle name="20% - Accent1 2 2 3 2 3 6" xfId="24691"/>
    <cellStyle name="20% - Accent1 2 2 3 2 3 7" xfId="28794"/>
    <cellStyle name="20% - Accent1 2 2 3 2 4" xfId="4818"/>
    <cellStyle name="20% - Accent1 2 2 3 2 4 2" xfId="9792"/>
    <cellStyle name="20% - Accent1 2 2 3 2 4 3" xfId="14069"/>
    <cellStyle name="20% - Accent1 2 2 3 2 4 4" xfId="18328"/>
    <cellStyle name="20% - Accent1 2 2 3 2 4 5" xfId="22547"/>
    <cellStyle name="20% - Accent1 2 2 3 2 4 6" xfId="26742"/>
    <cellStyle name="20% - Accent1 2 2 3 2 4 7" xfId="30638"/>
    <cellStyle name="20% - Accent1 2 2 3 2 5" xfId="6166"/>
    <cellStyle name="20% - Accent1 2 2 3 2 5 2" xfId="11138"/>
    <cellStyle name="20% - Accent1 2 2 3 2 5 3" xfId="15416"/>
    <cellStyle name="20% - Accent1 2 2 3 2 5 4" xfId="19673"/>
    <cellStyle name="20% - Accent1 2 2 3 2 5 5" xfId="23890"/>
    <cellStyle name="20% - Accent1 2 2 3 2 5 6" xfId="28076"/>
    <cellStyle name="20% - Accent1 2 2 3 2 5 7" xfId="31955"/>
    <cellStyle name="20% - Accent1 2 2 3 2 6" xfId="7084"/>
    <cellStyle name="20% - Accent1 2 2 3 2 7" xfId="11376"/>
    <cellStyle name="20% - Accent1 2 2 3 2 8" xfId="15654"/>
    <cellStyle name="20% - Accent1 2 2 3 2 9" xfId="19911"/>
    <cellStyle name="20% - Accent1 2 2 3 3" xfId="1115"/>
    <cellStyle name="20% - Accent1 2 2 3 3 2" xfId="5146"/>
    <cellStyle name="20% - Accent1 2 2 3 3 2 2" xfId="10120"/>
    <cellStyle name="20% - Accent1 2 2 3 3 2 3" xfId="14397"/>
    <cellStyle name="20% - Accent1 2 2 3 3 2 4" xfId="18656"/>
    <cellStyle name="20% - Accent1 2 2 3 3 2 5" xfId="22875"/>
    <cellStyle name="20% - Accent1 2 2 3 3 2 6" xfId="27070"/>
    <cellStyle name="20% - Accent1 2 2 3 3 2 7" xfId="30966"/>
    <cellStyle name="20% - Accent1 2 2 3 3 3" xfId="8341"/>
    <cellStyle name="20% - Accent1 2 2 3 3 4" xfId="12626"/>
    <cellStyle name="20% - Accent1 2 2 3 3 5" xfId="16898"/>
    <cellStyle name="20% - Accent1 2 2 3 3 6" xfId="21133"/>
    <cellStyle name="20% - Accent1 2 2 3 3 7" xfId="25371"/>
    <cellStyle name="20% - Accent1 2 2 3 3 8" xfId="29449"/>
    <cellStyle name="20% - Accent1 2 2 3 3 9" xfId="3365"/>
    <cellStyle name="20% - Accent1 2 2 3 4" xfId="2504"/>
    <cellStyle name="20% - Accent1 2 2 3 4 2" xfId="7481"/>
    <cellStyle name="20% - Accent1 2 2 3 4 3" xfId="11770"/>
    <cellStyle name="20% - Accent1 2 2 3 4 4" xfId="16048"/>
    <cellStyle name="20% - Accent1 2 2 3 4 5" xfId="20291"/>
    <cellStyle name="20% - Accent1 2 2 3 4 6" xfId="24537"/>
    <cellStyle name="20% - Accent1 2 2 3 4 7" xfId="28642"/>
    <cellStyle name="20% - Accent1 2 2 3 5" xfId="4488"/>
    <cellStyle name="20% - Accent1 2 2 3 5 2" xfId="9462"/>
    <cellStyle name="20% - Accent1 2 2 3 5 3" xfId="13739"/>
    <cellStyle name="20% - Accent1 2 2 3 5 4" xfId="17999"/>
    <cellStyle name="20% - Accent1 2 2 3 5 5" xfId="22217"/>
    <cellStyle name="20% - Accent1 2 2 3 5 6" xfId="26413"/>
    <cellStyle name="20% - Accent1 2 2 3 5 7" xfId="30309"/>
    <cellStyle name="20% - Accent1 2 2 3 6" xfId="5837"/>
    <cellStyle name="20% - Accent1 2 2 3 6 2" xfId="10809"/>
    <cellStyle name="20% - Accent1 2 2 3 6 3" xfId="15087"/>
    <cellStyle name="20% - Accent1 2 2 3 6 4" xfId="19344"/>
    <cellStyle name="20% - Accent1 2 2 3 6 5" xfId="23561"/>
    <cellStyle name="20% - Accent1 2 2 3 6 6" xfId="27747"/>
    <cellStyle name="20% - Accent1 2 2 3 6 7" xfId="31626"/>
    <cellStyle name="20% - Accent1 2 2 3 7" xfId="6711"/>
    <cellStyle name="20% - Accent1 2 2 3 8" xfId="9002"/>
    <cellStyle name="20% - Accent1 2 2 3 9" xfId="13284"/>
    <cellStyle name="20% - Accent1 2 2 4" xfId="527"/>
    <cellStyle name="20% - Accent1 2 2 4 10" xfId="11699"/>
    <cellStyle name="20% - Accent1 2 2 4 11" xfId="8938"/>
    <cellStyle name="20% - Accent1 2 2 4 12" xfId="17751"/>
    <cellStyle name="20% - Accent1 2 2 4 13" xfId="1890"/>
    <cellStyle name="20% - Accent1 2 2 4 2" xfId="901"/>
    <cellStyle name="20% - Accent1 2 2 4 2 10" xfId="24276"/>
    <cellStyle name="20% - Accent1 2 2 4 2 11" xfId="28428"/>
    <cellStyle name="20% - Accent1 2 2 4 2 12" xfId="2220"/>
    <cellStyle name="20% - Accent1 2 2 4 2 2" xfId="1558"/>
    <cellStyle name="20% - Accent1 2 2 4 2 2 2" xfId="5589"/>
    <cellStyle name="20% - Accent1 2 2 4 2 2 2 2" xfId="10563"/>
    <cellStyle name="20% - Accent1 2 2 4 2 2 2 3" xfId="14840"/>
    <cellStyle name="20% - Accent1 2 2 4 2 2 2 4" xfId="19099"/>
    <cellStyle name="20% - Accent1 2 2 4 2 2 2 5" xfId="23318"/>
    <cellStyle name="20% - Accent1 2 2 4 2 2 2 6" xfId="27513"/>
    <cellStyle name="20% - Accent1 2 2 4 2 2 2 7" xfId="31409"/>
    <cellStyle name="20% - Accent1 2 2 4 2 2 3" xfId="8494"/>
    <cellStyle name="20% - Accent1 2 2 4 2 2 4" xfId="12779"/>
    <cellStyle name="20% - Accent1 2 2 4 2 2 5" xfId="17051"/>
    <cellStyle name="20% - Accent1 2 2 4 2 2 6" xfId="21286"/>
    <cellStyle name="20% - Accent1 2 2 4 2 2 7" xfId="25524"/>
    <cellStyle name="20% - Accent1 2 2 4 2 2 8" xfId="29602"/>
    <cellStyle name="20% - Accent1 2 2 4 2 2 9" xfId="3518"/>
    <cellStyle name="20% - Accent1 2 2 4 2 3" xfId="2661"/>
    <cellStyle name="20% - Accent1 2 2 4 2 3 2" xfId="7638"/>
    <cellStyle name="20% - Accent1 2 2 4 2 3 3" xfId="11927"/>
    <cellStyle name="20% - Accent1 2 2 4 2 3 4" xfId="16203"/>
    <cellStyle name="20% - Accent1 2 2 4 2 3 5" xfId="20445"/>
    <cellStyle name="20% - Accent1 2 2 4 2 3 6" xfId="24692"/>
    <cellStyle name="20% - Accent1 2 2 4 2 3 7" xfId="28795"/>
    <cellStyle name="20% - Accent1 2 2 4 2 4" xfId="4932"/>
    <cellStyle name="20% - Accent1 2 2 4 2 4 2" xfId="9906"/>
    <cellStyle name="20% - Accent1 2 2 4 2 4 3" xfId="14183"/>
    <cellStyle name="20% - Accent1 2 2 4 2 4 4" xfId="18442"/>
    <cellStyle name="20% - Accent1 2 2 4 2 4 5" xfId="22661"/>
    <cellStyle name="20% - Accent1 2 2 4 2 4 6" xfId="26856"/>
    <cellStyle name="20% - Accent1 2 2 4 2 4 7" xfId="30752"/>
    <cellStyle name="20% - Accent1 2 2 4 2 5" xfId="6280"/>
    <cellStyle name="20% - Accent1 2 2 4 2 5 2" xfId="11252"/>
    <cellStyle name="20% - Accent1 2 2 4 2 5 3" xfId="15530"/>
    <cellStyle name="20% - Accent1 2 2 4 2 5 4" xfId="19787"/>
    <cellStyle name="20% - Accent1 2 2 4 2 5 5" xfId="24004"/>
    <cellStyle name="20% - Accent1 2 2 4 2 5 6" xfId="28190"/>
    <cellStyle name="20% - Accent1 2 2 4 2 5 7" xfId="32069"/>
    <cellStyle name="20% - Accent1 2 2 4 2 6" xfId="7198"/>
    <cellStyle name="20% - Accent1 2 2 4 2 7" xfId="11490"/>
    <cellStyle name="20% - Accent1 2 2 4 2 8" xfId="15768"/>
    <cellStyle name="20% - Accent1 2 2 4 2 9" xfId="20025"/>
    <cellStyle name="20% - Accent1 2 2 4 3" xfId="1229"/>
    <cellStyle name="20% - Accent1 2 2 4 3 2" xfId="5260"/>
    <cellStyle name="20% - Accent1 2 2 4 3 2 2" xfId="10234"/>
    <cellStyle name="20% - Accent1 2 2 4 3 2 3" xfId="14511"/>
    <cellStyle name="20% - Accent1 2 2 4 3 2 4" xfId="18770"/>
    <cellStyle name="20% - Accent1 2 2 4 3 2 5" xfId="22989"/>
    <cellStyle name="20% - Accent1 2 2 4 3 2 6" xfId="27184"/>
    <cellStyle name="20% - Accent1 2 2 4 3 2 7" xfId="31080"/>
    <cellStyle name="20% - Accent1 2 2 4 3 3" xfId="8469"/>
    <cellStyle name="20% - Accent1 2 2 4 3 4" xfId="12754"/>
    <cellStyle name="20% - Accent1 2 2 4 3 5" xfId="17026"/>
    <cellStyle name="20% - Accent1 2 2 4 3 6" xfId="21261"/>
    <cellStyle name="20% - Accent1 2 2 4 3 7" xfId="25499"/>
    <cellStyle name="20% - Accent1 2 2 4 3 8" xfId="29577"/>
    <cellStyle name="20% - Accent1 2 2 4 3 9" xfId="3493"/>
    <cellStyle name="20% - Accent1 2 2 4 4" xfId="2636"/>
    <cellStyle name="20% - Accent1 2 2 4 4 2" xfId="7613"/>
    <cellStyle name="20% - Accent1 2 2 4 4 3" xfId="11902"/>
    <cellStyle name="20% - Accent1 2 2 4 4 4" xfId="16178"/>
    <cellStyle name="20% - Accent1 2 2 4 4 5" xfId="20420"/>
    <cellStyle name="20% - Accent1 2 2 4 4 6" xfId="24667"/>
    <cellStyle name="20% - Accent1 2 2 4 4 7" xfId="28770"/>
    <cellStyle name="20% - Accent1 2 2 4 5" xfId="4602"/>
    <cellStyle name="20% - Accent1 2 2 4 5 2" xfId="9576"/>
    <cellStyle name="20% - Accent1 2 2 4 5 3" xfId="13853"/>
    <cellStyle name="20% - Accent1 2 2 4 5 4" xfId="18113"/>
    <cellStyle name="20% - Accent1 2 2 4 5 5" xfId="22331"/>
    <cellStyle name="20% - Accent1 2 2 4 5 6" xfId="26527"/>
    <cellStyle name="20% - Accent1 2 2 4 5 7" xfId="30423"/>
    <cellStyle name="20% - Accent1 2 2 4 6" xfId="5951"/>
    <cellStyle name="20% - Accent1 2 2 4 6 2" xfId="10923"/>
    <cellStyle name="20% - Accent1 2 2 4 6 3" xfId="15201"/>
    <cellStyle name="20% - Accent1 2 2 4 6 4" xfId="19458"/>
    <cellStyle name="20% - Accent1 2 2 4 6 5" xfId="23675"/>
    <cellStyle name="20% - Accent1 2 2 4 6 6" xfId="27861"/>
    <cellStyle name="20% - Accent1 2 2 4 6 7" xfId="31740"/>
    <cellStyle name="20% - Accent1 2 2 4 7" xfId="6825"/>
    <cellStyle name="20% - Accent1 2 2 4 8" xfId="6864"/>
    <cellStyle name="20% - Accent1 2 2 4 9" xfId="7411"/>
    <cellStyle name="20% - Accent1 2 2 5" xfId="628"/>
    <cellStyle name="20% - Accent1 2 2 5 10" xfId="17536"/>
    <cellStyle name="20% - Accent1 2 2 5 11" xfId="11640"/>
    <cellStyle name="20% - Accent1 2 2 5 12" xfId="26001"/>
    <cellStyle name="20% - Accent1 2 2 5 13" xfId="1947"/>
    <cellStyle name="20% - Accent1 2 2 5 2" xfId="1285"/>
    <cellStyle name="20% - Accent1 2 2 5 2 10" xfId="2663"/>
    <cellStyle name="20% - Accent1 2 2 5 2 2" xfId="3520"/>
    <cellStyle name="20% - Accent1 2 2 5 2 2 2" xfId="8496"/>
    <cellStyle name="20% - Accent1 2 2 5 2 2 3" xfId="12781"/>
    <cellStyle name="20% - Accent1 2 2 5 2 2 4" xfId="17053"/>
    <cellStyle name="20% - Accent1 2 2 5 2 2 5" xfId="21288"/>
    <cellStyle name="20% - Accent1 2 2 5 2 2 6" xfId="25526"/>
    <cellStyle name="20% - Accent1 2 2 5 2 2 7" xfId="29604"/>
    <cellStyle name="20% - Accent1 2 2 5 2 3" xfId="5316"/>
    <cellStyle name="20% - Accent1 2 2 5 2 3 2" xfId="10290"/>
    <cellStyle name="20% - Accent1 2 2 5 2 3 3" xfId="14567"/>
    <cellStyle name="20% - Accent1 2 2 5 2 3 4" xfId="18826"/>
    <cellStyle name="20% - Accent1 2 2 5 2 3 5" xfId="23045"/>
    <cellStyle name="20% - Accent1 2 2 5 2 3 6" xfId="27240"/>
    <cellStyle name="20% - Accent1 2 2 5 2 3 7" xfId="31136"/>
    <cellStyle name="20% - Accent1 2 2 5 2 4" xfId="7640"/>
    <cellStyle name="20% - Accent1 2 2 5 2 5" xfId="11929"/>
    <cellStyle name="20% - Accent1 2 2 5 2 6" xfId="16205"/>
    <cellStyle name="20% - Accent1 2 2 5 2 7" xfId="20447"/>
    <cellStyle name="20% - Accent1 2 2 5 2 8" xfId="24694"/>
    <cellStyle name="20% - Accent1 2 2 5 2 9" xfId="28797"/>
    <cellStyle name="20% - Accent1 2 2 5 3" xfId="3519"/>
    <cellStyle name="20% - Accent1 2 2 5 3 2" xfId="8495"/>
    <cellStyle name="20% - Accent1 2 2 5 3 3" xfId="12780"/>
    <cellStyle name="20% - Accent1 2 2 5 3 4" xfId="17052"/>
    <cellStyle name="20% - Accent1 2 2 5 3 5" xfId="21287"/>
    <cellStyle name="20% - Accent1 2 2 5 3 6" xfId="25525"/>
    <cellStyle name="20% - Accent1 2 2 5 3 7" xfId="29603"/>
    <cellStyle name="20% - Accent1 2 2 5 4" xfId="2662"/>
    <cellStyle name="20% - Accent1 2 2 5 4 2" xfId="7639"/>
    <cellStyle name="20% - Accent1 2 2 5 4 3" xfId="11928"/>
    <cellStyle name="20% - Accent1 2 2 5 4 4" xfId="16204"/>
    <cellStyle name="20% - Accent1 2 2 5 4 5" xfId="20446"/>
    <cellStyle name="20% - Accent1 2 2 5 4 6" xfId="24693"/>
    <cellStyle name="20% - Accent1 2 2 5 4 7" xfId="28796"/>
    <cellStyle name="20% - Accent1 2 2 5 5" xfId="4659"/>
    <cellStyle name="20% - Accent1 2 2 5 5 2" xfId="9633"/>
    <cellStyle name="20% - Accent1 2 2 5 5 3" xfId="13910"/>
    <cellStyle name="20% - Accent1 2 2 5 5 4" xfId="18169"/>
    <cellStyle name="20% - Accent1 2 2 5 5 5" xfId="22388"/>
    <cellStyle name="20% - Accent1 2 2 5 5 6" xfId="26583"/>
    <cellStyle name="20% - Accent1 2 2 5 5 7" xfId="30479"/>
    <cellStyle name="20% - Accent1 2 2 5 6" xfId="6007"/>
    <cellStyle name="20% - Accent1 2 2 5 6 2" xfId="10979"/>
    <cellStyle name="20% - Accent1 2 2 5 6 3" xfId="15257"/>
    <cellStyle name="20% - Accent1 2 2 5 6 4" xfId="19514"/>
    <cellStyle name="20% - Accent1 2 2 5 6 5" xfId="23731"/>
    <cellStyle name="20% - Accent1 2 2 5 6 6" xfId="27917"/>
    <cellStyle name="20% - Accent1 2 2 5 6 7" xfId="31796"/>
    <cellStyle name="20% - Accent1 2 2 5 7" xfId="6925"/>
    <cellStyle name="20% - Accent1 2 2 5 8" xfId="8980"/>
    <cellStyle name="20% - Accent1 2 2 5 9" xfId="13262"/>
    <cellStyle name="20% - Accent1 2 2 6" xfId="956"/>
    <cellStyle name="20% - Accent1 2 2 6 10" xfId="2664"/>
    <cellStyle name="20% - Accent1 2 2 6 2" xfId="3521"/>
    <cellStyle name="20% - Accent1 2 2 6 2 2" xfId="8497"/>
    <cellStyle name="20% - Accent1 2 2 6 2 3" xfId="12782"/>
    <cellStyle name="20% - Accent1 2 2 6 2 4" xfId="17054"/>
    <cellStyle name="20% - Accent1 2 2 6 2 5" xfId="21289"/>
    <cellStyle name="20% - Accent1 2 2 6 2 6" xfId="25527"/>
    <cellStyle name="20% - Accent1 2 2 6 2 7" xfId="29605"/>
    <cellStyle name="20% - Accent1 2 2 6 3" xfId="4987"/>
    <cellStyle name="20% - Accent1 2 2 6 3 2" xfId="9961"/>
    <cellStyle name="20% - Accent1 2 2 6 3 3" xfId="14238"/>
    <cellStyle name="20% - Accent1 2 2 6 3 4" xfId="18497"/>
    <cellStyle name="20% - Accent1 2 2 6 3 5" xfId="22716"/>
    <cellStyle name="20% - Accent1 2 2 6 3 6" xfId="26911"/>
    <cellStyle name="20% - Accent1 2 2 6 3 7" xfId="30807"/>
    <cellStyle name="20% - Accent1 2 2 6 4" xfId="7641"/>
    <cellStyle name="20% - Accent1 2 2 6 5" xfId="11930"/>
    <cellStyle name="20% - Accent1 2 2 6 6" xfId="16206"/>
    <cellStyle name="20% - Accent1 2 2 6 7" xfId="20448"/>
    <cellStyle name="20% - Accent1 2 2 6 8" xfId="24695"/>
    <cellStyle name="20% - Accent1 2 2 6 9" xfId="28798"/>
    <cellStyle name="20% - Accent1 2 2 7" xfId="3199"/>
    <cellStyle name="20% - Accent1 2 2 7 2" xfId="8175"/>
    <cellStyle name="20% - Accent1 2 2 7 3" xfId="12461"/>
    <cellStyle name="20% - Accent1 2 2 7 4" xfId="16735"/>
    <cellStyle name="20% - Accent1 2 2 7 5" xfId="20971"/>
    <cellStyle name="20% - Accent1 2 2 7 6" xfId="25211"/>
    <cellStyle name="20% - Accent1 2 2 7 7" xfId="29292"/>
    <cellStyle name="20% - Accent1 2 2 8" xfId="2296"/>
    <cellStyle name="20% - Accent1 2 2 8 2" xfId="7274"/>
    <cellStyle name="20% - Accent1 2 2 8 3" xfId="11564"/>
    <cellStyle name="20% - Accent1 2 2 8 4" xfId="15842"/>
    <cellStyle name="20% - Accent1 2 2 8 5" xfId="20095"/>
    <cellStyle name="20% - Accent1 2 2 8 6" xfId="24346"/>
    <cellStyle name="20% - Accent1 2 2 8 7" xfId="28483"/>
    <cellStyle name="20% - Accent1 2 2 9" xfId="4324"/>
    <cellStyle name="20% - Accent1 2 2 9 2" xfId="9298"/>
    <cellStyle name="20% - Accent1 2 2 9 3" xfId="13575"/>
    <cellStyle name="20% - Accent1 2 2 9 4" xfId="17835"/>
    <cellStyle name="20% - Accent1 2 2 9 5" xfId="22054"/>
    <cellStyle name="20% - Accent1 2 2 9 6" xfId="26252"/>
    <cellStyle name="20% - Accent1 2 2 9 7" xfId="30149"/>
    <cellStyle name="20% - Accent1 2 3" xfId="231"/>
    <cellStyle name="20% - Accent1 2 3 10" xfId="9070"/>
    <cellStyle name="20% - Accent1 2 3 11" xfId="13352"/>
    <cellStyle name="20% - Accent1 2 3 12" xfId="21897"/>
    <cellStyle name="20% - Accent1 2 3 13" xfId="16773"/>
    <cellStyle name="20% - Accent1 2 3 14" xfId="1638"/>
    <cellStyle name="20% - Accent1 2 3 2" xfId="445"/>
    <cellStyle name="20% - Accent1 2 3 2 10" xfId="17705"/>
    <cellStyle name="20% - Accent1 2 3 2 11" xfId="20755"/>
    <cellStyle name="20% - Accent1 2 3 2 12" xfId="26137"/>
    <cellStyle name="20% - Accent1 2 3 2 13" xfId="1808"/>
    <cellStyle name="20% - Accent1 2 3 2 2" xfId="819"/>
    <cellStyle name="20% - Accent1 2 3 2 2 10" xfId="24194"/>
    <cellStyle name="20% - Accent1 2 3 2 2 11" xfId="28346"/>
    <cellStyle name="20% - Accent1 2 3 2 2 12" xfId="2138"/>
    <cellStyle name="20% - Accent1 2 3 2 2 2" xfId="1476"/>
    <cellStyle name="20% - Accent1 2 3 2 2 2 2" xfId="5507"/>
    <cellStyle name="20% - Accent1 2 3 2 2 2 2 2" xfId="10481"/>
    <cellStyle name="20% - Accent1 2 3 2 2 2 2 3" xfId="14758"/>
    <cellStyle name="20% - Accent1 2 3 2 2 2 2 4" xfId="19017"/>
    <cellStyle name="20% - Accent1 2 3 2 2 2 2 5" xfId="23236"/>
    <cellStyle name="20% - Accent1 2 3 2 2 2 2 6" xfId="27431"/>
    <cellStyle name="20% - Accent1 2 3 2 2 2 2 7" xfId="31327"/>
    <cellStyle name="20% - Accent1 2 3 2 2 2 3" xfId="8498"/>
    <cellStyle name="20% - Accent1 2 3 2 2 2 4" xfId="12783"/>
    <cellStyle name="20% - Accent1 2 3 2 2 2 5" xfId="17055"/>
    <cellStyle name="20% - Accent1 2 3 2 2 2 6" xfId="21290"/>
    <cellStyle name="20% - Accent1 2 3 2 2 2 7" xfId="25528"/>
    <cellStyle name="20% - Accent1 2 3 2 2 2 8" xfId="29606"/>
    <cellStyle name="20% - Accent1 2 3 2 2 2 9" xfId="3522"/>
    <cellStyle name="20% - Accent1 2 3 2 2 3" xfId="2665"/>
    <cellStyle name="20% - Accent1 2 3 2 2 3 2" xfId="7642"/>
    <cellStyle name="20% - Accent1 2 3 2 2 3 3" xfId="11931"/>
    <cellStyle name="20% - Accent1 2 3 2 2 3 4" xfId="16207"/>
    <cellStyle name="20% - Accent1 2 3 2 2 3 5" xfId="20449"/>
    <cellStyle name="20% - Accent1 2 3 2 2 3 6" xfId="24696"/>
    <cellStyle name="20% - Accent1 2 3 2 2 3 7" xfId="28799"/>
    <cellStyle name="20% - Accent1 2 3 2 2 4" xfId="4850"/>
    <cellStyle name="20% - Accent1 2 3 2 2 4 2" xfId="9824"/>
    <cellStyle name="20% - Accent1 2 3 2 2 4 3" xfId="14101"/>
    <cellStyle name="20% - Accent1 2 3 2 2 4 4" xfId="18360"/>
    <cellStyle name="20% - Accent1 2 3 2 2 4 5" xfId="22579"/>
    <cellStyle name="20% - Accent1 2 3 2 2 4 6" xfId="26774"/>
    <cellStyle name="20% - Accent1 2 3 2 2 4 7" xfId="30670"/>
    <cellStyle name="20% - Accent1 2 3 2 2 5" xfId="6198"/>
    <cellStyle name="20% - Accent1 2 3 2 2 5 2" xfId="11170"/>
    <cellStyle name="20% - Accent1 2 3 2 2 5 3" xfId="15448"/>
    <cellStyle name="20% - Accent1 2 3 2 2 5 4" xfId="19705"/>
    <cellStyle name="20% - Accent1 2 3 2 2 5 5" xfId="23922"/>
    <cellStyle name="20% - Accent1 2 3 2 2 5 6" xfId="28108"/>
    <cellStyle name="20% - Accent1 2 3 2 2 5 7" xfId="31987"/>
    <cellStyle name="20% - Accent1 2 3 2 2 6" xfId="7116"/>
    <cellStyle name="20% - Accent1 2 3 2 2 7" xfId="11408"/>
    <cellStyle name="20% - Accent1 2 3 2 2 8" xfId="15686"/>
    <cellStyle name="20% - Accent1 2 3 2 2 9" xfId="19943"/>
    <cellStyle name="20% - Accent1 2 3 2 3" xfId="1147"/>
    <cellStyle name="20% - Accent1 2 3 2 3 2" xfId="5178"/>
    <cellStyle name="20% - Accent1 2 3 2 3 2 2" xfId="10152"/>
    <cellStyle name="20% - Accent1 2 3 2 3 2 3" xfId="14429"/>
    <cellStyle name="20% - Accent1 2 3 2 3 2 4" xfId="18688"/>
    <cellStyle name="20% - Accent1 2 3 2 3 2 5" xfId="22907"/>
    <cellStyle name="20% - Accent1 2 3 2 3 2 6" xfId="27102"/>
    <cellStyle name="20% - Accent1 2 3 2 3 2 7" xfId="30998"/>
    <cellStyle name="20% - Accent1 2 3 2 3 3" xfId="8373"/>
    <cellStyle name="20% - Accent1 2 3 2 3 4" xfId="12658"/>
    <cellStyle name="20% - Accent1 2 3 2 3 5" xfId="16930"/>
    <cellStyle name="20% - Accent1 2 3 2 3 6" xfId="21165"/>
    <cellStyle name="20% - Accent1 2 3 2 3 7" xfId="25403"/>
    <cellStyle name="20% - Accent1 2 3 2 3 8" xfId="29481"/>
    <cellStyle name="20% - Accent1 2 3 2 3 9" xfId="3397"/>
    <cellStyle name="20% - Accent1 2 3 2 4" xfId="2536"/>
    <cellStyle name="20% - Accent1 2 3 2 4 2" xfId="7513"/>
    <cellStyle name="20% - Accent1 2 3 2 4 3" xfId="11802"/>
    <cellStyle name="20% - Accent1 2 3 2 4 4" xfId="16080"/>
    <cellStyle name="20% - Accent1 2 3 2 4 5" xfId="20323"/>
    <cellStyle name="20% - Accent1 2 3 2 4 6" xfId="24569"/>
    <cellStyle name="20% - Accent1 2 3 2 4 7" xfId="28674"/>
    <cellStyle name="20% - Accent1 2 3 2 5" xfId="4520"/>
    <cellStyle name="20% - Accent1 2 3 2 5 2" xfId="9494"/>
    <cellStyle name="20% - Accent1 2 3 2 5 3" xfId="13771"/>
    <cellStyle name="20% - Accent1 2 3 2 5 4" xfId="18031"/>
    <cellStyle name="20% - Accent1 2 3 2 5 5" xfId="22249"/>
    <cellStyle name="20% - Accent1 2 3 2 5 6" xfId="26445"/>
    <cellStyle name="20% - Accent1 2 3 2 5 7" xfId="30341"/>
    <cellStyle name="20% - Accent1 2 3 2 6" xfId="5869"/>
    <cellStyle name="20% - Accent1 2 3 2 6 2" xfId="10841"/>
    <cellStyle name="20% - Accent1 2 3 2 6 3" xfId="15119"/>
    <cellStyle name="20% - Accent1 2 3 2 6 4" xfId="19376"/>
    <cellStyle name="20% - Accent1 2 3 2 6 5" xfId="23593"/>
    <cellStyle name="20% - Accent1 2 3 2 6 6" xfId="27779"/>
    <cellStyle name="20% - Accent1 2 3 2 6 7" xfId="31658"/>
    <cellStyle name="20% - Accent1 2 3 2 7" xfId="6743"/>
    <cellStyle name="20% - Accent1 2 3 2 8" xfId="9159"/>
    <cellStyle name="20% - Accent1 2 3 2 9" xfId="13439"/>
    <cellStyle name="20% - Accent1 2 3 3" xfId="652"/>
    <cellStyle name="20% - Accent1 2 3 3 10" xfId="24027"/>
    <cellStyle name="20% - Accent1 2 3 3 11" xfId="20929"/>
    <cellStyle name="20% - Accent1 2 3 3 12" xfId="1971"/>
    <cellStyle name="20% - Accent1 2 3 3 2" xfId="1309"/>
    <cellStyle name="20% - Accent1 2 3 3 2 2" xfId="5340"/>
    <cellStyle name="20% - Accent1 2 3 3 2 2 2" xfId="10314"/>
    <cellStyle name="20% - Accent1 2 3 3 2 2 3" xfId="14591"/>
    <cellStyle name="20% - Accent1 2 3 3 2 2 4" xfId="18850"/>
    <cellStyle name="20% - Accent1 2 3 3 2 2 5" xfId="23069"/>
    <cellStyle name="20% - Accent1 2 3 3 2 2 6" xfId="27264"/>
    <cellStyle name="20% - Accent1 2 3 3 2 2 7" xfId="31160"/>
    <cellStyle name="20% - Accent1 2 3 3 2 3" xfId="8499"/>
    <cellStyle name="20% - Accent1 2 3 3 2 4" xfId="12784"/>
    <cellStyle name="20% - Accent1 2 3 3 2 5" xfId="17056"/>
    <cellStyle name="20% - Accent1 2 3 3 2 6" xfId="21291"/>
    <cellStyle name="20% - Accent1 2 3 3 2 7" xfId="25529"/>
    <cellStyle name="20% - Accent1 2 3 3 2 8" xfId="29607"/>
    <cellStyle name="20% - Accent1 2 3 3 2 9" xfId="3523"/>
    <cellStyle name="20% - Accent1 2 3 3 3" xfId="2666"/>
    <cellStyle name="20% - Accent1 2 3 3 3 2" xfId="7643"/>
    <cellStyle name="20% - Accent1 2 3 3 3 3" xfId="11932"/>
    <cellStyle name="20% - Accent1 2 3 3 3 4" xfId="16208"/>
    <cellStyle name="20% - Accent1 2 3 3 3 5" xfId="20450"/>
    <cellStyle name="20% - Accent1 2 3 3 3 6" xfId="24697"/>
    <cellStyle name="20% - Accent1 2 3 3 3 7" xfId="28800"/>
    <cellStyle name="20% - Accent1 2 3 3 4" xfId="4683"/>
    <cellStyle name="20% - Accent1 2 3 3 4 2" xfId="9657"/>
    <cellStyle name="20% - Accent1 2 3 3 4 3" xfId="13934"/>
    <cellStyle name="20% - Accent1 2 3 3 4 4" xfId="18193"/>
    <cellStyle name="20% - Accent1 2 3 3 4 5" xfId="22412"/>
    <cellStyle name="20% - Accent1 2 3 3 4 6" xfId="26607"/>
    <cellStyle name="20% - Accent1 2 3 3 4 7" xfId="30503"/>
    <cellStyle name="20% - Accent1 2 3 3 5" xfId="6031"/>
    <cellStyle name="20% - Accent1 2 3 3 5 2" xfId="11003"/>
    <cellStyle name="20% - Accent1 2 3 3 5 3" xfId="15281"/>
    <cellStyle name="20% - Accent1 2 3 3 5 4" xfId="19538"/>
    <cellStyle name="20% - Accent1 2 3 3 5 5" xfId="23755"/>
    <cellStyle name="20% - Accent1 2 3 3 5 6" xfId="27941"/>
    <cellStyle name="20% - Accent1 2 3 3 5 7" xfId="31820"/>
    <cellStyle name="20% - Accent1 2 3 3 6" xfId="6949"/>
    <cellStyle name="20% - Accent1 2 3 3 7" xfId="6304"/>
    <cellStyle name="20% - Accent1 2 3 3 8" xfId="6482"/>
    <cellStyle name="20% - Accent1 2 3 3 9" xfId="6354"/>
    <cellStyle name="20% - Accent1 2 3 4" xfId="980"/>
    <cellStyle name="20% - Accent1 2 3 4 2" xfId="5011"/>
    <cellStyle name="20% - Accent1 2 3 4 2 2" xfId="9985"/>
    <cellStyle name="20% - Accent1 2 3 4 2 3" xfId="14262"/>
    <cellStyle name="20% - Accent1 2 3 4 2 4" xfId="18521"/>
    <cellStyle name="20% - Accent1 2 3 4 2 5" xfId="22740"/>
    <cellStyle name="20% - Accent1 2 3 4 2 6" xfId="26935"/>
    <cellStyle name="20% - Accent1 2 3 4 2 7" xfId="30831"/>
    <cellStyle name="20% - Accent1 2 3 4 3" xfId="8217"/>
    <cellStyle name="20% - Accent1 2 3 4 4" xfId="12502"/>
    <cellStyle name="20% - Accent1 2 3 4 5" xfId="16775"/>
    <cellStyle name="20% - Accent1 2 3 4 6" xfId="21013"/>
    <cellStyle name="20% - Accent1 2 3 4 7" xfId="25250"/>
    <cellStyle name="20% - Accent1 2 3 4 8" xfId="29329"/>
    <cellStyle name="20% - Accent1 2 3 4 9" xfId="3241"/>
    <cellStyle name="20% - Accent1 2 3 5" xfId="2355"/>
    <cellStyle name="20% - Accent1 2 3 5 2" xfId="7333"/>
    <cellStyle name="20% - Accent1 2 3 5 3" xfId="11622"/>
    <cellStyle name="20% - Accent1 2 3 5 4" xfId="15901"/>
    <cellStyle name="20% - Accent1 2 3 5 5" xfId="20151"/>
    <cellStyle name="20% - Accent1 2 3 5 6" xfId="24398"/>
    <cellStyle name="20% - Accent1 2 3 5 7" xfId="28521"/>
    <cellStyle name="20% - Accent1 2 3 6" xfId="4352"/>
    <cellStyle name="20% - Accent1 2 3 6 2" xfId="9326"/>
    <cellStyle name="20% - Accent1 2 3 6 3" xfId="13603"/>
    <cellStyle name="20% - Accent1 2 3 6 4" xfId="17863"/>
    <cellStyle name="20% - Accent1 2 3 6 5" xfId="22082"/>
    <cellStyle name="20% - Accent1 2 3 6 6" xfId="26278"/>
    <cellStyle name="20% - Accent1 2 3 6 7" xfId="30174"/>
    <cellStyle name="20% - Accent1 2 3 7" xfId="5702"/>
    <cellStyle name="20% - Accent1 2 3 7 2" xfId="10674"/>
    <cellStyle name="20% - Accent1 2 3 7 3" xfId="14952"/>
    <cellStyle name="20% - Accent1 2 3 7 4" xfId="19209"/>
    <cellStyle name="20% - Accent1 2 3 7 5" xfId="23426"/>
    <cellStyle name="20% - Accent1 2 3 7 6" xfId="27612"/>
    <cellStyle name="20% - Accent1 2 3 7 7" xfId="31491"/>
    <cellStyle name="20% - Accent1 2 3 8" xfId="6529"/>
    <cellStyle name="20% - Accent1 2 3 9" xfId="6449"/>
    <cellStyle name="20% - Accent1 2 4" xfId="379"/>
    <cellStyle name="20% - Accent1 2 4 10" xfId="13266"/>
    <cellStyle name="20% - Accent1 2 4 11" xfId="17540"/>
    <cellStyle name="20% - Accent1 2 4 12" xfId="21785"/>
    <cellStyle name="20% - Accent1 2 4 13" xfId="26004"/>
    <cellStyle name="20% - Accent1 2 4 14" xfId="1742"/>
    <cellStyle name="20% - Accent1 2 4 2" xfId="753"/>
    <cellStyle name="20% - Accent1 2 4 2 10" xfId="24128"/>
    <cellStyle name="20% - Accent1 2 4 2 11" xfId="28280"/>
    <cellStyle name="20% - Accent1 2 4 2 12" xfId="2072"/>
    <cellStyle name="20% - Accent1 2 4 2 2" xfId="1410"/>
    <cellStyle name="20% - Accent1 2 4 2 2 2" xfId="5441"/>
    <cellStyle name="20% - Accent1 2 4 2 2 2 2" xfId="10415"/>
    <cellStyle name="20% - Accent1 2 4 2 2 2 3" xfId="14692"/>
    <cellStyle name="20% - Accent1 2 4 2 2 2 4" xfId="18951"/>
    <cellStyle name="20% - Accent1 2 4 2 2 2 5" xfId="23170"/>
    <cellStyle name="20% - Accent1 2 4 2 2 2 6" xfId="27365"/>
    <cellStyle name="20% - Accent1 2 4 2 2 2 7" xfId="31261"/>
    <cellStyle name="20% - Accent1 2 4 2 2 3" xfId="8500"/>
    <cellStyle name="20% - Accent1 2 4 2 2 4" xfId="12785"/>
    <cellStyle name="20% - Accent1 2 4 2 2 5" xfId="17057"/>
    <cellStyle name="20% - Accent1 2 4 2 2 6" xfId="21292"/>
    <cellStyle name="20% - Accent1 2 4 2 2 7" xfId="25530"/>
    <cellStyle name="20% - Accent1 2 4 2 2 8" xfId="29608"/>
    <cellStyle name="20% - Accent1 2 4 2 2 9" xfId="3524"/>
    <cellStyle name="20% - Accent1 2 4 2 3" xfId="2667"/>
    <cellStyle name="20% - Accent1 2 4 2 3 2" xfId="7644"/>
    <cellStyle name="20% - Accent1 2 4 2 3 3" xfId="11933"/>
    <cellStyle name="20% - Accent1 2 4 2 3 4" xfId="16209"/>
    <cellStyle name="20% - Accent1 2 4 2 3 5" xfId="20451"/>
    <cellStyle name="20% - Accent1 2 4 2 3 6" xfId="24698"/>
    <cellStyle name="20% - Accent1 2 4 2 3 7" xfId="28801"/>
    <cellStyle name="20% - Accent1 2 4 2 4" xfId="4784"/>
    <cellStyle name="20% - Accent1 2 4 2 4 2" xfId="9758"/>
    <cellStyle name="20% - Accent1 2 4 2 4 3" xfId="14035"/>
    <cellStyle name="20% - Accent1 2 4 2 4 4" xfId="18294"/>
    <cellStyle name="20% - Accent1 2 4 2 4 5" xfId="22513"/>
    <cellStyle name="20% - Accent1 2 4 2 4 6" xfId="26708"/>
    <cellStyle name="20% - Accent1 2 4 2 4 7" xfId="30604"/>
    <cellStyle name="20% - Accent1 2 4 2 5" xfId="6132"/>
    <cellStyle name="20% - Accent1 2 4 2 5 2" xfId="11104"/>
    <cellStyle name="20% - Accent1 2 4 2 5 3" xfId="15382"/>
    <cellStyle name="20% - Accent1 2 4 2 5 4" xfId="19639"/>
    <cellStyle name="20% - Accent1 2 4 2 5 5" xfId="23856"/>
    <cellStyle name="20% - Accent1 2 4 2 5 6" xfId="28042"/>
    <cellStyle name="20% - Accent1 2 4 2 5 7" xfId="31921"/>
    <cellStyle name="20% - Accent1 2 4 2 6" xfId="7050"/>
    <cellStyle name="20% - Accent1 2 4 2 7" xfId="11342"/>
    <cellStyle name="20% - Accent1 2 4 2 8" xfId="15620"/>
    <cellStyle name="20% - Accent1 2 4 2 9" xfId="19877"/>
    <cellStyle name="20% - Accent1 2 4 3" xfId="1081"/>
    <cellStyle name="20% - Accent1 2 4 3 2" xfId="5112"/>
    <cellStyle name="20% - Accent1 2 4 3 2 2" xfId="10086"/>
    <cellStyle name="20% - Accent1 2 4 3 2 3" xfId="14363"/>
    <cellStyle name="20% - Accent1 2 4 3 2 4" xfId="18622"/>
    <cellStyle name="20% - Accent1 2 4 3 2 5" xfId="22841"/>
    <cellStyle name="20% - Accent1 2 4 3 2 6" xfId="27036"/>
    <cellStyle name="20% - Accent1 2 4 3 2 7" xfId="30932"/>
    <cellStyle name="20% - Accent1 2 4 3 3" xfId="8307"/>
    <cellStyle name="20% - Accent1 2 4 3 4" xfId="12592"/>
    <cellStyle name="20% - Accent1 2 4 3 5" xfId="16864"/>
    <cellStyle name="20% - Accent1 2 4 3 6" xfId="21099"/>
    <cellStyle name="20% - Accent1 2 4 3 7" xfId="25337"/>
    <cellStyle name="20% - Accent1 2 4 3 8" xfId="29415"/>
    <cellStyle name="20% - Accent1 2 4 3 9" xfId="3331"/>
    <cellStyle name="20% - Accent1 2 4 4" xfId="2470"/>
    <cellStyle name="20% - Accent1 2 4 4 2" xfId="7447"/>
    <cellStyle name="20% - Accent1 2 4 4 3" xfId="11736"/>
    <cellStyle name="20% - Accent1 2 4 4 4" xfId="16014"/>
    <cellStyle name="20% - Accent1 2 4 4 5" xfId="20257"/>
    <cellStyle name="20% - Accent1 2 4 4 6" xfId="24503"/>
    <cellStyle name="20% - Accent1 2 4 4 7" xfId="28608"/>
    <cellStyle name="20% - Accent1 2 4 5" xfId="4089"/>
    <cellStyle name="20% - Accent1 2 4 6" xfId="4454"/>
    <cellStyle name="20% - Accent1 2 4 6 2" xfId="9428"/>
    <cellStyle name="20% - Accent1 2 4 6 3" xfId="13705"/>
    <cellStyle name="20% - Accent1 2 4 6 4" xfId="17965"/>
    <cellStyle name="20% - Accent1 2 4 6 5" xfId="22183"/>
    <cellStyle name="20% - Accent1 2 4 6 6" xfId="26379"/>
    <cellStyle name="20% - Accent1 2 4 6 7" xfId="30275"/>
    <cellStyle name="20% - Accent1 2 4 7" xfId="5803"/>
    <cellStyle name="20% - Accent1 2 4 7 2" xfId="10775"/>
    <cellStyle name="20% - Accent1 2 4 7 3" xfId="15053"/>
    <cellStyle name="20% - Accent1 2 4 7 4" xfId="19310"/>
    <cellStyle name="20% - Accent1 2 4 7 5" xfId="23527"/>
    <cellStyle name="20% - Accent1 2 4 7 6" xfId="27713"/>
    <cellStyle name="20% - Accent1 2 4 7 7" xfId="31592"/>
    <cellStyle name="20% - Accent1 2 4 8" xfId="6677"/>
    <cellStyle name="20% - Accent1 2 4 9" xfId="8984"/>
    <cellStyle name="20% - Accent1 2 5" xfId="494"/>
    <cellStyle name="20% - Accent1 2 5 10" xfId="19129"/>
    <cellStyle name="20% - Accent1 2 5 11" xfId="13432"/>
    <cellStyle name="20% - Accent1 2 5 12" xfId="27540"/>
    <cellStyle name="20% - Accent1 2 5 13" xfId="1857"/>
    <cellStyle name="20% - Accent1 2 5 2" xfId="868"/>
    <cellStyle name="20% - Accent1 2 5 2 10" xfId="24243"/>
    <cellStyle name="20% - Accent1 2 5 2 11" xfId="28395"/>
    <cellStyle name="20% - Accent1 2 5 2 12" xfId="2187"/>
    <cellStyle name="20% - Accent1 2 5 2 2" xfId="1525"/>
    <cellStyle name="20% - Accent1 2 5 2 2 2" xfId="5556"/>
    <cellStyle name="20% - Accent1 2 5 2 2 2 2" xfId="10530"/>
    <cellStyle name="20% - Accent1 2 5 2 2 2 3" xfId="14807"/>
    <cellStyle name="20% - Accent1 2 5 2 2 2 4" xfId="19066"/>
    <cellStyle name="20% - Accent1 2 5 2 2 2 5" xfId="23285"/>
    <cellStyle name="20% - Accent1 2 5 2 2 2 6" xfId="27480"/>
    <cellStyle name="20% - Accent1 2 5 2 2 2 7" xfId="31376"/>
    <cellStyle name="20% - Accent1 2 5 2 2 3" xfId="8501"/>
    <cellStyle name="20% - Accent1 2 5 2 2 4" xfId="12786"/>
    <cellStyle name="20% - Accent1 2 5 2 2 5" xfId="17058"/>
    <cellStyle name="20% - Accent1 2 5 2 2 6" xfId="21293"/>
    <cellStyle name="20% - Accent1 2 5 2 2 7" xfId="25531"/>
    <cellStyle name="20% - Accent1 2 5 2 2 8" xfId="29609"/>
    <cellStyle name="20% - Accent1 2 5 2 2 9" xfId="3525"/>
    <cellStyle name="20% - Accent1 2 5 2 3" xfId="2668"/>
    <cellStyle name="20% - Accent1 2 5 2 3 2" xfId="7645"/>
    <cellStyle name="20% - Accent1 2 5 2 3 3" xfId="11934"/>
    <cellStyle name="20% - Accent1 2 5 2 3 4" xfId="16210"/>
    <cellStyle name="20% - Accent1 2 5 2 3 5" xfId="20452"/>
    <cellStyle name="20% - Accent1 2 5 2 3 6" xfId="24699"/>
    <cellStyle name="20% - Accent1 2 5 2 3 7" xfId="28802"/>
    <cellStyle name="20% - Accent1 2 5 2 4" xfId="4899"/>
    <cellStyle name="20% - Accent1 2 5 2 4 2" xfId="9873"/>
    <cellStyle name="20% - Accent1 2 5 2 4 3" xfId="14150"/>
    <cellStyle name="20% - Accent1 2 5 2 4 4" xfId="18409"/>
    <cellStyle name="20% - Accent1 2 5 2 4 5" xfId="22628"/>
    <cellStyle name="20% - Accent1 2 5 2 4 6" xfId="26823"/>
    <cellStyle name="20% - Accent1 2 5 2 4 7" xfId="30719"/>
    <cellStyle name="20% - Accent1 2 5 2 5" xfId="6247"/>
    <cellStyle name="20% - Accent1 2 5 2 5 2" xfId="11219"/>
    <cellStyle name="20% - Accent1 2 5 2 5 3" xfId="15497"/>
    <cellStyle name="20% - Accent1 2 5 2 5 4" xfId="19754"/>
    <cellStyle name="20% - Accent1 2 5 2 5 5" xfId="23971"/>
    <cellStyle name="20% - Accent1 2 5 2 5 6" xfId="28157"/>
    <cellStyle name="20% - Accent1 2 5 2 5 7" xfId="32036"/>
    <cellStyle name="20% - Accent1 2 5 2 6" xfId="7165"/>
    <cellStyle name="20% - Accent1 2 5 2 7" xfId="11457"/>
    <cellStyle name="20% - Accent1 2 5 2 8" xfId="15735"/>
    <cellStyle name="20% - Accent1 2 5 2 9" xfId="19992"/>
    <cellStyle name="20% - Accent1 2 5 3" xfId="1196"/>
    <cellStyle name="20% - Accent1 2 5 3 2" xfId="5227"/>
    <cellStyle name="20% - Accent1 2 5 3 2 2" xfId="10201"/>
    <cellStyle name="20% - Accent1 2 5 3 2 3" xfId="14478"/>
    <cellStyle name="20% - Accent1 2 5 3 2 4" xfId="18737"/>
    <cellStyle name="20% - Accent1 2 5 3 2 5" xfId="22956"/>
    <cellStyle name="20% - Accent1 2 5 3 2 6" xfId="27151"/>
    <cellStyle name="20% - Accent1 2 5 3 2 7" xfId="31047"/>
    <cellStyle name="20% - Accent1 2 5 3 3" xfId="8437"/>
    <cellStyle name="20% - Accent1 2 5 3 4" xfId="12722"/>
    <cellStyle name="20% - Accent1 2 5 3 5" xfId="16994"/>
    <cellStyle name="20% - Accent1 2 5 3 6" xfId="21229"/>
    <cellStyle name="20% - Accent1 2 5 3 7" xfId="25467"/>
    <cellStyle name="20% - Accent1 2 5 3 8" xfId="29545"/>
    <cellStyle name="20% - Accent1 2 5 3 9" xfId="3461"/>
    <cellStyle name="20% - Accent1 2 5 4" xfId="2603"/>
    <cellStyle name="20% - Accent1 2 5 4 2" xfId="7580"/>
    <cellStyle name="20% - Accent1 2 5 4 3" xfId="11869"/>
    <cellStyle name="20% - Accent1 2 5 4 4" xfId="16145"/>
    <cellStyle name="20% - Accent1 2 5 4 5" xfId="20388"/>
    <cellStyle name="20% - Accent1 2 5 4 6" xfId="24634"/>
    <cellStyle name="20% - Accent1 2 5 4 7" xfId="28738"/>
    <cellStyle name="20% - Accent1 2 5 5" xfId="4569"/>
    <cellStyle name="20% - Accent1 2 5 5 2" xfId="9543"/>
    <cellStyle name="20% - Accent1 2 5 5 3" xfId="13820"/>
    <cellStyle name="20% - Accent1 2 5 5 4" xfId="18080"/>
    <cellStyle name="20% - Accent1 2 5 5 5" xfId="22298"/>
    <cellStyle name="20% - Accent1 2 5 5 6" xfId="26494"/>
    <cellStyle name="20% - Accent1 2 5 5 7" xfId="30390"/>
    <cellStyle name="20% - Accent1 2 5 6" xfId="5918"/>
    <cellStyle name="20% - Accent1 2 5 6 2" xfId="10890"/>
    <cellStyle name="20% - Accent1 2 5 6 3" xfId="15168"/>
    <cellStyle name="20% - Accent1 2 5 6 4" xfId="19425"/>
    <cellStyle name="20% - Accent1 2 5 6 5" xfId="23642"/>
    <cellStyle name="20% - Accent1 2 5 6 6" xfId="27828"/>
    <cellStyle name="20% - Accent1 2 5 6 7" xfId="31707"/>
    <cellStyle name="20% - Accent1 2 5 7" xfId="6792"/>
    <cellStyle name="20% - Accent1 2 5 8" xfId="10593"/>
    <cellStyle name="20% - Accent1 2 5 9" xfId="14871"/>
    <cellStyle name="20% - Accent1 2 6" xfId="595"/>
    <cellStyle name="20% - Accent1 2 6 10" xfId="15893"/>
    <cellStyle name="20% - Accent1 2 6 11" xfId="22000"/>
    <cellStyle name="20% - Accent1 2 6 12" xfId="24391"/>
    <cellStyle name="20% - Accent1 2 6 13" xfId="1914"/>
    <cellStyle name="20% - Accent1 2 6 2" xfId="1252"/>
    <cellStyle name="20% - Accent1 2 6 2 10" xfId="2670"/>
    <cellStyle name="20% - Accent1 2 6 2 2" xfId="3527"/>
    <cellStyle name="20% - Accent1 2 6 2 2 2" xfId="8503"/>
    <cellStyle name="20% - Accent1 2 6 2 2 3" xfId="12788"/>
    <cellStyle name="20% - Accent1 2 6 2 2 4" xfId="17060"/>
    <cellStyle name="20% - Accent1 2 6 2 2 5" xfId="21295"/>
    <cellStyle name="20% - Accent1 2 6 2 2 6" xfId="25533"/>
    <cellStyle name="20% - Accent1 2 6 2 2 7" xfId="29611"/>
    <cellStyle name="20% - Accent1 2 6 2 3" xfId="5283"/>
    <cellStyle name="20% - Accent1 2 6 2 3 2" xfId="10257"/>
    <cellStyle name="20% - Accent1 2 6 2 3 3" xfId="14534"/>
    <cellStyle name="20% - Accent1 2 6 2 3 4" xfId="18793"/>
    <cellStyle name="20% - Accent1 2 6 2 3 5" xfId="23012"/>
    <cellStyle name="20% - Accent1 2 6 2 3 6" xfId="27207"/>
    <cellStyle name="20% - Accent1 2 6 2 3 7" xfId="31103"/>
    <cellStyle name="20% - Accent1 2 6 2 4" xfId="7647"/>
    <cellStyle name="20% - Accent1 2 6 2 5" xfId="11936"/>
    <cellStyle name="20% - Accent1 2 6 2 6" xfId="16212"/>
    <cellStyle name="20% - Accent1 2 6 2 7" xfId="20454"/>
    <cellStyle name="20% - Accent1 2 6 2 8" xfId="24701"/>
    <cellStyle name="20% - Accent1 2 6 2 9" xfId="28804"/>
    <cellStyle name="20% - Accent1 2 6 3" xfId="3526"/>
    <cellStyle name="20% - Accent1 2 6 3 2" xfId="8502"/>
    <cellStyle name="20% - Accent1 2 6 3 3" xfId="12787"/>
    <cellStyle name="20% - Accent1 2 6 3 4" xfId="17059"/>
    <cellStyle name="20% - Accent1 2 6 3 5" xfId="21294"/>
    <cellStyle name="20% - Accent1 2 6 3 6" xfId="25532"/>
    <cellStyle name="20% - Accent1 2 6 3 7" xfId="29610"/>
    <cellStyle name="20% - Accent1 2 6 4" xfId="2669"/>
    <cellStyle name="20% - Accent1 2 6 4 2" xfId="7646"/>
    <cellStyle name="20% - Accent1 2 6 4 3" xfId="11935"/>
    <cellStyle name="20% - Accent1 2 6 4 4" xfId="16211"/>
    <cellStyle name="20% - Accent1 2 6 4 5" xfId="20453"/>
    <cellStyle name="20% - Accent1 2 6 4 6" xfId="24700"/>
    <cellStyle name="20% - Accent1 2 6 4 7" xfId="28803"/>
    <cellStyle name="20% - Accent1 2 6 5" xfId="4626"/>
    <cellStyle name="20% - Accent1 2 6 5 2" xfId="9600"/>
    <cellStyle name="20% - Accent1 2 6 5 3" xfId="13877"/>
    <cellStyle name="20% - Accent1 2 6 5 4" xfId="18136"/>
    <cellStyle name="20% - Accent1 2 6 5 5" xfId="22355"/>
    <cellStyle name="20% - Accent1 2 6 5 6" xfId="26550"/>
    <cellStyle name="20% - Accent1 2 6 5 7" xfId="30446"/>
    <cellStyle name="20% - Accent1 2 6 6" xfId="5974"/>
    <cellStyle name="20% - Accent1 2 6 6 2" xfId="10946"/>
    <cellStyle name="20% - Accent1 2 6 6 3" xfId="15224"/>
    <cellStyle name="20% - Accent1 2 6 6 4" xfId="19481"/>
    <cellStyle name="20% - Accent1 2 6 6 5" xfId="23698"/>
    <cellStyle name="20% - Accent1 2 6 6 6" xfId="27884"/>
    <cellStyle name="20% - Accent1 2 6 6 7" xfId="31763"/>
    <cellStyle name="20% - Accent1 2 6 7" xfId="6892"/>
    <cellStyle name="20% - Accent1 2 6 8" xfId="7325"/>
    <cellStyle name="20% - Accent1 2 6 9" xfId="11614"/>
    <cellStyle name="20% - Accent1 2 7" xfId="923"/>
    <cellStyle name="20% - Accent1 2 7 10" xfId="2671"/>
    <cellStyle name="20% - Accent1 2 7 2" xfId="3528"/>
    <cellStyle name="20% - Accent1 2 7 2 2" xfId="8504"/>
    <cellStyle name="20% - Accent1 2 7 2 3" xfId="12789"/>
    <cellStyle name="20% - Accent1 2 7 2 4" xfId="17061"/>
    <cellStyle name="20% - Accent1 2 7 2 5" xfId="21296"/>
    <cellStyle name="20% - Accent1 2 7 2 6" xfId="25534"/>
    <cellStyle name="20% - Accent1 2 7 2 7" xfId="29612"/>
    <cellStyle name="20% - Accent1 2 7 3" xfId="4954"/>
    <cellStyle name="20% - Accent1 2 7 3 2" xfId="9928"/>
    <cellStyle name="20% - Accent1 2 7 3 3" xfId="14205"/>
    <cellStyle name="20% - Accent1 2 7 3 4" xfId="18464"/>
    <cellStyle name="20% - Accent1 2 7 3 5" xfId="22683"/>
    <cellStyle name="20% - Accent1 2 7 3 6" xfId="26878"/>
    <cellStyle name="20% - Accent1 2 7 3 7" xfId="30774"/>
    <cellStyle name="20% - Accent1 2 7 4" xfId="7648"/>
    <cellStyle name="20% - Accent1 2 7 5" xfId="11937"/>
    <cellStyle name="20% - Accent1 2 7 6" xfId="16213"/>
    <cellStyle name="20% - Accent1 2 7 7" xfId="20455"/>
    <cellStyle name="20% - Accent1 2 7 8" xfId="24702"/>
    <cellStyle name="20% - Accent1 2 7 9" xfId="28805"/>
    <cellStyle name="20% - Accent1 2 8" xfId="3166"/>
    <cellStyle name="20% - Accent1 2 8 2" xfId="8142"/>
    <cellStyle name="20% - Accent1 2 8 3" xfId="12428"/>
    <cellStyle name="20% - Accent1 2 8 4" xfId="16702"/>
    <cellStyle name="20% - Accent1 2 8 5" xfId="20938"/>
    <cellStyle name="20% - Accent1 2 8 6" xfId="25178"/>
    <cellStyle name="20% - Accent1 2 8 7" xfId="29259"/>
    <cellStyle name="20% - Accent1 2 9" xfId="2251"/>
    <cellStyle name="20% - Accent1 2 9 2" xfId="7229"/>
    <cellStyle name="20% - Accent1 2 9 3" xfId="11519"/>
    <cellStyle name="20% - Accent1 2 9 4" xfId="15798"/>
    <cellStyle name="20% - Accent1 2 9 5" xfId="20053"/>
    <cellStyle name="20% - Accent1 2 9 6" xfId="24303"/>
    <cellStyle name="20% - Accent1 2 9 7" xfId="28450"/>
    <cellStyle name="20% - Accent1 3" xfId="120"/>
    <cellStyle name="20% - Accent1 3 2" xfId="4230"/>
    <cellStyle name="20% - Accent1 3 3" xfId="4009"/>
    <cellStyle name="20% - Accent1 4" xfId="106"/>
    <cellStyle name="20% - Accent1 4 10" xfId="5665"/>
    <cellStyle name="20% - Accent1 4 10 2" xfId="10637"/>
    <cellStyle name="20% - Accent1 4 10 3" xfId="14915"/>
    <cellStyle name="20% - Accent1 4 10 4" xfId="19172"/>
    <cellStyle name="20% - Accent1 4 10 5" xfId="23389"/>
    <cellStyle name="20% - Accent1 4 10 6" xfId="27575"/>
    <cellStyle name="20% - Accent1 4 10 7" xfId="31454"/>
    <cellStyle name="20% - Accent1 4 11" xfId="6406"/>
    <cellStyle name="20% - Accent1 4 12" xfId="8061"/>
    <cellStyle name="20% - Accent1 4 13" xfId="12349"/>
    <cellStyle name="20% - Accent1 4 14" xfId="16624"/>
    <cellStyle name="20% - Accent1 4 15" xfId="21802"/>
    <cellStyle name="20% - Accent1 4 16" xfId="25105"/>
    <cellStyle name="20% - Accent1 4 17" xfId="1600"/>
    <cellStyle name="20% - Accent1 4 2" xfId="297"/>
    <cellStyle name="20% - Accent1 4 2 10" xfId="13330"/>
    <cellStyle name="20% - Accent1 4 2 11" xfId="17602"/>
    <cellStyle name="20% - Accent1 4 2 12" xfId="20752"/>
    <cellStyle name="20% - Accent1 4 2 13" xfId="26054"/>
    <cellStyle name="20% - Accent1 4 2 14" xfId="1669"/>
    <cellStyle name="20% - Accent1 4 2 2" xfId="461"/>
    <cellStyle name="20% - Accent1 4 2 2 10" xfId="17525"/>
    <cellStyle name="20% - Accent1 4 2 2 11" xfId="15788"/>
    <cellStyle name="20% - Accent1 4 2 2 12" xfId="25992"/>
    <cellStyle name="20% - Accent1 4 2 2 13" xfId="1824"/>
    <cellStyle name="20% - Accent1 4 2 2 2" xfId="835"/>
    <cellStyle name="20% - Accent1 4 2 2 2 10" xfId="24210"/>
    <cellStyle name="20% - Accent1 4 2 2 2 11" xfId="28362"/>
    <cellStyle name="20% - Accent1 4 2 2 2 12" xfId="2154"/>
    <cellStyle name="20% - Accent1 4 2 2 2 2" xfId="1492"/>
    <cellStyle name="20% - Accent1 4 2 2 2 2 2" xfId="5523"/>
    <cellStyle name="20% - Accent1 4 2 2 2 2 2 2" xfId="10497"/>
    <cellStyle name="20% - Accent1 4 2 2 2 2 2 3" xfId="14774"/>
    <cellStyle name="20% - Accent1 4 2 2 2 2 2 4" xfId="19033"/>
    <cellStyle name="20% - Accent1 4 2 2 2 2 2 5" xfId="23252"/>
    <cellStyle name="20% - Accent1 4 2 2 2 2 2 6" xfId="27447"/>
    <cellStyle name="20% - Accent1 4 2 2 2 2 2 7" xfId="31343"/>
    <cellStyle name="20% - Accent1 4 2 2 2 2 3" xfId="8505"/>
    <cellStyle name="20% - Accent1 4 2 2 2 2 4" xfId="12790"/>
    <cellStyle name="20% - Accent1 4 2 2 2 2 5" xfId="17062"/>
    <cellStyle name="20% - Accent1 4 2 2 2 2 6" xfId="21297"/>
    <cellStyle name="20% - Accent1 4 2 2 2 2 7" xfId="25535"/>
    <cellStyle name="20% - Accent1 4 2 2 2 2 8" xfId="29613"/>
    <cellStyle name="20% - Accent1 4 2 2 2 2 9" xfId="3529"/>
    <cellStyle name="20% - Accent1 4 2 2 2 3" xfId="2672"/>
    <cellStyle name="20% - Accent1 4 2 2 2 3 2" xfId="7649"/>
    <cellStyle name="20% - Accent1 4 2 2 2 3 3" xfId="11938"/>
    <cellStyle name="20% - Accent1 4 2 2 2 3 4" xfId="16214"/>
    <cellStyle name="20% - Accent1 4 2 2 2 3 5" xfId="20456"/>
    <cellStyle name="20% - Accent1 4 2 2 2 3 6" xfId="24703"/>
    <cellStyle name="20% - Accent1 4 2 2 2 3 7" xfId="28806"/>
    <cellStyle name="20% - Accent1 4 2 2 2 4" xfId="4866"/>
    <cellStyle name="20% - Accent1 4 2 2 2 4 2" xfId="9840"/>
    <cellStyle name="20% - Accent1 4 2 2 2 4 3" xfId="14117"/>
    <cellStyle name="20% - Accent1 4 2 2 2 4 4" xfId="18376"/>
    <cellStyle name="20% - Accent1 4 2 2 2 4 5" xfId="22595"/>
    <cellStyle name="20% - Accent1 4 2 2 2 4 6" xfId="26790"/>
    <cellStyle name="20% - Accent1 4 2 2 2 4 7" xfId="30686"/>
    <cellStyle name="20% - Accent1 4 2 2 2 5" xfId="6214"/>
    <cellStyle name="20% - Accent1 4 2 2 2 5 2" xfId="11186"/>
    <cellStyle name="20% - Accent1 4 2 2 2 5 3" xfId="15464"/>
    <cellStyle name="20% - Accent1 4 2 2 2 5 4" xfId="19721"/>
    <cellStyle name="20% - Accent1 4 2 2 2 5 5" xfId="23938"/>
    <cellStyle name="20% - Accent1 4 2 2 2 5 6" xfId="28124"/>
    <cellStyle name="20% - Accent1 4 2 2 2 5 7" xfId="32003"/>
    <cellStyle name="20% - Accent1 4 2 2 2 6" xfId="7132"/>
    <cellStyle name="20% - Accent1 4 2 2 2 7" xfId="11424"/>
    <cellStyle name="20% - Accent1 4 2 2 2 8" xfId="15702"/>
    <cellStyle name="20% - Accent1 4 2 2 2 9" xfId="19959"/>
    <cellStyle name="20% - Accent1 4 2 2 3" xfId="1163"/>
    <cellStyle name="20% - Accent1 4 2 2 3 2" xfId="5194"/>
    <cellStyle name="20% - Accent1 4 2 2 3 2 2" xfId="10168"/>
    <cellStyle name="20% - Accent1 4 2 2 3 2 3" xfId="14445"/>
    <cellStyle name="20% - Accent1 4 2 2 3 2 4" xfId="18704"/>
    <cellStyle name="20% - Accent1 4 2 2 3 2 5" xfId="22923"/>
    <cellStyle name="20% - Accent1 4 2 2 3 2 6" xfId="27118"/>
    <cellStyle name="20% - Accent1 4 2 2 3 2 7" xfId="31014"/>
    <cellStyle name="20% - Accent1 4 2 2 3 3" xfId="8389"/>
    <cellStyle name="20% - Accent1 4 2 2 3 4" xfId="12674"/>
    <cellStyle name="20% - Accent1 4 2 2 3 5" xfId="16946"/>
    <cellStyle name="20% - Accent1 4 2 2 3 6" xfId="21181"/>
    <cellStyle name="20% - Accent1 4 2 2 3 7" xfId="25419"/>
    <cellStyle name="20% - Accent1 4 2 2 3 8" xfId="29497"/>
    <cellStyle name="20% - Accent1 4 2 2 3 9" xfId="3413"/>
    <cellStyle name="20% - Accent1 4 2 2 4" xfId="2552"/>
    <cellStyle name="20% - Accent1 4 2 2 4 2" xfId="7529"/>
    <cellStyle name="20% - Accent1 4 2 2 4 3" xfId="11818"/>
    <cellStyle name="20% - Accent1 4 2 2 4 4" xfId="16096"/>
    <cellStyle name="20% - Accent1 4 2 2 4 5" xfId="20339"/>
    <cellStyle name="20% - Accent1 4 2 2 4 6" xfId="24585"/>
    <cellStyle name="20% - Accent1 4 2 2 4 7" xfId="28690"/>
    <cellStyle name="20% - Accent1 4 2 2 5" xfId="4536"/>
    <cellStyle name="20% - Accent1 4 2 2 5 2" xfId="9510"/>
    <cellStyle name="20% - Accent1 4 2 2 5 3" xfId="13787"/>
    <cellStyle name="20% - Accent1 4 2 2 5 4" xfId="18047"/>
    <cellStyle name="20% - Accent1 4 2 2 5 5" xfId="22265"/>
    <cellStyle name="20% - Accent1 4 2 2 5 6" xfId="26461"/>
    <cellStyle name="20% - Accent1 4 2 2 5 7" xfId="30357"/>
    <cellStyle name="20% - Accent1 4 2 2 6" xfId="5885"/>
    <cellStyle name="20% - Accent1 4 2 2 6 2" xfId="10857"/>
    <cellStyle name="20% - Accent1 4 2 2 6 3" xfId="15135"/>
    <cellStyle name="20% - Accent1 4 2 2 6 4" xfId="19392"/>
    <cellStyle name="20% - Accent1 4 2 2 6 5" xfId="23609"/>
    <cellStyle name="20% - Accent1 4 2 2 6 6" xfId="27795"/>
    <cellStyle name="20% - Accent1 4 2 2 6 7" xfId="31674"/>
    <cellStyle name="20% - Accent1 4 2 2 7" xfId="6759"/>
    <cellStyle name="20% - Accent1 4 2 2 8" xfId="8969"/>
    <cellStyle name="20% - Accent1 4 2 2 9" xfId="13251"/>
    <cellStyle name="20% - Accent1 4 2 3" xfId="680"/>
    <cellStyle name="20% - Accent1 4 2 3 10" xfId="24055"/>
    <cellStyle name="20% - Accent1 4 2 3 11" xfId="15972"/>
    <cellStyle name="20% - Accent1 4 2 3 12" xfId="1999"/>
    <cellStyle name="20% - Accent1 4 2 3 2" xfId="1337"/>
    <cellStyle name="20% - Accent1 4 2 3 2 2" xfId="5368"/>
    <cellStyle name="20% - Accent1 4 2 3 2 2 2" xfId="10342"/>
    <cellStyle name="20% - Accent1 4 2 3 2 2 3" xfId="14619"/>
    <cellStyle name="20% - Accent1 4 2 3 2 2 4" xfId="18878"/>
    <cellStyle name="20% - Accent1 4 2 3 2 2 5" xfId="23097"/>
    <cellStyle name="20% - Accent1 4 2 3 2 2 6" xfId="27292"/>
    <cellStyle name="20% - Accent1 4 2 3 2 2 7" xfId="31188"/>
    <cellStyle name="20% - Accent1 4 2 3 2 3" xfId="8506"/>
    <cellStyle name="20% - Accent1 4 2 3 2 4" xfId="12791"/>
    <cellStyle name="20% - Accent1 4 2 3 2 5" xfId="17063"/>
    <cellStyle name="20% - Accent1 4 2 3 2 6" xfId="21298"/>
    <cellStyle name="20% - Accent1 4 2 3 2 7" xfId="25536"/>
    <cellStyle name="20% - Accent1 4 2 3 2 8" xfId="29614"/>
    <cellStyle name="20% - Accent1 4 2 3 2 9" xfId="3530"/>
    <cellStyle name="20% - Accent1 4 2 3 3" xfId="2673"/>
    <cellStyle name="20% - Accent1 4 2 3 3 2" xfId="7650"/>
    <cellStyle name="20% - Accent1 4 2 3 3 3" xfId="11939"/>
    <cellStyle name="20% - Accent1 4 2 3 3 4" xfId="16215"/>
    <cellStyle name="20% - Accent1 4 2 3 3 5" xfId="20457"/>
    <cellStyle name="20% - Accent1 4 2 3 3 6" xfId="24704"/>
    <cellStyle name="20% - Accent1 4 2 3 3 7" xfId="28807"/>
    <cellStyle name="20% - Accent1 4 2 3 4" xfId="4711"/>
    <cellStyle name="20% - Accent1 4 2 3 4 2" xfId="9685"/>
    <cellStyle name="20% - Accent1 4 2 3 4 3" xfId="13962"/>
    <cellStyle name="20% - Accent1 4 2 3 4 4" xfId="18221"/>
    <cellStyle name="20% - Accent1 4 2 3 4 5" xfId="22440"/>
    <cellStyle name="20% - Accent1 4 2 3 4 6" xfId="26635"/>
    <cellStyle name="20% - Accent1 4 2 3 4 7" xfId="30531"/>
    <cellStyle name="20% - Accent1 4 2 3 5" xfId="6059"/>
    <cellStyle name="20% - Accent1 4 2 3 5 2" xfId="11031"/>
    <cellStyle name="20% - Accent1 4 2 3 5 3" xfId="15309"/>
    <cellStyle name="20% - Accent1 4 2 3 5 4" xfId="19566"/>
    <cellStyle name="20% - Accent1 4 2 3 5 5" xfId="23783"/>
    <cellStyle name="20% - Accent1 4 2 3 5 6" xfId="27969"/>
    <cellStyle name="20% - Accent1 4 2 3 5 7" xfId="31848"/>
    <cellStyle name="20% - Accent1 4 2 3 6" xfId="6977"/>
    <cellStyle name="20% - Accent1 4 2 3 7" xfId="6420"/>
    <cellStyle name="20% - Accent1 4 2 3 8" xfId="6650"/>
    <cellStyle name="20% - Accent1 4 2 3 9" xfId="8996"/>
    <cellStyle name="20% - Accent1 4 2 4" xfId="1008"/>
    <cellStyle name="20% - Accent1 4 2 4 2" xfId="5039"/>
    <cellStyle name="20% - Accent1 4 2 4 2 2" xfId="10013"/>
    <cellStyle name="20% - Accent1 4 2 4 2 3" xfId="14290"/>
    <cellStyle name="20% - Accent1 4 2 4 2 4" xfId="18549"/>
    <cellStyle name="20% - Accent1 4 2 4 2 5" xfId="22768"/>
    <cellStyle name="20% - Accent1 4 2 4 2 6" xfId="26963"/>
    <cellStyle name="20% - Accent1 4 2 4 2 7" xfId="30859"/>
    <cellStyle name="20% - Accent1 4 2 4 3" xfId="8236"/>
    <cellStyle name="20% - Accent1 4 2 4 4" xfId="12521"/>
    <cellStyle name="20% - Accent1 4 2 4 5" xfId="16794"/>
    <cellStyle name="20% - Accent1 4 2 4 6" xfId="21030"/>
    <cellStyle name="20% - Accent1 4 2 4 7" xfId="25268"/>
    <cellStyle name="20% - Accent1 4 2 4 8" xfId="29346"/>
    <cellStyle name="20% - Accent1 4 2 4 9" xfId="3260"/>
    <cellStyle name="20% - Accent1 4 2 5" xfId="2376"/>
    <cellStyle name="20% - Accent1 4 2 5 2" xfId="7354"/>
    <cellStyle name="20% - Accent1 4 2 5 3" xfId="11643"/>
    <cellStyle name="20% - Accent1 4 2 5 4" xfId="15921"/>
    <cellStyle name="20% - Accent1 4 2 5 5" xfId="20170"/>
    <cellStyle name="20% - Accent1 4 2 5 6" xfId="24418"/>
    <cellStyle name="20% - Accent1 4 2 5 7" xfId="28538"/>
    <cellStyle name="20% - Accent1 4 2 6" xfId="4381"/>
    <cellStyle name="20% - Accent1 4 2 6 2" xfId="9355"/>
    <cellStyle name="20% - Accent1 4 2 6 3" xfId="13632"/>
    <cellStyle name="20% - Accent1 4 2 6 4" xfId="17892"/>
    <cellStyle name="20% - Accent1 4 2 6 5" xfId="22110"/>
    <cellStyle name="20% - Accent1 4 2 6 6" xfId="26306"/>
    <cellStyle name="20% - Accent1 4 2 6 7" xfId="30202"/>
    <cellStyle name="20% - Accent1 4 2 7" xfId="5730"/>
    <cellStyle name="20% - Accent1 4 2 7 2" xfId="10702"/>
    <cellStyle name="20% - Accent1 4 2 7 3" xfId="14980"/>
    <cellStyle name="20% - Accent1 4 2 7 4" xfId="19237"/>
    <cellStyle name="20% - Accent1 4 2 7 5" xfId="23454"/>
    <cellStyle name="20% - Accent1 4 2 7 6" xfId="27640"/>
    <cellStyle name="20% - Accent1 4 2 7 7" xfId="31519"/>
    <cellStyle name="20% - Accent1 4 2 8" xfId="6595"/>
    <cellStyle name="20% - Accent1 4 2 9" xfId="9047"/>
    <cellStyle name="20% - Accent1 4 3" xfId="399"/>
    <cellStyle name="20% - Accent1 4 3 10" xfId="15789"/>
    <cellStyle name="20% - Accent1 4 3 11" xfId="21804"/>
    <cellStyle name="20% - Accent1 4 3 12" xfId="24296"/>
    <cellStyle name="20% - Accent1 4 3 13" xfId="1762"/>
    <cellStyle name="20% - Accent1 4 3 2" xfId="773"/>
    <cellStyle name="20% - Accent1 4 3 2 10" xfId="24148"/>
    <cellStyle name="20% - Accent1 4 3 2 11" xfId="28300"/>
    <cellStyle name="20% - Accent1 4 3 2 12" xfId="2092"/>
    <cellStyle name="20% - Accent1 4 3 2 2" xfId="1430"/>
    <cellStyle name="20% - Accent1 4 3 2 2 2" xfId="5461"/>
    <cellStyle name="20% - Accent1 4 3 2 2 2 2" xfId="10435"/>
    <cellStyle name="20% - Accent1 4 3 2 2 2 3" xfId="14712"/>
    <cellStyle name="20% - Accent1 4 3 2 2 2 4" xfId="18971"/>
    <cellStyle name="20% - Accent1 4 3 2 2 2 5" xfId="23190"/>
    <cellStyle name="20% - Accent1 4 3 2 2 2 6" xfId="27385"/>
    <cellStyle name="20% - Accent1 4 3 2 2 2 7" xfId="31281"/>
    <cellStyle name="20% - Accent1 4 3 2 2 3" xfId="8507"/>
    <cellStyle name="20% - Accent1 4 3 2 2 4" xfId="12792"/>
    <cellStyle name="20% - Accent1 4 3 2 2 5" xfId="17064"/>
    <cellStyle name="20% - Accent1 4 3 2 2 6" xfId="21299"/>
    <cellStyle name="20% - Accent1 4 3 2 2 7" xfId="25537"/>
    <cellStyle name="20% - Accent1 4 3 2 2 8" xfId="29615"/>
    <cellStyle name="20% - Accent1 4 3 2 2 9" xfId="3531"/>
    <cellStyle name="20% - Accent1 4 3 2 3" xfId="2674"/>
    <cellStyle name="20% - Accent1 4 3 2 3 2" xfId="7651"/>
    <cellStyle name="20% - Accent1 4 3 2 3 3" xfId="11940"/>
    <cellStyle name="20% - Accent1 4 3 2 3 4" xfId="16216"/>
    <cellStyle name="20% - Accent1 4 3 2 3 5" xfId="20458"/>
    <cellStyle name="20% - Accent1 4 3 2 3 6" xfId="24705"/>
    <cellStyle name="20% - Accent1 4 3 2 3 7" xfId="28808"/>
    <cellStyle name="20% - Accent1 4 3 2 4" xfId="4804"/>
    <cellStyle name="20% - Accent1 4 3 2 4 2" xfId="9778"/>
    <cellStyle name="20% - Accent1 4 3 2 4 3" xfId="14055"/>
    <cellStyle name="20% - Accent1 4 3 2 4 4" xfId="18314"/>
    <cellStyle name="20% - Accent1 4 3 2 4 5" xfId="22533"/>
    <cellStyle name="20% - Accent1 4 3 2 4 6" xfId="26728"/>
    <cellStyle name="20% - Accent1 4 3 2 4 7" xfId="30624"/>
    <cellStyle name="20% - Accent1 4 3 2 5" xfId="6152"/>
    <cellStyle name="20% - Accent1 4 3 2 5 2" xfId="11124"/>
    <cellStyle name="20% - Accent1 4 3 2 5 3" xfId="15402"/>
    <cellStyle name="20% - Accent1 4 3 2 5 4" xfId="19659"/>
    <cellStyle name="20% - Accent1 4 3 2 5 5" xfId="23876"/>
    <cellStyle name="20% - Accent1 4 3 2 5 6" xfId="28062"/>
    <cellStyle name="20% - Accent1 4 3 2 5 7" xfId="31941"/>
    <cellStyle name="20% - Accent1 4 3 2 6" xfId="7070"/>
    <cellStyle name="20% - Accent1 4 3 2 7" xfId="11362"/>
    <cellStyle name="20% - Accent1 4 3 2 8" xfId="15640"/>
    <cellStyle name="20% - Accent1 4 3 2 9" xfId="19897"/>
    <cellStyle name="20% - Accent1 4 3 3" xfId="1101"/>
    <cellStyle name="20% - Accent1 4 3 3 2" xfId="5132"/>
    <cellStyle name="20% - Accent1 4 3 3 2 2" xfId="10106"/>
    <cellStyle name="20% - Accent1 4 3 3 2 3" xfId="14383"/>
    <cellStyle name="20% - Accent1 4 3 3 2 4" xfId="18642"/>
    <cellStyle name="20% - Accent1 4 3 3 2 5" xfId="22861"/>
    <cellStyle name="20% - Accent1 4 3 3 2 6" xfId="27056"/>
    <cellStyle name="20% - Accent1 4 3 3 2 7" xfId="30952"/>
    <cellStyle name="20% - Accent1 4 3 3 3" xfId="8327"/>
    <cellStyle name="20% - Accent1 4 3 3 4" xfId="12612"/>
    <cellStyle name="20% - Accent1 4 3 3 5" xfId="16884"/>
    <cellStyle name="20% - Accent1 4 3 3 6" xfId="21119"/>
    <cellStyle name="20% - Accent1 4 3 3 7" xfId="25357"/>
    <cellStyle name="20% - Accent1 4 3 3 8" xfId="29435"/>
    <cellStyle name="20% - Accent1 4 3 3 9" xfId="3351"/>
    <cellStyle name="20% - Accent1 4 3 4" xfId="2490"/>
    <cellStyle name="20% - Accent1 4 3 4 2" xfId="7467"/>
    <cellStyle name="20% - Accent1 4 3 4 3" xfId="11756"/>
    <cellStyle name="20% - Accent1 4 3 4 4" xfId="16034"/>
    <cellStyle name="20% - Accent1 4 3 4 5" xfId="20277"/>
    <cellStyle name="20% - Accent1 4 3 4 6" xfId="24523"/>
    <cellStyle name="20% - Accent1 4 3 4 7" xfId="28628"/>
    <cellStyle name="20% - Accent1 4 3 5" xfId="4474"/>
    <cellStyle name="20% - Accent1 4 3 5 2" xfId="9448"/>
    <cellStyle name="20% - Accent1 4 3 5 3" xfId="13725"/>
    <cellStyle name="20% - Accent1 4 3 5 4" xfId="17985"/>
    <cellStyle name="20% - Accent1 4 3 5 5" xfId="22203"/>
    <cellStyle name="20% - Accent1 4 3 5 6" xfId="26399"/>
    <cellStyle name="20% - Accent1 4 3 5 7" xfId="30295"/>
    <cellStyle name="20% - Accent1 4 3 6" xfId="5823"/>
    <cellStyle name="20% - Accent1 4 3 6 2" xfId="10795"/>
    <cellStyle name="20% - Accent1 4 3 6 3" xfId="15073"/>
    <cellStyle name="20% - Accent1 4 3 6 4" xfId="19330"/>
    <cellStyle name="20% - Accent1 4 3 6 5" xfId="23547"/>
    <cellStyle name="20% - Accent1 4 3 6 6" xfId="27733"/>
    <cellStyle name="20% - Accent1 4 3 6 7" xfId="31612"/>
    <cellStyle name="20% - Accent1 4 3 7" xfId="6697"/>
    <cellStyle name="20% - Accent1 4 3 8" xfId="7219"/>
    <cellStyle name="20% - Accent1 4 3 9" xfId="11511"/>
    <cellStyle name="20% - Accent1 4 4" xfId="513"/>
    <cellStyle name="20% - Accent1 4 4 10" xfId="13487"/>
    <cellStyle name="20% - Accent1 4 4 11" xfId="17538"/>
    <cellStyle name="20% - Accent1 4 4 12" xfId="20203"/>
    <cellStyle name="20% - Accent1 4 4 13" xfId="1876"/>
    <cellStyle name="20% - Accent1 4 4 2" xfId="887"/>
    <cellStyle name="20% - Accent1 4 4 2 10" xfId="24262"/>
    <cellStyle name="20% - Accent1 4 4 2 11" xfId="28414"/>
    <cellStyle name="20% - Accent1 4 4 2 12" xfId="2206"/>
    <cellStyle name="20% - Accent1 4 4 2 2" xfId="1544"/>
    <cellStyle name="20% - Accent1 4 4 2 2 2" xfId="5575"/>
    <cellStyle name="20% - Accent1 4 4 2 2 2 2" xfId="10549"/>
    <cellStyle name="20% - Accent1 4 4 2 2 2 3" xfId="14826"/>
    <cellStyle name="20% - Accent1 4 4 2 2 2 4" xfId="19085"/>
    <cellStyle name="20% - Accent1 4 4 2 2 2 5" xfId="23304"/>
    <cellStyle name="20% - Accent1 4 4 2 2 2 6" xfId="27499"/>
    <cellStyle name="20% - Accent1 4 4 2 2 2 7" xfId="31395"/>
    <cellStyle name="20% - Accent1 4 4 2 2 3" xfId="8508"/>
    <cellStyle name="20% - Accent1 4 4 2 2 4" xfId="12793"/>
    <cellStyle name="20% - Accent1 4 4 2 2 5" xfId="17065"/>
    <cellStyle name="20% - Accent1 4 4 2 2 6" xfId="21300"/>
    <cellStyle name="20% - Accent1 4 4 2 2 7" xfId="25538"/>
    <cellStyle name="20% - Accent1 4 4 2 2 8" xfId="29616"/>
    <cellStyle name="20% - Accent1 4 4 2 2 9" xfId="3532"/>
    <cellStyle name="20% - Accent1 4 4 2 3" xfId="2675"/>
    <cellStyle name="20% - Accent1 4 4 2 3 2" xfId="7652"/>
    <cellStyle name="20% - Accent1 4 4 2 3 3" xfId="11941"/>
    <cellStyle name="20% - Accent1 4 4 2 3 4" xfId="16217"/>
    <cellStyle name="20% - Accent1 4 4 2 3 5" xfId="20459"/>
    <cellStyle name="20% - Accent1 4 4 2 3 6" xfId="24706"/>
    <cellStyle name="20% - Accent1 4 4 2 3 7" xfId="28809"/>
    <cellStyle name="20% - Accent1 4 4 2 4" xfId="4918"/>
    <cellStyle name="20% - Accent1 4 4 2 4 2" xfId="9892"/>
    <cellStyle name="20% - Accent1 4 4 2 4 3" xfId="14169"/>
    <cellStyle name="20% - Accent1 4 4 2 4 4" xfId="18428"/>
    <cellStyle name="20% - Accent1 4 4 2 4 5" xfId="22647"/>
    <cellStyle name="20% - Accent1 4 4 2 4 6" xfId="26842"/>
    <cellStyle name="20% - Accent1 4 4 2 4 7" xfId="30738"/>
    <cellStyle name="20% - Accent1 4 4 2 5" xfId="6266"/>
    <cellStyle name="20% - Accent1 4 4 2 5 2" xfId="11238"/>
    <cellStyle name="20% - Accent1 4 4 2 5 3" xfId="15516"/>
    <cellStyle name="20% - Accent1 4 4 2 5 4" xfId="19773"/>
    <cellStyle name="20% - Accent1 4 4 2 5 5" xfId="23990"/>
    <cellStyle name="20% - Accent1 4 4 2 5 6" xfId="28176"/>
    <cellStyle name="20% - Accent1 4 4 2 5 7" xfId="32055"/>
    <cellStyle name="20% - Accent1 4 4 2 6" xfId="7184"/>
    <cellStyle name="20% - Accent1 4 4 2 7" xfId="11476"/>
    <cellStyle name="20% - Accent1 4 4 2 8" xfId="15754"/>
    <cellStyle name="20% - Accent1 4 4 2 9" xfId="20011"/>
    <cellStyle name="20% - Accent1 4 4 3" xfId="1215"/>
    <cellStyle name="20% - Accent1 4 4 3 2" xfId="5246"/>
    <cellStyle name="20% - Accent1 4 4 3 2 2" xfId="10220"/>
    <cellStyle name="20% - Accent1 4 4 3 2 3" xfId="14497"/>
    <cellStyle name="20% - Accent1 4 4 3 2 4" xfId="18756"/>
    <cellStyle name="20% - Accent1 4 4 3 2 5" xfId="22975"/>
    <cellStyle name="20% - Accent1 4 4 3 2 6" xfId="27170"/>
    <cellStyle name="20% - Accent1 4 4 3 2 7" xfId="31066"/>
    <cellStyle name="20% - Accent1 4 4 3 3" xfId="8456"/>
    <cellStyle name="20% - Accent1 4 4 3 4" xfId="12741"/>
    <cellStyle name="20% - Accent1 4 4 3 5" xfId="17013"/>
    <cellStyle name="20% - Accent1 4 4 3 6" xfId="21248"/>
    <cellStyle name="20% - Accent1 4 4 3 7" xfId="25486"/>
    <cellStyle name="20% - Accent1 4 4 3 8" xfId="29564"/>
    <cellStyle name="20% - Accent1 4 4 3 9" xfId="3480"/>
    <cellStyle name="20% - Accent1 4 4 4" xfId="2623"/>
    <cellStyle name="20% - Accent1 4 4 4 2" xfId="7600"/>
    <cellStyle name="20% - Accent1 4 4 4 3" xfId="11889"/>
    <cellStyle name="20% - Accent1 4 4 4 4" xfId="16165"/>
    <cellStyle name="20% - Accent1 4 4 4 5" xfId="20407"/>
    <cellStyle name="20% - Accent1 4 4 4 6" xfId="24654"/>
    <cellStyle name="20% - Accent1 4 4 4 7" xfId="28757"/>
    <cellStyle name="20% - Accent1 4 4 5" xfId="4588"/>
    <cellStyle name="20% - Accent1 4 4 5 2" xfId="9562"/>
    <cellStyle name="20% - Accent1 4 4 5 3" xfId="13839"/>
    <cellStyle name="20% - Accent1 4 4 5 4" xfId="18099"/>
    <cellStyle name="20% - Accent1 4 4 5 5" xfId="22317"/>
    <cellStyle name="20% - Accent1 4 4 5 6" xfId="26513"/>
    <cellStyle name="20% - Accent1 4 4 5 7" xfId="30409"/>
    <cellStyle name="20% - Accent1 4 4 6" xfId="5937"/>
    <cellStyle name="20% - Accent1 4 4 6 2" xfId="10909"/>
    <cellStyle name="20% - Accent1 4 4 6 3" xfId="15187"/>
    <cellStyle name="20% - Accent1 4 4 6 4" xfId="19444"/>
    <cellStyle name="20% - Accent1 4 4 6 5" xfId="23661"/>
    <cellStyle name="20% - Accent1 4 4 6 6" xfId="27847"/>
    <cellStyle name="20% - Accent1 4 4 6 7" xfId="31726"/>
    <cellStyle name="20% - Accent1 4 4 7" xfId="6811"/>
    <cellStyle name="20% - Accent1 4 4 8" xfId="6381"/>
    <cellStyle name="20% - Accent1 4 4 9" xfId="9209"/>
    <cellStyle name="20% - Accent1 4 5" xfId="614"/>
    <cellStyle name="20% - Accent1 4 5 10" xfId="6344"/>
    <cellStyle name="20% - Accent1 4 5 11" xfId="21942"/>
    <cellStyle name="20% - Accent1 4 5 12" xfId="21975"/>
    <cellStyle name="20% - Accent1 4 5 13" xfId="1933"/>
    <cellStyle name="20% - Accent1 4 5 2" xfId="1271"/>
    <cellStyle name="20% - Accent1 4 5 2 10" xfId="2677"/>
    <cellStyle name="20% - Accent1 4 5 2 2" xfId="3534"/>
    <cellStyle name="20% - Accent1 4 5 2 2 2" xfId="8510"/>
    <cellStyle name="20% - Accent1 4 5 2 2 3" xfId="12795"/>
    <cellStyle name="20% - Accent1 4 5 2 2 4" xfId="17067"/>
    <cellStyle name="20% - Accent1 4 5 2 2 5" xfId="21302"/>
    <cellStyle name="20% - Accent1 4 5 2 2 6" xfId="25540"/>
    <cellStyle name="20% - Accent1 4 5 2 2 7" xfId="29618"/>
    <cellStyle name="20% - Accent1 4 5 2 3" xfId="5302"/>
    <cellStyle name="20% - Accent1 4 5 2 3 2" xfId="10276"/>
    <cellStyle name="20% - Accent1 4 5 2 3 3" xfId="14553"/>
    <cellStyle name="20% - Accent1 4 5 2 3 4" xfId="18812"/>
    <cellStyle name="20% - Accent1 4 5 2 3 5" xfId="23031"/>
    <cellStyle name="20% - Accent1 4 5 2 3 6" xfId="27226"/>
    <cellStyle name="20% - Accent1 4 5 2 3 7" xfId="31122"/>
    <cellStyle name="20% - Accent1 4 5 2 4" xfId="7654"/>
    <cellStyle name="20% - Accent1 4 5 2 5" xfId="11943"/>
    <cellStyle name="20% - Accent1 4 5 2 6" xfId="16219"/>
    <cellStyle name="20% - Accent1 4 5 2 7" xfId="20461"/>
    <cellStyle name="20% - Accent1 4 5 2 8" xfId="24708"/>
    <cellStyle name="20% - Accent1 4 5 2 9" xfId="28811"/>
    <cellStyle name="20% - Accent1 4 5 3" xfId="3533"/>
    <cellStyle name="20% - Accent1 4 5 3 2" xfId="8509"/>
    <cellStyle name="20% - Accent1 4 5 3 3" xfId="12794"/>
    <cellStyle name="20% - Accent1 4 5 3 4" xfId="17066"/>
    <cellStyle name="20% - Accent1 4 5 3 5" xfId="21301"/>
    <cellStyle name="20% - Accent1 4 5 3 6" xfId="25539"/>
    <cellStyle name="20% - Accent1 4 5 3 7" xfId="29617"/>
    <cellStyle name="20% - Accent1 4 5 4" xfId="2676"/>
    <cellStyle name="20% - Accent1 4 5 4 2" xfId="7653"/>
    <cellStyle name="20% - Accent1 4 5 4 3" xfId="11942"/>
    <cellStyle name="20% - Accent1 4 5 4 4" xfId="16218"/>
    <cellStyle name="20% - Accent1 4 5 4 5" xfId="20460"/>
    <cellStyle name="20% - Accent1 4 5 4 6" xfId="24707"/>
    <cellStyle name="20% - Accent1 4 5 4 7" xfId="28810"/>
    <cellStyle name="20% - Accent1 4 5 5" xfId="4645"/>
    <cellStyle name="20% - Accent1 4 5 5 2" xfId="9619"/>
    <cellStyle name="20% - Accent1 4 5 5 3" xfId="13896"/>
    <cellStyle name="20% - Accent1 4 5 5 4" xfId="18155"/>
    <cellStyle name="20% - Accent1 4 5 5 5" xfId="22374"/>
    <cellStyle name="20% - Accent1 4 5 5 6" xfId="26569"/>
    <cellStyle name="20% - Accent1 4 5 5 7" xfId="30465"/>
    <cellStyle name="20% - Accent1 4 5 6" xfId="5993"/>
    <cellStyle name="20% - Accent1 4 5 6 2" xfId="10965"/>
    <cellStyle name="20% - Accent1 4 5 6 3" xfId="15243"/>
    <cellStyle name="20% - Accent1 4 5 6 4" xfId="19500"/>
    <cellStyle name="20% - Accent1 4 5 6 5" xfId="23717"/>
    <cellStyle name="20% - Accent1 4 5 6 6" xfId="27903"/>
    <cellStyle name="20% - Accent1 4 5 6 7" xfId="31782"/>
    <cellStyle name="20% - Accent1 4 5 7" xfId="6911"/>
    <cellStyle name="20% - Accent1 4 5 8" xfId="6853"/>
    <cellStyle name="20% - Accent1 4 5 9" xfId="6380"/>
    <cellStyle name="20% - Accent1 4 6" xfId="942"/>
    <cellStyle name="20% - Accent1 4 6 10" xfId="2678"/>
    <cellStyle name="20% - Accent1 4 6 2" xfId="3535"/>
    <cellStyle name="20% - Accent1 4 6 2 2" xfId="8511"/>
    <cellStyle name="20% - Accent1 4 6 2 3" xfId="12796"/>
    <cellStyle name="20% - Accent1 4 6 2 4" xfId="17068"/>
    <cellStyle name="20% - Accent1 4 6 2 5" xfId="21303"/>
    <cellStyle name="20% - Accent1 4 6 2 6" xfId="25541"/>
    <cellStyle name="20% - Accent1 4 6 2 7" xfId="29619"/>
    <cellStyle name="20% - Accent1 4 6 3" xfId="4973"/>
    <cellStyle name="20% - Accent1 4 6 3 2" xfId="9947"/>
    <cellStyle name="20% - Accent1 4 6 3 3" xfId="14224"/>
    <cellStyle name="20% - Accent1 4 6 3 4" xfId="18483"/>
    <cellStyle name="20% - Accent1 4 6 3 5" xfId="22702"/>
    <cellStyle name="20% - Accent1 4 6 3 6" xfId="26897"/>
    <cellStyle name="20% - Accent1 4 6 3 7" xfId="30793"/>
    <cellStyle name="20% - Accent1 4 6 4" xfId="7655"/>
    <cellStyle name="20% - Accent1 4 6 5" xfId="11944"/>
    <cellStyle name="20% - Accent1 4 6 6" xfId="16220"/>
    <cellStyle name="20% - Accent1 4 6 7" xfId="20462"/>
    <cellStyle name="20% - Accent1 4 6 8" xfId="24709"/>
    <cellStyle name="20% - Accent1 4 6 9" xfId="28812"/>
    <cellStyle name="20% - Accent1 4 7" xfId="3185"/>
    <cellStyle name="20% - Accent1 4 7 2" xfId="8161"/>
    <cellStyle name="20% - Accent1 4 7 3" xfId="12447"/>
    <cellStyle name="20% - Accent1 4 7 4" xfId="16721"/>
    <cellStyle name="20% - Accent1 4 7 5" xfId="20957"/>
    <cellStyle name="20% - Accent1 4 7 6" xfId="25197"/>
    <cellStyle name="20% - Accent1 4 7 7" xfId="29278"/>
    <cellStyle name="20% - Accent1 4 8" xfId="2272"/>
    <cellStyle name="20% - Accent1 4 8 2" xfId="7250"/>
    <cellStyle name="20% - Accent1 4 8 3" xfId="11540"/>
    <cellStyle name="20% - Accent1 4 8 4" xfId="15819"/>
    <cellStyle name="20% - Accent1 4 8 5" xfId="20074"/>
    <cellStyle name="20% - Accent1 4 8 6" xfId="24324"/>
    <cellStyle name="20% - Accent1 4 8 7" xfId="28469"/>
    <cellStyle name="20% - Accent1 4 9" xfId="4310"/>
    <cellStyle name="20% - Accent1 4 9 2" xfId="9284"/>
    <cellStyle name="20% - Accent1 4 9 3" xfId="13561"/>
    <cellStyle name="20% - Accent1 4 9 4" xfId="17821"/>
    <cellStyle name="20% - Accent1 4 9 5" xfId="22040"/>
    <cellStyle name="20% - Accent1 4 9 6" xfId="26238"/>
    <cellStyle name="20% - Accent1 4 9 7" xfId="30135"/>
    <cellStyle name="20% - Accent1 5" xfId="290"/>
    <cellStyle name="20% - Accent1 5 2" xfId="430"/>
    <cellStyle name="20% - Accent1 5 2 10" xfId="21990"/>
    <cellStyle name="20% - Accent1 5 2 11" xfId="26097"/>
    <cellStyle name="20% - Accent1 5 2 12" xfId="1793"/>
    <cellStyle name="20% - Accent1 5 2 2" xfId="804"/>
    <cellStyle name="20% - Accent1 5 2 2 10" xfId="19928"/>
    <cellStyle name="20% - Accent1 5 2 2 11" xfId="24179"/>
    <cellStyle name="20% - Accent1 5 2 2 12" xfId="28331"/>
    <cellStyle name="20% - Accent1 5 2 2 13" xfId="2123"/>
    <cellStyle name="20% - Accent1 5 2 2 2" xfId="1461"/>
    <cellStyle name="20% - Accent1 5 2 2 2 10" xfId="2679"/>
    <cellStyle name="20% - Accent1 5 2 2 2 2" xfId="3536"/>
    <cellStyle name="20% - Accent1 5 2 2 2 2 2" xfId="8512"/>
    <cellStyle name="20% - Accent1 5 2 2 2 2 3" xfId="12797"/>
    <cellStyle name="20% - Accent1 5 2 2 2 2 4" xfId="17069"/>
    <cellStyle name="20% - Accent1 5 2 2 2 2 5" xfId="21304"/>
    <cellStyle name="20% - Accent1 5 2 2 2 2 6" xfId="25542"/>
    <cellStyle name="20% - Accent1 5 2 2 2 2 7" xfId="29620"/>
    <cellStyle name="20% - Accent1 5 2 2 2 3" xfId="5492"/>
    <cellStyle name="20% - Accent1 5 2 2 2 3 2" xfId="10466"/>
    <cellStyle name="20% - Accent1 5 2 2 2 3 3" xfId="14743"/>
    <cellStyle name="20% - Accent1 5 2 2 2 3 4" xfId="19002"/>
    <cellStyle name="20% - Accent1 5 2 2 2 3 5" xfId="23221"/>
    <cellStyle name="20% - Accent1 5 2 2 2 3 6" xfId="27416"/>
    <cellStyle name="20% - Accent1 5 2 2 2 3 7" xfId="31312"/>
    <cellStyle name="20% - Accent1 5 2 2 2 4" xfId="7656"/>
    <cellStyle name="20% - Accent1 5 2 2 2 5" xfId="11945"/>
    <cellStyle name="20% - Accent1 5 2 2 2 6" xfId="16221"/>
    <cellStyle name="20% - Accent1 5 2 2 2 7" xfId="20463"/>
    <cellStyle name="20% - Accent1 5 2 2 2 8" xfId="24710"/>
    <cellStyle name="20% - Accent1 5 2 2 2 9" xfId="28813"/>
    <cellStyle name="20% - Accent1 5 2 2 3" xfId="3382"/>
    <cellStyle name="20% - Accent1 5 2 2 3 2" xfId="8358"/>
    <cellStyle name="20% - Accent1 5 2 2 3 3" xfId="12643"/>
    <cellStyle name="20% - Accent1 5 2 2 3 4" xfId="16915"/>
    <cellStyle name="20% - Accent1 5 2 2 3 5" xfId="21150"/>
    <cellStyle name="20% - Accent1 5 2 2 3 6" xfId="25388"/>
    <cellStyle name="20% - Accent1 5 2 2 3 7" xfId="29466"/>
    <cellStyle name="20% - Accent1 5 2 2 4" xfId="2521"/>
    <cellStyle name="20% - Accent1 5 2 2 4 2" xfId="7498"/>
    <cellStyle name="20% - Accent1 5 2 2 4 3" xfId="11787"/>
    <cellStyle name="20% - Accent1 5 2 2 4 4" xfId="16065"/>
    <cellStyle name="20% - Accent1 5 2 2 4 5" xfId="20308"/>
    <cellStyle name="20% - Accent1 5 2 2 4 6" xfId="24554"/>
    <cellStyle name="20% - Accent1 5 2 2 4 7" xfId="28659"/>
    <cellStyle name="20% - Accent1 5 2 2 5" xfId="4835"/>
    <cellStyle name="20% - Accent1 5 2 2 5 2" xfId="9809"/>
    <cellStyle name="20% - Accent1 5 2 2 5 3" xfId="14086"/>
    <cellStyle name="20% - Accent1 5 2 2 5 4" xfId="18345"/>
    <cellStyle name="20% - Accent1 5 2 2 5 5" xfId="22564"/>
    <cellStyle name="20% - Accent1 5 2 2 5 6" xfId="26759"/>
    <cellStyle name="20% - Accent1 5 2 2 5 7" xfId="30655"/>
    <cellStyle name="20% - Accent1 5 2 2 6" xfId="6183"/>
    <cellStyle name="20% - Accent1 5 2 2 6 2" xfId="11155"/>
    <cellStyle name="20% - Accent1 5 2 2 6 3" xfId="15433"/>
    <cellStyle name="20% - Accent1 5 2 2 6 4" xfId="19690"/>
    <cellStyle name="20% - Accent1 5 2 2 6 5" xfId="23907"/>
    <cellStyle name="20% - Accent1 5 2 2 6 6" xfId="28093"/>
    <cellStyle name="20% - Accent1 5 2 2 6 7" xfId="31972"/>
    <cellStyle name="20% - Accent1 5 2 2 7" xfId="7101"/>
    <cellStyle name="20% - Accent1 5 2 2 8" xfId="11393"/>
    <cellStyle name="20% - Accent1 5 2 2 9" xfId="15671"/>
    <cellStyle name="20% - Accent1 5 2 3" xfId="1132"/>
    <cellStyle name="20% - Accent1 5 2 3 2" xfId="5163"/>
    <cellStyle name="20% - Accent1 5 2 3 2 2" xfId="10137"/>
    <cellStyle name="20% - Accent1 5 2 3 2 3" xfId="14414"/>
    <cellStyle name="20% - Accent1 5 2 3 2 4" xfId="18673"/>
    <cellStyle name="20% - Accent1 5 2 3 2 5" xfId="22892"/>
    <cellStyle name="20% - Accent1 5 2 3 2 6" xfId="27087"/>
    <cellStyle name="20% - Accent1 5 2 3 2 7" xfId="30983"/>
    <cellStyle name="20% - Accent1 5 2 3 3" xfId="2425"/>
    <cellStyle name="20% - Accent1 5 2 4" xfId="4505"/>
    <cellStyle name="20% - Accent1 5 2 4 2" xfId="9479"/>
    <cellStyle name="20% - Accent1 5 2 4 3" xfId="13756"/>
    <cellStyle name="20% - Accent1 5 2 4 4" xfId="18016"/>
    <cellStyle name="20% - Accent1 5 2 4 5" xfId="22234"/>
    <cellStyle name="20% - Accent1 5 2 4 6" xfId="26430"/>
    <cellStyle name="20% - Accent1 5 2 4 7" xfId="30326"/>
    <cellStyle name="20% - Accent1 5 2 5" xfId="5854"/>
    <cellStyle name="20% - Accent1 5 2 5 2" xfId="10826"/>
    <cellStyle name="20% - Accent1 5 2 5 3" xfId="15104"/>
    <cellStyle name="20% - Accent1 5 2 5 4" xfId="19361"/>
    <cellStyle name="20% - Accent1 5 2 5 5" xfId="23578"/>
    <cellStyle name="20% - Accent1 5 2 5 6" xfId="27764"/>
    <cellStyle name="20% - Accent1 5 2 5 7" xfId="31643"/>
    <cellStyle name="20% - Accent1 5 2 6" xfId="6728"/>
    <cellStyle name="20% - Accent1 5 2 7" xfId="9103"/>
    <cellStyle name="20% - Accent1 5 2 8" xfId="13384"/>
    <cellStyle name="20% - Accent1 5 2 9" xfId="17652"/>
    <cellStyle name="20% - Accent1 5 3" xfId="331"/>
    <cellStyle name="20% - Accent1 5 3 10" xfId="21801"/>
    <cellStyle name="20% - Accent1 5 3 11" xfId="25000"/>
    <cellStyle name="20% - Accent1 5 3 12" xfId="1702"/>
    <cellStyle name="20% - Accent1 5 3 2" xfId="713"/>
    <cellStyle name="20% - Accent1 5 3 2 10" xfId="28240"/>
    <cellStyle name="20% - Accent1 5 3 2 11" xfId="2032"/>
    <cellStyle name="20% - Accent1 5 3 2 2" xfId="1370"/>
    <cellStyle name="20% - Accent1 5 3 2 2 2" xfId="5401"/>
    <cellStyle name="20% - Accent1 5 3 2 2 2 2" xfId="10375"/>
    <cellStyle name="20% - Accent1 5 3 2 2 2 3" xfId="14652"/>
    <cellStyle name="20% - Accent1 5 3 2 2 2 4" xfId="18911"/>
    <cellStyle name="20% - Accent1 5 3 2 2 2 5" xfId="23130"/>
    <cellStyle name="20% - Accent1 5 3 2 2 2 6" xfId="27325"/>
    <cellStyle name="20% - Accent1 5 3 2 2 2 7" xfId="31221"/>
    <cellStyle name="20% - Accent1 5 3 2 2 3" xfId="8513"/>
    <cellStyle name="20% - Accent1 5 3 2 2 4" xfId="12798"/>
    <cellStyle name="20% - Accent1 5 3 2 2 5" xfId="17070"/>
    <cellStyle name="20% - Accent1 5 3 2 2 6" xfId="21305"/>
    <cellStyle name="20% - Accent1 5 3 2 2 7" xfId="25543"/>
    <cellStyle name="20% - Accent1 5 3 2 2 8" xfId="29621"/>
    <cellStyle name="20% - Accent1 5 3 2 2 9" xfId="3537"/>
    <cellStyle name="20% - Accent1 5 3 2 3" xfId="4744"/>
    <cellStyle name="20% - Accent1 5 3 2 3 2" xfId="9718"/>
    <cellStyle name="20% - Accent1 5 3 2 3 3" xfId="13995"/>
    <cellStyle name="20% - Accent1 5 3 2 3 4" xfId="18254"/>
    <cellStyle name="20% - Accent1 5 3 2 3 5" xfId="22473"/>
    <cellStyle name="20% - Accent1 5 3 2 3 6" xfId="26668"/>
    <cellStyle name="20% - Accent1 5 3 2 3 7" xfId="30564"/>
    <cellStyle name="20% - Accent1 5 3 2 4" xfId="6092"/>
    <cellStyle name="20% - Accent1 5 3 2 4 2" xfId="11064"/>
    <cellStyle name="20% - Accent1 5 3 2 4 3" xfId="15342"/>
    <cellStyle name="20% - Accent1 5 3 2 4 4" xfId="19599"/>
    <cellStyle name="20% - Accent1 5 3 2 4 5" xfId="23816"/>
    <cellStyle name="20% - Accent1 5 3 2 4 6" xfId="28002"/>
    <cellStyle name="20% - Accent1 5 3 2 4 7" xfId="31881"/>
    <cellStyle name="20% - Accent1 5 3 2 5" xfId="7010"/>
    <cellStyle name="20% - Accent1 5 3 2 6" xfId="11302"/>
    <cellStyle name="20% - Accent1 5 3 2 7" xfId="15580"/>
    <cellStyle name="20% - Accent1 5 3 2 8" xfId="19837"/>
    <cellStyle name="20% - Accent1 5 3 2 9" xfId="24088"/>
    <cellStyle name="20% - Accent1 5 3 3" xfId="1041"/>
    <cellStyle name="20% - Accent1 5 3 3 2" xfId="5072"/>
    <cellStyle name="20% - Accent1 5 3 3 2 2" xfId="10046"/>
    <cellStyle name="20% - Accent1 5 3 3 2 3" xfId="14323"/>
    <cellStyle name="20% - Accent1 5 3 3 2 4" xfId="18582"/>
    <cellStyle name="20% - Accent1 5 3 3 2 5" xfId="22801"/>
    <cellStyle name="20% - Accent1 5 3 3 2 6" xfId="26996"/>
    <cellStyle name="20% - Accent1 5 3 3 2 7" xfId="30892"/>
    <cellStyle name="20% - Accent1 5 3 3 3" xfId="7657"/>
    <cellStyle name="20% - Accent1 5 3 3 4" xfId="11946"/>
    <cellStyle name="20% - Accent1 5 3 3 5" xfId="16222"/>
    <cellStyle name="20% - Accent1 5 3 3 6" xfId="20464"/>
    <cellStyle name="20% - Accent1 5 3 3 7" xfId="24711"/>
    <cellStyle name="20% - Accent1 5 3 3 8" xfId="28814"/>
    <cellStyle name="20% - Accent1 5 3 3 9" xfId="2680"/>
    <cellStyle name="20% - Accent1 5 3 4" xfId="4414"/>
    <cellStyle name="20% - Accent1 5 3 4 2" xfId="9388"/>
    <cellStyle name="20% - Accent1 5 3 4 3" xfId="13665"/>
    <cellStyle name="20% - Accent1 5 3 4 4" xfId="17925"/>
    <cellStyle name="20% - Accent1 5 3 4 5" xfId="22143"/>
    <cellStyle name="20% - Accent1 5 3 4 6" xfId="26339"/>
    <cellStyle name="20% - Accent1 5 3 4 7" xfId="30235"/>
    <cellStyle name="20% - Accent1 5 3 5" xfId="5763"/>
    <cellStyle name="20% - Accent1 5 3 5 2" xfId="10735"/>
    <cellStyle name="20% - Accent1 5 3 5 3" xfId="15013"/>
    <cellStyle name="20% - Accent1 5 3 5 4" xfId="19270"/>
    <cellStyle name="20% - Accent1 5 3 5 5" xfId="23487"/>
    <cellStyle name="20% - Accent1 5 3 5 6" xfId="27673"/>
    <cellStyle name="20% - Accent1 5 3 5 7" xfId="31552"/>
    <cellStyle name="20% - Accent1 5 3 6" xfId="6629"/>
    <cellStyle name="20% - Accent1 5 3 7" xfId="7949"/>
    <cellStyle name="20% - Accent1 5 3 8" xfId="12238"/>
    <cellStyle name="20% - Accent1 5 3 9" xfId="16514"/>
    <cellStyle name="20% - Accent1 5 4" xfId="3221"/>
    <cellStyle name="20% - Accent1 5 4 2" xfId="8197"/>
    <cellStyle name="20% - Accent1 5 4 3" xfId="12483"/>
    <cellStyle name="20% - Accent1 5 4 4" xfId="16755"/>
    <cellStyle name="20% - Accent1 5 4 5" xfId="20993"/>
    <cellStyle name="20% - Accent1 5 4 6" xfId="25231"/>
    <cellStyle name="20% - Accent1 5 4 7" xfId="29312"/>
    <cellStyle name="20% - Accent1 5 5" xfId="2325"/>
    <cellStyle name="20% - Accent1 5 5 2" xfId="7303"/>
    <cellStyle name="20% - Accent1 5 5 3" xfId="11593"/>
    <cellStyle name="20% - Accent1 5 5 4" xfId="15871"/>
    <cellStyle name="20% - Accent1 5 5 5" xfId="20123"/>
    <cellStyle name="20% - Accent1 5 5 6" xfId="24372"/>
    <cellStyle name="20% - Accent1 5 5 7" xfId="28504"/>
    <cellStyle name="20% - Accent1 6" xfId="362"/>
    <cellStyle name="20% - Accent1 6 10" xfId="21957"/>
    <cellStyle name="20% - Accent1 6 11" xfId="21729"/>
    <cellStyle name="20% - Accent1 6 12" xfId="1725"/>
    <cellStyle name="20% - Accent1 6 2" xfId="736"/>
    <cellStyle name="20% - Accent1 6 2 10" xfId="19860"/>
    <cellStyle name="20% - Accent1 6 2 11" xfId="24111"/>
    <cellStyle name="20% - Accent1 6 2 12" xfId="28263"/>
    <cellStyle name="20% - Accent1 6 2 13" xfId="2055"/>
    <cellStyle name="20% - Accent1 6 2 2" xfId="1393"/>
    <cellStyle name="20% - Accent1 6 2 2 10" xfId="2681"/>
    <cellStyle name="20% - Accent1 6 2 2 2" xfId="3538"/>
    <cellStyle name="20% - Accent1 6 2 2 2 2" xfId="8514"/>
    <cellStyle name="20% - Accent1 6 2 2 2 3" xfId="12799"/>
    <cellStyle name="20% - Accent1 6 2 2 2 4" xfId="17071"/>
    <cellStyle name="20% - Accent1 6 2 2 2 5" xfId="21306"/>
    <cellStyle name="20% - Accent1 6 2 2 2 6" xfId="25544"/>
    <cellStyle name="20% - Accent1 6 2 2 2 7" xfId="29622"/>
    <cellStyle name="20% - Accent1 6 2 2 3" xfId="5424"/>
    <cellStyle name="20% - Accent1 6 2 2 3 2" xfId="10398"/>
    <cellStyle name="20% - Accent1 6 2 2 3 3" xfId="14675"/>
    <cellStyle name="20% - Accent1 6 2 2 3 4" xfId="18934"/>
    <cellStyle name="20% - Accent1 6 2 2 3 5" xfId="23153"/>
    <cellStyle name="20% - Accent1 6 2 2 3 6" xfId="27348"/>
    <cellStyle name="20% - Accent1 6 2 2 3 7" xfId="31244"/>
    <cellStyle name="20% - Accent1 6 2 2 4" xfId="7658"/>
    <cellStyle name="20% - Accent1 6 2 2 5" xfId="11947"/>
    <cellStyle name="20% - Accent1 6 2 2 6" xfId="16223"/>
    <cellStyle name="20% - Accent1 6 2 2 7" xfId="20465"/>
    <cellStyle name="20% - Accent1 6 2 2 8" xfId="24712"/>
    <cellStyle name="20% - Accent1 6 2 2 9" xfId="28815"/>
    <cellStyle name="20% - Accent1 6 2 3" xfId="3314"/>
    <cellStyle name="20% - Accent1 6 2 3 2" xfId="8290"/>
    <cellStyle name="20% - Accent1 6 2 3 3" xfId="12575"/>
    <cellStyle name="20% - Accent1 6 2 3 4" xfId="16847"/>
    <cellStyle name="20% - Accent1 6 2 3 5" xfId="21082"/>
    <cellStyle name="20% - Accent1 6 2 3 6" xfId="25320"/>
    <cellStyle name="20% - Accent1 6 2 3 7" xfId="29398"/>
    <cellStyle name="20% - Accent1 6 2 4" xfId="2453"/>
    <cellStyle name="20% - Accent1 6 2 4 2" xfId="7430"/>
    <cellStyle name="20% - Accent1 6 2 4 3" xfId="11719"/>
    <cellStyle name="20% - Accent1 6 2 4 4" xfId="15997"/>
    <cellStyle name="20% - Accent1 6 2 4 5" xfId="20240"/>
    <cellStyle name="20% - Accent1 6 2 4 6" xfId="24486"/>
    <cellStyle name="20% - Accent1 6 2 4 7" xfId="28591"/>
    <cellStyle name="20% - Accent1 6 2 5" xfId="4767"/>
    <cellStyle name="20% - Accent1 6 2 5 2" xfId="9741"/>
    <cellStyle name="20% - Accent1 6 2 5 3" xfId="14018"/>
    <cellStyle name="20% - Accent1 6 2 5 4" xfId="18277"/>
    <cellStyle name="20% - Accent1 6 2 5 5" xfId="22496"/>
    <cellStyle name="20% - Accent1 6 2 5 6" xfId="26691"/>
    <cellStyle name="20% - Accent1 6 2 5 7" xfId="30587"/>
    <cellStyle name="20% - Accent1 6 2 6" xfId="6115"/>
    <cellStyle name="20% - Accent1 6 2 6 2" xfId="11087"/>
    <cellStyle name="20% - Accent1 6 2 6 3" xfId="15365"/>
    <cellStyle name="20% - Accent1 6 2 6 4" xfId="19622"/>
    <cellStyle name="20% - Accent1 6 2 6 5" xfId="23839"/>
    <cellStyle name="20% - Accent1 6 2 6 6" xfId="28025"/>
    <cellStyle name="20% - Accent1 6 2 6 7" xfId="31904"/>
    <cellStyle name="20% - Accent1 6 2 7" xfId="7033"/>
    <cellStyle name="20% - Accent1 6 2 8" xfId="11325"/>
    <cellStyle name="20% - Accent1 6 2 9" xfId="15603"/>
    <cellStyle name="20% - Accent1 6 3" xfId="1064"/>
    <cellStyle name="20% - Accent1 6 3 2" xfId="5095"/>
    <cellStyle name="20% - Accent1 6 3 2 2" xfId="10069"/>
    <cellStyle name="20% - Accent1 6 3 2 3" xfId="14346"/>
    <cellStyle name="20% - Accent1 6 3 2 4" xfId="18605"/>
    <cellStyle name="20% - Accent1 6 3 2 5" xfId="22824"/>
    <cellStyle name="20% - Accent1 6 3 2 6" xfId="27019"/>
    <cellStyle name="20% - Accent1 6 3 2 7" xfId="30915"/>
    <cellStyle name="20% - Accent1 6 3 3" xfId="2344"/>
    <cellStyle name="20% - Accent1 6 4" xfId="4437"/>
    <cellStyle name="20% - Accent1 6 4 2" xfId="9411"/>
    <cellStyle name="20% - Accent1 6 4 3" xfId="13688"/>
    <cellStyle name="20% - Accent1 6 4 4" xfId="17948"/>
    <cellStyle name="20% - Accent1 6 4 5" xfId="22166"/>
    <cellStyle name="20% - Accent1 6 4 6" xfId="26362"/>
    <cellStyle name="20% - Accent1 6 4 7" xfId="30258"/>
    <cellStyle name="20% - Accent1 6 5" xfId="5786"/>
    <cellStyle name="20% - Accent1 6 5 2" xfId="10758"/>
    <cellStyle name="20% - Accent1 6 5 3" xfId="15036"/>
    <cellStyle name="20% - Accent1 6 5 4" xfId="19293"/>
    <cellStyle name="20% - Accent1 6 5 5" xfId="23510"/>
    <cellStyle name="20% - Accent1 6 5 6" xfId="27696"/>
    <cellStyle name="20% - Accent1 6 5 7" xfId="31575"/>
    <cellStyle name="20% - Accent1 6 6" xfId="6660"/>
    <cellStyle name="20% - Accent1 6 7" xfId="6330"/>
    <cellStyle name="20% - Accent1 6 8" xfId="6510"/>
    <cellStyle name="20% - Accent1 6 9" xfId="6337"/>
    <cellStyle name="20% - Accent1 7" xfId="549"/>
    <cellStyle name="20% - Accent1 7 2" xfId="2682"/>
    <cellStyle name="20% - Accent1 7 2 2" xfId="3539"/>
    <cellStyle name="20% - Accent1 7 2 2 2" xfId="8515"/>
    <cellStyle name="20% - Accent1 7 2 2 3" xfId="12800"/>
    <cellStyle name="20% - Accent1 7 2 2 4" xfId="17072"/>
    <cellStyle name="20% - Accent1 7 2 2 5" xfId="21307"/>
    <cellStyle name="20% - Accent1 7 2 2 6" xfId="25545"/>
    <cellStyle name="20% - Accent1 7 2 2 7" xfId="29623"/>
    <cellStyle name="20% - Accent1 7 2 3" xfId="7659"/>
    <cellStyle name="20% - Accent1 7 2 4" xfId="11948"/>
    <cellStyle name="20% - Accent1 7 2 5" xfId="16224"/>
    <cellStyle name="20% - Accent1 7 2 6" xfId="20466"/>
    <cellStyle name="20% - Accent1 7 2 7" xfId="24713"/>
    <cellStyle name="20% - Accent1 7 2 8" xfId="28816"/>
    <cellStyle name="20% - Accent1 7 3" xfId="3447"/>
    <cellStyle name="20% - Accent1 7 3 2" xfId="8423"/>
    <cellStyle name="20% - Accent1 7 3 3" xfId="12708"/>
    <cellStyle name="20% - Accent1 7 3 4" xfId="16980"/>
    <cellStyle name="20% - Accent1 7 3 5" xfId="21215"/>
    <cellStyle name="20% - Accent1 7 3 6" xfId="25453"/>
    <cellStyle name="20% - Accent1 7 3 7" xfId="29531"/>
    <cellStyle name="20% - Accent1 7 4" xfId="2588"/>
    <cellStyle name="20% - Accent1 7 4 2" xfId="7565"/>
    <cellStyle name="20% - Accent1 7 4 3" xfId="11854"/>
    <cellStyle name="20% - Accent1 7 4 4" xfId="16130"/>
    <cellStyle name="20% - Accent1 7 4 5" xfId="20373"/>
    <cellStyle name="20% - Accent1 7 4 6" xfId="24619"/>
    <cellStyle name="20% - Accent1 7 4 7" xfId="28724"/>
    <cellStyle name="20% - Accent1 8" xfId="2683"/>
    <cellStyle name="20% - Accent2" xfId="2" builtinId="34" customBuiltin="1"/>
    <cellStyle name="20% - Accent2 2" xfId="78"/>
    <cellStyle name="20% - Accent2 2 10" xfId="4293"/>
    <cellStyle name="20% - Accent2 2 10 2" xfId="9267"/>
    <cellStyle name="20% - Accent2 2 10 3" xfId="13544"/>
    <cellStyle name="20% - Accent2 2 10 4" xfId="17804"/>
    <cellStyle name="20% - Accent2 2 10 5" xfId="22023"/>
    <cellStyle name="20% - Accent2 2 10 6" xfId="26221"/>
    <cellStyle name="20% - Accent2 2 10 7" xfId="30118"/>
    <cellStyle name="20% - Accent2 2 11" xfId="5649"/>
    <cellStyle name="20% - Accent2 2 11 2" xfId="10621"/>
    <cellStyle name="20% - Accent2 2 11 3" xfId="14899"/>
    <cellStyle name="20% - Accent2 2 11 4" xfId="19156"/>
    <cellStyle name="20% - Accent2 2 11 5" xfId="23373"/>
    <cellStyle name="20% - Accent2 2 11 6" xfId="27559"/>
    <cellStyle name="20% - Accent2 2 11 7" xfId="31438"/>
    <cellStyle name="20% - Accent2 2 12" xfId="6378"/>
    <cellStyle name="20% - Accent2 2 13" xfId="6346"/>
    <cellStyle name="20% - Accent2 2 14" xfId="6578"/>
    <cellStyle name="20% - Accent2 2 15" xfId="9097"/>
    <cellStyle name="20% - Accent2 2 16" xfId="9237"/>
    <cellStyle name="20% - Accent2 2 17" xfId="13451"/>
    <cellStyle name="20% - Accent2 2 18" xfId="1583"/>
    <cellStyle name="20% - Accent2 2 2" xfId="168"/>
    <cellStyle name="20% - Accent2 2 2 10" xfId="5681"/>
    <cellStyle name="20% - Accent2 2 2 10 2" xfId="10653"/>
    <cellStyle name="20% - Accent2 2 2 10 3" xfId="14931"/>
    <cellStyle name="20% - Accent2 2 2 10 4" xfId="19188"/>
    <cellStyle name="20% - Accent2 2 2 10 5" xfId="23405"/>
    <cellStyle name="20% - Accent2 2 2 10 6" xfId="27591"/>
    <cellStyle name="20% - Accent2 2 2 10 7" xfId="31470"/>
    <cellStyle name="20% - Accent2 2 2 11" xfId="6467"/>
    <cellStyle name="20% - Accent2 2 2 12" xfId="8211"/>
    <cellStyle name="20% - Accent2 2 2 13" xfId="12497"/>
    <cellStyle name="20% - Accent2 2 2 14" xfId="16769"/>
    <cellStyle name="20% - Accent2 2 2 15" xfId="17735"/>
    <cellStyle name="20% - Accent2 2 2 16" xfId="25245"/>
    <cellStyle name="20% - Accent2 2 2 17" xfId="1616"/>
    <cellStyle name="20% - Accent2 2 2 2" xfId="312"/>
    <cellStyle name="20% - Accent2 2 2 2 10" xfId="13275"/>
    <cellStyle name="20% - Accent2 2 2 2 11" xfId="17549"/>
    <cellStyle name="20% - Accent2 2 2 2 12" xfId="21856"/>
    <cellStyle name="20% - Accent2 2 2 2 13" xfId="26013"/>
    <cellStyle name="20% - Accent2 2 2 2 14" xfId="1684"/>
    <cellStyle name="20% - Accent2 2 2 2 2" xfId="476"/>
    <cellStyle name="20% - Accent2 2 2 2 2 10" xfId="11512"/>
    <cellStyle name="20% - Accent2 2 2 2 2 11" xfId="17725"/>
    <cellStyle name="20% - Accent2 2 2 2 2 12" xfId="21840"/>
    <cellStyle name="20% - Accent2 2 2 2 2 13" xfId="1839"/>
    <cellStyle name="20% - Accent2 2 2 2 2 2" xfId="850"/>
    <cellStyle name="20% - Accent2 2 2 2 2 2 10" xfId="24225"/>
    <cellStyle name="20% - Accent2 2 2 2 2 2 11" xfId="28377"/>
    <cellStyle name="20% - Accent2 2 2 2 2 2 12" xfId="2169"/>
    <cellStyle name="20% - Accent2 2 2 2 2 2 2" xfId="1507"/>
    <cellStyle name="20% - Accent2 2 2 2 2 2 2 2" xfId="5538"/>
    <cellStyle name="20% - Accent2 2 2 2 2 2 2 2 2" xfId="10512"/>
    <cellStyle name="20% - Accent2 2 2 2 2 2 2 2 3" xfId="14789"/>
    <cellStyle name="20% - Accent2 2 2 2 2 2 2 2 4" xfId="19048"/>
    <cellStyle name="20% - Accent2 2 2 2 2 2 2 2 5" xfId="23267"/>
    <cellStyle name="20% - Accent2 2 2 2 2 2 2 2 6" xfId="27462"/>
    <cellStyle name="20% - Accent2 2 2 2 2 2 2 2 7" xfId="31358"/>
    <cellStyle name="20% - Accent2 2 2 2 2 2 2 3" xfId="8516"/>
    <cellStyle name="20% - Accent2 2 2 2 2 2 2 4" xfId="12801"/>
    <cellStyle name="20% - Accent2 2 2 2 2 2 2 5" xfId="17073"/>
    <cellStyle name="20% - Accent2 2 2 2 2 2 2 6" xfId="21308"/>
    <cellStyle name="20% - Accent2 2 2 2 2 2 2 7" xfId="25546"/>
    <cellStyle name="20% - Accent2 2 2 2 2 2 2 8" xfId="29624"/>
    <cellStyle name="20% - Accent2 2 2 2 2 2 2 9" xfId="3540"/>
    <cellStyle name="20% - Accent2 2 2 2 2 2 3" xfId="2684"/>
    <cellStyle name="20% - Accent2 2 2 2 2 2 3 2" xfId="7661"/>
    <cellStyle name="20% - Accent2 2 2 2 2 2 3 3" xfId="11950"/>
    <cellStyle name="20% - Accent2 2 2 2 2 2 3 4" xfId="16226"/>
    <cellStyle name="20% - Accent2 2 2 2 2 2 3 5" xfId="20468"/>
    <cellStyle name="20% - Accent2 2 2 2 2 2 3 6" xfId="24715"/>
    <cellStyle name="20% - Accent2 2 2 2 2 2 3 7" xfId="28817"/>
    <cellStyle name="20% - Accent2 2 2 2 2 2 4" xfId="4881"/>
    <cellStyle name="20% - Accent2 2 2 2 2 2 4 2" xfId="9855"/>
    <cellStyle name="20% - Accent2 2 2 2 2 2 4 3" xfId="14132"/>
    <cellStyle name="20% - Accent2 2 2 2 2 2 4 4" xfId="18391"/>
    <cellStyle name="20% - Accent2 2 2 2 2 2 4 5" xfId="22610"/>
    <cellStyle name="20% - Accent2 2 2 2 2 2 4 6" xfId="26805"/>
    <cellStyle name="20% - Accent2 2 2 2 2 2 4 7" xfId="30701"/>
    <cellStyle name="20% - Accent2 2 2 2 2 2 5" xfId="6229"/>
    <cellStyle name="20% - Accent2 2 2 2 2 2 5 2" xfId="11201"/>
    <cellStyle name="20% - Accent2 2 2 2 2 2 5 3" xfId="15479"/>
    <cellStyle name="20% - Accent2 2 2 2 2 2 5 4" xfId="19736"/>
    <cellStyle name="20% - Accent2 2 2 2 2 2 5 5" xfId="23953"/>
    <cellStyle name="20% - Accent2 2 2 2 2 2 5 6" xfId="28139"/>
    <cellStyle name="20% - Accent2 2 2 2 2 2 5 7" xfId="32018"/>
    <cellStyle name="20% - Accent2 2 2 2 2 2 6" xfId="7147"/>
    <cellStyle name="20% - Accent2 2 2 2 2 2 7" xfId="11439"/>
    <cellStyle name="20% - Accent2 2 2 2 2 2 8" xfId="15717"/>
    <cellStyle name="20% - Accent2 2 2 2 2 2 9" xfId="19974"/>
    <cellStyle name="20% - Accent2 2 2 2 2 3" xfId="1178"/>
    <cellStyle name="20% - Accent2 2 2 2 2 3 2" xfId="5209"/>
    <cellStyle name="20% - Accent2 2 2 2 2 3 2 2" xfId="10183"/>
    <cellStyle name="20% - Accent2 2 2 2 2 3 2 3" xfId="14460"/>
    <cellStyle name="20% - Accent2 2 2 2 2 3 2 4" xfId="18719"/>
    <cellStyle name="20% - Accent2 2 2 2 2 3 2 5" xfId="22938"/>
    <cellStyle name="20% - Accent2 2 2 2 2 3 2 6" xfId="27133"/>
    <cellStyle name="20% - Accent2 2 2 2 2 3 2 7" xfId="31029"/>
    <cellStyle name="20% - Accent2 2 2 2 2 3 3" xfId="8404"/>
    <cellStyle name="20% - Accent2 2 2 2 2 3 4" xfId="12689"/>
    <cellStyle name="20% - Accent2 2 2 2 2 3 5" xfId="16961"/>
    <cellStyle name="20% - Accent2 2 2 2 2 3 6" xfId="21196"/>
    <cellStyle name="20% - Accent2 2 2 2 2 3 7" xfId="25434"/>
    <cellStyle name="20% - Accent2 2 2 2 2 3 8" xfId="29512"/>
    <cellStyle name="20% - Accent2 2 2 2 2 3 9" xfId="3428"/>
    <cellStyle name="20% - Accent2 2 2 2 2 4" xfId="2567"/>
    <cellStyle name="20% - Accent2 2 2 2 2 4 2" xfId="7544"/>
    <cellStyle name="20% - Accent2 2 2 2 2 4 3" xfId="11833"/>
    <cellStyle name="20% - Accent2 2 2 2 2 4 4" xfId="16111"/>
    <cellStyle name="20% - Accent2 2 2 2 2 4 5" xfId="20354"/>
    <cellStyle name="20% - Accent2 2 2 2 2 4 6" xfId="24600"/>
    <cellStyle name="20% - Accent2 2 2 2 2 4 7" xfId="28705"/>
    <cellStyle name="20% - Accent2 2 2 2 2 5" xfId="4551"/>
    <cellStyle name="20% - Accent2 2 2 2 2 5 2" xfId="9525"/>
    <cellStyle name="20% - Accent2 2 2 2 2 5 3" xfId="13802"/>
    <cellStyle name="20% - Accent2 2 2 2 2 5 4" xfId="18062"/>
    <cellStyle name="20% - Accent2 2 2 2 2 5 5" xfId="22280"/>
    <cellStyle name="20% - Accent2 2 2 2 2 5 6" xfId="26476"/>
    <cellStyle name="20% - Accent2 2 2 2 2 5 7" xfId="30372"/>
    <cellStyle name="20% - Accent2 2 2 2 2 6" xfId="5900"/>
    <cellStyle name="20% - Accent2 2 2 2 2 6 2" xfId="10872"/>
    <cellStyle name="20% - Accent2 2 2 2 2 6 3" xfId="15150"/>
    <cellStyle name="20% - Accent2 2 2 2 2 6 4" xfId="19407"/>
    <cellStyle name="20% - Accent2 2 2 2 2 6 5" xfId="23624"/>
    <cellStyle name="20% - Accent2 2 2 2 2 6 6" xfId="27810"/>
    <cellStyle name="20% - Accent2 2 2 2 2 6 7" xfId="31689"/>
    <cellStyle name="20% - Accent2 2 2 2 2 7" xfId="6774"/>
    <cellStyle name="20% - Accent2 2 2 2 2 8" xfId="6518"/>
    <cellStyle name="20% - Accent2 2 2 2 2 9" xfId="7220"/>
    <cellStyle name="20% - Accent2 2 2 2 3" xfId="695"/>
    <cellStyle name="20% - Accent2 2 2 2 3 10" xfId="24070"/>
    <cellStyle name="20% - Accent2 2 2 2 3 11" xfId="28222"/>
    <cellStyle name="20% - Accent2 2 2 2 3 12" xfId="2014"/>
    <cellStyle name="20% - Accent2 2 2 2 3 2" xfId="1352"/>
    <cellStyle name="20% - Accent2 2 2 2 3 2 2" xfId="5383"/>
    <cellStyle name="20% - Accent2 2 2 2 3 2 2 2" xfId="10357"/>
    <cellStyle name="20% - Accent2 2 2 2 3 2 2 3" xfId="14634"/>
    <cellStyle name="20% - Accent2 2 2 2 3 2 2 4" xfId="18893"/>
    <cellStyle name="20% - Accent2 2 2 2 3 2 2 5" xfId="23112"/>
    <cellStyle name="20% - Accent2 2 2 2 3 2 2 6" xfId="27307"/>
    <cellStyle name="20% - Accent2 2 2 2 3 2 2 7" xfId="31203"/>
    <cellStyle name="20% - Accent2 2 2 2 3 2 3" xfId="8517"/>
    <cellStyle name="20% - Accent2 2 2 2 3 2 4" xfId="12802"/>
    <cellStyle name="20% - Accent2 2 2 2 3 2 5" xfId="17074"/>
    <cellStyle name="20% - Accent2 2 2 2 3 2 6" xfId="21309"/>
    <cellStyle name="20% - Accent2 2 2 2 3 2 7" xfId="25547"/>
    <cellStyle name="20% - Accent2 2 2 2 3 2 8" xfId="29625"/>
    <cellStyle name="20% - Accent2 2 2 2 3 2 9" xfId="3541"/>
    <cellStyle name="20% - Accent2 2 2 2 3 3" xfId="2685"/>
    <cellStyle name="20% - Accent2 2 2 2 3 3 2" xfId="7662"/>
    <cellStyle name="20% - Accent2 2 2 2 3 3 3" xfId="11951"/>
    <cellStyle name="20% - Accent2 2 2 2 3 3 4" xfId="16227"/>
    <cellStyle name="20% - Accent2 2 2 2 3 3 5" xfId="20469"/>
    <cellStyle name="20% - Accent2 2 2 2 3 3 6" xfId="24716"/>
    <cellStyle name="20% - Accent2 2 2 2 3 3 7" xfId="28818"/>
    <cellStyle name="20% - Accent2 2 2 2 3 4" xfId="4726"/>
    <cellStyle name="20% - Accent2 2 2 2 3 4 2" xfId="9700"/>
    <cellStyle name="20% - Accent2 2 2 2 3 4 3" xfId="13977"/>
    <cellStyle name="20% - Accent2 2 2 2 3 4 4" xfId="18236"/>
    <cellStyle name="20% - Accent2 2 2 2 3 4 5" xfId="22455"/>
    <cellStyle name="20% - Accent2 2 2 2 3 4 6" xfId="26650"/>
    <cellStyle name="20% - Accent2 2 2 2 3 4 7" xfId="30546"/>
    <cellStyle name="20% - Accent2 2 2 2 3 5" xfId="6074"/>
    <cellStyle name="20% - Accent2 2 2 2 3 5 2" xfId="11046"/>
    <cellStyle name="20% - Accent2 2 2 2 3 5 3" xfId="15324"/>
    <cellStyle name="20% - Accent2 2 2 2 3 5 4" xfId="19581"/>
    <cellStyle name="20% - Accent2 2 2 2 3 5 5" xfId="23798"/>
    <cellStyle name="20% - Accent2 2 2 2 3 5 6" xfId="27984"/>
    <cellStyle name="20% - Accent2 2 2 2 3 5 7" xfId="31863"/>
    <cellStyle name="20% - Accent2 2 2 2 3 6" xfId="6992"/>
    <cellStyle name="20% - Accent2 2 2 2 3 7" xfId="11284"/>
    <cellStyle name="20% - Accent2 2 2 2 3 8" xfId="15562"/>
    <cellStyle name="20% - Accent2 2 2 2 3 9" xfId="19819"/>
    <cellStyle name="20% - Accent2 2 2 2 4" xfId="1023"/>
    <cellStyle name="20% - Accent2 2 2 2 4 2" xfId="5054"/>
    <cellStyle name="20% - Accent2 2 2 2 4 2 2" xfId="10028"/>
    <cellStyle name="20% - Accent2 2 2 2 4 2 3" xfId="14305"/>
    <cellStyle name="20% - Accent2 2 2 2 4 2 4" xfId="18564"/>
    <cellStyle name="20% - Accent2 2 2 2 4 2 5" xfId="22783"/>
    <cellStyle name="20% - Accent2 2 2 2 4 2 6" xfId="26978"/>
    <cellStyle name="20% - Accent2 2 2 2 4 2 7" xfId="30874"/>
    <cellStyle name="20% - Accent2 2 2 2 4 3" xfId="8252"/>
    <cellStyle name="20% - Accent2 2 2 2 4 4" xfId="12537"/>
    <cellStyle name="20% - Accent2 2 2 2 4 5" xfId="16810"/>
    <cellStyle name="20% - Accent2 2 2 2 4 6" xfId="21046"/>
    <cellStyle name="20% - Accent2 2 2 2 4 7" xfId="25284"/>
    <cellStyle name="20% - Accent2 2 2 2 4 8" xfId="29362"/>
    <cellStyle name="20% - Accent2 2 2 2 4 9" xfId="3276"/>
    <cellStyle name="20% - Accent2 2 2 2 5" xfId="2392"/>
    <cellStyle name="20% - Accent2 2 2 2 5 2" xfId="7370"/>
    <cellStyle name="20% - Accent2 2 2 2 5 3" xfId="11659"/>
    <cellStyle name="20% - Accent2 2 2 2 5 4" xfId="15937"/>
    <cellStyle name="20% - Accent2 2 2 2 5 5" xfId="20186"/>
    <cellStyle name="20% - Accent2 2 2 2 5 6" xfId="24434"/>
    <cellStyle name="20% - Accent2 2 2 2 5 7" xfId="28554"/>
    <cellStyle name="20% - Accent2 2 2 2 6" xfId="4396"/>
    <cellStyle name="20% - Accent2 2 2 2 6 2" xfId="9370"/>
    <cellStyle name="20% - Accent2 2 2 2 6 3" xfId="13647"/>
    <cellStyle name="20% - Accent2 2 2 2 6 4" xfId="17907"/>
    <cellStyle name="20% - Accent2 2 2 2 6 5" xfId="22125"/>
    <cellStyle name="20% - Accent2 2 2 2 6 6" xfId="26321"/>
    <cellStyle name="20% - Accent2 2 2 2 6 7" xfId="30217"/>
    <cellStyle name="20% - Accent2 2 2 2 7" xfId="5745"/>
    <cellStyle name="20% - Accent2 2 2 2 7 2" xfId="10717"/>
    <cellStyle name="20% - Accent2 2 2 2 7 3" xfId="14995"/>
    <cellStyle name="20% - Accent2 2 2 2 7 4" xfId="19252"/>
    <cellStyle name="20% - Accent2 2 2 2 7 5" xfId="23469"/>
    <cellStyle name="20% - Accent2 2 2 2 7 6" xfId="27655"/>
    <cellStyle name="20% - Accent2 2 2 2 7 7" xfId="31534"/>
    <cellStyle name="20% - Accent2 2 2 2 8" xfId="6610"/>
    <cellStyle name="20% - Accent2 2 2 2 9" xfId="8993"/>
    <cellStyle name="20% - Accent2 2 2 3" xfId="415"/>
    <cellStyle name="20% - Accent2 2 2 3 10" xfId="17672"/>
    <cellStyle name="20% - Accent2 2 2 3 11" xfId="21999"/>
    <cellStyle name="20% - Accent2 2 2 3 12" xfId="26114"/>
    <cellStyle name="20% - Accent2 2 2 3 13" xfId="1778"/>
    <cellStyle name="20% - Accent2 2 2 3 2" xfId="789"/>
    <cellStyle name="20% - Accent2 2 2 3 2 10" xfId="24164"/>
    <cellStyle name="20% - Accent2 2 2 3 2 11" xfId="28316"/>
    <cellStyle name="20% - Accent2 2 2 3 2 12" xfId="2108"/>
    <cellStyle name="20% - Accent2 2 2 3 2 2" xfId="1446"/>
    <cellStyle name="20% - Accent2 2 2 3 2 2 2" xfId="5477"/>
    <cellStyle name="20% - Accent2 2 2 3 2 2 2 2" xfId="10451"/>
    <cellStyle name="20% - Accent2 2 2 3 2 2 2 3" xfId="14728"/>
    <cellStyle name="20% - Accent2 2 2 3 2 2 2 4" xfId="18987"/>
    <cellStyle name="20% - Accent2 2 2 3 2 2 2 5" xfId="23206"/>
    <cellStyle name="20% - Accent2 2 2 3 2 2 2 6" xfId="27401"/>
    <cellStyle name="20% - Accent2 2 2 3 2 2 2 7" xfId="31297"/>
    <cellStyle name="20% - Accent2 2 2 3 2 2 3" xfId="8518"/>
    <cellStyle name="20% - Accent2 2 2 3 2 2 4" xfId="12803"/>
    <cellStyle name="20% - Accent2 2 2 3 2 2 5" xfId="17075"/>
    <cellStyle name="20% - Accent2 2 2 3 2 2 6" xfId="21310"/>
    <cellStyle name="20% - Accent2 2 2 3 2 2 7" xfId="25548"/>
    <cellStyle name="20% - Accent2 2 2 3 2 2 8" xfId="29626"/>
    <cellStyle name="20% - Accent2 2 2 3 2 2 9" xfId="3542"/>
    <cellStyle name="20% - Accent2 2 2 3 2 3" xfId="2686"/>
    <cellStyle name="20% - Accent2 2 2 3 2 3 2" xfId="7663"/>
    <cellStyle name="20% - Accent2 2 2 3 2 3 3" xfId="11952"/>
    <cellStyle name="20% - Accent2 2 2 3 2 3 4" xfId="16228"/>
    <cellStyle name="20% - Accent2 2 2 3 2 3 5" xfId="20470"/>
    <cellStyle name="20% - Accent2 2 2 3 2 3 6" xfId="24717"/>
    <cellStyle name="20% - Accent2 2 2 3 2 3 7" xfId="28819"/>
    <cellStyle name="20% - Accent2 2 2 3 2 4" xfId="4820"/>
    <cellStyle name="20% - Accent2 2 2 3 2 4 2" xfId="9794"/>
    <cellStyle name="20% - Accent2 2 2 3 2 4 3" xfId="14071"/>
    <cellStyle name="20% - Accent2 2 2 3 2 4 4" xfId="18330"/>
    <cellStyle name="20% - Accent2 2 2 3 2 4 5" xfId="22549"/>
    <cellStyle name="20% - Accent2 2 2 3 2 4 6" xfId="26744"/>
    <cellStyle name="20% - Accent2 2 2 3 2 4 7" xfId="30640"/>
    <cellStyle name="20% - Accent2 2 2 3 2 5" xfId="6168"/>
    <cellStyle name="20% - Accent2 2 2 3 2 5 2" xfId="11140"/>
    <cellStyle name="20% - Accent2 2 2 3 2 5 3" xfId="15418"/>
    <cellStyle name="20% - Accent2 2 2 3 2 5 4" xfId="19675"/>
    <cellStyle name="20% - Accent2 2 2 3 2 5 5" xfId="23892"/>
    <cellStyle name="20% - Accent2 2 2 3 2 5 6" xfId="28078"/>
    <cellStyle name="20% - Accent2 2 2 3 2 5 7" xfId="31957"/>
    <cellStyle name="20% - Accent2 2 2 3 2 6" xfId="7086"/>
    <cellStyle name="20% - Accent2 2 2 3 2 7" xfId="11378"/>
    <cellStyle name="20% - Accent2 2 2 3 2 8" xfId="15656"/>
    <cellStyle name="20% - Accent2 2 2 3 2 9" xfId="19913"/>
    <cellStyle name="20% - Accent2 2 2 3 3" xfId="1117"/>
    <cellStyle name="20% - Accent2 2 2 3 3 2" xfId="5148"/>
    <cellStyle name="20% - Accent2 2 2 3 3 2 2" xfId="10122"/>
    <cellStyle name="20% - Accent2 2 2 3 3 2 3" xfId="14399"/>
    <cellStyle name="20% - Accent2 2 2 3 3 2 4" xfId="18658"/>
    <cellStyle name="20% - Accent2 2 2 3 3 2 5" xfId="22877"/>
    <cellStyle name="20% - Accent2 2 2 3 3 2 6" xfId="27072"/>
    <cellStyle name="20% - Accent2 2 2 3 3 2 7" xfId="30968"/>
    <cellStyle name="20% - Accent2 2 2 3 3 3" xfId="8343"/>
    <cellStyle name="20% - Accent2 2 2 3 3 4" xfId="12628"/>
    <cellStyle name="20% - Accent2 2 2 3 3 5" xfId="16900"/>
    <cellStyle name="20% - Accent2 2 2 3 3 6" xfId="21135"/>
    <cellStyle name="20% - Accent2 2 2 3 3 7" xfId="25373"/>
    <cellStyle name="20% - Accent2 2 2 3 3 8" xfId="29451"/>
    <cellStyle name="20% - Accent2 2 2 3 3 9" xfId="3367"/>
    <cellStyle name="20% - Accent2 2 2 3 4" xfId="2506"/>
    <cellStyle name="20% - Accent2 2 2 3 4 2" xfId="7483"/>
    <cellStyle name="20% - Accent2 2 2 3 4 3" xfId="11772"/>
    <cellStyle name="20% - Accent2 2 2 3 4 4" xfId="16050"/>
    <cellStyle name="20% - Accent2 2 2 3 4 5" xfId="20293"/>
    <cellStyle name="20% - Accent2 2 2 3 4 6" xfId="24539"/>
    <cellStyle name="20% - Accent2 2 2 3 4 7" xfId="28644"/>
    <cellStyle name="20% - Accent2 2 2 3 5" xfId="4490"/>
    <cellStyle name="20% - Accent2 2 2 3 5 2" xfId="9464"/>
    <cellStyle name="20% - Accent2 2 2 3 5 3" xfId="13741"/>
    <cellStyle name="20% - Accent2 2 2 3 5 4" xfId="18001"/>
    <cellStyle name="20% - Accent2 2 2 3 5 5" xfId="22219"/>
    <cellStyle name="20% - Accent2 2 2 3 5 6" xfId="26415"/>
    <cellStyle name="20% - Accent2 2 2 3 5 7" xfId="30311"/>
    <cellStyle name="20% - Accent2 2 2 3 6" xfId="5839"/>
    <cellStyle name="20% - Accent2 2 2 3 6 2" xfId="10811"/>
    <cellStyle name="20% - Accent2 2 2 3 6 3" xfId="15089"/>
    <cellStyle name="20% - Accent2 2 2 3 6 4" xfId="19346"/>
    <cellStyle name="20% - Accent2 2 2 3 6 5" xfId="23563"/>
    <cellStyle name="20% - Accent2 2 2 3 6 6" xfId="27749"/>
    <cellStyle name="20% - Accent2 2 2 3 6 7" xfId="31628"/>
    <cellStyle name="20% - Accent2 2 2 3 7" xfId="6713"/>
    <cellStyle name="20% - Accent2 2 2 3 8" xfId="9124"/>
    <cellStyle name="20% - Accent2 2 2 3 9" xfId="13404"/>
    <cellStyle name="20% - Accent2 2 2 4" xfId="529"/>
    <cellStyle name="20% - Accent2 2 2 4 10" xfId="12281"/>
    <cellStyle name="20% - Accent2 2 2 4 11" xfId="20750"/>
    <cellStyle name="20% - Accent2 2 2 4 12" xfId="21593"/>
    <cellStyle name="20% - Accent2 2 2 4 13" xfId="1892"/>
    <cellStyle name="20% - Accent2 2 2 4 2" xfId="903"/>
    <cellStyle name="20% - Accent2 2 2 4 2 10" xfId="24278"/>
    <cellStyle name="20% - Accent2 2 2 4 2 11" xfId="28430"/>
    <cellStyle name="20% - Accent2 2 2 4 2 12" xfId="2222"/>
    <cellStyle name="20% - Accent2 2 2 4 2 2" xfId="1560"/>
    <cellStyle name="20% - Accent2 2 2 4 2 2 2" xfId="5591"/>
    <cellStyle name="20% - Accent2 2 2 4 2 2 2 2" xfId="10565"/>
    <cellStyle name="20% - Accent2 2 2 4 2 2 2 3" xfId="14842"/>
    <cellStyle name="20% - Accent2 2 2 4 2 2 2 4" xfId="19101"/>
    <cellStyle name="20% - Accent2 2 2 4 2 2 2 5" xfId="23320"/>
    <cellStyle name="20% - Accent2 2 2 4 2 2 2 6" xfId="27515"/>
    <cellStyle name="20% - Accent2 2 2 4 2 2 2 7" xfId="31411"/>
    <cellStyle name="20% - Accent2 2 2 4 2 2 3" xfId="8519"/>
    <cellStyle name="20% - Accent2 2 2 4 2 2 4" xfId="12804"/>
    <cellStyle name="20% - Accent2 2 2 4 2 2 5" xfId="17076"/>
    <cellStyle name="20% - Accent2 2 2 4 2 2 6" xfId="21311"/>
    <cellStyle name="20% - Accent2 2 2 4 2 2 7" xfId="25549"/>
    <cellStyle name="20% - Accent2 2 2 4 2 2 8" xfId="29627"/>
    <cellStyle name="20% - Accent2 2 2 4 2 2 9" xfId="3543"/>
    <cellStyle name="20% - Accent2 2 2 4 2 3" xfId="2687"/>
    <cellStyle name="20% - Accent2 2 2 4 2 3 2" xfId="7664"/>
    <cellStyle name="20% - Accent2 2 2 4 2 3 3" xfId="11953"/>
    <cellStyle name="20% - Accent2 2 2 4 2 3 4" xfId="16229"/>
    <cellStyle name="20% - Accent2 2 2 4 2 3 5" xfId="20471"/>
    <cellStyle name="20% - Accent2 2 2 4 2 3 6" xfId="24718"/>
    <cellStyle name="20% - Accent2 2 2 4 2 3 7" xfId="28820"/>
    <cellStyle name="20% - Accent2 2 2 4 2 4" xfId="4934"/>
    <cellStyle name="20% - Accent2 2 2 4 2 4 2" xfId="9908"/>
    <cellStyle name="20% - Accent2 2 2 4 2 4 3" xfId="14185"/>
    <cellStyle name="20% - Accent2 2 2 4 2 4 4" xfId="18444"/>
    <cellStyle name="20% - Accent2 2 2 4 2 4 5" xfId="22663"/>
    <cellStyle name="20% - Accent2 2 2 4 2 4 6" xfId="26858"/>
    <cellStyle name="20% - Accent2 2 2 4 2 4 7" xfId="30754"/>
    <cellStyle name="20% - Accent2 2 2 4 2 5" xfId="6282"/>
    <cellStyle name="20% - Accent2 2 2 4 2 5 2" xfId="11254"/>
    <cellStyle name="20% - Accent2 2 2 4 2 5 3" xfId="15532"/>
    <cellStyle name="20% - Accent2 2 2 4 2 5 4" xfId="19789"/>
    <cellStyle name="20% - Accent2 2 2 4 2 5 5" xfId="24006"/>
    <cellStyle name="20% - Accent2 2 2 4 2 5 6" xfId="28192"/>
    <cellStyle name="20% - Accent2 2 2 4 2 5 7" xfId="32071"/>
    <cellStyle name="20% - Accent2 2 2 4 2 6" xfId="7200"/>
    <cellStyle name="20% - Accent2 2 2 4 2 7" xfId="11492"/>
    <cellStyle name="20% - Accent2 2 2 4 2 8" xfId="15770"/>
    <cellStyle name="20% - Accent2 2 2 4 2 9" xfId="20027"/>
    <cellStyle name="20% - Accent2 2 2 4 3" xfId="1231"/>
    <cellStyle name="20% - Accent2 2 2 4 3 2" xfId="5262"/>
    <cellStyle name="20% - Accent2 2 2 4 3 2 2" xfId="10236"/>
    <cellStyle name="20% - Accent2 2 2 4 3 2 3" xfId="14513"/>
    <cellStyle name="20% - Accent2 2 2 4 3 2 4" xfId="18772"/>
    <cellStyle name="20% - Accent2 2 2 4 3 2 5" xfId="22991"/>
    <cellStyle name="20% - Accent2 2 2 4 3 2 6" xfId="27186"/>
    <cellStyle name="20% - Accent2 2 2 4 3 2 7" xfId="31082"/>
    <cellStyle name="20% - Accent2 2 2 4 3 3" xfId="8471"/>
    <cellStyle name="20% - Accent2 2 2 4 3 4" xfId="12756"/>
    <cellStyle name="20% - Accent2 2 2 4 3 5" xfId="17028"/>
    <cellStyle name="20% - Accent2 2 2 4 3 6" xfId="21263"/>
    <cellStyle name="20% - Accent2 2 2 4 3 7" xfId="25501"/>
    <cellStyle name="20% - Accent2 2 2 4 3 8" xfId="29579"/>
    <cellStyle name="20% - Accent2 2 2 4 3 9" xfId="3495"/>
    <cellStyle name="20% - Accent2 2 2 4 4" xfId="2638"/>
    <cellStyle name="20% - Accent2 2 2 4 4 2" xfId="7615"/>
    <cellStyle name="20% - Accent2 2 2 4 4 3" xfId="11904"/>
    <cellStyle name="20% - Accent2 2 2 4 4 4" xfId="16180"/>
    <cellStyle name="20% - Accent2 2 2 4 4 5" xfId="20422"/>
    <cellStyle name="20% - Accent2 2 2 4 4 6" xfId="24669"/>
    <cellStyle name="20% - Accent2 2 2 4 4 7" xfId="28772"/>
    <cellStyle name="20% - Accent2 2 2 4 5" xfId="4604"/>
    <cellStyle name="20% - Accent2 2 2 4 5 2" xfId="9578"/>
    <cellStyle name="20% - Accent2 2 2 4 5 3" xfId="13855"/>
    <cellStyle name="20% - Accent2 2 2 4 5 4" xfId="18115"/>
    <cellStyle name="20% - Accent2 2 2 4 5 5" xfId="22333"/>
    <cellStyle name="20% - Accent2 2 2 4 5 6" xfId="26529"/>
    <cellStyle name="20% - Accent2 2 2 4 5 7" xfId="30425"/>
    <cellStyle name="20% - Accent2 2 2 4 6" xfId="5953"/>
    <cellStyle name="20% - Accent2 2 2 4 6 2" xfId="10925"/>
    <cellStyle name="20% - Accent2 2 2 4 6 3" xfId="15203"/>
    <cellStyle name="20% - Accent2 2 2 4 6 4" xfId="19460"/>
    <cellStyle name="20% - Accent2 2 2 4 6 5" xfId="23677"/>
    <cellStyle name="20% - Accent2 2 2 4 6 6" xfId="27863"/>
    <cellStyle name="20% - Accent2 2 2 4 6 7" xfId="31742"/>
    <cellStyle name="20% - Accent2 2 2 4 7" xfId="6827"/>
    <cellStyle name="20% - Accent2 2 2 4 8" xfId="6437"/>
    <cellStyle name="20% - Accent2 2 2 4 9" xfId="7993"/>
    <cellStyle name="20% - Accent2 2 2 5" xfId="630"/>
    <cellStyle name="20% - Accent2 2 2 5 10" xfId="6887"/>
    <cellStyle name="20% - Accent2 2 2 5 11" xfId="8277"/>
    <cellStyle name="20% - Accent2 2 2 5 12" xfId="17852"/>
    <cellStyle name="20% - Accent2 2 2 5 13" xfId="1949"/>
    <cellStyle name="20% - Accent2 2 2 5 2" xfId="1287"/>
    <cellStyle name="20% - Accent2 2 2 5 2 10" xfId="2689"/>
    <cellStyle name="20% - Accent2 2 2 5 2 2" xfId="3545"/>
    <cellStyle name="20% - Accent2 2 2 5 2 2 2" xfId="8521"/>
    <cellStyle name="20% - Accent2 2 2 5 2 2 3" xfId="12806"/>
    <cellStyle name="20% - Accent2 2 2 5 2 2 4" xfId="17078"/>
    <cellStyle name="20% - Accent2 2 2 5 2 2 5" xfId="21313"/>
    <cellStyle name="20% - Accent2 2 2 5 2 2 6" xfId="25551"/>
    <cellStyle name="20% - Accent2 2 2 5 2 2 7" xfId="29629"/>
    <cellStyle name="20% - Accent2 2 2 5 2 3" xfId="5318"/>
    <cellStyle name="20% - Accent2 2 2 5 2 3 2" xfId="10292"/>
    <cellStyle name="20% - Accent2 2 2 5 2 3 3" xfId="14569"/>
    <cellStyle name="20% - Accent2 2 2 5 2 3 4" xfId="18828"/>
    <cellStyle name="20% - Accent2 2 2 5 2 3 5" xfId="23047"/>
    <cellStyle name="20% - Accent2 2 2 5 2 3 6" xfId="27242"/>
    <cellStyle name="20% - Accent2 2 2 5 2 3 7" xfId="31138"/>
    <cellStyle name="20% - Accent2 2 2 5 2 4" xfId="7666"/>
    <cellStyle name="20% - Accent2 2 2 5 2 5" xfId="11955"/>
    <cellStyle name="20% - Accent2 2 2 5 2 6" xfId="16231"/>
    <cellStyle name="20% - Accent2 2 2 5 2 7" xfId="20473"/>
    <cellStyle name="20% - Accent2 2 2 5 2 8" xfId="24720"/>
    <cellStyle name="20% - Accent2 2 2 5 2 9" xfId="28822"/>
    <cellStyle name="20% - Accent2 2 2 5 3" xfId="3544"/>
    <cellStyle name="20% - Accent2 2 2 5 3 2" xfId="8520"/>
    <cellStyle name="20% - Accent2 2 2 5 3 3" xfId="12805"/>
    <cellStyle name="20% - Accent2 2 2 5 3 4" xfId="17077"/>
    <cellStyle name="20% - Accent2 2 2 5 3 5" xfId="21312"/>
    <cellStyle name="20% - Accent2 2 2 5 3 6" xfId="25550"/>
    <cellStyle name="20% - Accent2 2 2 5 3 7" xfId="29628"/>
    <cellStyle name="20% - Accent2 2 2 5 4" xfId="2688"/>
    <cellStyle name="20% - Accent2 2 2 5 4 2" xfId="7665"/>
    <cellStyle name="20% - Accent2 2 2 5 4 3" xfId="11954"/>
    <cellStyle name="20% - Accent2 2 2 5 4 4" xfId="16230"/>
    <cellStyle name="20% - Accent2 2 2 5 4 5" xfId="20472"/>
    <cellStyle name="20% - Accent2 2 2 5 4 6" xfId="24719"/>
    <cellStyle name="20% - Accent2 2 2 5 4 7" xfId="28821"/>
    <cellStyle name="20% - Accent2 2 2 5 5" xfId="4661"/>
    <cellStyle name="20% - Accent2 2 2 5 5 2" xfId="9635"/>
    <cellStyle name="20% - Accent2 2 2 5 5 3" xfId="13912"/>
    <cellStyle name="20% - Accent2 2 2 5 5 4" xfId="18171"/>
    <cellStyle name="20% - Accent2 2 2 5 5 5" xfId="22390"/>
    <cellStyle name="20% - Accent2 2 2 5 5 6" xfId="26585"/>
    <cellStyle name="20% - Accent2 2 2 5 5 7" xfId="30481"/>
    <cellStyle name="20% - Accent2 2 2 5 6" xfId="6009"/>
    <cellStyle name="20% - Accent2 2 2 5 6 2" xfId="10981"/>
    <cellStyle name="20% - Accent2 2 2 5 6 3" xfId="15259"/>
    <cellStyle name="20% - Accent2 2 2 5 6 4" xfId="19516"/>
    <cellStyle name="20% - Accent2 2 2 5 6 5" xfId="23733"/>
    <cellStyle name="20% - Accent2 2 2 5 6 6" xfId="27919"/>
    <cellStyle name="20% - Accent2 2 2 5 6 7" xfId="31798"/>
    <cellStyle name="20% - Accent2 2 2 5 7" xfId="6927"/>
    <cellStyle name="20% - Accent2 2 2 5 8" xfId="6425"/>
    <cellStyle name="20% - Accent2 2 2 5 9" xfId="6343"/>
    <cellStyle name="20% - Accent2 2 2 6" xfId="958"/>
    <cellStyle name="20% - Accent2 2 2 6 10" xfId="2690"/>
    <cellStyle name="20% - Accent2 2 2 6 2" xfId="3546"/>
    <cellStyle name="20% - Accent2 2 2 6 2 2" xfId="8522"/>
    <cellStyle name="20% - Accent2 2 2 6 2 3" xfId="12807"/>
    <cellStyle name="20% - Accent2 2 2 6 2 4" xfId="17079"/>
    <cellStyle name="20% - Accent2 2 2 6 2 5" xfId="21314"/>
    <cellStyle name="20% - Accent2 2 2 6 2 6" xfId="25552"/>
    <cellStyle name="20% - Accent2 2 2 6 2 7" xfId="29630"/>
    <cellStyle name="20% - Accent2 2 2 6 3" xfId="4989"/>
    <cellStyle name="20% - Accent2 2 2 6 3 2" xfId="9963"/>
    <cellStyle name="20% - Accent2 2 2 6 3 3" xfId="14240"/>
    <cellStyle name="20% - Accent2 2 2 6 3 4" xfId="18499"/>
    <cellStyle name="20% - Accent2 2 2 6 3 5" xfId="22718"/>
    <cellStyle name="20% - Accent2 2 2 6 3 6" xfId="26913"/>
    <cellStyle name="20% - Accent2 2 2 6 3 7" xfId="30809"/>
    <cellStyle name="20% - Accent2 2 2 6 4" xfId="7667"/>
    <cellStyle name="20% - Accent2 2 2 6 5" xfId="11956"/>
    <cellStyle name="20% - Accent2 2 2 6 6" xfId="16232"/>
    <cellStyle name="20% - Accent2 2 2 6 7" xfId="20474"/>
    <cellStyle name="20% - Accent2 2 2 6 8" xfId="24721"/>
    <cellStyle name="20% - Accent2 2 2 6 9" xfId="28823"/>
    <cellStyle name="20% - Accent2 2 2 7" xfId="3201"/>
    <cellStyle name="20% - Accent2 2 2 7 2" xfId="8177"/>
    <cellStyle name="20% - Accent2 2 2 7 3" xfId="12463"/>
    <cellStyle name="20% - Accent2 2 2 7 4" xfId="16737"/>
    <cellStyle name="20% - Accent2 2 2 7 5" xfId="20973"/>
    <cellStyle name="20% - Accent2 2 2 7 6" xfId="25213"/>
    <cellStyle name="20% - Accent2 2 2 7 7" xfId="29294"/>
    <cellStyle name="20% - Accent2 2 2 8" xfId="2298"/>
    <cellStyle name="20% - Accent2 2 2 8 2" xfId="7276"/>
    <cellStyle name="20% - Accent2 2 2 8 3" xfId="11566"/>
    <cellStyle name="20% - Accent2 2 2 8 4" xfId="15844"/>
    <cellStyle name="20% - Accent2 2 2 8 5" xfId="20097"/>
    <cellStyle name="20% - Accent2 2 2 8 6" xfId="24348"/>
    <cellStyle name="20% - Accent2 2 2 8 7" xfId="28485"/>
    <cellStyle name="20% - Accent2 2 2 9" xfId="4326"/>
    <cellStyle name="20% - Accent2 2 2 9 2" xfId="9300"/>
    <cellStyle name="20% - Accent2 2 2 9 3" xfId="13577"/>
    <cellStyle name="20% - Accent2 2 2 9 4" xfId="17837"/>
    <cellStyle name="20% - Accent2 2 2 9 5" xfId="22056"/>
    <cellStyle name="20% - Accent2 2 2 9 6" xfId="26254"/>
    <cellStyle name="20% - Accent2 2 2 9 7" xfId="30151"/>
    <cellStyle name="20% - Accent2 2 3" xfId="233"/>
    <cellStyle name="20% - Accent2 2 3 10" xfId="6365"/>
    <cellStyle name="20% - Accent2 2 3 11" xfId="6885"/>
    <cellStyle name="20% - Accent2 2 3 12" xfId="21971"/>
    <cellStyle name="20% - Accent2 2 3 13" xfId="17531"/>
    <cellStyle name="20% - Accent2 2 3 14" xfId="1640"/>
    <cellStyle name="20% - Accent2 2 3 2" xfId="447"/>
    <cellStyle name="20% - Accent2 2 3 2 10" xfId="17679"/>
    <cellStyle name="20% - Accent2 2 3 2 11" xfId="23346"/>
    <cellStyle name="20% - Accent2 2 3 2 12" xfId="26120"/>
    <cellStyle name="20% - Accent2 2 3 2 13" xfId="1810"/>
    <cellStyle name="20% - Accent2 2 3 2 2" xfId="821"/>
    <cellStyle name="20% - Accent2 2 3 2 2 10" xfId="24196"/>
    <cellStyle name="20% - Accent2 2 3 2 2 11" xfId="28348"/>
    <cellStyle name="20% - Accent2 2 3 2 2 12" xfId="2140"/>
    <cellStyle name="20% - Accent2 2 3 2 2 2" xfId="1478"/>
    <cellStyle name="20% - Accent2 2 3 2 2 2 2" xfId="5509"/>
    <cellStyle name="20% - Accent2 2 3 2 2 2 2 2" xfId="10483"/>
    <cellStyle name="20% - Accent2 2 3 2 2 2 2 3" xfId="14760"/>
    <cellStyle name="20% - Accent2 2 3 2 2 2 2 4" xfId="19019"/>
    <cellStyle name="20% - Accent2 2 3 2 2 2 2 5" xfId="23238"/>
    <cellStyle name="20% - Accent2 2 3 2 2 2 2 6" xfId="27433"/>
    <cellStyle name="20% - Accent2 2 3 2 2 2 2 7" xfId="31329"/>
    <cellStyle name="20% - Accent2 2 3 2 2 2 3" xfId="8523"/>
    <cellStyle name="20% - Accent2 2 3 2 2 2 4" xfId="12808"/>
    <cellStyle name="20% - Accent2 2 3 2 2 2 5" xfId="17080"/>
    <cellStyle name="20% - Accent2 2 3 2 2 2 6" xfId="21315"/>
    <cellStyle name="20% - Accent2 2 3 2 2 2 7" xfId="25553"/>
    <cellStyle name="20% - Accent2 2 3 2 2 2 8" xfId="29631"/>
    <cellStyle name="20% - Accent2 2 3 2 2 2 9" xfId="3547"/>
    <cellStyle name="20% - Accent2 2 3 2 2 3" xfId="2691"/>
    <cellStyle name="20% - Accent2 2 3 2 2 3 2" xfId="7668"/>
    <cellStyle name="20% - Accent2 2 3 2 2 3 3" xfId="11957"/>
    <cellStyle name="20% - Accent2 2 3 2 2 3 4" xfId="16233"/>
    <cellStyle name="20% - Accent2 2 3 2 2 3 5" xfId="20475"/>
    <cellStyle name="20% - Accent2 2 3 2 2 3 6" xfId="24722"/>
    <cellStyle name="20% - Accent2 2 3 2 2 3 7" xfId="28824"/>
    <cellStyle name="20% - Accent2 2 3 2 2 4" xfId="4852"/>
    <cellStyle name="20% - Accent2 2 3 2 2 4 2" xfId="9826"/>
    <cellStyle name="20% - Accent2 2 3 2 2 4 3" xfId="14103"/>
    <cellStyle name="20% - Accent2 2 3 2 2 4 4" xfId="18362"/>
    <cellStyle name="20% - Accent2 2 3 2 2 4 5" xfId="22581"/>
    <cellStyle name="20% - Accent2 2 3 2 2 4 6" xfId="26776"/>
    <cellStyle name="20% - Accent2 2 3 2 2 4 7" xfId="30672"/>
    <cellStyle name="20% - Accent2 2 3 2 2 5" xfId="6200"/>
    <cellStyle name="20% - Accent2 2 3 2 2 5 2" xfId="11172"/>
    <cellStyle name="20% - Accent2 2 3 2 2 5 3" xfId="15450"/>
    <cellStyle name="20% - Accent2 2 3 2 2 5 4" xfId="19707"/>
    <cellStyle name="20% - Accent2 2 3 2 2 5 5" xfId="23924"/>
    <cellStyle name="20% - Accent2 2 3 2 2 5 6" xfId="28110"/>
    <cellStyle name="20% - Accent2 2 3 2 2 5 7" xfId="31989"/>
    <cellStyle name="20% - Accent2 2 3 2 2 6" xfId="7118"/>
    <cellStyle name="20% - Accent2 2 3 2 2 7" xfId="11410"/>
    <cellStyle name="20% - Accent2 2 3 2 2 8" xfId="15688"/>
    <cellStyle name="20% - Accent2 2 3 2 2 9" xfId="19945"/>
    <cellStyle name="20% - Accent2 2 3 2 3" xfId="1149"/>
    <cellStyle name="20% - Accent2 2 3 2 3 2" xfId="5180"/>
    <cellStyle name="20% - Accent2 2 3 2 3 2 2" xfId="10154"/>
    <cellStyle name="20% - Accent2 2 3 2 3 2 3" xfId="14431"/>
    <cellStyle name="20% - Accent2 2 3 2 3 2 4" xfId="18690"/>
    <cellStyle name="20% - Accent2 2 3 2 3 2 5" xfId="22909"/>
    <cellStyle name="20% - Accent2 2 3 2 3 2 6" xfId="27104"/>
    <cellStyle name="20% - Accent2 2 3 2 3 2 7" xfId="31000"/>
    <cellStyle name="20% - Accent2 2 3 2 3 3" xfId="8375"/>
    <cellStyle name="20% - Accent2 2 3 2 3 4" xfId="12660"/>
    <cellStyle name="20% - Accent2 2 3 2 3 5" xfId="16932"/>
    <cellStyle name="20% - Accent2 2 3 2 3 6" xfId="21167"/>
    <cellStyle name="20% - Accent2 2 3 2 3 7" xfId="25405"/>
    <cellStyle name="20% - Accent2 2 3 2 3 8" xfId="29483"/>
    <cellStyle name="20% - Accent2 2 3 2 3 9" xfId="3399"/>
    <cellStyle name="20% - Accent2 2 3 2 4" xfId="2538"/>
    <cellStyle name="20% - Accent2 2 3 2 4 2" xfId="7515"/>
    <cellStyle name="20% - Accent2 2 3 2 4 3" xfId="11804"/>
    <cellStyle name="20% - Accent2 2 3 2 4 4" xfId="16082"/>
    <cellStyle name="20% - Accent2 2 3 2 4 5" xfId="20325"/>
    <cellStyle name="20% - Accent2 2 3 2 4 6" xfId="24571"/>
    <cellStyle name="20% - Accent2 2 3 2 4 7" xfId="28676"/>
    <cellStyle name="20% - Accent2 2 3 2 5" xfId="4522"/>
    <cellStyle name="20% - Accent2 2 3 2 5 2" xfId="9496"/>
    <cellStyle name="20% - Accent2 2 3 2 5 3" xfId="13773"/>
    <cellStyle name="20% - Accent2 2 3 2 5 4" xfId="18033"/>
    <cellStyle name="20% - Accent2 2 3 2 5 5" xfId="22251"/>
    <cellStyle name="20% - Accent2 2 3 2 5 6" xfId="26447"/>
    <cellStyle name="20% - Accent2 2 3 2 5 7" xfId="30343"/>
    <cellStyle name="20% - Accent2 2 3 2 6" xfId="5871"/>
    <cellStyle name="20% - Accent2 2 3 2 6 2" xfId="10843"/>
    <cellStyle name="20% - Accent2 2 3 2 6 3" xfId="15121"/>
    <cellStyle name="20% - Accent2 2 3 2 6 4" xfId="19378"/>
    <cellStyle name="20% - Accent2 2 3 2 6 5" xfId="23595"/>
    <cellStyle name="20% - Accent2 2 3 2 6 6" xfId="27781"/>
    <cellStyle name="20% - Accent2 2 3 2 6 7" xfId="31660"/>
    <cellStyle name="20% - Accent2 2 3 2 7" xfId="6745"/>
    <cellStyle name="20% - Accent2 2 3 2 8" xfId="9133"/>
    <cellStyle name="20% - Accent2 2 3 2 9" xfId="13413"/>
    <cellStyle name="20% - Accent2 2 3 3" xfId="654"/>
    <cellStyle name="20% - Accent2 2 3 3 10" xfId="24029"/>
    <cellStyle name="20% - Accent2 2 3 3 11" xfId="20141"/>
    <cellStyle name="20% - Accent2 2 3 3 12" xfId="1973"/>
    <cellStyle name="20% - Accent2 2 3 3 2" xfId="1311"/>
    <cellStyle name="20% - Accent2 2 3 3 2 2" xfId="5342"/>
    <cellStyle name="20% - Accent2 2 3 3 2 2 2" xfId="10316"/>
    <cellStyle name="20% - Accent2 2 3 3 2 2 3" xfId="14593"/>
    <cellStyle name="20% - Accent2 2 3 3 2 2 4" xfId="18852"/>
    <cellStyle name="20% - Accent2 2 3 3 2 2 5" xfId="23071"/>
    <cellStyle name="20% - Accent2 2 3 3 2 2 6" xfId="27266"/>
    <cellStyle name="20% - Accent2 2 3 3 2 2 7" xfId="31162"/>
    <cellStyle name="20% - Accent2 2 3 3 2 3" xfId="8524"/>
    <cellStyle name="20% - Accent2 2 3 3 2 4" xfId="12809"/>
    <cellStyle name="20% - Accent2 2 3 3 2 5" xfId="17081"/>
    <cellStyle name="20% - Accent2 2 3 3 2 6" xfId="21316"/>
    <cellStyle name="20% - Accent2 2 3 3 2 7" xfId="25554"/>
    <cellStyle name="20% - Accent2 2 3 3 2 8" xfId="29632"/>
    <cellStyle name="20% - Accent2 2 3 3 2 9" xfId="3548"/>
    <cellStyle name="20% - Accent2 2 3 3 3" xfId="2692"/>
    <cellStyle name="20% - Accent2 2 3 3 3 2" xfId="7669"/>
    <cellStyle name="20% - Accent2 2 3 3 3 3" xfId="11958"/>
    <cellStyle name="20% - Accent2 2 3 3 3 4" xfId="16234"/>
    <cellStyle name="20% - Accent2 2 3 3 3 5" xfId="20476"/>
    <cellStyle name="20% - Accent2 2 3 3 3 6" xfId="24723"/>
    <cellStyle name="20% - Accent2 2 3 3 3 7" xfId="28825"/>
    <cellStyle name="20% - Accent2 2 3 3 4" xfId="4685"/>
    <cellStyle name="20% - Accent2 2 3 3 4 2" xfId="9659"/>
    <cellStyle name="20% - Accent2 2 3 3 4 3" xfId="13936"/>
    <cellStyle name="20% - Accent2 2 3 3 4 4" xfId="18195"/>
    <cellStyle name="20% - Accent2 2 3 3 4 5" xfId="22414"/>
    <cellStyle name="20% - Accent2 2 3 3 4 6" xfId="26609"/>
    <cellStyle name="20% - Accent2 2 3 3 4 7" xfId="30505"/>
    <cellStyle name="20% - Accent2 2 3 3 5" xfId="6033"/>
    <cellStyle name="20% - Accent2 2 3 3 5 2" xfId="11005"/>
    <cellStyle name="20% - Accent2 2 3 3 5 3" xfId="15283"/>
    <cellStyle name="20% - Accent2 2 3 3 5 4" xfId="19540"/>
    <cellStyle name="20% - Accent2 2 3 3 5 5" xfId="23757"/>
    <cellStyle name="20% - Accent2 2 3 3 5 6" xfId="27943"/>
    <cellStyle name="20% - Accent2 2 3 3 5 7" xfId="31822"/>
    <cellStyle name="20% - Accent2 2 3 3 6" xfId="6951"/>
    <cellStyle name="20% - Accent2 2 3 3 7" xfId="6849"/>
    <cellStyle name="20% - Accent2 2 3 3 8" xfId="6860"/>
    <cellStyle name="20% - Accent2 2 3 3 9" xfId="6313"/>
    <cellStyle name="20% - Accent2 2 3 4" xfId="982"/>
    <cellStyle name="20% - Accent2 2 3 4 2" xfId="5013"/>
    <cellStyle name="20% - Accent2 2 3 4 2 2" xfId="9987"/>
    <cellStyle name="20% - Accent2 2 3 4 2 3" xfId="14264"/>
    <cellStyle name="20% - Accent2 2 3 4 2 4" xfId="18523"/>
    <cellStyle name="20% - Accent2 2 3 4 2 5" xfId="22742"/>
    <cellStyle name="20% - Accent2 2 3 4 2 6" xfId="26937"/>
    <cellStyle name="20% - Accent2 2 3 4 2 7" xfId="30833"/>
    <cellStyle name="20% - Accent2 2 3 4 3" xfId="8219"/>
    <cellStyle name="20% - Accent2 2 3 4 4" xfId="12504"/>
    <cellStyle name="20% - Accent2 2 3 4 5" xfId="16777"/>
    <cellStyle name="20% - Accent2 2 3 4 6" xfId="21015"/>
    <cellStyle name="20% - Accent2 2 3 4 7" xfId="25252"/>
    <cellStyle name="20% - Accent2 2 3 4 8" xfId="29331"/>
    <cellStyle name="20% - Accent2 2 3 4 9" xfId="3243"/>
    <cellStyle name="20% - Accent2 2 3 5" xfId="2358"/>
    <cellStyle name="20% - Accent2 2 3 5 2" xfId="7336"/>
    <cellStyle name="20% - Accent2 2 3 5 3" xfId="11625"/>
    <cellStyle name="20% - Accent2 2 3 5 4" xfId="15904"/>
    <cellStyle name="20% - Accent2 2 3 5 5" xfId="20154"/>
    <cellStyle name="20% - Accent2 2 3 5 6" xfId="24401"/>
    <cellStyle name="20% - Accent2 2 3 5 7" xfId="28523"/>
    <cellStyle name="20% - Accent2 2 3 6" xfId="4354"/>
    <cellStyle name="20% - Accent2 2 3 6 2" xfId="9328"/>
    <cellStyle name="20% - Accent2 2 3 6 3" xfId="13605"/>
    <cellStyle name="20% - Accent2 2 3 6 4" xfId="17865"/>
    <cellStyle name="20% - Accent2 2 3 6 5" xfId="22084"/>
    <cellStyle name="20% - Accent2 2 3 6 6" xfId="26280"/>
    <cellStyle name="20% - Accent2 2 3 6 7" xfId="30176"/>
    <cellStyle name="20% - Accent2 2 3 7" xfId="5704"/>
    <cellStyle name="20% - Accent2 2 3 7 2" xfId="10676"/>
    <cellStyle name="20% - Accent2 2 3 7 3" xfId="14954"/>
    <cellStyle name="20% - Accent2 2 3 7 4" xfId="19211"/>
    <cellStyle name="20% - Accent2 2 3 7 5" xfId="23428"/>
    <cellStyle name="20% - Accent2 2 3 7 6" xfId="27614"/>
    <cellStyle name="20% - Accent2 2 3 7 7" xfId="31493"/>
    <cellStyle name="20% - Accent2 2 3 8" xfId="6531"/>
    <cellStyle name="20% - Accent2 2 3 9" xfId="6361"/>
    <cellStyle name="20% - Accent2 2 4" xfId="381"/>
    <cellStyle name="20% - Accent2 2 4 10" xfId="11517"/>
    <cellStyle name="20% - Accent2 2 4 11" xfId="15795"/>
    <cellStyle name="20% - Accent2 2 4 12" xfId="21896"/>
    <cellStyle name="20% - Accent2 2 4 13" xfId="24301"/>
    <cellStyle name="20% - Accent2 2 4 14" xfId="1744"/>
    <cellStyle name="20% - Accent2 2 4 2" xfId="755"/>
    <cellStyle name="20% - Accent2 2 4 2 10" xfId="24130"/>
    <cellStyle name="20% - Accent2 2 4 2 11" xfId="28282"/>
    <cellStyle name="20% - Accent2 2 4 2 12" xfId="2074"/>
    <cellStyle name="20% - Accent2 2 4 2 2" xfId="1412"/>
    <cellStyle name="20% - Accent2 2 4 2 2 2" xfId="5443"/>
    <cellStyle name="20% - Accent2 2 4 2 2 2 2" xfId="10417"/>
    <cellStyle name="20% - Accent2 2 4 2 2 2 3" xfId="14694"/>
    <cellStyle name="20% - Accent2 2 4 2 2 2 4" xfId="18953"/>
    <cellStyle name="20% - Accent2 2 4 2 2 2 5" xfId="23172"/>
    <cellStyle name="20% - Accent2 2 4 2 2 2 6" xfId="27367"/>
    <cellStyle name="20% - Accent2 2 4 2 2 2 7" xfId="31263"/>
    <cellStyle name="20% - Accent2 2 4 2 2 3" xfId="8525"/>
    <cellStyle name="20% - Accent2 2 4 2 2 4" xfId="12810"/>
    <cellStyle name="20% - Accent2 2 4 2 2 5" xfId="17082"/>
    <cellStyle name="20% - Accent2 2 4 2 2 6" xfId="21317"/>
    <cellStyle name="20% - Accent2 2 4 2 2 7" xfId="25555"/>
    <cellStyle name="20% - Accent2 2 4 2 2 8" xfId="29633"/>
    <cellStyle name="20% - Accent2 2 4 2 2 9" xfId="3549"/>
    <cellStyle name="20% - Accent2 2 4 2 3" xfId="2693"/>
    <cellStyle name="20% - Accent2 2 4 2 3 2" xfId="7670"/>
    <cellStyle name="20% - Accent2 2 4 2 3 3" xfId="11959"/>
    <cellStyle name="20% - Accent2 2 4 2 3 4" xfId="16235"/>
    <cellStyle name="20% - Accent2 2 4 2 3 5" xfId="20477"/>
    <cellStyle name="20% - Accent2 2 4 2 3 6" xfId="24724"/>
    <cellStyle name="20% - Accent2 2 4 2 3 7" xfId="28826"/>
    <cellStyle name="20% - Accent2 2 4 2 4" xfId="4786"/>
    <cellStyle name="20% - Accent2 2 4 2 4 2" xfId="9760"/>
    <cellStyle name="20% - Accent2 2 4 2 4 3" xfId="14037"/>
    <cellStyle name="20% - Accent2 2 4 2 4 4" xfId="18296"/>
    <cellStyle name="20% - Accent2 2 4 2 4 5" xfId="22515"/>
    <cellStyle name="20% - Accent2 2 4 2 4 6" xfId="26710"/>
    <cellStyle name="20% - Accent2 2 4 2 4 7" xfId="30606"/>
    <cellStyle name="20% - Accent2 2 4 2 5" xfId="6134"/>
    <cellStyle name="20% - Accent2 2 4 2 5 2" xfId="11106"/>
    <cellStyle name="20% - Accent2 2 4 2 5 3" xfId="15384"/>
    <cellStyle name="20% - Accent2 2 4 2 5 4" xfId="19641"/>
    <cellStyle name="20% - Accent2 2 4 2 5 5" xfId="23858"/>
    <cellStyle name="20% - Accent2 2 4 2 5 6" xfId="28044"/>
    <cellStyle name="20% - Accent2 2 4 2 5 7" xfId="31923"/>
    <cellStyle name="20% - Accent2 2 4 2 6" xfId="7052"/>
    <cellStyle name="20% - Accent2 2 4 2 7" xfId="11344"/>
    <cellStyle name="20% - Accent2 2 4 2 8" xfId="15622"/>
    <cellStyle name="20% - Accent2 2 4 2 9" xfId="19879"/>
    <cellStyle name="20% - Accent2 2 4 3" xfId="1083"/>
    <cellStyle name="20% - Accent2 2 4 3 2" xfId="5114"/>
    <cellStyle name="20% - Accent2 2 4 3 2 2" xfId="10088"/>
    <cellStyle name="20% - Accent2 2 4 3 2 3" xfId="14365"/>
    <cellStyle name="20% - Accent2 2 4 3 2 4" xfId="18624"/>
    <cellStyle name="20% - Accent2 2 4 3 2 5" xfId="22843"/>
    <cellStyle name="20% - Accent2 2 4 3 2 6" xfId="27038"/>
    <cellStyle name="20% - Accent2 2 4 3 2 7" xfId="30934"/>
    <cellStyle name="20% - Accent2 2 4 3 3" xfId="8309"/>
    <cellStyle name="20% - Accent2 2 4 3 4" xfId="12594"/>
    <cellStyle name="20% - Accent2 2 4 3 5" xfId="16866"/>
    <cellStyle name="20% - Accent2 2 4 3 6" xfId="21101"/>
    <cellStyle name="20% - Accent2 2 4 3 7" xfId="25339"/>
    <cellStyle name="20% - Accent2 2 4 3 8" xfId="29417"/>
    <cellStyle name="20% - Accent2 2 4 3 9" xfId="3333"/>
    <cellStyle name="20% - Accent2 2 4 4" xfId="2472"/>
    <cellStyle name="20% - Accent2 2 4 4 2" xfId="7449"/>
    <cellStyle name="20% - Accent2 2 4 4 3" xfId="11738"/>
    <cellStyle name="20% - Accent2 2 4 4 4" xfId="16016"/>
    <cellStyle name="20% - Accent2 2 4 4 5" xfId="20259"/>
    <cellStyle name="20% - Accent2 2 4 4 6" xfId="24505"/>
    <cellStyle name="20% - Accent2 2 4 4 7" xfId="28610"/>
    <cellStyle name="20% - Accent2 2 4 5" xfId="3992"/>
    <cellStyle name="20% - Accent2 2 4 6" xfId="4456"/>
    <cellStyle name="20% - Accent2 2 4 6 2" xfId="9430"/>
    <cellStyle name="20% - Accent2 2 4 6 3" xfId="13707"/>
    <cellStyle name="20% - Accent2 2 4 6 4" xfId="17967"/>
    <cellStyle name="20% - Accent2 2 4 6 5" xfId="22185"/>
    <cellStyle name="20% - Accent2 2 4 6 6" xfId="26381"/>
    <cellStyle name="20% - Accent2 2 4 6 7" xfId="30277"/>
    <cellStyle name="20% - Accent2 2 4 7" xfId="5805"/>
    <cellStyle name="20% - Accent2 2 4 7 2" xfId="10777"/>
    <cellStyle name="20% - Accent2 2 4 7 3" xfId="15055"/>
    <cellStyle name="20% - Accent2 2 4 7 4" xfId="19312"/>
    <cellStyle name="20% - Accent2 2 4 7 5" xfId="23529"/>
    <cellStyle name="20% - Accent2 2 4 7 6" xfId="27715"/>
    <cellStyle name="20% - Accent2 2 4 7 7" xfId="31594"/>
    <cellStyle name="20% - Accent2 2 4 8" xfId="6679"/>
    <cellStyle name="20% - Accent2 2 4 9" xfId="7226"/>
    <cellStyle name="20% - Accent2 2 5" xfId="496"/>
    <cellStyle name="20% - Accent2 2 5 10" xfId="12419"/>
    <cellStyle name="20% - Accent2 2 5 11" xfId="23354"/>
    <cellStyle name="20% - Accent2 2 5 12" xfId="21731"/>
    <cellStyle name="20% - Accent2 2 5 13" xfId="1859"/>
    <cellStyle name="20% - Accent2 2 5 2" xfId="870"/>
    <cellStyle name="20% - Accent2 2 5 2 10" xfId="24245"/>
    <cellStyle name="20% - Accent2 2 5 2 11" xfId="28397"/>
    <cellStyle name="20% - Accent2 2 5 2 12" xfId="2189"/>
    <cellStyle name="20% - Accent2 2 5 2 2" xfId="1527"/>
    <cellStyle name="20% - Accent2 2 5 2 2 2" xfId="5558"/>
    <cellStyle name="20% - Accent2 2 5 2 2 2 2" xfId="10532"/>
    <cellStyle name="20% - Accent2 2 5 2 2 2 3" xfId="14809"/>
    <cellStyle name="20% - Accent2 2 5 2 2 2 4" xfId="19068"/>
    <cellStyle name="20% - Accent2 2 5 2 2 2 5" xfId="23287"/>
    <cellStyle name="20% - Accent2 2 5 2 2 2 6" xfId="27482"/>
    <cellStyle name="20% - Accent2 2 5 2 2 2 7" xfId="31378"/>
    <cellStyle name="20% - Accent2 2 5 2 2 3" xfId="8526"/>
    <cellStyle name="20% - Accent2 2 5 2 2 4" xfId="12811"/>
    <cellStyle name="20% - Accent2 2 5 2 2 5" xfId="17083"/>
    <cellStyle name="20% - Accent2 2 5 2 2 6" xfId="21318"/>
    <cellStyle name="20% - Accent2 2 5 2 2 7" xfId="25556"/>
    <cellStyle name="20% - Accent2 2 5 2 2 8" xfId="29634"/>
    <cellStyle name="20% - Accent2 2 5 2 2 9" xfId="3550"/>
    <cellStyle name="20% - Accent2 2 5 2 3" xfId="2694"/>
    <cellStyle name="20% - Accent2 2 5 2 3 2" xfId="7671"/>
    <cellStyle name="20% - Accent2 2 5 2 3 3" xfId="11960"/>
    <cellStyle name="20% - Accent2 2 5 2 3 4" xfId="16236"/>
    <cellStyle name="20% - Accent2 2 5 2 3 5" xfId="20478"/>
    <cellStyle name="20% - Accent2 2 5 2 3 6" xfId="24725"/>
    <cellStyle name="20% - Accent2 2 5 2 3 7" xfId="28827"/>
    <cellStyle name="20% - Accent2 2 5 2 4" xfId="4901"/>
    <cellStyle name="20% - Accent2 2 5 2 4 2" xfId="9875"/>
    <cellStyle name="20% - Accent2 2 5 2 4 3" xfId="14152"/>
    <cellStyle name="20% - Accent2 2 5 2 4 4" xfId="18411"/>
    <cellStyle name="20% - Accent2 2 5 2 4 5" xfId="22630"/>
    <cellStyle name="20% - Accent2 2 5 2 4 6" xfId="26825"/>
    <cellStyle name="20% - Accent2 2 5 2 4 7" xfId="30721"/>
    <cellStyle name="20% - Accent2 2 5 2 5" xfId="6249"/>
    <cellStyle name="20% - Accent2 2 5 2 5 2" xfId="11221"/>
    <cellStyle name="20% - Accent2 2 5 2 5 3" xfId="15499"/>
    <cellStyle name="20% - Accent2 2 5 2 5 4" xfId="19756"/>
    <cellStyle name="20% - Accent2 2 5 2 5 5" xfId="23973"/>
    <cellStyle name="20% - Accent2 2 5 2 5 6" xfId="28159"/>
    <cellStyle name="20% - Accent2 2 5 2 5 7" xfId="32038"/>
    <cellStyle name="20% - Accent2 2 5 2 6" xfId="7167"/>
    <cellStyle name="20% - Accent2 2 5 2 7" xfId="11459"/>
    <cellStyle name="20% - Accent2 2 5 2 8" xfId="15737"/>
    <cellStyle name="20% - Accent2 2 5 2 9" xfId="19994"/>
    <cellStyle name="20% - Accent2 2 5 3" xfId="1198"/>
    <cellStyle name="20% - Accent2 2 5 3 2" xfId="5229"/>
    <cellStyle name="20% - Accent2 2 5 3 2 2" xfId="10203"/>
    <cellStyle name="20% - Accent2 2 5 3 2 3" xfId="14480"/>
    <cellStyle name="20% - Accent2 2 5 3 2 4" xfId="18739"/>
    <cellStyle name="20% - Accent2 2 5 3 2 5" xfId="22958"/>
    <cellStyle name="20% - Accent2 2 5 3 2 6" xfId="27153"/>
    <cellStyle name="20% - Accent2 2 5 3 2 7" xfId="31049"/>
    <cellStyle name="20% - Accent2 2 5 3 3" xfId="8439"/>
    <cellStyle name="20% - Accent2 2 5 3 4" xfId="12724"/>
    <cellStyle name="20% - Accent2 2 5 3 5" xfId="16996"/>
    <cellStyle name="20% - Accent2 2 5 3 6" xfId="21231"/>
    <cellStyle name="20% - Accent2 2 5 3 7" xfId="25469"/>
    <cellStyle name="20% - Accent2 2 5 3 8" xfId="29547"/>
    <cellStyle name="20% - Accent2 2 5 3 9" xfId="3463"/>
    <cellStyle name="20% - Accent2 2 5 4" xfId="2605"/>
    <cellStyle name="20% - Accent2 2 5 4 2" xfId="7582"/>
    <cellStyle name="20% - Accent2 2 5 4 3" xfId="11871"/>
    <cellStyle name="20% - Accent2 2 5 4 4" xfId="16147"/>
    <cellStyle name="20% - Accent2 2 5 4 5" xfId="20390"/>
    <cellStyle name="20% - Accent2 2 5 4 6" xfId="24636"/>
    <cellStyle name="20% - Accent2 2 5 4 7" xfId="28740"/>
    <cellStyle name="20% - Accent2 2 5 5" xfId="4571"/>
    <cellStyle name="20% - Accent2 2 5 5 2" xfId="9545"/>
    <cellStyle name="20% - Accent2 2 5 5 3" xfId="13822"/>
    <cellStyle name="20% - Accent2 2 5 5 4" xfId="18082"/>
    <cellStyle name="20% - Accent2 2 5 5 5" xfId="22300"/>
    <cellStyle name="20% - Accent2 2 5 5 6" xfId="26496"/>
    <cellStyle name="20% - Accent2 2 5 5 7" xfId="30392"/>
    <cellStyle name="20% - Accent2 2 5 6" xfId="5920"/>
    <cellStyle name="20% - Accent2 2 5 6 2" xfId="10892"/>
    <cellStyle name="20% - Accent2 2 5 6 3" xfId="15170"/>
    <cellStyle name="20% - Accent2 2 5 6 4" xfId="19427"/>
    <cellStyle name="20% - Accent2 2 5 6 5" xfId="23644"/>
    <cellStyle name="20% - Accent2 2 5 6 6" xfId="27830"/>
    <cellStyle name="20% - Accent2 2 5 6 7" xfId="31709"/>
    <cellStyle name="20% - Accent2 2 5 7" xfId="6794"/>
    <cellStyle name="20% - Accent2 2 5 8" xfId="6324"/>
    <cellStyle name="20% - Accent2 2 5 9" xfId="8132"/>
    <cellStyle name="20% - Accent2 2 6" xfId="597"/>
    <cellStyle name="20% - Accent2 2 6 10" xfId="13477"/>
    <cellStyle name="20% - Accent2 2 6 11" xfId="21921"/>
    <cellStyle name="20% - Accent2 2 6 12" xfId="22070"/>
    <cellStyle name="20% - Accent2 2 6 13" xfId="1916"/>
    <cellStyle name="20% - Accent2 2 6 2" xfId="1254"/>
    <cellStyle name="20% - Accent2 2 6 2 10" xfId="2696"/>
    <cellStyle name="20% - Accent2 2 6 2 2" xfId="3552"/>
    <cellStyle name="20% - Accent2 2 6 2 2 2" xfId="8528"/>
    <cellStyle name="20% - Accent2 2 6 2 2 3" xfId="12813"/>
    <cellStyle name="20% - Accent2 2 6 2 2 4" xfId="17085"/>
    <cellStyle name="20% - Accent2 2 6 2 2 5" xfId="21320"/>
    <cellStyle name="20% - Accent2 2 6 2 2 6" xfId="25558"/>
    <cellStyle name="20% - Accent2 2 6 2 2 7" xfId="29636"/>
    <cellStyle name="20% - Accent2 2 6 2 3" xfId="5285"/>
    <cellStyle name="20% - Accent2 2 6 2 3 2" xfId="10259"/>
    <cellStyle name="20% - Accent2 2 6 2 3 3" xfId="14536"/>
    <cellStyle name="20% - Accent2 2 6 2 3 4" xfId="18795"/>
    <cellStyle name="20% - Accent2 2 6 2 3 5" xfId="23014"/>
    <cellStyle name="20% - Accent2 2 6 2 3 6" xfId="27209"/>
    <cellStyle name="20% - Accent2 2 6 2 3 7" xfId="31105"/>
    <cellStyle name="20% - Accent2 2 6 2 4" xfId="7673"/>
    <cellStyle name="20% - Accent2 2 6 2 5" xfId="11962"/>
    <cellStyle name="20% - Accent2 2 6 2 6" xfId="16238"/>
    <cellStyle name="20% - Accent2 2 6 2 7" xfId="20480"/>
    <cellStyle name="20% - Accent2 2 6 2 8" xfId="24727"/>
    <cellStyle name="20% - Accent2 2 6 2 9" xfId="28829"/>
    <cellStyle name="20% - Accent2 2 6 3" xfId="3551"/>
    <cellStyle name="20% - Accent2 2 6 3 2" xfId="8527"/>
    <cellStyle name="20% - Accent2 2 6 3 3" xfId="12812"/>
    <cellStyle name="20% - Accent2 2 6 3 4" xfId="17084"/>
    <cellStyle name="20% - Accent2 2 6 3 5" xfId="21319"/>
    <cellStyle name="20% - Accent2 2 6 3 6" xfId="25557"/>
    <cellStyle name="20% - Accent2 2 6 3 7" xfId="29635"/>
    <cellStyle name="20% - Accent2 2 6 4" xfId="2695"/>
    <cellStyle name="20% - Accent2 2 6 4 2" xfId="7672"/>
    <cellStyle name="20% - Accent2 2 6 4 3" xfId="11961"/>
    <cellStyle name="20% - Accent2 2 6 4 4" xfId="16237"/>
    <cellStyle name="20% - Accent2 2 6 4 5" xfId="20479"/>
    <cellStyle name="20% - Accent2 2 6 4 6" xfId="24726"/>
    <cellStyle name="20% - Accent2 2 6 4 7" xfId="28828"/>
    <cellStyle name="20% - Accent2 2 6 5" xfId="4628"/>
    <cellStyle name="20% - Accent2 2 6 5 2" xfId="9602"/>
    <cellStyle name="20% - Accent2 2 6 5 3" xfId="13879"/>
    <cellStyle name="20% - Accent2 2 6 5 4" xfId="18138"/>
    <cellStyle name="20% - Accent2 2 6 5 5" xfId="22357"/>
    <cellStyle name="20% - Accent2 2 6 5 6" xfId="26552"/>
    <cellStyle name="20% - Accent2 2 6 5 7" xfId="30448"/>
    <cellStyle name="20% - Accent2 2 6 6" xfId="5976"/>
    <cellStyle name="20% - Accent2 2 6 6 2" xfId="10948"/>
    <cellStyle name="20% - Accent2 2 6 6 3" xfId="15226"/>
    <cellStyle name="20% - Accent2 2 6 6 4" xfId="19483"/>
    <cellStyle name="20% - Accent2 2 6 6 5" xfId="23700"/>
    <cellStyle name="20% - Accent2 2 6 6 6" xfId="27886"/>
    <cellStyle name="20% - Accent2 2 6 6 7" xfId="31765"/>
    <cellStyle name="20% - Accent2 2 6 7" xfId="6894"/>
    <cellStyle name="20% - Accent2 2 6 8" xfId="6511"/>
    <cellStyle name="20% - Accent2 2 6 9" xfId="9199"/>
    <cellStyle name="20% - Accent2 2 7" xfId="925"/>
    <cellStyle name="20% - Accent2 2 7 10" xfId="2697"/>
    <cellStyle name="20% - Accent2 2 7 2" xfId="3553"/>
    <cellStyle name="20% - Accent2 2 7 2 2" xfId="8529"/>
    <cellStyle name="20% - Accent2 2 7 2 3" xfId="12814"/>
    <cellStyle name="20% - Accent2 2 7 2 4" xfId="17086"/>
    <cellStyle name="20% - Accent2 2 7 2 5" xfId="21321"/>
    <cellStyle name="20% - Accent2 2 7 2 6" xfId="25559"/>
    <cellStyle name="20% - Accent2 2 7 2 7" xfId="29637"/>
    <cellStyle name="20% - Accent2 2 7 3" xfId="4956"/>
    <cellStyle name="20% - Accent2 2 7 3 2" xfId="9930"/>
    <cellStyle name="20% - Accent2 2 7 3 3" xfId="14207"/>
    <cellStyle name="20% - Accent2 2 7 3 4" xfId="18466"/>
    <cellStyle name="20% - Accent2 2 7 3 5" xfId="22685"/>
    <cellStyle name="20% - Accent2 2 7 3 6" xfId="26880"/>
    <cellStyle name="20% - Accent2 2 7 3 7" xfId="30776"/>
    <cellStyle name="20% - Accent2 2 7 4" xfId="7674"/>
    <cellStyle name="20% - Accent2 2 7 5" xfId="11963"/>
    <cellStyle name="20% - Accent2 2 7 6" xfId="16239"/>
    <cellStyle name="20% - Accent2 2 7 7" xfId="20481"/>
    <cellStyle name="20% - Accent2 2 7 8" xfId="24728"/>
    <cellStyle name="20% - Accent2 2 7 9" xfId="28830"/>
    <cellStyle name="20% - Accent2 2 8" xfId="3168"/>
    <cellStyle name="20% - Accent2 2 8 2" xfId="8144"/>
    <cellStyle name="20% - Accent2 2 8 3" xfId="12430"/>
    <cellStyle name="20% - Accent2 2 8 4" xfId="16704"/>
    <cellStyle name="20% - Accent2 2 8 5" xfId="20940"/>
    <cellStyle name="20% - Accent2 2 8 6" xfId="25180"/>
    <cellStyle name="20% - Accent2 2 8 7" xfId="29261"/>
    <cellStyle name="20% - Accent2 2 9" xfId="2253"/>
    <cellStyle name="20% - Accent2 2 9 2" xfId="7231"/>
    <cellStyle name="20% - Accent2 2 9 3" xfId="11521"/>
    <cellStyle name="20% - Accent2 2 9 4" xfId="15800"/>
    <cellStyle name="20% - Accent2 2 9 5" xfId="20055"/>
    <cellStyle name="20% - Accent2 2 9 6" xfId="24305"/>
    <cellStyle name="20% - Accent2 2 9 7" xfId="28452"/>
    <cellStyle name="20% - Accent2 3" xfId="121"/>
    <cellStyle name="20% - Accent2 3 2" xfId="4277"/>
    <cellStyle name="20% - Accent2 3 3" xfId="4021"/>
    <cellStyle name="20% - Accent2 4" xfId="108"/>
    <cellStyle name="20% - Accent2 4 10" xfId="5667"/>
    <cellStyle name="20% - Accent2 4 10 2" xfId="10639"/>
    <cellStyle name="20% - Accent2 4 10 3" xfId="14917"/>
    <cellStyle name="20% - Accent2 4 10 4" xfId="19174"/>
    <cellStyle name="20% - Accent2 4 10 5" xfId="23391"/>
    <cellStyle name="20% - Accent2 4 10 6" xfId="27577"/>
    <cellStyle name="20% - Accent2 4 10 7" xfId="31456"/>
    <cellStyle name="20% - Accent2 4 11" xfId="6408"/>
    <cellStyle name="20% - Accent2 4 12" xfId="6577"/>
    <cellStyle name="20% - Accent2 4 13" xfId="9065"/>
    <cellStyle name="20% - Accent2 4 14" xfId="13347"/>
    <cellStyle name="20% - Accent2 4 15" xfId="22069"/>
    <cellStyle name="20% - Accent2 4 16" xfId="15973"/>
    <cellStyle name="20% - Accent2 4 17" xfId="1602"/>
    <cellStyle name="20% - Accent2 4 2" xfId="299"/>
    <cellStyle name="20% - Accent2 4 2 10" xfId="13429"/>
    <cellStyle name="20% - Accent2 4 2 11" xfId="17694"/>
    <cellStyle name="20% - Accent2 4 2 12" xfId="21987"/>
    <cellStyle name="20% - Accent2 4 2 13" xfId="26131"/>
    <cellStyle name="20% - Accent2 4 2 14" xfId="1671"/>
    <cellStyle name="20% - Accent2 4 2 2" xfId="463"/>
    <cellStyle name="20% - Accent2 4 2 2 10" xfId="15858"/>
    <cellStyle name="20% - Accent2 4 2 2 11" xfId="17685"/>
    <cellStyle name="20% - Accent2 4 2 2 12" xfId="24362"/>
    <cellStyle name="20% - Accent2 4 2 2 13" xfId="1826"/>
    <cellStyle name="20% - Accent2 4 2 2 2" xfId="837"/>
    <cellStyle name="20% - Accent2 4 2 2 2 10" xfId="24212"/>
    <cellStyle name="20% - Accent2 4 2 2 2 11" xfId="28364"/>
    <cellStyle name="20% - Accent2 4 2 2 2 12" xfId="2156"/>
    <cellStyle name="20% - Accent2 4 2 2 2 2" xfId="1494"/>
    <cellStyle name="20% - Accent2 4 2 2 2 2 2" xfId="5525"/>
    <cellStyle name="20% - Accent2 4 2 2 2 2 2 2" xfId="10499"/>
    <cellStyle name="20% - Accent2 4 2 2 2 2 2 3" xfId="14776"/>
    <cellStyle name="20% - Accent2 4 2 2 2 2 2 4" xfId="19035"/>
    <cellStyle name="20% - Accent2 4 2 2 2 2 2 5" xfId="23254"/>
    <cellStyle name="20% - Accent2 4 2 2 2 2 2 6" xfId="27449"/>
    <cellStyle name="20% - Accent2 4 2 2 2 2 2 7" xfId="31345"/>
    <cellStyle name="20% - Accent2 4 2 2 2 2 3" xfId="8530"/>
    <cellStyle name="20% - Accent2 4 2 2 2 2 4" xfId="12815"/>
    <cellStyle name="20% - Accent2 4 2 2 2 2 5" xfId="17087"/>
    <cellStyle name="20% - Accent2 4 2 2 2 2 6" xfId="21322"/>
    <cellStyle name="20% - Accent2 4 2 2 2 2 7" xfId="25560"/>
    <cellStyle name="20% - Accent2 4 2 2 2 2 8" xfId="29638"/>
    <cellStyle name="20% - Accent2 4 2 2 2 2 9" xfId="3554"/>
    <cellStyle name="20% - Accent2 4 2 2 2 3" xfId="2698"/>
    <cellStyle name="20% - Accent2 4 2 2 2 3 2" xfId="7675"/>
    <cellStyle name="20% - Accent2 4 2 2 2 3 3" xfId="11964"/>
    <cellStyle name="20% - Accent2 4 2 2 2 3 4" xfId="16240"/>
    <cellStyle name="20% - Accent2 4 2 2 2 3 5" xfId="20482"/>
    <cellStyle name="20% - Accent2 4 2 2 2 3 6" xfId="24729"/>
    <cellStyle name="20% - Accent2 4 2 2 2 3 7" xfId="28831"/>
    <cellStyle name="20% - Accent2 4 2 2 2 4" xfId="4868"/>
    <cellStyle name="20% - Accent2 4 2 2 2 4 2" xfId="9842"/>
    <cellStyle name="20% - Accent2 4 2 2 2 4 3" xfId="14119"/>
    <cellStyle name="20% - Accent2 4 2 2 2 4 4" xfId="18378"/>
    <cellStyle name="20% - Accent2 4 2 2 2 4 5" xfId="22597"/>
    <cellStyle name="20% - Accent2 4 2 2 2 4 6" xfId="26792"/>
    <cellStyle name="20% - Accent2 4 2 2 2 4 7" xfId="30688"/>
    <cellStyle name="20% - Accent2 4 2 2 2 5" xfId="6216"/>
    <cellStyle name="20% - Accent2 4 2 2 2 5 2" xfId="11188"/>
    <cellStyle name="20% - Accent2 4 2 2 2 5 3" xfId="15466"/>
    <cellStyle name="20% - Accent2 4 2 2 2 5 4" xfId="19723"/>
    <cellStyle name="20% - Accent2 4 2 2 2 5 5" xfId="23940"/>
    <cellStyle name="20% - Accent2 4 2 2 2 5 6" xfId="28126"/>
    <cellStyle name="20% - Accent2 4 2 2 2 5 7" xfId="32005"/>
    <cellStyle name="20% - Accent2 4 2 2 2 6" xfId="7134"/>
    <cellStyle name="20% - Accent2 4 2 2 2 7" xfId="11426"/>
    <cellStyle name="20% - Accent2 4 2 2 2 8" xfId="15704"/>
    <cellStyle name="20% - Accent2 4 2 2 2 9" xfId="19961"/>
    <cellStyle name="20% - Accent2 4 2 2 3" xfId="1165"/>
    <cellStyle name="20% - Accent2 4 2 2 3 2" xfId="5196"/>
    <cellStyle name="20% - Accent2 4 2 2 3 2 2" xfId="10170"/>
    <cellStyle name="20% - Accent2 4 2 2 3 2 3" xfId="14447"/>
    <cellStyle name="20% - Accent2 4 2 2 3 2 4" xfId="18706"/>
    <cellStyle name="20% - Accent2 4 2 2 3 2 5" xfId="22925"/>
    <cellStyle name="20% - Accent2 4 2 2 3 2 6" xfId="27120"/>
    <cellStyle name="20% - Accent2 4 2 2 3 2 7" xfId="31016"/>
    <cellStyle name="20% - Accent2 4 2 2 3 3" xfId="8391"/>
    <cellStyle name="20% - Accent2 4 2 2 3 4" xfId="12676"/>
    <cellStyle name="20% - Accent2 4 2 2 3 5" xfId="16948"/>
    <cellStyle name="20% - Accent2 4 2 2 3 6" xfId="21183"/>
    <cellStyle name="20% - Accent2 4 2 2 3 7" xfId="25421"/>
    <cellStyle name="20% - Accent2 4 2 2 3 8" xfId="29499"/>
    <cellStyle name="20% - Accent2 4 2 2 3 9" xfId="3415"/>
    <cellStyle name="20% - Accent2 4 2 2 4" xfId="2554"/>
    <cellStyle name="20% - Accent2 4 2 2 4 2" xfId="7531"/>
    <cellStyle name="20% - Accent2 4 2 2 4 3" xfId="11820"/>
    <cellStyle name="20% - Accent2 4 2 2 4 4" xfId="16098"/>
    <cellStyle name="20% - Accent2 4 2 2 4 5" xfId="20341"/>
    <cellStyle name="20% - Accent2 4 2 2 4 6" xfId="24587"/>
    <cellStyle name="20% - Accent2 4 2 2 4 7" xfId="28692"/>
    <cellStyle name="20% - Accent2 4 2 2 5" xfId="4538"/>
    <cellStyle name="20% - Accent2 4 2 2 5 2" xfId="9512"/>
    <cellStyle name="20% - Accent2 4 2 2 5 3" xfId="13789"/>
    <cellStyle name="20% - Accent2 4 2 2 5 4" xfId="18049"/>
    <cellStyle name="20% - Accent2 4 2 2 5 5" xfId="22267"/>
    <cellStyle name="20% - Accent2 4 2 2 5 6" xfId="26463"/>
    <cellStyle name="20% - Accent2 4 2 2 5 7" xfId="30359"/>
    <cellStyle name="20% - Accent2 4 2 2 6" xfId="5887"/>
    <cellStyle name="20% - Accent2 4 2 2 6 2" xfId="10859"/>
    <cellStyle name="20% - Accent2 4 2 2 6 3" xfId="15137"/>
    <cellStyle name="20% - Accent2 4 2 2 6 4" xfId="19394"/>
    <cellStyle name="20% - Accent2 4 2 2 6 5" xfId="23611"/>
    <cellStyle name="20% - Accent2 4 2 2 6 6" xfId="27797"/>
    <cellStyle name="20% - Accent2 4 2 2 6 7" xfId="31676"/>
    <cellStyle name="20% - Accent2 4 2 2 7" xfId="6761"/>
    <cellStyle name="20% - Accent2 4 2 2 8" xfId="7290"/>
    <cellStyle name="20% - Accent2 4 2 2 9" xfId="11580"/>
    <cellStyle name="20% - Accent2 4 2 3" xfId="682"/>
    <cellStyle name="20% - Accent2 4 2 3 10" xfId="24057"/>
    <cellStyle name="20% - Accent2 4 2 3 11" xfId="21850"/>
    <cellStyle name="20% - Accent2 4 2 3 12" xfId="2001"/>
    <cellStyle name="20% - Accent2 4 2 3 2" xfId="1339"/>
    <cellStyle name="20% - Accent2 4 2 3 2 2" xfId="5370"/>
    <cellStyle name="20% - Accent2 4 2 3 2 2 2" xfId="10344"/>
    <cellStyle name="20% - Accent2 4 2 3 2 2 3" xfId="14621"/>
    <cellStyle name="20% - Accent2 4 2 3 2 2 4" xfId="18880"/>
    <cellStyle name="20% - Accent2 4 2 3 2 2 5" xfId="23099"/>
    <cellStyle name="20% - Accent2 4 2 3 2 2 6" xfId="27294"/>
    <cellStyle name="20% - Accent2 4 2 3 2 2 7" xfId="31190"/>
    <cellStyle name="20% - Accent2 4 2 3 2 3" xfId="8531"/>
    <cellStyle name="20% - Accent2 4 2 3 2 4" xfId="12816"/>
    <cellStyle name="20% - Accent2 4 2 3 2 5" xfId="17088"/>
    <cellStyle name="20% - Accent2 4 2 3 2 6" xfId="21323"/>
    <cellStyle name="20% - Accent2 4 2 3 2 7" xfId="25561"/>
    <cellStyle name="20% - Accent2 4 2 3 2 8" xfId="29639"/>
    <cellStyle name="20% - Accent2 4 2 3 2 9" xfId="3555"/>
    <cellStyle name="20% - Accent2 4 2 3 3" xfId="2699"/>
    <cellStyle name="20% - Accent2 4 2 3 3 2" xfId="7676"/>
    <cellStyle name="20% - Accent2 4 2 3 3 3" xfId="11965"/>
    <cellStyle name="20% - Accent2 4 2 3 3 4" xfId="16241"/>
    <cellStyle name="20% - Accent2 4 2 3 3 5" xfId="20483"/>
    <cellStyle name="20% - Accent2 4 2 3 3 6" xfId="24730"/>
    <cellStyle name="20% - Accent2 4 2 3 3 7" xfId="28832"/>
    <cellStyle name="20% - Accent2 4 2 3 4" xfId="4713"/>
    <cellStyle name="20% - Accent2 4 2 3 4 2" xfId="9687"/>
    <cellStyle name="20% - Accent2 4 2 3 4 3" xfId="13964"/>
    <cellStyle name="20% - Accent2 4 2 3 4 4" xfId="18223"/>
    <cellStyle name="20% - Accent2 4 2 3 4 5" xfId="22442"/>
    <cellStyle name="20% - Accent2 4 2 3 4 6" xfId="26637"/>
    <cellStyle name="20% - Accent2 4 2 3 4 7" xfId="30533"/>
    <cellStyle name="20% - Accent2 4 2 3 5" xfId="6061"/>
    <cellStyle name="20% - Accent2 4 2 3 5 2" xfId="11033"/>
    <cellStyle name="20% - Accent2 4 2 3 5 3" xfId="15311"/>
    <cellStyle name="20% - Accent2 4 2 3 5 4" xfId="19568"/>
    <cellStyle name="20% - Accent2 4 2 3 5 5" xfId="23785"/>
    <cellStyle name="20% - Accent2 4 2 3 5 6" xfId="27971"/>
    <cellStyle name="20% - Accent2 4 2 3 5 7" xfId="31850"/>
    <cellStyle name="20% - Accent2 4 2 3 6" xfId="6979"/>
    <cellStyle name="20% - Accent2 4 2 3 7" xfId="6301"/>
    <cellStyle name="20% - Accent2 4 2 3 8" xfId="6481"/>
    <cellStyle name="20% - Accent2 4 2 3 9" xfId="6630"/>
    <cellStyle name="20% - Accent2 4 2 4" xfId="1010"/>
    <cellStyle name="20% - Accent2 4 2 4 2" xfId="5041"/>
    <cellStyle name="20% - Accent2 4 2 4 2 2" xfId="10015"/>
    <cellStyle name="20% - Accent2 4 2 4 2 3" xfId="14292"/>
    <cellStyle name="20% - Accent2 4 2 4 2 4" xfId="18551"/>
    <cellStyle name="20% - Accent2 4 2 4 2 5" xfId="22770"/>
    <cellStyle name="20% - Accent2 4 2 4 2 6" xfId="26965"/>
    <cellStyle name="20% - Accent2 4 2 4 2 7" xfId="30861"/>
    <cellStyle name="20% - Accent2 4 2 4 3" xfId="8238"/>
    <cellStyle name="20% - Accent2 4 2 4 4" xfId="12523"/>
    <cellStyle name="20% - Accent2 4 2 4 5" xfId="16796"/>
    <cellStyle name="20% - Accent2 4 2 4 6" xfId="21032"/>
    <cellStyle name="20% - Accent2 4 2 4 7" xfId="25270"/>
    <cellStyle name="20% - Accent2 4 2 4 8" xfId="29348"/>
    <cellStyle name="20% - Accent2 4 2 4 9" xfId="3262"/>
    <cellStyle name="20% - Accent2 4 2 5" xfId="2378"/>
    <cellStyle name="20% - Accent2 4 2 5 2" xfId="7356"/>
    <cellStyle name="20% - Accent2 4 2 5 3" xfId="11645"/>
    <cellStyle name="20% - Accent2 4 2 5 4" xfId="15923"/>
    <cellStyle name="20% - Accent2 4 2 5 5" xfId="20172"/>
    <cellStyle name="20% - Accent2 4 2 5 6" xfId="24420"/>
    <cellStyle name="20% - Accent2 4 2 5 7" xfId="28540"/>
    <cellStyle name="20% - Accent2 4 2 6" xfId="4383"/>
    <cellStyle name="20% - Accent2 4 2 6 2" xfId="9357"/>
    <cellStyle name="20% - Accent2 4 2 6 3" xfId="13634"/>
    <cellStyle name="20% - Accent2 4 2 6 4" xfId="17894"/>
    <cellStyle name="20% - Accent2 4 2 6 5" xfId="22112"/>
    <cellStyle name="20% - Accent2 4 2 6 6" xfId="26308"/>
    <cellStyle name="20% - Accent2 4 2 6 7" xfId="30204"/>
    <cellStyle name="20% - Accent2 4 2 7" xfId="5732"/>
    <cellStyle name="20% - Accent2 4 2 7 2" xfId="10704"/>
    <cellStyle name="20% - Accent2 4 2 7 3" xfId="14982"/>
    <cellStyle name="20% - Accent2 4 2 7 4" xfId="19239"/>
    <cellStyle name="20% - Accent2 4 2 7 5" xfId="23456"/>
    <cellStyle name="20% - Accent2 4 2 7 6" xfId="27642"/>
    <cellStyle name="20% - Accent2 4 2 7 7" xfId="31521"/>
    <cellStyle name="20% - Accent2 4 2 8" xfId="6597"/>
    <cellStyle name="20% - Accent2 4 2 9" xfId="9149"/>
    <cellStyle name="20% - Accent2 4 3" xfId="401"/>
    <cellStyle name="20% - Accent2 4 3 10" xfId="17598"/>
    <cellStyle name="20% - Accent2 4 3 11" xfId="21938"/>
    <cellStyle name="20% - Accent2 4 3 12" xfId="26050"/>
    <cellStyle name="20% - Accent2 4 3 13" xfId="1764"/>
    <cellStyle name="20% - Accent2 4 3 2" xfId="775"/>
    <cellStyle name="20% - Accent2 4 3 2 10" xfId="24150"/>
    <cellStyle name="20% - Accent2 4 3 2 11" xfId="28302"/>
    <cellStyle name="20% - Accent2 4 3 2 12" xfId="2094"/>
    <cellStyle name="20% - Accent2 4 3 2 2" xfId="1432"/>
    <cellStyle name="20% - Accent2 4 3 2 2 2" xfId="5463"/>
    <cellStyle name="20% - Accent2 4 3 2 2 2 2" xfId="10437"/>
    <cellStyle name="20% - Accent2 4 3 2 2 2 3" xfId="14714"/>
    <cellStyle name="20% - Accent2 4 3 2 2 2 4" xfId="18973"/>
    <cellStyle name="20% - Accent2 4 3 2 2 2 5" xfId="23192"/>
    <cellStyle name="20% - Accent2 4 3 2 2 2 6" xfId="27387"/>
    <cellStyle name="20% - Accent2 4 3 2 2 2 7" xfId="31283"/>
    <cellStyle name="20% - Accent2 4 3 2 2 3" xfId="8532"/>
    <cellStyle name="20% - Accent2 4 3 2 2 4" xfId="12817"/>
    <cellStyle name="20% - Accent2 4 3 2 2 5" xfId="17089"/>
    <cellStyle name="20% - Accent2 4 3 2 2 6" xfId="21324"/>
    <cellStyle name="20% - Accent2 4 3 2 2 7" xfId="25562"/>
    <cellStyle name="20% - Accent2 4 3 2 2 8" xfId="29640"/>
    <cellStyle name="20% - Accent2 4 3 2 2 9" xfId="3556"/>
    <cellStyle name="20% - Accent2 4 3 2 3" xfId="2700"/>
    <cellStyle name="20% - Accent2 4 3 2 3 2" xfId="7677"/>
    <cellStyle name="20% - Accent2 4 3 2 3 3" xfId="11966"/>
    <cellStyle name="20% - Accent2 4 3 2 3 4" xfId="16242"/>
    <cellStyle name="20% - Accent2 4 3 2 3 5" xfId="20484"/>
    <cellStyle name="20% - Accent2 4 3 2 3 6" xfId="24731"/>
    <cellStyle name="20% - Accent2 4 3 2 3 7" xfId="28833"/>
    <cellStyle name="20% - Accent2 4 3 2 4" xfId="4806"/>
    <cellStyle name="20% - Accent2 4 3 2 4 2" xfId="9780"/>
    <cellStyle name="20% - Accent2 4 3 2 4 3" xfId="14057"/>
    <cellStyle name="20% - Accent2 4 3 2 4 4" xfId="18316"/>
    <cellStyle name="20% - Accent2 4 3 2 4 5" xfId="22535"/>
    <cellStyle name="20% - Accent2 4 3 2 4 6" xfId="26730"/>
    <cellStyle name="20% - Accent2 4 3 2 4 7" xfId="30626"/>
    <cellStyle name="20% - Accent2 4 3 2 5" xfId="6154"/>
    <cellStyle name="20% - Accent2 4 3 2 5 2" xfId="11126"/>
    <cellStyle name="20% - Accent2 4 3 2 5 3" xfId="15404"/>
    <cellStyle name="20% - Accent2 4 3 2 5 4" xfId="19661"/>
    <cellStyle name="20% - Accent2 4 3 2 5 5" xfId="23878"/>
    <cellStyle name="20% - Accent2 4 3 2 5 6" xfId="28064"/>
    <cellStyle name="20% - Accent2 4 3 2 5 7" xfId="31943"/>
    <cellStyle name="20% - Accent2 4 3 2 6" xfId="7072"/>
    <cellStyle name="20% - Accent2 4 3 2 7" xfId="11364"/>
    <cellStyle name="20% - Accent2 4 3 2 8" xfId="15642"/>
    <cellStyle name="20% - Accent2 4 3 2 9" xfId="19899"/>
    <cellStyle name="20% - Accent2 4 3 3" xfId="1103"/>
    <cellStyle name="20% - Accent2 4 3 3 2" xfId="5134"/>
    <cellStyle name="20% - Accent2 4 3 3 2 2" xfId="10108"/>
    <cellStyle name="20% - Accent2 4 3 3 2 3" xfId="14385"/>
    <cellStyle name="20% - Accent2 4 3 3 2 4" xfId="18644"/>
    <cellStyle name="20% - Accent2 4 3 3 2 5" xfId="22863"/>
    <cellStyle name="20% - Accent2 4 3 3 2 6" xfId="27058"/>
    <cellStyle name="20% - Accent2 4 3 3 2 7" xfId="30954"/>
    <cellStyle name="20% - Accent2 4 3 3 3" xfId="8329"/>
    <cellStyle name="20% - Accent2 4 3 3 4" xfId="12614"/>
    <cellStyle name="20% - Accent2 4 3 3 5" xfId="16886"/>
    <cellStyle name="20% - Accent2 4 3 3 6" xfId="21121"/>
    <cellStyle name="20% - Accent2 4 3 3 7" xfId="25359"/>
    <cellStyle name="20% - Accent2 4 3 3 8" xfId="29437"/>
    <cellStyle name="20% - Accent2 4 3 3 9" xfId="3353"/>
    <cellStyle name="20% - Accent2 4 3 4" xfId="2492"/>
    <cellStyle name="20% - Accent2 4 3 4 2" xfId="7469"/>
    <cellStyle name="20% - Accent2 4 3 4 3" xfId="11758"/>
    <cellStyle name="20% - Accent2 4 3 4 4" xfId="16036"/>
    <cellStyle name="20% - Accent2 4 3 4 5" xfId="20279"/>
    <cellStyle name="20% - Accent2 4 3 4 6" xfId="24525"/>
    <cellStyle name="20% - Accent2 4 3 4 7" xfId="28630"/>
    <cellStyle name="20% - Accent2 4 3 5" xfId="4476"/>
    <cellStyle name="20% - Accent2 4 3 5 2" xfId="9450"/>
    <cellStyle name="20% - Accent2 4 3 5 3" xfId="13727"/>
    <cellStyle name="20% - Accent2 4 3 5 4" xfId="17987"/>
    <cellStyle name="20% - Accent2 4 3 5 5" xfId="22205"/>
    <cellStyle name="20% - Accent2 4 3 5 6" xfId="26401"/>
    <cellStyle name="20% - Accent2 4 3 5 7" xfId="30297"/>
    <cellStyle name="20% - Accent2 4 3 6" xfId="5825"/>
    <cellStyle name="20% - Accent2 4 3 6 2" xfId="10797"/>
    <cellStyle name="20% - Accent2 4 3 6 3" xfId="15075"/>
    <cellStyle name="20% - Accent2 4 3 6 4" xfId="19332"/>
    <cellStyle name="20% - Accent2 4 3 6 5" xfId="23549"/>
    <cellStyle name="20% - Accent2 4 3 6 6" xfId="27735"/>
    <cellStyle name="20% - Accent2 4 3 6 7" xfId="31614"/>
    <cellStyle name="20% - Accent2 4 3 7" xfId="6699"/>
    <cellStyle name="20% - Accent2 4 3 8" xfId="9043"/>
    <cellStyle name="20% - Accent2 4 3 9" xfId="13326"/>
    <cellStyle name="20% - Accent2 4 4" xfId="515"/>
    <cellStyle name="20% - Accent2 4 4 10" xfId="12243"/>
    <cellStyle name="20% - Accent2 4 4 11" xfId="13503"/>
    <cellStyle name="20% - Accent2 4 4 12" xfId="11849"/>
    <cellStyle name="20% - Accent2 4 4 13" xfId="1878"/>
    <cellStyle name="20% - Accent2 4 4 2" xfId="889"/>
    <cellStyle name="20% - Accent2 4 4 2 10" xfId="24264"/>
    <cellStyle name="20% - Accent2 4 4 2 11" xfId="28416"/>
    <cellStyle name="20% - Accent2 4 4 2 12" xfId="2208"/>
    <cellStyle name="20% - Accent2 4 4 2 2" xfId="1546"/>
    <cellStyle name="20% - Accent2 4 4 2 2 2" xfId="5577"/>
    <cellStyle name="20% - Accent2 4 4 2 2 2 2" xfId="10551"/>
    <cellStyle name="20% - Accent2 4 4 2 2 2 3" xfId="14828"/>
    <cellStyle name="20% - Accent2 4 4 2 2 2 4" xfId="19087"/>
    <cellStyle name="20% - Accent2 4 4 2 2 2 5" xfId="23306"/>
    <cellStyle name="20% - Accent2 4 4 2 2 2 6" xfId="27501"/>
    <cellStyle name="20% - Accent2 4 4 2 2 2 7" xfId="31397"/>
    <cellStyle name="20% - Accent2 4 4 2 2 3" xfId="8533"/>
    <cellStyle name="20% - Accent2 4 4 2 2 4" xfId="12818"/>
    <cellStyle name="20% - Accent2 4 4 2 2 5" xfId="17090"/>
    <cellStyle name="20% - Accent2 4 4 2 2 6" xfId="21325"/>
    <cellStyle name="20% - Accent2 4 4 2 2 7" xfId="25563"/>
    <cellStyle name="20% - Accent2 4 4 2 2 8" xfId="29641"/>
    <cellStyle name="20% - Accent2 4 4 2 2 9" xfId="3557"/>
    <cellStyle name="20% - Accent2 4 4 2 3" xfId="2701"/>
    <cellStyle name="20% - Accent2 4 4 2 3 2" xfId="7678"/>
    <cellStyle name="20% - Accent2 4 4 2 3 3" xfId="11967"/>
    <cellStyle name="20% - Accent2 4 4 2 3 4" xfId="16243"/>
    <cellStyle name="20% - Accent2 4 4 2 3 5" xfId="20485"/>
    <cellStyle name="20% - Accent2 4 4 2 3 6" xfId="24732"/>
    <cellStyle name="20% - Accent2 4 4 2 3 7" xfId="28834"/>
    <cellStyle name="20% - Accent2 4 4 2 4" xfId="4920"/>
    <cellStyle name="20% - Accent2 4 4 2 4 2" xfId="9894"/>
    <cellStyle name="20% - Accent2 4 4 2 4 3" xfId="14171"/>
    <cellStyle name="20% - Accent2 4 4 2 4 4" xfId="18430"/>
    <cellStyle name="20% - Accent2 4 4 2 4 5" xfId="22649"/>
    <cellStyle name="20% - Accent2 4 4 2 4 6" xfId="26844"/>
    <cellStyle name="20% - Accent2 4 4 2 4 7" xfId="30740"/>
    <cellStyle name="20% - Accent2 4 4 2 5" xfId="6268"/>
    <cellStyle name="20% - Accent2 4 4 2 5 2" xfId="11240"/>
    <cellStyle name="20% - Accent2 4 4 2 5 3" xfId="15518"/>
    <cellStyle name="20% - Accent2 4 4 2 5 4" xfId="19775"/>
    <cellStyle name="20% - Accent2 4 4 2 5 5" xfId="23992"/>
    <cellStyle name="20% - Accent2 4 4 2 5 6" xfId="28178"/>
    <cellStyle name="20% - Accent2 4 4 2 5 7" xfId="32057"/>
    <cellStyle name="20% - Accent2 4 4 2 6" xfId="7186"/>
    <cellStyle name="20% - Accent2 4 4 2 7" xfId="11478"/>
    <cellStyle name="20% - Accent2 4 4 2 8" xfId="15756"/>
    <cellStyle name="20% - Accent2 4 4 2 9" xfId="20013"/>
    <cellStyle name="20% - Accent2 4 4 3" xfId="1217"/>
    <cellStyle name="20% - Accent2 4 4 3 2" xfId="5248"/>
    <cellStyle name="20% - Accent2 4 4 3 2 2" xfId="10222"/>
    <cellStyle name="20% - Accent2 4 4 3 2 3" xfId="14499"/>
    <cellStyle name="20% - Accent2 4 4 3 2 4" xfId="18758"/>
    <cellStyle name="20% - Accent2 4 4 3 2 5" xfId="22977"/>
    <cellStyle name="20% - Accent2 4 4 3 2 6" xfId="27172"/>
    <cellStyle name="20% - Accent2 4 4 3 2 7" xfId="31068"/>
    <cellStyle name="20% - Accent2 4 4 3 3" xfId="8458"/>
    <cellStyle name="20% - Accent2 4 4 3 4" xfId="12743"/>
    <cellStyle name="20% - Accent2 4 4 3 5" xfId="17015"/>
    <cellStyle name="20% - Accent2 4 4 3 6" xfId="21250"/>
    <cellStyle name="20% - Accent2 4 4 3 7" xfId="25488"/>
    <cellStyle name="20% - Accent2 4 4 3 8" xfId="29566"/>
    <cellStyle name="20% - Accent2 4 4 3 9" xfId="3482"/>
    <cellStyle name="20% - Accent2 4 4 4" xfId="2625"/>
    <cellStyle name="20% - Accent2 4 4 4 2" xfId="7602"/>
    <cellStyle name="20% - Accent2 4 4 4 3" xfId="11891"/>
    <cellStyle name="20% - Accent2 4 4 4 4" xfId="16167"/>
    <cellStyle name="20% - Accent2 4 4 4 5" xfId="20409"/>
    <cellStyle name="20% - Accent2 4 4 4 6" xfId="24656"/>
    <cellStyle name="20% - Accent2 4 4 4 7" xfId="28759"/>
    <cellStyle name="20% - Accent2 4 4 5" xfId="4590"/>
    <cellStyle name="20% - Accent2 4 4 5 2" xfId="9564"/>
    <cellStyle name="20% - Accent2 4 4 5 3" xfId="13841"/>
    <cellStyle name="20% - Accent2 4 4 5 4" xfId="18101"/>
    <cellStyle name="20% - Accent2 4 4 5 5" xfId="22319"/>
    <cellStyle name="20% - Accent2 4 4 5 6" xfId="26515"/>
    <cellStyle name="20% - Accent2 4 4 5 7" xfId="30411"/>
    <cellStyle name="20% - Accent2 4 4 6" xfId="5939"/>
    <cellStyle name="20% - Accent2 4 4 6 2" xfId="10911"/>
    <cellStyle name="20% - Accent2 4 4 6 3" xfId="15189"/>
    <cellStyle name="20% - Accent2 4 4 6 4" xfId="19446"/>
    <cellStyle name="20% - Accent2 4 4 6 5" xfId="23663"/>
    <cellStyle name="20% - Accent2 4 4 6 6" xfId="27849"/>
    <cellStyle name="20% - Accent2 4 4 6 7" xfId="31728"/>
    <cellStyle name="20% - Accent2 4 4 7" xfId="6813"/>
    <cellStyle name="20% - Accent2 4 4 8" xfId="6866"/>
    <cellStyle name="20% - Accent2 4 4 9" xfId="7954"/>
    <cellStyle name="20% - Accent2 4 5" xfId="616"/>
    <cellStyle name="20% - Accent2 4 5 10" xfId="15969"/>
    <cellStyle name="20% - Accent2 4 5 11" xfId="17530"/>
    <cellStyle name="20% - Accent2 4 5 12" xfId="24464"/>
    <cellStyle name="20% - Accent2 4 5 13" xfId="1935"/>
    <cellStyle name="20% - Accent2 4 5 2" xfId="1273"/>
    <cellStyle name="20% - Accent2 4 5 2 10" xfId="2703"/>
    <cellStyle name="20% - Accent2 4 5 2 2" xfId="3559"/>
    <cellStyle name="20% - Accent2 4 5 2 2 2" xfId="8535"/>
    <cellStyle name="20% - Accent2 4 5 2 2 3" xfId="12820"/>
    <cellStyle name="20% - Accent2 4 5 2 2 4" xfId="17092"/>
    <cellStyle name="20% - Accent2 4 5 2 2 5" xfId="21327"/>
    <cellStyle name="20% - Accent2 4 5 2 2 6" xfId="25565"/>
    <cellStyle name="20% - Accent2 4 5 2 2 7" xfId="29643"/>
    <cellStyle name="20% - Accent2 4 5 2 3" xfId="5304"/>
    <cellStyle name="20% - Accent2 4 5 2 3 2" xfId="10278"/>
    <cellStyle name="20% - Accent2 4 5 2 3 3" xfId="14555"/>
    <cellStyle name="20% - Accent2 4 5 2 3 4" xfId="18814"/>
    <cellStyle name="20% - Accent2 4 5 2 3 5" xfId="23033"/>
    <cellStyle name="20% - Accent2 4 5 2 3 6" xfId="27228"/>
    <cellStyle name="20% - Accent2 4 5 2 3 7" xfId="31124"/>
    <cellStyle name="20% - Accent2 4 5 2 4" xfId="7680"/>
    <cellStyle name="20% - Accent2 4 5 2 5" xfId="11969"/>
    <cellStyle name="20% - Accent2 4 5 2 6" xfId="16245"/>
    <cellStyle name="20% - Accent2 4 5 2 7" xfId="20487"/>
    <cellStyle name="20% - Accent2 4 5 2 8" xfId="24734"/>
    <cellStyle name="20% - Accent2 4 5 2 9" xfId="28836"/>
    <cellStyle name="20% - Accent2 4 5 3" xfId="3558"/>
    <cellStyle name="20% - Accent2 4 5 3 2" xfId="8534"/>
    <cellStyle name="20% - Accent2 4 5 3 3" xfId="12819"/>
    <cellStyle name="20% - Accent2 4 5 3 4" xfId="17091"/>
    <cellStyle name="20% - Accent2 4 5 3 5" xfId="21326"/>
    <cellStyle name="20% - Accent2 4 5 3 6" xfId="25564"/>
    <cellStyle name="20% - Accent2 4 5 3 7" xfId="29642"/>
    <cellStyle name="20% - Accent2 4 5 4" xfId="2702"/>
    <cellStyle name="20% - Accent2 4 5 4 2" xfId="7679"/>
    <cellStyle name="20% - Accent2 4 5 4 3" xfId="11968"/>
    <cellStyle name="20% - Accent2 4 5 4 4" xfId="16244"/>
    <cellStyle name="20% - Accent2 4 5 4 5" xfId="20486"/>
    <cellStyle name="20% - Accent2 4 5 4 6" xfId="24733"/>
    <cellStyle name="20% - Accent2 4 5 4 7" xfId="28835"/>
    <cellStyle name="20% - Accent2 4 5 5" xfId="4647"/>
    <cellStyle name="20% - Accent2 4 5 5 2" xfId="9621"/>
    <cellStyle name="20% - Accent2 4 5 5 3" xfId="13898"/>
    <cellStyle name="20% - Accent2 4 5 5 4" xfId="18157"/>
    <cellStyle name="20% - Accent2 4 5 5 5" xfId="22376"/>
    <cellStyle name="20% - Accent2 4 5 5 6" xfId="26571"/>
    <cellStyle name="20% - Accent2 4 5 5 7" xfId="30467"/>
    <cellStyle name="20% - Accent2 4 5 6" xfId="5995"/>
    <cellStyle name="20% - Accent2 4 5 6 2" xfId="10967"/>
    <cellStyle name="20% - Accent2 4 5 6 3" xfId="15245"/>
    <cellStyle name="20% - Accent2 4 5 6 4" xfId="19502"/>
    <cellStyle name="20% - Accent2 4 5 6 5" xfId="23719"/>
    <cellStyle name="20% - Accent2 4 5 6 6" xfId="27905"/>
    <cellStyle name="20% - Accent2 4 5 6 7" xfId="31784"/>
    <cellStyle name="20% - Accent2 4 5 7" xfId="6913"/>
    <cellStyle name="20% - Accent2 4 5 8" xfId="7402"/>
    <cellStyle name="20% - Accent2 4 5 9" xfId="11691"/>
    <cellStyle name="20% - Accent2 4 6" xfId="944"/>
    <cellStyle name="20% - Accent2 4 6 10" xfId="2704"/>
    <cellStyle name="20% - Accent2 4 6 2" xfId="3560"/>
    <cellStyle name="20% - Accent2 4 6 2 2" xfId="8536"/>
    <cellStyle name="20% - Accent2 4 6 2 3" xfId="12821"/>
    <cellStyle name="20% - Accent2 4 6 2 4" xfId="17093"/>
    <cellStyle name="20% - Accent2 4 6 2 5" xfId="21328"/>
    <cellStyle name="20% - Accent2 4 6 2 6" xfId="25566"/>
    <cellStyle name="20% - Accent2 4 6 2 7" xfId="29644"/>
    <cellStyle name="20% - Accent2 4 6 3" xfId="4975"/>
    <cellStyle name="20% - Accent2 4 6 3 2" xfId="9949"/>
    <cellStyle name="20% - Accent2 4 6 3 3" xfId="14226"/>
    <cellStyle name="20% - Accent2 4 6 3 4" xfId="18485"/>
    <cellStyle name="20% - Accent2 4 6 3 5" xfId="22704"/>
    <cellStyle name="20% - Accent2 4 6 3 6" xfId="26899"/>
    <cellStyle name="20% - Accent2 4 6 3 7" xfId="30795"/>
    <cellStyle name="20% - Accent2 4 6 4" xfId="7681"/>
    <cellStyle name="20% - Accent2 4 6 5" xfId="11970"/>
    <cellStyle name="20% - Accent2 4 6 6" xfId="16246"/>
    <cellStyle name="20% - Accent2 4 6 7" xfId="20488"/>
    <cellStyle name="20% - Accent2 4 6 8" xfId="24735"/>
    <cellStyle name="20% - Accent2 4 6 9" xfId="28837"/>
    <cellStyle name="20% - Accent2 4 7" xfId="3187"/>
    <cellStyle name="20% - Accent2 4 7 2" xfId="8163"/>
    <cellStyle name="20% - Accent2 4 7 3" xfId="12449"/>
    <cellStyle name="20% - Accent2 4 7 4" xfId="16723"/>
    <cellStyle name="20% - Accent2 4 7 5" xfId="20959"/>
    <cellStyle name="20% - Accent2 4 7 6" xfId="25199"/>
    <cellStyle name="20% - Accent2 4 7 7" xfId="29280"/>
    <cellStyle name="20% - Accent2 4 8" xfId="2274"/>
    <cellStyle name="20% - Accent2 4 8 2" xfId="7252"/>
    <cellStyle name="20% - Accent2 4 8 3" xfId="11542"/>
    <cellStyle name="20% - Accent2 4 8 4" xfId="15821"/>
    <cellStyle name="20% - Accent2 4 8 5" xfId="20076"/>
    <cellStyle name="20% - Accent2 4 8 6" xfId="24326"/>
    <cellStyle name="20% - Accent2 4 8 7" xfId="28471"/>
    <cellStyle name="20% - Accent2 4 9" xfId="4312"/>
    <cellStyle name="20% - Accent2 4 9 2" xfId="9286"/>
    <cellStyle name="20% - Accent2 4 9 3" xfId="13563"/>
    <cellStyle name="20% - Accent2 4 9 4" xfId="17823"/>
    <cellStyle name="20% - Accent2 4 9 5" xfId="22042"/>
    <cellStyle name="20% - Accent2 4 9 6" xfId="26240"/>
    <cellStyle name="20% - Accent2 4 9 7" xfId="30137"/>
    <cellStyle name="20% - Accent2 5" xfId="291"/>
    <cellStyle name="20% - Accent2 5 2" xfId="432"/>
    <cellStyle name="20% - Accent2 5 2 10" xfId="13323"/>
    <cellStyle name="20% - Accent2 5 2 11" xfId="26113"/>
    <cellStyle name="20% - Accent2 5 2 12" xfId="1795"/>
    <cellStyle name="20% - Accent2 5 2 2" xfId="806"/>
    <cellStyle name="20% - Accent2 5 2 2 10" xfId="19930"/>
    <cellStyle name="20% - Accent2 5 2 2 11" xfId="24181"/>
    <cellStyle name="20% - Accent2 5 2 2 12" xfId="28333"/>
    <cellStyle name="20% - Accent2 5 2 2 13" xfId="2125"/>
    <cellStyle name="20% - Accent2 5 2 2 2" xfId="1463"/>
    <cellStyle name="20% - Accent2 5 2 2 2 10" xfId="2705"/>
    <cellStyle name="20% - Accent2 5 2 2 2 2" xfId="3561"/>
    <cellStyle name="20% - Accent2 5 2 2 2 2 2" xfId="8537"/>
    <cellStyle name="20% - Accent2 5 2 2 2 2 3" xfId="12822"/>
    <cellStyle name="20% - Accent2 5 2 2 2 2 4" xfId="17094"/>
    <cellStyle name="20% - Accent2 5 2 2 2 2 5" xfId="21329"/>
    <cellStyle name="20% - Accent2 5 2 2 2 2 6" xfId="25567"/>
    <cellStyle name="20% - Accent2 5 2 2 2 2 7" xfId="29645"/>
    <cellStyle name="20% - Accent2 5 2 2 2 3" xfId="5494"/>
    <cellStyle name="20% - Accent2 5 2 2 2 3 2" xfId="10468"/>
    <cellStyle name="20% - Accent2 5 2 2 2 3 3" xfId="14745"/>
    <cellStyle name="20% - Accent2 5 2 2 2 3 4" xfId="19004"/>
    <cellStyle name="20% - Accent2 5 2 2 2 3 5" xfId="23223"/>
    <cellStyle name="20% - Accent2 5 2 2 2 3 6" xfId="27418"/>
    <cellStyle name="20% - Accent2 5 2 2 2 3 7" xfId="31314"/>
    <cellStyle name="20% - Accent2 5 2 2 2 4" xfId="7682"/>
    <cellStyle name="20% - Accent2 5 2 2 2 5" xfId="11971"/>
    <cellStyle name="20% - Accent2 5 2 2 2 6" xfId="16247"/>
    <cellStyle name="20% - Accent2 5 2 2 2 7" xfId="20489"/>
    <cellStyle name="20% - Accent2 5 2 2 2 8" xfId="24736"/>
    <cellStyle name="20% - Accent2 5 2 2 2 9" xfId="28838"/>
    <cellStyle name="20% - Accent2 5 2 2 3" xfId="3384"/>
    <cellStyle name="20% - Accent2 5 2 2 3 2" xfId="8360"/>
    <cellStyle name="20% - Accent2 5 2 2 3 3" xfId="12645"/>
    <cellStyle name="20% - Accent2 5 2 2 3 4" xfId="16917"/>
    <cellStyle name="20% - Accent2 5 2 2 3 5" xfId="21152"/>
    <cellStyle name="20% - Accent2 5 2 2 3 6" xfId="25390"/>
    <cellStyle name="20% - Accent2 5 2 2 3 7" xfId="29468"/>
    <cellStyle name="20% - Accent2 5 2 2 4" xfId="2523"/>
    <cellStyle name="20% - Accent2 5 2 2 4 2" xfId="7500"/>
    <cellStyle name="20% - Accent2 5 2 2 4 3" xfId="11789"/>
    <cellStyle name="20% - Accent2 5 2 2 4 4" xfId="16067"/>
    <cellStyle name="20% - Accent2 5 2 2 4 5" xfId="20310"/>
    <cellStyle name="20% - Accent2 5 2 2 4 6" xfId="24556"/>
    <cellStyle name="20% - Accent2 5 2 2 4 7" xfId="28661"/>
    <cellStyle name="20% - Accent2 5 2 2 5" xfId="4837"/>
    <cellStyle name="20% - Accent2 5 2 2 5 2" xfId="9811"/>
    <cellStyle name="20% - Accent2 5 2 2 5 3" xfId="14088"/>
    <cellStyle name="20% - Accent2 5 2 2 5 4" xfId="18347"/>
    <cellStyle name="20% - Accent2 5 2 2 5 5" xfId="22566"/>
    <cellStyle name="20% - Accent2 5 2 2 5 6" xfId="26761"/>
    <cellStyle name="20% - Accent2 5 2 2 5 7" xfId="30657"/>
    <cellStyle name="20% - Accent2 5 2 2 6" xfId="6185"/>
    <cellStyle name="20% - Accent2 5 2 2 6 2" xfId="11157"/>
    <cellStyle name="20% - Accent2 5 2 2 6 3" xfId="15435"/>
    <cellStyle name="20% - Accent2 5 2 2 6 4" xfId="19692"/>
    <cellStyle name="20% - Accent2 5 2 2 6 5" xfId="23909"/>
    <cellStyle name="20% - Accent2 5 2 2 6 6" xfId="28095"/>
    <cellStyle name="20% - Accent2 5 2 2 6 7" xfId="31974"/>
    <cellStyle name="20% - Accent2 5 2 2 7" xfId="7103"/>
    <cellStyle name="20% - Accent2 5 2 2 8" xfId="11395"/>
    <cellStyle name="20% - Accent2 5 2 2 9" xfId="15673"/>
    <cellStyle name="20% - Accent2 5 2 3" xfId="1134"/>
    <cellStyle name="20% - Accent2 5 2 3 2" xfId="5165"/>
    <cellStyle name="20% - Accent2 5 2 3 2 2" xfId="10139"/>
    <cellStyle name="20% - Accent2 5 2 3 2 3" xfId="14416"/>
    <cellStyle name="20% - Accent2 5 2 3 2 4" xfId="18675"/>
    <cellStyle name="20% - Accent2 5 2 3 2 5" xfId="22894"/>
    <cellStyle name="20% - Accent2 5 2 3 2 6" xfId="27089"/>
    <cellStyle name="20% - Accent2 5 2 3 2 7" xfId="30985"/>
    <cellStyle name="20% - Accent2 5 2 3 3" xfId="2430"/>
    <cellStyle name="20% - Accent2 5 2 4" xfId="4507"/>
    <cellStyle name="20% - Accent2 5 2 4 2" xfId="9481"/>
    <cellStyle name="20% - Accent2 5 2 4 3" xfId="13758"/>
    <cellStyle name="20% - Accent2 5 2 4 4" xfId="18018"/>
    <cellStyle name="20% - Accent2 5 2 4 5" xfId="22236"/>
    <cellStyle name="20% - Accent2 5 2 4 6" xfId="26432"/>
    <cellStyle name="20% - Accent2 5 2 4 7" xfId="30328"/>
    <cellStyle name="20% - Accent2 5 2 5" xfId="5856"/>
    <cellStyle name="20% - Accent2 5 2 5 2" xfId="10828"/>
    <cellStyle name="20% - Accent2 5 2 5 3" xfId="15106"/>
    <cellStyle name="20% - Accent2 5 2 5 4" xfId="19363"/>
    <cellStyle name="20% - Accent2 5 2 5 5" xfId="23580"/>
    <cellStyle name="20% - Accent2 5 2 5 6" xfId="27766"/>
    <cellStyle name="20% - Accent2 5 2 5 7" xfId="31645"/>
    <cellStyle name="20% - Accent2 5 2 6" xfId="6730"/>
    <cellStyle name="20% - Accent2 5 2 7" xfId="9123"/>
    <cellStyle name="20% - Accent2 5 2 8" xfId="13403"/>
    <cellStyle name="20% - Accent2 5 2 9" xfId="17671"/>
    <cellStyle name="20% - Accent2 5 3" xfId="338"/>
    <cellStyle name="20% - Accent2 5 3 10" xfId="21767"/>
    <cellStyle name="20% - Accent2 5 3 11" xfId="26139"/>
    <cellStyle name="20% - Accent2 5 3 12" xfId="1707"/>
    <cellStyle name="20% - Accent2 5 3 2" xfId="718"/>
    <cellStyle name="20% - Accent2 5 3 2 10" xfId="28245"/>
    <cellStyle name="20% - Accent2 5 3 2 11" xfId="2037"/>
    <cellStyle name="20% - Accent2 5 3 2 2" xfId="1375"/>
    <cellStyle name="20% - Accent2 5 3 2 2 2" xfId="5406"/>
    <cellStyle name="20% - Accent2 5 3 2 2 2 2" xfId="10380"/>
    <cellStyle name="20% - Accent2 5 3 2 2 2 3" xfId="14657"/>
    <cellStyle name="20% - Accent2 5 3 2 2 2 4" xfId="18916"/>
    <cellStyle name="20% - Accent2 5 3 2 2 2 5" xfId="23135"/>
    <cellStyle name="20% - Accent2 5 3 2 2 2 6" xfId="27330"/>
    <cellStyle name="20% - Accent2 5 3 2 2 2 7" xfId="31226"/>
    <cellStyle name="20% - Accent2 5 3 2 2 3" xfId="8538"/>
    <cellStyle name="20% - Accent2 5 3 2 2 4" xfId="12823"/>
    <cellStyle name="20% - Accent2 5 3 2 2 5" xfId="17095"/>
    <cellStyle name="20% - Accent2 5 3 2 2 6" xfId="21330"/>
    <cellStyle name="20% - Accent2 5 3 2 2 7" xfId="25568"/>
    <cellStyle name="20% - Accent2 5 3 2 2 8" xfId="29646"/>
    <cellStyle name="20% - Accent2 5 3 2 2 9" xfId="3562"/>
    <cellStyle name="20% - Accent2 5 3 2 3" xfId="4749"/>
    <cellStyle name="20% - Accent2 5 3 2 3 2" xfId="9723"/>
    <cellStyle name="20% - Accent2 5 3 2 3 3" xfId="14000"/>
    <cellStyle name="20% - Accent2 5 3 2 3 4" xfId="18259"/>
    <cellStyle name="20% - Accent2 5 3 2 3 5" xfId="22478"/>
    <cellStyle name="20% - Accent2 5 3 2 3 6" xfId="26673"/>
    <cellStyle name="20% - Accent2 5 3 2 3 7" xfId="30569"/>
    <cellStyle name="20% - Accent2 5 3 2 4" xfId="6097"/>
    <cellStyle name="20% - Accent2 5 3 2 4 2" xfId="11069"/>
    <cellStyle name="20% - Accent2 5 3 2 4 3" xfId="15347"/>
    <cellStyle name="20% - Accent2 5 3 2 4 4" xfId="19604"/>
    <cellStyle name="20% - Accent2 5 3 2 4 5" xfId="23821"/>
    <cellStyle name="20% - Accent2 5 3 2 4 6" xfId="28007"/>
    <cellStyle name="20% - Accent2 5 3 2 4 7" xfId="31886"/>
    <cellStyle name="20% - Accent2 5 3 2 5" xfId="7015"/>
    <cellStyle name="20% - Accent2 5 3 2 6" xfId="11307"/>
    <cellStyle name="20% - Accent2 5 3 2 7" xfId="15585"/>
    <cellStyle name="20% - Accent2 5 3 2 8" xfId="19842"/>
    <cellStyle name="20% - Accent2 5 3 2 9" xfId="24093"/>
    <cellStyle name="20% - Accent2 5 3 3" xfId="1046"/>
    <cellStyle name="20% - Accent2 5 3 3 2" xfId="5077"/>
    <cellStyle name="20% - Accent2 5 3 3 2 2" xfId="10051"/>
    <cellStyle name="20% - Accent2 5 3 3 2 3" xfId="14328"/>
    <cellStyle name="20% - Accent2 5 3 3 2 4" xfId="18587"/>
    <cellStyle name="20% - Accent2 5 3 3 2 5" xfId="22806"/>
    <cellStyle name="20% - Accent2 5 3 3 2 6" xfId="27001"/>
    <cellStyle name="20% - Accent2 5 3 3 2 7" xfId="30897"/>
    <cellStyle name="20% - Accent2 5 3 3 3" xfId="7683"/>
    <cellStyle name="20% - Accent2 5 3 3 4" xfId="11972"/>
    <cellStyle name="20% - Accent2 5 3 3 5" xfId="16248"/>
    <cellStyle name="20% - Accent2 5 3 3 6" xfId="20490"/>
    <cellStyle name="20% - Accent2 5 3 3 7" xfId="24737"/>
    <cellStyle name="20% - Accent2 5 3 3 8" xfId="28839"/>
    <cellStyle name="20% - Accent2 5 3 3 9" xfId="2706"/>
    <cellStyle name="20% - Accent2 5 3 4" xfId="4419"/>
    <cellStyle name="20% - Accent2 5 3 4 2" xfId="9393"/>
    <cellStyle name="20% - Accent2 5 3 4 3" xfId="13670"/>
    <cellStyle name="20% - Accent2 5 3 4 4" xfId="17930"/>
    <cellStyle name="20% - Accent2 5 3 4 5" xfId="22148"/>
    <cellStyle name="20% - Accent2 5 3 4 6" xfId="26344"/>
    <cellStyle name="20% - Accent2 5 3 4 7" xfId="30240"/>
    <cellStyle name="20% - Accent2 5 3 5" xfId="5768"/>
    <cellStyle name="20% - Accent2 5 3 5 2" xfId="10740"/>
    <cellStyle name="20% - Accent2 5 3 5 3" xfId="15018"/>
    <cellStyle name="20% - Accent2 5 3 5 4" xfId="19275"/>
    <cellStyle name="20% - Accent2 5 3 5 5" xfId="23492"/>
    <cellStyle name="20% - Accent2 5 3 5 6" xfId="27678"/>
    <cellStyle name="20% - Accent2 5 3 5 7" xfId="31557"/>
    <cellStyle name="20% - Accent2 5 3 6" xfId="6636"/>
    <cellStyle name="20% - Accent2 5 3 7" xfId="9162"/>
    <cellStyle name="20% - Accent2 5 3 8" xfId="13442"/>
    <cellStyle name="20% - Accent2 5 3 9" xfId="17707"/>
    <cellStyle name="20% - Accent2 5 4" xfId="3223"/>
    <cellStyle name="20% - Accent2 5 4 2" xfId="8199"/>
    <cellStyle name="20% - Accent2 5 4 3" xfId="12485"/>
    <cellStyle name="20% - Accent2 5 4 4" xfId="16757"/>
    <cellStyle name="20% - Accent2 5 4 5" xfId="20995"/>
    <cellStyle name="20% - Accent2 5 4 6" xfId="25233"/>
    <cellStyle name="20% - Accent2 5 4 7" xfId="29314"/>
    <cellStyle name="20% - Accent2 5 5" xfId="2328"/>
    <cellStyle name="20% - Accent2 5 5 2" xfId="7306"/>
    <cellStyle name="20% - Accent2 5 5 3" xfId="11596"/>
    <cellStyle name="20% - Accent2 5 5 4" xfId="15874"/>
    <cellStyle name="20% - Accent2 5 5 5" xfId="20126"/>
    <cellStyle name="20% - Accent2 5 5 6" xfId="24375"/>
    <cellStyle name="20% - Accent2 5 5 7" xfId="28506"/>
    <cellStyle name="20% - Accent2 6" xfId="364"/>
    <cellStyle name="20% - Accent2 6 10" xfId="21899"/>
    <cellStyle name="20% - Accent2 6 11" xfId="26197"/>
    <cellStyle name="20% - Accent2 6 12" xfId="1727"/>
    <cellStyle name="20% - Accent2 6 2" xfId="738"/>
    <cellStyle name="20% - Accent2 6 2 10" xfId="19862"/>
    <cellStyle name="20% - Accent2 6 2 11" xfId="24113"/>
    <cellStyle name="20% - Accent2 6 2 12" xfId="28265"/>
    <cellStyle name="20% - Accent2 6 2 13" xfId="2057"/>
    <cellStyle name="20% - Accent2 6 2 2" xfId="1395"/>
    <cellStyle name="20% - Accent2 6 2 2 10" xfId="2707"/>
    <cellStyle name="20% - Accent2 6 2 2 2" xfId="3563"/>
    <cellStyle name="20% - Accent2 6 2 2 2 2" xfId="8539"/>
    <cellStyle name="20% - Accent2 6 2 2 2 3" xfId="12824"/>
    <cellStyle name="20% - Accent2 6 2 2 2 4" xfId="17096"/>
    <cellStyle name="20% - Accent2 6 2 2 2 5" xfId="21331"/>
    <cellStyle name="20% - Accent2 6 2 2 2 6" xfId="25569"/>
    <cellStyle name="20% - Accent2 6 2 2 2 7" xfId="29647"/>
    <cellStyle name="20% - Accent2 6 2 2 3" xfId="5426"/>
    <cellStyle name="20% - Accent2 6 2 2 3 2" xfId="10400"/>
    <cellStyle name="20% - Accent2 6 2 2 3 3" xfId="14677"/>
    <cellStyle name="20% - Accent2 6 2 2 3 4" xfId="18936"/>
    <cellStyle name="20% - Accent2 6 2 2 3 5" xfId="23155"/>
    <cellStyle name="20% - Accent2 6 2 2 3 6" xfId="27350"/>
    <cellStyle name="20% - Accent2 6 2 2 3 7" xfId="31246"/>
    <cellStyle name="20% - Accent2 6 2 2 4" xfId="7684"/>
    <cellStyle name="20% - Accent2 6 2 2 5" xfId="11973"/>
    <cellStyle name="20% - Accent2 6 2 2 6" xfId="16249"/>
    <cellStyle name="20% - Accent2 6 2 2 7" xfId="20491"/>
    <cellStyle name="20% - Accent2 6 2 2 8" xfId="24738"/>
    <cellStyle name="20% - Accent2 6 2 2 9" xfId="28840"/>
    <cellStyle name="20% - Accent2 6 2 3" xfId="3316"/>
    <cellStyle name="20% - Accent2 6 2 3 2" xfId="8292"/>
    <cellStyle name="20% - Accent2 6 2 3 3" xfId="12577"/>
    <cellStyle name="20% - Accent2 6 2 3 4" xfId="16849"/>
    <cellStyle name="20% - Accent2 6 2 3 5" xfId="21084"/>
    <cellStyle name="20% - Accent2 6 2 3 6" xfId="25322"/>
    <cellStyle name="20% - Accent2 6 2 3 7" xfId="29400"/>
    <cellStyle name="20% - Accent2 6 2 4" xfId="2455"/>
    <cellStyle name="20% - Accent2 6 2 4 2" xfId="7432"/>
    <cellStyle name="20% - Accent2 6 2 4 3" xfId="11721"/>
    <cellStyle name="20% - Accent2 6 2 4 4" xfId="15999"/>
    <cellStyle name="20% - Accent2 6 2 4 5" xfId="20242"/>
    <cellStyle name="20% - Accent2 6 2 4 6" xfId="24488"/>
    <cellStyle name="20% - Accent2 6 2 4 7" xfId="28593"/>
    <cellStyle name="20% - Accent2 6 2 5" xfId="4769"/>
    <cellStyle name="20% - Accent2 6 2 5 2" xfId="9743"/>
    <cellStyle name="20% - Accent2 6 2 5 3" xfId="14020"/>
    <cellStyle name="20% - Accent2 6 2 5 4" xfId="18279"/>
    <cellStyle name="20% - Accent2 6 2 5 5" xfId="22498"/>
    <cellStyle name="20% - Accent2 6 2 5 6" xfId="26693"/>
    <cellStyle name="20% - Accent2 6 2 5 7" xfId="30589"/>
    <cellStyle name="20% - Accent2 6 2 6" xfId="6117"/>
    <cellStyle name="20% - Accent2 6 2 6 2" xfId="11089"/>
    <cellStyle name="20% - Accent2 6 2 6 3" xfId="15367"/>
    <cellStyle name="20% - Accent2 6 2 6 4" xfId="19624"/>
    <cellStyle name="20% - Accent2 6 2 6 5" xfId="23841"/>
    <cellStyle name="20% - Accent2 6 2 6 6" xfId="28027"/>
    <cellStyle name="20% - Accent2 6 2 6 7" xfId="31906"/>
    <cellStyle name="20% - Accent2 6 2 7" xfId="7035"/>
    <cellStyle name="20% - Accent2 6 2 8" xfId="11327"/>
    <cellStyle name="20% - Accent2 6 2 9" xfId="15605"/>
    <cellStyle name="20% - Accent2 6 3" xfId="1066"/>
    <cellStyle name="20% - Accent2 6 3 2" xfId="5097"/>
    <cellStyle name="20% - Accent2 6 3 2 2" xfId="10071"/>
    <cellStyle name="20% - Accent2 6 3 2 3" xfId="14348"/>
    <cellStyle name="20% - Accent2 6 3 2 4" xfId="18607"/>
    <cellStyle name="20% - Accent2 6 3 2 5" xfId="22826"/>
    <cellStyle name="20% - Accent2 6 3 2 6" xfId="27021"/>
    <cellStyle name="20% - Accent2 6 3 2 7" xfId="30917"/>
    <cellStyle name="20% - Accent2 6 3 3" xfId="2413"/>
    <cellStyle name="20% - Accent2 6 4" xfId="4439"/>
    <cellStyle name="20% - Accent2 6 4 2" xfId="9413"/>
    <cellStyle name="20% - Accent2 6 4 3" xfId="13690"/>
    <cellStyle name="20% - Accent2 6 4 4" xfId="17950"/>
    <cellStyle name="20% - Accent2 6 4 5" xfId="22168"/>
    <cellStyle name="20% - Accent2 6 4 6" xfId="26364"/>
    <cellStyle name="20% - Accent2 6 4 7" xfId="30260"/>
    <cellStyle name="20% - Accent2 6 5" xfId="5788"/>
    <cellStyle name="20% - Accent2 6 5 2" xfId="10760"/>
    <cellStyle name="20% - Accent2 6 5 3" xfId="15038"/>
    <cellStyle name="20% - Accent2 6 5 4" xfId="19295"/>
    <cellStyle name="20% - Accent2 6 5 5" xfId="23512"/>
    <cellStyle name="20% - Accent2 6 5 6" xfId="27698"/>
    <cellStyle name="20% - Accent2 6 5 7" xfId="31577"/>
    <cellStyle name="20% - Accent2 6 6" xfId="6662"/>
    <cellStyle name="20% - Accent2 6 7" xfId="9243"/>
    <cellStyle name="20% - Accent2 6 8" xfId="13520"/>
    <cellStyle name="20% - Accent2 6 9" xfId="17780"/>
    <cellStyle name="20% - Accent2 7" xfId="550"/>
    <cellStyle name="20% - Accent2 7 2" xfId="2708"/>
    <cellStyle name="20% - Accent2 7 2 2" xfId="3564"/>
    <cellStyle name="20% - Accent2 7 2 2 2" xfId="8540"/>
    <cellStyle name="20% - Accent2 7 2 2 3" xfId="12825"/>
    <cellStyle name="20% - Accent2 7 2 2 4" xfId="17097"/>
    <cellStyle name="20% - Accent2 7 2 2 5" xfId="21332"/>
    <cellStyle name="20% - Accent2 7 2 2 6" xfId="25570"/>
    <cellStyle name="20% - Accent2 7 2 2 7" xfId="29648"/>
    <cellStyle name="20% - Accent2 7 2 3" xfId="7685"/>
    <cellStyle name="20% - Accent2 7 2 4" xfId="11974"/>
    <cellStyle name="20% - Accent2 7 2 5" xfId="16250"/>
    <cellStyle name="20% - Accent2 7 2 6" xfId="20492"/>
    <cellStyle name="20% - Accent2 7 2 7" xfId="24739"/>
    <cellStyle name="20% - Accent2 7 2 8" xfId="28841"/>
    <cellStyle name="20% - Accent2 7 3" xfId="3449"/>
    <cellStyle name="20% - Accent2 7 3 2" xfId="8425"/>
    <cellStyle name="20% - Accent2 7 3 3" xfId="12710"/>
    <cellStyle name="20% - Accent2 7 3 4" xfId="16982"/>
    <cellStyle name="20% - Accent2 7 3 5" xfId="21217"/>
    <cellStyle name="20% - Accent2 7 3 6" xfId="25455"/>
    <cellStyle name="20% - Accent2 7 3 7" xfId="29533"/>
    <cellStyle name="20% - Accent2 7 4" xfId="2590"/>
    <cellStyle name="20% - Accent2 7 4 2" xfId="7567"/>
    <cellStyle name="20% - Accent2 7 4 3" xfId="11856"/>
    <cellStyle name="20% - Accent2 7 4 4" xfId="16132"/>
    <cellStyle name="20% - Accent2 7 4 5" xfId="20375"/>
    <cellStyle name="20% - Accent2 7 4 6" xfId="24621"/>
    <cellStyle name="20% - Accent2 7 4 7" xfId="28726"/>
    <cellStyle name="20% - Accent2 8" xfId="2709"/>
    <cellStyle name="20% - Accent3" xfId="3" builtinId="38" customBuiltin="1"/>
    <cellStyle name="20% - Accent3 2" xfId="82"/>
    <cellStyle name="20% - Accent3 2 10" xfId="4295"/>
    <cellStyle name="20% - Accent3 2 10 2" xfId="9269"/>
    <cellStyle name="20% - Accent3 2 10 3" xfId="13546"/>
    <cellStyle name="20% - Accent3 2 10 4" xfId="17806"/>
    <cellStyle name="20% - Accent3 2 10 5" xfId="22025"/>
    <cellStyle name="20% - Accent3 2 10 6" xfId="26223"/>
    <cellStyle name="20% - Accent3 2 10 7" xfId="30120"/>
    <cellStyle name="20% - Accent3 2 11" xfId="5651"/>
    <cellStyle name="20% - Accent3 2 11 2" xfId="10623"/>
    <cellStyle name="20% - Accent3 2 11 3" xfId="14901"/>
    <cellStyle name="20% - Accent3 2 11 4" xfId="19158"/>
    <cellStyle name="20% - Accent3 2 11 5" xfId="23375"/>
    <cellStyle name="20% - Accent3 2 11 6" xfId="27561"/>
    <cellStyle name="20% - Accent3 2 11 7" xfId="31440"/>
    <cellStyle name="20% - Accent3 2 12" xfId="6382"/>
    <cellStyle name="20% - Accent3 2 13" xfId="7418"/>
    <cellStyle name="20% - Accent3 2 14" xfId="11706"/>
    <cellStyle name="20% - Accent3 2 15" xfId="15985"/>
    <cellStyle name="20% - Accent3 2 16" xfId="17560"/>
    <cellStyle name="20% - Accent3 2 17" xfId="24474"/>
    <cellStyle name="20% - Accent3 2 18" xfId="1585"/>
    <cellStyle name="20% - Accent3 2 2" xfId="170"/>
    <cellStyle name="20% - Accent3 2 2 10" xfId="5683"/>
    <cellStyle name="20% - Accent3 2 2 10 2" xfId="10655"/>
    <cellStyle name="20% - Accent3 2 2 10 3" xfId="14933"/>
    <cellStyle name="20% - Accent3 2 2 10 4" xfId="19190"/>
    <cellStyle name="20% - Accent3 2 2 10 5" xfId="23407"/>
    <cellStyle name="20% - Accent3 2 2 10 6" xfId="27593"/>
    <cellStyle name="20% - Accent3 2 2 10 7" xfId="31472"/>
    <cellStyle name="20% - Accent3 2 2 11" xfId="6469"/>
    <cellStyle name="20% - Accent3 2 2 12" xfId="8136"/>
    <cellStyle name="20% - Accent3 2 2 13" xfId="12423"/>
    <cellStyle name="20% - Accent3 2 2 14" xfId="16698"/>
    <cellStyle name="20% - Accent3 2 2 15" xfId="23340"/>
    <cellStyle name="20% - Accent3 2 2 16" xfId="25175"/>
    <cellStyle name="20% - Accent3 2 2 17" xfId="1618"/>
    <cellStyle name="20% - Accent3 2 2 2" xfId="314"/>
    <cellStyle name="20% - Accent3 2 2 2 10" xfId="13524"/>
    <cellStyle name="20% - Accent3 2 2 2 11" xfId="17784"/>
    <cellStyle name="20% - Accent3 2 2 2 12" xfId="21821"/>
    <cellStyle name="20% - Accent3 2 2 2 13" xfId="26201"/>
    <cellStyle name="20% - Accent3 2 2 2 14" xfId="1686"/>
    <cellStyle name="20% - Accent3 2 2 2 2" xfId="478"/>
    <cellStyle name="20% - Accent3 2 2 2 2 10" xfId="17348"/>
    <cellStyle name="20% - Accent3 2 2 2 2 11" xfId="23351"/>
    <cellStyle name="20% - Accent3 2 2 2 2 12" xfId="25821"/>
    <cellStyle name="20% - Accent3 2 2 2 2 13" xfId="1841"/>
    <cellStyle name="20% - Accent3 2 2 2 2 2" xfId="852"/>
    <cellStyle name="20% - Accent3 2 2 2 2 2 10" xfId="24227"/>
    <cellStyle name="20% - Accent3 2 2 2 2 2 11" xfId="28379"/>
    <cellStyle name="20% - Accent3 2 2 2 2 2 12" xfId="2171"/>
    <cellStyle name="20% - Accent3 2 2 2 2 2 2" xfId="1509"/>
    <cellStyle name="20% - Accent3 2 2 2 2 2 2 2" xfId="5540"/>
    <cellStyle name="20% - Accent3 2 2 2 2 2 2 2 2" xfId="10514"/>
    <cellStyle name="20% - Accent3 2 2 2 2 2 2 2 3" xfId="14791"/>
    <cellStyle name="20% - Accent3 2 2 2 2 2 2 2 4" xfId="19050"/>
    <cellStyle name="20% - Accent3 2 2 2 2 2 2 2 5" xfId="23269"/>
    <cellStyle name="20% - Accent3 2 2 2 2 2 2 2 6" xfId="27464"/>
    <cellStyle name="20% - Accent3 2 2 2 2 2 2 2 7" xfId="31360"/>
    <cellStyle name="20% - Accent3 2 2 2 2 2 2 3" xfId="8541"/>
    <cellStyle name="20% - Accent3 2 2 2 2 2 2 4" xfId="12826"/>
    <cellStyle name="20% - Accent3 2 2 2 2 2 2 5" xfId="17098"/>
    <cellStyle name="20% - Accent3 2 2 2 2 2 2 6" xfId="21333"/>
    <cellStyle name="20% - Accent3 2 2 2 2 2 2 7" xfId="25571"/>
    <cellStyle name="20% - Accent3 2 2 2 2 2 2 8" xfId="29649"/>
    <cellStyle name="20% - Accent3 2 2 2 2 2 2 9" xfId="3565"/>
    <cellStyle name="20% - Accent3 2 2 2 2 2 3" xfId="2710"/>
    <cellStyle name="20% - Accent3 2 2 2 2 2 3 2" xfId="7687"/>
    <cellStyle name="20% - Accent3 2 2 2 2 2 3 3" xfId="11976"/>
    <cellStyle name="20% - Accent3 2 2 2 2 2 3 4" xfId="16252"/>
    <cellStyle name="20% - Accent3 2 2 2 2 2 3 5" xfId="20494"/>
    <cellStyle name="20% - Accent3 2 2 2 2 2 3 6" xfId="24741"/>
    <cellStyle name="20% - Accent3 2 2 2 2 2 3 7" xfId="28842"/>
    <cellStyle name="20% - Accent3 2 2 2 2 2 4" xfId="4883"/>
    <cellStyle name="20% - Accent3 2 2 2 2 2 4 2" xfId="9857"/>
    <cellStyle name="20% - Accent3 2 2 2 2 2 4 3" xfId="14134"/>
    <cellStyle name="20% - Accent3 2 2 2 2 2 4 4" xfId="18393"/>
    <cellStyle name="20% - Accent3 2 2 2 2 2 4 5" xfId="22612"/>
    <cellStyle name="20% - Accent3 2 2 2 2 2 4 6" xfId="26807"/>
    <cellStyle name="20% - Accent3 2 2 2 2 2 4 7" xfId="30703"/>
    <cellStyle name="20% - Accent3 2 2 2 2 2 5" xfId="6231"/>
    <cellStyle name="20% - Accent3 2 2 2 2 2 5 2" xfId="11203"/>
    <cellStyle name="20% - Accent3 2 2 2 2 2 5 3" xfId="15481"/>
    <cellStyle name="20% - Accent3 2 2 2 2 2 5 4" xfId="19738"/>
    <cellStyle name="20% - Accent3 2 2 2 2 2 5 5" xfId="23955"/>
    <cellStyle name="20% - Accent3 2 2 2 2 2 5 6" xfId="28141"/>
    <cellStyle name="20% - Accent3 2 2 2 2 2 5 7" xfId="32020"/>
    <cellStyle name="20% - Accent3 2 2 2 2 2 6" xfId="7149"/>
    <cellStyle name="20% - Accent3 2 2 2 2 2 7" xfId="11441"/>
    <cellStyle name="20% - Accent3 2 2 2 2 2 8" xfId="15719"/>
    <cellStyle name="20% - Accent3 2 2 2 2 2 9" xfId="19976"/>
    <cellStyle name="20% - Accent3 2 2 2 2 3" xfId="1180"/>
    <cellStyle name="20% - Accent3 2 2 2 2 3 2" xfId="5211"/>
    <cellStyle name="20% - Accent3 2 2 2 2 3 2 2" xfId="10185"/>
    <cellStyle name="20% - Accent3 2 2 2 2 3 2 3" xfId="14462"/>
    <cellStyle name="20% - Accent3 2 2 2 2 3 2 4" xfId="18721"/>
    <cellStyle name="20% - Accent3 2 2 2 2 3 2 5" xfId="22940"/>
    <cellStyle name="20% - Accent3 2 2 2 2 3 2 6" xfId="27135"/>
    <cellStyle name="20% - Accent3 2 2 2 2 3 2 7" xfId="31031"/>
    <cellStyle name="20% - Accent3 2 2 2 2 3 3" xfId="8406"/>
    <cellStyle name="20% - Accent3 2 2 2 2 3 4" xfId="12691"/>
    <cellStyle name="20% - Accent3 2 2 2 2 3 5" xfId="16963"/>
    <cellStyle name="20% - Accent3 2 2 2 2 3 6" xfId="21198"/>
    <cellStyle name="20% - Accent3 2 2 2 2 3 7" xfId="25436"/>
    <cellStyle name="20% - Accent3 2 2 2 2 3 8" xfId="29514"/>
    <cellStyle name="20% - Accent3 2 2 2 2 3 9" xfId="3430"/>
    <cellStyle name="20% - Accent3 2 2 2 2 4" xfId="2569"/>
    <cellStyle name="20% - Accent3 2 2 2 2 4 2" xfId="7546"/>
    <cellStyle name="20% - Accent3 2 2 2 2 4 3" xfId="11835"/>
    <cellStyle name="20% - Accent3 2 2 2 2 4 4" xfId="16113"/>
    <cellStyle name="20% - Accent3 2 2 2 2 4 5" xfId="20356"/>
    <cellStyle name="20% - Accent3 2 2 2 2 4 6" xfId="24602"/>
    <cellStyle name="20% - Accent3 2 2 2 2 4 7" xfId="28707"/>
    <cellStyle name="20% - Accent3 2 2 2 2 5" xfId="4553"/>
    <cellStyle name="20% - Accent3 2 2 2 2 5 2" xfId="9527"/>
    <cellStyle name="20% - Accent3 2 2 2 2 5 3" xfId="13804"/>
    <cellStyle name="20% - Accent3 2 2 2 2 5 4" xfId="18064"/>
    <cellStyle name="20% - Accent3 2 2 2 2 5 5" xfId="22282"/>
    <cellStyle name="20% - Accent3 2 2 2 2 5 6" xfId="26478"/>
    <cellStyle name="20% - Accent3 2 2 2 2 5 7" xfId="30374"/>
    <cellStyle name="20% - Accent3 2 2 2 2 6" xfId="5902"/>
    <cellStyle name="20% - Accent3 2 2 2 2 6 2" xfId="10874"/>
    <cellStyle name="20% - Accent3 2 2 2 2 6 3" xfId="15152"/>
    <cellStyle name="20% - Accent3 2 2 2 2 6 4" xfId="19409"/>
    <cellStyle name="20% - Accent3 2 2 2 2 6 5" xfId="23626"/>
    <cellStyle name="20% - Accent3 2 2 2 2 6 6" xfId="27812"/>
    <cellStyle name="20% - Accent3 2 2 2 2 6 7" xfId="31691"/>
    <cellStyle name="20% - Accent3 2 2 2 2 7" xfId="6776"/>
    <cellStyle name="20% - Accent3 2 2 2 2 8" xfId="8791"/>
    <cellStyle name="20% - Accent3 2 2 2 2 9" xfId="13076"/>
    <cellStyle name="20% - Accent3 2 2 2 3" xfId="697"/>
    <cellStyle name="20% - Accent3 2 2 2 3 10" xfId="24072"/>
    <cellStyle name="20% - Accent3 2 2 2 3 11" xfId="28224"/>
    <cellStyle name="20% - Accent3 2 2 2 3 12" xfId="2016"/>
    <cellStyle name="20% - Accent3 2 2 2 3 2" xfId="1354"/>
    <cellStyle name="20% - Accent3 2 2 2 3 2 2" xfId="5385"/>
    <cellStyle name="20% - Accent3 2 2 2 3 2 2 2" xfId="10359"/>
    <cellStyle name="20% - Accent3 2 2 2 3 2 2 3" xfId="14636"/>
    <cellStyle name="20% - Accent3 2 2 2 3 2 2 4" xfId="18895"/>
    <cellStyle name="20% - Accent3 2 2 2 3 2 2 5" xfId="23114"/>
    <cellStyle name="20% - Accent3 2 2 2 3 2 2 6" xfId="27309"/>
    <cellStyle name="20% - Accent3 2 2 2 3 2 2 7" xfId="31205"/>
    <cellStyle name="20% - Accent3 2 2 2 3 2 3" xfId="8542"/>
    <cellStyle name="20% - Accent3 2 2 2 3 2 4" xfId="12827"/>
    <cellStyle name="20% - Accent3 2 2 2 3 2 5" xfId="17099"/>
    <cellStyle name="20% - Accent3 2 2 2 3 2 6" xfId="21334"/>
    <cellStyle name="20% - Accent3 2 2 2 3 2 7" xfId="25572"/>
    <cellStyle name="20% - Accent3 2 2 2 3 2 8" xfId="29650"/>
    <cellStyle name="20% - Accent3 2 2 2 3 2 9" xfId="3566"/>
    <cellStyle name="20% - Accent3 2 2 2 3 3" xfId="2711"/>
    <cellStyle name="20% - Accent3 2 2 2 3 3 2" xfId="7688"/>
    <cellStyle name="20% - Accent3 2 2 2 3 3 3" xfId="11977"/>
    <cellStyle name="20% - Accent3 2 2 2 3 3 4" xfId="16253"/>
    <cellStyle name="20% - Accent3 2 2 2 3 3 5" xfId="20495"/>
    <cellStyle name="20% - Accent3 2 2 2 3 3 6" xfId="24742"/>
    <cellStyle name="20% - Accent3 2 2 2 3 3 7" xfId="28843"/>
    <cellStyle name="20% - Accent3 2 2 2 3 4" xfId="4728"/>
    <cellStyle name="20% - Accent3 2 2 2 3 4 2" xfId="9702"/>
    <cellStyle name="20% - Accent3 2 2 2 3 4 3" xfId="13979"/>
    <cellStyle name="20% - Accent3 2 2 2 3 4 4" xfId="18238"/>
    <cellStyle name="20% - Accent3 2 2 2 3 4 5" xfId="22457"/>
    <cellStyle name="20% - Accent3 2 2 2 3 4 6" xfId="26652"/>
    <cellStyle name="20% - Accent3 2 2 2 3 4 7" xfId="30548"/>
    <cellStyle name="20% - Accent3 2 2 2 3 5" xfId="6076"/>
    <cellStyle name="20% - Accent3 2 2 2 3 5 2" xfId="11048"/>
    <cellStyle name="20% - Accent3 2 2 2 3 5 3" xfId="15326"/>
    <cellStyle name="20% - Accent3 2 2 2 3 5 4" xfId="19583"/>
    <cellStyle name="20% - Accent3 2 2 2 3 5 5" xfId="23800"/>
    <cellStyle name="20% - Accent3 2 2 2 3 5 6" xfId="27986"/>
    <cellStyle name="20% - Accent3 2 2 2 3 5 7" xfId="31865"/>
    <cellStyle name="20% - Accent3 2 2 2 3 6" xfId="6994"/>
    <cellStyle name="20% - Accent3 2 2 2 3 7" xfId="11286"/>
    <cellStyle name="20% - Accent3 2 2 2 3 8" xfId="15564"/>
    <cellStyle name="20% - Accent3 2 2 2 3 9" xfId="19821"/>
    <cellStyle name="20% - Accent3 2 2 2 4" xfId="1025"/>
    <cellStyle name="20% - Accent3 2 2 2 4 2" xfId="5056"/>
    <cellStyle name="20% - Accent3 2 2 2 4 2 2" xfId="10030"/>
    <cellStyle name="20% - Accent3 2 2 2 4 2 3" xfId="14307"/>
    <cellStyle name="20% - Accent3 2 2 2 4 2 4" xfId="18566"/>
    <cellStyle name="20% - Accent3 2 2 2 4 2 5" xfId="22785"/>
    <cellStyle name="20% - Accent3 2 2 2 4 2 6" xfId="26980"/>
    <cellStyle name="20% - Accent3 2 2 2 4 2 7" xfId="30876"/>
    <cellStyle name="20% - Accent3 2 2 2 4 3" xfId="8254"/>
    <cellStyle name="20% - Accent3 2 2 2 4 4" xfId="12539"/>
    <cellStyle name="20% - Accent3 2 2 2 4 5" xfId="16812"/>
    <cellStyle name="20% - Accent3 2 2 2 4 6" xfId="21048"/>
    <cellStyle name="20% - Accent3 2 2 2 4 7" xfId="25286"/>
    <cellStyle name="20% - Accent3 2 2 2 4 8" xfId="29364"/>
    <cellStyle name="20% - Accent3 2 2 2 4 9" xfId="3278"/>
    <cellStyle name="20% - Accent3 2 2 2 5" xfId="2394"/>
    <cellStyle name="20% - Accent3 2 2 2 5 2" xfId="7372"/>
    <cellStyle name="20% - Accent3 2 2 2 5 3" xfId="11661"/>
    <cellStyle name="20% - Accent3 2 2 2 5 4" xfId="15939"/>
    <cellStyle name="20% - Accent3 2 2 2 5 5" xfId="20188"/>
    <cellStyle name="20% - Accent3 2 2 2 5 6" xfId="24436"/>
    <cellStyle name="20% - Accent3 2 2 2 5 7" xfId="28556"/>
    <cellStyle name="20% - Accent3 2 2 2 6" xfId="4398"/>
    <cellStyle name="20% - Accent3 2 2 2 6 2" xfId="9372"/>
    <cellStyle name="20% - Accent3 2 2 2 6 3" xfId="13649"/>
    <cellStyle name="20% - Accent3 2 2 2 6 4" xfId="17909"/>
    <cellStyle name="20% - Accent3 2 2 2 6 5" xfId="22127"/>
    <cellStyle name="20% - Accent3 2 2 2 6 6" xfId="26323"/>
    <cellStyle name="20% - Accent3 2 2 2 6 7" xfId="30219"/>
    <cellStyle name="20% - Accent3 2 2 2 7" xfId="5747"/>
    <cellStyle name="20% - Accent3 2 2 2 7 2" xfId="10719"/>
    <cellStyle name="20% - Accent3 2 2 2 7 3" xfId="14997"/>
    <cellStyle name="20% - Accent3 2 2 2 7 4" xfId="19254"/>
    <cellStyle name="20% - Accent3 2 2 2 7 5" xfId="23471"/>
    <cellStyle name="20% - Accent3 2 2 2 7 6" xfId="27657"/>
    <cellStyle name="20% - Accent3 2 2 2 7 7" xfId="31536"/>
    <cellStyle name="20% - Accent3 2 2 2 8" xfId="6612"/>
    <cellStyle name="20% - Accent3 2 2 2 9" xfId="9247"/>
    <cellStyle name="20% - Accent3 2 2 3" xfId="417"/>
    <cellStyle name="20% - Accent3 2 2 3 10" xfId="17689"/>
    <cellStyle name="20% - Accent3 2 2 3 11" xfId="21847"/>
    <cellStyle name="20% - Accent3 2 2 3 12" xfId="26128"/>
    <cellStyle name="20% - Accent3 2 2 3 13" xfId="1780"/>
    <cellStyle name="20% - Accent3 2 2 3 2" xfId="791"/>
    <cellStyle name="20% - Accent3 2 2 3 2 10" xfId="24166"/>
    <cellStyle name="20% - Accent3 2 2 3 2 11" xfId="28318"/>
    <cellStyle name="20% - Accent3 2 2 3 2 12" xfId="2110"/>
    <cellStyle name="20% - Accent3 2 2 3 2 2" xfId="1448"/>
    <cellStyle name="20% - Accent3 2 2 3 2 2 2" xfId="5479"/>
    <cellStyle name="20% - Accent3 2 2 3 2 2 2 2" xfId="10453"/>
    <cellStyle name="20% - Accent3 2 2 3 2 2 2 3" xfId="14730"/>
    <cellStyle name="20% - Accent3 2 2 3 2 2 2 4" xfId="18989"/>
    <cellStyle name="20% - Accent3 2 2 3 2 2 2 5" xfId="23208"/>
    <cellStyle name="20% - Accent3 2 2 3 2 2 2 6" xfId="27403"/>
    <cellStyle name="20% - Accent3 2 2 3 2 2 2 7" xfId="31299"/>
    <cellStyle name="20% - Accent3 2 2 3 2 2 3" xfId="8543"/>
    <cellStyle name="20% - Accent3 2 2 3 2 2 4" xfId="12828"/>
    <cellStyle name="20% - Accent3 2 2 3 2 2 5" xfId="17100"/>
    <cellStyle name="20% - Accent3 2 2 3 2 2 6" xfId="21335"/>
    <cellStyle name="20% - Accent3 2 2 3 2 2 7" xfId="25573"/>
    <cellStyle name="20% - Accent3 2 2 3 2 2 8" xfId="29651"/>
    <cellStyle name="20% - Accent3 2 2 3 2 2 9" xfId="3567"/>
    <cellStyle name="20% - Accent3 2 2 3 2 3" xfId="2712"/>
    <cellStyle name="20% - Accent3 2 2 3 2 3 2" xfId="7689"/>
    <cellStyle name="20% - Accent3 2 2 3 2 3 3" xfId="11978"/>
    <cellStyle name="20% - Accent3 2 2 3 2 3 4" xfId="16254"/>
    <cellStyle name="20% - Accent3 2 2 3 2 3 5" xfId="20496"/>
    <cellStyle name="20% - Accent3 2 2 3 2 3 6" xfId="24743"/>
    <cellStyle name="20% - Accent3 2 2 3 2 3 7" xfId="28844"/>
    <cellStyle name="20% - Accent3 2 2 3 2 4" xfId="4822"/>
    <cellStyle name="20% - Accent3 2 2 3 2 4 2" xfId="9796"/>
    <cellStyle name="20% - Accent3 2 2 3 2 4 3" xfId="14073"/>
    <cellStyle name="20% - Accent3 2 2 3 2 4 4" xfId="18332"/>
    <cellStyle name="20% - Accent3 2 2 3 2 4 5" xfId="22551"/>
    <cellStyle name="20% - Accent3 2 2 3 2 4 6" xfId="26746"/>
    <cellStyle name="20% - Accent3 2 2 3 2 4 7" xfId="30642"/>
    <cellStyle name="20% - Accent3 2 2 3 2 5" xfId="6170"/>
    <cellStyle name="20% - Accent3 2 2 3 2 5 2" xfId="11142"/>
    <cellStyle name="20% - Accent3 2 2 3 2 5 3" xfId="15420"/>
    <cellStyle name="20% - Accent3 2 2 3 2 5 4" xfId="19677"/>
    <cellStyle name="20% - Accent3 2 2 3 2 5 5" xfId="23894"/>
    <cellStyle name="20% - Accent3 2 2 3 2 5 6" xfId="28080"/>
    <cellStyle name="20% - Accent3 2 2 3 2 5 7" xfId="31959"/>
    <cellStyle name="20% - Accent3 2 2 3 2 6" xfId="7088"/>
    <cellStyle name="20% - Accent3 2 2 3 2 7" xfId="11380"/>
    <cellStyle name="20% - Accent3 2 2 3 2 8" xfId="15658"/>
    <cellStyle name="20% - Accent3 2 2 3 2 9" xfId="19915"/>
    <cellStyle name="20% - Accent3 2 2 3 3" xfId="1119"/>
    <cellStyle name="20% - Accent3 2 2 3 3 2" xfId="5150"/>
    <cellStyle name="20% - Accent3 2 2 3 3 2 2" xfId="10124"/>
    <cellStyle name="20% - Accent3 2 2 3 3 2 3" xfId="14401"/>
    <cellStyle name="20% - Accent3 2 2 3 3 2 4" xfId="18660"/>
    <cellStyle name="20% - Accent3 2 2 3 3 2 5" xfId="22879"/>
    <cellStyle name="20% - Accent3 2 2 3 3 2 6" xfId="27074"/>
    <cellStyle name="20% - Accent3 2 2 3 3 2 7" xfId="30970"/>
    <cellStyle name="20% - Accent3 2 2 3 3 3" xfId="8345"/>
    <cellStyle name="20% - Accent3 2 2 3 3 4" xfId="12630"/>
    <cellStyle name="20% - Accent3 2 2 3 3 5" xfId="16902"/>
    <cellStyle name="20% - Accent3 2 2 3 3 6" xfId="21137"/>
    <cellStyle name="20% - Accent3 2 2 3 3 7" xfId="25375"/>
    <cellStyle name="20% - Accent3 2 2 3 3 8" xfId="29453"/>
    <cellStyle name="20% - Accent3 2 2 3 3 9" xfId="3369"/>
    <cellStyle name="20% - Accent3 2 2 3 4" xfId="2508"/>
    <cellStyle name="20% - Accent3 2 2 3 4 2" xfId="7485"/>
    <cellStyle name="20% - Accent3 2 2 3 4 3" xfId="11774"/>
    <cellStyle name="20% - Accent3 2 2 3 4 4" xfId="16052"/>
    <cellStyle name="20% - Accent3 2 2 3 4 5" xfId="20295"/>
    <cellStyle name="20% - Accent3 2 2 3 4 6" xfId="24541"/>
    <cellStyle name="20% - Accent3 2 2 3 4 7" xfId="28646"/>
    <cellStyle name="20% - Accent3 2 2 3 5" xfId="4492"/>
    <cellStyle name="20% - Accent3 2 2 3 5 2" xfId="9466"/>
    <cellStyle name="20% - Accent3 2 2 3 5 3" xfId="13743"/>
    <cellStyle name="20% - Accent3 2 2 3 5 4" xfId="18003"/>
    <cellStyle name="20% - Accent3 2 2 3 5 5" xfId="22221"/>
    <cellStyle name="20% - Accent3 2 2 3 5 6" xfId="26417"/>
    <cellStyle name="20% - Accent3 2 2 3 5 7" xfId="30313"/>
    <cellStyle name="20% - Accent3 2 2 3 6" xfId="5841"/>
    <cellStyle name="20% - Accent3 2 2 3 6 2" xfId="10813"/>
    <cellStyle name="20% - Accent3 2 2 3 6 3" xfId="15091"/>
    <cellStyle name="20% - Accent3 2 2 3 6 4" xfId="19348"/>
    <cellStyle name="20% - Accent3 2 2 3 6 5" xfId="23565"/>
    <cellStyle name="20% - Accent3 2 2 3 6 6" xfId="27751"/>
    <cellStyle name="20% - Accent3 2 2 3 6 7" xfId="31630"/>
    <cellStyle name="20% - Accent3 2 2 3 7" xfId="6715"/>
    <cellStyle name="20% - Accent3 2 2 3 8" xfId="9144"/>
    <cellStyle name="20% - Accent3 2 2 3 9" xfId="13424"/>
    <cellStyle name="20% - Accent3 2 2 4" xfId="531"/>
    <cellStyle name="20% - Accent3 2 2 4 10" xfId="13387"/>
    <cellStyle name="20% - Accent3 2 2 4 11" xfId="20137"/>
    <cellStyle name="20% - Accent3 2 2 4 12" xfId="17577"/>
    <cellStyle name="20% - Accent3 2 2 4 13" xfId="1894"/>
    <cellStyle name="20% - Accent3 2 2 4 2" xfId="905"/>
    <cellStyle name="20% - Accent3 2 2 4 2 10" xfId="24280"/>
    <cellStyle name="20% - Accent3 2 2 4 2 11" xfId="28432"/>
    <cellStyle name="20% - Accent3 2 2 4 2 12" xfId="2224"/>
    <cellStyle name="20% - Accent3 2 2 4 2 2" xfId="1562"/>
    <cellStyle name="20% - Accent3 2 2 4 2 2 2" xfId="5593"/>
    <cellStyle name="20% - Accent3 2 2 4 2 2 2 2" xfId="10567"/>
    <cellStyle name="20% - Accent3 2 2 4 2 2 2 3" xfId="14844"/>
    <cellStyle name="20% - Accent3 2 2 4 2 2 2 4" xfId="19103"/>
    <cellStyle name="20% - Accent3 2 2 4 2 2 2 5" xfId="23322"/>
    <cellStyle name="20% - Accent3 2 2 4 2 2 2 6" xfId="27517"/>
    <cellStyle name="20% - Accent3 2 2 4 2 2 2 7" xfId="31413"/>
    <cellStyle name="20% - Accent3 2 2 4 2 2 3" xfId="8544"/>
    <cellStyle name="20% - Accent3 2 2 4 2 2 4" xfId="12829"/>
    <cellStyle name="20% - Accent3 2 2 4 2 2 5" xfId="17101"/>
    <cellStyle name="20% - Accent3 2 2 4 2 2 6" xfId="21336"/>
    <cellStyle name="20% - Accent3 2 2 4 2 2 7" xfId="25574"/>
    <cellStyle name="20% - Accent3 2 2 4 2 2 8" xfId="29652"/>
    <cellStyle name="20% - Accent3 2 2 4 2 2 9" xfId="3568"/>
    <cellStyle name="20% - Accent3 2 2 4 2 3" xfId="2713"/>
    <cellStyle name="20% - Accent3 2 2 4 2 3 2" xfId="7690"/>
    <cellStyle name="20% - Accent3 2 2 4 2 3 3" xfId="11979"/>
    <cellStyle name="20% - Accent3 2 2 4 2 3 4" xfId="16255"/>
    <cellStyle name="20% - Accent3 2 2 4 2 3 5" xfId="20497"/>
    <cellStyle name="20% - Accent3 2 2 4 2 3 6" xfId="24744"/>
    <cellStyle name="20% - Accent3 2 2 4 2 3 7" xfId="28845"/>
    <cellStyle name="20% - Accent3 2 2 4 2 4" xfId="4936"/>
    <cellStyle name="20% - Accent3 2 2 4 2 4 2" xfId="9910"/>
    <cellStyle name="20% - Accent3 2 2 4 2 4 3" xfId="14187"/>
    <cellStyle name="20% - Accent3 2 2 4 2 4 4" xfId="18446"/>
    <cellStyle name="20% - Accent3 2 2 4 2 4 5" xfId="22665"/>
    <cellStyle name="20% - Accent3 2 2 4 2 4 6" xfId="26860"/>
    <cellStyle name="20% - Accent3 2 2 4 2 4 7" xfId="30756"/>
    <cellStyle name="20% - Accent3 2 2 4 2 5" xfId="6284"/>
    <cellStyle name="20% - Accent3 2 2 4 2 5 2" xfId="11256"/>
    <cellStyle name="20% - Accent3 2 2 4 2 5 3" xfId="15534"/>
    <cellStyle name="20% - Accent3 2 2 4 2 5 4" xfId="19791"/>
    <cellStyle name="20% - Accent3 2 2 4 2 5 5" xfId="24008"/>
    <cellStyle name="20% - Accent3 2 2 4 2 5 6" xfId="28194"/>
    <cellStyle name="20% - Accent3 2 2 4 2 5 7" xfId="32073"/>
    <cellStyle name="20% - Accent3 2 2 4 2 6" xfId="7202"/>
    <cellStyle name="20% - Accent3 2 2 4 2 7" xfId="11494"/>
    <cellStyle name="20% - Accent3 2 2 4 2 8" xfId="15772"/>
    <cellStyle name="20% - Accent3 2 2 4 2 9" xfId="20029"/>
    <cellStyle name="20% - Accent3 2 2 4 3" xfId="1233"/>
    <cellStyle name="20% - Accent3 2 2 4 3 2" xfId="5264"/>
    <cellStyle name="20% - Accent3 2 2 4 3 2 2" xfId="10238"/>
    <cellStyle name="20% - Accent3 2 2 4 3 2 3" xfId="14515"/>
    <cellStyle name="20% - Accent3 2 2 4 3 2 4" xfId="18774"/>
    <cellStyle name="20% - Accent3 2 2 4 3 2 5" xfId="22993"/>
    <cellStyle name="20% - Accent3 2 2 4 3 2 6" xfId="27188"/>
    <cellStyle name="20% - Accent3 2 2 4 3 2 7" xfId="31084"/>
    <cellStyle name="20% - Accent3 2 2 4 3 3" xfId="8473"/>
    <cellStyle name="20% - Accent3 2 2 4 3 4" xfId="12758"/>
    <cellStyle name="20% - Accent3 2 2 4 3 5" xfId="17030"/>
    <cellStyle name="20% - Accent3 2 2 4 3 6" xfId="21265"/>
    <cellStyle name="20% - Accent3 2 2 4 3 7" xfId="25503"/>
    <cellStyle name="20% - Accent3 2 2 4 3 8" xfId="29581"/>
    <cellStyle name="20% - Accent3 2 2 4 3 9" xfId="3497"/>
    <cellStyle name="20% - Accent3 2 2 4 4" xfId="2640"/>
    <cellStyle name="20% - Accent3 2 2 4 4 2" xfId="7617"/>
    <cellStyle name="20% - Accent3 2 2 4 4 3" xfId="11906"/>
    <cellStyle name="20% - Accent3 2 2 4 4 4" xfId="16182"/>
    <cellStyle name="20% - Accent3 2 2 4 4 5" xfId="20424"/>
    <cellStyle name="20% - Accent3 2 2 4 4 6" xfId="24671"/>
    <cellStyle name="20% - Accent3 2 2 4 4 7" xfId="28774"/>
    <cellStyle name="20% - Accent3 2 2 4 5" xfId="4606"/>
    <cellStyle name="20% - Accent3 2 2 4 5 2" xfId="9580"/>
    <cellStyle name="20% - Accent3 2 2 4 5 3" xfId="13857"/>
    <cellStyle name="20% - Accent3 2 2 4 5 4" xfId="18117"/>
    <cellStyle name="20% - Accent3 2 2 4 5 5" xfId="22335"/>
    <cellStyle name="20% - Accent3 2 2 4 5 6" xfId="26531"/>
    <cellStyle name="20% - Accent3 2 2 4 5 7" xfId="30427"/>
    <cellStyle name="20% - Accent3 2 2 4 6" xfId="5955"/>
    <cellStyle name="20% - Accent3 2 2 4 6 2" xfId="10927"/>
    <cellStyle name="20% - Accent3 2 2 4 6 3" xfId="15205"/>
    <cellStyle name="20% - Accent3 2 2 4 6 4" xfId="19462"/>
    <cellStyle name="20% - Accent3 2 2 4 6 5" xfId="23679"/>
    <cellStyle name="20% - Accent3 2 2 4 6 6" xfId="27865"/>
    <cellStyle name="20% - Accent3 2 2 4 6 7" xfId="31744"/>
    <cellStyle name="20% - Accent3 2 2 4 7" xfId="6829"/>
    <cellStyle name="20% - Accent3 2 2 4 8" xfId="6396"/>
    <cellStyle name="20% - Accent3 2 2 4 9" xfId="9106"/>
    <cellStyle name="20% - Accent3 2 2 5" xfId="632"/>
    <cellStyle name="20% - Accent3 2 2 5 10" xfId="9113"/>
    <cellStyle name="20% - Accent3 2 2 5 11" xfId="20222"/>
    <cellStyle name="20% - Accent3 2 2 5 12" xfId="20211"/>
    <cellStyle name="20% - Accent3 2 2 5 13" xfId="1951"/>
    <cellStyle name="20% - Accent3 2 2 5 2" xfId="1289"/>
    <cellStyle name="20% - Accent3 2 2 5 2 10" xfId="2715"/>
    <cellStyle name="20% - Accent3 2 2 5 2 2" xfId="3570"/>
    <cellStyle name="20% - Accent3 2 2 5 2 2 2" xfId="8546"/>
    <cellStyle name="20% - Accent3 2 2 5 2 2 3" xfId="12831"/>
    <cellStyle name="20% - Accent3 2 2 5 2 2 4" xfId="17103"/>
    <cellStyle name="20% - Accent3 2 2 5 2 2 5" xfId="21338"/>
    <cellStyle name="20% - Accent3 2 2 5 2 2 6" xfId="25576"/>
    <cellStyle name="20% - Accent3 2 2 5 2 2 7" xfId="29654"/>
    <cellStyle name="20% - Accent3 2 2 5 2 3" xfId="5320"/>
    <cellStyle name="20% - Accent3 2 2 5 2 3 2" xfId="10294"/>
    <cellStyle name="20% - Accent3 2 2 5 2 3 3" xfId="14571"/>
    <cellStyle name="20% - Accent3 2 2 5 2 3 4" xfId="18830"/>
    <cellStyle name="20% - Accent3 2 2 5 2 3 5" xfId="23049"/>
    <cellStyle name="20% - Accent3 2 2 5 2 3 6" xfId="27244"/>
    <cellStyle name="20% - Accent3 2 2 5 2 3 7" xfId="31140"/>
    <cellStyle name="20% - Accent3 2 2 5 2 4" xfId="7692"/>
    <cellStyle name="20% - Accent3 2 2 5 2 5" xfId="11981"/>
    <cellStyle name="20% - Accent3 2 2 5 2 6" xfId="16257"/>
    <cellStyle name="20% - Accent3 2 2 5 2 7" xfId="20499"/>
    <cellStyle name="20% - Accent3 2 2 5 2 8" xfId="24746"/>
    <cellStyle name="20% - Accent3 2 2 5 2 9" xfId="28847"/>
    <cellStyle name="20% - Accent3 2 2 5 3" xfId="3569"/>
    <cellStyle name="20% - Accent3 2 2 5 3 2" xfId="8545"/>
    <cellStyle name="20% - Accent3 2 2 5 3 3" xfId="12830"/>
    <cellStyle name="20% - Accent3 2 2 5 3 4" xfId="17102"/>
    <cellStyle name="20% - Accent3 2 2 5 3 5" xfId="21337"/>
    <cellStyle name="20% - Accent3 2 2 5 3 6" xfId="25575"/>
    <cellStyle name="20% - Accent3 2 2 5 3 7" xfId="29653"/>
    <cellStyle name="20% - Accent3 2 2 5 4" xfId="2714"/>
    <cellStyle name="20% - Accent3 2 2 5 4 2" xfId="7691"/>
    <cellStyle name="20% - Accent3 2 2 5 4 3" xfId="11980"/>
    <cellStyle name="20% - Accent3 2 2 5 4 4" xfId="16256"/>
    <cellStyle name="20% - Accent3 2 2 5 4 5" xfId="20498"/>
    <cellStyle name="20% - Accent3 2 2 5 4 6" xfId="24745"/>
    <cellStyle name="20% - Accent3 2 2 5 4 7" xfId="28846"/>
    <cellStyle name="20% - Accent3 2 2 5 5" xfId="4663"/>
    <cellStyle name="20% - Accent3 2 2 5 5 2" xfId="9637"/>
    <cellStyle name="20% - Accent3 2 2 5 5 3" xfId="13914"/>
    <cellStyle name="20% - Accent3 2 2 5 5 4" xfId="18173"/>
    <cellStyle name="20% - Accent3 2 2 5 5 5" xfId="22392"/>
    <cellStyle name="20% - Accent3 2 2 5 5 6" xfId="26587"/>
    <cellStyle name="20% - Accent3 2 2 5 5 7" xfId="30483"/>
    <cellStyle name="20% - Accent3 2 2 5 6" xfId="6011"/>
    <cellStyle name="20% - Accent3 2 2 5 6 2" xfId="10983"/>
    <cellStyle name="20% - Accent3 2 2 5 6 3" xfId="15261"/>
    <cellStyle name="20% - Accent3 2 2 5 6 4" xfId="19518"/>
    <cellStyle name="20% - Accent3 2 2 5 6 5" xfId="23735"/>
    <cellStyle name="20% - Accent3 2 2 5 6 6" xfId="27921"/>
    <cellStyle name="20% - Accent3 2 2 5 6 7" xfId="31800"/>
    <cellStyle name="20% - Accent3 2 2 5 7" xfId="6929"/>
    <cellStyle name="20% - Accent3 2 2 5 8" xfId="6306"/>
    <cellStyle name="20% - Accent3 2 2 5 9" xfId="6551"/>
    <cellStyle name="20% - Accent3 2 2 6" xfId="960"/>
    <cellStyle name="20% - Accent3 2 2 6 10" xfId="2716"/>
    <cellStyle name="20% - Accent3 2 2 6 2" xfId="3571"/>
    <cellStyle name="20% - Accent3 2 2 6 2 2" xfId="8547"/>
    <cellStyle name="20% - Accent3 2 2 6 2 3" xfId="12832"/>
    <cellStyle name="20% - Accent3 2 2 6 2 4" xfId="17104"/>
    <cellStyle name="20% - Accent3 2 2 6 2 5" xfId="21339"/>
    <cellStyle name="20% - Accent3 2 2 6 2 6" xfId="25577"/>
    <cellStyle name="20% - Accent3 2 2 6 2 7" xfId="29655"/>
    <cellStyle name="20% - Accent3 2 2 6 3" xfId="4991"/>
    <cellStyle name="20% - Accent3 2 2 6 3 2" xfId="9965"/>
    <cellStyle name="20% - Accent3 2 2 6 3 3" xfId="14242"/>
    <cellStyle name="20% - Accent3 2 2 6 3 4" xfId="18501"/>
    <cellStyle name="20% - Accent3 2 2 6 3 5" xfId="22720"/>
    <cellStyle name="20% - Accent3 2 2 6 3 6" xfId="26915"/>
    <cellStyle name="20% - Accent3 2 2 6 3 7" xfId="30811"/>
    <cellStyle name="20% - Accent3 2 2 6 4" xfId="7693"/>
    <cellStyle name="20% - Accent3 2 2 6 5" xfId="11982"/>
    <cellStyle name="20% - Accent3 2 2 6 6" xfId="16258"/>
    <cellStyle name="20% - Accent3 2 2 6 7" xfId="20500"/>
    <cellStyle name="20% - Accent3 2 2 6 8" xfId="24747"/>
    <cellStyle name="20% - Accent3 2 2 6 9" xfId="28848"/>
    <cellStyle name="20% - Accent3 2 2 7" xfId="3203"/>
    <cellStyle name="20% - Accent3 2 2 7 2" xfId="8179"/>
    <cellStyle name="20% - Accent3 2 2 7 3" xfId="12465"/>
    <cellStyle name="20% - Accent3 2 2 7 4" xfId="16739"/>
    <cellStyle name="20% - Accent3 2 2 7 5" xfId="20975"/>
    <cellStyle name="20% - Accent3 2 2 7 6" xfId="25215"/>
    <cellStyle name="20% - Accent3 2 2 7 7" xfId="29296"/>
    <cellStyle name="20% - Accent3 2 2 8" xfId="2300"/>
    <cellStyle name="20% - Accent3 2 2 8 2" xfId="7278"/>
    <cellStyle name="20% - Accent3 2 2 8 3" xfId="11568"/>
    <cellStyle name="20% - Accent3 2 2 8 4" xfId="15846"/>
    <cellStyle name="20% - Accent3 2 2 8 5" xfId="20099"/>
    <cellStyle name="20% - Accent3 2 2 8 6" xfId="24350"/>
    <cellStyle name="20% - Accent3 2 2 8 7" xfId="28487"/>
    <cellStyle name="20% - Accent3 2 2 9" xfId="4328"/>
    <cellStyle name="20% - Accent3 2 2 9 2" xfId="9302"/>
    <cellStyle name="20% - Accent3 2 2 9 3" xfId="13579"/>
    <cellStyle name="20% - Accent3 2 2 9 4" xfId="17839"/>
    <cellStyle name="20% - Accent3 2 2 9 5" xfId="22058"/>
    <cellStyle name="20% - Accent3 2 2 9 6" xfId="26256"/>
    <cellStyle name="20% - Accent3 2 2 9 7" xfId="30153"/>
    <cellStyle name="20% - Accent3 2 3" xfId="236"/>
    <cellStyle name="20% - Accent3 2 3 10" xfId="13436"/>
    <cellStyle name="20% - Accent3 2 3 11" xfId="17701"/>
    <cellStyle name="20% - Accent3 2 3 12" xfId="21783"/>
    <cellStyle name="20% - Accent3 2 3 13" xfId="26135"/>
    <cellStyle name="20% - Accent3 2 3 14" xfId="1642"/>
    <cellStyle name="20% - Accent3 2 3 2" xfId="449"/>
    <cellStyle name="20% - Accent3 2 3 2 10" xfId="17775"/>
    <cellStyle name="20% - Accent3 2 3 2 11" xfId="19150"/>
    <cellStyle name="20% - Accent3 2 3 2 12" xfId="26194"/>
    <cellStyle name="20% - Accent3 2 3 2 13" xfId="1812"/>
    <cellStyle name="20% - Accent3 2 3 2 2" xfId="823"/>
    <cellStyle name="20% - Accent3 2 3 2 2 10" xfId="24198"/>
    <cellStyle name="20% - Accent3 2 3 2 2 11" xfId="28350"/>
    <cellStyle name="20% - Accent3 2 3 2 2 12" xfId="2142"/>
    <cellStyle name="20% - Accent3 2 3 2 2 2" xfId="1480"/>
    <cellStyle name="20% - Accent3 2 3 2 2 2 2" xfId="5511"/>
    <cellStyle name="20% - Accent3 2 3 2 2 2 2 2" xfId="10485"/>
    <cellStyle name="20% - Accent3 2 3 2 2 2 2 3" xfId="14762"/>
    <cellStyle name="20% - Accent3 2 3 2 2 2 2 4" xfId="19021"/>
    <cellStyle name="20% - Accent3 2 3 2 2 2 2 5" xfId="23240"/>
    <cellStyle name="20% - Accent3 2 3 2 2 2 2 6" xfId="27435"/>
    <cellStyle name="20% - Accent3 2 3 2 2 2 2 7" xfId="31331"/>
    <cellStyle name="20% - Accent3 2 3 2 2 2 3" xfId="8548"/>
    <cellStyle name="20% - Accent3 2 3 2 2 2 4" xfId="12833"/>
    <cellStyle name="20% - Accent3 2 3 2 2 2 5" xfId="17105"/>
    <cellStyle name="20% - Accent3 2 3 2 2 2 6" xfId="21340"/>
    <cellStyle name="20% - Accent3 2 3 2 2 2 7" xfId="25578"/>
    <cellStyle name="20% - Accent3 2 3 2 2 2 8" xfId="29656"/>
    <cellStyle name="20% - Accent3 2 3 2 2 2 9" xfId="3572"/>
    <cellStyle name="20% - Accent3 2 3 2 2 3" xfId="2717"/>
    <cellStyle name="20% - Accent3 2 3 2 2 3 2" xfId="7694"/>
    <cellStyle name="20% - Accent3 2 3 2 2 3 3" xfId="11983"/>
    <cellStyle name="20% - Accent3 2 3 2 2 3 4" xfId="16259"/>
    <cellStyle name="20% - Accent3 2 3 2 2 3 5" xfId="20501"/>
    <cellStyle name="20% - Accent3 2 3 2 2 3 6" xfId="24748"/>
    <cellStyle name="20% - Accent3 2 3 2 2 3 7" xfId="28849"/>
    <cellStyle name="20% - Accent3 2 3 2 2 4" xfId="4854"/>
    <cellStyle name="20% - Accent3 2 3 2 2 4 2" xfId="9828"/>
    <cellStyle name="20% - Accent3 2 3 2 2 4 3" xfId="14105"/>
    <cellStyle name="20% - Accent3 2 3 2 2 4 4" xfId="18364"/>
    <cellStyle name="20% - Accent3 2 3 2 2 4 5" xfId="22583"/>
    <cellStyle name="20% - Accent3 2 3 2 2 4 6" xfId="26778"/>
    <cellStyle name="20% - Accent3 2 3 2 2 4 7" xfId="30674"/>
    <cellStyle name="20% - Accent3 2 3 2 2 5" xfId="6202"/>
    <cellStyle name="20% - Accent3 2 3 2 2 5 2" xfId="11174"/>
    <cellStyle name="20% - Accent3 2 3 2 2 5 3" xfId="15452"/>
    <cellStyle name="20% - Accent3 2 3 2 2 5 4" xfId="19709"/>
    <cellStyle name="20% - Accent3 2 3 2 2 5 5" xfId="23926"/>
    <cellStyle name="20% - Accent3 2 3 2 2 5 6" xfId="28112"/>
    <cellStyle name="20% - Accent3 2 3 2 2 5 7" xfId="31991"/>
    <cellStyle name="20% - Accent3 2 3 2 2 6" xfId="7120"/>
    <cellStyle name="20% - Accent3 2 3 2 2 7" xfId="11412"/>
    <cellStyle name="20% - Accent3 2 3 2 2 8" xfId="15690"/>
    <cellStyle name="20% - Accent3 2 3 2 2 9" xfId="19947"/>
    <cellStyle name="20% - Accent3 2 3 2 3" xfId="1151"/>
    <cellStyle name="20% - Accent3 2 3 2 3 2" xfId="5182"/>
    <cellStyle name="20% - Accent3 2 3 2 3 2 2" xfId="10156"/>
    <cellStyle name="20% - Accent3 2 3 2 3 2 3" xfId="14433"/>
    <cellStyle name="20% - Accent3 2 3 2 3 2 4" xfId="18692"/>
    <cellStyle name="20% - Accent3 2 3 2 3 2 5" xfId="22911"/>
    <cellStyle name="20% - Accent3 2 3 2 3 2 6" xfId="27106"/>
    <cellStyle name="20% - Accent3 2 3 2 3 2 7" xfId="31002"/>
    <cellStyle name="20% - Accent3 2 3 2 3 3" xfId="8377"/>
    <cellStyle name="20% - Accent3 2 3 2 3 4" xfId="12662"/>
    <cellStyle name="20% - Accent3 2 3 2 3 5" xfId="16934"/>
    <cellStyle name="20% - Accent3 2 3 2 3 6" xfId="21169"/>
    <cellStyle name="20% - Accent3 2 3 2 3 7" xfId="25407"/>
    <cellStyle name="20% - Accent3 2 3 2 3 8" xfId="29485"/>
    <cellStyle name="20% - Accent3 2 3 2 3 9" xfId="3401"/>
    <cellStyle name="20% - Accent3 2 3 2 4" xfId="2540"/>
    <cellStyle name="20% - Accent3 2 3 2 4 2" xfId="7517"/>
    <cellStyle name="20% - Accent3 2 3 2 4 3" xfId="11806"/>
    <cellStyle name="20% - Accent3 2 3 2 4 4" xfId="16084"/>
    <cellStyle name="20% - Accent3 2 3 2 4 5" xfId="20327"/>
    <cellStyle name="20% - Accent3 2 3 2 4 6" xfId="24573"/>
    <cellStyle name="20% - Accent3 2 3 2 4 7" xfId="28678"/>
    <cellStyle name="20% - Accent3 2 3 2 5" xfId="4524"/>
    <cellStyle name="20% - Accent3 2 3 2 5 2" xfId="9498"/>
    <cellStyle name="20% - Accent3 2 3 2 5 3" xfId="13775"/>
    <cellStyle name="20% - Accent3 2 3 2 5 4" xfId="18035"/>
    <cellStyle name="20% - Accent3 2 3 2 5 5" xfId="22253"/>
    <cellStyle name="20% - Accent3 2 3 2 5 6" xfId="26449"/>
    <cellStyle name="20% - Accent3 2 3 2 5 7" xfId="30345"/>
    <cellStyle name="20% - Accent3 2 3 2 6" xfId="5873"/>
    <cellStyle name="20% - Accent3 2 3 2 6 2" xfId="10845"/>
    <cellStyle name="20% - Accent3 2 3 2 6 3" xfId="15123"/>
    <cellStyle name="20% - Accent3 2 3 2 6 4" xfId="19380"/>
    <cellStyle name="20% - Accent3 2 3 2 6 5" xfId="23597"/>
    <cellStyle name="20% - Accent3 2 3 2 6 6" xfId="27783"/>
    <cellStyle name="20% - Accent3 2 3 2 6 7" xfId="31662"/>
    <cellStyle name="20% - Accent3 2 3 2 7" xfId="6747"/>
    <cellStyle name="20% - Accent3 2 3 2 8" xfId="9238"/>
    <cellStyle name="20% - Accent3 2 3 2 9" xfId="13515"/>
    <cellStyle name="20% - Accent3 2 3 3" xfId="656"/>
    <cellStyle name="20% - Accent3 2 3 3 10" xfId="24031"/>
    <cellStyle name="20% - Accent3 2 3 3 11" xfId="24471"/>
    <cellStyle name="20% - Accent3 2 3 3 12" xfId="1975"/>
    <cellStyle name="20% - Accent3 2 3 3 2" xfId="1313"/>
    <cellStyle name="20% - Accent3 2 3 3 2 2" xfId="5344"/>
    <cellStyle name="20% - Accent3 2 3 3 2 2 2" xfId="10318"/>
    <cellStyle name="20% - Accent3 2 3 3 2 2 3" xfId="14595"/>
    <cellStyle name="20% - Accent3 2 3 3 2 2 4" xfId="18854"/>
    <cellStyle name="20% - Accent3 2 3 3 2 2 5" xfId="23073"/>
    <cellStyle name="20% - Accent3 2 3 3 2 2 6" xfId="27268"/>
    <cellStyle name="20% - Accent3 2 3 3 2 2 7" xfId="31164"/>
    <cellStyle name="20% - Accent3 2 3 3 2 3" xfId="8549"/>
    <cellStyle name="20% - Accent3 2 3 3 2 4" xfId="12834"/>
    <cellStyle name="20% - Accent3 2 3 3 2 5" xfId="17106"/>
    <cellStyle name="20% - Accent3 2 3 3 2 6" xfId="21341"/>
    <cellStyle name="20% - Accent3 2 3 3 2 7" xfId="25579"/>
    <cellStyle name="20% - Accent3 2 3 3 2 8" xfId="29657"/>
    <cellStyle name="20% - Accent3 2 3 3 2 9" xfId="3573"/>
    <cellStyle name="20% - Accent3 2 3 3 3" xfId="2718"/>
    <cellStyle name="20% - Accent3 2 3 3 3 2" xfId="7695"/>
    <cellStyle name="20% - Accent3 2 3 3 3 3" xfId="11984"/>
    <cellStyle name="20% - Accent3 2 3 3 3 4" xfId="16260"/>
    <cellStyle name="20% - Accent3 2 3 3 3 5" xfId="20502"/>
    <cellStyle name="20% - Accent3 2 3 3 3 6" xfId="24749"/>
    <cellStyle name="20% - Accent3 2 3 3 3 7" xfId="28850"/>
    <cellStyle name="20% - Accent3 2 3 3 4" xfId="4687"/>
    <cellStyle name="20% - Accent3 2 3 3 4 2" xfId="9661"/>
    <cellStyle name="20% - Accent3 2 3 3 4 3" xfId="13938"/>
    <cellStyle name="20% - Accent3 2 3 3 4 4" xfId="18197"/>
    <cellStyle name="20% - Accent3 2 3 3 4 5" xfId="22416"/>
    <cellStyle name="20% - Accent3 2 3 3 4 6" xfId="26611"/>
    <cellStyle name="20% - Accent3 2 3 3 4 7" xfId="30507"/>
    <cellStyle name="20% - Accent3 2 3 3 5" xfId="6035"/>
    <cellStyle name="20% - Accent3 2 3 3 5 2" xfId="11007"/>
    <cellStyle name="20% - Accent3 2 3 3 5 3" xfId="15285"/>
    <cellStyle name="20% - Accent3 2 3 3 5 4" xfId="19542"/>
    <cellStyle name="20% - Accent3 2 3 3 5 5" xfId="23759"/>
    <cellStyle name="20% - Accent3 2 3 3 5 6" xfId="27945"/>
    <cellStyle name="20% - Accent3 2 3 3 5 7" xfId="31824"/>
    <cellStyle name="20% - Accent3 2 3 3 6" xfId="6953"/>
    <cellStyle name="20% - Accent3 2 3 3 7" xfId="7414"/>
    <cellStyle name="20% - Accent3 2 3 3 8" xfId="11702"/>
    <cellStyle name="20% - Accent3 2 3 3 9" xfId="15981"/>
    <cellStyle name="20% - Accent3 2 3 4" xfId="984"/>
    <cellStyle name="20% - Accent3 2 3 4 2" xfId="5015"/>
    <cellStyle name="20% - Accent3 2 3 4 2 2" xfId="9989"/>
    <cellStyle name="20% - Accent3 2 3 4 2 3" xfId="14266"/>
    <cellStyle name="20% - Accent3 2 3 4 2 4" xfId="18525"/>
    <cellStyle name="20% - Accent3 2 3 4 2 5" xfId="22744"/>
    <cellStyle name="20% - Accent3 2 3 4 2 6" xfId="26939"/>
    <cellStyle name="20% - Accent3 2 3 4 2 7" xfId="30835"/>
    <cellStyle name="20% - Accent3 2 3 4 3" xfId="8221"/>
    <cellStyle name="20% - Accent3 2 3 4 4" xfId="12506"/>
    <cellStyle name="20% - Accent3 2 3 4 5" xfId="16779"/>
    <cellStyle name="20% - Accent3 2 3 4 6" xfId="21017"/>
    <cellStyle name="20% - Accent3 2 3 4 7" xfId="25254"/>
    <cellStyle name="20% - Accent3 2 3 4 8" xfId="29333"/>
    <cellStyle name="20% - Accent3 2 3 4 9" xfId="3245"/>
    <cellStyle name="20% - Accent3 2 3 5" xfId="2360"/>
    <cellStyle name="20% - Accent3 2 3 5 2" xfId="7338"/>
    <cellStyle name="20% - Accent3 2 3 5 3" xfId="11627"/>
    <cellStyle name="20% - Accent3 2 3 5 4" xfId="15906"/>
    <cellStyle name="20% - Accent3 2 3 5 5" xfId="20156"/>
    <cellStyle name="20% - Accent3 2 3 5 6" xfId="24403"/>
    <cellStyle name="20% - Accent3 2 3 5 7" xfId="28525"/>
    <cellStyle name="20% - Accent3 2 3 6" xfId="4356"/>
    <cellStyle name="20% - Accent3 2 3 6 2" xfId="9330"/>
    <cellStyle name="20% - Accent3 2 3 6 3" xfId="13607"/>
    <cellStyle name="20% - Accent3 2 3 6 4" xfId="17867"/>
    <cellStyle name="20% - Accent3 2 3 6 5" xfId="22086"/>
    <cellStyle name="20% - Accent3 2 3 6 6" xfId="26282"/>
    <cellStyle name="20% - Accent3 2 3 6 7" xfId="30178"/>
    <cellStyle name="20% - Accent3 2 3 7" xfId="5706"/>
    <cellStyle name="20% - Accent3 2 3 7 2" xfId="10678"/>
    <cellStyle name="20% - Accent3 2 3 7 3" xfId="14956"/>
    <cellStyle name="20% - Accent3 2 3 7 4" xfId="19213"/>
    <cellStyle name="20% - Accent3 2 3 7 5" xfId="23430"/>
    <cellStyle name="20% - Accent3 2 3 7 6" xfId="27616"/>
    <cellStyle name="20% - Accent3 2 3 7 7" xfId="31495"/>
    <cellStyle name="20% - Accent3 2 3 8" xfId="6534"/>
    <cellStyle name="20% - Accent3 2 3 9" xfId="9155"/>
    <cellStyle name="20% - Accent3 2 4" xfId="383"/>
    <cellStyle name="20% - Accent3 2 4 10" xfId="13453"/>
    <cellStyle name="20% - Accent3 2 4 11" xfId="17717"/>
    <cellStyle name="20% - Accent3 2 4 12" xfId="21916"/>
    <cellStyle name="20% - Accent3 2 4 13" xfId="26147"/>
    <cellStyle name="20% - Accent3 2 4 14" xfId="1746"/>
    <cellStyle name="20% - Accent3 2 4 2" xfId="757"/>
    <cellStyle name="20% - Accent3 2 4 2 10" xfId="24132"/>
    <cellStyle name="20% - Accent3 2 4 2 11" xfId="28284"/>
    <cellStyle name="20% - Accent3 2 4 2 12" xfId="2076"/>
    <cellStyle name="20% - Accent3 2 4 2 2" xfId="1414"/>
    <cellStyle name="20% - Accent3 2 4 2 2 2" xfId="5445"/>
    <cellStyle name="20% - Accent3 2 4 2 2 2 2" xfId="10419"/>
    <cellStyle name="20% - Accent3 2 4 2 2 2 3" xfId="14696"/>
    <cellStyle name="20% - Accent3 2 4 2 2 2 4" xfId="18955"/>
    <cellStyle name="20% - Accent3 2 4 2 2 2 5" xfId="23174"/>
    <cellStyle name="20% - Accent3 2 4 2 2 2 6" xfId="27369"/>
    <cellStyle name="20% - Accent3 2 4 2 2 2 7" xfId="31265"/>
    <cellStyle name="20% - Accent3 2 4 2 2 3" xfId="8550"/>
    <cellStyle name="20% - Accent3 2 4 2 2 4" xfId="12835"/>
    <cellStyle name="20% - Accent3 2 4 2 2 5" xfId="17107"/>
    <cellStyle name="20% - Accent3 2 4 2 2 6" xfId="21342"/>
    <cellStyle name="20% - Accent3 2 4 2 2 7" xfId="25580"/>
    <cellStyle name="20% - Accent3 2 4 2 2 8" xfId="29658"/>
    <cellStyle name="20% - Accent3 2 4 2 2 9" xfId="3574"/>
    <cellStyle name="20% - Accent3 2 4 2 3" xfId="2719"/>
    <cellStyle name="20% - Accent3 2 4 2 3 2" xfId="7696"/>
    <cellStyle name="20% - Accent3 2 4 2 3 3" xfId="11985"/>
    <cellStyle name="20% - Accent3 2 4 2 3 4" xfId="16261"/>
    <cellStyle name="20% - Accent3 2 4 2 3 5" xfId="20503"/>
    <cellStyle name="20% - Accent3 2 4 2 3 6" xfId="24750"/>
    <cellStyle name="20% - Accent3 2 4 2 3 7" xfId="28851"/>
    <cellStyle name="20% - Accent3 2 4 2 4" xfId="4788"/>
    <cellStyle name="20% - Accent3 2 4 2 4 2" xfId="9762"/>
    <cellStyle name="20% - Accent3 2 4 2 4 3" xfId="14039"/>
    <cellStyle name="20% - Accent3 2 4 2 4 4" xfId="18298"/>
    <cellStyle name="20% - Accent3 2 4 2 4 5" xfId="22517"/>
    <cellStyle name="20% - Accent3 2 4 2 4 6" xfId="26712"/>
    <cellStyle name="20% - Accent3 2 4 2 4 7" xfId="30608"/>
    <cellStyle name="20% - Accent3 2 4 2 5" xfId="6136"/>
    <cellStyle name="20% - Accent3 2 4 2 5 2" xfId="11108"/>
    <cellStyle name="20% - Accent3 2 4 2 5 3" xfId="15386"/>
    <cellStyle name="20% - Accent3 2 4 2 5 4" xfId="19643"/>
    <cellStyle name="20% - Accent3 2 4 2 5 5" xfId="23860"/>
    <cellStyle name="20% - Accent3 2 4 2 5 6" xfId="28046"/>
    <cellStyle name="20% - Accent3 2 4 2 5 7" xfId="31925"/>
    <cellStyle name="20% - Accent3 2 4 2 6" xfId="7054"/>
    <cellStyle name="20% - Accent3 2 4 2 7" xfId="11346"/>
    <cellStyle name="20% - Accent3 2 4 2 8" xfId="15624"/>
    <cellStyle name="20% - Accent3 2 4 2 9" xfId="19881"/>
    <cellStyle name="20% - Accent3 2 4 3" xfId="1085"/>
    <cellStyle name="20% - Accent3 2 4 3 2" xfId="5116"/>
    <cellStyle name="20% - Accent3 2 4 3 2 2" xfId="10090"/>
    <cellStyle name="20% - Accent3 2 4 3 2 3" xfId="14367"/>
    <cellStyle name="20% - Accent3 2 4 3 2 4" xfId="18626"/>
    <cellStyle name="20% - Accent3 2 4 3 2 5" xfId="22845"/>
    <cellStyle name="20% - Accent3 2 4 3 2 6" xfId="27040"/>
    <cellStyle name="20% - Accent3 2 4 3 2 7" xfId="30936"/>
    <cellStyle name="20% - Accent3 2 4 3 3" xfId="8311"/>
    <cellStyle name="20% - Accent3 2 4 3 4" xfId="12596"/>
    <cellStyle name="20% - Accent3 2 4 3 5" xfId="16868"/>
    <cellStyle name="20% - Accent3 2 4 3 6" xfId="21103"/>
    <cellStyle name="20% - Accent3 2 4 3 7" xfId="25341"/>
    <cellStyle name="20% - Accent3 2 4 3 8" xfId="29419"/>
    <cellStyle name="20% - Accent3 2 4 3 9" xfId="3335"/>
    <cellStyle name="20% - Accent3 2 4 4" xfId="2474"/>
    <cellStyle name="20% - Accent3 2 4 4 2" xfId="7451"/>
    <cellStyle name="20% - Accent3 2 4 4 3" xfId="11740"/>
    <cellStyle name="20% - Accent3 2 4 4 4" xfId="16018"/>
    <cellStyle name="20% - Accent3 2 4 4 5" xfId="20261"/>
    <cellStyle name="20% - Accent3 2 4 4 6" xfId="24507"/>
    <cellStyle name="20% - Accent3 2 4 4 7" xfId="28612"/>
    <cellStyle name="20% - Accent3 2 4 5" xfId="4272"/>
    <cellStyle name="20% - Accent3 2 4 6" xfId="4458"/>
    <cellStyle name="20% - Accent3 2 4 6 2" xfId="9432"/>
    <cellStyle name="20% - Accent3 2 4 6 3" xfId="13709"/>
    <cellStyle name="20% - Accent3 2 4 6 4" xfId="17969"/>
    <cellStyle name="20% - Accent3 2 4 6 5" xfId="22187"/>
    <cellStyle name="20% - Accent3 2 4 6 6" xfId="26383"/>
    <cellStyle name="20% - Accent3 2 4 6 7" xfId="30279"/>
    <cellStyle name="20% - Accent3 2 4 7" xfId="5807"/>
    <cellStyle name="20% - Accent3 2 4 7 2" xfId="10779"/>
    <cellStyle name="20% - Accent3 2 4 7 3" xfId="15057"/>
    <cellStyle name="20% - Accent3 2 4 7 4" xfId="19314"/>
    <cellStyle name="20% - Accent3 2 4 7 5" xfId="23531"/>
    <cellStyle name="20% - Accent3 2 4 7 6" xfId="27717"/>
    <cellStyle name="20% - Accent3 2 4 7 7" xfId="31596"/>
    <cellStyle name="20% - Accent3 2 4 8" xfId="6681"/>
    <cellStyle name="20% - Accent3 2 4 9" xfId="9173"/>
    <cellStyle name="20% - Accent3 2 5" xfId="498"/>
    <cellStyle name="20% - Accent3 2 5 10" xfId="7409"/>
    <cellStyle name="20% - Accent3 2 5 11" xfId="17519"/>
    <cellStyle name="20% - Accent3 2 5 12" xfId="17704"/>
    <cellStyle name="20% - Accent3 2 5 13" xfId="1861"/>
    <cellStyle name="20% - Accent3 2 5 2" xfId="872"/>
    <cellStyle name="20% - Accent3 2 5 2 10" xfId="24247"/>
    <cellStyle name="20% - Accent3 2 5 2 11" xfId="28399"/>
    <cellStyle name="20% - Accent3 2 5 2 12" xfId="2191"/>
    <cellStyle name="20% - Accent3 2 5 2 2" xfId="1529"/>
    <cellStyle name="20% - Accent3 2 5 2 2 2" xfId="5560"/>
    <cellStyle name="20% - Accent3 2 5 2 2 2 2" xfId="10534"/>
    <cellStyle name="20% - Accent3 2 5 2 2 2 3" xfId="14811"/>
    <cellStyle name="20% - Accent3 2 5 2 2 2 4" xfId="19070"/>
    <cellStyle name="20% - Accent3 2 5 2 2 2 5" xfId="23289"/>
    <cellStyle name="20% - Accent3 2 5 2 2 2 6" xfId="27484"/>
    <cellStyle name="20% - Accent3 2 5 2 2 2 7" xfId="31380"/>
    <cellStyle name="20% - Accent3 2 5 2 2 3" xfId="8551"/>
    <cellStyle name="20% - Accent3 2 5 2 2 4" xfId="12836"/>
    <cellStyle name="20% - Accent3 2 5 2 2 5" xfId="17108"/>
    <cellStyle name="20% - Accent3 2 5 2 2 6" xfId="21343"/>
    <cellStyle name="20% - Accent3 2 5 2 2 7" xfId="25581"/>
    <cellStyle name="20% - Accent3 2 5 2 2 8" xfId="29659"/>
    <cellStyle name="20% - Accent3 2 5 2 2 9" xfId="3575"/>
    <cellStyle name="20% - Accent3 2 5 2 3" xfId="2720"/>
    <cellStyle name="20% - Accent3 2 5 2 3 2" xfId="7697"/>
    <cellStyle name="20% - Accent3 2 5 2 3 3" xfId="11986"/>
    <cellStyle name="20% - Accent3 2 5 2 3 4" xfId="16262"/>
    <cellStyle name="20% - Accent3 2 5 2 3 5" xfId="20504"/>
    <cellStyle name="20% - Accent3 2 5 2 3 6" xfId="24751"/>
    <cellStyle name="20% - Accent3 2 5 2 3 7" xfId="28852"/>
    <cellStyle name="20% - Accent3 2 5 2 4" xfId="4903"/>
    <cellStyle name="20% - Accent3 2 5 2 4 2" xfId="9877"/>
    <cellStyle name="20% - Accent3 2 5 2 4 3" xfId="14154"/>
    <cellStyle name="20% - Accent3 2 5 2 4 4" xfId="18413"/>
    <cellStyle name="20% - Accent3 2 5 2 4 5" xfId="22632"/>
    <cellStyle name="20% - Accent3 2 5 2 4 6" xfId="26827"/>
    <cellStyle name="20% - Accent3 2 5 2 4 7" xfId="30723"/>
    <cellStyle name="20% - Accent3 2 5 2 5" xfId="6251"/>
    <cellStyle name="20% - Accent3 2 5 2 5 2" xfId="11223"/>
    <cellStyle name="20% - Accent3 2 5 2 5 3" xfId="15501"/>
    <cellStyle name="20% - Accent3 2 5 2 5 4" xfId="19758"/>
    <cellStyle name="20% - Accent3 2 5 2 5 5" xfId="23975"/>
    <cellStyle name="20% - Accent3 2 5 2 5 6" xfId="28161"/>
    <cellStyle name="20% - Accent3 2 5 2 5 7" xfId="32040"/>
    <cellStyle name="20% - Accent3 2 5 2 6" xfId="7169"/>
    <cellStyle name="20% - Accent3 2 5 2 7" xfId="11461"/>
    <cellStyle name="20% - Accent3 2 5 2 8" xfId="15739"/>
    <cellStyle name="20% - Accent3 2 5 2 9" xfId="19996"/>
    <cellStyle name="20% - Accent3 2 5 3" xfId="1200"/>
    <cellStyle name="20% - Accent3 2 5 3 2" xfId="5231"/>
    <cellStyle name="20% - Accent3 2 5 3 2 2" xfId="10205"/>
    <cellStyle name="20% - Accent3 2 5 3 2 3" xfId="14482"/>
    <cellStyle name="20% - Accent3 2 5 3 2 4" xfId="18741"/>
    <cellStyle name="20% - Accent3 2 5 3 2 5" xfId="22960"/>
    <cellStyle name="20% - Accent3 2 5 3 2 6" xfId="27155"/>
    <cellStyle name="20% - Accent3 2 5 3 2 7" xfId="31051"/>
    <cellStyle name="20% - Accent3 2 5 3 3" xfId="8441"/>
    <cellStyle name="20% - Accent3 2 5 3 4" xfId="12726"/>
    <cellStyle name="20% - Accent3 2 5 3 5" xfId="16998"/>
    <cellStyle name="20% - Accent3 2 5 3 6" xfId="21233"/>
    <cellStyle name="20% - Accent3 2 5 3 7" xfId="25471"/>
    <cellStyle name="20% - Accent3 2 5 3 8" xfId="29549"/>
    <cellStyle name="20% - Accent3 2 5 3 9" xfId="3465"/>
    <cellStyle name="20% - Accent3 2 5 4" xfId="2607"/>
    <cellStyle name="20% - Accent3 2 5 4 2" xfId="7584"/>
    <cellStyle name="20% - Accent3 2 5 4 3" xfId="11873"/>
    <cellStyle name="20% - Accent3 2 5 4 4" xfId="16149"/>
    <cellStyle name="20% - Accent3 2 5 4 5" xfId="20392"/>
    <cellStyle name="20% - Accent3 2 5 4 6" xfId="24638"/>
    <cellStyle name="20% - Accent3 2 5 4 7" xfId="28742"/>
    <cellStyle name="20% - Accent3 2 5 5" xfId="4573"/>
    <cellStyle name="20% - Accent3 2 5 5 2" xfId="9547"/>
    <cellStyle name="20% - Accent3 2 5 5 3" xfId="13824"/>
    <cellStyle name="20% - Accent3 2 5 5 4" xfId="18084"/>
    <cellStyle name="20% - Accent3 2 5 5 5" xfId="22302"/>
    <cellStyle name="20% - Accent3 2 5 5 6" xfId="26498"/>
    <cellStyle name="20% - Accent3 2 5 5 7" xfId="30394"/>
    <cellStyle name="20% - Accent3 2 5 6" xfId="5922"/>
    <cellStyle name="20% - Accent3 2 5 6 2" xfId="10894"/>
    <cellStyle name="20% - Accent3 2 5 6 3" xfId="15172"/>
    <cellStyle name="20% - Accent3 2 5 6 4" xfId="19429"/>
    <cellStyle name="20% - Accent3 2 5 6 5" xfId="23646"/>
    <cellStyle name="20% - Accent3 2 5 6 6" xfId="27832"/>
    <cellStyle name="20% - Accent3 2 5 6 7" xfId="31711"/>
    <cellStyle name="20% - Accent3 2 5 7" xfId="6796"/>
    <cellStyle name="20% - Accent3 2 5 8" xfId="6507"/>
    <cellStyle name="20% - Accent3 2 5 9" xfId="6452"/>
    <cellStyle name="20% - Accent3 2 6" xfId="599"/>
    <cellStyle name="20% - Accent3 2 6 10" xfId="17795"/>
    <cellStyle name="20% - Accent3 2 6 11" xfId="20571"/>
    <cellStyle name="20% - Accent3 2 6 12" xfId="26212"/>
    <cellStyle name="20% - Accent3 2 6 13" xfId="1918"/>
    <cellStyle name="20% - Accent3 2 6 2" xfId="1256"/>
    <cellStyle name="20% - Accent3 2 6 2 10" xfId="2722"/>
    <cellStyle name="20% - Accent3 2 6 2 2" xfId="3577"/>
    <cellStyle name="20% - Accent3 2 6 2 2 2" xfId="8553"/>
    <cellStyle name="20% - Accent3 2 6 2 2 3" xfId="12838"/>
    <cellStyle name="20% - Accent3 2 6 2 2 4" xfId="17110"/>
    <cellStyle name="20% - Accent3 2 6 2 2 5" xfId="21345"/>
    <cellStyle name="20% - Accent3 2 6 2 2 6" xfId="25583"/>
    <cellStyle name="20% - Accent3 2 6 2 2 7" xfId="29661"/>
    <cellStyle name="20% - Accent3 2 6 2 3" xfId="5287"/>
    <cellStyle name="20% - Accent3 2 6 2 3 2" xfId="10261"/>
    <cellStyle name="20% - Accent3 2 6 2 3 3" xfId="14538"/>
    <cellStyle name="20% - Accent3 2 6 2 3 4" xfId="18797"/>
    <cellStyle name="20% - Accent3 2 6 2 3 5" xfId="23016"/>
    <cellStyle name="20% - Accent3 2 6 2 3 6" xfId="27211"/>
    <cellStyle name="20% - Accent3 2 6 2 3 7" xfId="31107"/>
    <cellStyle name="20% - Accent3 2 6 2 4" xfId="7699"/>
    <cellStyle name="20% - Accent3 2 6 2 5" xfId="11988"/>
    <cellStyle name="20% - Accent3 2 6 2 6" xfId="16264"/>
    <cellStyle name="20% - Accent3 2 6 2 7" xfId="20506"/>
    <cellStyle name="20% - Accent3 2 6 2 8" xfId="24753"/>
    <cellStyle name="20% - Accent3 2 6 2 9" xfId="28854"/>
    <cellStyle name="20% - Accent3 2 6 3" xfId="3576"/>
    <cellStyle name="20% - Accent3 2 6 3 2" xfId="8552"/>
    <cellStyle name="20% - Accent3 2 6 3 3" xfId="12837"/>
    <cellStyle name="20% - Accent3 2 6 3 4" xfId="17109"/>
    <cellStyle name="20% - Accent3 2 6 3 5" xfId="21344"/>
    <cellStyle name="20% - Accent3 2 6 3 6" xfId="25582"/>
    <cellStyle name="20% - Accent3 2 6 3 7" xfId="29660"/>
    <cellStyle name="20% - Accent3 2 6 4" xfId="2721"/>
    <cellStyle name="20% - Accent3 2 6 4 2" xfId="7698"/>
    <cellStyle name="20% - Accent3 2 6 4 3" xfId="11987"/>
    <cellStyle name="20% - Accent3 2 6 4 4" xfId="16263"/>
    <cellStyle name="20% - Accent3 2 6 4 5" xfId="20505"/>
    <cellStyle name="20% - Accent3 2 6 4 6" xfId="24752"/>
    <cellStyle name="20% - Accent3 2 6 4 7" xfId="28853"/>
    <cellStyle name="20% - Accent3 2 6 5" xfId="4630"/>
    <cellStyle name="20% - Accent3 2 6 5 2" xfId="9604"/>
    <cellStyle name="20% - Accent3 2 6 5 3" xfId="13881"/>
    <cellStyle name="20% - Accent3 2 6 5 4" xfId="18140"/>
    <cellStyle name="20% - Accent3 2 6 5 5" xfId="22359"/>
    <cellStyle name="20% - Accent3 2 6 5 6" xfId="26554"/>
    <cellStyle name="20% - Accent3 2 6 5 7" xfId="30450"/>
    <cellStyle name="20% - Accent3 2 6 6" xfId="5978"/>
    <cellStyle name="20% - Accent3 2 6 6 2" xfId="10950"/>
    <cellStyle name="20% - Accent3 2 6 6 3" xfId="15228"/>
    <cellStyle name="20% - Accent3 2 6 6 4" xfId="19485"/>
    <cellStyle name="20% - Accent3 2 6 6 5" xfId="23702"/>
    <cellStyle name="20% - Accent3 2 6 6 6" xfId="27888"/>
    <cellStyle name="20% - Accent3 2 6 6 7" xfId="31767"/>
    <cellStyle name="20% - Accent3 2 6 7" xfId="6896"/>
    <cellStyle name="20% - Accent3 2 6 8" xfId="9258"/>
    <cellStyle name="20% - Accent3 2 6 9" xfId="13535"/>
    <cellStyle name="20% - Accent3 2 7" xfId="927"/>
    <cellStyle name="20% - Accent3 2 7 10" xfId="2723"/>
    <cellStyle name="20% - Accent3 2 7 2" xfId="3578"/>
    <cellStyle name="20% - Accent3 2 7 2 2" xfId="8554"/>
    <cellStyle name="20% - Accent3 2 7 2 3" xfId="12839"/>
    <cellStyle name="20% - Accent3 2 7 2 4" xfId="17111"/>
    <cellStyle name="20% - Accent3 2 7 2 5" xfId="21346"/>
    <cellStyle name="20% - Accent3 2 7 2 6" xfId="25584"/>
    <cellStyle name="20% - Accent3 2 7 2 7" xfId="29662"/>
    <cellStyle name="20% - Accent3 2 7 3" xfId="4958"/>
    <cellStyle name="20% - Accent3 2 7 3 2" xfId="9932"/>
    <cellStyle name="20% - Accent3 2 7 3 3" xfId="14209"/>
    <cellStyle name="20% - Accent3 2 7 3 4" xfId="18468"/>
    <cellStyle name="20% - Accent3 2 7 3 5" xfId="22687"/>
    <cellStyle name="20% - Accent3 2 7 3 6" xfId="26882"/>
    <cellStyle name="20% - Accent3 2 7 3 7" xfId="30778"/>
    <cellStyle name="20% - Accent3 2 7 4" xfId="7700"/>
    <cellStyle name="20% - Accent3 2 7 5" xfId="11989"/>
    <cellStyle name="20% - Accent3 2 7 6" xfId="16265"/>
    <cellStyle name="20% - Accent3 2 7 7" xfId="20507"/>
    <cellStyle name="20% - Accent3 2 7 8" xfId="24754"/>
    <cellStyle name="20% - Accent3 2 7 9" xfId="28855"/>
    <cellStyle name="20% - Accent3 2 8" xfId="3170"/>
    <cellStyle name="20% - Accent3 2 8 2" xfId="8146"/>
    <cellStyle name="20% - Accent3 2 8 3" xfId="12432"/>
    <cellStyle name="20% - Accent3 2 8 4" xfId="16706"/>
    <cellStyle name="20% - Accent3 2 8 5" xfId="20942"/>
    <cellStyle name="20% - Accent3 2 8 6" xfId="25182"/>
    <cellStyle name="20% - Accent3 2 8 7" xfId="29263"/>
    <cellStyle name="20% - Accent3 2 9" xfId="2256"/>
    <cellStyle name="20% - Accent3 2 9 2" xfId="7234"/>
    <cellStyle name="20% - Accent3 2 9 3" xfId="11524"/>
    <cellStyle name="20% - Accent3 2 9 4" xfId="15803"/>
    <cellStyle name="20% - Accent3 2 9 5" xfId="20058"/>
    <cellStyle name="20% - Accent3 2 9 6" xfId="24308"/>
    <cellStyle name="20% - Accent3 2 9 7" xfId="28454"/>
    <cellStyle name="20% - Accent3 3" xfId="122"/>
    <cellStyle name="20% - Accent3 3 2" xfId="2288"/>
    <cellStyle name="20% - Accent3 3 3" xfId="4274"/>
    <cellStyle name="20% - Accent3 4" xfId="110"/>
    <cellStyle name="20% - Accent3 4 10" xfId="5669"/>
    <cellStyle name="20% - Accent3 4 10 2" xfId="10641"/>
    <cellStyle name="20% - Accent3 4 10 3" xfId="14919"/>
    <cellStyle name="20% - Accent3 4 10 4" xfId="19176"/>
    <cellStyle name="20% - Accent3 4 10 5" xfId="23393"/>
    <cellStyle name="20% - Accent3 4 10 6" xfId="27579"/>
    <cellStyle name="20% - Accent3 4 10 7" xfId="31458"/>
    <cellStyle name="20% - Accent3 4 11" xfId="6410"/>
    <cellStyle name="20% - Accent3 4 12" xfId="6401"/>
    <cellStyle name="20% - Accent3 4 13" xfId="9185"/>
    <cellStyle name="20% - Accent3 4 14" xfId="13465"/>
    <cellStyle name="20% - Accent3 4 15" xfId="22001"/>
    <cellStyle name="20% - Accent3 4 16" xfId="17624"/>
    <cellStyle name="20% - Accent3 4 17" xfId="1604"/>
    <cellStyle name="20% - Accent3 4 2" xfId="301"/>
    <cellStyle name="20% - Accent3 4 2 10" xfId="13532"/>
    <cellStyle name="20% - Accent3 4 2 11" xfId="17792"/>
    <cellStyle name="20% - Accent3 4 2 12" xfId="12252"/>
    <cellStyle name="20% - Accent3 4 2 13" xfId="26209"/>
    <cellStyle name="20% - Accent3 4 2 14" xfId="1673"/>
    <cellStyle name="20% - Accent3 4 2 2" xfId="465"/>
    <cellStyle name="20% - Accent3 4 2 2 10" xfId="6429"/>
    <cellStyle name="20% - Accent3 4 2 2 11" xfId="17850"/>
    <cellStyle name="20% - Accent3 4 2 2 12" xfId="7321"/>
    <cellStyle name="20% - Accent3 4 2 2 13" xfId="1828"/>
    <cellStyle name="20% - Accent3 4 2 2 2" xfId="839"/>
    <cellStyle name="20% - Accent3 4 2 2 2 10" xfId="24214"/>
    <cellStyle name="20% - Accent3 4 2 2 2 11" xfId="28366"/>
    <cellStyle name="20% - Accent3 4 2 2 2 12" xfId="2158"/>
    <cellStyle name="20% - Accent3 4 2 2 2 2" xfId="1496"/>
    <cellStyle name="20% - Accent3 4 2 2 2 2 2" xfId="5527"/>
    <cellStyle name="20% - Accent3 4 2 2 2 2 2 2" xfId="10501"/>
    <cellStyle name="20% - Accent3 4 2 2 2 2 2 3" xfId="14778"/>
    <cellStyle name="20% - Accent3 4 2 2 2 2 2 4" xfId="19037"/>
    <cellStyle name="20% - Accent3 4 2 2 2 2 2 5" xfId="23256"/>
    <cellStyle name="20% - Accent3 4 2 2 2 2 2 6" xfId="27451"/>
    <cellStyle name="20% - Accent3 4 2 2 2 2 2 7" xfId="31347"/>
    <cellStyle name="20% - Accent3 4 2 2 2 2 3" xfId="8555"/>
    <cellStyle name="20% - Accent3 4 2 2 2 2 4" xfId="12840"/>
    <cellStyle name="20% - Accent3 4 2 2 2 2 5" xfId="17112"/>
    <cellStyle name="20% - Accent3 4 2 2 2 2 6" xfId="21347"/>
    <cellStyle name="20% - Accent3 4 2 2 2 2 7" xfId="25585"/>
    <cellStyle name="20% - Accent3 4 2 2 2 2 8" xfId="29663"/>
    <cellStyle name="20% - Accent3 4 2 2 2 2 9" xfId="3579"/>
    <cellStyle name="20% - Accent3 4 2 2 2 3" xfId="2724"/>
    <cellStyle name="20% - Accent3 4 2 2 2 3 2" xfId="7701"/>
    <cellStyle name="20% - Accent3 4 2 2 2 3 3" xfId="11990"/>
    <cellStyle name="20% - Accent3 4 2 2 2 3 4" xfId="16266"/>
    <cellStyle name="20% - Accent3 4 2 2 2 3 5" xfId="20508"/>
    <cellStyle name="20% - Accent3 4 2 2 2 3 6" xfId="24755"/>
    <cellStyle name="20% - Accent3 4 2 2 2 3 7" xfId="28856"/>
    <cellStyle name="20% - Accent3 4 2 2 2 4" xfId="4870"/>
    <cellStyle name="20% - Accent3 4 2 2 2 4 2" xfId="9844"/>
    <cellStyle name="20% - Accent3 4 2 2 2 4 3" xfId="14121"/>
    <cellStyle name="20% - Accent3 4 2 2 2 4 4" xfId="18380"/>
    <cellStyle name="20% - Accent3 4 2 2 2 4 5" xfId="22599"/>
    <cellStyle name="20% - Accent3 4 2 2 2 4 6" xfId="26794"/>
    <cellStyle name="20% - Accent3 4 2 2 2 4 7" xfId="30690"/>
    <cellStyle name="20% - Accent3 4 2 2 2 5" xfId="6218"/>
    <cellStyle name="20% - Accent3 4 2 2 2 5 2" xfId="11190"/>
    <cellStyle name="20% - Accent3 4 2 2 2 5 3" xfId="15468"/>
    <cellStyle name="20% - Accent3 4 2 2 2 5 4" xfId="19725"/>
    <cellStyle name="20% - Accent3 4 2 2 2 5 5" xfId="23942"/>
    <cellStyle name="20% - Accent3 4 2 2 2 5 6" xfId="28128"/>
    <cellStyle name="20% - Accent3 4 2 2 2 5 7" xfId="32007"/>
    <cellStyle name="20% - Accent3 4 2 2 2 6" xfId="7136"/>
    <cellStyle name="20% - Accent3 4 2 2 2 7" xfId="11428"/>
    <cellStyle name="20% - Accent3 4 2 2 2 8" xfId="15706"/>
    <cellStyle name="20% - Accent3 4 2 2 2 9" xfId="19963"/>
    <cellStyle name="20% - Accent3 4 2 2 3" xfId="1167"/>
    <cellStyle name="20% - Accent3 4 2 2 3 2" xfId="5198"/>
    <cellStyle name="20% - Accent3 4 2 2 3 2 2" xfId="10172"/>
    <cellStyle name="20% - Accent3 4 2 2 3 2 3" xfId="14449"/>
    <cellStyle name="20% - Accent3 4 2 2 3 2 4" xfId="18708"/>
    <cellStyle name="20% - Accent3 4 2 2 3 2 5" xfId="22927"/>
    <cellStyle name="20% - Accent3 4 2 2 3 2 6" xfId="27122"/>
    <cellStyle name="20% - Accent3 4 2 2 3 2 7" xfId="31018"/>
    <cellStyle name="20% - Accent3 4 2 2 3 3" xfId="8393"/>
    <cellStyle name="20% - Accent3 4 2 2 3 4" xfId="12678"/>
    <cellStyle name="20% - Accent3 4 2 2 3 5" xfId="16950"/>
    <cellStyle name="20% - Accent3 4 2 2 3 6" xfId="21185"/>
    <cellStyle name="20% - Accent3 4 2 2 3 7" xfId="25423"/>
    <cellStyle name="20% - Accent3 4 2 2 3 8" xfId="29501"/>
    <cellStyle name="20% - Accent3 4 2 2 3 9" xfId="3417"/>
    <cellStyle name="20% - Accent3 4 2 2 4" xfId="2556"/>
    <cellStyle name="20% - Accent3 4 2 2 4 2" xfId="7533"/>
    <cellStyle name="20% - Accent3 4 2 2 4 3" xfId="11822"/>
    <cellStyle name="20% - Accent3 4 2 2 4 4" xfId="16100"/>
    <cellStyle name="20% - Accent3 4 2 2 4 5" xfId="20343"/>
    <cellStyle name="20% - Accent3 4 2 2 4 6" xfId="24589"/>
    <cellStyle name="20% - Accent3 4 2 2 4 7" xfId="28694"/>
    <cellStyle name="20% - Accent3 4 2 2 5" xfId="4540"/>
    <cellStyle name="20% - Accent3 4 2 2 5 2" xfId="9514"/>
    <cellStyle name="20% - Accent3 4 2 2 5 3" xfId="13791"/>
    <cellStyle name="20% - Accent3 4 2 2 5 4" xfId="18051"/>
    <cellStyle name="20% - Accent3 4 2 2 5 5" xfId="22269"/>
    <cellStyle name="20% - Accent3 4 2 2 5 6" xfId="26465"/>
    <cellStyle name="20% - Accent3 4 2 2 5 7" xfId="30361"/>
    <cellStyle name="20% - Accent3 4 2 2 6" xfId="5889"/>
    <cellStyle name="20% - Accent3 4 2 2 6 2" xfId="10861"/>
    <cellStyle name="20% - Accent3 4 2 2 6 3" xfId="15139"/>
    <cellStyle name="20% - Accent3 4 2 2 6 4" xfId="19396"/>
    <cellStyle name="20% - Accent3 4 2 2 6 5" xfId="23613"/>
    <cellStyle name="20% - Accent3 4 2 2 6 6" xfId="27799"/>
    <cellStyle name="20% - Accent3 4 2 2 6 7" xfId="31678"/>
    <cellStyle name="20% - Accent3 4 2 2 7" xfId="6763"/>
    <cellStyle name="20% - Accent3 4 2 2 8" xfId="6329"/>
    <cellStyle name="20% - Accent3 4 2 2 9" xfId="6888"/>
    <cellStyle name="20% - Accent3 4 2 3" xfId="684"/>
    <cellStyle name="20% - Accent3 4 2 3 10" xfId="24059"/>
    <cellStyle name="20% - Accent3 4 2 3 11" xfId="28211"/>
    <cellStyle name="20% - Accent3 4 2 3 12" xfId="2003"/>
    <cellStyle name="20% - Accent3 4 2 3 2" xfId="1341"/>
    <cellStyle name="20% - Accent3 4 2 3 2 2" xfId="5372"/>
    <cellStyle name="20% - Accent3 4 2 3 2 2 2" xfId="10346"/>
    <cellStyle name="20% - Accent3 4 2 3 2 2 3" xfId="14623"/>
    <cellStyle name="20% - Accent3 4 2 3 2 2 4" xfId="18882"/>
    <cellStyle name="20% - Accent3 4 2 3 2 2 5" xfId="23101"/>
    <cellStyle name="20% - Accent3 4 2 3 2 2 6" xfId="27296"/>
    <cellStyle name="20% - Accent3 4 2 3 2 2 7" xfId="31192"/>
    <cellStyle name="20% - Accent3 4 2 3 2 3" xfId="8556"/>
    <cellStyle name="20% - Accent3 4 2 3 2 4" xfId="12841"/>
    <cellStyle name="20% - Accent3 4 2 3 2 5" xfId="17113"/>
    <cellStyle name="20% - Accent3 4 2 3 2 6" xfId="21348"/>
    <cellStyle name="20% - Accent3 4 2 3 2 7" xfId="25586"/>
    <cellStyle name="20% - Accent3 4 2 3 2 8" xfId="29664"/>
    <cellStyle name="20% - Accent3 4 2 3 2 9" xfId="3580"/>
    <cellStyle name="20% - Accent3 4 2 3 3" xfId="2725"/>
    <cellStyle name="20% - Accent3 4 2 3 3 2" xfId="7702"/>
    <cellStyle name="20% - Accent3 4 2 3 3 3" xfId="11991"/>
    <cellStyle name="20% - Accent3 4 2 3 3 4" xfId="16267"/>
    <cellStyle name="20% - Accent3 4 2 3 3 5" xfId="20509"/>
    <cellStyle name="20% - Accent3 4 2 3 3 6" xfId="24756"/>
    <cellStyle name="20% - Accent3 4 2 3 3 7" xfId="28857"/>
    <cellStyle name="20% - Accent3 4 2 3 4" xfId="4715"/>
    <cellStyle name="20% - Accent3 4 2 3 4 2" xfId="9689"/>
    <cellStyle name="20% - Accent3 4 2 3 4 3" xfId="13966"/>
    <cellStyle name="20% - Accent3 4 2 3 4 4" xfId="18225"/>
    <cellStyle name="20% - Accent3 4 2 3 4 5" xfId="22444"/>
    <cellStyle name="20% - Accent3 4 2 3 4 6" xfId="26639"/>
    <cellStyle name="20% - Accent3 4 2 3 4 7" xfId="30535"/>
    <cellStyle name="20% - Accent3 4 2 3 5" xfId="6063"/>
    <cellStyle name="20% - Accent3 4 2 3 5 2" xfId="11035"/>
    <cellStyle name="20% - Accent3 4 2 3 5 3" xfId="15313"/>
    <cellStyle name="20% - Accent3 4 2 3 5 4" xfId="19570"/>
    <cellStyle name="20% - Accent3 4 2 3 5 5" xfId="23787"/>
    <cellStyle name="20% - Accent3 4 2 3 5 6" xfId="27973"/>
    <cellStyle name="20% - Accent3 4 2 3 5 7" xfId="31852"/>
    <cellStyle name="20% - Accent3 4 2 3 6" xfId="6981"/>
    <cellStyle name="20% - Accent3 4 2 3 7" xfId="11273"/>
    <cellStyle name="20% - Accent3 4 2 3 8" xfId="15551"/>
    <cellStyle name="20% - Accent3 4 2 3 9" xfId="19808"/>
    <cellStyle name="20% - Accent3 4 2 4" xfId="1012"/>
    <cellStyle name="20% - Accent3 4 2 4 2" xfId="5043"/>
    <cellStyle name="20% - Accent3 4 2 4 2 2" xfId="10017"/>
    <cellStyle name="20% - Accent3 4 2 4 2 3" xfId="14294"/>
    <cellStyle name="20% - Accent3 4 2 4 2 4" xfId="18553"/>
    <cellStyle name="20% - Accent3 4 2 4 2 5" xfId="22772"/>
    <cellStyle name="20% - Accent3 4 2 4 2 6" xfId="26967"/>
    <cellStyle name="20% - Accent3 4 2 4 2 7" xfId="30863"/>
    <cellStyle name="20% - Accent3 4 2 4 3" xfId="8240"/>
    <cellStyle name="20% - Accent3 4 2 4 4" xfId="12525"/>
    <cellStyle name="20% - Accent3 4 2 4 5" xfId="16798"/>
    <cellStyle name="20% - Accent3 4 2 4 6" xfId="21034"/>
    <cellStyle name="20% - Accent3 4 2 4 7" xfId="25272"/>
    <cellStyle name="20% - Accent3 4 2 4 8" xfId="29350"/>
    <cellStyle name="20% - Accent3 4 2 4 9" xfId="3264"/>
    <cellStyle name="20% - Accent3 4 2 5" xfId="2380"/>
    <cellStyle name="20% - Accent3 4 2 5 2" xfId="7358"/>
    <cellStyle name="20% - Accent3 4 2 5 3" xfId="11647"/>
    <cellStyle name="20% - Accent3 4 2 5 4" xfId="15925"/>
    <cellStyle name="20% - Accent3 4 2 5 5" xfId="20174"/>
    <cellStyle name="20% - Accent3 4 2 5 6" xfId="24422"/>
    <cellStyle name="20% - Accent3 4 2 5 7" xfId="28542"/>
    <cellStyle name="20% - Accent3 4 2 6" xfId="4385"/>
    <cellStyle name="20% - Accent3 4 2 6 2" xfId="9359"/>
    <cellStyle name="20% - Accent3 4 2 6 3" xfId="13636"/>
    <cellStyle name="20% - Accent3 4 2 6 4" xfId="17896"/>
    <cellStyle name="20% - Accent3 4 2 6 5" xfId="22114"/>
    <cellStyle name="20% - Accent3 4 2 6 6" xfId="26310"/>
    <cellStyle name="20% - Accent3 4 2 6 7" xfId="30206"/>
    <cellStyle name="20% - Accent3 4 2 7" xfId="5734"/>
    <cellStyle name="20% - Accent3 4 2 7 2" xfId="10706"/>
    <cellStyle name="20% - Accent3 4 2 7 3" xfId="14984"/>
    <cellStyle name="20% - Accent3 4 2 7 4" xfId="19241"/>
    <cellStyle name="20% - Accent3 4 2 7 5" xfId="23458"/>
    <cellStyle name="20% - Accent3 4 2 7 6" xfId="27644"/>
    <cellStyle name="20% - Accent3 4 2 7 7" xfId="31523"/>
    <cellStyle name="20% - Accent3 4 2 8" xfId="6599"/>
    <cellStyle name="20% - Accent3 4 2 9" xfId="9255"/>
    <cellStyle name="20% - Accent3 4 3" xfId="403"/>
    <cellStyle name="20% - Accent3 4 3 10" xfId="17743"/>
    <cellStyle name="20% - Accent3 4 3 11" xfId="21782"/>
    <cellStyle name="20% - Accent3 4 3 12" xfId="26167"/>
    <cellStyle name="20% - Accent3 4 3 13" xfId="1766"/>
    <cellStyle name="20% - Accent3 4 3 2" xfId="777"/>
    <cellStyle name="20% - Accent3 4 3 2 10" xfId="24152"/>
    <cellStyle name="20% - Accent3 4 3 2 11" xfId="28304"/>
    <cellStyle name="20% - Accent3 4 3 2 12" xfId="2096"/>
    <cellStyle name="20% - Accent3 4 3 2 2" xfId="1434"/>
    <cellStyle name="20% - Accent3 4 3 2 2 2" xfId="5465"/>
    <cellStyle name="20% - Accent3 4 3 2 2 2 2" xfId="10439"/>
    <cellStyle name="20% - Accent3 4 3 2 2 2 3" xfId="14716"/>
    <cellStyle name="20% - Accent3 4 3 2 2 2 4" xfId="18975"/>
    <cellStyle name="20% - Accent3 4 3 2 2 2 5" xfId="23194"/>
    <cellStyle name="20% - Accent3 4 3 2 2 2 6" xfId="27389"/>
    <cellStyle name="20% - Accent3 4 3 2 2 2 7" xfId="31285"/>
    <cellStyle name="20% - Accent3 4 3 2 2 3" xfId="8557"/>
    <cellStyle name="20% - Accent3 4 3 2 2 4" xfId="12842"/>
    <cellStyle name="20% - Accent3 4 3 2 2 5" xfId="17114"/>
    <cellStyle name="20% - Accent3 4 3 2 2 6" xfId="21349"/>
    <cellStyle name="20% - Accent3 4 3 2 2 7" xfId="25587"/>
    <cellStyle name="20% - Accent3 4 3 2 2 8" xfId="29665"/>
    <cellStyle name="20% - Accent3 4 3 2 2 9" xfId="3581"/>
    <cellStyle name="20% - Accent3 4 3 2 3" xfId="2726"/>
    <cellStyle name="20% - Accent3 4 3 2 3 2" xfId="7703"/>
    <cellStyle name="20% - Accent3 4 3 2 3 3" xfId="11992"/>
    <cellStyle name="20% - Accent3 4 3 2 3 4" xfId="16268"/>
    <cellStyle name="20% - Accent3 4 3 2 3 5" xfId="20510"/>
    <cellStyle name="20% - Accent3 4 3 2 3 6" xfId="24757"/>
    <cellStyle name="20% - Accent3 4 3 2 3 7" xfId="28858"/>
    <cellStyle name="20% - Accent3 4 3 2 4" xfId="4808"/>
    <cellStyle name="20% - Accent3 4 3 2 4 2" xfId="9782"/>
    <cellStyle name="20% - Accent3 4 3 2 4 3" xfId="14059"/>
    <cellStyle name="20% - Accent3 4 3 2 4 4" xfId="18318"/>
    <cellStyle name="20% - Accent3 4 3 2 4 5" xfId="22537"/>
    <cellStyle name="20% - Accent3 4 3 2 4 6" xfId="26732"/>
    <cellStyle name="20% - Accent3 4 3 2 4 7" xfId="30628"/>
    <cellStyle name="20% - Accent3 4 3 2 5" xfId="6156"/>
    <cellStyle name="20% - Accent3 4 3 2 5 2" xfId="11128"/>
    <cellStyle name="20% - Accent3 4 3 2 5 3" xfId="15406"/>
    <cellStyle name="20% - Accent3 4 3 2 5 4" xfId="19663"/>
    <cellStyle name="20% - Accent3 4 3 2 5 5" xfId="23880"/>
    <cellStyle name="20% - Accent3 4 3 2 5 6" xfId="28066"/>
    <cellStyle name="20% - Accent3 4 3 2 5 7" xfId="31945"/>
    <cellStyle name="20% - Accent3 4 3 2 6" xfId="7074"/>
    <cellStyle name="20% - Accent3 4 3 2 7" xfId="11366"/>
    <cellStyle name="20% - Accent3 4 3 2 8" xfId="15644"/>
    <cellStyle name="20% - Accent3 4 3 2 9" xfId="19901"/>
    <cellStyle name="20% - Accent3 4 3 3" xfId="1105"/>
    <cellStyle name="20% - Accent3 4 3 3 2" xfId="5136"/>
    <cellStyle name="20% - Accent3 4 3 3 2 2" xfId="10110"/>
    <cellStyle name="20% - Accent3 4 3 3 2 3" xfId="14387"/>
    <cellStyle name="20% - Accent3 4 3 3 2 4" xfId="18646"/>
    <cellStyle name="20% - Accent3 4 3 3 2 5" xfId="22865"/>
    <cellStyle name="20% - Accent3 4 3 3 2 6" xfId="27060"/>
    <cellStyle name="20% - Accent3 4 3 3 2 7" xfId="30956"/>
    <cellStyle name="20% - Accent3 4 3 3 3" xfId="8331"/>
    <cellStyle name="20% - Accent3 4 3 3 4" xfId="12616"/>
    <cellStyle name="20% - Accent3 4 3 3 5" xfId="16888"/>
    <cellStyle name="20% - Accent3 4 3 3 6" xfId="21123"/>
    <cellStyle name="20% - Accent3 4 3 3 7" xfId="25361"/>
    <cellStyle name="20% - Accent3 4 3 3 8" xfId="29439"/>
    <cellStyle name="20% - Accent3 4 3 3 9" xfId="3355"/>
    <cellStyle name="20% - Accent3 4 3 4" xfId="2494"/>
    <cellStyle name="20% - Accent3 4 3 4 2" xfId="7471"/>
    <cellStyle name="20% - Accent3 4 3 4 3" xfId="11760"/>
    <cellStyle name="20% - Accent3 4 3 4 4" xfId="16038"/>
    <cellStyle name="20% - Accent3 4 3 4 5" xfId="20281"/>
    <cellStyle name="20% - Accent3 4 3 4 6" xfId="24527"/>
    <cellStyle name="20% - Accent3 4 3 4 7" xfId="28632"/>
    <cellStyle name="20% - Accent3 4 3 5" xfId="4478"/>
    <cellStyle name="20% - Accent3 4 3 5 2" xfId="9452"/>
    <cellStyle name="20% - Accent3 4 3 5 3" xfId="13729"/>
    <cellStyle name="20% - Accent3 4 3 5 4" xfId="17989"/>
    <cellStyle name="20% - Accent3 4 3 5 5" xfId="22207"/>
    <cellStyle name="20% - Accent3 4 3 5 6" xfId="26403"/>
    <cellStyle name="20% - Accent3 4 3 5 7" xfId="30299"/>
    <cellStyle name="20% - Accent3 4 3 6" xfId="5827"/>
    <cellStyle name="20% - Accent3 4 3 6 2" xfId="10799"/>
    <cellStyle name="20% - Accent3 4 3 6 3" xfId="15077"/>
    <cellStyle name="20% - Accent3 4 3 6 4" xfId="19334"/>
    <cellStyle name="20% - Accent3 4 3 6 5" xfId="23551"/>
    <cellStyle name="20% - Accent3 4 3 6 6" xfId="27737"/>
    <cellStyle name="20% - Accent3 4 3 6 7" xfId="31616"/>
    <cellStyle name="20% - Accent3 4 3 7" xfId="6701"/>
    <cellStyle name="20% - Accent3 4 3 8" xfId="9202"/>
    <cellStyle name="20% - Accent3 4 3 9" xfId="13480"/>
    <cellStyle name="20% - Accent3 4 4" xfId="517"/>
    <cellStyle name="20% - Accent3 4 4 10" xfId="13449"/>
    <cellStyle name="20% - Accent3 4 4 11" xfId="10609"/>
    <cellStyle name="20% - Accent3 4 4 12" xfId="10585"/>
    <cellStyle name="20% - Accent3 4 4 13" xfId="1880"/>
    <cellStyle name="20% - Accent3 4 4 2" xfId="891"/>
    <cellStyle name="20% - Accent3 4 4 2 10" xfId="24266"/>
    <cellStyle name="20% - Accent3 4 4 2 11" xfId="28418"/>
    <cellStyle name="20% - Accent3 4 4 2 12" xfId="2210"/>
    <cellStyle name="20% - Accent3 4 4 2 2" xfId="1548"/>
    <cellStyle name="20% - Accent3 4 4 2 2 2" xfId="5579"/>
    <cellStyle name="20% - Accent3 4 4 2 2 2 2" xfId="10553"/>
    <cellStyle name="20% - Accent3 4 4 2 2 2 3" xfId="14830"/>
    <cellStyle name="20% - Accent3 4 4 2 2 2 4" xfId="19089"/>
    <cellStyle name="20% - Accent3 4 4 2 2 2 5" xfId="23308"/>
    <cellStyle name="20% - Accent3 4 4 2 2 2 6" xfId="27503"/>
    <cellStyle name="20% - Accent3 4 4 2 2 2 7" xfId="31399"/>
    <cellStyle name="20% - Accent3 4 4 2 2 3" xfId="8558"/>
    <cellStyle name="20% - Accent3 4 4 2 2 4" xfId="12843"/>
    <cellStyle name="20% - Accent3 4 4 2 2 5" xfId="17115"/>
    <cellStyle name="20% - Accent3 4 4 2 2 6" xfId="21350"/>
    <cellStyle name="20% - Accent3 4 4 2 2 7" xfId="25588"/>
    <cellStyle name="20% - Accent3 4 4 2 2 8" xfId="29666"/>
    <cellStyle name="20% - Accent3 4 4 2 2 9" xfId="3582"/>
    <cellStyle name="20% - Accent3 4 4 2 3" xfId="2727"/>
    <cellStyle name="20% - Accent3 4 4 2 3 2" xfId="7704"/>
    <cellStyle name="20% - Accent3 4 4 2 3 3" xfId="11993"/>
    <cellStyle name="20% - Accent3 4 4 2 3 4" xfId="16269"/>
    <cellStyle name="20% - Accent3 4 4 2 3 5" xfId="20511"/>
    <cellStyle name="20% - Accent3 4 4 2 3 6" xfId="24758"/>
    <cellStyle name="20% - Accent3 4 4 2 3 7" xfId="28859"/>
    <cellStyle name="20% - Accent3 4 4 2 4" xfId="4922"/>
    <cellStyle name="20% - Accent3 4 4 2 4 2" xfId="9896"/>
    <cellStyle name="20% - Accent3 4 4 2 4 3" xfId="14173"/>
    <cellStyle name="20% - Accent3 4 4 2 4 4" xfId="18432"/>
    <cellStyle name="20% - Accent3 4 4 2 4 5" xfId="22651"/>
    <cellStyle name="20% - Accent3 4 4 2 4 6" xfId="26846"/>
    <cellStyle name="20% - Accent3 4 4 2 4 7" xfId="30742"/>
    <cellStyle name="20% - Accent3 4 4 2 5" xfId="6270"/>
    <cellStyle name="20% - Accent3 4 4 2 5 2" xfId="11242"/>
    <cellStyle name="20% - Accent3 4 4 2 5 3" xfId="15520"/>
    <cellStyle name="20% - Accent3 4 4 2 5 4" xfId="19777"/>
    <cellStyle name="20% - Accent3 4 4 2 5 5" xfId="23994"/>
    <cellStyle name="20% - Accent3 4 4 2 5 6" xfId="28180"/>
    <cellStyle name="20% - Accent3 4 4 2 5 7" xfId="32059"/>
    <cellStyle name="20% - Accent3 4 4 2 6" xfId="7188"/>
    <cellStyle name="20% - Accent3 4 4 2 7" xfId="11480"/>
    <cellStyle name="20% - Accent3 4 4 2 8" xfId="15758"/>
    <cellStyle name="20% - Accent3 4 4 2 9" xfId="20015"/>
    <cellStyle name="20% - Accent3 4 4 3" xfId="1219"/>
    <cellStyle name="20% - Accent3 4 4 3 2" xfId="5250"/>
    <cellStyle name="20% - Accent3 4 4 3 2 2" xfId="10224"/>
    <cellStyle name="20% - Accent3 4 4 3 2 3" xfId="14501"/>
    <cellStyle name="20% - Accent3 4 4 3 2 4" xfId="18760"/>
    <cellStyle name="20% - Accent3 4 4 3 2 5" xfId="22979"/>
    <cellStyle name="20% - Accent3 4 4 3 2 6" xfId="27174"/>
    <cellStyle name="20% - Accent3 4 4 3 2 7" xfId="31070"/>
    <cellStyle name="20% - Accent3 4 4 3 3" xfId="8460"/>
    <cellStyle name="20% - Accent3 4 4 3 4" xfId="12745"/>
    <cellStyle name="20% - Accent3 4 4 3 5" xfId="17017"/>
    <cellStyle name="20% - Accent3 4 4 3 6" xfId="21252"/>
    <cellStyle name="20% - Accent3 4 4 3 7" xfId="25490"/>
    <cellStyle name="20% - Accent3 4 4 3 8" xfId="29568"/>
    <cellStyle name="20% - Accent3 4 4 3 9" xfId="3484"/>
    <cellStyle name="20% - Accent3 4 4 4" xfId="2627"/>
    <cellStyle name="20% - Accent3 4 4 4 2" xfId="7604"/>
    <cellStyle name="20% - Accent3 4 4 4 3" xfId="11893"/>
    <cellStyle name="20% - Accent3 4 4 4 4" xfId="16169"/>
    <cellStyle name="20% - Accent3 4 4 4 5" xfId="20411"/>
    <cellStyle name="20% - Accent3 4 4 4 6" xfId="24658"/>
    <cellStyle name="20% - Accent3 4 4 4 7" xfId="28761"/>
    <cellStyle name="20% - Accent3 4 4 5" xfId="4592"/>
    <cellStyle name="20% - Accent3 4 4 5 2" xfId="9566"/>
    <cellStyle name="20% - Accent3 4 4 5 3" xfId="13843"/>
    <cellStyle name="20% - Accent3 4 4 5 4" xfId="18103"/>
    <cellStyle name="20% - Accent3 4 4 5 5" xfId="22321"/>
    <cellStyle name="20% - Accent3 4 4 5 6" xfId="26517"/>
    <cellStyle name="20% - Accent3 4 4 5 7" xfId="30413"/>
    <cellStyle name="20% - Accent3 4 4 6" xfId="5941"/>
    <cellStyle name="20% - Accent3 4 4 6 2" xfId="10913"/>
    <cellStyle name="20% - Accent3 4 4 6 3" xfId="15191"/>
    <cellStyle name="20% - Accent3 4 4 6 4" xfId="19448"/>
    <cellStyle name="20% - Accent3 4 4 6 5" xfId="23665"/>
    <cellStyle name="20% - Accent3 4 4 6 6" xfId="27851"/>
    <cellStyle name="20% - Accent3 4 4 6 7" xfId="31730"/>
    <cellStyle name="20% - Accent3 4 4 7" xfId="6815"/>
    <cellStyle name="20% - Accent3 4 4 8" xfId="6439"/>
    <cellStyle name="20% - Accent3 4 4 9" xfId="9169"/>
    <cellStyle name="20% - Accent3 4 5" xfId="618"/>
    <cellStyle name="20% - Accent3 4 5 10" xfId="16142"/>
    <cellStyle name="20% - Accent3 4 5 11" xfId="8215"/>
    <cellStyle name="20% - Accent3 4 5 12" xfId="24631"/>
    <cellStyle name="20% - Accent3 4 5 13" xfId="1937"/>
    <cellStyle name="20% - Accent3 4 5 2" xfId="1275"/>
    <cellStyle name="20% - Accent3 4 5 2 10" xfId="2729"/>
    <cellStyle name="20% - Accent3 4 5 2 2" xfId="3584"/>
    <cellStyle name="20% - Accent3 4 5 2 2 2" xfId="8560"/>
    <cellStyle name="20% - Accent3 4 5 2 2 3" xfId="12845"/>
    <cellStyle name="20% - Accent3 4 5 2 2 4" xfId="17117"/>
    <cellStyle name="20% - Accent3 4 5 2 2 5" xfId="21352"/>
    <cellStyle name="20% - Accent3 4 5 2 2 6" xfId="25590"/>
    <cellStyle name="20% - Accent3 4 5 2 2 7" xfId="29668"/>
    <cellStyle name="20% - Accent3 4 5 2 3" xfId="5306"/>
    <cellStyle name="20% - Accent3 4 5 2 3 2" xfId="10280"/>
    <cellStyle name="20% - Accent3 4 5 2 3 3" xfId="14557"/>
    <cellStyle name="20% - Accent3 4 5 2 3 4" xfId="18816"/>
    <cellStyle name="20% - Accent3 4 5 2 3 5" xfId="23035"/>
    <cellStyle name="20% - Accent3 4 5 2 3 6" xfId="27230"/>
    <cellStyle name="20% - Accent3 4 5 2 3 7" xfId="31126"/>
    <cellStyle name="20% - Accent3 4 5 2 4" xfId="7706"/>
    <cellStyle name="20% - Accent3 4 5 2 5" xfId="11995"/>
    <cellStyle name="20% - Accent3 4 5 2 6" xfId="16271"/>
    <cellStyle name="20% - Accent3 4 5 2 7" xfId="20513"/>
    <cellStyle name="20% - Accent3 4 5 2 8" xfId="24760"/>
    <cellStyle name="20% - Accent3 4 5 2 9" xfId="28861"/>
    <cellStyle name="20% - Accent3 4 5 3" xfId="3583"/>
    <cellStyle name="20% - Accent3 4 5 3 2" xfId="8559"/>
    <cellStyle name="20% - Accent3 4 5 3 3" xfId="12844"/>
    <cellStyle name="20% - Accent3 4 5 3 4" xfId="17116"/>
    <cellStyle name="20% - Accent3 4 5 3 5" xfId="21351"/>
    <cellStyle name="20% - Accent3 4 5 3 6" xfId="25589"/>
    <cellStyle name="20% - Accent3 4 5 3 7" xfId="29667"/>
    <cellStyle name="20% - Accent3 4 5 4" xfId="2728"/>
    <cellStyle name="20% - Accent3 4 5 4 2" xfId="7705"/>
    <cellStyle name="20% - Accent3 4 5 4 3" xfId="11994"/>
    <cellStyle name="20% - Accent3 4 5 4 4" xfId="16270"/>
    <cellStyle name="20% - Accent3 4 5 4 5" xfId="20512"/>
    <cellStyle name="20% - Accent3 4 5 4 6" xfId="24759"/>
    <cellStyle name="20% - Accent3 4 5 4 7" xfId="28860"/>
    <cellStyle name="20% - Accent3 4 5 5" xfId="4649"/>
    <cellStyle name="20% - Accent3 4 5 5 2" xfId="9623"/>
    <cellStyle name="20% - Accent3 4 5 5 3" xfId="13900"/>
    <cellStyle name="20% - Accent3 4 5 5 4" xfId="18159"/>
    <cellStyle name="20% - Accent3 4 5 5 5" xfId="22378"/>
    <cellStyle name="20% - Accent3 4 5 5 6" xfId="26573"/>
    <cellStyle name="20% - Accent3 4 5 5 7" xfId="30469"/>
    <cellStyle name="20% - Accent3 4 5 6" xfId="5997"/>
    <cellStyle name="20% - Accent3 4 5 6 2" xfId="10969"/>
    <cellStyle name="20% - Accent3 4 5 6 3" xfId="15247"/>
    <cellStyle name="20% - Accent3 4 5 6 4" xfId="19504"/>
    <cellStyle name="20% - Accent3 4 5 6 5" xfId="23721"/>
    <cellStyle name="20% - Accent3 4 5 6 6" xfId="27907"/>
    <cellStyle name="20% - Accent3 4 5 6 7" xfId="31786"/>
    <cellStyle name="20% - Accent3 4 5 7" xfId="6915"/>
    <cellStyle name="20% - Accent3 4 5 8" xfId="7577"/>
    <cellStyle name="20% - Accent3 4 5 9" xfId="11866"/>
    <cellStyle name="20% - Accent3 4 6" xfId="946"/>
    <cellStyle name="20% - Accent3 4 6 10" xfId="2730"/>
    <cellStyle name="20% - Accent3 4 6 2" xfId="3585"/>
    <cellStyle name="20% - Accent3 4 6 2 2" xfId="8561"/>
    <cellStyle name="20% - Accent3 4 6 2 3" xfId="12846"/>
    <cellStyle name="20% - Accent3 4 6 2 4" xfId="17118"/>
    <cellStyle name="20% - Accent3 4 6 2 5" xfId="21353"/>
    <cellStyle name="20% - Accent3 4 6 2 6" xfId="25591"/>
    <cellStyle name="20% - Accent3 4 6 2 7" xfId="29669"/>
    <cellStyle name="20% - Accent3 4 6 3" xfId="4977"/>
    <cellStyle name="20% - Accent3 4 6 3 2" xfId="9951"/>
    <cellStyle name="20% - Accent3 4 6 3 3" xfId="14228"/>
    <cellStyle name="20% - Accent3 4 6 3 4" xfId="18487"/>
    <cellStyle name="20% - Accent3 4 6 3 5" xfId="22706"/>
    <cellStyle name="20% - Accent3 4 6 3 6" xfId="26901"/>
    <cellStyle name="20% - Accent3 4 6 3 7" xfId="30797"/>
    <cellStyle name="20% - Accent3 4 6 4" xfId="7707"/>
    <cellStyle name="20% - Accent3 4 6 5" xfId="11996"/>
    <cellStyle name="20% - Accent3 4 6 6" xfId="16272"/>
    <cellStyle name="20% - Accent3 4 6 7" xfId="20514"/>
    <cellStyle name="20% - Accent3 4 6 8" xfId="24761"/>
    <cellStyle name="20% - Accent3 4 6 9" xfId="28862"/>
    <cellStyle name="20% - Accent3 4 7" xfId="3189"/>
    <cellStyle name="20% - Accent3 4 7 2" xfId="8165"/>
    <cellStyle name="20% - Accent3 4 7 3" xfId="12451"/>
    <cellStyle name="20% - Accent3 4 7 4" xfId="16725"/>
    <cellStyle name="20% - Accent3 4 7 5" xfId="20961"/>
    <cellStyle name="20% - Accent3 4 7 6" xfId="25201"/>
    <cellStyle name="20% - Accent3 4 7 7" xfId="29282"/>
    <cellStyle name="20% - Accent3 4 8" xfId="2276"/>
    <cellStyle name="20% - Accent3 4 8 2" xfId="7254"/>
    <cellStyle name="20% - Accent3 4 8 3" xfId="11544"/>
    <cellStyle name="20% - Accent3 4 8 4" xfId="15823"/>
    <cellStyle name="20% - Accent3 4 8 5" xfId="20078"/>
    <cellStyle name="20% - Accent3 4 8 6" xfId="24328"/>
    <cellStyle name="20% - Accent3 4 8 7" xfId="28473"/>
    <cellStyle name="20% - Accent3 4 9" xfId="4314"/>
    <cellStyle name="20% - Accent3 4 9 2" xfId="9288"/>
    <cellStyle name="20% - Accent3 4 9 3" xfId="13565"/>
    <cellStyle name="20% - Accent3 4 9 4" xfId="17825"/>
    <cellStyle name="20% - Accent3 4 9 5" xfId="22044"/>
    <cellStyle name="20% - Accent3 4 9 6" xfId="26242"/>
    <cellStyle name="20% - Accent3 4 9 7" xfId="30139"/>
    <cellStyle name="20% - Accent3 5" xfId="288"/>
    <cellStyle name="20% - Accent3 5 2" xfId="434"/>
    <cellStyle name="20% - Accent3 5 2 10" xfId="17617"/>
    <cellStyle name="20% - Accent3 5 2 11" xfId="26171"/>
    <cellStyle name="20% - Accent3 5 2 12" xfId="1797"/>
    <cellStyle name="20% - Accent3 5 2 2" xfId="808"/>
    <cellStyle name="20% - Accent3 5 2 2 10" xfId="19932"/>
    <cellStyle name="20% - Accent3 5 2 2 11" xfId="24183"/>
    <cellStyle name="20% - Accent3 5 2 2 12" xfId="28335"/>
    <cellStyle name="20% - Accent3 5 2 2 13" xfId="2127"/>
    <cellStyle name="20% - Accent3 5 2 2 2" xfId="1465"/>
    <cellStyle name="20% - Accent3 5 2 2 2 10" xfId="2731"/>
    <cellStyle name="20% - Accent3 5 2 2 2 2" xfId="3586"/>
    <cellStyle name="20% - Accent3 5 2 2 2 2 2" xfId="8562"/>
    <cellStyle name="20% - Accent3 5 2 2 2 2 3" xfId="12847"/>
    <cellStyle name="20% - Accent3 5 2 2 2 2 4" xfId="17119"/>
    <cellStyle name="20% - Accent3 5 2 2 2 2 5" xfId="21354"/>
    <cellStyle name="20% - Accent3 5 2 2 2 2 6" xfId="25592"/>
    <cellStyle name="20% - Accent3 5 2 2 2 2 7" xfId="29670"/>
    <cellStyle name="20% - Accent3 5 2 2 2 3" xfId="5496"/>
    <cellStyle name="20% - Accent3 5 2 2 2 3 2" xfId="10470"/>
    <cellStyle name="20% - Accent3 5 2 2 2 3 3" xfId="14747"/>
    <cellStyle name="20% - Accent3 5 2 2 2 3 4" xfId="19006"/>
    <cellStyle name="20% - Accent3 5 2 2 2 3 5" xfId="23225"/>
    <cellStyle name="20% - Accent3 5 2 2 2 3 6" xfId="27420"/>
    <cellStyle name="20% - Accent3 5 2 2 2 3 7" xfId="31316"/>
    <cellStyle name="20% - Accent3 5 2 2 2 4" xfId="7708"/>
    <cellStyle name="20% - Accent3 5 2 2 2 5" xfId="11997"/>
    <cellStyle name="20% - Accent3 5 2 2 2 6" xfId="16273"/>
    <cellStyle name="20% - Accent3 5 2 2 2 7" xfId="20515"/>
    <cellStyle name="20% - Accent3 5 2 2 2 8" xfId="24762"/>
    <cellStyle name="20% - Accent3 5 2 2 2 9" xfId="28863"/>
    <cellStyle name="20% - Accent3 5 2 2 3" xfId="3386"/>
    <cellStyle name="20% - Accent3 5 2 2 3 2" xfId="8362"/>
    <cellStyle name="20% - Accent3 5 2 2 3 3" xfId="12647"/>
    <cellStyle name="20% - Accent3 5 2 2 3 4" xfId="16919"/>
    <cellStyle name="20% - Accent3 5 2 2 3 5" xfId="21154"/>
    <cellStyle name="20% - Accent3 5 2 2 3 6" xfId="25392"/>
    <cellStyle name="20% - Accent3 5 2 2 3 7" xfId="29470"/>
    <cellStyle name="20% - Accent3 5 2 2 4" xfId="2525"/>
    <cellStyle name="20% - Accent3 5 2 2 4 2" xfId="7502"/>
    <cellStyle name="20% - Accent3 5 2 2 4 3" xfId="11791"/>
    <cellStyle name="20% - Accent3 5 2 2 4 4" xfId="16069"/>
    <cellStyle name="20% - Accent3 5 2 2 4 5" xfId="20312"/>
    <cellStyle name="20% - Accent3 5 2 2 4 6" xfId="24558"/>
    <cellStyle name="20% - Accent3 5 2 2 4 7" xfId="28663"/>
    <cellStyle name="20% - Accent3 5 2 2 5" xfId="4839"/>
    <cellStyle name="20% - Accent3 5 2 2 5 2" xfId="9813"/>
    <cellStyle name="20% - Accent3 5 2 2 5 3" xfId="14090"/>
    <cellStyle name="20% - Accent3 5 2 2 5 4" xfId="18349"/>
    <cellStyle name="20% - Accent3 5 2 2 5 5" xfId="22568"/>
    <cellStyle name="20% - Accent3 5 2 2 5 6" xfId="26763"/>
    <cellStyle name="20% - Accent3 5 2 2 5 7" xfId="30659"/>
    <cellStyle name="20% - Accent3 5 2 2 6" xfId="6187"/>
    <cellStyle name="20% - Accent3 5 2 2 6 2" xfId="11159"/>
    <cellStyle name="20% - Accent3 5 2 2 6 3" xfId="15437"/>
    <cellStyle name="20% - Accent3 5 2 2 6 4" xfId="19694"/>
    <cellStyle name="20% - Accent3 5 2 2 6 5" xfId="23911"/>
    <cellStyle name="20% - Accent3 5 2 2 6 6" xfId="28097"/>
    <cellStyle name="20% - Accent3 5 2 2 6 7" xfId="31976"/>
    <cellStyle name="20% - Accent3 5 2 2 7" xfId="7105"/>
    <cellStyle name="20% - Accent3 5 2 2 8" xfId="11397"/>
    <cellStyle name="20% - Accent3 5 2 2 9" xfId="15675"/>
    <cellStyle name="20% - Accent3 5 2 3" xfId="1136"/>
    <cellStyle name="20% - Accent3 5 2 3 2" xfId="5167"/>
    <cellStyle name="20% - Accent3 5 2 3 2 2" xfId="10141"/>
    <cellStyle name="20% - Accent3 5 2 3 2 3" xfId="14418"/>
    <cellStyle name="20% - Accent3 5 2 3 2 4" xfId="18677"/>
    <cellStyle name="20% - Accent3 5 2 3 2 5" xfId="22896"/>
    <cellStyle name="20% - Accent3 5 2 3 2 6" xfId="27091"/>
    <cellStyle name="20% - Accent3 5 2 3 2 7" xfId="30987"/>
    <cellStyle name="20% - Accent3 5 2 3 3" xfId="2436"/>
    <cellStyle name="20% - Accent3 5 2 4" xfId="4509"/>
    <cellStyle name="20% - Accent3 5 2 4 2" xfId="9483"/>
    <cellStyle name="20% - Accent3 5 2 4 3" xfId="13760"/>
    <cellStyle name="20% - Accent3 5 2 4 4" xfId="18020"/>
    <cellStyle name="20% - Accent3 5 2 4 5" xfId="22238"/>
    <cellStyle name="20% - Accent3 5 2 4 6" xfId="26434"/>
    <cellStyle name="20% - Accent3 5 2 4 7" xfId="30330"/>
    <cellStyle name="20% - Accent3 5 2 5" xfId="5858"/>
    <cellStyle name="20% - Accent3 5 2 5 2" xfId="10830"/>
    <cellStyle name="20% - Accent3 5 2 5 3" xfId="15108"/>
    <cellStyle name="20% - Accent3 5 2 5 4" xfId="19365"/>
    <cellStyle name="20% - Accent3 5 2 5 5" xfId="23582"/>
    <cellStyle name="20% - Accent3 5 2 5 6" xfId="27768"/>
    <cellStyle name="20% - Accent3 5 2 5 7" xfId="31647"/>
    <cellStyle name="20% - Accent3 5 2 6" xfId="6732"/>
    <cellStyle name="20% - Accent3 5 2 7" xfId="9208"/>
    <cellStyle name="20% - Accent3 5 2 8" xfId="13486"/>
    <cellStyle name="20% - Accent3 5 2 9" xfId="17749"/>
    <cellStyle name="20% - Accent3 5 3" xfId="284"/>
    <cellStyle name="20% - Accent3 5 3 10" xfId="21910"/>
    <cellStyle name="20% - Accent3 5 3 11" xfId="26162"/>
    <cellStyle name="20% - Accent3 5 3 12" xfId="1663"/>
    <cellStyle name="20% - Accent3 5 3 2" xfId="674"/>
    <cellStyle name="20% - Accent3 5 3 2 10" xfId="20698"/>
    <cellStyle name="20% - Accent3 5 3 2 11" xfId="1993"/>
    <cellStyle name="20% - Accent3 5 3 2 2" xfId="1331"/>
    <cellStyle name="20% - Accent3 5 3 2 2 2" xfId="5362"/>
    <cellStyle name="20% - Accent3 5 3 2 2 2 2" xfId="10336"/>
    <cellStyle name="20% - Accent3 5 3 2 2 2 3" xfId="14613"/>
    <cellStyle name="20% - Accent3 5 3 2 2 2 4" xfId="18872"/>
    <cellStyle name="20% - Accent3 5 3 2 2 2 5" xfId="23091"/>
    <cellStyle name="20% - Accent3 5 3 2 2 2 6" xfId="27286"/>
    <cellStyle name="20% - Accent3 5 3 2 2 2 7" xfId="31182"/>
    <cellStyle name="20% - Accent3 5 3 2 2 3" xfId="8563"/>
    <cellStyle name="20% - Accent3 5 3 2 2 4" xfId="12848"/>
    <cellStyle name="20% - Accent3 5 3 2 2 5" xfId="17120"/>
    <cellStyle name="20% - Accent3 5 3 2 2 6" xfId="21355"/>
    <cellStyle name="20% - Accent3 5 3 2 2 7" xfId="25593"/>
    <cellStyle name="20% - Accent3 5 3 2 2 8" xfId="29671"/>
    <cellStyle name="20% - Accent3 5 3 2 2 9" xfId="3587"/>
    <cellStyle name="20% - Accent3 5 3 2 3" xfId="4705"/>
    <cellStyle name="20% - Accent3 5 3 2 3 2" xfId="9679"/>
    <cellStyle name="20% - Accent3 5 3 2 3 3" xfId="13956"/>
    <cellStyle name="20% - Accent3 5 3 2 3 4" xfId="18215"/>
    <cellStyle name="20% - Accent3 5 3 2 3 5" xfId="22434"/>
    <cellStyle name="20% - Accent3 5 3 2 3 6" xfId="26629"/>
    <cellStyle name="20% - Accent3 5 3 2 3 7" xfId="30525"/>
    <cellStyle name="20% - Accent3 5 3 2 4" xfId="6053"/>
    <cellStyle name="20% - Accent3 5 3 2 4 2" xfId="11025"/>
    <cellStyle name="20% - Accent3 5 3 2 4 3" xfId="15303"/>
    <cellStyle name="20% - Accent3 5 3 2 4 4" xfId="19560"/>
    <cellStyle name="20% - Accent3 5 3 2 4 5" xfId="23777"/>
    <cellStyle name="20% - Accent3 5 3 2 4 6" xfId="27963"/>
    <cellStyle name="20% - Accent3 5 3 2 4 7" xfId="31842"/>
    <cellStyle name="20% - Accent3 5 3 2 5" xfId="6971"/>
    <cellStyle name="20% - Accent3 5 3 2 6" xfId="6847"/>
    <cellStyle name="20% - Accent3 5 3 2 7" xfId="6384"/>
    <cellStyle name="20% - Accent3 5 3 2 8" xfId="6631"/>
    <cellStyle name="20% - Accent3 5 3 2 9" xfId="24049"/>
    <cellStyle name="20% - Accent3 5 3 3" xfId="1002"/>
    <cellStyle name="20% - Accent3 5 3 3 2" xfId="5033"/>
    <cellStyle name="20% - Accent3 5 3 3 2 2" xfId="10007"/>
    <cellStyle name="20% - Accent3 5 3 3 2 3" xfId="14284"/>
    <cellStyle name="20% - Accent3 5 3 3 2 4" xfId="18543"/>
    <cellStyle name="20% - Accent3 5 3 3 2 5" xfId="22762"/>
    <cellStyle name="20% - Accent3 5 3 3 2 6" xfId="26957"/>
    <cellStyle name="20% - Accent3 5 3 3 2 7" xfId="30853"/>
    <cellStyle name="20% - Accent3 5 3 3 3" xfId="7709"/>
    <cellStyle name="20% - Accent3 5 3 3 4" xfId="11998"/>
    <cellStyle name="20% - Accent3 5 3 3 5" xfId="16274"/>
    <cellStyle name="20% - Accent3 5 3 3 6" xfId="20516"/>
    <cellStyle name="20% - Accent3 5 3 3 7" xfId="24763"/>
    <cellStyle name="20% - Accent3 5 3 3 8" xfId="28864"/>
    <cellStyle name="20% - Accent3 5 3 3 9" xfId="2732"/>
    <cellStyle name="20% - Accent3 5 3 4" xfId="4375"/>
    <cellStyle name="20% - Accent3 5 3 4 2" xfId="9349"/>
    <cellStyle name="20% - Accent3 5 3 4 3" xfId="13626"/>
    <cellStyle name="20% - Accent3 5 3 4 4" xfId="17886"/>
    <cellStyle name="20% - Accent3 5 3 4 5" xfId="22104"/>
    <cellStyle name="20% - Accent3 5 3 4 6" xfId="26300"/>
    <cellStyle name="20% - Accent3 5 3 4 7" xfId="30196"/>
    <cellStyle name="20% - Accent3 5 3 5" xfId="5724"/>
    <cellStyle name="20% - Accent3 5 3 5 2" xfId="10696"/>
    <cellStyle name="20% - Accent3 5 3 5 3" xfId="14974"/>
    <cellStyle name="20% - Accent3 5 3 5 4" xfId="19231"/>
    <cellStyle name="20% - Accent3 5 3 5 5" xfId="23448"/>
    <cellStyle name="20% - Accent3 5 3 5 6" xfId="27634"/>
    <cellStyle name="20% - Accent3 5 3 5 7" xfId="31513"/>
    <cellStyle name="20% - Accent3 5 3 6" xfId="6582"/>
    <cellStyle name="20% - Accent3 5 3 7" xfId="9194"/>
    <cellStyle name="20% - Accent3 5 3 8" xfId="13474"/>
    <cellStyle name="20% - Accent3 5 3 9" xfId="17736"/>
    <cellStyle name="20% - Accent3 5 4" xfId="3225"/>
    <cellStyle name="20% - Accent3 5 4 2" xfId="8201"/>
    <cellStyle name="20% - Accent3 5 4 3" xfId="12487"/>
    <cellStyle name="20% - Accent3 5 4 4" xfId="16759"/>
    <cellStyle name="20% - Accent3 5 4 5" xfId="20997"/>
    <cellStyle name="20% - Accent3 5 4 6" xfId="25235"/>
    <cellStyle name="20% - Accent3 5 4 7" xfId="29316"/>
    <cellStyle name="20% - Accent3 5 5" xfId="2330"/>
    <cellStyle name="20% - Accent3 5 5 2" xfId="7308"/>
    <cellStyle name="20% - Accent3 5 5 3" xfId="11598"/>
    <cellStyle name="20% - Accent3 5 5 4" xfId="15876"/>
    <cellStyle name="20% - Accent3 5 5 5" xfId="20128"/>
    <cellStyle name="20% - Accent3 5 5 6" xfId="24377"/>
    <cellStyle name="20% - Accent3 5 5 7" xfId="28508"/>
    <cellStyle name="20% - Accent3 6" xfId="366"/>
    <cellStyle name="20% - Accent3 6 10" xfId="21980"/>
    <cellStyle name="20% - Accent3 6 11" xfId="24341"/>
    <cellStyle name="20% - Accent3 6 12" xfId="1729"/>
    <cellStyle name="20% - Accent3 6 2" xfId="740"/>
    <cellStyle name="20% - Accent3 6 2 10" xfId="19864"/>
    <cellStyle name="20% - Accent3 6 2 11" xfId="24115"/>
    <cellStyle name="20% - Accent3 6 2 12" xfId="28267"/>
    <cellStyle name="20% - Accent3 6 2 13" xfId="2059"/>
    <cellStyle name="20% - Accent3 6 2 2" xfId="1397"/>
    <cellStyle name="20% - Accent3 6 2 2 10" xfId="2733"/>
    <cellStyle name="20% - Accent3 6 2 2 2" xfId="3588"/>
    <cellStyle name="20% - Accent3 6 2 2 2 2" xfId="8564"/>
    <cellStyle name="20% - Accent3 6 2 2 2 3" xfId="12849"/>
    <cellStyle name="20% - Accent3 6 2 2 2 4" xfId="17121"/>
    <cellStyle name="20% - Accent3 6 2 2 2 5" xfId="21356"/>
    <cellStyle name="20% - Accent3 6 2 2 2 6" xfId="25594"/>
    <cellStyle name="20% - Accent3 6 2 2 2 7" xfId="29672"/>
    <cellStyle name="20% - Accent3 6 2 2 3" xfId="5428"/>
    <cellStyle name="20% - Accent3 6 2 2 3 2" xfId="10402"/>
    <cellStyle name="20% - Accent3 6 2 2 3 3" xfId="14679"/>
    <cellStyle name="20% - Accent3 6 2 2 3 4" xfId="18938"/>
    <cellStyle name="20% - Accent3 6 2 2 3 5" xfId="23157"/>
    <cellStyle name="20% - Accent3 6 2 2 3 6" xfId="27352"/>
    <cellStyle name="20% - Accent3 6 2 2 3 7" xfId="31248"/>
    <cellStyle name="20% - Accent3 6 2 2 4" xfId="7710"/>
    <cellStyle name="20% - Accent3 6 2 2 5" xfId="11999"/>
    <cellStyle name="20% - Accent3 6 2 2 6" xfId="16275"/>
    <cellStyle name="20% - Accent3 6 2 2 7" xfId="20517"/>
    <cellStyle name="20% - Accent3 6 2 2 8" xfId="24764"/>
    <cellStyle name="20% - Accent3 6 2 2 9" xfId="28865"/>
    <cellStyle name="20% - Accent3 6 2 3" xfId="3318"/>
    <cellStyle name="20% - Accent3 6 2 3 2" xfId="8294"/>
    <cellStyle name="20% - Accent3 6 2 3 3" xfId="12579"/>
    <cellStyle name="20% - Accent3 6 2 3 4" xfId="16851"/>
    <cellStyle name="20% - Accent3 6 2 3 5" xfId="21086"/>
    <cellStyle name="20% - Accent3 6 2 3 6" xfId="25324"/>
    <cellStyle name="20% - Accent3 6 2 3 7" xfId="29402"/>
    <cellStyle name="20% - Accent3 6 2 4" xfId="2457"/>
    <cellStyle name="20% - Accent3 6 2 4 2" xfId="7434"/>
    <cellStyle name="20% - Accent3 6 2 4 3" xfId="11723"/>
    <cellStyle name="20% - Accent3 6 2 4 4" xfId="16001"/>
    <cellStyle name="20% - Accent3 6 2 4 5" xfId="20244"/>
    <cellStyle name="20% - Accent3 6 2 4 6" xfId="24490"/>
    <cellStyle name="20% - Accent3 6 2 4 7" xfId="28595"/>
    <cellStyle name="20% - Accent3 6 2 5" xfId="4771"/>
    <cellStyle name="20% - Accent3 6 2 5 2" xfId="9745"/>
    <cellStyle name="20% - Accent3 6 2 5 3" xfId="14022"/>
    <cellStyle name="20% - Accent3 6 2 5 4" xfId="18281"/>
    <cellStyle name="20% - Accent3 6 2 5 5" xfId="22500"/>
    <cellStyle name="20% - Accent3 6 2 5 6" xfId="26695"/>
    <cellStyle name="20% - Accent3 6 2 5 7" xfId="30591"/>
    <cellStyle name="20% - Accent3 6 2 6" xfId="6119"/>
    <cellStyle name="20% - Accent3 6 2 6 2" xfId="11091"/>
    <cellStyle name="20% - Accent3 6 2 6 3" xfId="15369"/>
    <cellStyle name="20% - Accent3 6 2 6 4" xfId="19626"/>
    <cellStyle name="20% - Accent3 6 2 6 5" xfId="23843"/>
    <cellStyle name="20% - Accent3 6 2 6 6" xfId="28029"/>
    <cellStyle name="20% - Accent3 6 2 6 7" xfId="31908"/>
    <cellStyle name="20% - Accent3 6 2 7" xfId="7037"/>
    <cellStyle name="20% - Accent3 6 2 8" xfId="11329"/>
    <cellStyle name="20% - Accent3 6 2 9" xfId="15607"/>
    <cellStyle name="20% - Accent3 6 3" xfId="1068"/>
    <cellStyle name="20% - Accent3 6 3 2" xfId="5099"/>
    <cellStyle name="20% - Accent3 6 3 2 2" xfId="10073"/>
    <cellStyle name="20% - Accent3 6 3 2 3" xfId="14350"/>
    <cellStyle name="20% - Accent3 6 3 2 4" xfId="18609"/>
    <cellStyle name="20% - Accent3 6 3 2 5" xfId="22828"/>
    <cellStyle name="20% - Accent3 6 3 2 6" xfId="27023"/>
    <cellStyle name="20% - Accent3 6 3 2 7" xfId="30919"/>
    <cellStyle name="20% - Accent3 6 3 3" xfId="2336"/>
    <cellStyle name="20% - Accent3 6 4" xfId="4441"/>
    <cellStyle name="20% - Accent3 6 4 2" xfId="9415"/>
    <cellStyle name="20% - Accent3 6 4 3" xfId="13692"/>
    <cellStyle name="20% - Accent3 6 4 4" xfId="17952"/>
    <cellStyle name="20% - Accent3 6 4 5" xfId="22170"/>
    <cellStyle name="20% - Accent3 6 4 6" xfId="26366"/>
    <cellStyle name="20% - Accent3 6 4 7" xfId="30262"/>
    <cellStyle name="20% - Accent3 6 5" xfId="5790"/>
    <cellStyle name="20% - Accent3 6 5 2" xfId="10762"/>
    <cellStyle name="20% - Accent3 6 5 3" xfId="15040"/>
    <cellStyle name="20% - Accent3 6 5 4" xfId="19297"/>
    <cellStyle name="20% - Accent3 6 5 5" xfId="23514"/>
    <cellStyle name="20% - Accent3 6 5 6" xfId="27700"/>
    <cellStyle name="20% - Accent3 6 5 7" xfId="31579"/>
    <cellStyle name="20% - Accent3 6 6" xfId="6664"/>
    <cellStyle name="20% - Accent3 6 7" xfId="7269"/>
    <cellStyle name="20% - Accent3 6 8" xfId="11559"/>
    <cellStyle name="20% - Accent3 6 9" xfId="15837"/>
    <cellStyle name="20% - Accent3 7" xfId="551"/>
    <cellStyle name="20% - Accent3 7 2" xfId="2734"/>
    <cellStyle name="20% - Accent3 7 2 2" xfId="3589"/>
    <cellStyle name="20% - Accent3 7 2 2 2" xfId="8565"/>
    <cellStyle name="20% - Accent3 7 2 2 3" xfId="12850"/>
    <cellStyle name="20% - Accent3 7 2 2 4" xfId="17122"/>
    <cellStyle name="20% - Accent3 7 2 2 5" xfId="21357"/>
    <cellStyle name="20% - Accent3 7 2 2 6" xfId="25595"/>
    <cellStyle name="20% - Accent3 7 2 2 7" xfId="29673"/>
    <cellStyle name="20% - Accent3 7 2 3" xfId="7711"/>
    <cellStyle name="20% - Accent3 7 2 4" xfId="12000"/>
    <cellStyle name="20% - Accent3 7 2 5" xfId="16276"/>
    <cellStyle name="20% - Accent3 7 2 6" xfId="20518"/>
    <cellStyle name="20% - Accent3 7 2 7" xfId="24765"/>
    <cellStyle name="20% - Accent3 7 2 8" xfId="28866"/>
    <cellStyle name="20% - Accent3 7 3" xfId="3451"/>
    <cellStyle name="20% - Accent3 7 3 2" xfId="8427"/>
    <cellStyle name="20% - Accent3 7 3 3" xfId="12712"/>
    <cellStyle name="20% - Accent3 7 3 4" xfId="16984"/>
    <cellStyle name="20% - Accent3 7 3 5" xfId="21219"/>
    <cellStyle name="20% - Accent3 7 3 6" xfId="25457"/>
    <cellStyle name="20% - Accent3 7 3 7" xfId="29535"/>
    <cellStyle name="20% - Accent3 7 4" xfId="2592"/>
    <cellStyle name="20% - Accent3 7 4 2" xfId="7569"/>
    <cellStyle name="20% - Accent3 7 4 3" xfId="11858"/>
    <cellStyle name="20% - Accent3 7 4 4" xfId="16134"/>
    <cellStyle name="20% - Accent3 7 4 5" xfId="20377"/>
    <cellStyle name="20% - Accent3 7 4 6" xfId="24623"/>
    <cellStyle name="20% - Accent3 7 4 7" xfId="28728"/>
    <cellStyle name="20% - Accent3 8" xfId="2735"/>
    <cellStyle name="20% - Accent4" xfId="4" builtinId="42" customBuiltin="1"/>
    <cellStyle name="20% - Accent4 2" xfId="86"/>
    <cellStyle name="20% - Accent4 2 10" xfId="4297"/>
    <cellStyle name="20% - Accent4 2 10 2" xfId="9271"/>
    <cellStyle name="20% - Accent4 2 10 3" xfId="13548"/>
    <cellStyle name="20% - Accent4 2 10 4" xfId="17808"/>
    <cellStyle name="20% - Accent4 2 10 5" xfId="22027"/>
    <cellStyle name="20% - Accent4 2 10 6" xfId="26225"/>
    <cellStyle name="20% - Accent4 2 10 7" xfId="30122"/>
    <cellStyle name="20% - Accent4 2 11" xfId="5653"/>
    <cellStyle name="20% - Accent4 2 11 2" xfId="10625"/>
    <cellStyle name="20% - Accent4 2 11 3" xfId="14903"/>
    <cellStyle name="20% - Accent4 2 11 4" xfId="19160"/>
    <cellStyle name="20% - Accent4 2 11 5" xfId="23377"/>
    <cellStyle name="20% - Accent4 2 11 6" xfId="27563"/>
    <cellStyle name="20% - Accent4 2 11 7" xfId="31442"/>
    <cellStyle name="20% - Accent4 2 12" xfId="6386"/>
    <cellStyle name="20% - Accent4 2 13" xfId="7595"/>
    <cellStyle name="20% - Accent4 2 14" xfId="11884"/>
    <cellStyle name="20% - Accent4 2 15" xfId="16160"/>
    <cellStyle name="20% - Accent4 2 16" xfId="17552"/>
    <cellStyle name="20% - Accent4 2 17" xfId="24649"/>
    <cellStyle name="20% - Accent4 2 18" xfId="1587"/>
    <cellStyle name="20% - Accent4 2 2" xfId="172"/>
    <cellStyle name="20% - Accent4 2 2 10" xfId="5685"/>
    <cellStyle name="20% - Accent4 2 2 10 2" xfId="10657"/>
    <cellStyle name="20% - Accent4 2 2 10 3" xfId="14935"/>
    <cellStyle name="20% - Accent4 2 2 10 4" xfId="19192"/>
    <cellStyle name="20% - Accent4 2 2 10 5" xfId="23409"/>
    <cellStyle name="20% - Accent4 2 2 10 6" xfId="27595"/>
    <cellStyle name="20% - Accent4 2 2 10 7" xfId="31474"/>
    <cellStyle name="20% - Accent4 2 2 11" xfId="6471"/>
    <cellStyle name="20% - Accent4 2 2 12" xfId="7966"/>
    <cellStyle name="20% - Accent4 2 2 13" xfId="12254"/>
    <cellStyle name="20% - Accent4 2 2 14" xfId="16529"/>
    <cellStyle name="20% - Accent4 2 2 15" xfId="16693"/>
    <cellStyle name="20% - Accent4 2 2 16" xfId="25014"/>
    <cellStyle name="20% - Accent4 2 2 17" xfId="1620"/>
    <cellStyle name="20% - Accent4 2 2 2" xfId="316"/>
    <cellStyle name="20% - Accent4 2 2 2 10" xfId="13317"/>
    <cellStyle name="20% - Accent4 2 2 2 11" xfId="17590"/>
    <cellStyle name="20% - Accent4 2 2 2 12" xfId="21983"/>
    <cellStyle name="20% - Accent4 2 2 2 13" xfId="26043"/>
    <cellStyle name="20% - Accent4 2 2 2 14" xfId="1688"/>
    <cellStyle name="20% - Accent4 2 2 2 2" xfId="480"/>
    <cellStyle name="20% - Accent4 2 2 2 2 10" xfId="12264"/>
    <cellStyle name="20% - Accent4 2 2 2 2 11" xfId="13490"/>
    <cellStyle name="20% - Accent4 2 2 2 2 12" xfId="21862"/>
    <cellStyle name="20% - Accent4 2 2 2 2 13" xfId="1843"/>
    <cellStyle name="20% - Accent4 2 2 2 2 2" xfId="854"/>
    <cellStyle name="20% - Accent4 2 2 2 2 2 10" xfId="24229"/>
    <cellStyle name="20% - Accent4 2 2 2 2 2 11" xfId="28381"/>
    <cellStyle name="20% - Accent4 2 2 2 2 2 12" xfId="2173"/>
    <cellStyle name="20% - Accent4 2 2 2 2 2 2" xfId="1511"/>
    <cellStyle name="20% - Accent4 2 2 2 2 2 2 2" xfId="5542"/>
    <cellStyle name="20% - Accent4 2 2 2 2 2 2 2 2" xfId="10516"/>
    <cellStyle name="20% - Accent4 2 2 2 2 2 2 2 3" xfId="14793"/>
    <cellStyle name="20% - Accent4 2 2 2 2 2 2 2 4" xfId="19052"/>
    <cellStyle name="20% - Accent4 2 2 2 2 2 2 2 5" xfId="23271"/>
    <cellStyle name="20% - Accent4 2 2 2 2 2 2 2 6" xfId="27466"/>
    <cellStyle name="20% - Accent4 2 2 2 2 2 2 2 7" xfId="31362"/>
    <cellStyle name="20% - Accent4 2 2 2 2 2 2 3" xfId="8566"/>
    <cellStyle name="20% - Accent4 2 2 2 2 2 2 4" xfId="12851"/>
    <cellStyle name="20% - Accent4 2 2 2 2 2 2 5" xfId="17123"/>
    <cellStyle name="20% - Accent4 2 2 2 2 2 2 6" xfId="21358"/>
    <cellStyle name="20% - Accent4 2 2 2 2 2 2 7" xfId="25596"/>
    <cellStyle name="20% - Accent4 2 2 2 2 2 2 8" xfId="29674"/>
    <cellStyle name="20% - Accent4 2 2 2 2 2 2 9" xfId="3590"/>
    <cellStyle name="20% - Accent4 2 2 2 2 2 3" xfId="2736"/>
    <cellStyle name="20% - Accent4 2 2 2 2 2 3 2" xfId="7713"/>
    <cellStyle name="20% - Accent4 2 2 2 2 2 3 3" xfId="12002"/>
    <cellStyle name="20% - Accent4 2 2 2 2 2 3 4" xfId="16278"/>
    <cellStyle name="20% - Accent4 2 2 2 2 2 3 5" xfId="20520"/>
    <cellStyle name="20% - Accent4 2 2 2 2 2 3 6" xfId="24767"/>
    <cellStyle name="20% - Accent4 2 2 2 2 2 3 7" xfId="28867"/>
    <cellStyle name="20% - Accent4 2 2 2 2 2 4" xfId="4885"/>
    <cellStyle name="20% - Accent4 2 2 2 2 2 4 2" xfId="9859"/>
    <cellStyle name="20% - Accent4 2 2 2 2 2 4 3" xfId="14136"/>
    <cellStyle name="20% - Accent4 2 2 2 2 2 4 4" xfId="18395"/>
    <cellStyle name="20% - Accent4 2 2 2 2 2 4 5" xfId="22614"/>
    <cellStyle name="20% - Accent4 2 2 2 2 2 4 6" xfId="26809"/>
    <cellStyle name="20% - Accent4 2 2 2 2 2 4 7" xfId="30705"/>
    <cellStyle name="20% - Accent4 2 2 2 2 2 5" xfId="6233"/>
    <cellStyle name="20% - Accent4 2 2 2 2 2 5 2" xfId="11205"/>
    <cellStyle name="20% - Accent4 2 2 2 2 2 5 3" xfId="15483"/>
    <cellStyle name="20% - Accent4 2 2 2 2 2 5 4" xfId="19740"/>
    <cellStyle name="20% - Accent4 2 2 2 2 2 5 5" xfId="23957"/>
    <cellStyle name="20% - Accent4 2 2 2 2 2 5 6" xfId="28143"/>
    <cellStyle name="20% - Accent4 2 2 2 2 2 5 7" xfId="32022"/>
    <cellStyle name="20% - Accent4 2 2 2 2 2 6" xfId="7151"/>
    <cellStyle name="20% - Accent4 2 2 2 2 2 7" xfId="11443"/>
    <cellStyle name="20% - Accent4 2 2 2 2 2 8" xfId="15721"/>
    <cellStyle name="20% - Accent4 2 2 2 2 2 9" xfId="19978"/>
    <cellStyle name="20% - Accent4 2 2 2 2 3" xfId="1182"/>
    <cellStyle name="20% - Accent4 2 2 2 2 3 2" xfId="5213"/>
    <cellStyle name="20% - Accent4 2 2 2 2 3 2 2" xfId="10187"/>
    <cellStyle name="20% - Accent4 2 2 2 2 3 2 3" xfId="14464"/>
    <cellStyle name="20% - Accent4 2 2 2 2 3 2 4" xfId="18723"/>
    <cellStyle name="20% - Accent4 2 2 2 2 3 2 5" xfId="22942"/>
    <cellStyle name="20% - Accent4 2 2 2 2 3 2 6" xfId="27137"/>
    <cellStyle name="20% - Accent4 2 2 2 2 3 2 7" xfId="31033"/>
    <cellStyle name="20% - Accent4 2 2 2 2 3 3" xfId="8408"/>
    <cellStyle name="20% - Accent4 2 2 2 2 3 4" xfId="12693"/>
    <cellStyle name="20% - Accent4 2 2 2 2 3 5" xfId="16965"/>
    <cellStyle name="20% - Accent4 2 2 2 2 3 6" xfId="21200"/>
    <cellStyle name="20% - Accent4 2 2 2 2 3 7" xfId="25438"/>
    <cellStyle name="20% - Accent4 2 2 2 2 3 8" xfId="29516"/>
    <cellStyle name="20% - Accent4 2 2 2 2 3 9" xfId="3432"/>
    <cellStyle name="20% - Accent4 2 2 2 2 4" xfId="2571"/>
    <cellStyle name="20% - Accent4 2 2 2 2 4 2" xfId="7548"/>
    <cellStyle name="20% - Accent4 2 2 2 2 4 3" xfId="11837"/>
    <cellStyle name="20% - Accent4 2 2 2 2 4 4" xfId="16115"/>
    <cellStyle name="20% - Accent4 2 2 2 2 4 5" xfId="20358"/>
    <cellStyle name="20% - Accent4 2 2 2 2 4 6" xfId="24604"/>
    <cellStyle name="20% - Accent4 2 2 2 2 4 7" xfId="28709"/>
    <cellStyle name="20% - Accent4 2 2 2 2 5" xfId="4555"/>
    <cellStyle name="20% - Accent4 2 2 2 2 5 2" xfId="9529"/>
    <cellStyle name="20% - Accent4 2 2 2 2 5 3" xfId="13806"/>
    <cellStyle name="20% - Accent4 2 2 2 2 5 4" xfId="18066"/>
    <cellStyle name="20% - Accent4 2 2 2 2 5 5" xfId="22284"/>
    <cellStyle name="20% - Accent4 2 2 2 2 5 6" xfId="26480"/>
    <cellStyle name="20% - Accent4 2 2 2 2 5 7" xfId="30376"/>
    <cellStyle name="20% - Accent4 2 2 2 2 6" xfId="5904"/>
    <cellStyle name="20% - Accent4 2 2 2 2 6 2" xfId="10876"/>
    <cellStyle name="20% - Accent4 2 2 2 2 6 3" xfId="15154"/>
    <cellStyle name="20% - Accent4 2 2 2 2 6 4" xfId="19411"/>
    <cellStyle name="20% - Accent4 2 2 2 2 6 5" xfId="23628"/>
    <cellStyle name="20% - Accent4 2 2 2 2 6 6" xfId="27814"/>
    <cellStyle name="20% - Accent4 2 2 2 2 6 7" xfId="31693"/>
    <cellStyle name="20% - Accent4 2 2 2 2 7" xfId="6778"/>
    <cellStyle name="20% - Accent4 2 2 2 2 8" xfId="6445"/>
    <cellStyle name="20% - Accent4 2 2 2 2 9" xfId="7976"/>
    <cellStyle name="20% - Accent4 2 2 2 3" xfId="699"/>
    <cellStyle name="20% - Accent4 2 2 2 3 10" xfId="24074"/>
    <cellStyle name="20% - Accent4 2 2 2 3 11" xfId="28226"/>
    <cellStyle name="20% - Accent4 2 2 2 3 12" xfId="2018"/>
    <cellStyle name="20% - Accent4 2 2 2 3 2" xfId="1356"/>
    <cellStyle name="20% - Accent4 2 2 2 3 2 2" xfId="5387"/>
    <cellStyle name="20% - Accent4 2 2 2 3 2 2 2" xfId="10361"/>
    <cellStyle name="20% - Accent4 2 2 2 3 2 2 3" xfId="14638"/>
    <cellStyle name="20% - Accent4 2 2 2 3 2 2 4" xfId="18897"/>
    <cellStyle name="20% - Accent4 2 2 2 3 2 2 5" xfId="23116"/>
    <cellStyle name="20% - Accent4 2 2 2 3 2 2 6" xfId="27311"/>
    <cellStyle name="20% - Accent4 2 2 2 3 2 2 7" xfId="31207"/>
    <cellStyle name="20% - Accent4 2 2 2 3 2 3" xfId="8567"/>
    <cellStyle name="20% - Accent4 2 2 2 3 2 4" xfId="12852"/>
    <cellStyle name="20% - Accent4 2 2 2 3 2 5" xfId="17124"/>
    <cellStyle name="20% - Accent4 2 2 2 3 2 6" xfId="21359"/>
    <cellStyle name="20% - Accent4 2 2 2 3 2 7" xfId="25597"/>
    <cellStyle name="20% - Accent4 2 2 2 3 2 8" xfId="29675"/>
    <cellStyle name="20% - Accent4 2 2 2 3 2 9" xfId="3591"/>
    <cellStyle name="20% - Accent4 2 2 2 3 3" xfId="2737"/>
    <cellStyle name="20% - Accent4 2 2 2 3 3 2" xfId="7714"/>
    <cellStyle name="20% - Accent4 2 2 2 3 3 3" xfId="12003"/>
    <cellStyle name="20% - Accent4 2 2 2 3 3 4" xfId="16279"/>
    <cellStyle name="20% - Accent4 2 2 2 3 3 5" xfId="20521"/>
    <cellStyle name="20% - Accent4 2 2 2 3 3 6" xfId="24768"/>
    <cellStyle name="20% - Accent4 2 2 2 3 3 7" xfId="28868"/>
    <cellStyle name="20% - Accent4 2 2 2 3 4" xfId="4730"/>
    <cellStyle name="20% - Accent4 2 2 2 3 4 2" xfId="9704"/>
    <cellStyle name="20% - Accent4 2 2 2 3 4 3" xfId="13981"/>
    <cellStyle name="20% - Accent4 2 2 2 3 4 4" xfId="18240"/>
    <cellStyle name="20% - Accent4 2 2 2 3 4 5" xfId="22459"/>
    <cellStyle name="20% - Accent4 2 2 2 3 4 6" xfId="26654"/>
    <cellStyle name="20% - Accent4 2 2 2 3 4 7" xfId="30550"/>
    <cellStyle name="20% - Accent4 2 2 2 3 5" xfId="6078"/>
    <cellStyle name="20% - Accent4 2 2 2 3 5 2" xfId="11050"/>
    <cellStyle name="20% - Accent4 2 2 2 3 5 3" xfId="15328"/>
    <cellStyle name="20% - Accent4 2 2 2 3 5 4" xfId="19585"/>
    <cellStyle name="20% - Accent4 2 2 2 3 5 5" xfId="23802"/>
    <cellStyle name="20% - Accent4 2 2 2 3 5 6" xfId="27988"/>
    <cellStyle name="20% - Accent4 2 2 2 3 5 7" xfId="31867"/>
    <cellStyle name="20% - Accent4 2 2 2 3 6" xfId="6996"/>
    <cellStyle name="20% - Accent4 2 2 2 3 7" xfId="11288"/>
    <cellStyle name="20% - Accent4 2 2 2 3 8" xfId="15566"/>
    <cellStyle name="20% - Accent4 2 2 2 3 9" xfId="19823"/>
    <cellStyle name="20% - Accent4 2 2 2 4" xfId="1027"/>
    <cellStyle name="20% - Accent4 2 2 2 4 2" xfId="5058"/>
    <cellStyle name="20% - Accent4 2 2 2 4 2 2" xfId="10032"/>
    <cellStyle name="20% - Accent4 2 2 2 4 2 3" xfId="14309"/>
    <cellStyle name="20% - Accent4 2 2 2 4 2 4" xfId="18568"/>
    <cellStyle name="20% - Accent4 2 2 2 4 2 5" xfId="22787"/>
    <cellStyle name="20% - Accent4 2 2 2 4 2 6" xfId="26982"/>
    <cellStyle name="20% - Accent4 2 2 2 4 2 7" xfId="30878"/>
    <cellStyle name="20% - Accent4 2 2 2 4 3" xfId="8256"/>
    <cellStyle name="20% - Accent4 2 2 2 4 4" xfId="12541"/>
    <cellStyle name="20% - Accent4 2 2 2 4 5" xfId="16814"/>
    <cellStyle name="20% - Accent4 2 2 2 4 6" xfId="21050"/>
    <cellStyle name="20% - Accent4 2 2 2 4 7" xfId="25288"/>
    <cellStyle name="20% - Accent4 2 2 2 4 8" xfId="29366"/>
    <cellStyle name="20% - Accent4 2 2 2 4 9" xfId="3280"/>
    <cellStyle name="20% - Accent4 2 2 2 5" xfId="2396"/>
    <cellStyle name="20% - Accent4 2 2 2 5 2" xfId="7374"/>
    <cellStyle name="20% - Accent4 2 2 2 5 3" xfId="11663"/>
    <cellStyle name="20% - Accent4 2 2 2 5 4" xfId="15941"/>
    <cellStyle name="20% - Accent4 2 2 2 5 5" xfId="20190"/>
    <cellStyle name="20% - Accent4 2 2 2 5 6" xfId="24438"/>
    <cellStyle name="20% - Accent4 2 2 2 5 7" xfId="28558"/>
    <cellStyle name="20% - Accent4 2 2 2 6" xfId="4400"/>
    <cellStyle name="20% - Accent4 2 2 2 6 2" xfId="9374"/>
    <cellStyle name="20% - Accent4 2 2 2 6 3" xfId="13651"/>
    <cellStyle name="20% - Accent4 2 2 2 6 4" xfId="17911"/>
    <cellStyle name="20% - Accent4 2 2 2 6 5" xfId="22129"/>
    <cellStyle name="20% - Accent4 2 2 2 6 6" xfId="26325"/>
    <cellStyle name="20% - Accent4 2 2 2 6 7" xfId="30221"/>
    <cellStyle name="20% - Accent4 2 2 2 7" xfId="5749"/>
    <cellStyle name="20% - Accent4 2 2 2 7 2" xfId="10721"/>
    <cellStyle name="20% - Accent4 2 2 2 7 3" xfId="14999"/>
    <cellStyle name="20% - Accent4 2 2 2 7 4" xfId="19256"/>
    <cellStyle name="20% - Accent4 2 2 2 7 5" xfId="23473"/>
    <cellStyle name="20% - Accent4 2 2 2 7 6" xfId="27659"/>
    <cellStyle name="20% - Accent4 2 2 2 7 7" xfId="31538"/>
    <cellStyle name="20% - Accent4 2 2 2 8" xfId="6614"/>
    <cellStyle name="20% - Accent4 2 2 2 9" xfId="9034"/>
    <cellStyle name="20% - Accent4 2 2 3" xfId="419"/>
    <cellStyle name="20% - Accent4 2 2 3 10" xfId="17638"/>
    <cellStyle name="20% - Accent4 2 2 3 11" xfId="22015"/>
    <cellStyle name="20% - Accent4 2 2 3 12" xfId="26084"/>
    <cellStyle name="20% - Accent4 2 2 3 13" xfId="1782"/>
    <cellStyle name="20% - Accent4 2 2 3 2" xfId="793"/>
    <cellStyle name="20% - Accent4 2 2 3 2 10" xfId="24168"/>
    <cellStyle name="20% - Accent4 2 2 3 2 11" xfId="28320"/>
    <cellStyle name="20% - Accent4 2 2 3 2 12" xfId="2112"/>
    <cellStyle name="20% - Accent4 2 2 3 2 2" xfId="1450"/>
    <cellStyle name="20% - Accent4 2 2 3 2 2 2" xfId="5481"/>
    <cellStyle name="20% - Accent4 2 2 3 2 2 2 2" xfId="10455"/>
    <cellStyle name="20% - Accent4 2 2 3 2 2 2 3" xfId="14732"/>
    <cellStyle name="20% - Accent4 2 2 3 2 2 2 4" xfId="18991"/>
    <cellStyle name="20% - Accent4 2 2 3 2 2 2 5" xfId="23210"/>
    <cellStyle name="20% - Accent4 2 2 3 2 2 2 6" xfId="27405"/>
    <cellStyle name="20% - Accent4 2 2 3 2 2 2 7" xfId="31301"/>
    <cellStyle name="20% - Accent4 2 2 3 2 2 3" xfId="8568"/>
    <cellStyle name="20% - Accent4 2 2 3 2 2 4" xfId="12853"/>
    <cellStyle name="20% - Accent4 2 2 3 2 2 5" xfId="17125"/>
    <cellStyle name="20% - Accent4 2 2 3 2 2 6" xfId="21360"/>
    <cellStyle name="20% - Accent4 2 2 3 2 2 7" xfId="25598"/>
    <cellStyle name="20% - Accent4 2 2 3 2 2 8" xfId="29676"/>
    <cellStyle name="20% - Accent4 2 2 3 2 2 9" xfId="3592"/>
    <cellStyle name="20% - Accent4 2 2 3 2 3" xfId="2738"/>
    <cellStyle name="20% - Accent4 2 2 3 2 3 2" xfId="7715"/>
    <cellStyle name="20% - Accent4 2 2 3 2 3 3" xfId="12004"/>
    <cellStyle name="20% - Accent4 2 2 3 2 3 4" xfId="16280"/>
    <cellStyle name="20% - Accent4 2 2 3 2 3 5" xfId="20522"/>
    <cellStyle name="20% - Accent4 2 2 3 2 3 6" xfId="24769"/>
    <cellStyle name="20% - Accent4 2 2 3 2 3 7" xfId="28869"/>
    <cellStyle name="20% - Accent4 2 2 3 2 4" xfId="4824"/>
    <cellStyle name="20% - Accent4 2 2 3 2 4 2" xfId="9798"/>
    <cellStyle name="20% - Accent4 2 2 3 2 4 3" xfId="14075"/>
    <cellStyle name="20% - Accent4 2 2 3 2 4 4" xfId="18334"/>
    <cellStyle name="20% - Accent4 2 2 3 2 4 5" xfId="22553"/>
    <cellStyle name="20% - Accent4 2 2 3 2 4 6" xfId="26748"/>
    <cellStyle name="20% - Accent4 2 2 3 2 4 7" xfId="30644"/>
    <cellStyle name="20% - Accent4 2 2 3 2 5" xfId="6172"/>
    <cellStyle name="20% - Accent4 2 2 3 2 5 2" xfId="11144"/>
    <cellStyle name="20% - Accent4 2 2 3 2 5 3" xfId="15422"/>
    <cellStyle name="20% - Accent4 2 2 3 2 5 4" xfId="19679"/>
    <cellStyle name="20% - Accent4 2 2 3 2 5 5" xfId="23896"/>
    <cellStyle name="20% - Accent4 2 2 3 2 5 6" xfId="28082"/>
    <cellStyle name="20% - Accent4 2 2 3 2 5 7" xfId="31961"/>
    <cellStyle name="20% - Accent4 2 2 3 2 6" xfId="7090"/>
    <cellStyle name="20% - Accent4 2 2 3 2 7" xfId="11382"/>
    <cellStyle name="20% - Accent4 2 2 3 2 8" xfId="15660"/>
    <cellStyle name="20% - Accent4 2 2 3 2 9" xfId="19917"/>
    <cellStyle name="20% - Accent4 2 2 3 3" xfId="1121"/>
    <cellStyle name="20% - Accent4 2 2 3 3 2" xfId="5152"/>
    <cellStyle name="20% - Accent4 2 2 3 3 2 2" xfId="10126"/>
    <cellStyle name="20% - Accent4 2 2 3 3 2 3" xfId="14403"/>
    <cellStyle name="20% - Accent4 2 2 3 3 2 4" xfId="18662"/>
    <cellStyle name="20% - Accent4 2 2 3 3 2 5" xfId="22881"/>
    <cellStyle name="20% - Accent4 2 2 3 3 2 6" xfId="27076"/>
    <cellStyle name="20% - Accent4 2 2 3 3 2 7" xfId="30972"/>
    <cellStyle name="20% - Accent4 2 2 3 3 3" xfId="8347"/>
    <cellStyle name="20% - Accent4 2 2 3 3 4" xfId="12632"/>
    <cellStyle name="20% - Accent4 2 2 3 3 5" xfId="16904"/>
    <cellStyle name="20% - Accent4 2 2 3 3 6" xfId="21139"/>
    <cellStyle name="20% - Accent4 2 2 3 3 7" xfId="25377"/>
    <cellStyle name="20% - Accent4 2 2 3 3 8" xfId="29455"/>
    <cellStyle name="20% - Accent4 2 2 3 3 9" xfId="3371"/>
    <cellStyle name="20% - Accent4 2 2 3 4" xfId="2510"/>
    <cellStyle name="20% - Accent4 2 2 3 4 2" xfId="7487"/>
    <cellStyle name="20% - Accent4 2 2 3 4 3" xfId="11776"/>
    <cellStyle name="20% - Accent4 2 2 3 4 4" xfId="16054"/>
    <cellStyle name="20% - Accent4 2 2 3 4 5" xfId="20297"/>
    <cellStyle name="20% - Accent4 2 2 3 4 6" xfId="24543"/>
    <cellStyle name="20% - Accent4 2 2 3 4 7" xfId="28648"/>
    <cellStyle name="20% - Accent4 2 2 3 5" xfId="4494"/>
    <cellStyle name="20% - Accent4 2 2 3 5 2" xfId="9468"/>
    <cellStyle name="20% - Accent4 2 2 3 5 3" xfId="13745"/>
    <cellStyle name="20% - Accent4 2 2 3 5 4" xfId="18005"/>
    <cellStyle name="20% - Accent4 2 2 3 5 5" xfId="22223"/>
    <cellStyle name="20% - Accent4 2 2 3 5 6" xfId="26419"/>
    <cellStyle name="20% - Accent4 2 2 3 5 7" xfId="30315"/>
    <cellStyle name="20% - Accent4 2 2 3 6" xfId="5843"/>
    <cellStyle name="20% - Accent4 2 2 3 6 2" xfId="10815"/>
    <cellStyle name="20% - Accent4 2 2 3 6 3" xfId="15093"/>
    <cellStyle name="20% - Accent4 2 2 3 6 4" xfId="19350"/>
    <cellStyle name="20% - Accent4 2 2 3 6 5" xfId="23567"/>
    <cellStyle name="20% - Accent4 2 2 3 6 6" xfId="27753"/>
    <cellStyle name="20% - Accent4 2 2 3 6 7" xfId="31632"/>
    <cellStyle name="20% - Accent4 2 2 3 7" xfId="6717"/>
    <cellStyle name="20% - Accent4 2 2 3 8" xfId="9087"/>
    <cellStyle name="20% - Accent4 2 2 3 9" xfId="13369"/>
    <cellStyle name="20% - Accent4 2 2 4" xfId="533"/>
    <cellStyle name="20% - Accent4 2 2 4 10" xfId="11607"/>
    <cellStyle name="20% - Accent4 2 2 4 11" xfId="17730"/>
    <cellStyle name="20% - Accent4 2 2 4 12" xfId="22014"/>
    <cellStyle name="20% - Accent4 2 2 4 13" xfId="1896"/>
    <cellStyle name="20% - Accent4 2 2 4 2" xfId="907"/>
    <cellStyle name="20% - Accent4 2 2 4 2 10" xfId="24282"/>
    <cellStyle name="20% - Accent4 2 2 4 2 11" xfId="28434"/>
    <cellStyle name="20% - Accent4 2 2 4 2 12" xfId="2226"/>
    <cellStyle name="20% - Accent4 2 2 4 2 2" xfId="1564"/>
    <cellStyle name="20% - Accent4 2 2 4 2 2 2" xfId="5595"/>
    <cellStyle name="20% - Accent4 2 2 4 2 2 2 2" xfId="10569"/>
    <cellStyle name="20% - Accent4 2 2 4 2 2 2 3" xfId="14846"/>
    <cellStyle name="20% - Accent4 2 2 4 2 2 2 4" xfId="19105"/>
    <cellStyle name="20% - Accent4 2 2 4 2 2 2 5" xfId="23324"/>
    <cellStyle name="20% - Accent4 2 2 4 2 2 2 6" xfId="27519"/>
    <cellStyle name="20% - Accent4 2 2 4 2 2 2 7" xfId="31415"/>
    <cellStyle name="20% - Accent4 2 2 4 2 2 3" xfId="8569"/>
    <cellStyle name="20% - Accent4 2 2 4 2 2 4" xfId="12854"/>
    <cellStyle name="20% - Accent4 2 2 4 2 2 5" xfId="17126"/>
    <cellStyle name="20% - Accent4 2 2 4 2 2 6" xfId="21361"/>
    <cellStyle name="20% - Accent4 2 2 4 2 2 7" xfId="25599"/>
    <cellStyle name="20% - Accent4 2 2 4 2 2 8" xfId="29677"/>
    <cellStyle name="20% - Accent4 2 2 4 2 2 9" xfId="3593"/>
    <cellStyle name="20% - Accent4 2 2 4 2 3" xfId="2739"/>
    <cellStyle name="20% - Accent4 2 2 4 2 3 2" xfId="7716"/>
    <cellStyle name="20% - Accent4 2 2 4 2 3 3" xfId="12005"/>
    <cellStyle name="20% - Accent4 2 2 4 2 3 4" xfId="16281"/>
    <cellStyle name="20% - Accent4 2 2 4 2 3 5" xfId="20523"/>
    <cellStyle name="20% - Accent4 2 2 4 2 3 6" xfId="24770"/>
    <cellStyle name="20% - Accent4 2 2 4 2 3 7" xfId="28870"/>
    <cellStyle name="20% - Accent4 2 2 4 2 4" xfId="4938"/>
    <cellStyle name="20% - Accent4 2 2 4 2 4 2" xfId="9912"/>
    <cellStyle name="20% - Accent4 2 2 4 2 4 3" xfId="14189"/>
    <cellStyle name="20% - Accent4 2 2 4 2 4 4" xfId="18448"/>
    <cellStyle name="20% - Accent4 2 2 4 2 4 5" xfId="22667"/>
    <cellStyle name="20% - Accent4 2 2 4 2 4 6" xfId="26862"/>
    <cellStyle name="20% - Accent4 2 2 4 2 4 7" xfId="30758"/>
    <cellStyle name="20% - Accent4 2 2 4 2 5" xfId="6286"/>
    <cellStyle name="20% - Accent4 2 2 4 2 5 2" xfId="11258"/>
    <cellStyle name="20% - Accent4 2 2 4 2 5 3" xfId="15536"/>
    <cellStyle name="20% - Accent4 2 2 4 2 5 4" xfId="19793"/>
    <cellStyle name="20% - Accent4 2 2 4 2 5 5" xfId="24010"/>
    <cellStyle name="20% - Accent4 2 2 4 2 5 6" xfId="28196"/>
    <cellStyle name="20% - Accent4 2 2 4 2 5 7" xfId="32075"/>
    <cellStyle name="20% - Accent4 2 2 4 2 6" xfId="7204"/>
    <cellStyle name="20% - Accent4 2 2 4 2 7" xfId="11496"/>
    <cellStyle name="20% - Accent4 2 2 4 2 8" xfId="15774"/>
    <cellStyle name="20% - Accent4 2 2 4 2 9" xfId="20031"/>
    <cellStyle name="20% - Accent4 2 2 4 3" xfId="1235"/>
    <cellStyle name="20% - Accent4 2 2 4 3 2" xfId="5266"/>
    <cellStyle name="20% - Accent4 2 2 4 3 2 2" xfId="10240"/>
    <cellStyle name="20% - Accent4 2 2 4 3 2 3" xfId="14517"/>
    <cellStyle name="20% - Accent4 2 2 4 3 2 4" xfId="18776"/>
    <cellStyle name="20% - Accent4 2 2 4 3 2 5" xfId="22995"/>
    <cellStyle name="20% - Accent4 2 2 4 3 2 6" xfId="27190"/>
    <cellStyle name="20% - Accent4 2 2 4 3 2 7" xfId="31086"/>
    <cellStyle name="20% - Accent4 2 2 4 3 3" xfId="8475"/>
    <cellStyle name="20% - Accent4 2 2 4 3 4" xfId="12760"/>
    <cellStyle name="20% - Accent4 2 2 4 3 5" xfId="17032"/>
    <cellStyle name="20% - Accent4 2 2 4 3 6" xfId="21267"/>
    <cellStyle name="20% - Accent4 2 2 4 3 7" xfId="25505"/>
    <cellStyle name="20% - Accent4 2 2 4 3 8" xfId="29583"/>
    <cellStyle name="20% - Accent4 2 2 4 3 9" xfId="3499"/>
    <cellStyle name="20% - Accent4 2 2 4 4" xfId="2642"/>
    <cellStyle name="20% - Accent4 2 2 4 4 2" xfId="7619"/>
    <cellStyle name="20% - Accent4 2 2 4 4 3" xfId="11908"/>
    <cellStyle name="20% - Accent4 2 2 4 4 4" xfId="16184"/>
    <cellStyle name="20% - Accent4 2 2 4 4 5" xfId="20426"/>
    <cellStyle name="20% - Accent4 2 2 4 4 6" xfId="24673"/>
    <cellStyle name="20% - Accent4 2 2 4 4 7" xfId="28776"/>
    <cellStyle name="20% - Accent4 2 2 4 5" xfId="4608"/>
    <cellStyle name="20% - Accent4 2 2 4 5 2" xfId="9582"/>
    <cellStyle name="20% - Accent4 2 2 4 5 3" xfId="13859"/>
    <cellStyle name="20% - Accent4 2 2 4 5 4" xfId="18119"/>
    <cellStyle name="20% - Accent4 2 2 4 5 5" xfId="22337"/>
    <cellStyle name="20% - Accent4 2 2 4 5 6" xfId="26533"/>
    <cellStyle name="20% - Accent4 2 2 4 5 7" xfId="30429"/>
    <cellStyle name="20% - Accent4 2 2 4 6" xfId="5957"/>
    <cellStyle name="20% - Accent4 2 2 4 6 2" xfId="10929"/>
    <cellStyle name="20% - Accent4 2 2 4 6 3" xfId="15207"/>
    <cellStyle name="20% - Accent4 2 2 4 6 4" xfId="19464"/>
    <cellStyle name="20% - Accent4 2 2 4 6 5" xfId="23681"/>
    <cellStyle name="20% - Accent4 2 2 4 6 6" xfId="27867"/>
    <cellStyle name="20% - Accent4 2 2 4 6 7" xfId="31746"/>
    <cellStyle name="20% - Accent4 2 2 4 7" xfId="6831"/>
    <cellStyle name="20% - Accent4 2 2 4 8" xfId="6863"/>
    <cellStyle name="20% - Accent4 2 2 4 9" xfId="7317"/>
    <cellStyle name="20% - Accent4 2 2 5" xfId="634"/>
    <cellStyle name="20% - Accent4 2 2 5 10" xfId="6492"/>
    <cellStyle name="20% - Accent4 2 2 5 11" xfId="21780"/>
    <cellStyle name="20% - Accent4 2 2 5 12" xfId="17738"/>
    <cellStyle name="20% - Accent4 2 2 5 13" xfId="1953"/>
    <cellStyle name="20% - Accent4 2 2 5 2" xfId="1291"/>
    <cellStyle name="20% - Accent4 2 2 5 2 10" xfId="2741"/>
    <cellStyle name="20% - Accent4 2 2 5 2 2" xfId="3595"/>
    <cellStyle name="20% - Accent4 2 2 5 2 2 2" xfId="8571"/>
    <cellStyle name="20% - Accent4 2 2 5 2 2 3" xfId="12856"/>
    <cellStyle name="20% - Accent4 2 2 5 2 2 4" xfId="17128"/>
    <cellStyle name="20% - Accent4 2 2 5 2 2 5" xfId="21363"/>
    <cellStyle name="20% - Accent4 2 2 5 2 2 6" xfId="25601"/>
    <cellStyle name="20% - Accent4 2 2 5 2 2 7" xfId="29679"/>
    <cellStyle name="20% - Accent4 2 2 5 2 3" xfId="5322"/>
    <cellStyle name="20% - Accent4 2 2 5 2 3 2" xfId="10296"/>
    <cellStyle name="20% - Accent4 2 2 5 2 3 3" xfId="14573"/>
    <cellStyle name="20% - Accent4 2 2 5 2 3 4" xfId="18832"/>
    <cellStyle name="20% - Accent4 2 2 5 2 3 5" xfId="23051"/>
    <cellStyle name="20% - Accent4 2 2 5 2 3 6" xfId="27246"/>
    <cellStyle name="20% - Accent4 2 2 5 2 3 7" xfId="31142"/>
    <cellStyle name="20% - Accent4 2 2 5 2 4" xfId="7718"/>
    <cellStyle name="20% - Accent4 2 2 5 2 5" xfId="12007"/>
    <cellStyle name="20% - Accent4 2 2 5 2 6" xfId="16283"/>
    <cellStyle name="20% - Accent4 2 2 5 2 7" xfId="20525"/>
    <cellStyle name="20% - Accent4 2 2 5 2 8" xfId="24772"/>
    <cellStyle name="20% - Accent4 2 2 5 2 9" xfId="28872"/>
    <cellStyle name="20% - Accent4 2 2 5 3" xfId="3594"/>
    <cellStyle name="20% - Accent4 2 2 5 3 2" xfId="8570"/>
    <cellStyle name="20% - Accent4 2 2 5 3 3" xfId="12855"/>
    <cellStyle name="20% - Accent4 2 2 5 3 4" xfId="17127"/>
    <cellStyle name="20% - Accent4 2 2 5 3 5" xfId="21362"/>
    <cellStyle name="20% - Accent4 2 2 5 3 6" xfId="25600"/>
    <cellStyle name="20% - Accent4 2 2 5 3 7" xfId="29678"/>
    <cellStyle name="20% - Accent4 2 2 5 4" xfId="2740"/>
    <cellStyle name="20% - Accent4 2 2 5 4 2" xfId="7717"/>
    <cellStyle name="20% - Accent4 2 2 5 4 3" xfId="12006"/>
    <cellStyle name="20% - Accent4 2 2 5 4 4" xfId="16282"/>
    <cellStyle name="20% - Accent4 2 2 5 4 5" xfId="20524"/>
    <cellStyle name="20% - Accent4 2 2 5 4 6" xfId="24771"/>
    <cellStyle name="20% - Accent4 2 2 5 4 7" xfId="28871"/>
    <cellStyle name="20% - Accent4 2 2 5 5" xfId="4665"/>
    <cellStyle name="20% - Accent4 2 2 5 5 2" xfId="9639"/>
    <cellStyle name="20% - Accent4 2 2 5 5 3" xfId="13916"/>
    <cellStyle name="20% - Accent4 2 2 5 5 4" xfId="18175"/>
    <cellStyle name="20% - Accent4 2 2 5 5 5" xfId="22394"/>
    <cellStyle name="20% - Accent4 2 2 5 5 6" xfId="26589"/>
    <cellStyle name="20% - Accent4 2 2 5 5 7" xfId="30485"/>
    <cellStyle name="20% - Accent4 2 2 5 6" xfId="6013"/>
    <cellStyle name="20% - Accent4 2 2 5 6 2" xfId="10985"/>
    <cellStyle name="20% - Accent4 2 2 5 6 3" xfId="15263"/>
    <cellStyle name="20% - Accent4 2 2 5 6 4" xfId="19520"/>
    <cellStyle name="20% - Accent4 2 2 5 6 5" xfId="23737"/>
    <cellStyle name="20% - Accent4 2 2 5 6 6" xfId="27923"/>
    <cellStyle name="20% - Accent4 2 2 5 6 7" xfId="31802"/>
    <cellStyle name="20% - Accent4 2 2 5 7" xfId="6931"/>
    <cellStyle name="20% - Accent4 2 2 5 8" xfId="6851"/>
    <cellStyle name="20% - Accent4 2 2 5 9" xfId="6433"/>
    <cellStyle name="20% - Accent4 2 2 6" xfId="962"/>
    <cellStyle name="20% - Accent4 2 2 6 10" xfId="2742"/>
    <cellStyle name="20% - Accent4 2 2 6 2" xfId="3596"/>
    <cellStyle name="20% - Accent4 2 2 6 2 2" xfId="8572"/>
    <cellStyle name="20% - Accent4 2 2 6 2 3" xfId="12857"/>
    <cellStyle name="20% - Accent4 2 2 6 2 4" xfId="17129"/>
    <cellStyle name="20% - Accent4 2 2 6 2 5" xfId="21364"/>
    <cellStyle name="20% - Accent4 2 2 6 2 6" xfId="25602"/>
    <cellStyle name="20% - Accent4 2 2 6 2 7" xfId="29680"/>
    <cellStyle name="20% - Accent4 2 2 6 3" xfId="4993"/>
    <cellStyle name="20% - Accent4 2 2 6 3 2" xfId="9967"/>
    <cellStyle name="20% - Accent4 2 2 6 3 3" xfId="14244"/>
    <cellStyle name="20% - Accent4 2 2 6 3 4" xfId="18503"/>
    <cellStyle name="20% - Accent4 2 2 6 3 5" xfId="22722"/>
    <cellStyle name="20% - Accent4 2 2 6 3 6" xfId="26917"/>
    <cellStyle name="20% - Accent4 2 2 6 3 7" xfId="30813"/>
    <cellStyle name="20% - Accent4 2 2 6 4" xfId="7719"/>
    <cellStyle name="20% - Accent4 2 2 6 5" xfId="12008"/>
    <cellStyle name="20% - Accent4 2 2 6 6" xfId="16284"/>
    <cellStyle name="20% - Accent4 2 2 6 7" xfId="20526"/>
    <cellStyle name="20% - Accent4 2 2 6 8" xfId="24773"/>
    <cellStyle name="20% - Accent4 2 2 6 9" xfId="28873"/>
    <cellStyle name="20% - Accent4 2 2 7" xfId="3205"/>
    <cellStyle name="20% - Accent4 2 2 7 2" xfId="8181"/>
    <cellStyle name="20% - Accent4 2 2 7 3" xfId="12467"/>
    <cellStyle name="20% - Accent4 2 2 7 4" xfId="16741"/>
    <cellStyle name="20% - Accent4 2 2 7 5" xfId="20977"/>
    <cellStyle name="20% - Accent4 2 2 7 6" xfId="25217"/>
    <cellStyle name="20% - Accent4 2 2 7 7" xfId="29298"/>
    <cellStyle name="20% - Accent4 2 2 8" xfId="2302"/>
    <cellStyle name="20% - Accent4 2 2 8 2" xfId="7280"/>
    <cellStyle name="20% - Accent4 2 2 8 3" xfId="11570"/>
    <cellStyle name="20% - Accent4 2 2 8 4" xfId="15848"/>
    <cellStyle name="20% - Accent4 2 2 8 5" xfId="20101"/>
    <cellStyle name="20% - Accent4 2 2 8 6" xfId="24352"/>
    <cellStyle name="20% - Accent4 2 2 8 7" xfId="28489"/>
    <cellStyle name="20% - Accent4 2 2 9" xfId="4330"/>
    <cellStyle name="20% - Accent4 2 2 9 2" xfId="9304"/>
    <cellStyle name="20% - Accent4 2 2 9 3" xfId="13581"/>
    <cellStyle name="20% - Accent4 2 2 9 4" xfId="17841"/>
    <cellStyle name="20% - Accent4 2 2 9 5" xfId="22060"/>
    <cellStyle name="20% - Accent4 2 2 9 6" xfId="26258"/>
    <cellStyle name="20% - Accent4 2 2 9 7" xfId="30155"/>
    <cellStyle name="20% - Accent4 2 3" xfId="239"/>
    <cellStyle name="20% - Accent4 2 3 10" xfId="9178"/>
    <cellStyle name="20% - Accent4 2 3 11" xfId="13458"/>
    <cellStyle name="20% - Accent4 2 3 12" xfId="21955"/>
    <cellStyle name="20% - Accent4 2 3 13" xfId="6458"/>
    <cellStyle name="20% - Accent4 2 3 14" xfId="1644"/>
    <cellStyle name="20% - Accent4 2 3 2" xfId="451"/>
    <cellStyle name="20% - Accent4 2 3 2 10" xfId="17623"/>
    <cellStyle name="20% - Accent4 2 3 2 11" xfId="16485"/>
    <cellStyle name="20% - Accent4 2 3 2 12" xfId="26072"/>
    <cellStyle name="20% - Accent4 2 3 2 13" xfId="1814"/>
    <cellStyle name="20% - Accent4 2 3 2 2" xfId="825"/>
    <cellStyle name="20% - Accent4 2 3 2 2 10" xfId="24200"/>
    <cellStyle name="20% - Accent4 2 3 2 2 11" xfId="28352"/>
    <cellStyle name="20% - Accent4 2 3 2 2 12" xfId="2144"/>
    <cellStyle name="20% - Accent4 2 3 2 2 2" xfId="1482"/>
    <cellStyle name="20% - Accent4 2 3 2 2 2 2" xfId="5513"/>
    <cellStyle name="20% - Accent4 2 3 2 2 2 2 2" xfId="10487"/>
    <cellStyle name="20% - Accent4 2 3 2 2 2 2 3" xfId="14764"/>
    <cellStyle name="20% - Accent4 2 3 2 2 2 2 4" xfId="19023"/>
    <cellStyle name="20% - Accent4 2 3 2 2 2 2 5" xfId="23242"/>
    <cellStyle name="20% - Accent4 2 3 2 2 2 2 6" xfId="27437"/>
    <cellStyle name="20% - Accent4 2 3 2 2 2 2 7" xfId="31333"/>
    <cellStyle name="20% - Accent4 2 3 2 2 2 3" xfId="8573"/>
    <cellStyle name="20% - Accent4 2 3 2 2 2 4" xfId="12858"/>
    <cellStyle name="20% - Accent4 2 3 2 2 2 5" xfId="17130"/>
    <cellStyle name="20% - Accent4 2 3 2 2 2 6" xfId="21365"/>
    <cellStyle name="20% - Accent4 2 3 2 2 2 7" xfId="25603"/>
    <cellStyle name="20% - Accent4 2 3 2 2 2 8" xfId="29681"/>
    <cellStyle name="20% - Accent4 2 3 2 2 2 9" xfId="3597"/>
    <cellStyle name="20% - Accent4 2 3 2 2 3" xfId="2743"/>
    <cellStyle name="20% - Accent4 2 3 2 2 3 2" xfId="7720"/>
    <cellStyle name="20% - Accent4 2 3 2 2 3 3" xfId="12009"/>
    <cellStyle name="20% - Accent4 2 3 2 2 3 4" xfId="16285"/>
    <cellStyle name="20% - Accent4 2 3 2 2 3 5" xfId="20527"/>
    <cellStyle name="20% - Accent4 2 3 2 2 3 6" xfId="24774"/>
    <cellStyle name="20% - Accent4 2 3 2 2 3 7" xfId="28874"/>
    <cellStyle name="20% - Accent4 2 3 2 2 4" xfId="4856"/>
    <cellStyle name="20% - Accent4 2 3 2 2 4 2" xfId="9830"/>
    <cellStyle name="20% - Accent4 2 3 2 2 4 3" xfId="14107"/>
    <cellStyle name="20% - Accent4 2 3 2 2 4 4" xfId="18366"/>
    <cellStyle name="20% - Accent4 2 3 2 2 4 5" xfId="22585"/>
    <cellStyle name="20% - Accent4 2 3 2 2 4 6" xfId="26780"/>
    <cellStyle name="20% - Accent4 2 3 2 2 4 7" xfId="30676"/>
    <cellStyle name="20% - Accent4 2 3 2 2 5" xfId="6204"/>
    <cellStyle name="20% - Accent4 2 3 2 2 5 2" xfId="11176"/>
    <cellStyle name="20% - Accent4 2 3 2 2 5 3" xfId="15454"/>
    <cellStyle name="20% - Accent4 2 3 2 2 5 4" xfId="19711"/>
    <cellStyle name="20% - Accent4 2 3 2 2 5 5" xfId="23928"/>
    <cellStyle name="20% - Accent4 2 3 2 2 5 6" xfId="28114"/>
    <cellStyle name="20% - Accent4 2 3 2 2 5 7" xfId="31993"/>
    <cellStyle name="20% - Accent4 2 3 2 2 6" xfId="7122"/>
    <cellStyle name="20% - Accent4 2 3 2 2 7" xfId="11414"/>
    <cellStyle name="20% - Accent4 2 3 2 2 8" xfId="15692"/>
    <cellStyle name="20% - Accent4 2 3 2 2 9" xfId="19949"/>
    <cellStyle name="20% - Accent4 2 3 2 3" xfId="1153"/>
    <cellStyle name="20% - Accent4 2 3 2 3 2" xfId="5184"/>
    <cellStyle name="20% - Accent4 2 3 2 3 2 2" xfId="10158"/>
    <cellStyle name="20% - Accent4 2 3 2 3 2 3" xfId="14435"/>
    <cellStyle name="20% - Accent4 2 3 2 3 2 4" xfId="18694"/>
    <cellStyle name="20% - Accent4 2 3 2 3 2 5" xfId="22913"/>
    <cellStyle name="20% - Accent4 2 3 2 3 2 6" xfId="27108"/>
    <cellStyle name="20% - Accent4 2 3 2 3 2 7" xfId="31004"/>
    <cellStyle name="20% - Accent4 2 3 2 3 3" xfId="8379"/>
    <cellStyle name="20% - Accent4 2 3 2 3 4" xfId="12664"/>
    <cellStyle name="20% - Accent4 2 3 2 3 5" xfId="16936"/>
    <cellStyle name="20% - Accent4 2 3 2 3 6" xfId="21171"/>
    <cellStyle name="20% - Accent4 2 3 2 3 7" xfId="25409"/>
    <cellStyle name="20% - Accent4 2 3 2 3 8" xfId="29487"/>
    <cellStyle name="20% - Accent4 2 3 2 3 9" xfId="3403"/>
    <cellStyle name="20% - Accent4 2 3 2 4" xfId="2542"/>
    <cellStyle name="20% - Accent4 2 3 2 4 2" xfId="7519"/>
    <cellStyle name="20% - Accent4 2 3 2 4 3" xfId="11808"/>
    <cellStyle name="20% - Accent4 2 3 2 4 4" xfId="16086"/>
    <cellStyle name="20% - Accent4 2 3 2 4 5" xfId="20329"/>
    <cellStyle name="20% - Accent4 2 3 2 4 6" xfId="24575"/>
    <cellStyle name="20% - Accent4 2 3 2 4 7" xfId="28680"/>
    <cellStyle name="20% - Accent4 2 3 2 5" xfId="4526"/>
    <cellStyle name="20% - Accent4 2 3 2 5 2" xfId="9500"/>
    <cellStyle name="20% - Accent4 2 3 2 5 3" xfId="13777"/>
    <cellStyle name="20% - Accent4 2 3 2 5 4" xfId="18037"/>
    <cellStyle name="20% - Accent4 2 3 2 5 5" xfId="22255"/>
    <cellStyle name="20% - Accent4 2 3 2 5 6" xfId="26451"/>
    <cellStyle name="20% - Accent4 2 3 2 5 7" xfId="30347"/>
    <cellStyle name="20% - Accent4 2 3 2 6" xfId="5875"/>
    <cellStyle name="20% - Accent4 2 3 2 6 2" xfId="10847"/>
    <cellStyle name="20% - Accent4 2 3 2 6 3" xfId="15125"/>
    <cellStyle name="20% - Accent4 2 3 2 6 4" xfId="19382"/>
    <cellStyle name="20% - Accent4 2 3 2 6 5" xfId="23599"/>
    <cellStyle name="20% - Accent4 2 3 2 6 6" xfId="27785"/>
    <cellStyle name="20% - Accent4 2 3 2 6 7" xfId="31664"/>
    <cellStyle name="20% - Accent4 2 3 2 7" xfId="6749"/>
    <cellStyle name="20% - Accent4 2 3 2 8" xfId="9071"/>
    <cellStyle name="20% - Accent4 2 3 2 9" xfId="13353"/>
    <cellStyle name="20% - Accent4 2 3 3" xfId="658"/>
    <cellStyle name="20% - Accent4 2 3 3 10" xfId="24033"/>
    <cellStyle name="20% - Accent4 2 3 3 11" xfId="26202"/>
    <cellStyle name="20% - Accent4 2 3 3 12" xfId="1977"/>
    <cellStyle name="20% - Accent4 2 3 3 2" xfId="1315"/>
    <cellStyle name="20% - Accent4 2 3 3 2 2" xfId="5346"/>
    <cellStyle name="20% - Accent4 2 3 3 2 2 2" xfId="10320"/>
    <cellStyle name="20% - Accent4 2 3 3 2 2 3" xfId="14597"/>
    <cellStyle name="20% - Accent4 2 3 3 2 2 4" xfId="18856"/>
    <cellStyle name="20% - Accent4 2 3 3 2 2 5" xfId="23075"/>
    <cellStyle name="20% - Accent4 2 3 3 2 2 6" xfId="27270"/>
    <cellStyle name="20% - Accent4 2 3 3 2 2 7" xfId="31166"/>
    <cellStyle name="20% - Accent4 2 3 3 2 3" xfId="8574"/>
    <cellStyle name="20% - Accent4 2 3 3 2 4" xfId="12859"/>
    <cellStyle name="20% - Accent4 2 3 3 2 5" xfId="17131"/>
    <cellStyle name="20% - Accent4 2 3 3 2 6" xfId="21366"/>
    <cellStyle name="20% - Accent4 2 3 3 2 7" xfId="25604"/>
    <cellStyle name="20% - Accent4 2 3 3 2 8" xfId="29682"/>
    <cellStyle name="20% - Accent4 2 3 3 2 9" xfId="3598"/>
    <cellStyle name="20% - Accent4 2 3 3 3" xfId="2744"/>
    <cellStyle name="20% - Accent4 2 3 3 3 2" xfId="7721"/>
    <cellStyle name="20% - Accent4 2 3 3 3 3" xfId="12010"/>
    <cellStyle name="20% - Accent4 2 3 3 3 4" xfId="16286"/>
    <cellStyle name="20% - Accent4 2 3 3 3 5" xfId="20528"/>
    <cellStyle name="20% - Accent4 2 3 3 3 6" xfId="24775"/>
    <cellStyle name="20% - Accent4 2 3 3 3 7" xfId="28875"/>
    <cellStyle name="20% - Accent4 2 3 3 4" xfId="4689"/>
    <cellStyle name="20% - Accent4 2 3 3 4 2" xfId="9663"/>
    <cellStyle name="20% - Accent4 2 3 3 4 3" xfId="13940"/>
    <cellStyle name="20% - Accent4 2 3 3 4 4" xfId="18199"/>
    <cellStyle name="20% - Accent4 2 3 3 4 5" xfId="22418"/>
    <cellStyle name="20% - Accent4 2 3 3 4 6" xfId="26613"/>
    <cellStyle name="20% - Accent4 2 3 3 4 7" xfId="30509"/>
    <cellStyle name="20% - Accent4 2 3 3 5" xfId="6037"/>
    <cellStyle name="20% - Accent4 2 3 3 5 2" xfId="11009"/>
    <cellStyle name="20% - Accent4 2 3 3 5 3" xfId="15287"/>
    <cellStyle name="20% - Accent4 2 3 3 5 4" xfId="19544"/>
    <cellStyle name="20% - Accent4 2 3 3 5 5" xfId="23761"/>
    <cellStyle name="20% - Accent4 2 3 3 5 6" xfId="27947"/>
    <cellStyle name="20% - Accent4 2 3 3 5 7" xfId="31826"/>
    <cellStyle name="20% - Accent4 2 3 3 6" xfId="6955"/>
    <cellStyle name="20% - Accent4 2 3 3 7" xfId="9248"/>
    <cellStyle name="20% - Accent4 2 3 3 8" xfId="13525"/>
    <cellStyle name="20% - Accent4 2 3 3 9" xfId="17785"/>
    <cellStyle name="20% - Accent4 2 3 4" xfId="986"/>
    <cellStyle name="20% - Accent4 2 3 4 2" xfId="5017"/>
    <cellStyle name="20% - Accent4 2 3 4 2 2" xfId="9991"/>
    <cellStyle name="20% - Accent4 2 3 4 2 3" xfId="14268"/>
    <cellStyle name="20% - Accent4 2 3 4 2 4" xfId="18527"/>
    <cellStyle name="20% - Accent4 2 3 4 2 5" xfId="22746"/>
    <cellStyle name="20% - Accent4 2 3 4 2 6" xfId="26941"/>
    <cellStyle name="20% - Accent4 2 3 4 2 7" xfId="30837"/>
    <cellStyle name="20% - Accent4 2 3 4 3" xfId="8224"/>
    <cellStyle name="20% - Accent4 2 3 4 4" xfId="12509"/>
    <cellStyle name="20% - Accent4 2 3 4 5" xfId="16782"/>
    <cellStyle name="20% - Accent4 2 3 4 6" xfId="21019"/>
    <cellStyle name="20% - Accent4 2 3 4 7" xfId="25256"/>
    <cellStyle name="20% - Accent4 2 3 4 8" xfId="29335"/>
    <cellStyle name="20% - Accent4 2 3 4 9" xfId="3248"/>
    <cellStyle name="20% - Accent4 2 3 5" xfId="2362"/>
    <cellStyle name="20% - Accent4 2 3 5 2" xfId="7340"/>
    <cellStyle name="20% - Accent4 2 3 5 3" xfId="11629"/>
    <cellStyle name="20% - Accent4 2 3 5 4" xfId="15908"/>
    <cellStyle name="20% - Accent4 2 3 5 5" xfId="20158"/>
    <cellStyle name="20% - Accent4 2 3 5 6" xfId="24405"/>
    <cellStyle name="20% - Accent4 2 3 5 7" xfId="28527"/>
    <cellStyle name="20% - Accent4 2 3 6" xfId="4358"/>
    <cellStyle name="20% - Accent4 2 3 6 2" xfId="9332"/>
    <cellStyle name="20% - Accent4 2 3 6 3" xfId="13609"/>
    <cellStyle name="20% - Accent4 2 3 6 4" xfId="17869"/>
    <cellStyle name="20% - Accent4 2 3 6 5" xfId="22088"/>
    <cellStyle name="20% - Accent4 2 3 6 6" xfId="26284"/>
    <cellStyle name="20% - Accent4 2 3 6 7" xfId="30180"/>
    <cellStyle name="20% - Accent4 2 3 7" xfId="5708"/>
    <cellStyle name="20% - Accent4 2 3 7 2" xfId="10680"/>
    <cellStyle name="20% - Accent4 2 3 7 3" xfId="14958"/>
    <cellStyle name="20% - Accent4 2 3 7 4" xfId="19215"/>
    <cellStyle name="20% - Accent4 2 3 7 5" xfId="23432"/>
    <cellStyle name="20% - Accent4 2 3 7 6" xfId="27618"/>
    <cellStyle name="20% - Accent4 2 3 7 7" xfId="31497"/>
    <cellStyle name="20% - Accent4 2 3 8" xfId="6537"/>
    <cellStyle name="20% - Accent4 2 3 9" xfId="6876"/>
    <cellStyle name="20% - Accent4 2 4" xfId="385"/>
    <cellStyle name="20% - Accent4 2 4 10" xfId="13499"/>
    <cellStyle name="20% - Accent4 2 4 11" xfId="17760"/>
    <cellStyle name="20% - Accent4 2 4 12" xfId="21863"/>
    <cellStyle name="20% - Accent4 2 4 13" xfId="26180"/>
    <cellStyle name="20% - Accent4 2 4 14" xfId="1748"/>
    <cellStyle name="20% - Accent4 2 4 2" xfId="759"/>
    <cellStyle name="20% - Accent4 2 4 2 10" xfId="24134"/>
    <cellStyle name="20% - Accent4 2 4 2 11" xfId="28286"/>
    <cellStyle name="20% - Accent4 2 4 2 12" xfId="2078"/>
    <cellStyle name="20% - Accent4 2 4 2 2" xfId="1416"/>
    <cellStyle name="20% - Accent4 2 4 2 2 2" xfId="5447"/>
    <cellStyle name="20% - Accent4 2 4 2 2 2 2" xfId="10421"/>
    <cellStyle name="20% - Accent4 2 4 2 2 2 3" xfId="14698"/>
    <cellStyle name="20% - Accent4 2 4 2 2 2 4" xfId="18957"/>
    <cellStyle name="20% - Accent4 2 4 2 2 2 5" xfId="23176"/>
    <cellStyle name="20% - Accent4 2 4 2 2 2 6" xfId="27371"/>
    <cellStyle name="20% - Accent4 2 4 2 2 2 7" xfId="31267"/>
    <cellStyle name="20% - Accent4 2 4 2 2 3" xfId="8575"/>
    <cellStyle name="20% - Accent4 2 4 2 2 4" xfId="12860"/>
    <cellStyle name="20% - Accent4 2 4 2 2 5" xfId="17132"/>
    <cellStyle name="20% - Accent4 2 4 2 2 6" xfId="21367"/>
    <cellStyle name="20% - Accent4 2 4 2 2 7" xfId="25605"/>
    <cellStyle name="20% - Accent4 2 4 2 2 8" xfId="29683"/>
    <cellStyle name="20% - Accent4 2 4 2 2 9" xfId="3599"/>
    <cellStyle name="20% - Accent4 2 4 2 3" xfId="2745"/>
    <cellStyle name="20% - Accent4 2 4 2 3 2" xfId="7722"/>
    <cellStyle name="20% - Accent4 2 4 2 3 3" xfId="12011"/>
    <cellStyle name="20% - Accent4 2 4 2 3 4" xfId="16287"/>
    <cellStyle name="20% - Accent4 2 4 2 3 5" xfId="20529"/>
    <cellStyle name="20% - Accent4 2 4 2 3 6" xfId="24776"/>
    <cellStyle name="20% - Accent4 2 4 2 3 7" xfId="28876"/>
    <cellStyle name="20% - Accent4 2 4 2 4" xfId="4790"/>
    <cellStyle name="20% - Accent4 2 4 2 4 2" xfId="9764"/>
    <cellStyle name="20% - Accent4 2 4 2 4 3" xfId="14041"/>
    <cellStyle name="20% - Accent4 2 4 2 4 4" xfId="18300"/>
    <cellStyle name="20% - Accent4 2 4 2 4 5" xfId="22519"/>
    <cellStyle name="20% - Accent4 2 4 2 4 6" xfId="26714"/>
    <cellStyle name="20% - Accent4 2 4 2 4 7" xfId="30610"/>
    <cellStyle name="20% - Accent4 2 4 2 5" xfId="6138"/>
    <cellStyle name="20% - Accent4 2 4 2 5 2" xfId="11110"/>
    <cellStyle name="20% - Accent4 2 4 2 5 3" xfId="15388"/>
    <cellStyle name="20% - Accent4 2 4 2 5 4" xfId="19645"/>
    <cellStyle name="20% - Accent4 2 4 2 5 5" xfId="23862"/>
    <cellStyle name="20% - Accent4 2 4 2 5 6" xfId="28048"/>
    <cellStyle name="20% - Accent4 2 4 2 5 7" xfId="31927"/>
    <cellStyle name="20% - Accent4 2 4 2 6" xfId="7056"/>
    <cellStyle name="20% - Accent4 2 4 2 7" xfId="11348"/>
    <cellStyle name="20% - Accent4 2 4 2 8" xfId="15626"/>
    <cellStyle name="20% - Accent4 2 4 2 9" xfId="19883"/>
    <cellStyle name="20% - Accent4 2 4 3" xfId="1087"/>
    <cellStyle name="20% - Accent4 2 4 3 2" xfId="5118"/>
    <cellStyle name="20% - Accent4 2 4 3 2 2" xfId="10092"/>
    <cellStyle name="20% - Accent4 2 4 3 2 3" xfId="14369"/>
    <cellStyle name="20% - Accent4 2 4 3 2 4" xfId="18628"/>
    <cellStyle name="20% - Accent4 2 4 3 2 5" xfId="22847"/>
    <cellStyle name="20% - Accent4 2 4 3 2 6" xfId="27042"/>
    <cellStyle name="20% - Accent4 2 4 3 2 7" xfId="30938"/>
    <cellStyle name="20% - Accent4 2 4 3 3" xfId="8313"/>
    <cellStyle name="20% - Accent4 2 4 3 4" xfId="12598"/>
    <cellStyle name="20% - Accent4 2 4 3 5" xfId="16870"/>
    <cellStyle name="20% - Accent4 2 4 3 6" xfId="21105"/>
    <cellStyle name="20% - Accent4 2 4 3 7" xfId="25343"/>
    <cellStyle name="20% - Accent4 2 4 3 8" xfId="29421"/>
    <cellStyle name="20% - Accent4 2 4 3 9" xfId="3337"/>
    <cellStyle name="20% - Accent4 2 4 4" xfId="2476"/>
    <cellStyle name="20% - Accent4 2 4 4 2" xfId="7453"/>
    <cellStyle name="20% - Accent4 2 4 4 3" xfId="11742"/>
    <cellStyle name="20% - Accent4 2 4 4 4" xfId="16020"/>
    <cellStyle name="20% - Accent4 2 4 4 5" xfId="20263"/>
    <cellStyle name="20% - Accent4 2 4 4 6" xfId="24509"/>
    <cellStyle name="20% - Accent4 2 4 4 7" xfId="28614"/>
    <cellStyle name="20% - Accent4 2 4 5" xfId="4130"/>
    <cellStyle name="20% - Accent4 2 4 6" xfId="4460"/>
    <cellStyle name="20% - Accent4 2 4 6 2" xfId="9434"/>
    <cellStyle name="20% - Accent4 2 4 6 3" xfId="13711"/>
    <cellStyle name="20% - Accent4 2 4 6 4" xfId="17971"/>
    <cellStyle name="20% - Accent4 2 4 6 5" xfId="22189"/>
    <cellStyle name="20% - Accent4 2 4 6 6" xfId="26385"/>
    <cellStyle name="20% - Accent4 2 4 6 7" xfId="30281"/>
    <cellStyle name="20% - Accent4 2 4 7" xfId="5809"/>
    <cellStyle name="20% - Accent4 2 4 7 2" xfId="10781"/>
    <cellStyle name="20% - Accent4 2 4 7 3" xfId="15059"/>
    <cellStyle name="20% - Accent4 2 4 7 4" xfId="19316"/>
    <cellStyle name="20% - Accent4 2 4 7 5" xfId="23533"/>
    <cellStyle name="20% - Accent4 2 4 7 6" xfId="27719"/>
    <cellStyle name="20% - Accent4 2 4 7 7" xfId="31598"/>
    <cellStyle name="20% - Accent4 2 4 8" xfId="6683"/>
    <cellStyle name="20% - Accent4 2 4 9" xfId="9221"/>
    <cellStyle name="20% - Accent4 2 5" xfId="500"/>
    <cellStyle name="20% - Accent4 2 5 10" xfId="19130"/>
    <cellStyle name="20% - Accent4 2 5 11" xfId="17673"/>
    <cellStyle name="20% - Accent4 2 5 12" xfId="27541"/>
    <cellStyle name="20% - Accent4 2 5 13" xfId="1863"/>
    <cellStyle name="20% - Accent4 2 5 2" xfId="874"/>
    <cellStyle name="20% - Accent4 2 5 2 10" xfId="24249"/>
    <cellStyle name="20% - Accent4 2 5 2 11" xfId="28401"/>
    <cellStyle name="20% - Accent4 2 5 2 12" xfId="2193"/>
    <cellStyle name="20% - Accent4 2 5 2 2" xfId="1531"/>
    <cellStyle name="20% - Accent4 2 5 2 2 2" xfId="5562"/>
    <cellStyle name="20% - Accent4 2 5 2 2 2 2" xfId="10536"/>
    <cellStyle name="20% - Accent4 2 5 2 2 2 3" xfId="14813"/>
    <cellStyle name="20% - Accent4 2 5 2 2 2 4" xfId="19072"/>
    <cellStyle name="20% - Accent4 2 5 2 2 2 5" xfId="23291"/>
    <cellStyle name="20% - Accent4 2 5 2 2 2 6" xfId="27486"/>
    <cellStyle name="20% - Accent4 2 5 2 2 2 7" xfId="31382"/>
    <cellStyle name="20% - Accent4 2 5 2 2 3" xfId="8576"/>
    <cellStyle name="20% - Accent4 2 5 2 2 4" xfId="12861"/>
    <cellStyle name="20% - Accent4 2 5 2 2 5" xfId="17133"/>
    <cellStyle name="20% - Accent4 2 5 2 2 6" xfId="21368"/>
    <cellStyle name="20% - Accent4 2 5 2 2 7" xfId="25606"/>
    <cellStyle name="20% - Accent4 2 5 2 2 8" xfId="29684"/>
    <cellStyle name="20% - Accent4 2 5 2 2 9" xfId="3600"/>
    <cellStyle name="20% - Accent4 2 5 2 3" xfId="2746"/>
    <cellStyle name="20% - Accent4 2 5 2 3 2" xfId="7723"/>
    <cellStyle name="20% - Accent4 2 5 2 3 3" xfId="12012"/>
    <cellStyle name="20% - Accent4 2 5 2 3 4" xfId="16288"/>
    <cellStyle name="20% - Accent4 2 5 2 3 5" xfId="20530"/>
    <cellStyle name="20% - Accent4 2 5 2 3 6" xfId="24777"/>
    <cellStyle name="20% - Accent4 2 5 2 3 7" xfId="28877"/>
    <cellStyle name="20% - Accent4 2 5 2 4" xfId="4905"/>
    <cellStyle name="20% - Accent4 2 5 2 4 2" xfId="9879"/>
    <cellStyle name="20% - Accent4 2 5 2 4 3" xfId="14156"/>
    <cellStyle name="20% - Accent4 2 5 2 4 4" xfId="18415"/>
    <cellStyle name="20% - Accent4 2 5 2 4 5" xfId="22634"/>
    <cellStyle name="20% - Accent4 2 5 2 4 6" xfId="26829"/>
    <cellStyle name="20% - Accent4 2 5 2 4 7" xfId="30725"/>
    <cellStyle name="20% - Accent4 2 5 2 5" xfId="6253"/>
    <cellStyle name="20% - Accent4 2 5 2 5 2" xfId="11225"/>
    <cellStyle name="20% - Accent4 2 5 2 5 3" xfId="15503"/>
    <cellStyle name="20% - Accent4 2 5 2 5 4" xfId="19760"/>
    <cellStyle name="20% - Accent4 2 5 2 5 5" xfId="23977"/>
    <cellStyle name="20% - Accent4 2 5 2 5 6" xfId="28163"/>
    <cellStyle name="20% - Accent4 2 5 2 5 7" xfId="32042"/>
    <cellStyle name="20% - Accent4 2 5 2 6" xfId="7171"/>
    <cellStyle name="20% - Accent4 2 5 2 7" xfId="11463"/>
    <cellStyle name="20% - Accent4 2 5 2 8" xfId="15741"/>
    <cellStyle name="20% - Accent4 2 5 2 9" xfId="19998"/>
    <cellStyle name="20% - Accent4 2 5 3" xfId="1202"/>
    <cellStyle name="20% - Accent4 2 5 3 2" xfId="5233"/>
    <cellStyle name="20% - Accent4 2 5 3 2 2" xfId="10207"/>
    <cellStyle name="20% - Accent4 2 5 3 2 3" xfId="14484"/>
    <cellStyle name="20% - Accent4 2 5 3 2 4" xfId="18743"/>
    <cellStyle name="20% - Accent4 2 5 3 2 5" xfId="22962"/>
    <cellStyle name="20% - Accent4 2 5 3 2 6" xfId="27157"/>
    <cellStyle name="20% - Accent4 2 5 3 2 7" xfId="31053"/>
    <cellStyle name="20% - Accent4 2 5 3 3" xfId="8443"/>
    <cellStyle name="20% - Accent4 2 5 3 4" xfId="12728"/>
    <cellStyle name="20% - Accent4 2 5 3 5" xfId="17000"/>
    <cellStyle name="20% - Accent4 2 5 3 6" xfId="21235"/>
    <cellStyle name="20% - Accent4 2 5 3 7" xfId="25473"/>
    <cellStyle name="20% - Accent4 2 5 3 8" xfId="29551"/>
    <cellStyle name="20% - Accent4 2 5 3 9" xfId="3467"/>
    <cellStyle name="20% - Accent4 2 5 4" xfId="2609"/>
    <cellStyle name="20% - Accent4 2 5 4 2" xfId="7586"/>
    <cellStyle name="20% - Accent4 2 5 4 3" xfId="11875"/>
    <cellStyle name="20% - Accent4 2 5 4 4" xfId="16151"/>
    <cellStyle name="20% - Accent4 2 5 4 5" xfId="20394"/>
    <cellStyle name="20% - Accent4 2 5 4 6" xfId="24640"/>
    <cellStyle name="20% - Accent4 2 5 4 7" xfId="28744"/>
    <cellStyle name="20% - Accent4 2 5 5" xfId="4575"/>
    <cellStyle name="20% - Accent4 2 5 5 2" xfId="9549"/>
    <cellStyle name="20% - Accent4 2 5 5 3" xfId="13826"/>
    <cellStyle name="20% - Accent4 2 5 5 4" xfId="18086"/>
    <cellStyle name="20% - Accent4 2 5 5 5" xfId="22304"/>
    <cellStyle name="20% - Accent4 2 5 5 6" xfId="26500"/>
    <cellStyle name="20% - Accent4 2 5 5 7" xfId="30396"/>
    <cellStyle name="20% - Accent4 2 5 6" xfId="5924"/>
    <cellStyle name="20% - Accent4 2 5 6 2" xfId="10896"/>
    <cellStyle name="20% - Accent4 2 5 6 3" xfId="15174"/>
    <cellStyle name="20% - Accent4 2 5 6 4" xfId="19431"/>
    <cellStyle name="20% - Accent4 2 5 6 5" xfId="23648"/>
    <cellStyle name="20% - Accent4 2 5 6 6" xfId="27834"/>
    <cellStyle name="20% - Accent4 2 5 6 7" xfId="31713"/>
    <cellStyle name="20% - Accent4 2 5 7" xfId="6798"/>
    <cellStyle name="20% - Accent4 2 5 8" xfId="10594"/>
    <cellStyle name="20% - Accent4 2 5 9" xfId="14872"/>
    <cellStyle name="20% - Accent4 2 6" xfId="601"/>
    <cellStyle name="20% - Accent4 2 6 10" xfId="17613"/>
    <cellStyle name="20% - Accent4 2 6 11" xfId="20121"/>
    <cellStyle name="20% - Accent4 2 6 12" xfId="26064"/>
    <cellStyle name="20% - Accent4 2 6 13" xfId="1920"/>
    <cellStyle name="20% - Accent4 2 6 2" xfId="1258"/>
    <cellStyle name="20% - Accent4 2 6 2 10" xfId="2748"/>
    <cellStyle name="20% - Accent4 2 6 2 2" xfId="3602"/>
    <cellStyle name="20% - Accent4 2 6 2 2 2" xfId="8578"/>
    <cellStyle name="20% - Accent4 2 6 2 2 3" xfId="12863"/>
    <cellStyle name="20% - Accent4 2 6 2 2 4" xfId="17135"/>
    <cellStyle name="20% - Accent4 2 6 2 2 5" xfId="21370"/>
    <cellStyle name="20% - Accent4 2 6 2 2 6" xfId="25608"/>
    <cellStyle name="20% - Accent4 2 6 2 2 7" xfId="29686"/>
    <cellStyle name="20% - Accent4 2 6 2 3" xfId="5289"/>
    <cellStyle name="20% - Accent4 2 6 2 3 2" xfId="10263"/>
    <cellStyle name="20% - Accent4 2 6 2 3 3" xfId="14540"/>
    <cellStyle name="20% - Accent4 2 6 2 3 4" xfId="18799"/>
    <cellStyle name="20% - Accent4 2 6 2 3 5" xfId="23018"/>
    <cellStyle name="20% - Accent4 2 6 2 3 6" xfId="27213"/>
    <cellStyle name="20% - Accent4 2 6 2 3 7" xfId="31109"/>
    <cellStyle name="20% - Accent4 2 6 2 4" xfId="7725"/>
    <cellStyle name="20% - Accent4 2 6 2 5" xfId="12014"/>
    <cellStyle name="20% - Accent4 2 6 2 6" xfId="16290"/>
    <cellStyle name="20% - Accent4 2 6 2 7" xfId="20532"/>
    <cellStyle name="20% - Accent4 2 6 2 8" xfId="24779"/>
    <cellStyle name="20% - Accent4 2 6 2 9" xfId="28879"/>
    <cellStyle name="20% - Accent4 2 6 3" xfId="3601"/>
    <cellStyle name="20% - Accent4 2 6 3 2" xfId="8577"/>
    <cellStyle name="20% - Accent4 2 6 3 3" xfId="12862"/>
    <cellStyle name="20% - Accent4 2 6 3 4" xfId="17134"/>
    <cellStyle name="20% - Accent4 2 6 3 5" xfId="21369"/>
    <cellStyle name="20% - Accent4 2 6 3 6" xfId="25607"/>
    <cellStyle name="20% - Accent4 2 6 3 7" xfId="29685"/>
    <cellStyle name="20% - Accent4 2 6 4" xfId="2747"/>
    <cellStyle name="20% - Accent4 2 6 4 2" xfId="7724"/>
    <cellStyle name="20% - Accent4 2 6 4 3" xfId="12013"/>
    <cellStyle name="20% - Accent4 2 6 4 4" xfId="16289"/>
    <cellStyle name="20% - Accent4 2 6 4 5" xfId="20531"/>
    <cellStyle name="20% - Accent4 2 6 4 6" xfId="24778"/>
    <cellStyle name="20% - Accent4 2 6 4 7" xfId="28878"/>
    <cellStyle name="20% - Accent4 2 6 5" xfId="4632"/>
    <cellStyle name="20% - Accent4 2 6 5 2" xfId="9606"/>
    <cellStyle name="20% - Accent4 2 6 5 3" xfId="13883"/>
    <cellStyle name="20% - Accent4 2 6 5 4" xfId="18142"/>
    <cellStyle name="20% - Accent4 2 6 5 5" xfId="22361"/>
    <cellStyle name="20% - Accent4 2 6 5 6" xfId="26556"/>
    <cellStyle name="20% - Accent4 2 6 5 7" xfId="30452"/>
    <cellStyle name="20% - Accent4 2 6 6" xfId="5980"/>
    <cellStyle name="20% - Accent4 2 6 6 2" xfId="10952"/>
    <cellStyle name="20% - Accent4 2 6 6 3" xfId="15230"/>
    <cellStyle name="20% - Accent4 2 6 6 4" xfId="19487"/>
    <cellStyle name="20% - Accent4 2 6 6 5" xfId="23704"/>
    <cellStyle name="20% - Accent4 2 6 6 6" xfId="27890"/>
    <cellStyle name="20% - Accent4 2 6 6 7" xfId="31769"/>
    <cellStyle name="20% - Accent4 2 6 7" xfId="6898"/>
    <cellStyle name="20% - Accent4 2 6 8" xfId="9059"/>
    <cellStyle name="20% - Accent4 2 6 9" xfId="13341"/>
    <cellStyle name="20% - Accent4 2 7" xfId="929"/>
    <cellStyle name="20% - Accent4 2 7 10" xfId="2749"/>
    <cellStyle name="20% - Accent4 2 7 2" xfId="3603"/>
    <cellStyle name="20% - Accent4 2 7 2 2" xfId="8579"/>
    <cellStyle name="20% - Accent4 2 7 2 3" xfId="12864"/>
    <cellStyle name="20% - Accent4 2 7 2 4" xfId="17136"/>
    <cellStyle name="20% - Accent4 2 7 2 5" xfId="21371"/>
    <cellStyle name="20% - Accent4 2 7 2 6" xfId="25609"/>
    <cellStyle name="20% - Accent4 2 7 2 7" xfId="29687"/>
    <cellStyle name="20% - Accent4 2 7 3" xfId="4960"/>
    <cellStyle name="20% - Accent4 2 7 3 2" xfId="9934"/>
    <cellStyle name="20% - Accent4 2 7 3 3" xfId="14211"/>
    <cellStyle name="20% - Accent4 2 7 3 4" xfId="18470"/>
    <cellStyle name="20% - Accent4 2 7 3 5" xfId="22689"/>
    <cellStyle name="20% - Accent4 2 7 3 6" xfId="26884"/>
    <cellStyle name="20% - Accent4 2 7 3 7" xfId="30780"/>
    <cellStyle name="20% - Accent4 2 7 4" xfId="7726"/>
    <cellStyle name="20% - Accent4 2 7 5" xfId="12015"/>
    <cellStyle name="20% - Accent4 2 7 6" xfId="16291"/>
    <cellStyle name="20% - Accent4 2 7 7" xfId="20533"/>
    <cellStyle name="20% - Accent4 2 7 8" xfId="24780"/>
    <cellStyle name="20% - Accent4 2 7 9" xfId="28880"/>
    <cellStyle name="20% - Accent4 2 8" xfId="3172"/>
    <cellStyle name="20% - Accent4 2 8 2" xfId="8148"/>
    <cellStyle name="20% - Accent4 2 8 3" xfId="12434"/>
    <cellStyle name="20% - Accent4 2 8 4" xfId="16708"/>
    <cellStyle name="20% - Accent4 2 8 5" xfId="20944"/>
    <cellStyle name="20% - Accent4 2 8 6" xfId="25184"/>
    <cellStyle name="20% - Accent4 2 8 7" xfId="29265"/>
    <cellStyle name="20% - Accent4 2 9" xfId="2258"/>
    <cellStyle name="20% - Accent4 2 9 2" xfId="7236"/>
    <cellStyle name="20% - Accent4 2 9 3" xfId="11526"/>
    <cellStyle name="20% - Accent4 2 9 4" xfId="15805"/>
    <cellStyle name="20% - Accent4 2 9 5" xfId="20060"/>
    <cellStyle name="20% - Accent4 2 9 6" xfId="24310"/>
    <cellStyle name="20% - Accent4 2 9 7" xfId="28456"/>
    <cellStyle name="20% - Accent4 3" xfId="123"/>
    <cellStyle name="20% - Accent4 3 2" xfId="4060"/>
    <cellStyle name="20% - Accent4 3 3" xfId="4198"/>
    <cellStyle name="20% - Accent4 4" xfId="112"/>
    <cellStyle name="20% - Accent4 4 10" xfId="5671"/>
    <cellStyle name="20% - Accent4 4 10 2" xfId="10643"/>
    <cellStyle name="20% - Accent4 4 10 3" xfId="14921"/>
    <cellStyle name="20% - Accent4 4 10 4" xfId="19178"/>
    <cellStyle name="20% - Accent4 4 10 5" xfId="23395"/>
    <cellStyle name="20% - Accent4 4 10 6" xfId="27581"/>
    <cellStyle name="20% - Accent4 4 10 7" xfId="31460"/>
    <cellStyle name="20% - Accent4 4 11" xfId="6412"/>
    <cellStyle name="20% - Accent4 4 12" xfId="6488"/>
    <cellStyle name="20% - Accent4 4 13" xfId="6486"/>
    <cellStyle name="20% - Accent4 4 14" xfId="6649"/>
    <cellStyle name="20% - Accent4 4 15" xfId="21830"/>
    <cellStyle name="20% - Accent4 4 16" xfId="23342"/>
    <cellStyle name="20% - Accent4 4 17" xfId="1606"/>
    <cellStyle name="20% - Accent4 4 2" xfId="303"/>
    <cellStyle name="20% - Accent4 4 2 10" xfId="11513"/>
    <cellStyle name="20% - Accent4 4 2 11" xfId="15791"/>
    <cellStyle name="20% - Accent4 4 2 12" xfId="21803"/>
    <cellStyle name="20% - Accent4 4 2 13" xfId="24297"/>
    <cellStyle name="20% - Accent4 4 2 14" xfId="1675"/>
    <cellStyle name="20% - Accent4 4 2 2" xfId="467"/>
    <cellStyle name="20% - Accent4 4 2 2 10" xfId="11616"/>
    <cellStyle name="20% - Accent4 4 2 2 11" xfId="15984"/>
    <cellStyle name="20% - Accent4 4 2 2 12" xfId="20202"/>
    <cellStyle name="20% - Accent4 4 2 2 13" xfId="1830"/>
    <cellStyle name="20% - Accent4 4 2 2 2" xfId="841"/>
    <cellStyle name="20% - Accent4 4 2 2 2 10" xfId="24216"/>
    <cellStyle name="20% - Accent4 4 2 2 2 11" xfId="28368"/>
    <cellStyle name="20% - Accent4 4 2 2 2 12" xfId="2160"/>
    <cellStyle name="20% - Accent4 4 2 2 2 2" xfId="1498"/>
    <cellStyle name="20% - Accent4 4 2 2 2 2 2" xfId="5529"/>
    <cellStyle name="20% - Accent4 4 2 2 2 2 2 2" xfId="10503"/>
    <cellStyle name="20% - Accent4 4 2 2 2 2 2 3" xfId="14780"/>
    <cellStyle name="20% - Accent4 4 2 2 2 2 2 4" xfId="19039"/>
    <cellStyle name="20% - Accent4 4 2 2 2 2 2 5" xfId="23258"/>
    <cellStyle name="20% - Accent4 4 2 2 2 2 2 6" xfId="27453"/>
    <cellStyle name="20% - Accent4 4 2 2 2 2 2 7" xfId="31349"/>
    <cellStyle name="20% - Accent4 4 2 2 2 2 3" xfId="8580"/>
    <cellStyle name="20% - Accent4 4 2 2 2 2 4" xfId="12865"/>
    <cellStyle name="20% - Accent4 4 2 2 2 2 5" xfId="17137"/>
    <cellStyle name="20% - Accent4 4 2 2 2 2 6" xfId="21372"/>
    <cellStyle name="20% - Accent4 4 2 2 2 2 7" xfId="25610"/>
    <cellStyle name="20% - Accent4 4 2 2 2 2 8" xfId="29688"/>
    <cellStyle name="20% - Accent4 4 2 2 2 2 9" xfId="3604"/>
    <cellStyle name="20% - Accent4 4 2 2 2 3" xfId="2750"/>
    <cellStyle name="20% - Accent4 4 2 2 2 3 2" xfId="7727"/>
    <cellStyle name="20% - Accent4 4 2 2 2 3 3" xfId="12016"/>
    <cellStyle name="20% - Accent4 4 2 2 2 3 4" xfId="16292"/>
    <cellStyle name="20% - Accent4 4 2 2 2 3 5" xfId="20534"/>
    <cellStyle name="20% - Accent4 4 2 2 2 3 6" xfId="24781"/>
    <cellStyle name="20% - Accent4 4 2 2 2 3 7" xfId="28881"/>
    <cellStyle name="20% - Accent4 4 2 2 2 4" xfId="4872"/>
    <cellStyle name="20% - Accent4 4 2 2 2 4 2" xfId="9846"/>
    <cellStyle name="20% - Accent4 4 2 2 2 4 3" xfId="14123"/>
    <cellStyle name="20% - Accent4 4 2 2 2 4 4" xfId="18382"/>
    <cellStyle name="20% - Accent4 4 2 2 2 4 5" xfId="22601"/>
    <cellStyle name="20% - Accent4 4 2 2 2 4 6" xfId="26796"/>
    <cellStyle name="20% - Accent4 4 2 2 2 4 7" xfId="30692"/>
    <cellStyle name="20% - Accent4 4 2 2 2 5" xfId="6220"/>
    <cellStyle name="20% - Accent4 4 2 2 2 5 2" xfId="11192"/>
    <cellStyle name="20% - Accent4 4 2 2 2 5 3" xfId="15470"/>
    <cellStyle name="20% - Accent4 4 2 2 2 5 4" xfId="19727"/>
    <cellStyle name="20% - Accent4 4 2 2 2 5 5" xfId="23944"/>
    <cellStyle name="20% - Accent4 4 2 2 2 5 6" xfId="28130"/>
    <cellStyle name="20% - Accent4 4 2 2 2 5 7" xfId="32009"/>
    <cellStyle name="20% - Accent4 4 2 2 2 6" xfId="7138"/>
    <cellStyle name="20% - Accent4 4 2 2 2 7" xfId="11430"/>
    <cellStyle name="20% - Accent4 4 2 2 2 8" xfId="15708"/>
    <cellStyle name="20% - Accent4 4 2 2 2 9" xfId="19965"/>
    <cellStyle name="20% - Accent4 4 2 2 3" xfId="1169"/>
    <cellStyle name="20% - Accent4 4 2 2 3 2" xfId="5200"/>
    <cellStyle name="20% - Accent4 4 2 2 3 2 2" xfId="10174"/>
    <cellStyle name="20% - Accent4 4 2 2 3 2 3" xfId="14451"/>
    <cellStyle name="20% - Accent4 4 2 2 3 2 4" xfId="18710"/>
    <cellStyle name="20% - Accent4 4 2 2 3 2 5" xfId="22929"/>
    <cellStyle name="20% - Accent4 4 2 2 3 2 6" xfId="27124"/>
    <cellStyle name="20% - Accent4 4 2 2 3 2 7" xfId="31020"/>
    <cellStyle name="20% - Accent4 4 2 2 3 3" xfId="8395"/>
    <cellStyle name="20% - Accent4 4 2 2 3 4" xfId="12680"/>
    <cellStyle name="20% - Accent4 4 2 2 3 5" xfId="16952"/>
    <cellStyle name="20% - Accent4 4 2 2 3 6" xfId="21187"/>
    <cellStyle name="20% - Accent4 4 2 2 3 7" xfId="25425"/>
    <cellStyle name="20% - Accent4 4 2 2 3 8" xfId="29503"/>
    <cellStyle name="20% - Accent4 4 2 2 3 9" xfId="3419"/>
    <cellStyle name="20% - Accent4 4 2 2 4" xfId="2558"/>
    <cellStyle name="20% - Accent4 4 2 2 4 2" xfId="7535"/>
    <cellStyle name="20% - Accent4 4 2 2 4 3" xfId="11824"/>
    <cellStyle name="20% - Accent4 4 2 2 4 4" xfId="16102"/>
    <cellStyle name="20% - Accent4 4 2 2 4 5" xfId="20345"/>
    <cellStyle name="20% - Accent4 4 2 2 4 6" xfId="24591"/>
    <cellStyle name="20% - Accent4 4 2 2 4 7" xfId="28696"/>
    <cellStyle name="20% - Accent4 4 2 2 5" xfId="4542"/>
    <cellStyle name="20% - Accent4 4 2 2 5 2" xfId="9516"/>
    <cellStyle name="20% - Accent4 4 2 2 5 3" xfId="13793"/>
    <cellStyle name="20% - Accent4 4 2 2 5 4" xfId="18053"/>
    <cellStyle name="20% - Accent4 4 2 2 5 5" xfId="22271"/>
    <cellStyle name="20% - Accent4 4 2 2 5 6" xfId="26467"/>
    <cellStyle name="20% - Accent4 4 2 2 5 7" xfId="30363"/>
    <cellStyle name="20% - Accent4 4 2 2 6" xfId="5891"/>
    <cellStyle name="20% - Accent4 4 2 2 6 2" xfId="10863"/>
    <cellStyle name="20% - Accent4 4 2 2 6 3" xfId="15141"/>
    <cellStyle name="20% - Accent4 4 2 2 6 4" xfId="19398"/>
    <cellStyle name="20% - Accent4 4 2 2 6 5" xfId="23615"/>
    <cellStyle name="20% - Accent4 4 2 2 6 6" xfId="27801"/>
    <cellStyle name="20% - Accent4 4 2 2 6 7" xfId="31680"/>
    <cellStyle name="20% - Accent4 4 2 2 7" xfId="6765"/>
    <cellStyle name="20% - Accent4 4 2 2 8" xfId="6873"/>
    <cellStyle name="20% - Accent4 4 2 2 9" xfId="7327"/>
    <cellStyle name="20% - Accent4 4 2 3" xfId="686"/>
    <cellStyle name="20% - Accent4 4 2 3 10" xfId="24061"/>
    <cellStyle name="20% - Accent4 4 2 3 11" xfId="28213"/>
    <cellStyle name="20% - Accent4 4 2 3 12" xfId="2005"/>
    <cellStyle name="20% - Accent4 4 2 3 2" xfId="1343"/>
    <cellStyle name="20% - Accent4 4 2 3 2 2" xfId="5374"/>
    <cellStyle name="20% - Accent4 4 2 3 2 2 2" xfId="10348"/>
    <cellStyle name="20% - Accent4 4 2 3 2 2 3" xfId="14625"/>
    <cellStyle name="20% - Accent4 4 2 3 2 2 4" xfId="18884"/>
    <cellStyle name="20% - Accent4 4 2 3 2 2 5" xfId="23103"/>
    <cellStyle name="20% - Accent4 4 2 3 2 2 6" xfId="27298"/>
    <cellStyle name="20% - Accent4 4 2 3 2 2 7" xfId="31194"/>
    <cellStyle name="20% - Accent4 4 2 3 2 3" xfId="8581"/>
    <cellStyle name="20% - Accent4 4 2 3 2 4" xfId="12866"/>
    <cellStyle name="20% - Accent4 4 2 3 2 5" xfId="17138"/>
    <cellStyle name="20% - Accent4 4 2 3 2 6" xfId="21373"/>
    <cellStyle name="20% - Accent4 4 2 3 2 7" xfId="25611"/>
    <cellStyle name="20% - Accent4 4 2 3 2 8" xfId="29689"/>
    <cellStyle name="20% - Accent4 4 2 3 2 9" xfId="3605"/>
    <cellStyle name="20% - Accent4 4 2 3 3" xfId="2751"/>
    <cellStyle name="20% - Accent4 4 2 3 3 2" xfId="7728"/>
    <cellStyle name="20% - Accent4 4 2 3 3 3" xfId="12017"/>
    <cellStyle name="20% - Accent4 4 2 3 3 4" xfId="16293"/>
    <cellStyle name="20% - Accent4 4 2 3 3 5" xfId="20535"/>
    <cellStyle name="20% - Accent4 4 2 3 3 6" xfId="24782"/>
    <cellStyle name="20% - Accent4 4 2 3 3 7" xfId="28882"/>
    <cellStyle name="20% - Accent4 4 2 3 4" xfId="4717"/>
    <cellStyle name="20% - Accent4 4 2 3 4 2" xfId="9691"/>
    <cellStyle name="20% - Accent4 4 2 3 4 3" xfId="13968"/>
    <cellStyle name="20% - Accent4 4 2 3 4 4" xfId="18227"/>
    <cellStyle name="20% - Accent4 4 2 3 4 5" xfId="22446"/>
    <cellStyle name="20% - Accent4 4 2 3 4 6" xfId="26641"/>
    <cellStyle name="20% - Accent4 4 2 3 4 7" xfId="30537"/>
    <cellStyle name="20% - Accent4 4 2 3 5" xfId="6065"/>
    <cellStyle name="20% - Accent4 4 2 3 5 2" xfId="11037"/>
    <cellStyle name="20% - Accent4 4 2 3 5 3" xfId="15315"/>
    <cellStyle name="20% - Accent4 4 2 3 5 4" xfId="19572"/>
    <cellStyle name="20% - Accent4 4 2 3 5 5" xfId="23789"/>
    <cellStyle name="20% - Accent4 4 2 3 5 6" xfId="27975"/>
    <cellStyle name="20% - Accent4 4 2 3 5 7" xfId="31854"/>
    <cellStyle name="20% - Accent4 4 2 3 6" xfId="6983"/>
    <cellStyle name="20% - Accent4 4 2 3 7" xfId="11275"/>
    <cellStyle name="20% - Accent4 4 2 3 8" xfId="15553"/>
    <cellStyle name="20% - Accent4 4 2 3 9" xfId="19810"/>
    <cellStyle name="20% - Accent4 4 2 4" xfId="1014"/>
    <cellStyle name="20% - Accent4 4 2 4 2" xfId="5045"/>
    <cellStyle name="20% - Accent4 4 2 4 2 2" xfId="10019"/>
    <cellStyle name="20% - Accent4 4 2 4 2 3" xfId="14296"/>
    <cellStyle name="20% - Accent4 4 2 4 2 4" xfId="18555"/>
    <cellStyle name="20% - Accent4 4 2 4 2 5" xfId="22774"/>
    <cellStyle name="20% - Accent4 4 2 4 2 6" xfId="26969"/>
    <cellStyle name="20% - Accent4 4 2 4 2 7" xfId="30865"/>
    <cellStyle name="20% - Accent4 4 2 4 3" xfId="8242"/>
    <cellStyle name="20% - Accent4 4 2 4 4" xfId="12527"/>
    <cellStyle name="20% - Accent4 4 2 4 5" xfId="16800"/>
    <cellStyle name="20% - Accent4 4 2 4 6" xfId="21036"/>
    <cellStyle name="20% - Accent4 4 2 4 7" xfId="25274"/>
    <cellStyle name="20% - Accent4 4 2 4 8" xfId="29352"/>
    <cellStyle name="20% - Accent4 4 2 4 9" xfId="3266"/>
    <cellStyle name="20% - Accent4 4 2 5" xfId="2382"/>
    <cellStyle name="20% - Accent4 4 2 5 2" xfId="7360"/>
    <cellStyle name="20% - Accent4 4 2 5 3" xfId="11649"/>
    <cellStyle name="20% - Accent4 4 2 5 4" xfId="15927"/>
    <cellStyle name="20% - Accent4 4 2 5 5" xfId="20176"/>
    <cellStyle name="20% - Accent4 4 2 5 6" xfId="24424"/>
    <cellStyle name="20% - Accent4 4 2 5 7" xfId="28544"/>
    <cellStyle name="20% - Accent4 4 2 6" xfId="4387"/>
    <cellStyle name="20% - Accent4 4 2 6 2" xfId="9361"/>
    <cellStyle name="20% - Accent4 4 2 6 3" xfId="13638"/>
    <cellStyle name="20% - Accent4 4 2 6 4" xfId="17898"/>
    <cellStyle name="20% - Accent4 4 2 6 5" xfId="22116"/>
    <cellStyle name="20% - Accent4 4 2 6 6" xfId="26312"/>
    <cellStyle name="20% - Accent4 4 2 6 7" xfId="30208"/>
    <cellStyle name="20% - Accent4 4 2 7" xfId="5736"/>
    <cellStyle name="20% - Accent4 4 2 7 2" xfId="10708"/>
    <cellStyle name="20% - Accent4 4 2 7 3" xfId="14986"/>
    <cellStyle name="20% - Accent4 4 2 7 4" xfId="19243"/>
    <cellStyle name="20% - Accent4 4 2 7 5" xfId="23460"/>
    <cellStyle name="20% - Accent4 4 2 7 6" xfId="27646"/>
    <cellStyle name="20% - Accent4 4 2 7 7" xfId="31525"/>
    <cellStyle name="20% - Accent4 4 2 8" xfId="6601"/>
    <cellStyle name="20% - Accent4 4 2 9" xfId="7221"/>
    <cellStyle name="20% - Accent4 4 3" xfId="405"/>
    <cellStyle name="20% - Accent4 4 3 10" xfId="17526"/>
    <cellStyle name="20% - Accent4 4 3 11" xfId="22010"/>
    <cellStyle name="20% - Accent4 4 3 12" xfId="25993"/>
    <cellStyle name="20% - Accent4 4 3 13" xfId="1768"/>
    <cellStyle name="20% - Accent4 4 3 2" xfId="779"/>
    <cellStyle name="20% - Accent4 4 3 2 10" xfId="24154"/>
    <cellStyle name="20% - Accent4 4 3 2 11" xfId="28306"/>
    <cellStyle name="20% - Accent4 4 3 2 12" xfId="2098"/>
    <cellStyle name="20% - Accent4 4 3 2 2" xfId="1436"/>
    <cellStyle name="20% - Accent4 4 3 2 2 2" xfId="5467"/>
    <cellStyle name="20% - Accent4 4 3 2 2 2 2" xfId="10441"/>
    <cellStyle name="20% - Accent4 4 3 2 2 2 3" xfId="14718"/>
    <cellStyle name="20% - Accent4 4 3 2 2 2 4" xfId="18977"/>
    <cellStyle name="20% - Accent4 4 3 2 2 2 5" xfId="23196"/>
    <cellStyle name="20% - Accent4 4 3 2 2 2 6" xfId="27391"/>
    <cellStyle name="20% - Accent4 4 3 2 2 2 7" xfId="31287"/>
    <cellStyle name="20% - Accent4 4 3 2 2 3" xfId="8582"/>
    <cellStyle name="20% - Accent4 4 3 2 2 4" xfId="12867"/>
    <cellStyle name="20% - Accent4 4 3 2 2 5" xfId="17139"/>
    <cellStyle name="20% - Accent4 4 3 2 2 6" xfId="21374"/>
    <cellStyle name="20% - Accent4 4 3 2 2 7" xfId="25612"/>
    <cellStyle name="20% - Accent4 4 3 2 2 8" xfId="29690"/>
    <cellStyle name="20% - Accent4 4 3 2 2 9" xfId="3606"/>
    <cellStyle name="20% - Accent4 4 3 2 3" xfId="2752"/>
    <cellStyle name="20% - Accent4 4 3 2 3 2" xfId="7729"/>
    <cellStyle name="20% - Accent4 4 3 2 3 3" xfId="12018"/>
    <cellStyle name="20% - Accent4 4 3 2 3 4" xfId="16294"/>
    <cellStyle name="20% - Accent4 4 3 2 3 5" xfId="20536"/>
    <cellStyle name="20% - Accent4 4 3 2 3 6" xfId="24783"/>
    <cellStyle name="20% - Accent4 4 3 2 3 7" xfId="28883"/>
    <cellStyle name="20% - Accent4 4 3 2 4" xfId="4810"/>
    <cellStyle name="20% - Accent4 4 3 2 4 2" xfId="9784"/>
    <cellStyle name="20% - Accent4 4 3 2 4 3" xfId="14061"/>
    <cellStyle name="20% - Accent4 4 3 2 4 4" xfId="18320"/>
    <cellStyle name="20% - Accent4 4 3 2 4 5" xfId="22539"/>
    <cellStyle name="20% - Accent4 4 3 2 4 6" xfId="26734"/>
    <cellStyle name="20% - Accent4 4 3 2 4 7" xfId="30630"/>
    <cellStyle name="20% - Accent4 4 3 2 5" xfId="6158"/>
    <cellStyle name="20% - Accent4 4 3 2 5 2" xfId="11130"/>
    <cellStyle name="20% - Accent4 4 3 2 5 3" xfId="15408"/>
    <cellStyle name="20% - Accent4 4 3 2 5 4" xfId="19665"/>
    <cellStyle name="20% - Accent4 4 3 2 5 5" xfId="23882"/>
    <cellStyle name="20% - Accent4 4 3 2 5 6" xfId="28068"/>
    <cellStyle name="20% - Accent4 4 3 2 5 7" xfId="31947"/>
    <cellStyle name="20% - Accent4 4 3 2 6" xfId="7076"/>
    <cellStyle name="20% - Accent4 4 3 2 7" xfId="11368"/>
    <cellStyle name="20% - Accent4 4 3 2 8" xfId="15646"/>
    <cellStyle name="20% - Accent4 4 3 2 9" xfId="19903"/>
    <cellStyle name="20% - Accent4 4 3 3" xfId="1107"/>
    <cellStyle name="20% - Accent4 4 3 3 2" xfId="5138"/>
    <cellStyle name="20% - Accent4 4 3 3 2 2" xfId="10112"/>
    <cellStyle name="20% - Accent4 4 3 3 2 3" xfId="14389"/>
    <cellStyle name="20% - Accent4 4 3 3 2 4" xfId="18648"/>
    <cellStyle name="20% - Accent4 4 3 3 2 5" xfId="22867"/>
    <cellStyle name="20% - Accent4 4 3 3 2 6" xfId="27062"/>
    <cellStyle name="20% - Accent4 4 3 3 2 7" xfId="30958"/>
    <cellStyle name="20% - Accent4 4 3 3 3" xfId="8333"/>
    <cellStyle name="20% - Accent4 4 3 3 4" xfId="12618"/>
    <cellStyle name="20% - Accent4 4 3 3 5" xfId="16890"/>
    <cellStyle name="20% - Accent4 4 3 3 6" xfId="21125"/>
    <cellStyle name="20% - Accent4 4 3 3 7" xfId="25363"/>
    <cellStyle name="20% - Accent4 4 3 3 8" xfId="29441"/>
    <cellStyle name="20% - Accent4 4 3 3 9" xfId="3357"/>
    <cellStyle name="20% - Accent4 4 3 4" xfId="2496"/>
    <cellStyle name="20% - Accent4 4 3 4 2" xfId="7473"/>
    <cellStyle name="20% - Accent4 4 3 4 3" xfId="11762"/>
    <cellStyle name="20% - Accent4 4 3 4 4" xfId="16040"/>
    <cellStyle name="20% - Accent4 4 3 4 5" xfId="20283"/>
    <cellStyle name="20% - Accent4 4 3 4 6" xfId="24529"/>
    <cellStyle name="20% - Accent4 4 3 4 7" xfId="28634"/>
    <cellStyle name="20% - Accent4 4 3 5" xfId="4480"/>
    <cellStyle name="20% - Accent4 4 3 5 2" xfId="9454"/>
    <cellStyle name="20% - Accent4 4 3 5 3" xfId="13731"/>
    <cellStyle name="20% - Accent4 4 3 5 4" xfId="17991"/>
    <cellStyle name="20% - Accent4 4 3 5 5" xfId="22209"/>
    <cellStyle name="20% - Accent4 4 3 5 6" xfId="26405"/>
    <cellStyle name="20% - Accent4 4 3 5 7" xfId="30301"/>
    <cellStyle name="20% - Accent4 4 3 6" xfId="5829"/>
    <cellStyle name="20% - Accent4 4 3 6 2" xfId="10801"/>
    <cellStyle name="20% - Accent4 4 3 6 3" xfId="15079"/>
    <cellStyle name="20% - Accent4 4 3 6 4" xfId="19336"/>
    <cellStyle name="20% - Accent4 4 3 6 5" xfId="23553"/>
    <cellStyle name="20% - Accent4 4 3 6 6" xfId="27739"/>
    <cellStyle name="20% - Accent4 4 3 6 7" xfId="31618"/>
    <cellStyle name="20% - Accent4 4 3 7" xfId="6703"/>
    <cellStyle name="20% - Accent4 4 3 8" xfId="8970"/>
    <cellStyle name="20% - Accent4 4 3 9" xfId="13252"/>
    <cellStyle name="20% - Accent4 4 4" xfId="519"/>
    <cellStyle name="20% - Accent4 4 4 10" xfId="13309"/>
    <cellStyle name="20% - Accent4 4 4 11" xfId="13426"/>
    <cellStyle name="20% - Accent4 4 4 12" xfId="17681"/>
    <cellStyle name="20% - Accent4 4 4 13" xfId="1882"/>
    <cellStyle name="20% - Accent4 4 4 2" xfId="893"/>
    <cellStyle name="20% - Accent4 4 4 2 10" xfId="24268"/>
    <cellStyle name="20% - Accent4 4 4 2 11" xfId="28420"/>
    <cellStyle name="20% - Accent4 4 4 2 12" xfId="2212"/>
    <cellStyle name="20% - Accent4 4 4 2 2" xfId="1550"/>
    <cellStyle name="20% - Accent4 4 4 2 2 2" xfId="5581"/>
    <cellStyle name="20% - Accent4 4 4 2 2 2 2" xfId="10555"/>
    <cellStyle name="20% - Accent4 4 4 2 2 2 3" xfId="14832"/>
    <cellStyle name="20% - Accent4 4 4 2 2 2 4" xfId="19091"/>
    <cellStyle name="20% - Accent4 4 4 2 2 2 5" xfId="23310"/>
    <cellStyle name="20% - Accent4 4 4 2 2 2 6" xfId="27505"/>
    <cellStyle name="20% - Accent4 4 4 2 2 2 7" xfId="31401"/>
    <cellStyle name="20% - Accent4 4 4 2 2 3" xfId="8583"/>
    <cellStyle name="20% - Accent4 4 4 2 2 4" xfId="12868"/>
    <cellStyle name="20% - Accent4 4 4 2 2 5" xfId="17140"/>
    <cellStyle name="20% - Accent4 4 4 2 2 6" xfId="21375"/>
    <cellStyle name="20% - Accent4 4 4 2 2 7" xfId="25613"/>
    <cellStyle name="20% - Accent4 4 4 2 2 8" xfId="29691"/>
    <cellStyle name="20% - Accent4 4 4 2 2 9" xfId="3607"/>
    <cellStyle name="20% - Accent4 4 4 2 3" xfId="2753"/>
    <cellStyle name="20% - Accent4 4 4 2 3 2" xfId="7730"/>
    <cellStyle name="20% - Accent4 4 4 2 3 3" xfId="12019"/>
    <cellStyle name="20% - Accent4 4 4 2 3 4" xfId="16295"/>
    <cellStyle name="20% - Accent4 4 4 2 3 5" xfId="20537"/>
    <cellStyle name="20% - Accent4 4 4 2 3 6" xfId="24784"/>
    <cellStyle name="20% - Accent4 4 4 2 3 7" xfId="28884"/>
    <cellStyle name="20% - Accent4 4 4 2 4" xfId="4924"/>
    <cellStyle name="20% - Accent4 4 4 2 4 2" xfId="9898"/>
    <cellStyle name="20% - Accent4 4 4 2 4 3" xfId="14175"/>
    <cellStyle name="20% - Accent4 4 4 2 4 4" xfId="18434"/>
    <cellStyle name="20% - Accent4 4 4 2 4 5" xfId="22653"/>
    <cellStyle name="20% - Accent4 4 4 2 4 6" xfId="26848"/>
    <cellStyle name="20% - Accent4 4 4 2 4 7" xfId="30744"/>
    <cellStyle name="20% - Accent4 4 4 2 5" xfId="6272"/>
    <cellStyle name="20% - Accent4 4 4 2 5 2" xfId="11244"/>
    <cellStyle name="20% - Accent4 4 4 2 5 3" xfId="15522"/>
    <cellStyle name="20% - Accent4 4 4 2 5 4" xfId="19779"/>
    <cellStyle name="20% - Accent4 4 4 2 5 5" xfId="23996"/>
    <cellStyle name="20% - Accent4 4 4 2 5 6" xfId="28182"/>
    <cellStyle name="20% - Accent4 4 4 2 5 7" xfId="32061"/>
    <cellStyle name="20% - Accent4 4 4 2 6" xfId="7190"/>
    <cellStyle name="20% - Accent4 4 4 2 7" xfId="11482"/>
    <cellStyle name="20% - Accent4 4 4 2 8" xfId="15760"/>
    <cellStyle name="20% - Accent4 4 4 2 9" xfId="20017"/>
    <cellStyle name="20% - Accent4 4 4 3" xfId="1221"/>
    <cellStyle name="20% - Accent4 4 4 3 2" xfId="5252"/>
    <cellStyle name="20% - Accent4 4 4 3 2 2" xfId="10226"/>
    <cellStyle name="20% - Accent4 4 4 3 2 3" xfId="14503"/>
    <cellStyle name="20% - Accent4 4 4 3 2 4" xfId="18762"/>
    <cellStyle name="20% - Accent4 4 4 3 2 5" xfId="22981"/>
    <cellStyle name="20% - Accent4 4 4 3 2 6" xfId="27176"/>
    <cellStyle name="20% - Accent4 4 4 3 2 7" xfId="31072"/>
    <cellStyle name="20% - Accent4 4 4 3 3" xfId="8462"/>
    <cellStyle name="20% - Accent4 4 4 3 4" xfId="12747"/>
    <cellStyle name="20% - Accent4 4 4 3 5" xfId="17019"/>
    <cellStyle name="20% - Accent4 4 4 3 6" xfId="21254"/>
    <cellStyle name="20% - Accent4 4 4 3 7" xfId="25492"/>
    <cellStyle name="20% - Accent4 4 4 3 8" xfId="29570"/>
    <cellStyle name="20% - Accent4 4 4 3 9" xfId="3486"/>
    <cellStyle name="20% - Accent4 4 4 4" xfId="2629"/>
    <cellStyle name="20% - Accent4 4 4 4 2" xfId="7606"/>
    <cellStyle name="20% - Accent4 4 4 4 3" xfId="11895"/>
    <cellStyle name="20% - Accent4 4 4 4 4" xfId="16171"/>
    <cellStyle name="20% - Accent4 4 4 4 5" xfId="20413"/>
    <cellStyle name="20% - Accent4 4 4 4 6" xfId="24660"/>
    <cellStyle name="20% - Accent4 4 4 4 7" xfId="28763"/>
    <cellStyle name="20% - Accent4 4 4 5" xfId="4594"/>
    <cellStyle name="20% - Accent4 4 4 5 2" xfId="9568"/>
    <cellStyle name="20% - Accent4 4 4 5 3" xfId="13845"/>
    <cellStyle name="20% - Accent4 4 4 5 4" xfId="18105"/>
    <cellStyle name="20% - Accent4 4 4 5 5" xfId="22323"/>
    <cellStyle name="20% - Accent4 4 4 5 6" xfId="26519"/>
    <cellStyle name="20% - Accent4 4 4 5 7" xfId="30415"/>
    <cellStyle name="20% - Accent4 4 4 6" xfId="5943"/>
    <cellStyle name="20% - Accent4 4 4 6 2" xfId="10915"/>
    <cellStyle name="20% - Accent4 4 4 6 3" xfId="15193"/>
    <cellStyle name="20% - Accent4 4 4 6 4" xfId="19450"/>
    <cellStyle name="20% - Accent4 4 4 6 5" xfId="23667"/>
    <cellStyle name="20% - Accent4 4 4 6 6" xfId="27853"/>
    <cellStyle name="20% - Accent4 4 4 6 7" xfId="31732"/>
    <cellStyle name="20% - Accent4 4 4 7" xfId="6817"/>
    <cellStyle name="20% - Accent4 4 4 8" xfId="6377"/>
    <cellStyle name="20% - Accent4 4 4 9" xfId="9026"/>
    <cellStyle name="20% - Accent4 4 5" xfId="620"/>
    <cellStyle name="20% - Accent4 4 5 10" xfId="13406"/>
    <cellStyle name="20% - Accent4 4 5 11" xfId="6462"/>
    <cellStyle name="20% - Accent4 4 5 12" xfId="15889"/>
    <cellStyle name="20% - Accent4 4 5 13" xfId="1939"/>
    <cellStyle name="20% - Accent4 4 5 2" xfId="1277"/>
    <cellStyle name="20% - Accent4 4 5 2 10" xfId="2755"/>
    <cellStyle name="20% - Accent4 4 5 2 2" xfId="3609"/>
    <cellStyle name="20% - Accent4 4 5 2 2 2" xfId="8585"/>
    <cellStyle name="20% - Accent4 4 5 2 2 3" xfId="12870"/>
    <cellStyle name="20% - Accent4 4 5 2 2 4" xfId="17142"/>
    <cellStyle name="20% - Accent4 4 5 2 2 5" xfId="21377"/>
    <cellStyle name="20% - Accent4 4 5 2 2 6" xfId="25615"/>
    <cellStyle name="20% - Accent4 4 5 2 2 7" xfId="29693"/>
    <cellStyle name="20% - Accent4 4 5 2 3" xfId="5308"/>
    <cellStyle name="20% - Accent4 4 5 2 3 2" xfId="10282"/>
    <cellStyle name="20% - Accent4 4 5 2 3 3" xfId="14559"/>
    <cellStyle name="20% - Accent4 4 5 2 3 4" xfId="18818"/>
    <cellStyle name="20% - Accent4 4 5 2 3 5" xfId="23037"/>
    <cellStyle name="20% - Accent4 4 5 2 3 6" xfId="27232"/>
    <cellStyle name="20% - Accent4 4 5 2 3 7" xfId="31128"/>
    <cellStyle name="20% - Accent4 4 5 2 4" xfId="7732"/>
    <cellStyle name="20% - Accent4 4 5 2 5" xfId="12021"/>
    <cellStyle name="20% - Accent4 4 5 2 6" xfId="16297"/>
    <cellStyle name="20% - Accent4 4 5 2 7" xfId="20539"/>
    <cellStyle name="20% - Accent4 4 5 2 8" xfId="24786"/>
    <cellStyle name="20% - Accent4 4 5 2 9" xfId="28886"/>
    <cellStyle name="20% - Accent4 4 5 3" xfId="3608"/>
    <cellStyle name="20% - Accent4 4 5 3 2" xfId="8584"/>
    <cellStyle name="20% - Accent4 4 5 3 3" xfId="12869"/>
    <cellStyle name="20% - Accent4 4 5 3 4" xfId="17141"/>
    <cellStyle name="20% - Accent4 4 5 3 5" xfId="21376"/>
    <cellStyle name="20% - Accent4 4 5 3 6" xfId="25614"/>
    <cellStyle name="20% - Accent4 4 5 3 7" xfId="29692"/>
    <cellStyle name="20% - Accent4 4 5 4" xfId="2754"/>
    <cellStyle name="20% - Accent4 4 5 4 2" xfId="7731"/>
    <cellStyle name="20% - Accent4 4 5 4 3" xfId="12020"/>
    <cellStyle name="20% - Accent4 4 5 4 4" xfId="16296"/>
    <cellStyle name="20% - Accent4 4 5 4 5" xfId="20538"/>
    <cellStyle name="20% - Accent4 4 5 4 6" xfId="24785"/>
    <cellStyle name="20% - Accent4 4 5 4 7" xfId="28885"/>
    <cellStyle name="20% - Accent4 4 5 5" xfId="4651"/>
    <cellStyle name="20% - Accent4 4 5 5 2" xfId="9625"/>
    <cellStyle name="20% - Accent4 4 5 5 3" xfId="13902"/>
    <cellStyle name="20% - Accent4 4 5 5 4" xfId="18161"/>
    <cellStyle name="20% - Accent4 4 5 5 5" xfId="22380"/>
    <cellStyle name="20% - Accent4 4 5 5 6" xfId="26575"/>
    <cellStyle name="20% - Accent4 4 5 5 7" xfId="30471"/>
    <cellStyle name="20% - Accent4 4 5 6" xfId="5999"/>
    <cellStyle name="20% - Accent4 4 5 6 2" xfId="10971"/>
    <cellStyle name="20% - Accent4 4 5 6 3" xfId="15249"/>
    <cellStyle name="20% - Accent4 4 5 6 4" xfId="19506"/>
    <cellStyle name="20% - Accent4 4 5 6 5" xfId="23723"/>
    <cellStyle name="20% - Accent4 4 5 6 6" xfId="27909"/>
    <cellStyle name="20% - Accent4 4 5 6 7" xfId="31788"/>
    <cellStyle name="20% - Accent4 4 5 7" xfId="6917"/>
    <cellStyle name="20% - Accent4 4 5 8" xfId="6426"/>
    <cellStyle name="20% - Accent4 4 5 9" xfId="9126"/>
    <cellStyle name="20% - Accent4 4 6" xfId="948"/>
    <cellStyle name="20% - Accent4 4 6 10" xfId="2756"/>
    <cellStyle name="20% - Accent4 4 6 2" xfId="3610"/>
    <cellStyle name="20% - Accent4 4 6 2 2" xfId="8586"/>
    <cellStyle name="20% - Accent4 4 6 2 3" xfId="12871"/>
    <cellStyle name="20% - Accent4 4 6 2 4" xfId="17143"/>
    <cellStyle name="20% - Accent4 4 6 2 5" xfId="21378"/>
    <cellStyle name="20% - Accent4 4 6 2 6" xfId="25616"/>
    <cellStyle name="20% - Accent4 4 6 2 7" xfId="29694"/>
    <cellStyle name="20% - Accent4 4 6 3" xfId="4979"/>
    <cellStyle name="20% - Accent4 4 6 3 2" xfId="9953"/>
    <cellStyle name="20% - Accent4 4 6 3 3" xfId="14230"/>
    <cellStyle name="20% - Accent4 4 6 3 4" xfId="18489"/>
    <cellStyle name="20% - Accent4 4 6 3 5" xfId="22708"/>
    <cellStyle name="20% - Accent4 4 6 3 6" xfId="26903"/>
    <cellStyle name="20% - Accent4 4 6 3 7" xfId="30799"/>
    <cellStyle name="20% - Accent4 4 6 4" xfId="7733"/>
    <cellStyle name="20% - Accent4 4 6 5" xfId="12022"/>
    <cellStyle name="20% - Accent4 4 6 6" xfId="16298"/>
    <cellStyle name="20% - Accent4 4 6 7" xfId="20540"/>
    <cellStyle name="20% - Accent4 4 6 8" xfId="24787"/>
    <cellStyle name="20% - Accent4 4 6 9" xfId="28887"/>
    <cellStyle name="20% - Accent4 4 7" xfId="3191"/>
    <cellStyle name="20% - Accent4 4 7 2" xfId="8167"/>
    <cellStyle name="20% - Accent4 4 7 3" xfId="12453"/>
    <cellStyle name="20% - Accent4 4 7 4" xfId="16727"/>
    <cellStyle name="20% - Accent4 4 7 5" xfId="20963"/>
    <cellStyle name="20% - Accent4 4 7 6" xfId="25203"/>
    <cellStyle name="20% - Accent4 4 7 7" xfId="29284"/>
    <cellStyle name="20% - Accent4 4 8" xfId="2278"/>
    <cellStyle name="20% - Accent4 4 8 2" xfId="7256"/>
    <cellStyle name="20% - Accent4 4 8 3" xfId="11546"/>
    <cellStyle name="20% - Accent4 4 8 4" xfId="15825"/>
    <cellStyle name="20% - Accent4 4 8 5" xfId="20080"/>
    <cellStyle name="20% - Accent4 4 8 6" xfId="24330"/>
    <cellStyle name="20% - Accent4 4 8 7" xfId="28475"/>
    <cellStyle name="20% - Accent4 4 9" xfId="4316"/>
    <cellStyle name="20% - Accent4 4 9 2" xfId="9290"/>
    <cellStyle name="20% - Accent4 4 9 3" xfId="13567"/>
    <cellStyle name="20% - Accent4 4 9 4" xfId="17827"/>
    <cellStyle name="20% - Accent4 4 9 5" xfId="22046"/>
    <cellStyle name="20% - Accent4 4 9 6" xfId="26244"/>
    <cellStyle name="20% - Accent4 4 9 7" xfId="30141"/>
    <cellStyle name="20% - Accent4 5" xfId="292"/>
    <cellStyle name="20% - Accent4 5 2" xfId="436"/>
    <cellStyle name="20% - Accent4 5 2 10" xfId="23345"/>
    <cellStyle name="20% - Accent4 5 2 11" xfId="26018"/>
    <cellStyle name="20% - Accent4 5 2 12" xfId="1799"/>
    <cellStyle name="20% - Accent4 5 2 2" xfId="810"/>
    <cellStyle name="20% - Accent4 5 2 2 10" xfId="19934"/>
    <cellStyle name="20% - Accent4 5 2 2 11" xfId="24185"/>
    <cellStyle name="20% - Accent4 5 2 2 12" xfId="28337"/>
    <cellStyle name="20% - Accent4 5 2 2 13" xfId="2129"/>
    <cellStyle name="20% - Accent4 5 2 2 2" xfId="1467"/>
    <cellStyle name="20% - Accent4 5 2 2 2 10" xfId="2757"/>
    <cellStyle name="20% - Accent4 5 2 2 2 2" xfId="3611"/>
    <cellStyle name="20% - Accent4 5 2 2 2 2 2" xfId="8587"/>
    <cellStyle name="20% - Accent4 5 2 2 2 2 3" xfId="12872"/>
    <cellStyle name="20% - Accent4 5 2 2 2 2 4" xfId="17144"/>
    <cellStyle name="20% - Accent4 5 2 2 2 2 5" xfId="21379"/>
    <cellStyle name="20% - Accent4 5 2 2 2 2 6" xfId="25617"/>
    <cellStyle name="20% - Accent4 5 2 2 2 2 7" xfId="29695"/>
    <cellStyle name="20% - Accent4 5 2 2 2 3" xfId="5498"/>
    <cellStyle name="20% - Accent4 5 2 2 2 3 2" xfId="10472"/>
    <cellStyle name="20% - Accent4 5 2 2 2 3 3" xfId="14749"/>
    <cellStyle name="20% - Accent4 5 2 2 2 3 4" xfId="19008"/>
    <cellStyle name="20% - Accent4 5 2 2 2 3 5" xfId="23227"/>
    <cellStyle name="20% - Accent4 5 2 2 2 3 6" xfId="27422"/>
    <cellStyle name="20% - Accent4 5 2 2 2 3 7" xfId="31318"/>
    <cellStyle name="20% - Accent4 5 2 2 2 4" xfId="7734"/>
    <cellStyle name="20% - Accent4 5 2 2 2 5" xfId="12023"/>
    <cellStyle name="20% - Accent4 5 2 2 2 6" xfId="16299"/>
    <cellStyle name="20% - Accent4 5 2 2 2 7" xfId="20541"/>
    <cellStyle name="20% - Accent4 5 2 2 2 8" xfId="24788"/>
    <cellStyle name="20% - Accent4 5 2 2 2 9" xfId="28888"/>
    <cellStyle name="20% - Accent4 5 2 2 3" xfId="3388"/>
    <cellStyle name="20% - Accent4 5 2 2 3 2" xfId="8364"/>
    <cellStyle name="20% - Accent4 5 2 2 3 3" xfId="12649"/>
    <cellStyle name="20% - Accent4 5 2 2 3 4" xfId="16921"/>
    <cellStyle name="20% - Accent4 5 2 2 3 5" xfId="21156"/>
    <cellStyle name="20% - Accent4 5 2 2 3 6" xfId="25394"/>
    <cellStyle name="20% - Accent4 5 2 2 3 7" xfId="29472"/>
    <cellStyle name="20% - Accent4 5 2 2 4" xfId="2527"/>
    <cellStyle name="20% - Accent4 5 2 2 4 2" xfId="7504"/>
    <cellStyle name="20% - Accent4 5 2 2 4 3" xfId="11793"/>
    <cellStyle name="20% - Accent4 5 2 2 4 4" xfId="16071"/>
    <cellStyle name="20% - Accent4 5 2 2 4 5" xfId="20314"/>
    <cellStyle name="20% - Accent4 5 2 2 4 6" xfId="24560"/>
    <cellStyle name="20% - Accent4 5 2 2 4 7" xfId="28665"/>
    <cellStyle name="20% - Accent4 5 2 2 5" xfId="4841"/>
    <cellStyle name="20% - Accent4 5 2 2 5 2" xfId="9815"/>
    <cellStyle name="20% - Accent4 5 2 2 5 3" xfId="14092"/>
    <cellStyle name="20% - Accent4 5 2 2 5 4" xfId="18351"/>
    <cellStyle name="20% - Accent4 5 2 2 5 5" xfId="22570"/>
    <cellStyle name="20% - Accent4 5 2 2 5 6" xfId="26765"/>
    <cellStyle name="20% - Accent4 5 2 2 5 7" xfId="30661"/>
    <cellStyle name="20% - Accent4 5 2 2 6" xfId="6189"/>
    <cellStyle name="20% - Accent4 5 2 2 6 2" xfId="11161"/>
    <cellStyle name="20% - Accent4 5 2 2 6 3" xfId="15439"/>
    <cellStyle name="20% - Accent4 5 2 2 6 4" xfId="19696"/>
    <cellStyle name="20% - Accent4 5 2 2 6 5" xfId="23913"/>
    <cellStyle name="20% - Accent4 5 2 2 6 6" xfId="28099"/>
    <cellStyle name="20% - Accent4 5 2 2 6 7" xfId="31978"/>
    <cellStyle name="20% - Accent4 5 2 2 7" xfId="7107"/>
    <cellStyle name="20% - Accent4 5 2 2 8" xfId="11399"/>
    <cellStyle name="20% - Accent4 5 2 2 9" xfId="15677"/>
    <cellStyle name="20% - Accent4 5 2 3" xfId="1138"/>
    <cellStyle name="20% - Accent4 5 2 3 2" xfId="5169"/>
    <cellStyle name="20% - Accent4 5 2 3 2 2" xfId="10143"/>
    <cellStyle name="20% - Accent4 5 2 3 2 3" xfId="14420"/>
    <cellStyle name="20% - Accent4 5 2 3 2 4" xfId="18679"/>
    <cellStyle name="20% - Accent4 5 2 3 2 5" xfId="22898"/>
    <cellStyle name="20% - Accent4 5 2 3 2 6" xfId="27093"/>
    <cellStyle name="20% - Accent4 5 2 3 2 7" xfId="30989"/>
    <cellStyle name="20% - Accent4 5 2 3 3" xfId="2426"/>
    <cellStyle name="20% - Accent4 5 2 4" xfId="4511"/>
    <cellStyle name="20% - Accent4 5 2 4 2" xfId="9485"/>
    <cellStyle name="20% - Accent4 5 2 4 3" xfId="13762"/>
    <cellStyle name="20% - Accent4 5 2 4 4" xfId="18022"/>
    <cellStyle name="20% - Accent4 5 2 4 5" xfId="22240"/>
    <cellStyle name="20% - Accent4 5 2 4 6" xfId="26436"/>
    <cellStyle name="20% - Accent4 5 2 4 7" xfId="30332"/>
    <cellStyle name="20% - Accent4 5 2 5" xfId="5860"/>
    <cellStyle name="20% - Accent4 5 2 5 2" xfId="10832"/>
    <cellStyle name="20% - Accent4 5 2 5 3" xfId="15110"/>
    <cellStyle name="20% - Accent4 5 2 5 4" xfId="19367"/>
    <cellStyle name="20% - Accent4 5 2 5 5" xfId="23584"/>
    <cellStyle name="20% - Accent4 5 2 5 6" xfId="27770"/>
    <cellStyle name="20% - Accent4 5 2 5 7" xfId="31649"/>
    <cellStyle name="20% - Accent4 5 2 6" xfId="6734"/>
    <cellStyle name="20% - Accent4 5 2 7" xfId="9001"/>
    <cellStyle name="20% - Accent4 5 2 8" xfId="13283"/>
    <cellStyle name="20% - Accent4 5 2 9" xfId="17557"/>
    <cellStyle name="20% - Accent4 5 3" xfId="283"/>
    <cellStyle name="20% - Accent4 5 3 10" xfId="21904"/>
    <cellStyle name="20% - Accent4 5 3 11" xfId="26207"/>
    <cellStyle name="20% - Accent4 5 3 12" xfId="1662"/>
    <cellStyle name="20% - Accent4 5 3 2" xfId="673"/>
    <cellStyle name="20% - Accent4 5 3 2 10" xfId="24714"/>
    <cellStyle name="20% - Accent4 5 3 2 11" xfId="1992"/>
    <cellStyle name="20% - Accent4 5 3 2 2" xfId="1330"/>
    <cellStyle name="20% - Accent4 5 3 2 2 2" xfId="5361"/>
    <cellStyle name="20% - Accent4 5 3 2 2 2 2" xfId="10335"/>
    <cellStyle name="20% - Accent4 5 3 2 2 2 3" xfId="14612"/>
    <cellStyle name="20% - Accent4 5 3 2 2 2 4" xfId="18871"/>
    <cellStyle name="20% - Accent4 5 3 2 2 2 5" xfId="23090"/>
    <cellStyle name="20% - Accent4 5 3 2 2 2 6" xfId="27285"/>
    <cellStyle name="20% - Accent4 5 3 2 2 2 7" xfId="31181"/>
    <cellStyle name="20% - Accent4 5 3 2 2 3" xfId="8588"/>
    <cellStyle name="20% - Accent4 5 3 2 2 4" xfId="12873"/>
    <cellStyle name="20% - Accent4 5 3 2 2 5" xfId="17145"/>
    <cellStyle name="20% - Accent4 5 3 2 2 6" xfId="21380"/>
    <cellStyle name="20% - Accent4 5 3 2 2 7" xfId="25618"/>
    <cellStyle name="20% - Accent4 5 3 2 2 8" xfId="29696"/>
    <cellStyle name="20% - Accent4 5 3 2 2 9" xfId="3612"/>
    <cellStyle name="20% - Accent4 5 3 2 3" xfId="4704"/>
    <cellStyle name="20% - Accent4 5 3 2 3 2" xfId="9678"/>
    <cellStyle name="20% - Accent4 5 3 2 3 3" xfId="13955"/>
    <cellStyle name="20% - Accent4 5 3 2 3 4" xfId="18214"/>
    <cellStyle name="20% - Accent4 5 3 2 3 5" xfId="22433"/>
    <cellStyle name="20% - Accent4 5 3 2 3 6" xfId="26628"/>
    <cellStyle name="20% - Accent4 5 3 2 3 7" xfId="30524"/>
    <cellStyle name="20% - Accent4 5 3 2 4" xfId="6052"/>
    <cellStyle name="20% - Accent4 5 3 2 4 2" xfId="11024"/>
    <cellStyle name="20% - Accent4 5 3 2 4 3" xfId="15302"/>
    <cellStyle name="20% - Accent4 5 3 2 4 4" xfId="19559"/>
    <cellStyle name="20% - Accent4 5 3 2 4 5" xfId="23776"/>
    <cellStyle name="20% - Accent4 5 3 2 4 6" xfId="27962"/>
    <cellStyle name="20% - Accent4 5 3 2 4 7" xfId="31841"/>
    <cellStyle name="20% - Accent4 5 3 2 5" xfId="6970"/>
    <cellStyle name="20% - Accent4 5 3 2 6" xfId="7660"/>
    <cellStyle name="20% - Accent4 5 3 2 7" xfId="11949"/>
    <cellStyle name="20% - Accent4 5 3 2 8" xfId="16225"/>
    <cellStyle name="20% - Accent4 5 3 2 9" xfId="24048"/>
    <cellStyle name="20% - Accent4 5 3 3" xfId="1001"/>
    <cellStyle name="20% - Accent4 5 3 3 2" xfId="5032"/>
    <cellStyle name="20% - Accent4 5 3 3 2 2" xfId="10006"/>
    <cellStyle name="20% - Accent4 5 3 3 2 3" xfId="14283"/>
    <cellStyle name="20% - Accent4 5 3 3 2 4" xfId="18542"/>
    <cellStyle name="20% - Accent4 5 3 3 2 5" xfId="22761"/>
    <cellStyle name="20% - Accent4 5 3 3 2 6" xfId="26956"/>
    <cellStyle name="20% - Accent4 5 3 3 2 7" xfId="30852"/>
    <cellStyle name="20% - Accent4 5 3 3 3" xfId="7735"/>
    <cellStyle name="20% - Accent4 5 3 3 4" xfId="12024"/>
    <cellStyle name="20% - Accent4 5 3 3 5" xfId="16300"/>
    <cellStyle name="20% - Accent4 5 3 3 6" xfId="20542"/>
    <cellStyle name="20% - Accent4 5 3 3 7" xfId="24789"/>
    <cellStyle name="20% - Accent4 5 3 3 8" xfId="28889"/>
    <cellStyle name="20% - Accent4 5 3 3 9" xfId="2758"/>
    <cellStyle name="20% - Accent4 5 3 4" xfId="4374"/>
    <cellStyle name="20% - Accent4 5 3 4 2" xfId="9348"/>
    <cellStyle name="20% - Accent4 5 3 4 3" xfId="13625"/>
    <cellStyle name="20% - Accent4 5 3 4 4" xfId="17885"/>
    <cellStyle name="20% - Accent4 5 3 4 5" xfId="22103"/>
    <cellStyle name="20% - Accent4 5 3 4 6" xfId="26299"/>
    <cellStyle name="20% - Accent4 5 3 4 7" xfId="30195"/>
    <cellStyle name="20% - Accent4 5 3 5" xfId="5723"/>
    <cellStyle name="20% - Accent4 5 3 5 2" xfId="10695"/>
    <cellStyle name="20% - Accent4 5 3 5 3" xfId="14973"/>
    <cellStyle name="20% - Accent4 5 3 5 4" xfId="19230"/>
    <cellStyle name="20% - Accent4 5 3 5 5" xfId="23447"/>
    <cellStyle name="20% - Accent4 5 3 5 6" xfId="27633"/>
    <cellStyle name="20% - Accent4 5 3 5 7" xfId="31512"/>
    <cellStyle name="20% - Accent4 5 3 6" xfId="6581"/>
    <cellStyle name="20% - Accent4 5 3 7" xfId="9253"/>
    <cellStyle name="20% - Accent4 5 3 8" xfId="13530"/>
    <cellStyle name="20% - Accent4 5 3 9" xfId="17790"/>
    <cellStyle name="20% - Accent4 5 4" xfId="3227"/>
    <cellStyle name="20% - Accent4 5 4 2" xfId="8203"/>
    <cellStyle name="20% - Accent4 5 4 3" xfId="12489"/>
    <cellStyle name="20% - Accent4 5 4 4" xfId="16761"/>
    <cellStyle name="20% - Accent4 5 4 5" xfId="20999"/>
    <cellStyle name="20% - Accent4 5 4 6" xfId="25237"/>
    <cellStyle name="20% - Accent4 5 4 7" xfId="29318"/>
    <cellStyle name="20% - Accent4 5 5" xfId="2332"/>
    <cellStyle name="20% - Accent4 5 5 2" xfId="7310"/>
    <cellStyle name="20% - Accent4 5 5 3" xfId="11600"/>
    <cellStyle name="20% - Accent4 5 5 4" xfId="15878"/>
    <cellStyle name="20% - Accent4 5 5 5" xfId="20130"/>
    <cellStyle name="20% - Accent4 5 5 6" xfId="24379"/>
    <cellStyle name="20% - Accent4 5 5 7" xfId="28510"/>
    <cellStyle name="20% - Accent4 6" xfId="368"/>
    <cellStyle name="20% - Accent4 6 10" xfId="21761"/>
    <cellStyle name="20% - Accent4 6 11" xfId="26032"/>
    <cellStyle name="20% - Accent4 6 12" xfId="1731"/>
    <cellStyle name="20% - Accent4 6 2" xfId="742"/>
    <cellStyle name="20% - Accent4 6 2 10" xfId="19866"/>
    <cellStyle name="20% - Accent4 6 2 11" xfId="24117"/>
    <cellStyle name="20% - Accent4 6 2 12" xfId="28269"/>
    <cellStyle name="20% - Accent4 6 2 13" xfId="2061"/>
    <cellStyle name="20% - Accent4 6 2 2" xfId="1399"/>
    <cellStyle name="20% - Accent4 6 2 2 10" xfId="2759"/>
    <cellStyle name="20% - Accent4 6 2 2 2" xfId="3613"/>
    <cellStyle name="20% - Accent4 6 2 2 2 2" xfId="8589"/>
    <cellStyle name="20% - Accent4 6 2 2 2 3" xfId="12874"/>
    <cellStyle name="20% - Accent4 6 2 2 2 4" xfId="17146"/>
    <cellStyle name="20% - Accent4 6 2 2 2 5" xfId="21381"/>
    <cellStyle name="20% - Accent4 6 2 2 2 6" xfId="25619"/>
    <cellStyle name="20% - Accent4 6 2 2 2 7" xfId="29697"/>
    <cellStyle name="20% - Accent4 6 2 2 3" xfId="5430"/>
    <cellStyle name="20% - Accent4 6 2 2 3 2" xfId="10404"/>
    <cellStyle name="20% - Accent4 6 2 2 3 3" xfId="14681"/>
    <cellStyle name="20% - Accent4 6 2 2 3 4" xfId="18940"/>
    <cellStyle name="20% - Accent4 6 2 2 3 5" xfId="23159"/>
    <cellStyle name="20% - Accent4 6 2 2 3 6" xfId="27354"/>
    <cellStyle name="20% - Accent4 6 2 2 3 7" xfId="31250"/>
    <cellStyle name="20% - Accent4 6 2 2 4" xfId="7736"/>
    <cellStyle name="20% - Accent4 6 2 2 5" xfId="12025"/>
    <cellStyle name="20% - Accent4 6 2 2 6" xfId="16301"/>
    <cellStyle name="20% - Accent4 6 2 2 7" xfId="20543"/>
    <cellStyle name="20% - Accent4 6 2 2 8" xfId="24790"/>
    <cellStyle name="20% - Accent4 6 2 2 9" xfId="28890"/>
    <cellStyle name="20% - Accent4 6 2 3" xfId="3320"/>
    <cellStyle name="20% - Accent4 6 2 3 2" xfId="8296"/>
    <cellStyle name="20% - Accent4 6 2 3 3" xfId="12581"/>
    <cellStyle name="20% - Accent4 6 2 3 4" xfId="16853"/>
    <cellStyle name="20% - Accent4 6 2 3 5" xfId="21088"/>
    <cellStyle name="20% - Accent4 6 2 3 6" xfId="25326"/>
    <cellStyle name="20% - Accent4 6 2 3 7" xfId="29404"/>
    <cellStyle name="20% - Accent4 6 2 4" xfId="2459"/>
    <cellStyle name="20% - Accent4 6 2 4 2" xfId="7436"/>
    <cellStyle name="20% - Accent4 6 2 4 3" xfId="11725"/>
    <cellStyle name="20% - Accent4 6 2 4 4" xfId="16003"/>
    <cellStyle name="20% - Accent4 6 2 4 5" xfId="20246"/>
    <cellStyle name="20% - Accent4 6 2 4 6" xfId="24492"/>
    <cellStyle name="20% - Accent4 6 2 4 7" xfId="28597"/>
    <cellStyle name="20% - Accent4 6 2 5" xfId="4773"/>
    <cellStyle name="20% - Accent4 6 2 5 2" xfId="9747"/>
    <cellStyle name="20% - Accent4 6 2 5 3" xfId="14024"/>
    <cellStyle name="20% - Accent4 6 2 5 4" xfId="18283"/>
    <cellStyle name="20% - Accent4 6 2 5 5" xfId="22502"/>
    <cellStyle name="20% - Accent4 6 2 5 6" xfId="26697"/>
    <cellStyle name="20% - Accent4 6 2 5 7" xfId="30593"/>
    <cellStyle name="20% - Accent4 6 2 6" xfId="6121"/>
    <cellStyle name="20% - Accent4 6 2 6 2" xfId="11093"/>
    <cellStyle name="20% - Accent4 6 2 6 3" xfId="15371"/>
    <cellStyle name="20% - Accent4 6 2 6 4" xfId="19628"/>
    <cellStyle name="20% - Accent4 6 2 6 5" xfId="23845"/>
    <cellStyle name="20% - Accent4 6 2 6 6" xfId="28031"/>
    <cellStyle name="20% - Accent4 6 2 6 7" xfId="31910"/>
    <cellStyle name="20% - Accent4 6 2 7" xfId="7039"/>
    <cellStyle name="20% - Accent4 6 2 8" xfId="11331"/>
    <cellStyle name="20% - Accent4 6 2 9" xfId="15609"/>
    <cellStyle name="20% - Accent4 6 3" xfId="1070"/>
    <cellStyle name="20% - Accent4 6 3 2" xfId="5101"/>
    <cellStyle name="20% - Accent4 6 3 2 2" xfId="10075"/>
    <cellStyle name="20% - Accent4 6 3 2 3" xfId="14352"/>
    <cellStyle name="20% - Accent4 6 3 2 4" xfId="18611"/>
    <cellStyle name="20% - Accent4 6 3 2 5" xfId="22830"/>
    <cellStyle name="20% - Accent4 6 3 2 6" xfId="27025"/>
    <cellStyle name="20% - Accent4 6 3 2 7" xfId="30921"/>
    <cellStyle name="20% - Accent4 6 3 3" xfId="2346"/>
    <cellStyle name="20% - Accent4 6 4" xfId="4443"/>
    <cellStyle name="20% - Accent4 6 4 2" xfId="9417"/>
    <cellStyle name="20% - Accent4 6 4 3" xfId="13694"/>
    <cellStyle name="20% - Accent4 6 4 4" xfId="17954"/>
    <cellStyle name="20% - Accent4 6 4 5" xfId="22172"/>
    <cellStyle name="20% - Accent4 6 4 6" xfId="26368"/>
    <cellStyle name="20% - Accent4 6 4 7" xfId="30264"/>
    <cellStyle name="20% - Accent4 6 5" xfId="5792"/>
    <cellStyle name="20% - Accent4 6 5 2" xfId="10764"/>
    <cellStyle name="20% - Accent4 6 5 3" xfId="15042"/>
    <cellStyle name="20% - Accent4 6 5 4" xfId="19299"/>
    <cellStyle name="20% - Accent4 6 5 5" xfId="23516"/>
    <cellStyle name="20% - Accent4 6 5 6" xfId="27702"/>
    <cellStyle name="20% - Accent4 6 5 7" xfId="31581"/>
    <cellStyle name="20% - Accent4 6 6" xfId="6666"/>
    <cellStyle name="20% - Accent4 6 7" xfId="9020"/>
    <cellStyle name="20% - Accent4 6 8" xfId="13302"/>
    <cellStyle name="20% - Accent4 6 9" xfId="17575"/>
    <cellStyle name="20% - Accent4 7" xfId="552"/>
    <cellStyle name="20% - Accent4 7 2" xfId="2760"/>
    <cellStyle name="20% - Accent4 7 2 2" xfId="3614"/>
    <cellStyle name="20% - Accent4 7 2 2 2" xfId="8590"/>
    <cellStyle name="20% - Accent4 7 2 2 3" xfId="12875"/>
    <cellStyle name="20% - Accent4 7 2 2 4" xfId="17147"/>
    <cellStyle name="20% - Accent4 7 2 2 5" xfId="21382"/>
    <cellStyle name="20% - Accent4 7 2 2 6" xfId="25620"/>
    <cellStyle name="20% - Accent4 7 2 2 7" xfId="29698"/>
    <cellStyle name="20% - Accent4 7 2 3" xfId="7737"/>
    <cellStyle name="20% - Accent4 7 2 4" xfId="12026"/>
    <cellStyle name="20% - Accent4 7 2 5" xfId="16302"/>
    <cellStyle name="20% - Accent4 7 2 6" xfId="20544"/>
    <cellStyle name="20% - Accent4 7 2 7" xfId="24791"/>
    <cellStyle name="20% - Accent4 7 2 8" xfId="28891"/>
    <cellStyle name="20% - Accent4 7 3" xfId="3453"/>
    <cellStyle name="20% - Accent4 7 3 2" xfId="8429"/>
    <cellStyle name="20% - Accent4 7 3 3" xfId="12714"/>
    <cellStyle name="20% - Accent4 7 3 4" xfId="16986"/>
    <cellStyle name="20% - Accent4 7 3 5" xfId="21221"/>
    <cellStyle name="20% - Accent4 7 3 6" xfId="25459"/>
    <cellStyle name="20% - Accent4 7 3 7" xfId="29537"/>
    <cellStyle name="20% - Accent4 7 4" xfId="2594"/>
    <cellStyle name="20% - Accent4 7 4 2" xfId="7571"/>
    <cellStyle name="20% - Accent4 7 4 3" xfId="11860"/>
    <cellStyle name="20% - Accent4 7 4 4" xfId="16136"/>
    <cellStyle name="20% - Accent4 7 4 5" xfId="20379"/>
    <cellStyle name="20% - Accent4 7 4 6" xfId="24625"/>
    <cellStyle name="20% - Accent4 7 4 7" xfId="28730"/>
    <cellStyle name="20% - Accent4 8" xfId="2761"/>
    <cellStyle name="20% - Accent5" xfId="5" builtinId="46" customBuiltin="1"/>
    <cellStyle name="20% - Accent5 2" xfId="90"/>
    <cellStyle name="20% - Accent5 2 10" xfId="4299"/>
    <cellStyle name="20% - Accent5 2 10 2" xfId="9273"/>
    <cellStyle name="20% - Accent5 2 10 3" xfId="13550"/>
    <cellStyle name="20% - Accent5 2 10 4" xfId="17810"/>
    <cellStyle name="20% - Accent5 2 10 5" xfId="22029"/>
    <cellStyle name="20% - Accent5 2 10 6" xfId="26227"/>
    <cellStyle name="20% - Accent5 2 10 7" xfId="30124"/>
    <cellStyle name="20% - Accent5 2 11" xfId="5655"/>
    <cellStyle name="20% - Accent5 2 11 2" xfId="10627"/>
    <cellStyle name="20% - Accent5 2 11 3" xfId="14905"/>
    <cellStyle name="20% - Accent5 2 11 4" xfId="19162"/>
    <cellStyle name="20% - Accent5 2 11 5" xfId="23379"/>
    <cellStyle name="20% - Accent5 2 11 6" xfId="27565"/>
    <cellStyle name="20% - Accent5 2 11 7" xfId="31444"/>
    <cellStyle name="20% - Accent5 2 12" xfId="6390"/>
    <cellStyle name="20% - Accent5 2 13" xfId="6536"/>
    <cellStyle name="20% - Accent5 2 14" xfId="9067"/>
    <cellStyle name="20% - Accent5 2 15" xfId="13349"/>
    <cellStyle name="20% - Accent5 2 16" xfId="20807"/>
    <cellStyle name="20% - Accent5 2 17" xfId="21922"/>
    <cellStyle name="20% - Accent5 2 18" xfId="1589"/>
    <cellStyle name="20% - Accent5 2 2" xfId="174"/>
    <cellStyle name="20% - Accent5 2 2 10" xfId="5687"/>
    <cellStyle name="20% - Accent5 2 2 10 2" xfId="10659"/>
    <cellStyle name="20% - Accent5 2 2 10 3" xfId="14937"/>
    <cellStyle name="20% - Accent5 2 2 10 4" xfId="19194"/>
    <cellStyle name="20% - Accent5 2 2 10 5" xfId="23411"/>
    <cellStyle name="20% - Accent5 2 2 10 6" xfId="27597"/>
    <cellStyle name="20% - Accent5 2 2 10 7" xfId="31476"/>
    <cellStyle name="20% - Accent5 2 2 11" xfId="6473"/>
    <cellStyle name="20% - Accent5 2 2 12" xfId="10608"/>
    <cellStyle name="20% - Accent5 2 2 13" xfId="14885"/>
    <cellStyle name="20% - Accent5 2 2 14" xfId="19143"/>
    <cellStyle name="20% - Accent5 2 2 15" xfId="13438"/>
    <cellStyle name="20% - Accent5 2 2 16" xfId="27552"/>
    <cellStyle name="20% - Accent5 2 2 17" xfId="1622"/>
    <cellStyle name="20% - Accent5 2 2 2" xfId="318"/>
    <cellStyle name="20% - Accent5 2 2 2 10" xfId="13418"/>
    <cellStyle name="20% - Accent5 2 2 2 11" xfId="17684"/>
    <cellStyle name="20% - Accent5 2 2 2 12" xfId="21779"/>
    <cellStyle name="20% - Accent5 2 2 2 13" xfId="26124"/>
    <cellStyle name="20% - Accent5 2 2 2 14" xfId="1690"/>
    <cellStyle name="20% - Accent5 2 2 2 2" xfId="482"/>
    <cellStyle name="20% - Accent5 2 2 2 2 10" xfId="11589"/>
    <cellStyle name="20% - Accent5 2 2 2 2 11" xfId="6884"/>
    <cellStyle name="20% - Accent5 2 2 2 2 12" xfId="21829"/>
    <cellStyle name="20% - Accent5 2 2 2 2 13" xfId="1845"/>
    <cellStyle name="20% - Accent5 2 2 2 2 2" xfId="856"/>
    <cellStyle name="20% - Accent5 2 2 2 2 2 10" xfId="24231"/>
    <cellStyle name="20% - Accent5 2 2 2 2 2 11" xfId="28383"/>
    <cellStyle name="20% - Accent5 2 2 2 2 2 12" xfId="2175"/>
    <cellStyle name="20% - Accent5 2 2 2 2 2 2" xfId="1513"/>
    <cellStyle name="20% - Accent5 2 2 2 2 2 2 2" xfId="5544"/>
    <cellStyle name="20% - Accent5 2 2 2 2 2 2 2 2" xfId="10518"/>
    <cellStyle name="20% - Accent5 2 2 2 2 2 2 2 3" xfId="14795"/>
    <cellStyle name="20% - Accent5 2 2 2 2 2 2 2 4" xfId="19054"/>
    <cellStyle name="20% - Accent5 2 2 2 2 2 2 2 5" xfId="23273"/>
    <cellStyle name="20% - Accent5 2 2 2 2 2 2 2 6" xfId="27468"/>
    <cellStyle name="20% - Accent5 2 2 2 2 2 2 2 7" xfId="31364"/>
    <cellStyle name="20% - Accent5 2 2 2 2 2 2 3" xfId="8591"/>
    <cellStyle name="20% - Accent5 2 2 2 2 2 2 4" xfId="12876"/>
    <cellStyle name="20% - Accent5 2 2 2 2 2 2 5" xfId="17148"/>
    <cellStyle name="20% - Accent5 2 2 2 2 2 2 6" xfId="21383"/>
    <cellStyle name="20% - Accent5 2 2 2 2 2 2 7" xfId="25621"/>
    <cellStyle name="20% - Accent5 2 2 2 2 2 2 8" xfId="29699"/>
    <cellStyle name="20% - Accent5 2 2 2 2 2 2 9" xfId="3615"/>
    <cellStyle name="20% - Accent5 2 2 2 2 2 3" xfId="2762"/>
    <cellStyle name="20% - Accent5 2 2 2 2 2 3 2" xfId="7739"/>
    <cellStyle name="20% - Accent5 2 2 2 2 2 3 3" xfId="12028"/>
    <cellStyle name="20% - Accent5 2 2 2 2 2 3 4" xfId="16304"/>
    <cellStyle name="20% - Accent5 2 2 2 2 2 3 5" xfId="20546"/>
    <cellStyle name="20% - Accent5 2 2 2 2 2 3 6" xfId="24793"/>
    <cellStyle name="20% - Accent5 2 2 2 2 2 3 7" xfId="28892"/>
    <cellStyle name="20% - Accent5 2 2 2 2 2 4" xfId="4887"/>
    <cellStyle name="20% - Accent5 2 2 2 2 2 4 2" xfId="9861"/>
    <cellStyle name="20% - Accent5 2 2 2 2 2 4 3" xfId="14138"/>
    <cellStyle name="20% - Accent5 2 2 2 2 2 4 4" xfId="18397"/>
    <cellStyle name="20% - Accent5 2 2 2 2 2 4 5" xfId="22616"/>
    <cellStyle name="20% - Accent5 2 2 2 2 2 4 6" xfId="26811"/>
    <cellStyle name="20% - Accent5 2 2 2 2 2 4 7" xfId="30707"/>
    <cellStyle name="20% - Accent5 2 2 2 2 2 5" xfId="6235"/>
    <cellStyle name="20% - Accent5 2 2 2 2 2 5 2" xfId="11207"/>
    <cellStyle name="20% - Accent5 2 2 2 2 2 5 3" xfId="15485"/>
    <cellStyle name="20% - Accent5 2 2 2 2 2 5 4" xfId="19742"/>
    <cellStyle name="20% - Accent5 2 2 2 2 2 5 5" xfId="23959"/>
    <cellStyle name="20% - Accent5 2 2 2 2 2 5 6" xfId="28145"/>
    <cellStyle name="20% - Accent5 2 2 2 2 2 5 7" xfId="32024"/>
    <cellStyle name="20% - Accent5 2 2 2 2 2 6" xfId="7153"/>
    <cellStyle name="20% - Accent5 2 2 2 2 2 7" xfId="11445"/>
    <cellStyle name="20% - Accent5 2 2 2 2 2 8" xfId="15723"/>
    <cellStyle name="20% - Accent5 2 2 2 2 2 9" xfId="19980"/>
    <cellStyle name="20% - Accent5 2 2 2 2 3" xfId="1184"/>
    <cellStyle name="20% - Accent5 2 2 2 2 3 2" xfId="5215"/>
    <cellStyle name="20% - Accent5 2 2 2 2 3 2 2" xfId="10189"/>
    <cellStyle name="20% - Accent5 2 2 2 2 3 2 3" xfId="14466"/>
    <cellStyle name="20% - Accent5 2 2 2 2 3 2 4" xfId="18725"/>
    <cellStyle name="20% - Accent5 2 2 2 2 3 2 5" xfId="22944"/>
    <cellStyle name="20% - Accent5 2 2 2 2 3 2 6" xfId="27139"/>
    <cellStyle name="20% - Accent5 2 2 2 2 3 2 7" xfId="31035"/>
    <cellStyle name="20% - Accent5 2 2 2 2 3 3" xfId="8410"/>
    <cellStyle name="20% - Accent5 2 2 2 2 3 4" xfId="12695"/>
    <cellStyle name="20% - Accent5 2 2 2 2 3 5" xfId="16967"/>
    <cellStyle name="20% - Accent5 2 2 2 2 3 6" xfId="21202"/>
    <cellStyle name="20% - Accent5 2 2 2 2 3 7" xfId="25440"/>
    <cellStyle name="20% - Accent5 2 2 2 2 3 8" xfId="29518"/>
    <cellStyle name="20% - Accent5 2 2 2 2 3 9" xfId="3434"/>
    <cellStyle name="20% - Accent5 2 2 2 2 4" xfId="2573"/>
    <cellStyle name="20% - Accent5 2 2 2 2 4 2" xfId="7550"/>
    <cellStyle name="20% - Accent5 2 2 2 2 4 3" xfId="11839"/>
    <cellStyle name="20% - Accent5 2 2 2 2 4 4" xfId="16117"/>
    <cellStyle name="20% - Accent5 2 2 2 2 4 5" xfId="20360"/>
    <cellStyle name="20% - Accent5 2 2 2 2 4 6" xfId="24606"/>
    <cellStyle name="20% - Accent5 2 2 2 2 4 7" xfId="28711"/>
    <cellStyle name="20% - Accent5 2 2 2 2 5" xfId="4557"/>
    <cellStyle name="20% - Accent5 2 2 2 2 5 2" xfId="9531"/>
    <cellStyle name="20% - Accent5 2 2 2 2 5 3" xfId="13808"/>
    <cellStyle name="20% - Accent5 2 2 2 2 5 4" xfId="18068"/>
    <cellStyle name="20% - Accent5 2 2 2 2 5 5" xfId="22286"/>
    <cellStyle name="20% - Accent5 2 2 2 2 5 6" xfId="26482"/>
    <cellStyle name="20% - Accent5 2 2 2 2 5 7" xfId="30378"/>
    <cellStyle name="20% - Accent5 2 2 2 2 6" xfId="5906"/>
    <cellStyle name="20% - Accent5 2 2 2 2 6 2" xfId="10878"/>
    <cellStyle name="20% - Accent5 2 2 2 2 6 3" xfId="15156"/>
    <cellStyle name="20% - Accent5 2 2 2 2 6 4" xfId="19413"/>
    <cellStyle name="20% - Accent5 2 2 2 2 6 5" xfId="23630"/>
    <cellStyle name="20% - Accent5 2 2 2 2 6 6" xfId="27816"/>
    <cellStyle name="20% - Accent5 2 2 2 2 6 7" xfId="31695"/>
    <cellStyle name="20% - Accent5 2 2 2 2 7" xfId="6780"/>
    <cellStyle name="20% - Accent5 2 2 2 2 8" xfId="6366"/>
    <cellStyle name="20% - Accent5 2 2 2 2 9" xfId="7299"/>
    <cellStyle name="20% - Accent5 2 2 2 3" xfId="701"/>
    <cellStyle name="20% - Accent5 2 2 2 3 10" xfId="24076"/>
    <cellStyle name="20% - Accent5 2 2 2 3 11" xfId="28228"/>
    <cellStyle name="20% - Accent5 2 2 2 3 12" xfId="2020"/>
    <cellStyle name="20% - Accent5 2 2 2 3 2" xfId="1358"/>
    <cellStyle name="20% - Accent5 2 2 2 3 2 2" xfId="5389"/>
    <cellStyle name="20% - Accent5 2 2 2 3 2 2 2" xfId="10363"/>
    <cellStyle name="20% - Accent5 2 2 2 3 2 2 3" xfId="14640"/>
    <cellStyle name="20% - Accent5 2 2 2 3 2 2 4" xfId="18899"/>
    <cellStyle name="20% - Accent5 2 2 2 3 2 2 5" xfId="23118"/>
    <cellStyle name="20% - Accent5 2 2 2 3 2 2 6" xfId="27313"/>
    <cellStyle name="20% - Accent5 2 2 2 3 2 2 7" xfId="31209"/>
    <cellStyle name="20% - Accent5 2 2 2 3 2 3" xfId="8592"/>
    <cellStyle name="20% - Accent5 2 2 2 3 2 4" xfId="12877"/>
    <cellStyle name="20% - Accent5 2 2 2 3 2 5" xfId="17149"/>
    <cellStyle name="20% - Accent5 2 2 2 3 2 6" xfId="21384"/>
    <cellStyle name="20% - Accent5 2 2 2 3 2 7" xfId="25622"/>
    <cellStyle name="20% - Accent5 2 2 2 3 2 8" xfId="29700"/>
    <cellStyle name="20% - Accent5 2 2 2 3 2 9" xfId="3616"/>
    <cellStyle name="20% - Accent5 2 2 2 3 3" xfId="2763"/>
    <cellStyle name="20% - Accent5 2 2 2 3 3 2" xfId="7740"/>
    <cellStyle name="20% - Accent5 2 2 2 3 3 3" xfId="12029"/>
    <cellStyle name="20% - Accent5 2 2 2 3 3 4" xfId="16305"/>
    <cellStyle name="20% - Accent5 2 2 2 3 3 5" xfId="20547"/>
    <cellStyle name="20% - Accent5 2 2 2 3 3 6" xfId="24794"/>
    <cellStyle name="20% - Accent5 2 2 2 3 3 7" xfId="28893"/>
    <cellStyle name="20% - Accent5 2 2 2 3 4" xfId="4732"/>
    <cellStyle name="20% - Accent5 2 2 2 3 4 2" xfId="9706"/>
    <cellStyle name="20% - Accent5 2 2 2 3 4 3" xfId="13983"/>
    <cellStyle name="20% - Accent5 2 2 2 3 4 4" xfId="18242"/>
    <cellStyle name="20% - Accent5 2 2 2 3 4 5" xfId="22461"/>
    <cellStyle name="20% - Accent5 2 2 2 3 4 6" xfId="26656"/>
    <cellStyle name="20% - Accent5 2 2 2 3 4 7" xfId="30552"/>
    <cellStyle name="20% - Accent5 2 2 2 3 5" xfId="6080"/>
    <cellStyle name="20% - Accent5 2 2 2 3 5 2" xfId="11052"/>
    <cellStyle name="20% - Accent5 2 2 2 3 5 3" xfId="15330"/>
    <cellStyle name="20% - Accent5 2 2 2 3 5 4" xfId="19587"/>
    <cellStyle name="20% - Accent5 2 2 2 3 5 5" xfId="23804"/>
    <cellStyle name="20% - Accent5 2 2 2 3 5 6" xfId="27990"/>
    <cellStyle name="20% - Accent5 2 2 2 3 5 7" xfId="31869"/>
    <cellStyle name="20% - Accent5 2 2 2 3 6" xfId="6998"/>
    <cellStyle name="20% - Accent5 2 2 2 3 7" xfId="11290"/>
    <cellStyle name="20% - Accent5 2 2 2 3 8" xfId="15568"/>
    <cellStyle name="20% - Accent5 2 2 2 3 9" xfId="19825"/>
    <cellStyle name="20% - Accent5 2 2 2 4" xfId="1029"/>
    <cellStyle name="20% - Accent5 2 2 2 4 2" xfId="5060"/>
    <cellStyle name="20% - Accent5 2 2 2 4 2 2" xfId="10034"/>
    <cellStyle name="20% - Accent5 2 2 2 4 2 3" xfId="14311"/>
    <cellStyle name="20% - Accent5 2 2 2 4 2 4" xfId="18570"/>
    <cellStyle name="20% - Accent5 2 2 2 4 2 5" xfId="22789"/>
    <cellStyle name="20% - Accent5 2 2 2 4 2 6" xfId="26984"/>
    <cellStyle name="20% - Accent5 2 2 2 4 2 7" xfId="30880"/>
    <cellStyle name="20% - Accent5 2 2 2 4 3" xfId="8258"/>
    <cellStyle name="20% - Accent5 2 2 2 4 4" xfId="12543"/>
    <cellStyle name="20% - Accent5 2 2 2 4 5" xfId="16816"/>
    <cellStyle name="20% - Accent5 2 2 2 4 6" xfId="21052"/>
    <cellStyle name="20% - Accent5 2 2 2 4 7" xfId="25290"/>
    <cellStyle name="20% - Accent5 2 2 2 4 8" xfId="29368"/>
    <cellStyle name="20% - Accent5 2 2 2 4 9" xfId="3282"/>
    <cellStyle name="20% - Accent5 2 2 2 5" xfId="2398"/>
    <cellStyle name="20% - Accent5 2 2 2 5 2" xfId="7376"/>
    <cellStyle name="20% - Accent5 2 2 2 5 3" xfId="11665"/>
    <cellStyle name="20% - Accent5 2 2 2 5 4" xfId="15943"/>
    <cellStyle name="20% - Accent5 2 2 2 5 5" xfId="20192"/>
    <cellStyle name="20% - Accent5 2 2 2 5 6" xfId="24440"/>
    <cellStyle name="20% - Accent5 2 2 2 5 7" xfId="28560"/>
    <cellStyle name="20% - Accent5 2 2 2 6" xfId="4402"/>
    <cellStyle name="20% - Accent5 2 2 2 6 2" xfId="9376"/>
    <cellStyle name="20% - Accent5 2 2 2 6 3" xfId="13653"/>
    <cellStyle name="20% - Accent5 2 2 2 6 4" xfId="17913"/>
    <cellStyle name="20% - Accent5 2 2 2 6 5" xfId="22131"/>
    <cellStyle name="20% - Accent5 2 2 2 6 6" xfId="26327"/>
    <cellStyle name="20% - Accent5 2 2 2 6 7" xfId="30223"/>
    <cellStyle name="20% - Accent5 2 2 2 7" xfId="5751"/>
    <cellStyle name="20% - Accent5 2 2 2 7 2" xfId="10723"/>
    <cellStyle name="20% - Accent5 2 2 2 7 3" xfId="15001"/>
    <cellStyle name="20% - Accent5 2 2 2 7 4" xfId="19258"/>
    <cellStyle name="20% - Accent5 2 2 2 7 5" xfId="23475"/>
    <cellStyle name="20% - Accent5 2 2 2 7 6" xfId="27661"/>
    <cellStyle name="20% - Accent5 2 2 2 7 7" xfId="31540"/>
    <cellStyle name="20% - Accent5 2 2 2 8" xfId="6616"/>
    <cellStyle name="20% - Accent5 2 2 2 9" xfId="9138"/>
    <cellStyle name="20% - Accent5 2 2 3" xfId="421"/>
    <cellStyle name="20% - Accent5 2 2 3 10" xfId="17713"/>
    <cellStyle name="20% - Accent5 2 2 3 11" xfId="21913"/>
    <cellStyle name="20% - Accent5 2 2 3 12" xfId="26144"/>
    <cellStyle name="20% - Accent5 2 2 3 13" xfId="1784"/>
    <cellStyle name="20% - Accent5 2 2 3 2" xfId="795"/>
    <cellStyle name="20% - Accent5 2 2 3 2 10" xfId="24170"/>
    <cellStyle name="20% - Accent5 2 2 3 2 11" xfId="28322"/>
    <cellStyle name="20% - Accent5 2 2 3 2 12" xfId="2114"/>
    <cellStyle name="20% - Accent5 2 2 3 2 2" xfId="1452"/>
    <cellStyle name="20% - Accent5 2 2 3 2 2 2" xfId="5483"/>
    <cellStyle name="20% - Accent5 2 2 3 2 2 2 2" xfId="10457"/>
    <cellStyle name="20% - Accent5 2 2 3 2 2 2 3" xfId="14734"/>
    <cellStyle name="20% - Accent5 2 2 3 2 2 2 4" xfId="18993"/>
    <cellStyle name="20% - Accent5 2 2 3 2 2 2 5" xfId="23212"/>
    <cellStyle name="20% - Accent5 2 2 3 2 2 2 6" xfId="27407"/>
    <cellStyle name="20% - Accent5 2 2 3 2 2 2 7" xfId="31303"/>
    <cellStyle name="20% - Accent5 2 2 3 2 2 3" xfId="8593"/>
    <cellStyle name="20% - Accent5 2 2 3 2 2 4" xfId="12878"/>
    <cellStyle name="20% - Accent5 2 2 3 2 2 5" xfId="17150"/>
    <cellStyle name="20% - Accent5 2 2 3 2 2 6" xfId="21385"/>
    <cellStyle name="20% - Accent5 2 2 3 2 2 7" xfId="25623"/>
    <cellStyle name="20% - Accent5 2 2 3 2 2 8" xfId="29701"/>
    <cellStyle name="20% - Accent5 2 2 3 2 2 9" xfId="3617"/>
    <cellStyle name="20% - Accent5 2 2 3 2 3" xfId="2764"/>
    <cellStyle name="20% - Accent5 2 2 3 2 3 2" xfId="7741"/>
    <cellStyle name="20% - Accent5 2 2 3 2 3 3" xfId="12030"/>
    <cellStyle name="20% - Accent5 2 2 3 2 3 4" xfId="16306"/>
    <cellStyle name="20% - Accent5 2 2 3 2 3 5" xfId="20548"/>
    <cellStyle name="20% - Accent5 2 2 3 2 3 6" xfId="24795"/>
    <cellStyle name="20% - Accent5 2 2 3 2 3 7" xfId="28894"/>
    <cellStyle name="20% - Accent5 2 2 3 2 4" xfId="4826"/>
    <cellStyle name="20% - Accent5 2 2 3 2 4 2" xfId="9800"/>
    <cellStyle name="20% - Accent5 2 2 3 2 4 3" xfId="14077"/>
    <cellStyle name="20% - Accent5 2 2 3 2 4 4" xfId="18336"/>
    <cellStyle name="20% - Accent5 2 2 3 2 4 5" xfId="22555"/>
    <cellStyle name="20% - Accent5 2 2 3 2 4 6" xfId="26750"/>
    <cellStyle name="20% - Accent5 2 2 3 2 4 7" xfId="30646"/>
    <cellStyle name="20% - Accent5 2 2 3 2 5" xfId="6174"/>
    <cellStyle name="20% - Accent5 2 2 3 2 5 2" xfId="11146"/>
    <cellStyle name="20% - Accent5 2 2 3 2 5 3" xfId="15424"/>
    <cellStyle name="20% - Accent5 2 2 3 2 5 4" xfId="19681"/>
    <cellStyle name="20% - Accent5 2 2 3 2 5 5" xfId="23898"/>
    <cellStyle name="20% - Accent5 2 2 3 2 5 6" xfId="28084"/>
    <cellStyle name="20% - Accent5 2 2 3 2 5 7" xfId="31963"/>
    <cellStyle name="20% - Accent5 2 2 3 2 6" xfId="7092"/>
    <cellStyle name="20% - Accent5 2 2 3 2 7" xfId="11384"/>
    <cellStyle name="20% - Accent5 2 2 3 2 8" xfId="15662"/>
    <cellStyle name="20% - Accent5 2 2 3 2 9" xfId="19919"/>
    <cellStyle name="20% - Accent5 2 2 3 3" xfId="1123"/>
    <cellStyle name="20% - Accent5 2 2 3 3 2" xfId="5154"/>
    <cellStyle name="20% - Accent5 2 2 3 3 2 2" xfId="10128"/>
    <cellStyle name="20% - Accent5 2 2 3 3 2 3" xfId="14405"/>
    <cellStyle name="20% - Accent5 2 2 3 3 2 4" xfId="18664"/>
    <cellStyle name="20% - Accent5 2 2 3 3 2 5" xfId="22883"/>
    <cellStyle name="20% - Accent5 2 2 3 3 2 6" xfId="27078"/>
    <cellStyle name="20% - Accent5 2 2 3 3 2 7" xfId="30974"/>
    <cellStyle name="20% - Accent5 2 2 3 3 3" xfId="8349"/>
    <cellStyle name="20% - Accent5 2 2 3 3 4" xfId="12634"/>
    <cellStyle name="20% - Accent5 2 2 3 3 5" xfId="16906"/>
    <cellStyle name="20% - Accent5 2 2 3 3 6" xfId="21141"/>
    <cellStyle name="20% - Accent5 2 2 3 3 7" xfId="25379"/>
    <cellStyle name="20% - Accent5 2 2 3 3 8" xfId="29457"/>
    <cellStyle name="20% - Accent5 2 2 3 3 9" xfId="3373"/>
    <cellStyle name="20% - Accent5 2 2 3 4" xfId="2512"/>
    <cellStyle name="20% - Accent5 2 2 3 4 2" xfId="7489"/>
    <cellStyle name="20% - Accent5 2 2 3 4 3" xfId="11778"/>
    <cellStyle name="20% - Accent5 2 2 3 4 4" xfId="16056"/>
    <cellStyle name="20% - Accent5 2 2 3 4 5" xfId="20299"/>
    <cellStyle name="20% - Accent5 2 2 3 4 6" xfId="24545"/>
    <cellStyle name="20% - Accent5 2 2 3 4 7" xfId="28650"/>
    <cellStyle name="20% - Accent5 2 2 3 5" xfId="4496"/>
    <cellStyle name="20% - Accent5 2 2 3 5 2" xfId="9470"/>
    <cellStyle name="20% - Accent5 2 2 3 5 3" xfId="13747"/>
    <cellStyle name="20% - Accent5 2 2 3 5 4" xfId="18007"/>
    <cellStyle name="20% - Accent5 2 2 3 5 5" xfId="22225"/>
    <cellStyle name="20% - Accent5 2 2 3 5 6" xfId="26421"/>
    <cellStyle name="20% - Accent5 2 2 3 5 7" xfId="30317"/>
    <cellStyle name="20% - Accent5 2 2 3 6" xfId="5845"/>
    <cellStyle name="20% - Accent5 2 2 3 6 2" xfId="10817"/>
    <cellStyle name="20% - Accent5 2 2 3 6 3" xfId="15095"/>
    <cellStyle name="20% - Accent5 2 2 3 6 4" xfId="19352"/>
    <cellStyle name="20% - Accent5 2 2 3 6 5" xfId="23569"/>
    <cellStyle name="20% - Accent5 2 2 3 6 6" xfId="27755"/>
    <cellStyle name="20% - Accent5 2 2 3 6 7" xfId="31634"/>
    <cellStyle name="20% - Accent5 2 2 3 7" xfId="6719"/>
    <cellStyle name="20% - Accent5 2 2 3 8" xfId="9168"/>
    <cellStyle name="20% - Accent5 2 2 3 9" xfId="13448"/>
    <cellStyle name="20% - Accent5 2 2 4" xfId="535"/>
    <cellStyle name="20% - Accent5 2 2 4 10" xfId="7386"/>
    <cellStyle name="20% - Accent5 2 2 4 11" xfId="21851"/>
    <cellStyle name="20% - Accent5 2 2 4 12" xfId="20933"/>
    <cellStyle name="20% - Accent5 2 2 4 13" xfId="1898"/>
    <cellStyle name="20% - Accent5 2 2 4 2" xfId="909"/>
    <cellStyle name="20% - Accent5 2 2 4 2 10" xfId="24284"/>
    <cellStyle name="20% - Accent5 2 2 4 2 11" xfId="28436"/>
    <cellStyle name="20% - Accent5 2 2 4 2 12" xfId="2228"/>
    <cellStyle name="20% - Accent5 2 2 4 2 2" xfId="1566"/>
    <cellStyle name="20% - Accent5 2 2 4 2 2 2" xfId="5597"/>
    <cellStyle name="20% - Accent5 2 2 4 2 2 2 2" xfId="10571"/>
    <cellStyle name="20% - Accent5 2 2 4 2 2 2 3" xfId="14848"/>
    <cellStyle name="20% - Accent5 2 2 4 2 2 2 4" xfId="19107"/>
    <cellStyle name="20% - Accent5 2 2 4 2 2 2 5" xfId="23326"/>
    <cellStyle name="20% - Accent5 2 2 4 2 2 2 6" xfId="27521"/>
    <cellStyle name="20% - Accent5 2 2 4 2 2 2 7" xfId="31417"/>
    <cellStyle name="20% - Accent5 2 2 4 2 2 3" xfId="8594"/>
    <cellStyle name="20% - Accent5 2 2 4 2 2 4" xfId="12879"/>
    <cellStyle name="20% - Accent5 2 2 4 2 2 5" xfId="17151"/>
    <cellStyle name="20% - Accent5 2 2 4 2 2 6" xfId="21386"/>
    <cellStyle name="20% - Accent5 2 2 4 2 2 7" xfId="25624"/>
    <cellStyle name="20% - Accent5 2 2 4 2 2 8" xfId="29702"/>
    <cellStyle name="20% - Accent5 2 2 4 2 2 9" xfId="3618"/>
    <cellStyle name="20% - Accent5 2 2 4 2 3" xfId="2765"/>
    <cellStyle name="20% - Accent5 2 2 4 2 3 2" xfId="7742"/>
    <cellStyle name="20% - Accent5 2 2 4 2 3 3" xfId="12031"/>
    <cellStyle name="20% - Accent5 2 2 4 2 3 4" xfId="16307"/>
    <cellStyle name="20% - Accent5 2 2 4 2 3 5" xfId="20549"/>
    <cellStyle name="20% - Accent5 2 2 4 2 3 6" xfId="24796"/>
    <cellStyle name="20% - Accent5 2 2 4 2 3 7" xfId="28895"/>
    <cellStyle name="20% - Accent5 2 2 4 2 4" xfId="4940"/>
    <cellStyle name="20% - Accent5 2 2 4 2 4 2" xfId="9914"/>
    <cellStyle name="20% - Accent5 2 2 4 2 4 3" xfId="14191"/>
    <cellStyle name="20% - Accent5 2 2 4 2 4 4" xfId="18450"/>
    <cellStyle name="20% - Accent5 2 2 4 2 4 5" xfId="22669"/>
    <cellStyle name="20% - Accent5 2 2 4 2 4 6" xfId="26864"/>
    <cellStyle name="20% - Accent5 2 2 4 2 4 7" xfId="30760"/>
    <cellStyle name="20% - Accent5 2 2 4 2 5" xfId="6288"/>
    <cellStyle name="20% - Accent5 2 2 4 2 5 2" xfId="11260"/>
    <cellStyle name="20% - Accent5 2 2 4 2 5 3" xfId="15538"/>
    <cellStyle name="20% - Accent5 2 2 4 2 5 4" xfId="19795"/>
    <cellStyle name="20% - Accent5 2 2 4 2 5 5" xfId="24012"/>
    <cellStyle name="20% - Accent5 2 2 4 2 5 6" xfId="28198"/>
    <cellStyle name="20% - Accent5 2 2 4 2 5 7" xfId="32077"/>
    <cellStyle name="20% - Accent5 2 2 4 2 6" xfId="7206"/>
    <cellStyle name="20% - Accent5 2 2 4 2 7" xfId="11498"/>
    <cellStyle name="20% - Accent5 2 2 4 2 8" xfId="15776"/>
    <cellStyle name="20% - Accent5 2 2 4 2 9" xfId="20033"/>
    <cellStyle name="20% - Accent5 2 2 4 3" xfId="1237"/>
    <cellStyle name="20% - Accent5 2 2 4 3 2" xfId="5268"/>
    <cellStyle name="20% - Accent5 2 2 4 3 2 2" xfId="10242"/>
    <cellStyle name="20% - Accent5 2 2 4 3 2 3" xfId="14519"/>
    <cellStyle name="20% - Accent5 2 2 4 3 2 4" xfId="18778"/>
    <cellStyle name="20% - Accent5 2 2 4 3 2 5" xfId="22997"/>
    <cellStyle name="20% - Accent5 2 2 4 3 2 6" xfId="27192"/>
    <cellStyle name="20% - Accent5 2 2 4 3 2 7" xfId="31088"/>
    <cellStyle name="20% - Accent5 2 2 4 3 3" xfId="8477"/>
    <cellStyle name="20% - Accent5 2 2 4 3 4" xfId="12762"/>
    <cellStyle name="20% - Accent5 2 2 4 3 5" xfId="17034"/>
    <cellStyle name="20% - Accent5 2 2 4 3 6" xfId="21269"/>
    <cellStyle name="20% - Accent5 2 2 4 3 7" xfId="25507"/>
    <cellStyle name="20% - Accent5 2 2 4 3 8" xfId="29585"/>
    <cellStyle name="20% - Accent5 2 2 4 3 9" xfId="3501"/>
    <cellStyle name="20% - Accent5 2 2 4 4" xfId="2644"/>
    <cellStyle name="20% - Accent5 2 2 4 4 2" xfId="7621"/>
    <cellStyle name="20% - Accent5 2 2 4 4 3" xfId="11910"/>
    <cellStyle name="20% - Accent5 2 2 4 4 4" xfId="16186"/>
    <cellStyle name="20% - Accent5 2 2 4 4 5" xfId="20428"/>
    <cellStyle name="20% - Accent5 2 2 4 4 6" xfId="24675"/>
    <cellStyle name="20% - Accent5 2 2 4 4 7" xfId="28778"/>
    <cellStyle name="20% - Accent5 2 2 4 5" xfId="4610"/>
    <cellStyle name="20% - Accent5 2 2 4 5 2" xfId="9584"/>
    <cellStyle name="20% - Accent5 2 2 4 5 3" xfId="13861"/>
    <cellStyle name="20% - Accent5 2 2 4 5 4" xfId="18121"/>
    <cellStyle name="20% - Accent5 2 2 4 5 5" xfId="22339"/>
    <cellStyle name="20% - Accent5 2 2 4 5 6" xfId="26535"/>
    <cellStyle name="20% - Accent5 2 2 4 5 7" xfId="30431"/>
    <cellStyle name="20% - Accent5 2 2 4 6" xfId="5959"/>
    <cellStyle name="20% - Accent5 2 2 4 6 2" xfId="10931"/>
    <cellStyle name="20% - Accent5 2 2 4 6 3" xfId="15209"/>
    <cellStyle name="20% - Accent5 2 2 4 6 4" xfId="19466"/>
    <cellStyle name="20% - Accent5 2 2 4 6 5" xfId="23683"/>
    <cellStyle name="20% - Accent5 2 2 4 6 6" xfId="27869"/>
    <cellStyle name="20% - Accent5 2 2 4 6 7" xfId="31748"/>
    <cellStyle name="20% - Accent5 2 2 4 7" xfId="6833"/>
    <cellStyle name="20% - Accent5 2 2 4 8" xfId="6436"/>
    <cellStyle name="20% - Accent5 2 2 4 9" xfId="6418"/>
    <cellStyle name="20% - Accent5 2 2 5" xfId="636"/>
    <cellStyle name="20% - Accent5 2 2 5 10" xfId="15974"/>
    <cellStyle name="20% - Accent5 2 2 5 11" xfId="9008"/>
    <cellStyle name="20% - Accent5 2 2 5 12" xfId="24467"/>
    <cellStyle name="20% - Accent5 2 2 5 13" xfId="1955"/>
    <cellStyle name="20% - Accent5 2 2 5 2" xfId="1293"/>
    <cellStyle name="20% - Accent5 2 2 5 2 10" xfId="2767"/>
    <cellStyle name="20% - Accent5 2 2 5 2 2" xfId="3620"/>
    <cellStyle name="20% - Accent5 2 2 5 2 2 2" xfId="8596"/>
    <cellStyle name="20% - Accent5 2 2 5 2 2 3" xfId="12881"/>
    <cellStyle name="20% - Accent5 2 2 5 2 2 4" xfId="17153"/>
    <cellStyle name="20% - Accent5 2 2 5 2 2 5" xfId="21388"/>
    <cellStyle name="20% - Accent5 2 2 5 2 2 6" xfId="25626"/>
    <cellStyle name="20% - Accent5 2 2 5 2 2 7" xfId="29704"/>
    <cellStyle name="20% - Accent5 2 2 5 2 3" xfId="5324"/>
    <cellStyle name="20% - Accent5 2 2 5 2 3 2" xfId="10298"/>
    <cellStyle name="20% - Accent5 2 2 5 2 3 3" xfId="14575"/>
    <cellStyle name="20% - Accent5 2 2 5 2 3 4" xfId="18834"/>
    <cellStyle name="20% - Accent5 2 2 5 2 3 5" xfId="23053"/>
    <cellStyle name="20% - Accent5 2 2 5 2 3 6" xfId="27248"/>
    <cellStyle name="20% - Accent5 2 2 5 2 3 7" xfId="31144"/>
    <cellStyle name="20% - Accent5 2 2 5 2 4" xfId="7744"/>
    <cellStyle name="20% - Accent5 2 2 5 2 5" xfId="12033"/>
    <cellStyle name="20% - Accent5 2 2 5 2 6" xfId="16309"/>
    <cellStyle name="20% - Accent5 2 2 5 2 7" xfId="20551"/>
    <cellStyle name="20% - Accent5 2 2 5 2 8" xfId="24798"/>
    <cellStyle name="20% - Accent5 2 2 5 2 9" xfId="28897"/>
    <cellStyle name="20% - Accent5 2 2 5 3" xfId="3619"/>
    <cellStyle name="20% - Accent5 2 2 5 3 2" xfId="8595"/>
    <cellStyle name="20% - Accent5 2 2 5 3 3" xfId="12880"/>
    <cellStyle name="20% - Accent5 2 2 5 3 4" xfId="17152"/>
    <cellStyle name="20% - Accent5 2 2 5 3 5" xfId="21387"/>
    <cellStyle name="20% - Accent5 2 2 5 3 6" xfId="25625"/>
    <cellStyle name="20% - Accent5 2 2 5 3 7" xfId="29703"/>
    <cellStyle name="20% - Accent5 2 2 5 4" xfId="2766"/>
    <cellStyle name="20% - Accent5 2 2 5 4 2" xfId="7743"/>
    <cellStyle name="20% - Accent5 2 2 5 4 3" xfId="12032"/>
    <cellStyle name="20% - Accent5 2 2 5 4 4" xfId="16308"/>
    <cellStyle name="20% - Accent5 2 2 5 4 5" xfId="20550"/>
    <cellStyle name="20% - Accent5 2 2 5 4 6" xfId="24797"/>
    <cellStyle name="20% - Accent5 2 2 5 4 7" xfId="28896"/>
    <cellStyle name="20% - Accent5 2 2 5 5" xfId="4667"/>
    <cellStyle name="20% - Accent5 2 2 5 5 2" xfId="9641"/>
    <cellStyle name="20% - Accent5 2 2 5 5 3" xfId="13918"/>
    <cellStyle name="20% - Accent5 2 2 5 5 4" xfId="18177"/>
    <cellStyle name="20% - Accent5 2 2 5 5 5" xfId="22396"/>
    <cellStyle name="20% - Accent5 2 2 5 5 6" xfId="26591"/>
    <cellStyle name="20% - Accent5 2 2 5 5 7" xfId="30487"/>
    <cellStyle name="20% - Accent5 2 2 5 6" xfId="6015"/>
    <cellStyle name="20% - Accent5 2 2 5 6 2" xfId="10987"/>
    <cellStyle name="20% - Accent5 2 2 5 6 3" xfId="15265"/>
    <cellStyle name="20% - Accent5 2 2 5 6 4" xfId="19522"/>
    <cellStyle name="20% - Accent5 2 2 5 6 5" xfId="23739"/>
    <cellStyle name="20% - Accent5 2 2 5 6 6" xfId="27925"/>
    <cellStyle name="20% - Accent5 2 2 5 6 7" xfId="31804"/>
    <cellStyle name="20% - Accent5 2 2 5 7" xfId="6933"/>
    <cellStyle name="20% - Accent5 2 2 5 8" xfId="7407"/>
    <cellStyle name="20% - Accent5 2 2 5 9" xfId="11695"/>
    <cellStyle name="20% - Accent5 2 2 6" xfId="964"/>
    <cellStyle name="20% - Accent5 2 2 6 10" xfId="2768"/>
    <cellStyle name="20% - Accent5 2 2 6 2" xfId="3621"/>
    <cellStyle name="20% - Accent5 2 2 6 2 2" xfId="8597"/>
    <cellStyle name="20% - Accent5 2 2 6 2 3" xfId="12882"/>
    <cellStyle name="20% - Accent5 2 2 6 2 4" xfId="17154"/>
    <cellStyle name="20% - Accent5 2 2 6 2 5" xfId="21389"/>
    <cellStyle name="20% - Accent5 2 2 6 2 6" xfId="25627"/>
    <cellStyle name="20% - Accent5 2 2 6 2 7" xfId="29705"/>
    <cellStyle name="20% - Accent5 2 2 6 3" xfId="4995"/>
    <cellStyle name="20% - Accent5 2 2 6 3 2" xfId="9969"/>
    <cellStyle name="20% - Accent5 2 2 6 3 3" xfId="14246"/>
    <cellStyle name="20% - Accent5 2 2 6 3 4" xfId="18505"/>
    <cellStyle name="20% - Accent5 2 2 6 3 5" xfId="22724"/>
    <cellStyle name="20% - Accent5 2 2 6 3 6" xfId="26919"/>
    <cellStyle name="20% - Accent5 2 2 6 3 7" xfId="30815"/>
    <cellStyle name="20% - Accent5 2 2 6 4" xfId="7745"/>
    <cellStyle name="20% - Accent5 2 2 6 5" xfId="12034"/>
    <cellStyle name="20% - Accent5 2 2 6 6" xfId="16310"/>
    <cellStyle name="20% - Accent5 2 2 6 7" xfId="20552"/>
    <cellStyle name="20% - Accent5 2 2 6 8" xfId="24799"/>
    <cellStyle name="20% - Accent5 2 2 6 9" xfId="28898"/>
    <cellStyle name="20% - Accent5 2 2 7" xfId="3207"/>
    <cellStyle name="20% - Accent5 2 2 7 2" xfId="8183"/>
    <cellStyle name="20% - Accent5 2 2 7 3" xfId="12469"/>
    <cellStyle name="20% - Accent5 2 2 7 4" xfId="16743"/>
    <cellStyle name="20% - Accent5 2 2 7 5" xfId="20979"/>
    <cellStyle name="20% - Accent5 2 2 7 6" xfId="25219"/>
    <cellStyle name="20% - Accent5 2 2 7 7" xfId="29300"/>
    <cellStyle name="20% - Accent5 2 2 8" xfId="2304"/>
    <cellStyle name="20% - Accent5 2 2 8 2" xfId="7282"/>
    <cellStyle name="20% - Accent5 2 2 8 3" xfId="11572"/>
    <cellStyle name="20% - Accent5 2 2 8 4" xfId="15850"/>
    <cellStyle name="20% - Accent5 2 2 8 5" xfId="20103"/>
    <cellStyle name="20% - Accent5 2 2 8 6" xfId="24354"/>
    <cellStyle name="20% - Accent5 2 2 8 7" xfId="28491"/>
    <cellStyle name="20% - Accent5 2 2 9" xfId="4332"/>
    <cellStyle name="20% - Accent5 2 2 9 2" xfId="9306"/>
    <cellStyle name="20% - Accent5 2 2 9 3" xfId="13583"/>
    <cellStyle name="20% - Accent5 2 2 9 4" xfId="17843"/>
    <cellStyle name="20% - Accent5 2 2 9 5" xfId="22062"/>
    <cellStyle name="20% - Accent5 2 2 9 6" xfId="26260"/>
    <cellStyle name="20% - Accent5 2 2 9 7" xfId="30157"/>
    <cellStyle name="20% - Accent5 2 3" xfId="241"/>
    <cellStyle name="20% - Accent5 2 3 10" xfId="9597"/>
    <cellStyle name="20% - Accent5 2 3 11" xfId="13874"/>
    <cellStyle name="20% - Accent5 2 3 12" xfId="21870"/>
    <cellStyle name="20% - Accent5 2 3 13" xfId="17702"/>
    <cellStyle name="20% - Accent5 2 3 14" xfId="1646"/>
    <cellStyle name="20% - Accent5 2 3 2" xfId="453"/>
    <cellStyle name="20% - Accent5 2 3 2 10" xfId="17796"/>
    <cellStyle name="20% - Accent5 2 3 2 11" xfId="17778"/>
    <cellStyle name="20% - Accent5 2 3 2 12" xfId="26213"/>
    <cellStyle name="20% - Accent5 2 3 2 13" xfId="1816"/>
    <cellStyle name="20% - Accent5 2 3 2 2" xfId="827"/>
    <cellStyle name="20% - Accent5 2 3 2 2 10" xfId="24202"/>
    <cellStyle name="20% - Accent5 2 3 2 2 11" xfId="28354"/>
    <cellStyle name="20% - Accent5 2 3 2 2 12" xfId="2146"/>
    <cellStyle name="20% - Accent5 2 3 2 2 2" xfId="1484"/>
    <cellStyle name="20% - Accent5 2 3 2 2 2 2" xfId="5515"/>
    <cellStyle name="20% - Accent5 2 3 2 2 2 2 2" xfId="10489"/>
    <cellStyle name="20% - Accent5 2 3 2 2 2 2 3" xfId="14766"/>
    <cellStyle name="20% - Accent5 2 3 2 2 2 2 4" xfId="19025"/>
    <cellStyle name="20% - Accent5 2 3 2 2 2 2 5" xfId="23244"/>
    <cellStyle name="20% - Accent5 2 3 2 2 2 2 6" xfId="27439"/>
    <cellStyle name="20% - Accent5 2 3 2 2 2 2 7" xfId="31335"/>
    <cellStyle name="20% - Accent5 2 3 2 2 2 3" xfId="8598"/>
    <cellStyle name="20% - Accent5 2 3 2 2 2 4" xfId="12883"/>
    <cellStyle name="20% - Accent5 2 3 2 2 2 5" xfId="17155"/>
    <cellStyle name="20% - Accent5 2 3 2 2 2 6" xfId="21390"/>
    <cellStyle name="20% - Accent5 2 3 2 2 2 7" xfId="25628"/>
    <cellStyle name="20% - Accent5 2 3 2 2 2 8" xfId="29706"/>
    <cellStyle name="20% - Accent5 2 3 2 2 2 9" xfId="3622"/>
    <cellStyle name="20% - Accent5 2 3 2 2 3" xfId="2769"/>
    <cellStyle name="20% - Accent5 2 3 2 2 3 2" xfId="7746"/>
    <cellStyle name="20% - Accent5 2 3 2 2 3 3" xfId="12035"/>
    <cellStyle name="20% - Accent5 2 3 2 2 3 4" xfId="16311"/>
    <cellStyle name="20% - Accent5 2 3 2 2 3 5" xfId="20553"/>
    <cellStyle name="20% - Accent5 2 3 2 2 3 6" xfId="24800"/>
    <cellStyle name="20% - Accent5 2 3 2 2 3 7" xfId="28899"/>
    <cellStyle name="20% - Accent5 2 3 2 2 4" xfId="4858"/>
    <cellStyle name="20% - Accent5 2 3 2 2 4 2" xfId="9832"/>
    <cellStyle name="20% - Accent5 2 3 2 2 4 3" xfId="14109"/>
    <cellStyle name="20% - Accent5 2 3 2 2 4 4" xfId="18368"/>
    <cellStyle name="20% - Accent5 2 3 2 2 4 5" xfId="22587"/>
    <cellStyle name="20% - Accent5 2 3 2 2 4 6" xfId="26782"/>
    <cellStyle name="20% - Accent5 2 3 2 2 4 7" xfId="30678"/>
    <cellStyle name="20% - Accent5 2 3 2 2 5" xfId="6206"/>
    <cellStyle name="20% - Accent5 2 3 2 2 5 2" xfId="11178"/>
    <cellStyle name="20% - Accent5 2 3 2 2 5 3" xfId="15456"/>
    <cellStyle name="20% - Accent5 2 3 2 2 5 4" xfId="19713"/>
    <cellStyle name="20% - Accent5 2 3 2 2 5 5" xfId="23930"/>
    <cellStyle name="20% - Accent5 2 3 2 2 5 6" xfId="28116"/>
    <cellStyle name="20% - Accent5 2 3 2 2 5 7" xfId="31995"/>
    <cellStyle name="20% - Accent5 2 3 2 2 6" xfId="7124"/>
    <cellStyle name="20% - Accent5 2 3 2 2 7" xfId="11416"/>
    <cellStyle name="20% - Accent5 2 3 2 2 8" xfId="15694"/>
    <cellStyle name="20% - Accent5 2 3 2 2 9" xfId="19951"/>
    <cellStyle name="20% - Accent5 2 3 2 3" xfId="1155"/>
    <cellStyle name="20% - Accent5 2 3 2 3 2" xfId="5186"/>
    <cellStyle name="20% - Accent5 2 3 2 3 2 2" xfId="10160"/>
    <cellStyle name="20% - Accent5 2 3 2 3 2 3" xfId="14437"/>
    <cellStyle name="20% - Accent5 2 3 2 3 2 4" xfId="18696"/>
    <cellStyle name="20% - Accent5 2 3 2 3 2 5" xfId="22915"/>
    <cellStyle name="20% - Accent5 2 3 2 3 2 6" xfId="27110"/>
    <cellStyle name="20% - Accent5 2 3 2 3 2 7" xfId="31006"/>
    <cellStyle name="20% - Accent5 2 3 2 3 3" xfId="8381"/>
    <cellStyle name="20% - Accent5 2 3 2 3 4" xfId="12666"/>
    <cellStyle name="20% - Accent5 2 3 2 3 5" xfId="16938"/>
    <cellStyle name="20% - Accent5 2 3 2 3 6" xfId="21173"/>
    <cellStyle name="20% - Accent5 2 3 2 3 7" xfId="25411"/>
    <cellStyle name="20% - Accent5 2 3 2 3 8" xfId="29489"/>
    <cellStyle name="20% - Accent5 2 3 2 3 9" xfId="3405"/>
    <cellStyle name="20% - Accent5 2 3 2 4" xfId="2544"/>
    <cellStyle name="20% - Accent5 2 3 2 4 2" xfId="7521"/>
    <cellStyle name="20% - Accent5 2 3 2 4 3" xfId="11810"/>
    <cellStyle name="20% - Accent5 2 3 2 4 4" xfId="16088"/>
    <cellStyle name="20% - Accent5 2 3 2 4 5" xfId="20331"/>
    <cellStyle name="20% - Accent5 2 3 2 4 6" xfId="24577"/>
    <cellStyle name="20% - Accent5 2 3 2 4 7" xfId="28682"/>
    <cellStyle name="20% - Accent5 2 3 2 5" xfId="4528"/>
    <cellStyle name="20% - Accent5 2 3 2 5 2" xfId="9502"/>
    <cellStyle name="20% - Accent5 2 3 2 5 3" xfId="13779"/>
    <cellStyle name="20% - Accent5 2 3 2 5 4" xfId="18039"/>
    <cellStyle name="20% - Accent5 2 3 2 5 5" xfId="22257"/>
    <cellStyle name="20% - Accent5 2 3 2 5 6" xfId="26453"/>
    <cellStyle name="20% - Accent5 2 3 2 5 7" xfId="30349"/>
    <cellStyle name="20% - Accent5 2 3 2 6" xfId="5877"/>
    <cellStyle name="20% - Accent5 2 3 2 6 2" xfId="10849"/>
    <cellStyle name="20% - Accent5 2 3 2 6 3" xfId="15127"/>
    <cellStyle name="20% - Accent5 2 3 2 6 4" xfId="19384"/>
    <cellStyle name="20% - Accent5 2 3 2 6 5" xfId="23601"/>
    <cellStyle name="20% - Accent5 2 3 2 6 6" xfId="27787"/>
    <cellStyle name="20% - Accent5 2 3 2 6 7" xfId="31666"/>
    <cellStyle name="20% - Accent5 2 3 2 7" xfId="6751"/>
    <cellStyle name="20% - Accent5 2 3 2 8" xfId="9259"/>
    <cellStyle name="20% - Accent5 2 3 2 9" xfId="13536"/>
    <cellStyle name="20% - Accent5 2 3 3" xfId="660"/>
    <cellStyle name="20% - Accent5 2 3 3 10" xfId="24035"/>
    <cellStyle name="20% - Accent5 2 3 3 11" xfId="19144"/>
    <cellStyle name="20% - Accent5 2 3 3 12" xfId="1979"/>
    <cellStyle name="20% - Accent5 2 3 3 2" xfId="1317"/>
    <cellStyle name="20% - Accent5 2 3 3 2 2" xfId="5348"/>
    <cellStyle name="20% - Accent5 2 3 3 2 2 2" xfId="10322"/>
    <cellStyle name="20% - Accent5 2 3 3 2 2 3" xfId="14599"/>
    <cellStyle name="20% - Accent5 2 3 3 2 2 4" xfId="18858"/>
    <cellStyle name="20% - Accent5 2 3 3 2 2 5" xfId="23077"/>
    <cellStyle name="20% - Accent5 2 3 3 2 2 6" xfId="27272"/>
    <cellStyle name="20% - Accent5 2 3 3 2 2 7" xfId="31168"/>
    <cellStyle name="20% - Accent5 2 3 3 2 3" xfId="8599"/>
    <cellStyle name="20% - Accent5 2 3 3 2 4" xfId="12884"/>
    <cellStyle name="20% - Accent5 2 3 3 2 5" xfId="17156"/>
    <cellStyle name="20% - Accent5 2 3 3 2 6" xfId="21391"/>
    <cellStyle name="20% - Accent5 2 3 3 2 7" xfId="25629"/>
    <cellStyle name="20% - Accent5 2 3 3 2 8" xfId="29707"/>
    <cellStyle name="20% - Accent5 2 3 3 2 9" xfId="3623"/>
    <cellStyle name="20% - Accent5 2 3 3 3" xfId="2770"/>
    <cellStyle name="20% - Accent5 2 3 3 3 2" xfId="7747"/>
    <cellStyle name="20% - Accent5 2 3 3 3 3" xfId="12036"/>
    <cellStyle name="20% - Accent5 2 3 3 3 4" xfId="16312"/>
    <cellStyle name="20% - Accent5 2 3 3 3 5" xfId="20554"/>
    <cellStyle name="20% - Accent5 2 3 3 3 6" xfId="24801"/>
    <cellStyle name="20% - Accent5 2 3 3 3 7" xfId="28900"/>
    <cellStyle name="20% - Accent5 2 3 3 4" xfId="4691"/>
    <cellStyle name="20% - Accent5 2 3 3 4 2" xfId="9665"/>
    <cellStyle name="20% - Accent5 2 3 3 4 3" xfId="13942"/>
    <cellStyle name="20% - Accent5 2 3 3 4 4" xfId="18201"/>
    <cellStyle name="20% - Accent5 2 3 3 4 5" xfId="22420"/>
    <cellStyle name="20% - Accent5 2 3 3 4 6" xfId="26615"/>
    <cellStyle name="20% - Accent5 2 3 3 4 7" xfId="30511"/>
    <cellStyle name="20% - Accent5 2 3 3 5" xfId="6039"/>
    <cellStyle name="20% - Accent5 2 3 3 5 2" xfId="11011"/>
    <cellStyle name="20% - Accent5 2 3 3 5 3" xfId="15289"/>
    <cellStyle name="20% - Accent5 2 3 3 5 4" xfId="19546"/>
    <cellStyle name="20% - Accent5 2 3 3 5 5" xfId="23763"/>
    <cellStyle name="20% - Accent5 2 3 3 5 6" xfId="27949"/>
    <cellStyle name="20% - Accent5 2 3 3 5 7" xfId="31828"/>
    <cellStyle name="20% - Accent5 2 3 3 6" xfId="6957"/>
    <cellStyle name="20% - Accent5 2 3 3 7" xfId="6422"/>
    <cellStyle name="20% - Accent5 2 3 3 8" xfId="10610"/>
    <cellStyle name="20% - Accent5 2 3 3 9" xfId="14888"/>
    <cellStyle name="20% - Accent5 2 3 4" xfId="988"/>
    <cellStyle name="20% - Accent5 2 3 4 2" xfId="5019"/>
    <cellStyle name="20% - Accent5 2 3 4 2 2" xfId="9993"/>
    <cellStyle name="20% - Accent5 2 3 4 2 3" xfId="14270"/>
    <cellStyle name="20% - Accent5 2 3 4 2 4" xfId="18529"/>
    <cellStyle name="20% - Accent5 2 3 4 2 5" xfId="22748"/>
    <cellStyle name="20% - Accent5 2 3 4 2 6" xfId="26943"/>
    <cellStyle name="20% - Accent5 2 3 4 2 7" xfId="30839"/>
    <cellStyle name="20% - Accent5 2 3 4 3" xfId="8226"/>
    <cellStyle name="20% - Accent5 2 3 4 4" xfId="12511"/>
    <cellStyle name="20% - Accent5 2 3 4 5" xfId="16784"/>
    <cellStyle name="20% - Accent5 2 3 4 6" xfId="21021"/>
    <cellStyle name="20% - Accent5 2 3 4 7" xfId="25258"/>
    <cellStyle name="20% - Accent5 2 3 4 8" xfId="29337"/>
    <cellStyle name="20% - Accent5 2 3 4 9" xfId="3250"/>
    <cellStyle name="20% - Accent5 2 3 5" xfId="2364"/>
    <cellStyle name="20% - Accent5 2 3 5 2" xfId="7342"/>
    <cellStyle name="20% - Accent5 2 3 5 3" xfId="11631"/>
    <cellStyle name="20% - Accent5 2 3 5 4" xfId="15910"/>
    <cellStyle name="20% - Accent5 2 3 5 5" xfId="20160"/>
    <cellStyle name="20% - Accent5 2 3 5 6" xfId="24407"/>
    <cellStyle name="20% - Accent5 2 3 5 7" xfId="28529"/>
    <cellStyle name="20% - Accent5 2 3 6" xfId="4360"/>
    <cellStyle name="20% - Accent5 2 3 6 2" xfId="9334"/>
    <cellStyle name="20% - Accent5 2 3 6 3" xfId="13611"/>
    <cellStyle name="20% - Accent5 2 3 6 4" xfId="17871"/>
    <cellStyle name="20% - Accent5 2 3 6 5" xfId="22090"/>
    <cellStyle name="20% - Accent5 2 3 6 6" xfId="26286"/>
    <cellStyle name="20% - Accent5 2 3 6 7" xfId="30182"/>
    <cellStyle name="20% - Accent5 2 3 7" xfId="5710"/>
    <cellStyle name="20% - Accent5 2 3 7 2" xfId="10682"/>
    <cellStyle name="20% - Accent5 2 3 7 3" xfId="14960"/>
    <cellStyle name="20% - Accent5 2 3 7 4" xfId="19217"/>
    <cellStyle name="20% - Accent5 2 3 7 5" xfId="23434"/>
    <cellStyle name="20% - Accent5 2 3 7 6" xfId="27620"/>
    <cellStyle name="20% - Accent5 2 3 7 7" xfId="31499"/>
    <cellStyle name="20% - Accent5 2 3 8" xfId="6539"/>
    <cellStyle name="20% - Accent5 2 3 9" xfId="6448"/>
    <cellStyle name="20% - Accent5 2 4" xfId="387"/>
    <cellStyle name="20% - Accent5 2 4 10" xfId="13427"/>
    <cellStyle name="20% - Accent5 2 4 11" xfId="17692"/>
    <cellStyle name="20% - Accent5 2 4 12" xfId="21939"/>
    <cellStyle name="20% - Accent5 2 4 13" xfId="26129"/>
    <cellStyle name="20% - Accent5 2 4 14" xfId="1750"/>
    <cellStyle name="20% - Accent5 2 4 2" xfId="761"/>
    <cellStyle name="20% - Accent5 2 4 2 10" xfId="24136"/>
    <cellStyle name="20% - Accent5 2 4 2 11" xfId="28288"/>
    <cellStyle name="20% - Accent5 2 4 2 12" xfId="2080"/>
    <cellStyle name="20% - Accent5 2 4 2 2" xfId="1418"/>
    <cellStyle name="20% - Accent5 2 4 2 2 2" xfId="5449"/>
    <cellStyle name="20% - Accent5 2 4 2 2 2 2" xfId="10423"/>
    <cellStyle name="20% - Accent5 2 4 2 2 2 3" xfId="14700"/>
    <cellStyle name="20% - Accent5 2 4 2 2 2 4" xfId="18959"/>
    <cellStyle name="20% - Accent5 2 4 2 2 2 5" xfId="23178"/>
    <cellStyle name="20% - Accent5 2 4 2 2 2 6" xfId="27373"/>
    <cellStyle name="20% - Accent5 2 4 2 2 2 7" xfId="31269"/>
    <cellStyle name="20% - Accent5 2 4 2 2 3" xfId="8600"/>
    <cellStyle name="20% - Accent5 2 4 2 2 4" xfId="12885"/>
    <cellStyle name="20% - Accent5 2 4 2 2 5" xfId="17157"/>
    <cellStyle name="20% - Accent5 2 4 2 2 6" xfId="21392"/>
    <cellStyle name="20% - Accent5 2 4 2 2 7" xfId="25630"/>
    <cellStyle name="20% - Accent5 2 4 2 2 8" xfId="29708"/>
    <cellStyle name="20% - Accent5 2 4 2 2 9" xfId="3624"/>
    <cellStyle name="20% - Accent5 2 4 2 3" xfId="2771"/>
    <cellStyle name="20% - Accent5 2 4 2 3 2" xfId="7748"/>
    <cellStyle name="20% - Accent5 2 4 2 3 3" xfId="12037"/>
    <cellStyle name="20% - Accent5 2 4 2 3 4" xfId="16313"/>
    <cellStyle name="20% - Accent5 2 4 2 3 5" xfId="20555"/>
    <cellStyle name="20% - Accent5 2 4 2 3 6" xfId="24802"/>
    <cellStyle name="20% - Accent5 2 4 2 3 7" xfId="28901"/>
    <cellStyle name="20% - Accent5 2 4 2 4" xfId="4792"/>
    <cellStyle name="20% - Accent5 2 4 2 4 2" xfId="9766"/>
    <cellStyle name="20% - Accent5 2 4 2 4 3" xfId="14043"/>
    <cellStyle name="20% - Accent5 2 4 2 4 4" xfId="18302"/>
    <cellStyle name="20% - Accent5 2 4 2 4 5" xfId="22521"/>
    <cellStyle name="20% - Accent5 2 4 2 4 6" xfId="26716"/>
    <cellStyle name="20% - Accent5 2 4 2 4 7" xfId="30612"/>
    <cellStyle name="20% - Accent5 2 4 2 5" xfId="6140"/>
    <cellStyle name="20% - Accent5 2 4 2 5 2" xfId="11112"/>
    <cellStyle name="20% - Accent5 2 4 2 5 3" xfId="15390"/>
    <cellStyle name="20% - Accent5 2 4 2 5 4" xfId="19647"/>
    <cellStyle name="20% - Accent5 2 4 2 5 5" xfId="23864"/>
    <cellStyle name="20% - Accent5 2 4 2 5 6" xfId="28050"/>
    <cellStyle name="20% - Accent5 2 4 2 5 7" xfId="31929"/>
    <cellStyle name="20% - Accent5 2 4 2 6" xfId="7058"/>
    <cellStyle name="20% - Accent5 2 4 2 7" xfId="11350"/>
    <cellStyle name="20% - Accent5 2 4 2 8" xfId="15628"/>
    <cellStyle name="20% - Accent5 2 4 2 9" xfId="19885"/>
    <cellStyle name="20% - Accent5 2 4 3" xfId="1089"/>
    <cellStyle name="20% - Accent5 2 4 3 2" xfId="5120"/>
    <cellStyle name="20% - Accent5 2 4 3 2 2" xfId="10094"/>
    <cellStyle name="20% - Accent5 2 4 3 2 3" xfId="14371"/>
    <cellStyle name="20% - Accent5 2 4 3 2 4" xfId="18630"/>
    <cellStyle name="20% - Accent5 2 4 3 2 5" xfId="22849"/>
    <cellStyle name="20% - Accent5 2 4 3 2 6" xfId="27044"/>
    <cellStyle name="20% - Accent5 2 4 3 2 7" xfId="30940"/>
    <cellStyle name="20% - Accent5 2 4 3 3" xfId="8315"/>
    <cellStyle name="20% - Accent5 2 4 3 4" xfId="12600"/>
    <cellStyle name="20% - Accent5 2 4 3 5" xfId="16872"/>
    <cellStyle name="20% - Accent5 2 4 3 6" xfId="21107"/>
    <cellStyle name="20% - Accent5 2 4 3 7" xfId="25345"/>
    <cellStyle name="20% - Accent5 2 4 3 8" xfId="29423"/>
    <cellStyle name="20% - Accent5 2 4 3 9" xfId="3339"/>
    <cellStyle name="20% - Accent5 2 4 4" xfId="2478"/>
    <cellStyle name="20% - Accent5 2 4 4 2" xfId="7455"/>
    <cellStyle name="20% - Accent5 2 4 4 3" xfId="11744"/>
    <cellStyle name="20% - Accent5 2 4 4 4" xfId="16022"/>
    <cellStyle name="20% - Accent5 2 4 4 5" xfId="20265"/>
    <cellStyle name="20% - Accent5 2 4 4 6" xfId="24511"/>
    <cellStyle name="20% - Accent5 2 4 4 7" xfId="28616"/>
    <cellStyle name="20% - Accent5 2 4 5" xfId="4268"/>
    <cellStyle name="20% - Accent5 2 4 6" xfId="4462"/>
    <cellStyle name="20% - Accent5 2 4 6 2" xfId="9436"/>
    <cellStyle name="20% - Accent5 2 4 6 3" xfId="13713"/>
    <cellStyle name="20% - Accent5 2 4 6 4" xfId="17973"/>
    <cellStyle name="20% - Accent5 2 4 6 5" xfId="22191"/>
    <cellStyle name="20% - Accent5 2 4 6 6" xfId="26387"/>
    <cellStyle name="20% - Accent5 2 4 6 7" xfId="30283"/>
    <cellStyle name="20% - Accent5 2 4 7" xfId="5811"/>
    <cellStyle name="20% - Accent5 2 4 7 2" xfId="10783"/>
    <cellStyle name="20% - Accent5 2 4 7 3" xfId="15061"/>
    <cellStyle name="20% - Accent5 2 4 7 4" xfId="19318"/>
    <cellStyle name="20% - Accent5 2 4 7 5" xfId="23535"/>
    <cellStyle name="20% - Accent5 2 4 7 6" xfId="27721"/>
    <cellStyle name="20% - Accent5 2 4 7 7" xfId="31600"/>
    <cellStyle name="20% - Accent5 2 4 8" xfId="6685"/>
    <cellStyle name="20% - Accent5 2 4 9" xfId="9147"/>
    <cellStyle name="20% - Accent5 2 5" xfId="502"/>
    <cellStyle name="20% - Accent5 2 5 10" xfId="13244"/>
    <cellStyle name="20% - Accent5 2 5 11" xfId="23355"/>
    <cellStyle name="20% - Accent5 2 5 12" xfId="20935"/>
    <cellStyle name="20% - Accent5 2 5 13" xfId="1865"/>
    <cellStyle name="20% - Accent5 2 5 2" xfId="876"/>
    <cellStyle name="20% - Accent5 2 5 2 10" xfId="24251"/>
    <cellStyle name="20% - Accent5 2 5 2 11" xfId="28403"/>
    <cellStyle name="20% - Accent5 2 5 2 12" xfId="2195"/>
    <cellStyle name="20% - Accent5 2 5 2 2" xfId="1533"/>
    <cellStyle name="20% - Accent5 2 5 2 2 2" xfId="5564"/>
    <cellStyle name="20% - Accent5 2 5 2 2 2 2" xfId="10538"/>
    <cellStyle name="20% - Accent5 2 5 2 2 2 3" xfId="14815"/>
    <cellStyle name="20% - Accent5 2 5 2 2 2 4" xfId="19074"/>
    <cellStyle name="20% - Accent5 2 5 2 2 2 5" xfId="23293"/>
    <cellStyle name="20% - Accent5 2 5 2 2 2 6" xfId="27488"/>
    <cellStyle name="20% - Accent5 2 5 2 2 2 7" xfId="31384"/>
    <cellStyle name="20% - Accent5 2 5 2 2 3" xfId="8601"/>
    <cellStyle name="20% - Accent5 2 5 2 2 4" xfId="12886"/>
    <cellStyle name="20% - Accent5 2 5 2 2 5" xfId="17158"/>
    <cellStyle name="20% - Accent5 2 5 2 2 6" xfId="21393"/>
    <cellStyle name="20% - Accent5 2 5 2 2 7" xfId="25631"/>
    <cellStyle name="20% - Accent5 2 5 2 2 8" xfId="29709"/>
    <cellStyle name="20% - Accent5 2 5 2 2 9" xfId="3625"/>
    <cellStyle name="20% - Accent5 2 5 2 3" xfId="2772"/>
    <cellStyle name="20% - Accent5 2 5 2 3 2" xfId="7749"/>
    <cellStyle name="20% - Accent5 2 5 2 3 3" xfId="12038"/>
    <cellStyle name="20% - Accent5 2 5 2 3 4" xfId="16314"/>
    <cellStyle name="20% - Accent5 2 5 2 3 5" xfId="20556"/>
    <cellStyle name="20% - Accent5 2 5 2 3 6" xfId="24803"/>
    <cellStyle name="20% - Accent5 2 5 2 3 7" xfId="28902"/>
    <cellStyle name="20% - Accent5 2 5 2 4" xfId="4907"/>
    <cellStyle name="20% - Accent5 2 5 2 4 2" xfId="9881"/>
    <cellStyle name="20% - Accent5 2 5 2 4 3" xfId="14158"/>
    <cellStyle name="20% - Accent5 2 5 2 4 4" xfId="18417"/>
    <cellStyle name="20% - Accent5 2 5 2 4 5" xfId="22636"/>
    <cellStyle name="20% - Accent5 2 5 2 4 6" xfId="26831"/>
    <cellStyle name="20% - Accent5 2 5 2 4 7" xfId="30727"/>
    <cellStyle name="20% - Accent5 2 5 2 5" xfId="6255"/>
    <cellStyle name="20% - Accent5 2 5 2 5 2" xfId="11227"/>
    <cellStyle name="20% - Accent5 2 5 2 5 3" xfId="15505"/>
    <cellStyle name="20% - Accent5 2 5 2 5 4" xfId="19762"/>
    <cellStyle name="20% - Accent5 2 5 2 5 5" xfId="23979"/>
    <cellStyle name="20% - Accent5 2 5 2 5 6" xfId="28165"/>
    <cellStyle name="20% - Accent5 2 5 2 5 7" xfId="32044"/>
    <cellStyle name="20% - Accent5 2 5 2 6" xfId="7173"/>
    <cellStyle name="20% - Accent5 2 5 2 7" xfId="11465"/>
    <cellStyle name="20% - Accent5 2 5 2 8" xfId="15743"/>
    <cellStyle name="20% - Accent5 2 5 2 9" xfId="20000"/>
    <cellStyle name="20% - Accent5 2 5 3" xfId="1204"/>
    <cellStyle name="20% - Accent5 2 5 3 2" xfId="5235"/>
    <cellStyle name="20% - Accent5 2 5 3 2 2" xfId="10209"/>
    <cellStyle name="20% - Accent5 2 5 3 2 3" xfId="14486"/>
    <cellStyle name="20% - Accent5 2 5 3 2 4" xfId="18745"/>
    <cellStyle name="20% - Accent5 2 5 3 2 5" xfId="22964"/>
    <cellStyle name="20% - Accent5 2 5 3 2 6" xfId="27159"/>
    <cellStyle name="20% - Accent5 2 5 3 2 7" xfId="31055"/>
    <cellStyle name="20% - Accent5 2 5 3 3" xfId="8445"/>
    <cellStyle name="20% - Accent5 2 5 3 4" xfId="12730"/>
    <cellStyle name="20% - Accent5 2 5 3 5" xfId="17002"/>
    <cellStyle name="20% - Accent5 2 5 3 6" xfId="21237"/>
    <cellStyle name="20% - Accent5 2 5 3 7" xfId="25475"/>
    <cellStyle name="20% - Accent5 2 5 3 8" xfId="29553"/>
    <cellStyle name="20% - Accent5 2 5 3 9" xfId="3469"/>
    <cellStyle name="20% - Accent5 2 5 4" xfId="2611"/>
    <cellStyle name="20% - Accent5 2 5 4 2" xfId="7588"/>
    <cellStyle name="20% - Accent5 2 5 4 3" xfId="11877"/>
    <cellStyle name="20% - Accent5 2 5 4 4" xfId="16153"/>
    <cellStyle name="20% - Accent5 2 5 4 5" xfId="20396"/>
    <cellStyle name="20% - Accent5 2 5 4 6" xfId="24642"/>
    <cellStyle name="20% - Accent5 2 5 4 7" xfId="28746"/>
    <cellStyle name="20% - Accent5 2 5 5" xfId="4577"/>
    <cellStyle name="20% - Accent5 2 5 5 2" xfId="9551"/>
    <cellStyle name="20% - Accent5 2 5 5 3" xfId="13828"/>
    <cellStyle name="20% - Accent5 2 5 5 4" xfId="18088"/>
    <cellStyle name="20% - Accent5 2 5 5 5" xfId="22306"/>
    <cellStyle name="20% - Accent5 2 5 5 6" xfId="26502"/>
    <cellStyle name="20% - Accent5 2 5 5 7" xfId="30398"/>
    <cellStyle name="20% - Accent5 2 5 6" xfId="5926"/>
    <cellStyle name="20% - Accent5 2 5 6 2" xfId="10898"/>
    <cellStyle name="20% - Accent5 2 5 6 3" xfId="15176"/>
    <cellStyle name="20% - Accent5 2 5 6 4" xfId="19433"/>
    <cellStyle name="20% - Accent5 2 5 6 5" xfId="23650"/>
    <cellStyle name="20% - Accent5 2 5 6 6" xfId="27836"/>
    <cellStyle name="20% - Accent5 2 5 6 7" xfId="31715"/>
    <cellStyle name="20% - Accent5 2 5 7" xfId="6800"/>
    <cellStyle name="20% - Accent5 2 5 8" xfId="6323"/>
    <cellStyle name="20% - Accent5 2 5 9" xfId="8962"/>
    <cellStyle name="20% - Accent5 2 6" xfId="603"/>
    <cellStyle name="20% - Accent5 2 6 10" xfId="16407"/>
    <cellStyle name="20% - Accent5 2 6 11" xfId="16516"/>
    <cellStyle name="20% - Accent5 2 6 12" xfId="24896"/>
    <cellStyle name="20% - Accent5 2 6 13" xfId="1922"/>
    <cellStyle name="20% - Accent5 2 6 2" xfId="1260"/>
    <cellStyle name="20% - Accent5 2 6 2 10" xfId="2774"/>
    <cellStyle name="20% - Accent5 2 6 2 2" xfId="3627"/>
    <cellStyle name="20% - Accent5 2 6 2 2 2" xfId="8603"/>
    <cellStyle name="20% - Accent5 2 6 2 2 3" xfId="12888"/>
    <cellStyle name="20% - Accent5 2 6 2 2 4" xfId="17160"/>
    <cellStyle name="20% - Accent5 2 6 2 2 5" xfId="21395"/>
    <cellStyle name="20% - Accent5 2 6 2 2 6" xfId="25633"/>
    <cellStyle name="20% - Accent5 2 6 2 2 7" xfId="29711"/>
    <cellStyle name="20% - Accent5 2 6 2 3" xfId="5291"/>
    <cellStyle name="20% - Accent5 2 6 2 3 2" xfId="10265"/>
    <cellStyle name="20% - Accent5 2 6 2 3 3" xfId="14542"/>
    <cellStyle name="20% - Accent5 2 6 2 3 4" xfId="18801"/>
    <cellStyle name="20% - Accent5 2 6 2 3 5" xfId="23020"/>
    <cellStyle name="20% - Accent5 2 6 2 3 6" xfId="27215"/>
    <cellStyle name="20% - Accent5 2 6 2 3 7" xfId="31111"/>
    <cellStyle name="20% - Accent5 2 6 2 4" xfId="7751"/>
    <cellStyle name="20% - Accent5 2 6 2 5" xfId="12040"/>
    <cellStyle name="20% - Accent5 2 6 2 6" xfId="16316"/>
    <cellStyle name="20% - Accent5 2 6 2 7" xfId="20558"/>
    <cellStyle name="20% - Accent5 2 6 2 8" xfId="24805"/>
    <cellStyle name="20% - Accent5 2 6 2 9" xfId="28904"/>
    <cellStyle name="20% - Accent5 2 6 3" xfId="3626"/>
    <cellStyle name="20% - Accent5 2 6 3 2" xfId="8602"/>
    <cellStyle name="20% - Accent5 2 6 3 3" xfId="12887"/>
    <cellStyle name="20% - Accent5 2 6 3 4" xfId="17159"/>
    <cellStyle name="20% - Accent5 2 6 3 5" xfId="21394"/>
    <cellStyle name="20% - Accent5 2 6 3 6" xfId="25632"/>
    <cellStyle name="20% - Accent5 2 6 3 7" xfId="29710"/>
    <cellStyle name="20% - Accent5 2 6 4" xfId="2773"/>
    <cellStyle name="20% - Accent5 2 6 4 2" xfId="7750"/>
    <cellStyle name="20% - Accent5 2 6 4 3" xfId="12039"/>
    <cellStyle name="20% - Accent5 2 6 4 4" xfId="16315"/>
    <cellStyle name="20% - Accent5 2 6 4 5" xfId="20557"/>
    <cellStyle name="20% - Accent5 2 6 4 6" xfId="24804"/>
    <cellStyle name="20% - Accent5 2 6 4 7" xfId="28903"/>
    <cellStyle name="20% - Accent5 2 6 5" xfId="4634"/>
    <cellStyle name="20% - Accent5 2 6 5 2" xfId="9608"/>
    <cellStyle name="20% - Accent5 2 6 5 3" xfId="13885"/>
    <cellStyle name="20% - Accent5 2 6 5 4" xfId="18144"/>
    <cellStyle name="20% - Accent5 2 6 5 5" xfId="22363"/>
    <cellStyle name="20% - Accent5 2 6 5 6" xfId="26558"/>
    <cellStyle name="20% - Accent5 2 6 5 7" xfId="30454"/>
    <cellStyle name="20% - Accent5 2 6 6" xfId="5982"/>
    <cellStyle name="20% - Accent5 2 6 6 2" xfId="10954"/>
    <cellStyle name="20% - Accent5 2 6 6 3" xfId="15232"/>
    <cellStyle name="20% - Accent5 2 6 6 4" xfId="19489"/>
    <cellStyle name="20% - Accent5 2 6 6 5" xfId="23706"/>
    <cellStyle name="20% - Accent5 2 6 6 6" xfId="27892"/>
    <cellStyle name="20% - Accent5 2 6 6 7" xfId="31771"/>
    <cellStyle name="20% - Accent5 2 6 7" xfId="6900"/>
    <cellStyle name="20% - Accent5 2 6 8" xfId="7842"/>
    <cellStyle name="20% - Accent5 2 6 9" xfId="12131"/>
    <cellStyle name="20% - Accent5 2 7" xfId="931"/>
    <cellStyle name="20% - Accent5 2 7 10" xfId="2775"/>
    <cellStyle name="20% - Accent5 2 7 2" xfId="3628"/>
    <cellStyle name="20% - Accent5 2 7 2 2" xfId="8604"/>
    <cellStyle name="20% - Accent5 2 7 2 3" xfId="12889"/>
    <cellStyle name="20% - Accent5 2 7 2 4" xfId="17161"/>
    <cellStyle name="20% - Accent5 2 7 2 5" xfId="21396"/>
    <cellStyle name="20% - Accent5 2 7 2 6" xfId="25634"/>
    <cellStyle name="20% - Accent5 2 7 2 7" xfId="29712"/>
    <cellStyle name="20% - Accent5 2 7 3" xfId="4962"/>
    <cellStyle name="20% - Accent5 2 7 3 2" xfId="9936"/>
    <cellStyle name="20% - Accent5 2 7 3 3" xfId="14213"/>
    <cellStyle name="20% - Accent5 2 7 3 4" xfId="18472"/>
    <cellStyle name="20% - Accent5 2 7 3 5" xfId="22691"/>
    <cellStyle name="20% - Accent5 2 7 3 6" xfId="26886"/>
    <cellStyle name="20% - Accent5 2 7 3 7" xfId="30782"/>
    <cellStyle name="20% - Accent5 2 7 4" xfId="7752"/>
    <cellStyle name="20% - Accent5 2 7 5" xfId="12041"/>
    <cellStyle name="20% - Accent5 2 7 6" xfId="16317"/>
    <cellStyle name="20% - Accent5 2 7 7" xfId="20559"/>
    <cellStyle name="20% - Accent5 2 7 8" xfId="24806"/>
    <cellStyle name="20% - Accent5 2 7 9" xfId="28905"/>
    <cellStyle name="20% - Accent5 2 8" xfId="3174"/>
    <cellStyle name="20% - Accent5 2 8 2" xfId="8150"/>
    <cellStyle name="20% - Accent5 2 8 3" xfId="12436"/>
    <cellStyle name="20% - Accent5 2 8 4" xfId="16710"/>
    <cellStyle name="20% - Accent5 2 8 5" xfId="20946"/>
    <cellStyle name="20% - Accent5 2 8 6" xfId="25186"/>
    <cellStyle name="20% - Accent5 2 8 7" xfId="29267"/>
    <cellStyle name="20% - Accent5 2 9" xfId="2260"/>
    <cellStyle name="20% - Accent5 2 9 2" xfId="7238"/>
    <cellStyle name="20% - Accent5 2 9 3" xfId="11528"/>
    <cellStyle name="20% - Accent5 2 9 4" xfId="15807"/>
    <cellStyle name="20% - Accent5 2 9 5" xfId="20062"/>
    <cellStyle name="20% - Accent5 2 9 6" xfId="24312"/>
    <cellStyle name="20% - Accent5 2 9 7" xfId="28458"/>
    <cellStyle name="20% - Accent5 3" xfId="124"/>
    <cellStyle name="20% - Accent5 3 2" xfId="4205"/>
    <cellStyle name="20% - Accent5 3 3" xfId="4249"/>
    <cellStyle name="20% - Accent5 4" xfId="114"/>
    <cellStyle name="20% - Accent5 4 10" xfId="5673"/>
    <cellStyle name="20% - Accent5 4 10 2" xfId="10645"/>
    <cellStyle name="20% - Accent5 4 10 3" xfId="14923"/>
    <cellStyle name="20% - Accent5 4 10 4" xfId="19180"/>
    <cellStyle name="20% - Accent5 4 10 5" xfId="23397"/>
    <cellStyle name="20% - Accent5 4 10 6" xfId="27583"/>
    <cellStyle name="20% - Accent5 4 10 7" xfId="31462"/>
    <cellStyle name="20% - Accent5 4 11" xfId="6414"/>
    <cellStyle name="20% - Accent5 4 12" xfId="6516"/>
    <cellStyle name="20% - Accent5 4 13" xfId="6358"/>
    <cellStyle name="20% - Accent5 4 14" xfId="8111"/>
    <cellStyle name="20% - Accent5 4 15" xfId="22352"/>
    <cellStyle name="20% - Accent5 4 16" xfId="21864"/>
    <cellStyle name="20% - Accent5 4 17" xfId="1608"/>
    <cellStyle name="20% - Accent5 4 2" xfId="305"/>
    <cellStyle name="20% - Accent5 4 2 10" xfId="13288"/>
    <cellStyle name="20% - Accent5 4 2 11" xfId="17562"/>
    <cellStyle name="20% - Accent5 4 2 12" xfId="21986"/>
    <cellStyle name="20% - Accent5 4 2 13" xfId="26022"/>
    <cellStyle name="20% - Accent5 4 2 14" xfId="1677"/>
    <cellStyle name="20% - Accent5 4 2 2" xfId="469"/>
    <cellStyle name="20% - Accent5 4 2 2 10" xfId="13336"/>
    <cellStyle name="20% - Accent5 4 2 2 11" xfId="13300"/>
    <cellStyle name="20% - Accent5 4 2 2 12" xfId="21754"/>
    <cellStyle name="20% - Accent5 4 2 2 13" xfId="1832"/>
    <cellStyle name="20% - Accent5 4 2 2 2" xfId="843"/>
    <cellStyle name="20% - Accent5 4 2 2 2 10" xfId="24218"/>
    <cellStyle name="20% - Accent5 4 2 2 2 11" xfId="28370"/>
    <cellStyle name="20% - Accent5 4 2 2 2 12" xfId="2162"/>
    <cellStyle name="20% - Accent5 4 2 2 2 2" xfId="1500"/>
    <cellStyle name="20% - Accent5 4 2 2 2 2 2" xfId="5531"/>
    <cellStyle name="20% - Accent5 4 2 2 2 2 2 2" xfId="10505"/>
    <cellStyle name="20% - Accent5 4 2 2 2 2 2 3" xfId="14782"/>
    <cellStyle name="20% - Accent5 4 2 2 2 2 2 4" xfId="19041"/>
    <cellStyle name="20% - Accent5 4 2 2 2 2 2 5" xfId="23260"/>
    <cellStyle name="20% - Accent5 4 2 2 2 2 2 6" xfId="27455"/>
    <cellStyle name="20% - Accent5 4 2 2 2 2 2 7" xfId="31351"/>
    <cellStyle name="20% - Accent5 4 2 2 2 2 3" xfId="8605"/>
    <cellStyle name="20% - Accent5 4 2 2 2 2 4" xfId="12890"/>
    <cellStyle name="20% - Accent5 4 2 2 2 2 5" xfId="17162"/>
    <cellStyle name="20% - Accent5 4 2 2 2 2 6" xfId="21397"/>
    <cellStyle name="20% - Accent5 4 2 2 2 2 7" xfId="25635"/>
    <cellStyle name="20% - Accent5 4 2 2 2 2 8" xfId="29713"/>
    <cellStyle name="20% - Accent5 4 2 2 2 2 9" xfId="3629"/>
    <cellStyle name="20% - Accent5 4 2 2 2 3" xfId="2776"/>
    <cellStyle name="20% - Accent5 4 2 2 2 3 2" xfId="7753"/>
    <cellStyle name="20% - Accent5 4 2 2 2 3 3" xfId="12042"/>
    <cellStyle name="20% - Accent5 4 2 2 2 3 4" xfId="16318"/>
    <cellStyle name="20% - Accent5 4 2 2 2 3 5" xfId="20560"/>
    <cellStyle name="20% - Accent5 4 2 2 2 3 6" xfId="24807"/>
    <cellStyle name="20% - Accent5 4 2 2 2 3 7" xfId="28906"/>
    <cellStyle name="20% - Accent5 4 2 2 2 4" xfId="4874"/>
    <cellStyle name="20% - Accent5 4 2 2 2 4 2" xfId="9848"/>
    <cellStyle name="20% - Accent5 4 2 2 2 4 3" xfId="14125"/>
    <cellStyle name="20% - Accent5 4 2 2 2 4 4" xfId="18384"/>
    <cellStyle name="20% - Accent5 4 2 2 2 4 5" xfId="22603"/>
    <cellStyle name="20% - Accent5 4 2 2 2 4 6" xfId="26798"/>
    <cellStyle name="20% - Accent5 4 2 2 2 4 7" xfId="30694"/>
    <cellStyle name="20% - Accent5 4 2 2 2 5" xfId="6222"/>
    <cellStyle name="20% - Accent5 4 2 2 2 5 2" xfId="11194"/>
    <cellStyle name="20% - Accent5 4 2 2 2 5 3" xfId="15472"/>
    <cellStyle name="20% - Accent5 4 2 2 2 5 4" xfId="19729"/>
    <cellStyle name="20% - Accent5 4 2 2 2 5 5" xfId="23946"/>
    <cellStyle name="20% - Accent5 4 2 2 2 5 6" xfId="28132"/>
    <cellStyle name="20% - Accent5 4 2 2 2 5 7" xfId="32011"/>
    <cellStyle name="20% - Accent5 4 2 2 2 6" xfId="7140"/>
    <cellStyle name="20% - Accent5 4 2 2 2 7" xfId="11432"/>
    <cellStyle name="20% - Accent5 4 2 2 2 8" xfId="15710"/>
    <cellStyle name="20% - Accent5 4 2 2 2 9" xfId="19967"/>
    <cellStyle name="20% - Accent5 4 2 2 3" xfId="1171"/>
    <cellStyle name="20% - Accent5 4 2 2 3 2" xfId="5202"/>
    <cellStyle name="20% - Accent5 4 2 2 3 2 2" xfId="10176"/>
    <cellStyle name="20% - Accent5 4 2 2 3 2 3" xfId="14453"/>
    <cellStyle name="20% - Accent5 4 2 2 3 2 4" xfId="18712"/>
    <cellStyle name="20% - Accent5 4 2 2 3 2 5" xfId="22931"/>
    <cellStyle name="20% - Accent5 4 2 2 3 2 6" xfId="27126"/>
    <cellStyle name="20% - Accent5 4 2 2 3 2 7" xfId="31022"/>
    <cellStyle name="20% - Accent5 4 2 2 3 3" xfId="8397"/>
    <cellStyle name="20% - Accent5 4 2 2 3 4" xfId="12682"/>
    <cellStyle name="20% - Accent5 4 2 2 3 5" xfId="16954"/>
    <cellStyle name="20% - Accent5 4 2 2 3 6" xfId="21189"/>
    <cellStyle name="20% - Accent5 4 2 2 3 7" xfId="25427"/>
    <cellStyle name="20% - Accent5 4 2 2 3 8" xfId="29505"/>
    <cellStyle name="20% - Accent5 4 2 2 3 9" xfId="3421"/>
    <cellStyle name="20% - Accent5 4 2 2 4" xfId="2560"/>
    <cellStyle name="20% - Accent5 4 2 2 4 2" xfId="7537"/>
    <cellStyle name="20% - Accent5 4 2 2 4 3" xfId="11826"/>
    <cellStyle name="20% - Accent5 4 2 2 4 4" xfId="16104"/>
    <cellStyle name="20% - Accent5 4 2 2 4 5" xfId="20347"/>
    <cellStyle name="20% - Accent5 4 2 2 4 6" xfId="24593"/>
    <cellStyle name="20% - Accent5 4 2 2 4 7" xfId="28698"/>
    <cellStyle name="20% - Accent5 4 2 2 5" xfId="4544"/>
    <cellStyle name="20% - Accent5 4 2 2 5 2" xfId="9518"/>
    <cellStyle name="20% - Accent5 4 2 2 5 3" xfId="13795"/>
    <cellStyle name="20% - Accent5 4 2 2 5 4" xfId="18055"/>
    <cellStyle name="20% - Accent5 4 2 2 5 5" xfId="22273"/>
    <cellStyle name="20% - Accent5 4 2 2 5 6" xfId="26469"/>
    <cellStyle name="20% - Accent5 4 2 2 5 7" xfId="30365"/>
    <cellStyle name="20% - Accent5 4 2 2 6" xfId="5893"/>
    <cellStyle name="20% - Accent5 4 2 2 6 2" xfId="10865"/>
    <cellStyle name="20% - Accent5 4 2 2 6 3" xfId="15143"/>
    <cellStyle name="20% - Accent5 4 2 2 6 4" xfId="19400"/>
    <cellStyle name="20% - Accent5 4 2 2 6 5" xfId="23617"/>
    <cellStyle name="20% - Accent5 4 2 2 6 6" xfId="27803"/>
    <cellStyle name="20% - Accent5 4 2 2 6 7" xfId="31682"/>
    <cellStyle name="20% - Accent5 4 2 2 7" xfId="6767"/>
    <cellStyle name="20% - Accent5 4 2 2 8" xfId="6446"/>
    <cellStyle name="20% - Accent5 4 2 2 9" xfId="9053"/>
    <cellStyle name="20% - Accent5 4 2 3" xfId="688"/>
    <cellStyle name="20% - Accent5 4 2 3 10" xfId="24063"/>
    <cellStyle name="20% - Accent5 4 2 3 11" xfId="28215"/>
    <cellStyle name="20% - Accent5 4 2 3 12" xfId="2007"/>
    <cellStyle name="20% - Accent5 4 2 3 2" xfId="1345"/>
    <cellStyle name="20% - Accent5 4 2 3 2 2" xfId="5376"/>
    <cellStyle name="20% - Accent5 4 2 3 2 2 2" xfId="10350"/>
    <cellStyle name="20% - Accent5 4 2 3 2 2 3" xfId="14627"/>
    <cellStyle name="20% - Accent5 4 2 3 2 2 4" xfId="18886"/>
    <cellStyle name="20% - Accent5 4 2 3 2 2 5" xfId="23105"/>
    <cellStyle name="20% - Accent5 4 2 3 2 2 6" xfId="27300"/>
    <cellStyle name="20% - Accent5 4 2 3 2 2 7" xfId="31196"/>
    <cellStyle name="20% - Accent5 4 2 3 2 3" xfId="8606"/>
    <cellStyle name="20% - Accent5 4 2 3 2 4" xfId="12891"/>
    <cellStyle name="20% - Accent5 4 2 3 2 5" xfId="17163"/>
    <cellStyle name="20% - Accent5 4 2 3 2 6" xfId="21398"/>
    <cellStyle name="20% - Accent5 4 2 3 2 7" xfId="25636"/>
    <cellStyle name="20% - Accent5 4 2 3 2 8" xfId="29714"/>
    <cellStyle name="20% - Accent5 4 2 3 2 9" xfId="3630"/>
    <cellStyle name="20% - Accent5 4 2 3 3" xfId="2777"/>
    <cellStyle name="20% - Accent5 4 2 3 3 2" xfId="7754"/>
    <cellStyle name="20% - Accent5 4 2 3 3 3" xfId="12043"/>
    <cellStyle name="20% - Accent5 4 2 3 3 4" xfId="16319"/>
    <cellStyle name="20% - Accent5 4 2 3 3 5" xfId="20561"/>
    <cellStyle name="20% - Accent5 4 2 3 3 6" xfId="24808"/>
    <cellStyle name="20% - Accent5 4 2 3 3 7" xfId="28907"/>
    <cellStyle name="20% - Accent5 4 2 3 4" xfId="4719"/>
    <cellStyle name="20% - Accent5 4 2 3 4 2" xfId="9693"/>
    <cellStyle name="20% - Accent5 4 2 3 4 3" xfId="13970"/>
    <cellStyle name="20% - Accent5 4 2 3 4 4" xfId="18229"/>
    <cellStyle name="20% - Accent5 4 2 3 4 5" xfId="22448"/>
    <cellStyle name="20% - Accent5 4 2 3 4 6" xfId="26643"/>
    <cellStyle name="20% - Accent5 4 2 3 4 7" xfId="30539"/>
    <cellStyle name="20% - Accent5 4 2 3 5" xfId="6067"/>
    <cellStyle name="20% - Accent5 4 2 3 5 2" xfId="11039"/>
    <cellStyle name="20% - Accent5 4 2 3 5 3" xfId="15317"/>
    <cellStyle name="20% - Accent5 4 2 3 5 4" xfId="19574"/>
    <cellStyle name="20% - Accent5 4 2 3 5 5" xfId="23791"/>
    <cellStyle name="20% - Accent5 4 2 3 5 6" xfId="27977"/>
    <cellStyle name="20% - Accent5 4 2 3 5 7" xfId="31856"/>
    <cellStyle name="20% - Accent5 4 2 3 6" xfId="6985"/>
    <cellStyle name="20% - Accent5 4 2 3 7" xfId="11277"/>
    <cellStyle name="20% - Accent5 4 2 3 8" xfId="15555"/>
    <cellStyle name="20% - Accent5 4 2 3 9" xfId="19812"/>
    <cellStyle name="20% - Accent5 4 2 4" xfId="1016"/>
    <cellStyle name="20% - Accent5 4 2 4 2" xfId="5047"/>
    <cellStyle name="20% - Accent5 4 2 4 2 2" xfId="10021"/>
    <cellStyle name="20% - Accent5 4 2 4 2 3" xfId="14298"/>
    <cellStyle name="20% - Accent5 4 2 4 2 4" xfId="18557"/>
    <cellStyle name="20% - Accent5 4 2 4 2 5" xfId="22776"/>
    <cellStyle name="20% - Accent5 4 2 4 2 6" xfId="26971"/>
    <cellStyle name="20% - Accent5 4 2 4 2 7" xfId="30867"/>
    <cellStyle name="20% - Accent5 4 2 4 3" xfId="8244"/>
    <cellStyle name="20% - Accent5 4 2 4 4" xfId="12529"/>
    <cellStyle name="20% - Accent5 4 2 4 5" xfId="16802"/>
    <cellStyle name="20% - Accent5 4 2 4 6" xfId="21038"/>
    <cellStyle name="20% - Accent5 4 2 4 7" xfId="25276"/>
    <cellStyle name="20% - Accent5 4 2 4 8" xfId="29354"/>
    <cellStyle name="20% - Accent5 4 2 4 9" xfId="3268"/>
    <cellStyle name="20% - Accent5 4 2 5" xfId="2384"/>
    <cellStyle name="20% - Accent5 4 2 5 2" xfId="7362"/>
    <cellStyle name="20% - Accent5 4 2 5 3" xfId="11651"/>
    <cellStyle name="20% - Accent5 4 2 5 4" xfId="15929"/>
    <cellStyle name="20% - Accent5 4 2 5 5" xfId="20178"/>
    <cellStyle name="20% - Accent5 4 2 5 6" xfId="24426"/>
    <cellStyle name="20% - Accent5 4 2 5 7" xfId="28546"/>
    <cellStyle name="20% - Accent5 4 2 6" xfId="4389"/>
    <cellStyle name="20% - Accent5 4 2 6 2" xfId="9363"/>
    <cellStyle name="20% - Accent5 4 2 6 3" xfId="13640"/>
    <cellStyle name="20% - Accent5 4 2 6 4" xfId="17900"/>
    <cellStyle name="20% - Accent5 4 2 6 5" xfId="22118"/>
    <cellStyle name="20% - Accent5 4 2 6 6" xfId="26314"/>
    <cellStyle name="20% - Accent5 4 2 6 7" xfId="30210"/>
    <cellStyle name="20% - Accent5 4 2 7" xfId="5738"/>
    <cellStyle name="20% - Accent5 4 2 7 2" xfId="10710"/>
    <cellStyle name="20% - Accent5 4 2 7 3" xfId="14988"/>
    <cellStyle name="20% - Accent5 4 2 7 4" xfId="19245"/>
    <cellStyle name="20% - Accent5 4 2 7 5" xfId="23462"/>
    <cellStyle name="20% - Accent5 4 2 7 6" xfId="27648"/>
    <cellStyle name="20% - Accent5 4 2 7 7" xfId="31527"/>
    <cellStyle name="20% - Accent5 4 2 8" xfId="6603"/>
    <cellStyle name="20% - Accent5 4 2 9" xfId="9006"/>
    <cellStyle name="20% - Accent5 4 3" xfId="407"/>
    <cellStyle name="20% - Accent5 4 3 10" xfId="17769"/>
    <cellStyle name="20% - Accent5 4 3 11" xfId="21989"/>
    <cellStyle name="20% - Accent5 4 3 12" xfId="26188"/>
    <cellStyle name="20% - Accent5 4 3 13" xfId="1770"/>
    <cellStyle name="20% - Accent5 4 3 2" xfId="781"/>
    <cellStyle name="20% - Accent5 4 3 2 10" xfId="24156"/>
    <cellStyle name="20% - Accent5 4 3 2 11" xfId="28308"/>
    <cellStyle name="20% - Accent5 4 3 2 12" xfId="2100"/>
    <cellStyle name="20% - Accent5 4 3 2 2" xfId="1438"/>
    <cellStyle name="20% - Accent5 4 3 2 2 2" xfId="5469"/>
    <cellStyle name="20% - Accent5 4 3 2 2 2 2" xfId="10443"/>
    <cellStyle name="20% - Accent5 4 3 2 2 2 3" xfId="14720"/>
    <cellStyle name="20% - Accent5 4 3 2 2 2 4" xfId="18979"/>
    <cellStyle name="20% - Accent5 4 3 2 2 2 5" xfId="23198"/>
    <cellStyle name="20% - Accent5 4 3 2 2 2 6" xfId="27393"/>
    <cellStyle name="20% - Accent5 4 3 2 2 2 7" xfId="31289"/>
    <cellStyle name="20% - Accent5 4 3 2 2 3" xfId="8607"/>
    <cellStyle name="20% - Accent5 4 3 2 2 4" xfId="12892"/>
    <cellStyle name="20% - Accent5 4 3 2 2 5" xfId="17164"/>
    <cellStyle name="20% - Accent5 4 3 2 2 6" xfId="21399"/>
    <cellStyle name="20% - Accent5 4 3 2 2 7" xfId="25637"/>
    <cellStyle name="20% - Accent5 4 3 2 2 8" xfId="29715"/>
    <cellStyle name="20% - Accent5 4 3 2 2 9" xfId="3631"/>
    <cellStyle name="20% - Accent5 4 3 2 3" xfId="2778"/>
    <cellStyle name="20% - Accent5 4 3 2 3 2" xfId="7755"/>
    <cellStyle name="20% - Accent5 4 3 2 3 3" xfId="12044"/>
    <cellStyle name="20% - Accent5 4 3 2 3 4" xfId="16320"/>
    <cellStyle name="20% - Accent5 4 3 2 3 5" xfId="20562"/>
    <cellStyle name="20% - Accent5 4 3 2 3 6" xfId="24809"/>
    <cellStyle name="20% - Accent5 4 3 2 3 7" xfId="28908"/>
    <cellStyle name="20% - Accent5 4 3 2 4" xfId="4812"/>
    <cellStyle name="20% - Accent5 4 3 2 4 2" xfId="9786"/>
    <cellStyle name="20% - Accent5 4 3 2 4 3" xfId="14063"/>
    <cellStyle name="20% - Accent5 4 3 2 4 4" xfId="18322"/>
    <cellStyle name="20% - Accent5 4 3 2 4 5" xfId="22541"/>
    <cellStyle name="20% - Accent5 4 3 2 4 6" xfId="26736"/>
    <cellStyle name="20% - Accent5 4 3 2 4 7" xfId="30632"/>
    <cellStyle name="20% - Accent5 4 3 2 5" xfId="6160"/>
    <cellStyle name="20% - Accent5 4 3 2 5 2" xfId="11132"/>
    <cellStyle name="20% - Accent5 4 3 2 5 3" xfId="15410"/>
    <cellStyle name="20% - Accent5 4 3 2 5 4" xfId="19667"/>
    <cellStyle name="20% - Accent5 4 3 2 5 5" xfId="23884"/>
    <cellStyle name="20% - Accent5 4 3 2 5 6" xfId="28070"/>
    <cellStyle name="20% - Accent5 4 3 2 5 7" xfId="31949"/>
    <cellStyle name="20% - Accent5 4 3 2 6" xfId="7078"/>
    <cellStyle name="20% - Accent5 4 3 2 7" xfId="11370"/>
    <cellStyle name="20% - Accent5 4 3 2 8" xfId="15648"/>
    <cellStyle name="20% - Accent5 4 3 2 9" xfId="19905"/>
    <cellStyle name="20% - Accent5 4 3 3" xfId="1109"/>
    <cellStyle name="20% - Accent5 4 3 3 2" xfId="5140"/>
    <cellStyle name="20% - Accent5 4 3 3 2 2" xfId="10114"/>
    <cellStyle name="20% - Accent5 4 3 3 2 3" xfId="14391"/>
    <cellStyle name="20% - Accent5 4 3 3 2 4" xfId="18650"/>
    <cellStyle name="20% - Accent5 4 3 3 2 5" xfId="22869"/>
    <cellStyle name="20% - Accent5 4 3 3 2 6" xfId="27064"/>
    <cellStyle name="20% - Accent5 4 3 3 2 7" xfId="30960"/>
    <cellStyle name="20% - Accent5 4 3 3 3" xfId="8335"/>
    <cellStyle name="20% - Accent5 4 3 3 4" xfId="12620"/>
    <cellStyle name="20% - Accent5 4 3 3 5" xfId="16892"/>
    <cellStyle name="20% - Accent5 4 3 3 6" xfId="21127"/>
    <cellStyle name="20% - Accent5 4 3 3 7" xfId="25365"/>
    <cellStyle name="20% - Accent5 4 3 3 8" xfId="29443"/>
    <cellStyle name="20% - Accent5 4 3 3 9" xfId="3359"/>
    <cellStyle name="20% - Accent5 4 3 4" xfId="2498"/>
    <cellStyle name="20% - Accent5 4 3 4 2" xfId="7475"/>
    <cellStyle name="20% - Accent5 4 3 4 3" xfId="11764"/>
    <cellStyle name="20% - Accent5 4 3 4 4" xfId="16042"/>
    <cellStyle name="20% - Accent5 4 3 4 5" xfId="20285"/>
    <cellStyle name="20% - Accent5 4 3 4 6" xfId="24531"/>
    <cellStyle name="20% - Accent5 4 3 4 7" xfId="28636"/>
    <cellStyle name="20% - Accent5 4 3 5" xfId="4482"/>
    <cellStyle name="20% - Accent5 4 3 5 2" xfId="9456"/>
    <cellStyle name="20% - Accent5 4 3 5 3" xfId="13733"/>
    <cellStyle name="20% - Accent5 4 3 5 4" xfId="17993"/>
    <cellStyle name="20% - Accent5 4 3 5 5" xfId="22211"/>
    <cellStyle name="20% - Accent5 4 3 5 6" xfId="26407"/>
    <cellStyle name="20% - Accent5 4 3 5 7" xfId="30303"/>
    <cellStyle name="20% - Accent5 4 3 6" xfId="5831"/>
    <cellStyle name="20% - Accent5 4 3 6 2" xfId="10803"/>
    <cellStyle name="20% - Accent5 4 3 6 3" xfId="15081"/>
    <cellStyle name="20% - Accent5 4 3 6 4" xfId="19338"/>
    <cellStyle name="20% - Accent5 4 3 6 5" xfId="23555"/>
    <cellStyle name="20% - Accent5 4 3 6 6" xfId="27741"/>
    <cellStyle name="20% - Accent5 4 3 6 7" xfId="31620"/>
    <cellStyle name="20% - Accent5 4 3 7" xfId="6705"/>
    <cellStyle name="20% - Accent5 4 3 8" xfId="9231"/>
    <cellStyle name="20% - Accent5 4 3 9" xfId="13509"/>
    <cellStyle name="20% - Accent5 4 4" xfId="521"/>
    <cellStyle name="20% - Accent5 4 4 10" xfId="9188"/>
    <cellStyle name="20% - Accent5 4 4 11" xfId="9171"/>
    <cellStyle name="20% - Accent5 4 4 12" xfId="21836"/>
    <cellStyle name="20% - Accent5 4 4 13" xfId="1884"/>
    <cellStyle name="20% - Accent5 4 4 2" xfId="895"/>
    <cellStyle name="20% - Accent5 4 4 2 10" xfId="24270"/>
    <cellStyle name="20% - Accent5 4 4 2 11" xfId="28422"/>
    <cellStyle name="20% - Accent5 4 4 2 12" xfId="2214"/>
    <cellStyle name="20% - Accent5 4 4 2 2" xfId="1552"/>
    <cellStyle name="20% - Accent5 4 4 2 2 2" xfId="5583"/>
    <cellStyle name="20% - Accent5 4 4 2 2 2 2" xfId="10557"/>
    <cellStyle name="20% - Accent5 4 4 2 2 2 3" xfId="14834"/>
    <cellStyle name="20% - Accent5 4 4 2 2 2 4" xfId="19093"/>
    <cellStyle name="20% - Accent5 4 4 2 2 2 5" xfId="23312"/>
    <cellStyle name="20% - Accent5 4 4 2 2 2 6" xfId="27507"/>
    <cellStyle name="20% - Accent5 4 4 2 2 2 7" xfId="31403"/>
    <cellStyle name="20% - Accent5 4 4 2 2 3" xfId="8608"/>
    <cellStyle name="20% - Accent5 4 4 2 2 4" xfId="12893"/>
    <cellStyle name="20% - Accent5 4 4 2 2 5" xfId="17165"/>
    <cellStyle name="20% - Accent5 4 4 2 2 6" xfId="21400"/>
    <cellStyle name="20% - Accent5 4 4 2 2 7" xfId="25638"/>
    <cellStyle name="20% - Accent5 4 4 2 2 8" xfId="29716"/>
    <cellStyle name="20% - Accent5 4 4 2 2 9" xfId="3632"/>
    <cellStyle name="20% - Accent5 4 4 2 3" xfId="2779"/>
    <cellStyle name="20% - Accent5 4 4 2 3 2" xfId="7756"/>
    <cellStyle name="20% - Accent5 4 4 2 3 3" xfId="12045"/>
    <cellStyle name="20% - Accent5 4 4 2 3 4" xfId="16321"/>
    <cellStyle name="20% - Accent5 4 4 2 3 5" xfId="20563"/>
    <cellStyle name="20% - Accent5 4 4 2 3 6" xfId="24810"/>
    <cellStyle name="20% - Accent5 4 4 2 3 7" xfId="28909"/>
    <cellStyle name="20% - Accent5 4 4 2 4" xfId="4926"/>
    <cellStyle name="20% - Accent5 4 4 2 4 2" xfId="9900"/>
    <cellStyle name="20% - Accent5 4 4 2 4 3" xfId="14177"/>
    <cellStyle name="20% - Accent5 4 4 2 4 4" xfId="18436"/>
    <cellStyle name="20% - Accent5 4 4 2 4 5" xfId="22655"/>
    <cellStyle name="20% - Accent5 4 4 2 4 6" xfId="26850"/>
    <cellStyle name="20% - Accent5 4 4 2 4 7" xfId="30746"/>
    <cellStyle name="20% - Accent5 4 4 2 5" xfId="6274"/>
    <cellStyle name="20% - Accent5 4 4 2 5 2" xfId="11246"/>
    <cellStyle name="20% - Accent5 4 4 2 5 3" xfId="15524"/>
    <cellStyle name="20% - Accent5 4 4 2 5 4" xfId="19781"/>
    <cellStyle name="20% - Accent5 4 4 2 5 5" xfId="23998"/>
    <cellStyle name="20% - Accent5 4 4 2 5 6" xfId="28184"/>
    <cellStyle name="20% - Accent5 4 4 2 5 7" xfId="32063"/>
    <cellStyle name="20% - Accent5 4 4 2 6" xfId="7192"/>
    <cellStyle name="20% - Accent5 4 4 2 7" xfId="11484"/>
    <cellStyle name="20% - Accent5 4 4 2 8" xfId="15762"/>
    <cellStyle name="20% - Accent5 4 4 2 9" xfId="20019"/>
    <cellStyle name="20% - Accent5 4 4 3" xfId="1223"/>
    <cellStyle name="20% - Accent5 4 4 3 2" xfId="5254"/>
    <cellStyle name="20% - Accent5 4 4 3 2 2" xfId="10228"/>
    <cellStyle name="20% - Accent5 4 4 3 2 3" xfId="14505"/>
    <cellStyle name="20% - Accent5 4 4 3 2 4" xfId="18764"/>
    <cellStyle name="20% - Accent5 4 4 3 2 5" xfId="22983"/>
    <cellStyle name="20% - Accent5 4 4 3 2 6" xfId="27178"/>
    <cellStyle name="20% - Accent5 4 4 3 2 7" xfId="31074"/>
    <cellStyle name="20% - Accent5 4 4 3 3" xfId="8464"/>
    <cellStyle name="20% - Accent5 4 4 3 4" xfId="12749"/>
    <cellStyle name="20% - Accent5 4 4 3 5" xfId="17021"/>
    <cellStyle name="20% - Accent5 4 4 3 6" xfId="21256"/>
    <cellStyle name="20% - Accent5 4 4 3 7" xfId="25494"/>
    <cellStyle name="20% - Accent5 4 4 3 8" xfId="29572"/>
    <cellStyle name="20% - Accent5 4 4 3 9" xfId="3488"/>
    <cellStyle name="20% - Accent5 4 4 4" xfId="2631"/>
    <cellStyle name="20% - Accent5 4 4 4 2" xfId="7608"/>
    <cellStyle name="20% - Accent5 4 4 4 3" xfId="11897"/>
    <cellStyle name="20% - Accent5 4 4 4 4" xfId="16173"/>
    <cellStyle name="20% - Accent5 4 4 4 5" xfId="20415"/>
    <cellStyle name="20% - Accent5 4 4 4 6" xfId="24662"/>
    <cellStyle name="20% - Accent5 4 4 4 7" xfId="28765"/>
    <cellStyle name="20% - Accent5 4 4 5" xfId="4596"/>
    <cellStyle name="20% - Accent5 4 4 5 2" xfId="9570"/>
    <cellStyle name="20% - Accent5 4 4 5 3" xfId="13847"/>
    <cellStyle name="20% - Accent5 4 4 5 4" xfId="18107"/>
    <cellStyle name="20% - Accent5 4 4 5 5" xfId="22325"/>
    <cellStyle name="20% - Accent5 4 4 5 6" xfId="26521"/>
    <cellStyle name="20% - Accent5 4 4 5 7" xfId="30417"/>
    <cellStyle name="20% - Accent5 4 4 6" xfId="5945"/>
    <cellStyle name="20% - Accent5 4 4 6 2" xfId="10917"/>
    <cellStyle name="20% - Accent5 4 4 6 3" xfId="15195"/>
    <cellStyle name="20% - Accent5 4 4 6 4" xfId="19452"/>
    <cellStyle name="20% - Accent5 4 4 6 5" xfId="23669"/>
    <cellStyle name="20% - Accent5 4 4 6 6" xfId="27855"/>
    <cellStyle name="20% - Accent5 4 4 6 7" xfId="31734"/>
    <cellStyle name="20% - Accent5 4 4 7" xfId="6819"/>
    <cellStyle name="20% - Accent5 4 4 8" xfId="6865"/>
    <cellStyle name="20% - Accent5 4 4 9" xfId="6571"/>
    <cellStyle name="20% - Accent5 4 5" xfId="622"/>
    <cellStyle name="20% - Accent5 4 5 10" xfId="9195"/>
    <cellStyle name="20% - Accent5 4 5 11" xfId="20225"/>
    <cellStyle name="20% - Accent5 4 5 12" xfId="21875"/>
    <cellStyle name="20% - Accent5 4 5 13" xfId="1941"/>
    <cellStyle name="20% - Accent5 4 5 2" xfId="1279"/>
    <cellStyle name="20% - Accent5 4 5 2 10" xfId="2781"/>
    <cellStyle name="20% - Accent5 4 5 2 2" xfId="3634"/>
    <cellStyle name="20% - Accent5 4 5 2 2 2" xfId="8610"/>
    <cellStyle name="20% - Accent5 4 5 2 2 3" xfId="12895"/>
    <cellStyle name="20% - Accent5 4 5 2 2 4" xfId="17167"/>
    <cellStyle name="20% - Accent5 4 5 2 2 5" xfId="21402"/>
    <cellStyle name="20% - Accent5 4 5 2 2 6" xfId="25640"/>
    <cellStyle name="20% - Accent5 4 5 2 2 7" xfId="29718"/>
    <cellStyle name="20% - Accent5 4 5 2 3" xfId="5310"/>
    <cellStyle name="20% - Accent5 4 5 2 3 2" xfId="10284"/>
    <cellStyle name="20% - Accent5 4 5 2 3 3" xfId="14561"/>
    <cellStyle name="20% - Accent5 4 5 2 3 4" xfId="18820"/>
    <cellStyle name="20% - Accent5 4 5 2 3 5" xfId="23039"/>
    <cellStyle name="20% - Accent5 4 5 2 3 6" xfId="27234"/>
    <cellStyle name="20% - Accent5 4 5 2 3 7" xfId="31130"/>
    <cellStyle name="20% - Accent5 4 5 2 4" xfId="7758"/>
    <cellStyle name="20% - Accent5 4 5 2 5" xfId="12047"/>
    <cellStyle name="20% - Accent5 4 5 2 6" xfId="16323"/>
    <cellStyle name="20% - Accent5 4 5 2 7" xfId="20565"/>
    <cellStyle name="20% - Accent5 4 5 2 8" xfId="24812"/>
    <cellStyle name="20% - Accent5 4 5 2 9" xfId="28911"/>
    <cellStyle name="20% - Accent5 4 5 3" xfId="3633"/>
    <cellStyle name="20% - Accent5 4 5 3 2" xfId="8609"/>
    <cellStyle name="20% - Accent5 4 5 3 3" xfId="12894"/>
    <cellStyle name="20% - Accent5 4 5 3 4" xfId="17166"/>
    <cellStyle name="20% - Accent5 4 5 3 5" xfId="21401"/>
    <cellStyle name="20% - Accent5 4 5 3 6" xfId="25639"/>
    <cellStyle name="20% - Accent5 4 5 3 7" xfId="29717"/>
    <cellStyle name="20% - Accent5 4 5 4" xfId="2780"/>
    <cellStyle name="20% - Accent5 4 5 4 2" xfId="7757"/>
    <cellStyle name="20% - Accent5 4 5 4 3" xfId="12046"/>
    <cellStyle name="20% - Accent5 4 5 4 4" xfId="16322"/>
    <cellStyle name="20% - Accent5 4 5 4 5" xfId="20564"/>
    <cellStyle name="20% - Accent5 4 5 4 6" xfId="24811"/>
    <cellStyle name="20% - Accent5 4 5 4 7" xfId="28910"/>
    <cellStyle name="20% - Accent5 4 5 5" xfId="4653"/>
    <cellStyle name="20% - Accent5 4 5 5 2" xfId="9627"/>
    <cellStyle name="20% - Accent5 4 5 5 3" xfId="13904"/>
    <cellStyle name="20% - Accent5 4 5 5 4" xfId="18163"/>
    <cellStyle name="20% - Accent5 4 5 5 5" xfId="22382"/>
    <cellStyle name="20% - Accent5 4 5 5 6" xfId="26577"/>
    <cellStyle name="20% - Accent5 4 5 5 7" xfId="30473"/>
    <cellStyle name="20% - Accent5 4 5 6" xfId="6001"/>
    <cellStyle name="20% - Accent5 4 5 6 2" xfId="10973"/>
    <cellStyle name="20% - Accent5 4 5 6 3" xfId="15251"/>
    <cellStyle name="20% - Accent5 4 5 6 4" xfId="19508"/>
    <cellStyle name="20% - Accent5 4 5 6 5" xfId="23725"/>
    <cellStyle name="20% - Accent5 4 5 6 6" xfId="27911"/>
    <cellStyle name="20% - Accent5 4 5 6 7" xfId="31790"/>
    <cellStyle name="20% - Accent5 4 5 7" xfId="6919"/>
    <cellStyle name="20% - Accent5 4 5 8" xfId="6307"/>
    <cellStyle name="20% - Accent5 4 5 9" xfId="6572"/>
    <cellStyle name="20% - Accent5 4 6" xfId="950"/>
    <cellStyle name="20% - Accent5 4 6 10" xfId="2782"/>
    <cellStyle name="20% - Accent5 4 6 2" xfId="3635"/>
    <cellStyle name="20% - Accent5 4 6 2 2" xfId="8611"/>
    <cellStyle name="20% - Accent5 4 6 2 3" xfId="12896"/>
    <cellStyle name="20% - Accent5 4 6 2 4" xfId="17168"/>
    <cellStyle name="20% - Accent5 4 6 2 5" xfId="21403"/>
    <cellStyle name="20% - Accent5 4 6 2 6" xfId="25641"/>
    <cellStyle name="20% - Accent5 4 6 2 7" xfId="29719"/>
    <cellStyle name="20% - Accent5 4 6 3" xfId="4981"/>
    <cellStyle name="20% - Accent5 4 6 3 2" xfId="9955"/>
    <cellStyle name="20% - Accent5 4 6 3 3" xfId="14232"/>
    <cellStyle name="20% - Accent5 4 6 3 4" xfId="18491"/>
    <cellStyle name="20% - Accent5 4 6 3 5" xfId="22710"/>
    <cellStyle name="20% - Accent5 4 6 3 6" xfId="26905"/>
    <cellStyle name="20% - Accent5 4 6 3 7" xfId="30801"/>
    <cellStyle name="20% - Accent5 4 6 4" xfId="7759"/>
    <cellStyle name="20% - Accent5 4 6 5" xfId="12048"/>
    <cellStyle name="20% - Accent5 4 6 6" xfId="16324"/>
    <cellStyle name="20% - Accent5 4 6 7" xfId="20566"/>
    <cellStyle name="20% - Accent5 4 6 8" xfId="24813"/>
    <cellStyle name="20% - Accent5 4 6 9" xfId="28912"/>
    <cellStyle name="20% - Accent5 4 7" xfId="3193"/>
    <cellStyle name="20% - Accent5 4 7 2" xfId="8169"/>
    <cellStyle name="20% - Accent5 4 7 3" xfId="12455"/>
    <cellStyle name="20% - Accent5 4 7 4" xfId="16729"/>
    <cellStyle name="20% - Accent5 4 7 5" xfId="20965"/>
    <cellStyle name="20% - Accent5 4 7 6" xfId="25205"/>
    <cellStyle name="20% - Accent5 4 7 7" xfId="29286"/>
    <cellStyle name="20% - Accent5 4 8" xfId="2280"/>
    <cellStyle name="20% - Accent5 4 8 2" xfId="7258"/>
    <cellStyle name="20% - Accent5 4 8 3" xfId="11548"/>
    <cellStyle name="20% - Accent5 4 8 4" xfId="15827"/>
    <cellStyle name="20% - Accent5 4 8 5" xfId="20082"/>
    <cellStyle name="20% - Accent5 4 8 6" xfId="24332"/>
    <cellStyle name="20% - Accent5 4 8 7" xfId="28477"/>
    <cellStyle name="20% - Accent5 4 9" xfId="4318"/>
    <cellStyle name="20% - Accent5 4 9 2" xfId="9292"/>
    <cellStyle name="20% - Accent5 4 9 3" xfId="13569"/>
    <cellStyle name="20% - Accent5 4 9 4" xfId="17829"/>
    <cellStyle name="20% - Accent5 4 9 5" xfId="22048"/>
    <cellStyle name="20% - Accent5 4 9 6" xfId="26246"/>
    <cellStyle name="20% - Accent5 4 9 7" xfId="30143"/>
    <cellStyle name="20% - Accent5 5" xfId="289"/>
    <cellStyle name="20% - Accent5 5 2" xfId="438"/>
    <cellStyle name="20% - Accent5 5 2 10" xfId="12424"/>
    <cellStyle name="20% - Accent5 5 2 11" xfId="26191"/>
    <cellStyle name="20% - Accent5 5 2 12" xfId="1801"/>
    <cellStyle name="20% - Accent5 5 2 2" xfId="812"/>
    <cellStyle name="20% - Accent5 5 2 2 10" xfId="19936"/>
    <cellStyle name="20% - Accent5 5 2 2 11" xfId="24187"/>
    <cellStyle name="20% - Accent5 5 2 2 12" xfId="28339"/>
    <cellStyle name="20% - Accent5 5 2 2 13" xfId="2131"/>
    <cellStyle name="20% - Accent5 5 2 2 2" xfId="1469"/>
    <cellStyle name="20% - Accent5 5 2 2 2 10" xfId="2783"/>
    <cellStyle name="20% - Accent5 5 2 2 2 2" xfId="3636"/>
    <cellStyle name="20% - Accent5 5 2 2 2 2 2" xfId="8612"/>
    <cellStyle name="20% - Accent5 5 2 2 2 2 3" xfId="12897"/>
    <cellStyle name="20% - Accent5 5 2 2 2 2 4" xfId="17169"/>
    <cellStyle name="20% - Accent5 5 2 2 2 2 5" xfId="21404"/>
    <cellStyle name="20% - Accent5 5 2 2 2 2 6" xfId="25642"/>
    <cellStyle name="20% - Accent5 5 2 2 2 2 7" xfId="29720"/>
    <cellStyle name="20% - Accent5 5 2 2 2 3" xfId="5500"/>
    <cellStyle name="20% - Accent5 5 2 2 2 3 2" xfId="10474"/>
    <cellStyle name="20% - Accent5 5 2 2 2 3 3" xfId="14751"/>
    <cellStyle name="20% - Accent5 5 2 2 2 3 4" xfId="19010"/>
    <cellStyle name="20% - Accent5 5 2 2 2 3 5" xfId="23229"/>
    <cellStyle name="20% - Accent5 5 2 2 2 3 6" xfId="27424"/>
    <cellStyle name="20% - Accent5 5 2 2 2 3 7" xfId="31320"/>
    <cellStyle name="20% - Accent5 5 2 2 2 4" xfId="7760"/>
    <cellStyle name="20% - Accent5 5 2 2 2 5" xfId="12049"/>
    <cellStyle name="20% - Accent5 5 2 2 2 6" xfId="16325"/>
    <cellStyle name="20% - Accent5 5 2 2 2 7" xfId="20567"/>
    <cellStyle name="20% - Accent5 5 2 2 2 8" xfId="24814"/>
    <cellStyle name="20% - Accent5 5 2 2 2 9" xfId="28913"/>
    <cellStyle name="20% - Accent5 5 2 2 3" xfId="3390"/>
    <cellStyle name="20% - Accent5 5 2 2 3 2" xfId="8366"/>
    <cellStyle name="20% - Accent5 5 2 2 3 3" xfId="12651"/>
    <cellStyle name="20% - Accent5 5 2 2 3 4" xfId="16923"/>
    <cellStyle name="20% - Accent5 5 2 2 3 5" xfId="21158"/>
    <cellStyle name="20% - Accent5 5 2 2 3 6" xfId="25396"/>
    <cellStyle name="20% - Accent5 5 2 2 3 7" xfId="29474"/>
    <cellStyle name="20% - Accent5 5 2 2 4" xfId="2529"/>
    <cellStyle name="20% - Accent5 5 2 2 4 2" xfId="7506"/>
    <cellStyle name="20% - Accent5 5 2 2 4 3" xfId="11795"/>
    <cellStyle name="20% - Accent5 5 2 2 4 4" xfId="16073"/>
    <cellStyle name="20% - Accent5 5 2 2 4 5" xfId="20316"/>
    <cellStyle name="20% - Accent5 5 2 2 4 6" xfId="24562"/>
    <cellStyle name="20% - Accent5 5 2 2 4 7" xfId="28667"/>
    <cellStyle name="20% - Accent5 5 2 2 5" xfId="4843"/>
    <cellStyle name="20% - Accent5 5 2 2 5 2" xfId="9817"/>
    <cellStyle name="20% - Accent5 5 2 2 5 3" xfId="14094"/>
    <cellStyle name="20% - Accent5 5 2 2 5 4" xfId="18353"/>
    <cellStyle name="20% - Accent5 5 2 2 5 5" xfId="22572"/>
    <cellStyle name="20% - Accent5 5 2 2 5 6" xfId="26767"/>
    <cellStyle name="20% - Accent5 5 2 2 5 7" xfId="30663"/>
    <cellStyle name="20% - Accent5 5 2 2 6" xfId="6191"/>
    <cellStyle name="20% - Accent5 5 2 2 6 2" xfId="11163"/>
    <cellStyle name="20% - Accent5 5 2 2 6 3" xfId="15441"/>
    <cellStyle name="20% - Accent5 5 2 2 6 4" xfId="19698"/>
    <cellStyle name="20% - Accent5 5 2 2 6 5" xfId="23915"/>
    <cellStyle name="20% - Accent5 5 2 2 6 6" xfId="28101"/>
    <cellStyle name="20% - Accent5 5 2 2 6 7" xfId="31980"/>
    <cellStyle name="20% - Accent5 5 2 2 7" xfId="7109"/>
    <cellStyle name="20% - Accent5 5 2 2 8" xfId="11401"/>
    <cellStyle name="20% - Accent5 5 2 2 9" xfId="15679"/>
    <cellStyle name="20% - Accent5 5 2 3" xfId="1140"/>
    <cellStyle name="20% - Accent5 5 2 3 2" xfId="5171"/>
    <cellStyle name="20% - Accent5 5 2 3 2 2" xfId="10145"/>
    <cellStyle name="20% - Accent5 5 2 3 2 3" xfId="14422"/>
    <cellStyle name="20% - Accent5 5 2 3 2 4" xfId="18681"/>
    <cellStyle name="20% - Accent5 5 2 3 2 5" xfId="22900"/>
    <cellStyle name="20% - Accent5 5 2 3 2 6" xfId="27095"/>
    <cellStyle name="20% - Accent5 5 2 3 2 7" xfId="30991"/>
    <cellStyle name="20% - Accent5 5 2 3 3" xfId="2429"/>
    <cellStyle name="20% - Accent5 5 2 4" xfId="4513"/>
    <cellStyle name="20% - Accent5 5 2 4 2" xfId="9487"/>
    <cellStyle name="20% - Accent5 5 2 4 3" xfId="13764"/>
    <cellStyle name="20% - Accent5 5 2 4 4" xfId="18024"/>
    <cellStyle name="20% - Accent5 5 2 4 5" xfId="22242"/>
    <cellStyle name="20% - Accent5 5 2 4 6" xfId="26438"/>
    <cellStyle name="20% - Accent5 5 2 4 7" xfId="30334"/>
    <cellStyle name="20% - Accent5 5 2 5" xfId="5862"/>
    <cellStyle name="20% - Accent5 5 2 5 2" xfId="10834"/>
    <cellStyle name="20% - Accent5 5 2 5 3" xfId="15112"/>
    <cellStyle name="20% - Accent5 5 2 5 4" xfId="19369"/>
    <cellStyle name="20% - Accent5 5 2 5 5" xfId="23586"/>
    <cellStyle name="20% - Accent5 5 2 5 6" xfId="27772"/>
    <cellStyle name="20% - Accent5 5 2 5 7" xfId="31651"/>
    <cellStyle name="20% - Accent5 5 2 6" xfId="6736"/>
    <cellStyle name="20% - Accent5 5 2 7" xfId="9234"/>
    <cellStyle name="20% - Accent5 5 2 8" xfId="13512"/>
    <cellStyle name="20% - Accent5 5 2 9" xfId="17772"/>
    <cellStyle name="20% - Accent5 5 3" xfId="341"/>
    <cellStyle name="20% - Accent5 5 3 10" xfId="21834"/>
    <cellStyle name="20% - Accent5 5 3 11" xfId="26150"/>
    <cellStyle name="20% - Accent5 5 3 12" xfId="1710"/>
    <cellStyle name="20% - Accent5 5 3 2" xfId="721"/>
    <cellStyle name="20% - Accent5 5 3 2 10" xfId="28248"/>
    <cellStyle name="20% - Accent5 5 3 2 11" xfId="2040"/>
    <cellStyle name="20% - Accent5 5 3 2 2" xfId="1378"/>
    <cellStyle name="20% - Accent5 5 3 2 2 2" xfId="5409"/>
    <cellStyle name="20% - Accent5 5 3 2 2 2 2" xfId="10383"/>
    <cellStyle name="20% - Accent5 5 3 2 2 2 3" xfId="14660"/>
    <cellStyle name="20% - Accent5 5 3 2 2 2 4" xfId="18919"/>
    <cellStyle name="20% - Accent5 5 3 2 2 2 5" xfId="23138"/>
    <cellStyle name="20% - Accent5 5 3 2 2 2 6" xfId="27333"/>
    <cellStyle name="20% - Accent5 5 3 2 2 2 7" xfId="31229"/>
    <cellStyle name="20% - Accent5 5 3 2 2 3" xfId="8613"/>
    <cellStyle name="20% - Accent5 5 3 2 2 4" xfId="12898"/>
    <cellStyle name="20% - Accent5 5 3 2 2 5" xfId="17170"/>
    <cellStyle name="20% - Accent5 5 3 2 2 6" xfId="21405"/>
    <cellStyle name="20% - Accent5 5 3 2 2 7" xfId="25643"/>
    <cellStyle name="20% - Accent5 5 3 2 2 8" xfId="29721"/>
    <cellStyle name="20% - Accent5 5 3 2 2 9" xfId="3637"/>
    <cellStyle name="20% - Accent5 5 3 2 3" xfId="4752"/>
    <cellStyle name="20% - Accent5 5 3 2 3 2" xfId="9726"/>
    <cellStyle name="20% - Accent5 5 3 2 3 3" xfId="14003"/>
    <cellStyle name="20% - Accent5 5 3 2 3 4" xfId="18262"/>
    <cellStyle name="20% - Accent5 5 3 2 3 5" xfId="22481"/>
    <cellStyle name="20% - Accent5 5 3 2 3 6" xfId="26676"/>
    <cellStyle name="20% - Accent5 5 3 2 3 7" xfId="30572"/>
    <cellStyle name="20% - Accent5 5 3 2 4" xfId="6100"/>
    <cellStyle name="20% - Accent5 5 3 2 4 2" xfId="11072"/>
    <cellStyle name="20% - Accent5 5 3 2 4 3" xfId="15350"/>
    <cellStyle name="20% - Accent5 5 3 2 4 4" xfId="19607"/>
    <cellStyle name="20% - Accent5 5 3 2 4 5" xfId="23824"/>
    <cellStyle name="20% - Accent5 5 3 2 4 6" xfId="28010"/>
    <cellStyle name="20% - Accent5 5 3 2 4 7" xfId="31889"/>
    <cellStyle name="20% - Accent5 5 3 2 5" xfId="7018"/>
    <cellStyle name="20% - Accent5 5 3 2 6" xfId="11310"/>
    <cellStyle name="20% - Accent5 5 3 2 7" xfId="15588"/>
    <cellStyle name="20% - Accent5 5 3 2 8" xfId="19845"/>
    <cellStyle name="20% - Accent5 5 3 2 9" xfId="24096"/>
    <cellStyle name="20% - Accent5 5 3 3" xfId="1049"/>
    <cellStyle name="20% - Accent5 5 3 3 2" xfId="5080"/>
    <cellStyle name="20% - Accent5 5 3 3 2 2" xfId="10054"/>
    <cellStyle name="20% - Accent5 5 3 3 2 3" xfId="14331"/>
    <cellStyle name="20% - Accent5 5 3 3 2 4" xfId="18590"/>
    <cellStyle name="20% - Accent5 5 3 3 2 5" xfId="22809"/>
    <cellStyle name="20% - Accent5 5 3 3 2 6" xfId="27004"/>
    <cellStyle name="20% - Accent5 5 3 3 2 7" xfId="30900"/>
    <cellStyle name="20% - Accent5 5 3 3 3" xfId="7761"/>
    <cellStyle name="20% - Accent5 5 3 3 4" xfId="12050"/>
    <cellStyle name="20% - Accent5 5 3 3 5" xfId="16326"/>
    <cellStyle name="20% - Accent5 5 3 3 6" xfId="20568"/>
    <cellStyle name="20% - Accent5 5 3 3 7" xfId="24815"/>
    <cellStyle name="20% - Accent5 5 3 3 8" xfId="28914"/>
    <cellStyle name="20% - Accent5 5 3 3 9" xfId="2784"/>
    <cellStyle name="20% - Accent5 5 3 4" xfId="4422"/>
    <cellStyle name="20% - Accent5 5 3 4 2" xfId="9396"/>
    <cellStyle name="20% - Accent5 5 3 4 3" xfId="13673"/>
    <cellStyle name="20% - Accent5 5 3 4 4" xfId="17933"/>
    <cellStyle name="20% - Accent5 5 3 4 5" xfId="22151"/>
    <cellStyle name="20% - Accent5 5 3 4 6" xfId="26347"/>
    <cellStyle name="20% - Accent5 5 3 4 7" xfId="30243"/>
    <cellStyle name="20% - Accent5 5 3 5" xfId="5771"/>
    <cellStyle name="20% - Accent5 5 3 5 2" xfId="10743"/>
    <cellStyle name="20% - Accent5 5 3 5 3" xfId="15021"/>
    <cellStyle name="20% - Accent5 5 3 5 4" xfId="19278"/>
    <cellStyle name="20% - Accent5 5 3 5 5" xfId="23495"/>
    <cellStyle name="20% - Accent5 5 3 5 6" xfId="27681"/>
    <cellStyle name="20% - Accent5 5 3 5 7" xfId="31560"/>
    <cellStyle name="20% - Accent5 5 3 6" xfId="6639"/>
    <cellStyle name="20% - Accent5 5 3 7" xfId="9176"/>
    <cellStyle name="20% - Accent5 5 3 8" xfId="13456"/>
    <cellStyle name="20% - Accent5 5 3 9" xfId="17720"/>
    <cellStyle name="20% - Accent5 5 4" xfId="3229"/>
    <cellStyle name="20% - Accent5 5 4 2" xfId="8205"/>
    <cellStyle name="20% - Accent5 5 4 3" xfId="12491"/>
    <cellStyle name="20% - Accent5 5 4 4" xfId="16763"/>
    <cellStyle name="20% - Accent5 5 4 5" xfId="21001"/>
    <cellStyle name="20% - Accent5 5 4 6" xfId="25239"/>
    <cellStyle name="20% - Accent5 5 4 7" xfId="29320"/>
    <cellStyle name="20% - Accent5 5 5" xfId="2334"/>
    <cellStyle name="20% - Accent5 5 5 2" xfId="7312"/>
    <cellStyle name="20% - Accent5 5 5 3" xfId="11602"/>
    <cellStyle name="20% - Accent5 5 5 4" xfId="15880"/>
    <cellStyle name="20% - Accent5 5 5 5" xfId="20132"/>
    <cellStyle name="20% - Accent5 5 5 6" xfId="24381"/>
    <cellStyle name="20% - Accent5 5 5 7" xfId="28512"/>
    <cellStyle name="20% - Accent5 6" xfId="370"/>
    <cellStyle name="20% - Accent5 6 10" xfId="20204"/>
    <cellStyle name="20% - Accent5 6 11" xfId="26103"/>
    <cellStyle name="20% - Accent5 6 12" xfId="1733"/>
    <cellStyle name="20% - Accent5 6 2" xfId="744"/>
    <cellStyle name="20% - Accent5 6 2 10" xfId="19868"/>
    <cellStyle name="20% - Accent5 6 2 11" xfId="24119"/>
    <cellStyle name="20% - Accent5 6 2 12" xfId="28271"/>
    <cellStyle name="20% - Accent5 6 2 13" xfId="2063"/>
    <cellStyle name="20% - Accent5 6 2 2" xfId="1401"/>
    <cellStyle name="20% - Accent5 6 2 2 10" xfId="2785"/>
    <cellStyle name="20% - Accent5 6 2 2 2" xfId="3638"/>
    <cellStyle name="20% - Accent5 6 2 2 2 2" xfId="8614"/>
    <cellStyle name="20% - Accent5 6 2 2 2 3" xfId="12899"/>
    <cellStyle name="20% - Accent5 6 2 2 2 4" xfId="17171"/>
    <cellStyle name="20% - Accent5 6 2 2 2 5" xfId="21406"/>
    <cellStyle name="20% - Accent5 6 2 2 2 6" xfId="25644"/>
    <cellStyle name="20% - Accent5 6 2 2 2 7" xfId="29722"/>
    <cellStyle name="20% - Accent5 6 2 2 3" xfId="5432"/>
    <cellStyle name="20% - Accent5 6 2 2 3 2" xfId="10406"/>
    <cellStyle name="20% - Accent5 6 2 2 3 3" xfId="14683"/>
    <cellStyle name="20% - Accent5 6 2 2 3 4" xfId="18942"/>
    <cellStyle name="20% - Accent5 6 2 2 3 5" xfId="23161"/>
    <cellStyle name="20% - Accent5 6 2 2 3 6" xfId="27356"/>
    <cellStyle name="20% - Accent5 6 2 2 3 7" xfId="31252"/>
    <cellStyle name="20% - Accent5 6 2 2 4" xfId="7762"/>
    <cellStyle name="20% - Accent5 6 2 2 5" xfId="12051"/>
    <cellStyle name="20% - Accent5 6 2 2 6" xfId="16327"/>
    <cellStyle name="20% - Accent5 6 2 2 7" xfId="20569"/>
    <cellStyle name="20% - Accent5 6 2 2 8" xfId="24816"/>
    <cellStyle name="20% - Accent5 6 2 2 9" xfId="28915"/>
    <cellStyle name="20% - Accent5 6 2 3" xfId="3322"/>
    <cellStyle name="20% - Accent5 6 2 3 2" xfId="8298"/>
    <cellStyle name="20% - Accent5 6 2 3 3" xfId="12583"/>
    <cellStyle name="20% - Accent5 6 2 3 4" xfId="16855"/>
    <cellStyle name="20% - Accent5 6 2 3 5" xfId="21090"/>
    <cellStyle name="20% - Accent5 6 2 3 6" xfId="25328"/>
    <cellStyle name="20% - Accent5 6 2 3 7" xfId="29406"/>
    <cellStyle name="20% - Accent5 6 2 4" xfId="2461"/>
    <cellStyle name="20% - Accent5 6 2 4 2" xfId="7438"/>
    <cellStyle name="20% - Accent5 6 2 4 3" xfId="11727"/>
    <cellStyle name="20% - Accent5 6 2 4 4" xfId="16005"/>
    <cellStyle name="20% - Accent5 6 2 4 5" xfId="20248"/>
    <cellStyle name="20% - Accent5 6 2 4 6" xfId="24494"/>
    <cellStyle name="20% - Accent5 6 2 4 7" xfId="28599"/>
    <cellStyle name="20% - Accent5 6 2 5" xfId="4775"/>
    <cellStyle name="20% - Accent5 6 2 5 2" xfId="9749"/>
    <cellStyle name="20% - Accent5 6 2 5 3" xfId="14026"/>
    <cellStyle name="20% - Accent5 6 2 5 4" xfId="18285"/>
    <cellStyle name="20% - Accent5 6 2 5 5" xfId="22504"/>
    <cellStyle name="20% - Accent5 6 2 5 6" xfId="26699"/>
    <cellStyle name="20% - Accent5 6 2 5 7" xfId="30595"/>
    <cellStyle name="20% - Accent5 6 2 6" xfId="6123"/>
    <cellStyle name="20% - Accent5 6 2 6 2" xfId="11095"/>
    <cellStyle name="20% - Accent5 6 2 6 3" xfId="15373"/>
    <cellStyle name="20% - Accent5 6 2 6 4" xfId="19630"/>
    <cellStyle name="20% - Accent5 6 2 6 5" xfId="23847"/>
    <cellStyle name="20% - Accent5 6 2 6 6" xfId="28033"/>
    <cellStyle name="20% - Accent5 6 2 6 7" xfId="31912"/>
    <cellStyle name="20% - Accent5 6 2 7" xfId="7041"/>
    <cellStyle name="20% - Accent5 6 2 8" xfId="11333"/>
    <cellStyle name="20% - Accent5 6 2 9" xfId="15611"/>
    <cellStyle name="20% - Accent5 6 3" xfId="1072"/>
    <cellStyle name="20% - Accent5 6 3 2" xfId="5103"/>
    <cellStyle name="20% - Accent5 6 3 2 2" xfId="10077"/>
    <cellStyle name="20% - Accent5 6 3 2 3" xfId="14354"/>
    <cellStyle name="20% - Accent5 6 3 2 4" xfId="18613"/>
    <cellStyle name="20% - Accent5 6 3 2 5" xfId="22832"/>
    <cellStyle name="20% - Accent5 6 3 2 6" xfId="27027"/>
    <cellStyle name="20% - Accent5 6 3 2 7" xfId="30923"/>
    <cellStyle name="20% - Accent5 6 3 3" xfId="2323"/>
    <cellStyle name="20% - Accent5 6 4" xfId="4445"/>
    <cellStyle name="20% - Accent5 6 4 2" xfId="9419"/>
    <cellStyle name="20% - Accent5 6 4 3" xfId="13696"/>
    <cellStyle name="20% - Accent5 6 4 4" xfId="17956"/>
    <cellStyle name="20% - Accent5 6 4 5" xfId="22174"/>
    <cellStyle name="20% - Accent5 6 4 6" xfId="26370"/>
    <cellStyle name="20% - Accent5 6 4 7" xfId="30266"/>
    <cellStyle name="20% - Accent5 6 5" xfId="5794"/>
    <cellStyle name="20% - Accent5 6 5 2" xfId="10766"/>
    <cellStyle name="20% - Accent5 6 5 3" xfId="15044"/>
    <cellStyle name="20% - Accent5 6 5 4" xfId="19301"/>
    <cellStyle name="20% - Accent5 6 5 5" xfId="23518"/>
    <cellStyle name="20% - Accent5 6 5 6" xfId="27704"/>
    <cellStyle name="20% - Accent5 6 5 7" xfId="31583"/>
    <cellStyle name="20% - Accent5 6 6" xfId="6668"/>
    <cellStyle name="20% - Accent5 6 7" xfId="9110"/>
    <cellStyle name="20% - Accent5 6 8" xfId="13391"/>
    <cellStyle name="20% - Accent5 6 9" xfId="17659"/>
    <cellStyle name="20% - Accent5 7" xfId="553"/>
    <cellStyle name="20% - Accent5 7 2" xfId="2786"/>
    <cellStyle name="20% - Accent5 7 2 2" xfId="3639"/>
    <cellStyle name="20% - Accent5 7 2 2 2" xfId="8615"/>
    <cellStyle name="20% - Accent5 7 2 2 3" xfId="12900"/>
    <cellStyle name="20% - Accent5 7 2 2 4" xfId="17172"/>
    <cellStyle name="20% - Accent5 7 2 2 5" xfId="21407"/>
    <cellStyle name="20% - Accent5 7 2 2 6" xfId="25645"/>
    <cellStyle name="20% - Accent5 7 2 2 7" xfId="29723"/>
    <cellStyle name="20% - Accent5 7 2 3" xfId="7763"/>
    <cellStyle name="20% - Accent5 7 2 4" xfId="12052"/>
    <cellStyle name="20% - Accent5 7 2 5" xfId="16328"/>
    <cellStyle name="20% - Accent5 7 2 6" xfId="20570"/>
    <cellStyle name="20% - Accent5 7 2 7" xfId="24817"/>
    <cellStyle name="20% - Accent5 7 2 8" xfId="28916"/>
    <cellStyle name="20% - Accent5 7 3" xfId="3455"/>
    <cellStyle name="20% - Accent5 7 3 2" xfId="8431"/>
    <cellStyle name="20% - Accent5 7 3 3" xfId="12716"/>
    <cellStyle name="20% - Accent5 7 3 4" xfId="16988"/>
    <cellStyle name="20% - Accent5 7 3 5" xfId="21223"/>
    <cellStyle name="20% - Accent5 7 3 6" xfId="25461"/>
    <cellStyle name="20% - Accent5 7 3 7" xfId="29539"/>
    <cellStyle name="20% - Accent5 7 4" xfId="2596"/>
    <cellStyle name="20% - Accent5 7 4 2" xfId="7573"/>
    <cellStyle name="20% - Accent5 7 4 3" xfId="11862"/>
    <cellStyle name="20% - Accent5 7 4 4" xfId="16138"/>
    <cellStyle name="20% - Accent5 7 4 5" xfId="20381"/>
    <cellStyle name="20% - Accent5 7 4 6" xfId="24627"/>
    <cellStyle name="20% - Accent5 7 4 7" xfId="28732"/>
    <cellStyle name="20% - Accent5 8" xfId="2787"/>
    <cellStyle name="20% - Accent6" xfId="6" builtinId="50" customBuiltin="1"/>
    <cellStyle name="20% - Accent6 2" xfId="94"/>
    <cellStyle name="20% - Accent6 2 10" xfId="4301"/>
    <cellStyle name="20% - Accent6 2 10 2" xfId="9275"/>
    <cellStyle name="20% - Accent6 2 10 3" xfId="13552"/>
    <cellStyle name="20% - Accent6 2 10 4" xfId="17812"/>
    <cellStyle name="20% - Accent6 2 10 5" xfId="22031"/>
    <cellStyle name="20% - Accent6 2 10 6" xfId="26229"/>
    <cellStyle name="20% - Accent6 2 10 7" xfId="30126"/>
    <cellStyle name="20% - Accent6 2 11" xfId="5657"/>
    <cellStyle name="20% - Accent6 2 11 2" xfId="10629"/>
    <cellStyle name="20% - Accent6 2 11 3" xfId="14907"/>
    <cellStyle name="20% - Accent6 2 11 4" xfId="19164"/>
    <cellStyle name="20% - Accent6 2 11 5" xfId="23381"/>
    <cellStyle name="20% - Accent6 2 11 6" xfId="27567"/>
    <cellStyle name="20% - Accent6 2 11 7" xfId="31446"/>
    <cellStyle name="20% - Accent6 2 12" xfId="6394"/>
    <cellStyle name="20% - Accent6 2 13" xfId="10611"/>
    <cellStyle name="20% - Accent6 2 14" xfId="14889"/>
    <cellStyle name="20% - Accent6 2 15" xfId="19146"/>
    <cellStyle name="20% - Accent6 2 16" xfId="21976"/>
    <cellStyle name="20% - Accent6 2 17" xfId="27553"/>
    <cellStyle name="20% - Accent6 2 18" xfId="1591"/>
    <cellStyle name="20% - Accent6 2 2" xfId="176"/>
    <cellStyle name="20% - Accent6 2 2 10" xfId="5689"/>
    <cellStyle name="20% - Accent6 2 2 10 2" xfId="10661"/>
    <cellStyle name="20% - Accent6 2 2 10 3" xfId="14939"/>
    <cellStyle name="20% - Accent6 2 2 10 4" xfId="19196"/>
    <cellStyle name="20% - Accent6 2 2 10 5" xfId="23413"/>
    <cellStyle name="20% - Accent6 2 2 10 6" xfId="27599"/>
    <cellStyle name="20% - Accent6 2 2 10 7" xfId="31478"/>
    <cellStyle name="20% - Accent6 2 2 11" xfId="6475"/>
    <cellStyle name="20% - Accent6 2 2 12" xfId="6340"/>
    <cellStyle name="20% - Accent6 2 2 13" xfId="7396"/>
    <cellStyle name="20% - Accent6 2 2 14" xfId="11685"/>
    <cellStyle name="20% - Accent6 2 2 15" xfId="23341"/>
    <cellStyle name="20% - Accent6 2 2 16" xfId="21917"/>
    <cellStyle name="20% - Accent6 2 2 17" xfId="1624"/>
    <cellStyle name="20% - Accent6 2 2 2" xfId="320"/>
    <cellStyle name="20% - Accent6 2 2 2 10" xfId="13334"/>
    <cellStyle name="20% - Accent6 2 2 2 11" xfId="17606"/>
    <cellStyle name="20% - Accent6 2 2 2 12" xfId="21810"/>
    <cellStyle name="20% - Accent6 2 2 2 13" xfId="26058"/>
    <cellStyle name="20% - Accent6 2 2 2 14" xfId="1692"/>
    <cellStyle name="20% - Accent6 2 2 2 2" xfId="484"/>
    <cellStyle name="20% - Accent6 2 2 2 2 10" xfId="17633"/>
    <cellStyle name="20% - Accent6 2 2 2 2 11" xfId="23352"/>
    <cellStyle name="20% - Accent6 2 2 2 2 12" xfId="26080"/>
    <cellStyle name="20% - Accent6 2 2 2 2 13" xfId="1847"/>
    <cellStyle name="20% - Accent6 2 2 2 2 2" xfId="858"/>
    <cellStyle name="20% - Accent6 2 2 2 2 2 10" xfId="24233"/>
    <cellStyle name="20% - Accent6 2 2 2 2 2 11" xfId="28385"/>
    <cellStyle name="20% - Accent6 2 2 2 2 2 12" xfId="2177"/>
    <cellStyle name="20% - Accent6 2 2 2 2 2 2" xfId="1515"/>
    <cellStyle name="20% - Accent6 2 2 2 2 2 2 2" xfId="5546"/>
    <cellStyle name="20% - Accent6 2 2 2 2 2 2 2 2" xfId="10520"/>
    <cellStyle name="20% - Accent6 2 2 2 2 2 2 2 3" xfId="14797"/>
    <cellStyle name="20% - Accent6 2 2 2 2 2 2 2 4" xfId="19056"/>
    <cellStyle name="20% - Accent6 2 2 2 2 2 2 2 5" xfId="23275"/>
    <cellStyle name="20% - Accent6 2 2 2 2 2 2 2 6" xfId="27470"/>
    <cellStyle name="20% - Accent6 2 2 2 2 2 2 2 7" xfId="31366"/>
    <cellStyle name="20% - Accent6 2 2 2 2 2 2 3" xfId="8616"/>
    <cellStyle name="20% - Accent6 2 2 2 2 2 2 4" xfId="12901"/>
    <cellStyle name="20% - Accent6 2 2 2 2 2 2 5" xfId="17173"/>
    <cellStyle name="20% - Accent6 2 2 2 2 2 2 6" xfId="21408"/>
    <cellStyle name="20% - Accent6 2 2 2 2 2 2 7" xfId="25646"/>
    <cellStyle name="20% - Accent6 2 2 2 2 2 2 8" xfId="29724"/>
    <cellStyle name="20% - Accent6 2 2 2 2 2 2 9" xfId="3640"/>
    <cellStyle name="20% - Accent6 2 2 2 2 2 3" xfId="2788"/>
    <cellStyle name="20% - Accent6 2 2 2 2 2 3 2" xfId="7765"/>
    <cellStyle name="20% - Accent6 2 2 2 2 2 3 3" xfId="12054"/>
    <cellStyle name="20% - Accent6 2 2 2 2 2 3 4" xfId="16330"/>
    <cellStyle name="20% - Accent6 2 2 2 2 2 3 5" xfId="20572"/>
    <cellStyle name="20% - Accent6 2 2 2 2 2 3 6" xfId="24819"/>
    <cellStyle name="20% - Accent6 2 2 2 2 2 3 7" xfId="28917"/>
    <cellStyle name="20% - Accent6 2 2 2 2 2 4" xfId="4889"/>
    <cellStyle name="20% - Accent6 2 2 2 2 2 4 2" xfId="9863"/>
    <cellStyle name="20% - Accent6 2 2 2 2 2 4 3" xfId="14140"/>
    <cellStyle name="20% - Accent6 2 2 2 2 2 4 4" xfId="18399"/>
    <cellStyle name="20% - Accent6 2 2 2 2 2 4 5" xfId="22618"/>
    <cellStyle name="20% - Accent6 2 2 2 2 2 4 6" xfId="26813"/>
    <cellStyle name="20% - Accent6 2 2 2 2 2 4 7" xfId="30709"/>
    <cellStyle name="20% - Accent6 2 2 2 2 2 5" xfId="6237"/>
    <cellStyle name="20% - Accent6 2 2 2 2 2 5 2" xfId="11209"/>
    <cellStyle name="20% - Accent6 2 2 2 2 2 5 3" xfId="15487"/>
    <cellStyle name="20% - Accent6 2 2 2 2 2 5 4" xfId="19744"/>
    <cellStyle name="20% - Accent6 2 2 2 2 2 5 5" xfId="23961"/>
    <cellStyle name="20% - Accent6 2 2 2 2 2 5 6" xfId="28147"/>
    <cellStyle name="20% - Accent6 2 2 2 2 2 5 7" xfId="32026"/>
    <cellStyle name="20% - Accent6 2 2 2 2 2 6" xfId="7155"/>
    <cellStyle name="20% - Accent6 2 2 2 2 2 7" xfId="11447"/>
    <cellStyle name="20% - Accent6 2 2 2 2 2 8" xfId="15725"/>
    <cellStyle name="20% - Accent6 2 2 2 2 2 9" xfId="19982"/>
    <cellStyle name="20% - Accent6 2 2 2 2 3" xfId="1186"/>
    <cellStyle name="20% - Accent6 2 2 2 2 3 2" xfId="5217"/>
    <cellStyle name="20% - Accent6 2 2 2 2 3 2 2" xfId="10191"/>
    <cellStyle name="20% - Accent6 2 2 2 2 3 2 3" xfId="14468"/>
    <cellStyle name="20% - Accent6 2 2 2 2 3 2 4" xfId="18727"/>
    <cellStyle name="20% - Accent6 2 2 2 2 3 2 5" xfId="22946"/>
    <cellStyle name="20% - Accent6 2 2 2 2 3 2 6" xfId="27141"/>
    <cellStyle name="20% - Accent6 2 2 2 2 3 2 7" xfId="31037"/>
    <cellStyle name="20% - Accent6 2 2 2 2 3 3" xfId="8412"/>
    <cellStyle name="20% - Accent6 2 2 2 2 3 4" xfId="12697"/>
    <cellStyle name="20% - Accent6 2 2 2 2 3 5" xfId="16969"/>
    <cellStyle name="20% - Accent6 2 2 2 2 3 6" xfId="21204"/>
    <cellStyle name="20% - Accent6 2 2 2 2 3 7" xfId="25442"/>
    <cellStyle name="20% - Accent6 2 2 2 2 3 8" xfId="29520"/>
    <cellStyle name="20% - Accent6 2 2 2 2 3 9" xfId="3436"/>
    <cellStyle name="20% - Accent6 2 2 2 2 4" xfId="2575"/>
    <cellStyle name="20% - Accent6 2 2 2 2 4 2" xfId="7552"/>
    <cellStyle name="20% - Accent6 2 2 2 2 4 3" xfId="11841"/>
    <cellStyle name="20% - Accent6 2 2 2 2 4 4" xfId="16119"/>
    <cellStyle name="20% - Accent6 2 2 2 2 4 5" xfId="20362"/>
    <cellStyle name="20% - Accent6 2 2 2 2 4 6" xfId="24608"/>
    <cellStyle name="20% - Accent6 2 2 2 2 4 7" xfId="28713"/>
    <cellStyle name="20% - Accent6 2 2 2 2 5" xfId="4559"/>
    <cellStyle name="20% - Accent6 2 2 2 2 5 2" xfId="9533"/>
    <cellStyle name="20% - Accent6 2 2 2 2 5 3" xfId="13810"/>
    <cellStyle name="20% - Accent6 2 2 2 2 5 4" xfId="18070"/>
    <cellStyle name="20% - Accent6 2 2 2 2 5 5" xfId="22288"/>
    <cellStyle name="20% - Accent6 2 2 2 2 5 6" xfId="26484"/>
    <cellStyle name="20% - Accent6 2 2 2 2 5 7" xfId="30380"/>
    <cellStyle name="20% - Accent6 2 2 2 2 6" xfId="5908"/>
    <cellStyle name="20% - Accent6 2 2 2 2 6 2" xfId="10880"/>
    <cellStyle name="20% - Accent6 2 2 2 2 6 3" xfId="15158"/>
    <cellStyle name="20% - Accent6 2 2 2 2 6 4" xfId="19415"/>
    <cellStyle name="20% - Accent6 2 2 2 2 6 5" xfId="23632"/>
    <cellStyle name="20% - Accent6 2 2 2 2 6 6" xfId="27818"/>
    <cellStyle name="20% - Accent6 2 2 2 2 6 7" xfId="31697"/>
    <cellStyle name="20% - Accent6 2 2 2 2 7" xfId="6782"/>
    <cellStyle name="20% - Accent6 2 2 2 2 8" xfId="9082"/>
    <cellStyle name="20% - Accent6 2 2 2 2 9" xfId="13364"/>
    <cellStyle name="20% - Accent6 2 2 2 3" xfId="703"/>
    <cellStyle name="20% - Accent6 2 2 2 3 10" xfId="24078"/>
    <cellStyle name="20% - Accent6 2 2 2 3 11" xfId="28230"/>
    <cellStyle name="20% - Accent6 2 2 2 3 12" xfId="2022"/>
    <cellStyle name="20% - Accent6 2 2 2 3 2" xfId="1360"/>
    <cellStyle name="20% - Accent6 2 2 2 3 2 2" xfId="5391"/>
    <cellStyle name="20% - Accent6 2 2 2 3 2 2 2" xfId="10365"/>
    <cellStyle name="20% - Accent6 2 2 2 3 2 2 3" xfId="14642"/>
    <cellStyle name="20% - Accent6 2 2 2 3 2 2 4" xfId="18901"/>
    <cellStyle name="20% - Accent6 2 2 2 3 2 2 5" xfId="23120"/>
    <cellStyle name="20% - Accent6 2 2 2 3 2 2 6" xfId="27315"/>
    <cellStyle name="20% - Accent6 2 2 2 3 2 2 7" xfId="31211"/>
    <cellStyle name="20% - Accent6 2 2 2 3 2 3" xfId="8617"/>
    <cellStyle name="20% - Accent6 2 2 2 3 2 4" xfId="12902"/>
    <cellStyle name="20% - Accent6 2 2 2 3 2 5" xfId="17174"/>
    <cellStyle name="20% - Accent6 2 2 2 3 2 6" xfId="21409"/>
    <cellStyle name="20% - Accent6 2 2 2 3 2 7" xfId="25647"/>
    <cellStyle name="20% - Accent6 2 2 2 3 2 8" xfId="29725"/>
    <cellStyle name="20% - Accent6 2 2 2 3 2 9" xfId="3641"/>
    <cellStyle name="20% - Accent6 2 2 2 3 3" xfId="2789"/>
    <cellStyle name="20% - Accent6 2 2 2 3 3 2" xfId="7766"/>
    <cellStyle name="20% - Accent6 2 2 2 3 3 3" xfId="12055"/>
    <cellStyle name="20% - Accent6 2 2 2 3 3 4" xfId="16331"/>
    <cellStyle name="20% - Accent6 2 2 2 3 3 5" xfId="20573"/>
    <cellStyle name="20% - Accent6 2 2 2 3 3 6" xfId="24820"/>
    <cellStyle name="20% - Accent6 2 2 2 3 3 7" xfId="28918"/>
    <cellStyle name="20% - Accent6 2 2 2 3 4" xfId="4734"/>
    <cellStyle name="20% - Accent6 2 2 2 3 4 2" xfId="9708"/>
    <cellStyle name="20% - Accent6 2 2 2 3 4 3" xfId="13985"/>
    <cellStyle name="20% - Accent6 2 2 2 3 4 4" xfId="18244"/>
    <cellStyle name="20% - Accent6 2 2 2 3 4 5" xfId="22463"/>
    <cellStyle name="20% - Accent6 2 2 2 3 4 6" xfId="26658"/>
    <cellStyle name="20% - Accent6 2 2 2 3 4 7" xfId="30554"/>
    <cellStyle name="20% - Accent6 2 2 2 3 5" xfId="6082"/>
    <cellStyle name="20% - Accent6 2 2 2 3 5 2" xfId="11054"/>
    <cellStyle name="20% - Accent6 2 2 2 3 5 3" xfId="15332"/>
    <cellStyle name="20% - Accent6 2 2 2 3 5 4" xfId="19589"/>
    <cellStyle name="20% - Accent6 2 2 2 3 5 5" xfId="23806"/>
    <cellStyle name="20% - Accent6 2 2 2 3 5 6" xfId="27992"/>
    <cellStyle name="20% - Accent6 2 2 2 3 5 7" xfId="31871"/>
    <cellStyle name="20% - Accent6 2 2 2 3 6" xfId="7000"/>
    <cellStyle name="20% - Accent6 2 2 2 3 7" xfId="11292"/>
    <cellStyle name="20% - Accent6 2 2 2 3 8" xfId="15570"/>
    <cellStyle name="20% - Accent6 2 2 2 3 9" xfId="19827"/>
    <cellStyle name="20% - Accent6 2 2 2 4" xfId="1031"/>
    <cellStyle name="20% - Accent6 2 2 2 4 2" xfId="5062"/>
    <cellStyle name="20% - Accent6 2 2 2 4 2 2" xfId="10036"/>
    <cellStyle name="20% - Accent6 2 2 2 4 2 3" xfId="14313"/>
    <cellStyle name="20% - Accent6 2 2 2 4 2 4" xfId="18572"/>
    <cellStyle name="20% - Accent6 2 2 2 4 2 5" xfId="22791"/>
    <cellStyle name="20% - Accent6 2 2 2 4 2 6" xfId="26986"/>
    <cellStyle name="20% - Accent6 2 2 2 4 2 7" xfId="30882"/>
    <cellStyle name="20% - Accent6 2 2 2 4 3" xfId="8260"/>
    <cellStyle name="20% - Accent6 2 2 2 4 4" xfId="12545"/>
    <cellStyle name="20% - Accent6 2 2 2 4 5" xfId="16818"/>
    <cellStyle name="20% - Accent6 2 2 2 4 6" xfId="21054"/>
    <cellStyle name="20% - Accent6 2 2 2 4 7" xfId="25292"/>
    <cellStyle name="20% - Accent6 2 2 2 4 8" xfId="29370"/>
    <cellStyle name="20% - Accent6 2 2 2 4 9" xfId="3284"/>
    <cellStyle name="20% - Accent6 2 2 2 5" xfId="2400"/>
    <cellStyle name="20% - Accent6 2 2 2 5 2" xfId="7378"/>
    <cellStyle name="20% - Accent6 2 2 2 5 3" xfId="11667"/>
    <cellStyle name="20% - Accent6 2 2 2 5 4" xfId="15945"/>
    <cellStyle name="20% - Accent6 2 2 2 5 5" xfId="20194"/>
    <cellStyle name="20% - Accent6 2 2 2 5 6" xfId="24442"/>
    <cellStyle name="20% - Accent6 2 2 2 5 7" xfId="28562"/>
    <cellStyle name="20% - Accent6 2 2 2 6" xfId="4404"/>
    <cellStyle name="20% - Accent6 2 2 2 6 2" xfId="9378"/>
    <cellStyle name="20% - Accent6 2 2 2 6 3" xfId="13655"/>
    <cellStyle name="20% - Accent6 2 2 2 6 4" xfId="17915"/>
    <cellStyle name="20% - Accent6 2 2 2 6 5" xfId="22133"/>
    <cellStyle name="20% - Accent6 2 2 2 6 6" xfId="26329"/>
    <cellStyle name="20% - Accent6 2 2 2 6 7" xfId="30225"/>
    <cellStyle name="20% - Accent6 2 2 2 7" xfId="5753"/>
    <cellStyle name="20% - Accent6 2 2 2 7 2" xfId="10725"/>
    <cellStyle name="20% - Accent6 2 2 2 7 3" xfId="15003"/>
    <cellStyle name="20% - Accent6 2 2 2 7 4" xfId="19260"/>
    <cellStyle name="20% - Accent6 2 2 2 7 5" xfId="23477"/>
    <cellStyle name="20% - Accent6 2 2 2 7 6" xfId="27663"/>
    <cellStyle name="20% - Accent6 2 2 2 7 7" xfId="31542"/>
    <cellStyle name="20% - Accent6 2 2 2 8" xfId="6618"/>
    <cellStyle name="20% - Accent6 2 2 2 9" xfId="9051"/>
    <cellStyle name="20% - Accent6 2 2 3" xfId="423"/>
    <cellStyle name="20% - Accent6 2 2 3 10" xfId="17610"/>
    <cellStyle name="20% - Accent6 2 2 3 11" xfId="21959"/>
    <cellStyle name="20% - Accent6 2 2 3 12" xfId="26061"/>
    <cellStyle name="20% - Accent6 2 2 3 13" xfId="1786"/>
    <cellStyle name="20% - Accent6 2 2 3 2" xfId="797"/>
    <cellStyle name="20% - Accent6 2 2 3 2 10" xfId="24172"/>
    <cellStyle name="20% - Accent6 2 2 3 2 11" xfId="28324"/>
    <cellStyle name="20% - Accent6 2 2 3 2 12" xfId="2116"/>
    <cellStyle name="20% - Accent6 2 2 3 2 2" xfId="1454"/>
    <cellStyle name="20% - Accent6 2 2 3 2 2 2" xfId="5485"/>
    <cellStyle name="20% - Accent6 2 2 3 2 2 2 2" xfId="10459"/>
    <cellStyle name="20% - Accent6 2 2 3 2 2 2 3" xfId="14736"/>
    <cellStyle name="20% - Accent6 2 2 3 2 2 2 4" xfId="18995"/>
    <cellStyle name="20% - Accent6 2 2 3 2 2 2 5" xfId="23214"/>
    <cellStyle name="20% - Accent6 2 2 3 2 2 2 6" xfId="27409"/>
    <cellStyle name="20% - Accent6 2 2 3 2 2 2 7" xfId="31305"/>
    <cellStyle name="20% - Accent6 2 2 3 2 2 3" xfId="8618"/>
    <cellStyle name="20% - Accent6 2 2 3 2 2 4" xfId="12903"/>
    <cellStyle name="20% - Accent6 2 2 3 2 2 5" xfId="17175"/>
    <cellStyle name="20% - Accent6 2 2 3 2 2 6" xfId="21410"/>
    <cellStyle name="20% - Accent6 2 2 3 2 2 7" xfId="25648"/>
    <cellStyle name="20% - Accent6 2 2 3 2 2 8" xfId="29726"/>
    <cellStyle name="20% - Accent6 2 2 3 2 2 9" xfId="3642"/>
    <cellStyle name="20% - Accent6 2 2 3 2 3" xfId="2790"/>
    <cellStyle name="20% - Accent6 2 2 3 2 3 2" xfId="7767"/>
    <cellStyle name="20% - Accent6 2 2 3 2 3 3" xfId="12056"/>
    <cellStyle name="20% - Accent6 2 2 3 2 3 4" xfId="16332"/>
    <cellStyle name="20% - Accent6 2 2 3 2 3 5" xfId="20574"/>
    <cellStyle name="20% - Accent6 2 2 3 2 3 6" xfId="24821"/>
    <cellStyle name="20% - Accent6 2 2 3 2 3 7" xfId="28919"/>
    <cellStyle name="20% - Accent6 2 2 3 2 4" xfId="4828"/>
    <cellStyle name="20% - Accent6 2 2 3 2 4 2" xfId="9802"/>
    <cellStyle name="20% - Accent6 2 2 3 2 4 3" xfId="14079"/>
    <cellStyle name="20% - Accent6 2 2 3 2 4 4" xfId="18338"/>
    <cellStyle name="20% - Accent6 2 2 3 2 4 5" xfId="22557"/>
    <cellStyle name="20% - Accent6 2 2 3 2 4 6" xfId="26752"/>
    <cellStyle name="20% - Accent6 2 2 3 2 4 7" xfId="30648"/>
    <cellStyle name="20% - Accent6 2 2 3 2 5" xfId="6176"/>
    <cellStyle name="20% - Accent6 2 2 3 2 5 2" xfId="11148"/>
    <cellStyle name="20% - Accent6 2 2 3 2 5 3" xfId="15426"/>
    <cellStyle name="20% - Accent6 2 2 3 2 5 4" xfId="19683"/>
    <cellStyle name="20% - Accent6 2 2 3 2 5 5" xfId="23900"/>
    <cellStyle name="20% - Accent6 2 2 3 2 5 6" xfId="28086"/>
    <cellStyle name="20% - Accent6 2 2 3 2 5 7" xfId="31965"/>
    <cellStyle name="20% - Accent6 2 2 3 2 6" xfId="7094"/>
    <cellStyle name="20% - Accent6 2 2 3 2 7" xfId="11386"/>
    <cellStyle name="20% - Accent6 2 2 3 2 8" xfId="15664"/>
    <cellStyle name="20% - Accent6 2 2 3 2 9" xfId="19921"/>
    <cellStyle name="20% - Accent6 2 2 3 3" xfId="1125"/>
    <cellStyle name="20% - Accent6 2 2 3 3 2" xfId="5156"/>
    <cellStyle name="20% - Accent6 2 2 3 3 2 2" xfId="10130"/>
    <cellStyle name="20% - Accent6 2 2 3 3 2 3" xfId="14407"/>
    <cellStyle name="20% - Accent6 2 2 3 3 2 4" xfId="18666"/>
    <cellStyle name="20% - Accent6 2 2 3 3 2 5" xfId="22885"/>
    <cellStyle name="20% - Accent6 2 2 3 3 2 6" xfId="27080"/>
    <cellStyle name="20% - Accent6 2 2 3 3 2 7" xfId="30976"/>
    <cellStyle name="20% - Accent6 2 2 3 3 3" xfId="8351"/>
    <cellStyle name="20% - Accent6 2 2 3 3 4" xfId="12636"/>
    <cellStyle name="20% - Accent6 2 2 3 3 5" xfId="16908"/>
    <cellStyle name="20% - Accent6 2 2 3 3 6" xfId="21143"/>
    <cellStyle name="20% - Accent6 2 2 3 3 7" xfId="25381"/>
    <cellStyle name="20% - Accent6 2 2 3 3 8" xfId="29459"/>
    <cellStyle name="20% - Accent6 2 2 3 3 9" xfId="3375"/>
    <cellStyle name="20% - Accent6 2 2 3 4" xfId="2514"/>
    <cellStyle name="20% - Accent6 2 2 3 4 2" xfId="7491"/>
    <cellStyle name="20% - Accent6 2 2 3 4 3" xfId="11780"/>
    <cellStyle name="20% - Accent6 2 2 3 4 4" xfId="16058"/>
    <cellStyle name="20% - Accent6 2 2 3 4 5" xfId="20301"/>
    <cellStyle name="20% - Accent6 2 2 3 4 6" xfId="24547"/>
    <cellStyle name="20% - Accent6 2 2 3 4 7" xfId="28652"/>
    <cellStyle name="20% - Accent6 2 2 3 5" xfId="4498"/>
    <cellStyle name="20% - Accent6 2 2 3 5 2" xfId="9472"/>
    <cellStyle name="20% - Accent6 2 2 3 5 3" xfId="13749"/>
    <cellStyle name="20% - Accent6 2 2 3 5 4" xfId="18009"/>
    <cellStyle name="20% - Accent6 2 2 3 5 5" xfId="22227"/>
    <cellStyle name="20% - Accent6 2 2 3 5 6" xfId="26423"/>
    <cellStyle name="20% - Accent6 2 2 3 5 7" xfId="30319"/>
    <cellStyle name="20% - Accent6 2 2 3 6" xfId="5847"/>
    <cellStyle name="20% - Accent6 2 2 3 6 2" xfId="10819"/>
    <cellStyle name="20% - Accent6 2 2 3 6 3" xfId="15097"/>
    <cellStyle name="20% - Accent6 2 2 3 6 4" xfId="19354"/>
    <cellStyle name="20% - Accent6 2 2 3 6 5" xfId="23571"/>
    <cellStyle name="20% - Accent6 2 2 3 6 6" xfId="27757"/>
    <cellStyle name="20% - Accent6 2 2 3 6 7" xfId="31636"/>
    <cellStyle name="20% - Accent6 2 2 3 7" xfId="6721"/>
    <cellStyle name="20% - Accent6 2 2 3 8" xfId="9055"/>
    <cellStyle name="20% - Accent6 2 2 3 9" xfId="13338"/>
    <cellStyle name="20% - Accent6 2 2 4" xfId="537"/>
    <cellStyle name="20% - Accent6 2 2 4 10" xfId="9177"/>
    <cellStyle name="20% - Accent6 2 2 4 11" xfId="21911"/>
    <cellStyle name="20% - Accent6 2 2 4 12" xfId="21898"/>
    <cellStyle name="20% - Accent6 2 2 4 13" xfId="1900"/>
    <cellStyle name="20% - Accent6 2 2 4 2" xfId="911"/>
    <cellStyle name="20% - Accent6 2 2 4 2 10" xfId="24286"/>
    <cellStyle name="20% - Accent6 2 2 4 2 11" xfId="28438"/>
    <cellStyle name="20% - Accent6 2 2 4 2 12" xfId="2230"/>
    <cellStyle name="20% - Accent6 2 2 4 2 2" xfId="1568"/>
    <cellStyle name="20% - Accent6 2 2 4 2 2 2" xfId="5599"/>
    <cellStyle name="20% - Accent6 2 2 4 2 2 2 2" xfId="10573"/>
    <cellStyle name="20% - Accent6 2 2 4 2 2 2 3" xfId="14850"/>
    <cellStyle name="20% - Accent6 2 2 4 2 2 2 4" xfId="19109"/>
    <cellStyle name="20% - Accent6 2 2 4 2 2 2 5" xfId="23328"/>
    <cellStyle name="20% - Accent6 2 2 4 2 2 2 6" xfId="27523"/>
    <cellStyle name="20% - Accent6 2 2 4 2 2 2 7" xfId="31419"/>
    <cellStyle name="20% - Accent6 2 2 4 2 2 3" xfId="8619"/>
    <cellStyle name="20% - Accent6 2 2 4 2 2 4" xfId="12904"/>
    <cellStyle name="20% - Accent6 2 2 4 2 2 5" xfId="17176"/>
    <cellStyle name="20% - Accent6 2 2 4 2 2 6" xfId="21411"/>
    <cellStyle name="20% - Accent6 2 2 4 2 2 7" xfId="25649"/>
    <cellStyle name="20% - Accent6 2 2 4 2 2 8" xfId="29727"/>
    <cellStyle name="20% - Accent6 2 2 4 2 2 9" xfId="3643"/>
    <cellStyle name="20% - Accent6 2 2 4 2 3" xfId="2791"/>
    <cellStyle name="20% - Accent6 2 2 4 2 3 2" xfId="7768"/>
    <cellStyle name="20% - Accent6 2 2 4 2 3 3" xfId="12057"/>
    <cellStyle name="20% - Accent6 2 2 4 2 3 4" xfId="16333"/>
    <cellStyle name="20% - Accent6 2 2 4 2 3 5" xfId="20575"/>
    <cellStyle name="20% - Accent6 2 2 4 2 3 6" xfId="24822"/>
    <cellStyle name="20% - Accent6 2 2 4 2 3 7" xfId="28920"/>
    <cellStyle name="20% - Accent6 2 2 4 2 4" xfId="4942"/>
    <cellStyle name="20% - Accent6 2 2 4 2 4 2" xfId="9916"/>
    <cellStyle name="20% - Accent6 2 2 4 2 4 3" xfId="14193"/>
    <cellStyle name="20% - Accent6 2 2 4 2 4 4" xfId="18452"/>
    <cellStyle name="20% - Accent6 2 2 4 2 4 5" xfId="22671"/>
    <cellStyle name="20% - Accent6 2 2 4 2 4 6" xfId="26866"/>
    <cellStyle name="20% - Accent6 2 2 4 2 4 7" xfId="30762"/>
    <cellStyle name="20% - Accent6 2 2 4 2 5" xfId="6290"/>
    <cellStyle name="20% - Accent6 2 2 4 2 5 2" xfId="11262"/>
    <cellStyle name="20% - Accent6 2 2 4 2 5 3" xfId="15540"/>
    <cellStyle name="20% - Accent6 2 2 4 2 5 4" xfId="19797"/>
    <cellStyle name="20% - Accent6 2 2 4 2 5 5" xfId="24014"/>
    <cellStyle name="20% - Accent6 2 2 4 2 5 6" xfId="28200"/>
    <cellStyle name="20% - Accent6 2 2 4 2 5 7" xfId="32079"/>
    <cellStyle name="20% - Accent6 2 2 4 2 6" xfId="7208"/>
    <cellStyle name="20% - Accent6 2 2 4 2 7" xfId="11500"/>
    <cellStyle name="20% - Accent6 2 2 4 2 8" xfId="15778"/>
    <cellStyle name="20% - Accent6 2 2 4 2 9" xfId="20035"/>
    <cellStyle name="20% - Accent6 2 2 4 3" xfId="1239"/>
    <cellStyle name="20% - Accent6 2 2 4 3 2" xfId="5270"/>
    <cellStyle name="20% - Accent6 2 2 4 3 2 2" xfId="10244"/>
    <cellStyle name="20% - Accent6 2 2 4 3 2 3" xfId="14521"/>
    <cellStyle name="20% - Accent6 2 2 4 3 2 4" xfId="18780"/>
    <cellStyle name="20% - Accent6 2 2 4 3 2 5" xfId="22999"/>
    <cellStyle name="20% - Accent6 2 2 4 3 2 6" xfId="27194"/>
    <cellStyle name="20% - Accent6 2 2 4 3 2 7" xfId="31090"/>
    <cellStyle name="20% - Accent6 2 2 4 3 3" xfId="8479"/>
    <cellStyle name="20% - Accent6 2 2 4 3 4" xfId="12764"/>
    <cellStyle name="20% - Accent6 2 2 4 3 5" xfId="17036"/>
    <cellStyle name="20% - Accent6 2 2 4 3 6" xfId="21271"/>
    <cellStyle name="20% - Accent6 2 2 4 3 7" xfId="25509"/>
    <cellStyle name="20% - Accent6 2 2 4 3 8" xfId="29587"/>
    <cellStyle name="20% - Accent6 2 2 4 3 9" xfId="3503"/>
    <cellStyle name="20% - Accent6 2 2 4 4" xfId="2646"/>
    <cellStyle name="20% - Accent6 2 2 4 4 2" xfId="7623"/>
    <cellStyle name="20% - Accent6 2 2 4 4 3" xfId="11912"/>
    <cellStyle name="20% - Accent6 2 2 4 4 4" xfId="16188"/>
    <cellStyle name="20% - Accent6 2 2 4 4 5" xfId="20430"/>
    <cellStyle name="20% - Accent6 2 2 4 4 6" xfId="24677"/>
    <cellStyle name="20% - Accent6 2 2 4 4 7" xfId="28780"/>
    <cellStyle name="20% - Accent6 2 2 4 5" xfId="4612"/>
    <cellStyle name="20% - Accent6 2 2 4 5 2" xfId="9586"/>
    <cellStyle name="20% - Accent6 2 2 4 5 3" xfId="13863"/>
    <cellStyle name="20% - Accent6 2 2 4 5 4" xfId="18123"/>
    <cellStyle name="20% - Accent6 2 2 4 5 5" xfId="22341"/>
    <cellStyle name="20% - Accent6 2 2 4 5 6" xfId="26537"/>
    <cellStyle name="20% - Accent6 2 2 4 5 7" xfId="30433"/>
    <cellStyle name="20% - Accent6 2 2 4 6" xfId="5961"/>
    <cellStyle name="20% - Accent6 2 2 4 6 2" xfId="10933"/>
    <cellStyle name="20% - Accent6 2 2 4 6 3" xfId="15211"/>
    <cellStyle name="20% - Accent6 2 2 4 6 4" xfId="19468"/>
    <cellStyle name="20% - Accent6 2 2 4 6 5" xfId="23685"/>
    <cellStyle name="20% - Accent6 2 2 4 6 6" xfId="27871"/>
    <cellStyle name="20% - Accent6 2 2 4 6 7" xfId="31750"/>
    <cellStyle name="20% - Accent6 2 2 4 7" xfId="6835"/>
    <cellStyle name="20% - Accent6 2 2 4 8" xfId="6392"/>
    <cellStyle name="20% - Accent6 2 2 4 9" xfId="6585"/>
    <cellStyle name="20% - Accent6 2 2 5" xfId="638"/>
    <cellStyle name="20% - Accent6 2 2 5 10" xfId="17762"/>
    <cellStyle name="20% - Accent6 2 2 5 11" xfId="7224"/>
    <cellStyle name="20% - Accent6 2 2 5 12" xfId="26181"/>
    <cellStyle name="20% - Accent6 2 2 5 13" xfId="1957"/>
    <cellStyle name="20% - Accent6 2 2 5 2" xfId="1295"/>
    <cellStyle name="20% - Accent6 2 2 5 2 10" xfId="2793"/>
    <cellStyle name="20% - Accent6 2 2 5 2 2" xfId="3645"/>
    <cellStyle name="20% - Accent6 2 2 5 2 2 2" xfId="8621"/>
    <cellStyle name="20% - Accent6 2 2 5 2 2 3" xfId="12906"/>
    <cellStyle name="20% - Accent6 2 2 5 2 2 4" xfId="17178"/>
    <cellStyle name="20% - Accent6 2 2 5 2 2 5" xfId="21413"/>
    <cellStyle name="20% - Accent6 2 2 5 2 2 6" xfId="25651"/>
    <cellStyle name="20% - Accent6 2 2 5 2 2 7" xfId="29729"/>
    <cellStyle name="20% - Accent6 2 2 5 2 3" xfId="5326"/>
    <cellStyle name="20% - Accent6 2 2 5 2 3 2" xfId="10300"/>
    <cellStyle name="20% - Accent6 2 2 5 2 3 3" xfId="14577"/>
    <cellStyle name="20% - Accent6 2 2 5 2 3 4" xfId="18836"/>
    <cellStyle name="20% - Accent6 2 2 5 2 3 5" xfId="23055"/>
    <cellStyle name="20% - Accent6 2 2 5 2 3 6" xfId="27250"/>
    <cellStyle name="20% - Accent6 2 2 5 2 3 7" xfId="31146"/>
    <cellStyle name="20% - Accent6 2 2 5 2 4" xfId="7770"/>
    <cellStyle name="20% - Accent6 2 2 5 2 5" xfId="12059"/>
    <cellStyle name="20% - Accent6 2 2 5 2 6" xfId="16335"/>
    <cellStyle name="20% - Accent6 2 2 5 2 7" xfId="20577"/>
    <cellStyle name="20% - Accent6 2 2 5 2 8" xfId="24824"/>
    <cellStyle name="20% - Accent6 2 2 5 2 9" xfId="28922"/>
    <cellStyle name="20% - Accent6 2 2 5 3" xfId="3644"/>
    <cellStyle name="20% - Accent6 2 2 5 3 2" xfId="8620"/>
    <cellStyle name="20% - Accent6 2 2 5 3 3" xfId="12905"/>
    <cellStyle name="20% - Accent6 2 2 5 3 4" xfId="17177"/>
    <cellStyle name="20% - Accent6 2 2 5 3 5" xfId="21412"/>
    <cellStyle name="20% - Accent6 2 2 5 3 6" xfId="25650"/>
    <cellStyle name="20% - Accent6 2 2 5 3 7" xfId="29728"/>
    <cellStyle name="20% - Accent6 2 2 5 4" xfId="2792"/>
    <cellStyle name="20% - Accent6 2 2 5 4 2" xfId="7769"/>
    <cellStyle name="20% - Accent6 2 2 5 4 3" xfId="12058"/>
    <cellStyle name="20% - Accent6 2 2 5 4 4" xfId="16334"/>
    <cellStyle name="20% - Accent6 2 2 5 4 5" xfId="20576"/>
    <cellStyle name="20% - Accent6 2 2 5 4 6" xfId="24823"/>
    <cellStyle name="20% - Accent6 2 2 5 4 7" xfId="28921"/>
    <cellStyle name="20% - Accent6 2 2 5 5" xfId="4669"/>
    <cellStyle name="20% - Accent6 2 2 5 5 2" xfId="9643"/>
    <cellStyle name="20% - Accent6 2 2 5 5 3" xfId="13920"/>
    <cellStyle name="20% - Accent6 2 2 5 5 4" xfId="18179"/>
    <cellStyle name="20% - Accent6 2 2 5 5 5" xfId="22398"/>
    <cellStyle name="20% - Accent6 2 2 5 5 6" xfId="26593"/>
    <cellStyle name="20% - Accent6 2 2 5 5 7" xfId="30489"/>
    <cellStyle name="20% - Accent6 2 2 5 6" xfId="6017"/>
    <cellStyle name="20% - Accent6 2 2 5 6 2" xfId="10989"/>
    <cellStyle name="20% - Accent6 2 2 5 6 3" xfId="15267"/>
    <cellStyle name="20% - Accent6 2 2 5 6 4" xfId="19524"/>
    <cellStyle name="20% - Accent6 2 2 5 6 5" xfId="23741"/>
    <cellStyle name="20% - Accent6 2 2 5 6 6" xfId="27927"/>
    <cellStyle name="20% - Accent6 2 2 5 6 7" xfId="31806"/>
    <cellStyle name="20% - Accent6 2 2 5 7" xfId="6935"/>
    <cellStyle name="20% - Accent6 2 2 5 8" xfId="9223"/>
    <cellStyle name="20% - Accent6 2 2 5 9" xfId="13501"/>
    <cellStyle name="20% - Accent6 2 2 6" xfId="966"/>
    <cellStyle name="20% - Accent6 2 2 6 10" xfId="2794"/>
    <cellStyle name="20% - Accent6 2 2 6 2" xfId="3646"/>
    <cellStyle name="20% - Accent6 2 2 6 2 2" xfId="8622"/>
    <cellStyle name="20% - Accent6 2 2 6 2 3" xfId="12907"/>
    <cellStyle name="20% - Accent6 2 2 6 2 4" xfId="17179"/>
    <cellStyle name="20% - Accent6 2 2 6 2 5" xfId="21414"/>
    <cellStyle name="20% - Accent6 2 2 6 2 6" xfId="25652"/>
    <cellStyle name="20% - Accent6 2 2 6 2 7" xfId="29730"/>
    <cellStyle name="20% - Accent6 2 2 6 3" xfId="4997"/>
    <cellStyle name="20% - Accent6 2 2 6 3 2" xfId="9971"/>
    <cellStyle name="20% - Accent6 2 2 6 3 3" xfId="14248"/>
    <cellStyle name="20% - Accent6 2 2 6 3 4" xfId="18507"/>
    <cellStyle name="20% - Accent6 2 2 6 3 5" xfId="22726"/>
    <cellStyle name="20% - Accent6 2 2 6 3 6" xfId="26921"/>
    <cellStyle name="20% - Accent6 2 2 6 3 7" xfId="30817"/>
    <cellStyle name="20% - Accent6 2 2 6 4" xfId="7771"/>
    <cellStyle name="20% - Accent6 2 2 6 5" xfId="12060"/>
    <cellStyle name="20% - Accent6 2 2 6 6" xfId="16336"/>
    <cellStyle name="20% - Accent6 2 2 6 7" xfId="20578"/>
    <cellStyle name="20% - Accent6 2 2 6 8" xfId="24825"/>
    <cellStyle name="20% - Accent6 2 2 6 9" xfId="28923"/>
    <cellStyle name="20% - Accent6 2 2 7" xfId="3209"/>
    <cellStyle name="20% - Accent6 2 2 7 2" xfId="8185"/>
    <cellStyle name="20% - Accent6 2 2 7 3" xfId="12471"/>
    <cellStyle name="20% - Accent6 2 2 7 4" xfId="16745"/>
    <cellStyle name="20% - Accent6 2 2 7 5" xfId="20981"/>
    <cellStyle name="20% - Accent6 2 2 7 6" xfId="25221"/>
    <cellStyle name="20% - Accent6 2 2 7 7" xfId="29302"/>
    <cellStyle name="20% - Accent6 2 2 8" xfId="2306"/>
    <cellStyle name="20% - Accent6 2 2 8 2" xfId="7284"/>
    <cellStyle name="20% - Accent6 2 2 8 3" xfId="11574"/>
    <cellStyle name="20% - Accent6 2 2 8 4" xfId="15852"/>
    <cellStyle name="20% - Accent6 2 2 8 5" xfId="20105"/>
    <cellStyle name="20% - Accent6 2 2 8 6" xfId="24356"/>
    <cellStyle name="20% - Accent6 2 2 8 7" xfId="28493"/>
    <cellStyle name="20% - Accent6 2 2 9" xfId="4334"/>
    <cellStyle name="20% - Accent6 2 2 9 2" xfId="9308"/>
    <cellStyle name="20% - Accent6 2 2 9 3" xfId="13585"/>
    <cellStyle name="20% - Accent6 2 2 9 4" xfId="17845"/>
    <cellStyle name="20% - Accent6 2 2 9 5" xfId="22064"/>
    <cellStyle name="20% - Accent6 2 2 9 6" xfId="26262"/>
    <cellStyle name="20% - Accent6 2 2 9 7" xfId="30159"/>
    <cellStyle name="20% - Accent6 2 3" xfId="244"/>
    <cellStyle name="20% - Accent6 2 3 10" xfId="6356"/>
    <cellStyle name="20% - Accent6 2 3 11" xfId="8138"/>
    <cellStyle name="20% - Accent6 2 3 12" xfId="21790"/>
    <cellStyle name="20% - Accent6 2 3 13" xfId="20120"/>
    <cellStyle name="20% - Accent6 2 3 14" xfId="1648"/>
    <cellStyle name="20% - Accent6 2 3 2" xfId="455"/>
    <cellStyle name="20% - Accent6 2 3 2 10" xfId="17687"/>
    <cellStyle name="20% - Accent6 2 3 2 11" xfId="6883"/>
    <cellStyle name="20% - Accent6 2 3 2 12" xfId="26126"/>
    <cellStyle name="20% - Accent6 2 3 2 13" xfId="1818"/>
    <cellStyle name="20% - Accent6 2 3 2 2" xfId="829"/>
    <cellStyle name="20% - Accent6 2 3 2 2 10" xfId="24204"/>
    <cellStyle name="20% - Accent6 2 3 2 2 11" xfId="28356"/>
    <cellStyle name="20% - Accent6 2 3 2 2 12" xfId="2148"/>
    <cellStyle name="20% - Accent6 2 3 2 2 2" xfId="1486"/>
    <cellStyle name="20% - Accent6 2 3 2 2 2 2" xfId="5517"/>
    <cellStyle name="20% - Accent6 2 3 2 2 2 2 2" xfId="10491"/>
    <cellStyle name="20% - Accent6 2 3 2 2 2 2 3" xfId="14768"/>
    <cellStyle name="20% - Accent6 2 3 2 2 2 2 4" xfId="19027"/>
    <cellStyle name="20% - Accent6 2 3 2 2 2 2 5" xfId="23246"/>
    <cellStyle name="20% - Accent6 2 3 2 2 2 2 6" xfId="27441"/>
    <cellStyle name="20% - Accent6 2 3 2 2 2 2 7" xfId="31337"/>
    <cellStyle name="20% - Accent6 2 3 2 2 2 3" xfId="8623"/>
    <cellStyle name="20% - Accent6 2 3 2 2 2 4" xfId="12908"/>
    <cellStyle name="20% - Accent6 2 3 2 2 2 5" xfId="17180"/>
    <cellStyle name="20% - Accent6 2 3 2 2 2 6" xfId="21415"/>
    <cellStyle name="20% - Accent6 2 3 2 2 2 7" xfId="25653"/>
    <cellStyle name="20% - Accent6 2 3 2 2 2 8" xfId="29731"/>
    <cellStyle name="20% - Accent6 2 3 2 2 2 9" xfId="3647"/>
    <cellStyle name="20% - Accent6 2 3 2 2 3" xfId="2795"/>
    <cellStyle name="20% - Accent6 2 3 2 2 3 2" xfId="7772"/>
    <cellStyle name="20% - Accent6 2 3 2 2 3 3" xfId="12061"/>
    <cellStyle name="20% - Accent6 2 3 2 2 3 4" xfId="16337"/>
    <cellStyle name="20% - Accent6 2 3 2 2 3 5" xfId="20579"/>
    <cellStyle name="20% - Accent6 2 3 2 2 3 6" xfId="24826"/>
    <cellStyle name="20% - Accent6 2 3 2 2 3 7" xfId="28924"/>
    <cellStyle name="20% - Accent6 2 3 2 2 4" xfId="4860"/>
    <cellStyle name="20% - Accent6 2 3 2 2 4 2" xfId="9834"/>
    <cellStyle name="20% - Accent6 2 3 2 2 4 3" xfId="14111"/>
    <cellStyle name="20% - Accent6 2 3 2 2 4 4" xfId="18370"/>
    <cellStyle name="20% - Accent6 2 3 2 2 4 5" xfId="22589"/>
    <cellStyle name="20% - Accent6 2 3 2 2 4 6" xfId="26784"/>
    <cellStyle name="20% - Accent6 2 3 2 2 4 7" xfId="30680"/>
    <cellStyle name="20% - Accent6 2 3 2 2 5" xfId="6208"/>
    <cellStyle name="20% - Accent6 2 3 2 2 5 2" xfId="11180"/>
    <cellStyle name="20% - Accent6 2 3 2 2 5 3" xfId="15458"/>
    <cellStyle name="20% - Accent6 2 3 2 2 5 4" xfId="19715"/>
    <cellStyle name="20% - Accent6 2 3 2 2 5 5" xfId="23932"/>
    <cellStyle name="20% - Accent6 2 3 2 2 5 6" xfId="28118"/>
    <cellStyle name="20% - Accent6 2 3 2 2 5 7" xfId="31997"/>
    <cellStyle name="20% - Accent6 2 3 2 2 6" xfId="7126"/>
    <cellStyle name="20% - Accent6 2 3 2 2 7" xfId="11418"/>
    <cellStyle name="20% - Accent6 2 3 2 2 8" xfId="15696"/>
    <cellStyle name="20% - Accent6 2 3 2 2 9" xfId="19953"/>
    <cellStyle name="20% - Accent6 2 3 2 3" xfId="1157"/>
    <cellStyle name="20% - Accent6 2 3 2 3 2" xfId="5188"/>
    <cellStyle name="20% - Accent6 2 3 2 3 2 2" xfId="10162"/>
    <cellStyle name="20% - Accent6 2 3 2 3 2 3" xfId="14439"/>
    <cellStyle name="20% - Accent6 2 3 2 3 2 4" xfId="18698"/>
    <cellStyle name="20% - Accent6 2 3 2 3 2 5" xfId="22917"/>
    <cellStyle name="20% - Accent6 2 3 2 3 2 6" xfId="27112"/>
    <cellStyle name="20% - Accent6 2 3 2 3 2 7" xfId="31008"/>
    <cellStyle name="20% - Accent6 2 3 2 3 3" xfId="8383"/>
    <cellStyle name="20% - Accent6 2 3 2 3 4" xfId="12668"/>
    <cellStyle name="20% - Accent6 2 3 2 3 5" xfId="16940"/>
    <cellStyle name="20% - Accent6 2 3 2 3 6" xfId="21175"/>
    <cellStyle name="20% - Accent6 2 3 2 3 7" xfId="25413"/>
    <cellStyle name="20% - Accent6 2 3 2 3 8" xfId="29491"/>
    <cellStyle name="20% - Accent6 2 3 2 3 9" xfId="3407"/>
    <cellStyle name="20% - Accent6 2 3 2 4" xfId="2546"/>
    <cellStyle name="20% - Accent6 2 3 2 4 2" xfId="7523"/>
    <cellStyle name="20% - Accent6 2 3 2 4 3" xfId="11812"/>
    <cellStyle name="20% - Accent6 2 3 2 4 4" xfId="16090"/>
    <cellStyle name="20% - Accent6 2 3 2 4 5" xfId="20333"/>
    <cellStyle name="20% - Accent6 2 3 2 4 6" xfId="24579"/>
    <cellStyle name="20% - Accent6 2 3 2 4 7" xfId="28684"/>
    <cellStyle name="20% - Accent6 2 3 2 5" xfId="4530"/>
    <cellStyle name="20% - Accent6 2 3 2 5 2" xfId="9504"/>
    <cellStyle name="20% - Accent6 2 3 2 5 3" xfId="13781"/>
    <cellStyle name="20% - Accent6 2 3 2 5 4" xfId="18041"/>
    <cellStyle name="20% - Accent6 2 3 2 5 5" xfId="22259"/>
    <cellStyle name="20% - Accent6 2 3 2 5 6" xfId="26455"/>
    <cellStyle name="20% - Accent6 2 3 2 5 7" xfId="30351"/>
    <cellStyle name="20% - Accent6 2 3 2 6" xfId="5879"/>
    <cellStyle name="20% - Accent6 2 3 2 6 2" xfId="10851"/>
    <cellStyle name="20% - Accent6 2 3 2 6 3" xfId="15129"/>
    <cellStyle name="20% - Accent6 2 3 2 6 4" xfId="19386"/>
    <cellStyle name="20% - Accent6 2 3 2 6 5" xfId="23603"/>
    <cellStyle name="20% - Accent6 2 3 2 6 6" xfId="27789"/>
    <cellStyle name="20% - Accent6 2 3 2 6 7" xfId="31668"/>
    <cellStyle name="20% - Accent6 2 3 2 7" xfId="6753"/>
    <cellStyle name="20% - Accent6 2 3 2 8" xfId="9141"/>
    <cellStyle name="20% - Accent6 2 3 2 9" xfId="13421"/>
    <cellStyle name="20% - Accent6 2 3 3" xfId="662"/>
    <cellStyle name="20% - Accent6 2 3 3 10" xfId="24037"/>
    <cellStyle name="20% - Accent6 2 3 3 11" xfId="21752"/>
    <cellStyle name="20% - Accent6 2 3 3 12" xfId="1981"/>
    <cellStyle name="20% - Accent6 2 3 3 2" xfId="1319"/>
    <cellStyle name="20% - Accent6 2 3 3 2 2" xfId="5350"/>
    <cellStyle name="20% - Accent6 2 3 3 2 2 2" xfId="10324"/>
    <cellStyle name="20% - Accent6 2 3 3 2 2 3" xfId="14601"/>
    <cellStyle name="20% - Accent6 2 3 3 2 2 4" xfId="18860"/>
    <cellStyle name="20% - Accent6 2 3 3 2 2 5" xfId="23079"/>
    <cellStyle name="20% - Accent6 2 3 3 2 2 6" xfId="27274"/>
    <cellStyle name="20% - Accent6 2 3 3 2 2 7" xfId="31170"/>
    <cellStyle name="20% - Accent6 2 3 3 2 3" xfId="8624"/>
    <cellStyle name="20% - Accent6 2 3 3 2 4" xfId="12909"/>
    <cellStyle name="20% - Accent6 2 3 3 2 5" xfId="17181"/>
    <cellStyle name="20% - Accent6 2 3 3 2 6" xfId="21416"/>
    <cellStyle name="20% - Accent6 2 3 3 2 7" xfId="25654"/>
    <cellStyle name="20% - Accent6 2 3 3 2 8" xfId="29732"/>
    <cellStyle name="20% - Accent6 2 3 3 2 9" xfId="3648"/>
    <cellStyle name="20% - Accent6 2 3 3 3" xfId="2796"/>
    <cellStyle name="20% - Accent6 2 3 3 3 2" xfId="7773"/>
    <cellStyle name="20% - Accent6 2 3 3 3 3" xfId="12062"/>
    <cellStyle name="20% - Accent6 2 3 3 3 4" xfId="16338"/>
    <cellStyle name="20% - Accent6 2 3 3 3 5" xfId="20580"/>
    <cellStyle name="20% - Accent6 2 3 3 3 6" xfId="24827"/>
    <cellStyle name="20% - Accent6 2 3 3 3 7" xfId="28925"/>
    <cellStyle name="20% - Accent6 2 3 3 4" xfId="4693"/>
    <cellStyle name="20% - Accent6 2 3 3 4 2" xfId="9667"/>
    <cellStyle name="20% - Accent6 2 3 3 4 3" xfId="13944"/>
    <cellStyle name="20% - Accent6 2 3 3 4 4" xfId="18203"/>
    <cellStyle name="20% - Accent6 2 3 3 4 5" xfId="22422"/>
    <cellStyle name="20% - Accent6 2 3 3 4 6" xfId="26617"/>
    <cellStyle name="20% - Accent6 2 3 3 4 7" xfId="30513"/>
    <cellStyle name="20% - Accent6 2 3 3 5" xfId="6041"/>
    <cellStyle name="20% - Accent6 2 3 3 5 2" xfId="11013"/>
    <cellStyle name="20% - Accent6 2 3 3 5 3" xfId="15291"/>
    <cellStyle name="20% - Accent6 2 3 3 5 4" xfId="19548"/>
    <cellStyle name="20% - Accent6 2 3 3 5 5" xfId="23765"/>
    <cellStyle name="20% - Accent6 2 3 3 5 6" xfId="27951"/>
    <cellStyle name="20% - Accent6 2 3 3 5 7" xfId="31830"/>
    <cellStyle name="20% - Accent6 2 3 3 6" xfId="6959"/>
    <cellStyle name="20% - Accent6 2 3 3 7" xfId="6303"/>
    <cellStyle name="20% - Accent6 2 3 3 8" xfId="6484"/>
    <cellStyle name="20% - Accent6 2 3 3 9" xfId="7351"/>
    <cellStyle name="20% - Accent6 2 3 4" xfId="990"/>
    <cellStyle name="20% - Accent6 2 3 4 2" xfId="5021"/>
    <cellStyle name="20% - Accent6 2 3 4 2 2" xfId="9995"/>
    <cellStyle name="20% - Accent6 2 3 4 2 3" xfId="14272"/>
    <cellStyle name="20% - Accent6 2 3 4 2 4" xfId="18531"/>
    <cellStyle name="20% - Accent6 2 3 4 2 5" xfId="22750"/>
    <cellStyle name="20% - Accent6 2 3 4 2 6" xfId="26945"/>
    <cellStyle name="20% - Accent6 2 3 4 2 7" xfId="30841"/>
    <cellStyle name="20% - Accent6 2 3 4 3" xfId="8228"/>
    <cellStyle name="20% - Accent6 2 3 4 4" xfId="12513"/>
    <cellStyle name="20% - Accent6 2 3 4 5" xfId="16786"/>
    <cellStyle name="20% - Accent6 2 3 4 6" xfId="21023"/>
    <cellStyle name="20% - Accent6 2 3 4 7" xfId="25260"/>
    <cellStyle name="20% - Accent6 2 3 4 8" xfId="29339"/>
    <cellStyle name="20% - Accent6 2 3 4 9" xfId="3252"/>
    <cellStyle name="20% - Accent6 2 3 5" xfId="2367"/>
    <cellStyle name="20% - Accent6 2 3 5 2" xfId="7345"/>
    <cellStyle name="20% - Accent6 2 3 5 3" xfId="11634"/>
    <cellStyle name="20% - Accent6 2 3 5 4" xfId="15913"/>
    <cellStyle name="20% - Accent6 2 3 5 5" xfId="20162"/>
    <cellStyle name="20% - Accent6 2 3 5 6" xfId="24410"/>
    <cellStyle name="20% - Accent6 2 3 5 7" xfId="28531"/>
    <cellStyle name="20% - Accent6 2 3 6" xfId="4362"/>
    <cellStyle name="20% - Accent6 2 3 6 2" xfId="9336"/>
    <cellStyle name="20% - Accent6 2 3 6 3" xfId="13613"/>
    <cellStyle name="20% - Accent6 2 3 6 4" xfId="17873"/>
    <cellStyle name="20% - Accent6 2 3 6 5" xfId="22092"/>
    <cellStyle name="20% - Accent6 2 3 6 6" xfId="26288"/>
    <cellStyle name="20% - Accent6 2 3 6 7" xfId="30184"/>
    <cellStyle name="20% - Accent6 2 3 7" xfId="5712"/>
    <cellStyle name="20% - Accent6 2 3 7 2" xfId="10684"/>
    <cellStyle name="20% - Accent6 2 3 7 3" xfId="14962"/>
    <cellStyle name="20% - Accent6 2 3 7 4" xfId="19219"/>
    <cellStyle name="20% - Accent6 2 3 7 5" xfId="23436"/>
    <cellStyle name="20% - Accent6 2 3 7 6" xfId="27622"/>
    <cellStyle name="20% - Accent6 2 3 7 7" xfId="31501"/>
    <cellStyle name="20% - Accent6 2 3 8" xfId="6542"/>
    <cellStyle name="20% - Accent6 2 3 9" xfId="6333"/>
    <cellStyle name="20% - Accent6 2 4" xfId="389"/>
    <cellStyle name="20% - Accent6 2 4 10" xfId="13445"/>
    <cellStyle name="20% - Accent6 2 4 11" xfId="17710"/>
    <cellStyle name="20% - Accent6 2 4 12" xfId="21832"/>
    <cellStyle name="20% - Accent6 2 4 13" xfId="26142"/>
    <cellStyle name="20% - Accent6 2 4 14" xfId="1752"/>
    <cellStyle name="20% - Accent6 2 4 2" xfId="763"/>
    <cellStyle name="20% - Accent6 2 4 2 10" xfId="24138"/>
    <cellStyle name="20% - Accent6 2 4 2 11" xfId="28290"/>
    <cellStyle name="20% - Accent6 2 4 2 12" xfId="2082"/>
    <cellStyle name="20% - Accent6 2 4 2 2" xfId="1420"/>
    <cellStyle name="20% - Accent6 2 4 2 2 2" xfId="5451"/>
    <cellStyle name="20% - Accent6 2 4 2 2 2 2" xfId="10425"/>
    <cellStyle name="20% - Accent6 2 4 2 2 2 3" xfId="14702"/>
    <cellStyle name="20% - Accent6 2 4 2 2 2 4" xfId="18961"/>
    <cellStyle name="20% - Accent6 2 4 2 2 2 5" xfId="23180"/>
    <cellStyle name="20% - Accent6 2 4 2 2 2 6" xfId="27375"/>
    <cellStyle name="20% - Accent6 2 4 2 2 2 7" xfId="31271"/>
    <cellStyle name="20% - Accent6 2 4 2 2 3" xfId="8625"/>
    <cellStyle name="20% - Accent6 2 4 2 2 4" xfId="12910"/>
    <cellStyle name="20% - Accent6 2 4 2 2 5" xfId="17182"/>
    <cellStyle name="20% - Accent6 2 4 2 2 6" xfId="21417"/>
    <cellStyle name="20% - Accent6 2 4 2 2 7" xfId="25655"/>
    <cellStyle name="20% - Accent6 2 4 2 2 8" xfId="29733"/>
    <cellStyle name="20% - Accent6 2 4 2 2 9" xfId="3649"/>
    <cellStyle name="20% - Accent6 2 4 2 3" xfId="2797"/>
    <cellStyle name="20% - Accent6 2 4 2 3 2" xfId="7774"/>
    <cellStyle name="20% - Accent6 2 4 2 3 3" xfId="12063"/>
    <cellStyle name="20% - Accent6 2 4 2 3 4" xfId="16339"/>
    <cellStyle name="20% - Accent6 2 4 2 3 5" xfId="20581"/>
    <cellStyle name="20% - Accent6 2 4 2 3 6" xfId="24828"/>
    <cellStyle name="20% - Accent6 2 4 2 3 7" xfId="28926"/>
    <cellStyle name="20% - Accent6 2 4 2 4" xfId="4794"/>
    <cellStyle name="20% - Accent6 2 4 2 4 2" xfId="9768"/>
    <cellStyle name="20% - Accent6 2 4 2 4 3" xfId="14045"/>
    <cellStyle name="20% - Accent6 2 4 2 4 4" xfId="18304"/>
    <cellStyle name="20% - Accent6 2 4 2 4 5" xfId="22523"/>
    <cellStyle name="20% - Accent6 2 4 2 4 6" xfId="26718"/>
    <cellStyle name="20% - Accent6 2 4 2 4 7" xfId="30614"/>
    <cellStyle name="20% - Accent6 2 4 2 5" xfId="6142"/>
    <cellStyle name="20% - Accent6 2 4 2 5 2" xfId="11114"/>
    <cellStyle name="20% - Accent6 2 4 2 5 3" xfId="15392"/>
    <cellStyle name="20% - Accent6 2 4 2 5 4" xfId="19649"/>
    <cellStyle name="20% - Accent6 2 4 2 5 5" xfId="23866"/>
    <cellStyle name="20% - Accent6 2 4 2 5 6" xfId="28052"/>
    <cellStyle name="20% - Accent6 2 4 2 5 7" xfId="31931"/>
    <cellStyle name="20% - Accent6 2 4 2 6" xfId="7060"/>
    <cellStyle name="20% - Accent6 2 4 2 7" xfId="11352"/>
    <cellStyle name="20% - Accent6 2 4 2 8" xfId="15630"/>
    <cellStyle name="20% - Accent6 2 4 2 9" xfId="19887"/>
    <cellStyle name="20% - Accent6 2 4 3" xfId="1091"/>
    <cellStyle name="20% - Accent6 2 4 3 2" xfId="5122"/>
    <cellStyle name="20% - Accent6 2 4 3 2 2" xfId="10096"/>
    <cellStyle name="20% - Accent6 2 4 3 2 3" xfId="14373"/>
    <cellStyle name="20% - Accent6 2 4 3 2 4" xfId="18632"/>
    <cellStyle name="20% - Accent6 2 4 3 2 5" xfId="22851"/>
    <cellStyle name="20% - Accent6 2 4 3 2 6" xfId="27046"/>
    <cellStyle name="20% - Accent6 2 4 3 2 7" xfId="30942"/>
    <cellStyle name="20% - Accent6 2 4 3 3" xfId="8317"/>
    <cellStyle name="20% - Accent6 2 4 3 4" xfId="12602"/>
    <cellStyle name="20% - Accent6 2 4 3 5" xfId="16874"/>
    <cellStyle name="20% - Accent6 2 4 3 6" xfId="21109"/>
    <cellStyle name="20% - Accent6 2 4 3 7" xfId="25347"/>
    <cellStyle name="20% - Accent6 2 4 3 8" xfId="29425"/>
    <cellStyle name="20% - Accent6 2 4 3 9" xfId="3341"/>
    <cellStyle name="20% - Accent6 2 4 4" xfId="2480"/>
    <cellStyle name="20% - Accent6 2 4 4 2" xfId="7457"/>
    <cellStyle name="20% - Accent6 2 4 4 3" xfId="11746"/>
    <cellStyle name="20% - Accent6 2 4 4 4" xfId="16024"/>
    <cellStyle name="20% - Accent6 2 4 4 5" xfId="20267"/>
    <cellStyle name="20% - Accent6 2 4 4 6" xfId="24513"/>
    <cellStyle name="20% - Accent6 2 4 4 7" xfId="28618"/>
    <cellStyle name="20% - Accent6 2 4 5" xfId="4175"/>
    <cellStyle name="20% - Accent6 2 4 6" xfId="4464"/>
    <cellStyle name="20% - Accent6 2 4 6 2" xfId="9438"/>
    <cellStyle name="20% - Accent6 2 4 6 3" xfId="13715"/>
    <cellStyle name="20% - Accent6 2 4 6 4" xfId="17975"/>
    <cellStyle name="20% - Accent6 2 4 6 5" xfId="22193"/>
    <cellStyle name="20% - Accent6 2 4 6 6" xfId="26389"/>
    <cellStyle name="20% - Accent6 2 4 6 7" xfId="30285"/>
    <cellStyle name="20% - Accent6 2 4 7" xfId="5813"/>
    <cellStyle name="20% - Accent6 2 4 7 2" xfId="10785"/>
    <cellStyle name="20% - Accent6 2 4 7 3" xfId="15063"/>
    <cellStyle name="20% - Accent6 2 4 7 4" xfId="19320"/>
    <cellStyle name="20% - Accent6 2 4 7 5" xfId="23537"/>
    <cellStyle name="20% - Accent6 2 4 7 6" xfId="27723"/>
    <cellStyle name="20% - Accent6 2 4 7 7" xfId="31602"/>
    <cellStyle name="20% - Accent6 2 4 8" xfId="6687"/>
    <cellStyle name="20% - Accent6 2 4 9" xfId="9165"/>
    <cellStyle name="20% - Accent6 2 5" xfId="504"/>
    <cellStyle name="20% - Accent6 2 5 10" xfId="11555"/>
    <cellStyle name="20% - Accent6 2 5 11" xfId="17777"/>
    <cellStyle name="20% - Accent6 2 5 12" xfId="20046"/>
    <cellStyle name="20% - Accent6 2 5 13" xfId="1867"/>
    <cellStyle name="20% - Accent6 2 5 2" xfId="878"/>
    <cellStyle name="20% - Accent6 2 5 2 10" xfId="24253"/>
    <cellStyle name="20% - Accent6 2 5 2 11" xfId="28405"/>
    <cellStyle name="20% - Accent6 2 5 2 12" xfId="2197"/>
    <cellStyle name="20% - Accent6 2 5 2 2" xfId="1535"/>
    <cellStyle name="20% - Accent6 2 5 2 2 2" xfId="5566"/>
    <cellStyle name="20% - Accent6 2 5 2 2 2 2" xfId="10540"/>
    <cellStyle name="20% - Accent6 2 5 2 2 2 3" xfId="14817"/>
    <cellStyle name="20% - Accent6 2 5 2 2 2 4" xfId="19076"/>
    <cellStyle name="20% - Accent6 2 5 2 2 2 5" xfId="23295"/>
    <cellStyle name="20% - Accent6 2 5 2 2 2 6" xfId="27490"/>
    <cellStyle name="20% - Accent6 2 5 2 2 2 7" xfId="31386"/>
    <cellStyle name="20% - Accent6 2 5 2 2 3" xfId="8626"/>
    <cellStyle name="20% - Accent6 2 5 2 2 4" xfId="12911"/>
    <cellStyle name="20% - Accent6 2 5 2 2 5" xfId="17183"/>
    <cellStyle name="20% - Accent6 2 5 2 2 6" xfId="21418"/>
    <cellStyle name="20% - Accent6 2 5 2 2 7" xfId="25656"/>
    <cellStyle name="20% - Accent6 2 5 2 2 8" xfId="29734"/>
    <cellStyle name="20% - Accent6 2 5 2 2 9" xfId="3650"/>
    <cellStyle name="20% - Accent6 2 5 2 3" xfId="2798"/>
    <cellStyle name="20% - Accent6 2 5 2 3 2" xfId="7775"/>
    <cellStyle name="20% - Accent6 2 5 2 3 3" xfId="12064"/>
    <cellStyle name="20% - Accent6 2 5 2 3 4" xfId="16340"/>
    <cellStyle name="20% - Accent6 2 5 2 3 5" xfId="20582"/>
    <cellStyle name="20% - Accent6 2 5 2 3 6" xfId="24829"/>
    <cellStyle name="20% - Accent6 2 5 2 3 7" xfId="28927"/>
    <cellStyle name="20% - Accent6 2 5 2 4" xfId="4909"/>
    <cellStyle name="20% - Accent6 2 5 2 4 2" xfId="9883"/>
    <cellStyle name="20% - Accent6 2 5 2 4 3" xfId="14160"/>
    <cellStyle name="20% - Accent6 2 5 2 4 4" xfId="18419"/>
    <cellStyle name="20% - Accent6 2 5 2 4 5" xfId="22638"/>
    <cellStyle name="20% - Accent6 2 5 2 4 6" xfId="26833"/>
    <cellStyle name="20% - Accent6 2 5 2 4 7" xfId="30729"/>
    <cellStyle name="20% - Accent6 2 5 2 5" xfId="6257"/>
    <cellStyle name="20% - Accent6 2 5 2 5 2" xfId="11229"/>
    <cellStyle name="20% - Accent6 2 5 2 5 3" xfId="15507"/>
    <cellStyle name="20% - Accent6 2 5 2 5 4" xfId="19764"/>
    <cellStyle name="20% - Accent6 2 5 2 5 5" xfId="23981"/>
    <cellStyle name="20% - Accent6 2 5 2 5 6" xfId="28167"/>
    <cellStyle name="20% - Accent6 2 5 2 5 7" xfId="32046"/>
    <cellStyle name="20% - Accent6 2 5 2 6" xfId="7175"/>
    <cellStyle name="20% - Accent6 2 5 2 7" xfId="11467"/>
    <cellStyle name="20% - Accent6 2 5 2 8" xfId="15745"/>
    <cellStyle name="20% - Accent6 2 5 2 9" xfId="20002"/>
    <cellStyle name="20% - Accent6 2 5 3" xfId="1206"/>
    <cellStyle name="20% - Accent6 2 5 3 2" xfId="5237"/>
    <cellStyle name="20% - Accent6 2 5 3 2 2" xfId="10211"/>
    <cellStyle name="20% - Accent6 2 5 3 2 3" xfId="14488"/>
    <cellStyle name="20% - Accent6 2 5 3 2 4" xfId="18747"/>
    <cellStyle name="20% - Accent6 2 5 3 2 5" xfId="22966"/>
    <cellStyle name="20% - Accent6 2 5 3 2 6" xfId="27161"/>
    <cellStyle name="20% - Accent6 2 5 3 2 7" xfId="31057"/>
    <cellStyle name="20% - Accent6 2 5 3 3" xfId="8447"/>
    <cellStyle name="20% - Accent6 2 5 3 4" xfId="12732"/>
    <cellStyle name="20% - Accent6 2 5 3 5" xfId="17004"/>
    <cellStyle name="20% - Accent6 2 5 3 6" xfId="21239"/>
    <cellStyle name="20% - Accent6 2 5 3 7" xfId="25477"/>
    <cellStyle name="20% - Accent6 2 5 3 8" xfId="29555"/>
    <cellStyle name="20% - Accent6 2 5 3 9" xfId="3471"/>
    <cellStyle name="20% - Accent6 2 5 4" xfId="2613"/>
    <cellStyle name="20% - Accent6 2 5 4 2" xfId="7590"/>
    <cellStyle name="20% - Accent6 2 5 4 3" xfId="11879"/>
    <cellStyle name="20% - Accent6 2 5 4 4" xfId="16155"/>
    <cellStyle name="20% - Accent6 2 5 4 5" xfId="20398"/>
    <cellStyle name="20% - Accent6 2 5 4 6" xfId="24644"/>
    <cellStyle name="20% - Accent6 2 5 4 7" xfId="28748"/>
    <cellStyle name="20% - Accent6 2 5 5" xfId="4579"/>
    <cellStyle name="20% - Accent6 2 5 5 2" xfId="9553"/>
    <cellStyle name="20% - Accent6 2 5 5 3" xfId="13830"/>
    <cellStyle name="20% - Accent6 2 5 5 4" xfId="18090"/>
    <cellStyle name="20% - Accent6 2 5 5 5" xfId="22308"/>
    <cellStyle name="20% - Accent6 2 5 5 6" xfId="26504"/>
    <cellStyle name="20% - Accent6 2 5 5 7" xfId="30400"/>
    <cellStyle name="20% - Accent6 2 5 6" xfId="5928"/>
    <cellStyle name="20% - Accent6 2 5 6 2" xfId="10900"/>
    <cellStyle name="20% - Accent6 2 5 6 3" xfId="15178"/>
    <cellStyle name="20% - Accent6 2 5 6 4" xfId="19435"/>
    <cellStyle name="20% - Accent6 2 5 6 5" xfId="23652"/>
    <cellStyle name="20% - Accent6 2 5 6 6" xfId="27838"/>
    <cellStyle name="20% - Accent6 2 5 6 7" xfId="31717"/>
    <cellStyle name="20% - Accent6 2 5 7" xfId="6802"/>
    <cellStyle name="20% - Accent6 2 5 8" xfId="6567"/>
    <cellStyle name="20% - Accent6 2 5 9" xfId="7265"/>
    <cellStyle name="20% - Accent6 2 6" xfId="605"/>
    <cellStyle name="20% - Accent6 2 6 10" xfId="15899"/>
    <cellStyle name="20% - Accent6 2 6 11" xfId="21946"/>
    <cellStyle name="20% - Accent6 2 6 12" xfId="24396"/>
    <cellStyle name="20% - Accent6 2 6 13" xfId="1924"/>
    <cellStyle name="20% - Accent6 2 6 2" xfId="1262"/>
    <cellStyle name="20% - Accent6 2 6 2 10" xfId="2800"/>
    <cellStyle name="20% - Accent6 2 6 2 2" xfId="3652"/>
    <cellStyle name="20% - Accent6 2 6 2 2 2" xfId="8628"/>
    <cellStyle name="20% - Accent6 2 6 2 2 3" xfId="12913"/>
    <cellStyle name="20% - Accent6 2 6 2 2 4" xfId="17185"/>
    <cellStyle name="20% - Accent6 2 6 2 2 5" xfId="21420"/>
    <cellStyle name="20% - Accent6 2 6 2 2 6" xfId="25658"/>
    <cellStyle name="20% - Accent6 2 6 2 2 7" xfId="29736"/>
    <cellStyle name="20% - Accent6 2 6 2 3" xfId="5293"/>
    <cellStyle name="20% - Accent6 2 6 2 3 2" xfId="10267"/>
    <cellStyle name="20% - Accent6 2 6 2 3 3" xfId="14544"/>
    <cellStyle name="20% - Accent6 2 6 2 3 4" xfId="18803"/>
    <cellStyle name="20% - Accent6 2 6 2 3 5" xfId="23022"/>
    <cellStyle name="20% - Accent6 2 6 2 3 6" xfId="27217"/>
    <cellStyle name="20% - Accent6 2 6 2 3 7" xfId="31113"/>
    <cellStyle name="20% - Accent6 2 6 2 4" xfId="7777"/>
    <cellStyle name="20% - Accent6 2 6 2 5" xfId="12066"/>
    <cellStyle name="20% - Accent6 2 6 2 6" xfId="16342"/>
    <cellStyle name="20% - Accent6 2 6 2 7" xfId="20584"/>
    <cellStyle name="20% - Accent6 2 6 2 8" xfId="24831"/>
    <cellStyle name="20% - Accent6 2 6 2 9" xfId="28929"/>
    <cellStyle name="20% - Accent6 2 6 3" xfId="3651"/>
    <cellStyle name="20% - Accent6 2 6 3 2" xfId="8627"/>
    <cellStyle name="20% - Accent6 2 6 3 3" xfId="12912"/>
    <cellStyle name="20% - Accent6 2 6 3 4" xfId="17184"/>
    <cellStyle name="20% - Accent6 2 6 3 5" xfId="21419"/>
    <cellStyle name="20% - Accent6 2 6 3 6" xfId="25657"/>
    <cellStyle name="20% - Accent6 2 6 3 7" xfId="29735"/>
    <cellStyle name="20% - Accent6 2 6 4" xfId="2799"/>
    <cellStyle name="20% - Accent6 2 6 4 2" xfId="7776"/>
    <cellStyle name="20% - Accent6 2 6 4 3" xfId="12065"/>
    <cellStyle name="20% - Accent6 2 6 4 4" xfId="16341"/>
    <cellStyle name="20% - Accent6 2 6 4 5" xfId="20583"/>
    <cellStyle name="20% - Accent6 2 6 4 6" xfId="24830"/>
    <cellStyle name="20% - Accent6 2 6 4 7" xfId="28928"/>
    <cellStyle name="20% - Accent6 2 6 5" xfId="4636"/>
    <cellStyle name="20% - Accent6 2 6 5 2" xfId="9610"/>
    <cellStyle name="20% - Accent6 2 6 5 3" xfId="13887"/>
    <cellStyle name="20% - Accent6 2 6 5 4" xfId="18146"/>
    <cellStyle name="20% - Accent6 2 6 5 5" xfId="22365"/>
    <cellStyle name="20% - Accent6 2 6 5 6" xfId="26560"/>
    <cellStyle name="20% - Accent6 2 6 5 7" xfId="30456"/>
    <cellStyle name="20% - Accent6 2 6 6" xfId="5984"/>
    <cellStyle name="20% - Accent6 2 6 6 2" xfId="10956"/>
    <cellStyle name="20% - Accent6 2 6 6 3" xfId="15234"/>
    <cellStyle name="20% - Accent6 2 6 6 4" xfId="19491"/>
    <cellStyle name="20% - Accent6 2 6 6 5" xfId="23708"/>
    <cellStyle name="20% - Accent6 2 6 6 6" xfId="27894"/>
    <cellStyle name="20% - Accent6 2 6 6 7" xfId="31773"/>
    <cellStyle name="20% - Accent6 2 6 7" xfId="6902"/>
    <cellStyle name="20% - Accent6 2 6 8" xfId="7331"/>
    <cellStyle name="20% - Accent6 2 6 9" xfId="11620"/>
    <cellStyle name="20% - Accent6 2 7" xfId="933"/>
    <cellStyle name="20% - Accent6 2 7 10" xfId="2801"/>
    <cellStyle name="20% - Accent6 2 7 2" xfId="3653"/>
    <cellStyle name="20% - Accent6 2 7 2 2" xfId="8629"/>
    <cellStyle name="20% - Accent6 2 7 2 3" xfId="12914"/>
    <cellStyle name="20% - Accent6 2 7 2 4" xfId="17186"/>
    <cellStyle name="20% - Accent6 2 7 2 5" xfId="21421"/>
    <cellStyle name="20% - Accent6 2 7 2 6" xfId="25659"/>
    <cellStyle name="20% - Accent6 2 7 2 7" xfId="29737"/>
    <cellStyle name="20% - Accent6 2 7 3" xfId="4964"/>
    <cellStyle name="20% - Accent6 2 7 3 2" xfId="9938"/>
    <cellStyle name="20% - Accent6 2 7 3 3" xfId="14215"/>
    <cellStyle name="20% - Accent6 2 7 3 4" xfId="18474"/>
    <cellStyle name="20% - Accent6 2 7 3 5" xfId="22693"/>
    <cellStyle name="20% - Accent6 2 7 3 6" xfId="26888"/>
    <cellStyle name="20% - Accent6 2 7 3 7" xfId="30784"/>
    <cellStyle name="20% - Accent6 2 7 4" xfId="7778"/>
    <cellStyle name="20% - Accent6 2 7 5" xfId="12067"/>
    <cellStyle name="20% - Accent6 2 7 6" xfId="16343"/>
    <cellStyle name="20% - Accent6 2 7 7" xfId="20585"/>
    <cellStyle name="20% - Accent6 2 7 8" xfId="24832"/>
    <cellStyle name="20% - Accent6 2 7 9" xfId="28930"/>
    <cellStyle name="20% - Accent6 2 8" xfId="3176"/>
    <cellStyle name="20% - Accent6 2 8 2" xfId="8152"/>
    <cellStyle name="20% - Accent6 2 8 3" xfId="12438"/>
    <cellStyle name="20% - Accent6 2 8 4" xfId="16712"/>
    <cellStyle name="20% - Accent6 2 8 5" xfId="20948"/>
    <cellStyle name="20% - Accent6 2 8 6" xfId="25188"/>
    <cellStyle name="20% - Accent6 2 8 7" xfId="29269"/>
    <cellStyle name="20% - Accent6 2 9" xfId="2262"/>
    <cellStyle name="20% - Accent6 2 9 2" xfId="7240"/>
    <cellStyle name="20% - Accent6 2 9 3" xfId="11530"/>
    <cellStyle name="20% - Accent6 2 9 4" xfId="15809"/>
    <cellStyle name="20% - Accent6 2 9 5" xfId="20064"/>
    <cellStyle name="20% - Accent6 2 9 6" xfId="24314"/>
    <cellStyle name="20% - Accent6 2 9 7" xfId="28460"/>
    <cellStyle name="20% - Accent6 3" xfId="125"/>
    <cellStyle name="20% - Accent6 3 2" xfId="4265"/>
    <cellStyle name="20% - Accent6 3 3" xfId="4004"/>
    <cellStyle name="20% - Accent6 4" xfId="116"/>
    <cellStyle name="20% - Accent6 4 10" xfId="5675"/>
    <cellStyle name="20% - Accent6 4 10 2" xfId="10647"/>
    <cellStyle name="20% - Accent6 4 10 3" xfId="14925"/>
    <cellStyle name="20% - Accent6 4 10 4" xfId="19182"/>
    <cellStyle name="20% - Accent6 4 10 5" xfId="23399"/>
    <cellStyle name="20% - Accent6 4 10 6" xfId="27585"/>
    <cellStyle name="20% - Accent6 4 10 7" xfId="31464"/>
    <cellStyle name="20% - Accent6 4 11" xfId="6416"/>
    <cellStyle name="20% - Accent6 4 12" xfId="6653"/>
    <cellStyle name="20% - Accent6 4 13" xfId="9004"/>
    <cellStyle name="20% - Accent6 4 14" xfId="13286"/>
    <cellStyle name="20% - Accent6 4 15" xfId="19138"/>
    <cellStyle name="20% - Accent6 4 16" xfId="21936"/>
    <cellStyle name="20% - Accent6 4 17" xfId="1610"/>
    <cellStyle name="20% - Accent6 4 2" xfId="307"/>
    <cellStyle name="20% - Accent6 4 2 10" xfId="11554"/>
    <cellStyle name="20% - Accent6 4 2 11" xfId="15832"/>
    <cellStyle name="20% - Accent6 4 2 12" xfId="21944"/>
    <cellStyle name="20% - Accent6 4 2 13" xfId="24337"/>
    <cellStyle name="20% - Accent6 4 2 14" xfId="1679"/>
    <cellStyle name="20% - Accent6 4 2 2" xfId="471"/>
    <cellStyle name="20% - Accent6 4 2 2 10" xfId="11700"/>
    <cellStyle name="20% - Accent6 4 2 2 11" xfId="13313"/>
    <cellStyle name="20% - Accent6 4 2 2 12" xfId="20167"/>
    <cellStyle name="20% - Accent6 4 2 2 13" xfId="1834"/>
    <cellStyle name="20% - Accent6 4 2 2 2" xfId="845"/>
    <cellStyle name="20% - Accent6 4 2 2 2 10" xfId="24220"/>
    <cellStyle name="20% - Accent6 4 2 2 2 11" xfId="28372"/>
    <cellStyle name="20% - Accent6 4 2 2 2 12" xfId="2164"/>
    <cellStyle name="20% - Accent6 4 2 2 2 2" xfId="1502"/>
    <cellStyle name="20% - Accent6 4 2 2 2 2 2" xfId="5533"/>
    <cellStyle name="20% - Accent6 4 2 2 2 2 2 2" xfId="10507"/>
    <cellStyle name="20% - Accent6 4 2 2 2 2 2 3" xfId="14784"/>
    <cellStyle name="20% - Accent6 4 2 2 2 2 2 4" xfId="19043"/>
    <cellStyle name="20% - Accent6 4 2 2 2 2 2 5" xfId="23262"/>
    <cellStyle name="20% - Accent6 4 2 2 2 2 2 6" xfId="27457"/>
    <cellStyle name="20% - Accent6 4 2 2 2 2 2 7" xfId="31353"/>
    <cellStyle name="20% - Accent6 4 2 2 2 2 3" xfId="8630"/>
    <cellStyle name="20% - Accent6 4 2 2 2 2 4" xfId="12915"/>
    <cellStyle name="20% - Accent6 4 2 2 2 2 5" xfId="17187"/>
    <cellStyle name="20% - Accent6 4 2 2 2 2 6" xfId="21422"/>
    <cellStyle name="20% - Accent6 4 2 2 2 2 7" xfId="25660"/>
    <cellStyle name="20% - Accent6 4 2 2 2 2 8" xfId="29738"/>
    <cellStyle name="20% - Accent6 4 2 2 2 2 9" xfId="3654"/>
    <cellStyle name="20% - Accent6 4 2 2 2 3" xfId="2802"/>
    <cellStyle name="20% - Accent6 4 2 2 2 3 2" xfId="7779"/>
    <cellStyle name="20% - Accent6 4 2 2 2 3 3" xfId="12068"/>
    <cellStyle name="20% - Accent6 4 2 2 2 3 4" xfId="16344"/>
    <cellStyle name="20% - Accent6 4 2 2 2 3 5" xfId="20586"/>
    <cellStyle name="20% - Accent6 4 2 2 2 3 6" xfId="24833"/>
    <cellStyle name="20% - Accent6 4 2 2 2 3 7" xfId="28931"/>
    <cellStyle name="20% - Accent6 4 2 2 2 4" xfId="4876"/>
    <cellStyle name="20% - Accent6 4 2 2 2 4 2" xfId="9850"/>
    <cellStyle name="20% - Accent6 4 2 2 2 4 3" xfId="14127"/>
    <cellStyle name="20% - Accent6 4 2 2 2 4 4" xfId="18386"/>
    <cellStyle name="20% - Accent6 4 2 2 2 4 5" xfId="22605"/>
    <cellStyle name="20% - Accent6 4 2 2 2 4 6" xfId="26800"/>
    <cellStyle name="20% - Accent6 4 2 2 2 4 7" xfId="30696"/>
    <cellStyle name="20% - Accent6 4 2 2 2 5" xfId="6224"/>
    <cellStyle name="20% - Accent6 4 2 2 2 5 2" xfId="11196"/>
    <cellStyle name="20% - Accent6 4 2 2 2 5 3" xfId="15474"/>
    <cellStyle name="20% - Accent6 4 2 2 2 5 4" xfId="19731"/>
    <cellStyle name="20% - Accent6 4 2 2 2 5 5" xfId="23948"/>
    <cellStyle name="20% - Accent6 4 2 2 2 5 6" xfId="28134"/>
    <cellStyle name="20% - Accent6 4 2 2 2 5 7" xfId="32013"/>
    <cellStyle name="20% - Accent6 4 2 2 2 6" xfId="7142"/>
    <cellStyle name="20% - Accent6 4 2 2 2 7" xfId="11434"/>
    <cellStyle name="20% - Accent6 4 2 2 2 8" xfId="15712"/>
    <cellStyle name="20% - Accent6 4 2 2 2 9" xfId="19969"/>
    <cellStyle name="20% - Accent6 4 2 2 3" xfId="1173"/>
    <cellStyle name="20% - Accent6 4 2 2 3 2" xfId="5204"/>
    <cellStyle name="20% - Accent6 4 2 2 3 2 2" xfId="10178"/>
    <cellStyle name="20% - Accent6 4 2 2 3 2 3" xfId="14455"/>
    <cellStyle name="20% - Accent6 4 2 2 3 2 4" xfId="18714"/>
    <cellStyle name="20% - Accent6 4 2 2 3 2 5" xfId="22933"/>
    <cellStyle name="20% - Accent6 4 2 2 3 2 6" xfId="27128"/>
    <cellStyle name="20% - Accent6 4 2 2 3 2 7" xfId="31024"/>
    <cellStyle name="20% - Accent6 4 2 2 3 3" xfId="8399"/>
    <cellStyle name="20% - Accent6 4 2 2 3 4" xfId="12684"/>
    <cellStyle name="20% - Accent6 4 2 2 3 5" xfId="16956"/>
    <cellStyle name="20% - Accent6 4 2 2 3 6" xfId="21191"/>
    <cellStyle name="20% - Accent6 4 2 2 3 7" xfId="25429"/>
    <cellStyle name="20% - Accent6 4 2 2 3 8" xfId="29507"/>
    <cellStyle name="20% - Accent6 4 2 2 3 9" xfId="3423"/>
    <cellStyle name="20% - Accent6 4 2 2 4" xfId="2562"/>
    <cellStyle name="20% - Accent6 4 2 2 4 2" xfId="7539"/>
    <cellStyle name="20% - Accent6 4 2 2 4 3" xfId="11828"/>
    <cellStyle name="20% - Accent6 4 2 2 4 4" xfId="16106"/>
    <cellStyle name="20% - Accent6 4 2 2 4 5" xfId="20349"/>
    <cellStyle name="20% - Accent6 4 2 2 4 6" xfId="24595"/>
    <cellStyle name="20% - Accent6 4 2 2 4 7" xfId="28700"/>
    <cellStyle name="20% - Accent6 4 2 2 5" xfId="4546"/>
    <cellStyle name="20% - Accent6 4 2 2 5 2" xfId="9520"/>
    <cellStyle name="20% - Accent6 4 2 2 5 3" xfId="13797"/>
    <cellStyle name="20% - Accent6 4 2 2 5 4" xfId="18057"/>
    <cellStyle name="20% - Accent6 4 2 2 5 5" xfId="22275"/>
    <cellStyle name="20% - Accent6 4 2 2 5 6" xfId="26471"/>
    <cellStyle name="20% - Accent6 4 2 2 5 7" xfId="30367"/>
    <cellStyle name="20% - Accent6 4 2 2 6" xfId="5895"/>
    <cellStyle name="20% - Accent6 4 2 2 6 2" xfId="10867"/>
    <cellStyle name="20% - Accent6 4 2 2 6 3" xfId="15145"/>
    <cellStyle name="20% - Accent6 4 2 2 6 4" xfId="19402"/>
    <cellStyle name="20% - Accent6 4 2 2 6 5" xfId="23619"/>
    <cellStyle name="20% - Accent6 4 2 2 6 6" xfId="27805"/>
    <cellStyle name="20% - Accent6 4 2 2 6 7" xfId="31684"/>
    <cellStyle name="20% - Accent6 4 2 2 7" xfId="6769"/>
    <cellStyle name="20% - Accent6 4 2 2 8" xfId="6368"/>
    <cellStyle name="20% - Accent6 4 2 2 9" xfId="7412"/>
    <cellStyle name="20% - Accent6 4 2 3" xfId="690"/>
    <cellStyle name="20% - Accent6 4 2 3 10" xfId="24065"/>
    <cellStyle name="20% - Accent6 4 2 3 11" xfId="28217"/>
    <cellStyle name="20% - Accent6 4 2 3 12" xfId="2009"/>
    <cellStyle name="20% - Accent6 4 2 3 2" xfId="1347"/>
    <cellStyle name="20% - Accent6 4 2 3 2 2" xfId="5378"/>
    <cellStyle name="20% - Accent6 4 2 3 2 2 2" xfId="10352"/>
    <cellStyle name="20% - Accent6 4 2 3 2 2 3" xfId="14629"/>
    <cellStyle name="20% - Accent6 4 2 3 2 2 4" xfId="18888"/>
    <cellStyle name="20% - Accent6 4 2 3 2 2 5" xfId="23107"/>
    <cellStyle name="20% - Accent6 4 2 3 2 2 6" xfId="27302"/>
    <cellStyle name="20% - Accent6 4 2 3 2 2 7" xfId="31198"/>
    <cellStyle name="20% - Accent6 4 2 3 2 3" xfId="8631"/>
    <cellStyle name="20% - Accent6 4 2 3 2 4" xfId="12916"/>
    <cellStyle name="20% - Accent6 4 2 3 2 5" xfId="17188"/>
    <cellStyle name="20% - Accent6 4 2 3 2 6" xfId="21423"/>
    <cellStyle name="20% - Accent6 4 2 3 2 7" xfId="25661"/>
    <cellStyle name="20% - Accent6 4 2 3 2 8" xfId="29739"/>
    <cellStyle name="20% - Accent6 4 2 3 2 9" xfId="3655"/>
    <cellStyle name="20% - Accent6 4 2 3 3" xfId="2803"/>
    <cellStyle name="20% - Accent6 4 2 3 3 2" xfId="7780"/>
    <cellStyle name="20% - Accent6 4 2 3 3 3" xfId="12069"/>
    <cellStyle name="20% - Accent6 4 2 3 3 4" xfId="16345"/>
    <cellStyle name="20% - Accent6 4 2 3 3 5" xfId="20587"/>
    <cellStyle name="20% - Accent6 4 2 3 3 6" xfId="24834"/>
    <cellStyle name="20% - Accent6 4 2 3 3 7" xfId="28932"/>
    <cellStyle name="20% - Accent6 4 2 3 4" xfId="4721"/>
    <cellStyle name="20% - Accent6 4 2 3 4 2" xfId="9695"/>
    <cellStyle name="20% - Accent6 4 2 3 4 3" xfId="13972"/>
    <cellStyle name="20% - Accent6 4 2 3 4 4" xfId="18231"/>
    <cellStyle name="20% - Accent6 4 2 3 4 5" xfId="22450"/>
    <cellStyle name="20% - Accent6 4 2 3 4 6" xfId="26645"/>
    <cellStyle name="20% - Accent6 4 2 3 4 7" xfId="30541"/>
    <cellStyle name="20% - Accent6 4 2 3 5" xfId="6069"/>
    <cellStyle name="20% - Accent6 4 2 3 5 2" xfId="11041"/>
    <cellStyle name="20% - Accent6 4 2 3 5 3" xfId="15319"/>
    <cellStyle name="20% - Accent6 4 2 3 5 4" xfId="19576"/>
    <cellStyle name="20% - Accent6 4 2 3 5 5" xfId="23793"/>
    <cellStyle name="20% - Accent6 4 2 3 5 6" xfId="27979"/>
    <cellStyle name="20% - Accent6 4 2 3 5 7" xfId="31858"/>
    <cellStyle name="20% - Accent6 4 2 3 6" xfId="6987"/>
    <cellStyle name="20% - Accent6 4 2 3 7" xfId="11279"/>
    <cellStyle name="20% - Accent6 4 2 3 8" xfId="15557"/>
    <cellStyle name="20% - Accent6 4 2 3 9" xfId="19814"/>
    <cellStyle name="20% - Accent6 4 2 4" xfId="1018"/>
    <cellStyle name="20% - Accent6 4 2 4 2" xfId="5049"/>
    <cellStyle name="20% - Accent6 4 2 4 2 2" xfId="10023"/>
    <cellStyle name="20% - Accent6 4 2 4 2 3" xfId="14300"/>
    <cellStyle name="20% - Accent6 4 2 4 2 4" xfId="18559"/>
    <cellStyle name="20% - Accent6 4 2 4 2 5" xfId="22778"/>
    <cellStyle name="20% - Accent6 4 2 4 2 6" xfId="26973"/>
    <cellStyle name="20% - Accent6 4 2 4 2 7" xfId="30869"/>
    <cellStyle name="20% - Accent6 4 2 4 3" xfId="8246"/>
    <cellStyle name="20% - Accent6 4 2 4 4" xfId="12531"/>
    <cellStyle name="20% - Accent6 4 2 4 5" xfId="16804"/>
    <cellStyle name="20% - Accent6 4 2 4 6" xfId="21040"/>
    <cellStyle name="20% - Accent6 4 2 4 7" xfId="25278"/>
    <cellStyle name="20% - Accent6 4 2 4 8" xfId="29356"/>
    <cellStyle name="20% - Accent6 4 2 4 9" xfId="3270"/>
    <cellStyle name="20% - Accent6 4 2 5" xfId="2386"/>
    <cellStyle name="20% - Accent6 4 2 5 2" xfId="7364"/>
    <cellStyle name="20% - Accent6 4 2 5 3" xfId="11653"/>
    <cellStyle name="20% - Accent6 4 2 5 4" xfId="15931"/>
    <cellStyle name="20% - Accent6 4 2 5 5" xfId="20180"/>
    <cellStyle name="20% - Accent6 4 2 5 6" xfId="24428"/>
    <cellStyle name="20% - Accent6 4 2 5 7" xfId="28548"/>
    <cellStyle name="20% - Accent6 4 2 6" xfId="4391"/>
    <cellStyle name="20% - Accent6 4 2 6 2" xfId="9365"/>
    <cellStyle name="20% - Accent6 4 2 6 3" xfId="13642"/>
    <cellStyle name="20% - Accent6 4 2 6 4" xfId="17902"/>
    <cellStyle name="20% - Accent6 4 2 6 5" xfId="22120"/>
    <cellStyle name="20% - Accent6 4 2 6 6" xfId="26316"/>
    <cellStyle name="20% - Accent6 4 2 6 7" xfId="30212"/>
    <cellStyle name="20% - Accent6 4 2 7" xfId="5740"/>
    <cellStyle name="20% - Accent6 4 2 7 2" xfId="10712"/>
    <cellStyle name="20% - Accent6 4 2 7 3" xfId="14990"/>
    <cellStyle name="20% - Accent6 4 2 7 4" xfId="19247"/>
    <cellStyle name="20% - Accent6 4 2 7 5" xfId="23464"/>
    <cellStyle name="20% - Accent6 4 2 7 6" xfId="27650"/>
    <cellStyle name="20% - Accent6 4 2 7 7" xfId="31529"/>
    <cellStyle name="20% - Accent6 4 2 8" xfId="6605"/>
    <cellStyle name="20% - Accent6 4 2 9" xfId="7264"/>
    <cellStyle name="20% - Accent6 4 3" xfId="409"/>
    <cellStyle name="20% - Accent6 4 3 10" xfId="17724"/>
    <cellStyle name="20% - Accent6 4 3 11" xfId="21857"/>
    <cellStyle name="20% - Accent6 4 3 12" xfId="26153"/>
    <cellStyle name="20% - Accent6 4 3 13" xfId="1772"/>
    <cellStyle name="20% - Accent6 4 3 2" xfId="783"/>
    <cellStyle name="20% - Accent6 4 3 2 10" xfId="24158"/>
    <cellStyle name="20% - Accent6 4 3 2 11" xfId="28310"/>
    <cellStyle name="20% - Accent6 4 3 2 12" xfId="2102"/>
    <cellStyle name="20% - Accent6 4 3 2 2" xfId="1440"/>
    <cellStyle name="20% - Accent6 4 3 2 2 2" xfId="5471"/>
    <cellStyle name="20% - Accent6 4 3 2 2 2 2" xfId="10445"/>
    <cellStyle name="20% - Accent6 4 3 2 2 2 3" xfId="14722"/>
    <cellStyle name="20% - Accent6 4 3 2 2 2 4" xfId="18981"/>
    <cellStyle name="20% - Accent6 4 3 2 2 2 5" xfId="23200"/>
    <cellStyle name="20% - Accent6 4 3 2 2 2 6" xfId="27395"/>
    <cellStyle name="20% - Accent6 4 3 2 2 2 7" xfId="31291"/>
    <cellStyle name="20% - Accent6 4 3 2 2 3" xfId="8632"/>
    <cellStyle name="20% - Accent6 4 3 2 2 4" xfId="12917"/>
    <cellStyle name="20% - Accent6 4 3 2 2 5" xfId="17189"/>
    <cellStyle name="20% - Accent6 4 3 2 2 6" xfId="21424"/>
    <cellStyle name="20% - Accent6 4 3 2 2 7" xfId="25662"/>
    <cellStyle name="20% - Accent6 4 3 2 2 8" xfId="29740"/>
    <cellStyle name="20% - Accent6 4 3 2 2 9" xfId="3656"/>
    <cellStyle name="20% - Accent6 4 3 2 3" xfId="2804"/>
    <cellStyle name="20% - Accent6 4 3 2 3 2" xfId="7781"/>
    <cellStyle name="20% - Accent6 4 3 2 3 3" xfId="12070"/>
    <cellStyle name="20% - Accent6 4 3 2 3 4" xfId="16346"/>
    <cellStyle name="20% - Accent6 4 3 2 3 5" xfId="20588"/>
    <cellStyle name="20% - Accent6 4 3 2 3 6" xfId="24835"/>
    <cellStyle name="20% - Accent6 4 3 2 3 7" xfId="28933"/>
    <cellStyle name="20% - Accent6 4 3 2 4" xfId="4814"/>
    <cellStyle name="20% - Accent6 4 3 2 4 2" xfId="9788"/>
    <cellStyle name="20% - Accent6 4 3 2 4 3" xfId="14065"/>
    <cellStyle name="20% - Accent6 4 3 2 4 4" xfId="18324"/>
    <cellStyle name="20% - Accent6 4 3 2 4 5" xfId="22543"/>
    <cellStyle name="20% - Accent6 4 3 2 4 6" xfId="26738"/>
    <cellStyle name="20% - Accent6 4 3 2 4 7" xfId="30634"/>
    <cellStyle name="20% - Accent6 4 3 2 5" xfId="6162"/>
    <cellStyle name="20% - Accent6 4 3 2 5 2" xfId="11134"/>
    <cellStyle name="20% - Accent6 4 3 2 5 3" xfId="15412"/>
    <cellStyle name="20% - Accent6 4 3 2 5 4" xfId="19669"/>
    <cellStyle name="20% - Accent6 4 3 2 5 5" xfId="23886"/>
    <cellStyle name="20% - Accent6 4 3 2 5 6" xfId="28072"/>
    <cellStyle name="20% - Accent6 4 3 2 5 7" xfId="31951"/>
    <cellStyle name="20% - Accent6 4 3 2 6" xfId="7080"/>
    <cellStyle name="20% - Accent6 4 3 2 7" xfId="11372"/>
    <cellStyle name="20% - Accent6 4 3 2 8" xfId="15650"/>
    <cellStyle name="20% - Accent6 4 3 2 9" xfId="19907"/>
    <cellStyle name="20% - Accent6 4 3 3" xfId="1111"/>
    <cellStyle name="20% - Accent6 4 3 3 2" xfId="5142"/>
    <cellStyle name="20% - Accent6 4 3 3 2 2" xfId="10116"/>
    <cellStyle name="20% - Accent6 4 3 3 2 3" xfId="14393"/>
    <cellStyle name="20% - Accent6 4 3 3 2 4" xfId="18652"/>
    <cellStyle name="20% - Accent6 4 3 3 2 5" xfId="22871"/>
    <cellStyle name="20% - Accent6 4 3 3 2 6" xfId="27066"/>
    <cellStyle name="20% - Accent6 4 3 3 2 7" xfId="30962"/>
    <cellStyle name="20% - Accent6 4 3 3 3" xfId="8337"/>
    <cellStyle name="20% - Accent6 4 3 3 4" xfId="12622"/>
    <cellStyle name="20% - Accent6 4 3 3 5" xfId="16894"/>
    <cellStyle name="20% - Accent6 4 3 3 6" xfId="21129"/>
    <cellStyle name="20% - Accent6 4 3 3 7" xfId="25367"/>
    <cellStyle name="20% - Accent6 4 3 3 8" xfId="29445"/>
    <cellStyle name="20% - Accent6 4 3 3 9" xfId="3361"/>
    <cellStyle name="20% - Accent6 4 3 4" xfId="2500"/>
    <cellStyle name="20% - Accent6 4 3 4 2" xfId="7477"/>
    <cellStyle name="20% - Accent6 4 3 4 3" xfId="11766"/>
    <cellStyle name="20% - Accent6 4 3 4 4" xfId="16044"/>
    <cellStyle name="20% - Accent6 4 3 4 5" xfId="20287"/>
    <cellStyle name="20% - Accent6 4 3 4 6" xfId="24533"/>
    <cellStyle name="20% - Accent6 4 3 4 7" xfId="28638"/>
    <cellStyle name="20% - Accent6 4 3 5" xfId="4484"/>
    <cellStyle name="20% - Accent6 4 3 5 2" xfId="9458"/>
    <cellStyle name="20% - Accent6 4 3 5 3" xfId="13735"/>
    <cellStyle name="20% - Accent6 4 3 5 4" xfId="17995"/>
    <cellStyle name="20% - Accent6 4 3 5 5" xfId="22213"/>
    <cellStyle name="20% - Accent6 4 3 5 6" xfId="26409"/>
    <cellStyle name="20% - Accent6 4 3 5 7" xfId="30305"/>
    <cellStyle name="20% - Accent6 4 3 6" xfId="5833"/>
    <cellStyle name="20% - Accent6 4 3 6 2" xfId="10805"/>
    <cellStyle name="20% - Accent6 4 3 6 3" xfId="15083"/>
    <cellStyle name="20% - Accent6 4 3 6 4" xfId="19340"/>
    <cellStyle name="20% - Accent6 4 3 6 5" xfId="23557"/>
    <cellStyle name="20% - Accent6 4 3 6 6" xfId="27743"/>
    <cellStyle name="20% - Accent6 4 3 6 7" xfId="31622"/>
    <cellStyle name="20% - Accent6 4 3 7" xfId="6707"/>
    <cellStyle name="20% - Accent6 4 3 8" xfId="9181"/>
    <cellStyle name="20% - Accent6 4 3 9" xfId="13461"/>
    <cellStyle name="20% - Accent6 4 4" xfId="523"/>
    <cellStyle name="20% - Accent6 4 4 10" xfId="9085"/>
    <cellStyle name="20% - Accent6 4 4 11" xfId="6363"/>
    <cellStyle name="20% - Accent6 4 4 12" xfId="20767"/>
    <cellStyle name="20% - Accent6 4 4 13" xfId="1886"/>
    <cellStyle name="20% - Accent6 4 4 2" xfId="897"/>
    <cellStyle name="20% - Accent6 4 4 2 10" xfId="24272"/>
    <cellStyle name="20% - Accent6 4 4 2 11" xfId="28424"/>
    <cellStyle name="20% - Accent6 4 4 2 12" xfId="2216"/>
    <cellStyle name="20% - Accent6 4 4 2 2" xfId="1554"/>
    <cellStyle name="20% - Accent6 4 4 2 2 2" xfId="5585"/>
    <cellStyle name="20% - Accent6 4 4 2 2 2 2" xfId="10559"/>
    <cellStyle name="20% - Accent6 4 4 2 2 2 3" xfId="14836"/>
    <cellStyle name="20% - Accent6 4 4 2 2 2 4" xfId="19095"/>
    <cellStyle name="20% - Accent6 4 4 2 2 2 5" xfId="23314"/>
    <cellStyle name="20% - Accent6 4 4 2 2 2 6" xfId="27509"/>
    <cellStyle name="20% - Accent6 4 4 2 2 2 7" xfId="31405"/>
    <cellStyle name="20% - Accent6 4 4 2 2 3" xfId="8633"/>
    <cellStyle name="20% - Accent6 4 4 2 2 4" xfId="12918"/>
    <cellStyle name="20% - Accent6 4 4 2 2 5" xfId="17190"/>
    <cellStyle name="20% - Accent6 4 4 2 2 6" xfId="21425"/>
    <cellStyle name="20% - Accent6 4 4 2 2 7" xfId="25663"/>
    <cellStyle name="20% - Accent6 4 4 2 2 8" xfId="29741"/>
    <cellStyle name="20% - Accent6 4 4 2 2 9" xfId="3657"/>
    <cellStyle name="20% - Accent6 4 4 2 3" xfId="2805"/>
    <cellStyle name="20% - Accent6 4 4 2 3 2" xfId="7782"/>
    <cellStyle name="20% - Accent6 4 4 2 3 3" xfId="12071"/>
    <cellStyle name="20% - Accent6 4 4 2 3 4" xfId="16347"/>
    <cellStyle name="20% - Accent6 4 4 2 3 5" xfId="20589"/>
    <cellStyle name="20% - Accent6 4 4 2 3 6" xfId="24836"/>
    <cellStyle name="20% - Accent6 4 4 2 3 7" xfId="28934"/>
    <cellStyle name="20% - Accent6 4 4 2 4" xfId="4928"/>
    <cellStyle name="20% - Accent6 4 4 2 4 2" xfId="9902"/>
    <cellStyle name="20% - Accent6 4 4 2 4 3" xfId="14179"/>
    <cellStyle name="20% - Accent6 4 4 2 4 4" xfId="18438"/>
    <cellStyle name="20% - Accent6 4 4 2 4 5" xfId="22657"/>
    <cellStyle name="20% - Accent6 4 4 2 4 6" xfId="26852"/>
    <cellStyle name="20% - Accent6 4 4 2 4 7" xfId="30748"/>
    <cellStyle name="20% - Accent6 4 4 2 5" xfId="6276"/>
    <cellStyle name="20% - Accent6 4 4 2 5 2" xfId="11248"/>
    <cellStyle name="20% - Accent6 4 4 2 5 3" xfId="15526"/>
    <cellStyle name="20% - Accent6 4 4 2 5 4" xfId="19783"/>
    <cellStyle name="20% - Accent6 4 4 2 5 5" xfId="24000"/>
    <cellStyle name="20% - Accent6 4 4 2 5 6" xfId="28186"/>
    <cellStyle name="20% - Accent6 4 4 2 5 7" xfId="32065"/>
    <cellStyle name="20% - Accent6 4 4 2 6" xfId="7194"/>
    <cellStyle name="20% - Accent6 4 4 2 7" xfId="11486"/>
    <cellStyle name="20% - Accent6 4 4 2 8" xfId="15764"/>
    <cellStyle name="20% - Accent6 4 4 2 9" xfId="20021"/>
    <cellStyle name="20% - Accent6 4 4 3" xfId="1225"/>
    <cellStyle name="20% - Accent6 4 4 3 2" xfId="5256"/>
    <cellStyle name="20% - Accent6 4 4 3 2 2" xfId="10230"/>
    <cellStyle name="20% - Accent6 4 4 3 2 3" xfId="14507"/>
    <cellStyle name="20% - Accent6 4 4 3 2 4" xfId="18766"/>
    <cellStyle name="20% - Accent6 4 4 3 2 5" xfId="22985"/>
    <cellStyle name="20% - Accent6 4 4 3 2 6" xfId="27180"/>
    <cellStyle name="20% - Accent6 4 4 3 2 7" xfId="31076"/>
    <cellStyle name="20% - Accent6 4 4 3 3" xfId="8466"/>
    <cellStyle name="20% - Accent6 4 4 3 4" xfId="12751"/>
    <cellStyle name="20% - Accent6 4 4 3 5" xfId="17023"/>
    <cellStyle name="20% - Accent6 4 4 3 6" xfId="21258"/>
    <cellStyle name="20% - Accent6 4 4 3 7" xfId="25496"/>
    <cellStyle name="20% - Accent6 4 4 3 8" xfId="29574"/>
    <cellStyle name="20% - Accent6 4 4 3 9" xfId="3490"/>
    <cellStyle name="20% - Accent6 4 4 4" xfId="2633"/>
    <cellStyle name="20% - Accent6 4 4 4 2" xfId="7610"/>
    <cellStyle name="20% - Accent6 4 4 4 3" xfId="11899"/>
    <cellStyle name="20% - Accent6 4 4 4 4" xfId="16175"/>
    <cellStyle name="20% - Accent6 4 4 4 5" xfId="20417"/>
    <cellStyle name="20% - Accent6 4 4 4 6" xfId="24664"/>
    <cellStyle name="20% - Accent6 4 4 4 7" xfId="28767"/>
    <cellStyle name="20% - Accent6 4 4 5" xfId="4598"/>
    <cellStyle name="20% - Accent6 4 4 5 2" xfId="9572"/>
    <cellStyle name="20% - Accent6 4 4 5 3" xfId="13849"/>
    <cellStyle name="20% - Accent6 4 4 5 4" xfId="18109"/>
    <cellStyle name="20% - Accent6 4 4 5 5" xfId="22327"/>
    <cellStyle name="20% - Accent6 4 4 5 6" xfId="26523"/>
    <cellStyle name="20% - Accent6 4 4 5 7" xfId="30419"/>
    <cellStyle name="20% - Accent6 4 4 6" xfId="5947"/>
    <cellStyle name="20% - Accent6 4 4 6 2" xfId="10919"/>
    <cellStyle name="20% - Accent6 4 4 6 3" xfId="15197"/>
    <cellStyle name="20% - Accent6 4 4 6 4" xfId="19454"/>
    <cellStyle name="20% - Accent6 4 4 6 5" xfId="23671"/>
    <cellStyle name="20% - Accent6 4 4 6 6" xfId="27857"/>
    <cellStyle name="20% - Accent6 4 4 6 7" xfId="31736"/>
    <cellStyle name="20% - Accent6 4 4 7" xfId="6821"/>
    <cellStyle name="20% - Accent6 4 4 8" xfId="6438"/>
    <cellStyle name="20% - Accent6 4 4 9" xfId="6583"/>
    <cellStyle name="20% - Accent6 4 5" xfId="624"/>
    <cellStyle name="20% - Accent6 4 5 10" xfId="14880"/>
    <cellStyle name="20% - Accent6 4 5 11" xfId="22006"/>
    <cellStyle name="20% - Accent6 4 5 12" xfId="21884"/>
    <cellStyle name="20% - Accent6 4 5 13" xfId="1943"/>
    <cellStyle name="20% - Accent6 4 5 2" xfId="1281"/>
    <cellStyle name="20% - Accent6 4 5 2 10" xfId="2807"/>
    <cellStyle name="20% - Accent6 4 5 2 2" xfId="3659"/>
    <cellStyle name="20% - Accent6 4 5 2 2 2" xfId="8635"/>
    <cellStyle name="20% - Accent6 4 5 2 2 3" xfId="12920"/>
    <cellStyle name="20% - Accent6 4 5 2 2 4" xfId="17192"/>
    <cellStyle name="20% - Accent6 4 5 2 2 5" xfId="21427"/>
    <cellStyle name="20% - Accent6 4 5 2 2 6" xfId="25665"/>
    <cellStyle name="20% - Accent6 4 5 2 2 7" xfId="29743"/>
    <cellStyle name="20% - Accent6 4 5 2 3" xfId="5312"/>
    <cellStyle name="20% - Accent6 4 5 2 3 2" xfId="10286"/>
    <cellStyle name="20% - Accent6 4 5 2 3 3" xfId="14563"/>
    <cellStyle name="20% - Accent6 4 5 2 3 4" xfId="18822"/>
    <cellStyle name="20% - Accent6 4 5 2 3 5" xfId="23041"/>
    <cellStyle name="20% - Accent6 4 5 2 3 6" xfId="27236"/>
    <cellStyle name="20% - Accent6 4 5 2 3 7" xfId="31132"/>
    <cellStyle name="20% - Accent6 4 5 2 4" xfId="7784"/>
    <cellStyle name="20% - Accent6 4 5 2 5" xfId="12073"/>
    <cellStyle name="20% - Accent6 4 5 2 6" xfId="16349"/>
    <cellStyle name="20% - Accent6 4 5 2 7" xfId="20591"/>
    <cellStyle name="20% - Accent6 4 5 2 8" xfId="24838"/>
    <cellStyle name="20% - Accent6 4 5 2 9" xfId="28936"/>
    <cellStyle name="20% - Accent6 4 5 3" xfId="3658"/>
    <cellStyle name="20% - Accent6 4 5 3 2" xfId="8634"/>
    <cellStyle name="20% - Accent6 4 5 3 3" xfId="12919"/>
    <cellStyle name="20% - Accent6 4 5 3 4" xfId="17191"/>
    <cellStyle name="20% - Accent6 4 5 3 5" xfId="21426"/>
    <cellStyle name="20% - Accent6 4 5 3 6" xfId="25664"/>
    <cellStyle name="20% - Accent6 4 5 3 7" xfId="29742"/>
    <cellStyle name="20% - Accent6 4 5 4" xfId="2806"/>
    <cellStyle name="20% - Accent6 4 5 4 2" xfId="7783"/>
    <cellStyle name="20% - Accent6 4 5 4 3" xfId="12072"/>
    <cellStyle name="20% - Accent6 4 5 4 4" xfId="16348"/>
    <cellStyle name="20% - Accent6 4 5 4 5" xfId="20590"/>
    <cellStyle name="20% - Accent6 4 5 4 6" xfId="24837"/>
    <cellStyle name="20% - Accent6 4 5 4 7" xfId="28935"/>
    <cellStyle name="20% - Accent6 4 5 5" xfId="4655"/>
    <cellStyle name="20% - Accent6 4 5 5 2" xfId="9629"/>
    <cellStyle name="20% - Accent6 4 5 5 3" xfId="13906"/>
    <cellStyle name="20% - Accent6 4 5 5 4" xfId="18165"/>
    <cellStyle name="20% - Accent6 4 5 5 5" xfId="22384"/>
    <cellStyle name="20% - Accent6 4 5 5 6" xfId="26579"/>
    <cellStyle name="20% - Accent6 4 5 5 7" xfId="30475"/>
    <cellStyle name="20% - Accent6 4 5 6" xfId="6003"/>
    <cellStyle name="20% - Accent6 4 5 6 2" xfId="10975"/>
    <cellStyle name="20% - Accent6 4 5 6 3" xfId="15253"/>
    <cellStyle name="20% - Accent6 4 5 6 4" xfId="19510"/>
    <cellStyle name="20% - Accent6 4 5 6 5" xfId="23727"/>
    <cellStyle name="20% - Accent6 4 5 6 6" xfId="27913"/>
    <cellStyle name="20% - Accent6 4 5 6 7" xfId="31792"/>
    <cellStyle name="20% - Accent6 4 5 7" xfId="6921"/>
    <cellStyle name="20% - Accent6 4 5 8" xfId="6852"/>
    <cellStyle name="20% - Accent6 4 5 9" xfId="10603"/>
    <cellStyle name="20% - Accent6 4 6" xfId="952"/>
    <cellStyle name="20% - Accent6 4 6 10" xfId="2808"/>
    <cellStyle name="20% - Accent6 4 6 2" xfId="3660"/>
    <cellStyle name="20% - Accent6 4 6 2 2" xfId="8636"/>
    <cellStyle name="20% - Accent6 4 6 2 3" xfId="12921"/>
    <cellStyle name="20% - Accent6 4 6 2 4" xfId="17193"/>
    <cellStyle name="20% - Accent6 4 6 2 5" xfId="21428"/>
    <cellStyle name="20% - Accent6 4 6 2 6" xfId="25666"/>
    <cellStyle name="20% - Accent6 4 6 2 7" xfId="29744"/>
    <cellStyle name="20% - Accent6 4 6 3" xfId="4983"/>
    <cellStyle name="20% - Accent6 4 6 3 2" xfId="9957"/>
    <cellStyle name="20% - Accent6 4 6 3 3" xfId="14234"/>
    <cellStyle name="20% - Accent6 4 6 3 4" xfId="18493"/>
    <cellStyle name="20% - Accent6 4 6 3 5" xfId="22712"/>
    <cellStyle name="20% - Accent6 4 6 3 6" xfId="26907"/>
    <cellStyle name="20% - Accent6 4 6 3 7" xfId="30803"/>
    <cellStyle name="20% - Accent6 4 6 4" xfId="7785"/>
    <cellStyle name="20% - Accent6 4 6 5" xfId="12074"/>
    <cellStyle name="20% - Accent6 4 6 6" xfId="16350"/>
    <cellStyle name="20% - Accent6 4 6 7" xfId="20592"/>
    <cellStyle name="20% - Accent6 4 6 8" xfId="24839"/>
    <cellStyle name="20% - Accent6 4 6 9" xfId="28937"/>
    <cellStyle name="20% - Accent6 4 7" xfId="3195"/>
    <cellStyle name="20% - Accent6 4 7 2" xfId="8171"/>
    <cellStyle name="20% - Accent6 4 7 3" xfId="12457"/>
    <cellStyle name="20% - Accent6 4 7 4" xfId="16731"/>
    <cellStyle name="20% - Accent6 4 7 5" xfId="20967"/>
    <cellStyle name="20% - Accent6 4 7 6" xfId="25207"/>
    <cellStyle name="20% - Accent6 4 7 7" xfId="29288"/>
    <cellStyle name="20% - Accent6 4 8" xfId="2282"/>
    <cellStyle name="20% - Accent6 4 8 2" xfId="7260"/>
    <cellStyle name="20% - Accent6 4 8 3" xfId="11550"/>
    <cellStyle name="20% - Accent6 4 8 4" xfId="15829"/>
    <cellStyle name="20% - Accent6 4 8 5" xfId="20084"/>
    <cellStyle name="20% - Accent6 4 8 6" xfId="24334"/>
    <cellStyle name="20% - Accent6 4 8 7" xfId="28479"/>
    <cellStyle name="20% - Accent6 4 9" xfId="4320"/>
    <cellStyle name="20% - Accent6 4 9 2" xfId="9294"/>
    <cellStyle name="20% - Accent6 4 9 3" xfId="13571"/>
    <cellStyle name="20% - Accent6 4 9 4" xfId="17831"/>
    <cellStyle name="20% - Accent6 4 9 5" xfId="22050"/>
    <cellStyle name="20% - Accent6 4 9 6" xfId="26248"/>
    <cellStyle name="20% - Accent6 4 9 7" xfId="30145"/>
    <cellStyle name="20% - Accent6 5" xfId="256"/>
    <cellStyle name="20% - Accent6 5 2" xfId="440"/>
    <cellStyle name="20% - Accent6 5 2 10" xfId="7320"/>
    <cellStyle name="20% - Accent6 5 2 11" xfId="24307"/>
    <cellStyle name="20% - Accent6 5 2 12" xfId="1803"/>
    <cellStyle name="20% - Accent6 5 2 2" xfId="814"/>
    <cellStyle name="20% - Accent6 5 2 2 10" xfId="19938"/>
    <cellStyle name="20% - Accent6 5 2 2 11" xfId="24189"/>
    <cellStyle name="20% - Accent6 5 2 2 12" xfId="28341"/>
    <cellStyle name="20% - Accent6 5 2 2 13" xfId="2133"/>
    <cellStyle name="20% - Accent6 5 2 2 2" xfId="1471"/>
    <cellStyle name="20% - Accent6 5 2 2 2 10" xfId="2809"/>
    <cellStyle name="20% - Accent6 5 2 2 2 2" xfId="3661"/>
    <cellStyle name="20% - Accent6 5 2 2 2 2 2" xfId="8637"/>
    <cellStyle name="20% - Accent6 5 2 2 2 2 3" xfId="12922"/>
    <cellStyle name="20% - Accent6 5 2 2 2 2 4" xfId="17194"/>
    <cellStyle name="20% - Accent6 5 2 2 2 2 5" xfId="21429"/>
    <cellStyle name="20% - Accent6 5 2 2 2 2 6" xfId="25667"/>
    <cellStyle name="20% - Accent6 5 2 2 2 2 7" xfId="29745"/>
    <cellStyle name="20% - Accent6 5 2 2 2 3" xfId="5502"/>
    <cellStyle name="20% - Accent6 5 2 2 2 3 2" xfId="10476"/>
    <cellStyle name="20% - Accent6 5 2 2 2 3 3" xfId="14753"/>
    <cellStyle name="20% - Accent6 5 2 2 2 3 4" xfId="19012"/>
    <cellStyle name="20% - Accent6 5 2 2 2 3 5" xfId="23231"/>
    <cellStyle name="20% - Accent6 5 2 2 2 3 6" xfId="27426"/>
    <cellStyle name="20% - Accent6 5 2 2 2 3 7" xfId="31322"/>
    <cellStyle name="20% - Accent6 5 2 2 2 4" xfId="7786"/>
    <cellStyle name="20% - Accent6 5 2 2 2 5" xfId="12075"/>
    <cellStyle name="20% - Accent6 5 2 2 2 6" xfId="16351"/>
    <cellStyle name="20% - Accent6 5 2 2 2 7" xfId="20593"/>
    <cellStyle name="20% - Accent6 5 2 2 2 8" xfId="24840"/>
    <cellStyle name="20% - Accent6 5 2 2 2 9" xfId="28938"/>
    <cellStyle name="20% - Accent6 5 2 2 3" xfId="3392"/>
    <cellStyle name="20% - Accent6 5 2 2 3 2" xfId="8368"/>
    <cellStyle name="20% - Accent6 5 2 2 3 3" xfId="12653"/>
    <cellStyle name="20% - Accent6 5 2 2 3 4" xfId="16925"/>
    <cellStyle name="20% - Accent6 5 2 2 3 5" xfId="21160"/>
    <cellStyle name="20% - Accent6 5 2 2 3 6" xfId="25398"/>
    <cellStyle name="20% - Accent6 5 2 2 3 7" xfId="29476"/>
    <cellStyle name="20% - Accent6 5 2 2 4" xfId="2531"/>
    <cellStyle name="20% - Accent6 5 2 2 4 2" xfId="7508"/>
    <cellStyle name="20% - Accent6 5 2 2 4 3" xfId="11797"/>
    <cellStyle name="20% - Accent6 5 2 2 4 4" xfId="16075"/>
    <cellStyle name="20% - Accent6 5 2 2 4 5" xfId="20318"/>
    <cellStyle name="20% - Accent6 5 2 2 4 6" xfId="24564"/>
    <cellStyle name="20% - Accent6 5 2 2 4 7" xfId="28669"/>
    <cellStyle name="20% - Accent6 5 2 2 5" xfId="4845"/>
    <cellStyle name="20% - Accent6 5 2 2 5 2" xfId="9819"/>
    <cellStyle name="20% - Accent6 5 2 2 5 3" xfId="14096"/>
    <cellStyle name="20% - Accent6 5 2 2 5 4" xfId="18355"/>
    <cellStyle name="20% - Accent6 5 2 2 5 5" xfId="22574"/>
    <cellStyle name="20% - Accent6 5 2 2 5 6" xfId="26769"/>
    <cellStyle name="20% - Accent6 5 2 2 5 7" xfId="30665"/>
    <cellStyle name="20% - Accent6 5 2 2 6" xfId="6193"/>
    <cellStyle name="20% - Accent6 5 2 2 6 2" xfId="11165"/>
    <cellStyle name="20% - Accent6 5 2 2 6 3" xfId="15443"/>
    <cellStyle name="20% - Accent6 5 2 2 6 4" xfId="19700"/>
    <cellStyle name="20% - Accent6 5 2 2 6 5" xfId="23917"/>
    <cellStyle name="20% - Accent6 5 2 2 6 6" xfId="28103"/>
    <cellStyle name="20% - Accent6 5 2 2 6 7" xfId="31982"/>
    <cellStyle name="20% - Accent6 5 2 2 7" xfId="7111"/>
    <cellStyle name="20% - Accent6 5 2 2 8" xfId="11403"/>
    <cellStyle name="20% - Accent6 5 2 2 9" xfId="15681"/>
    <cellStyle name="20% - Accent6 5 2 3" xfId="1142"/>
    <cellStyle name="20% - Accent6 5 2 3 2" xfId="5173"/>
    <cellStyle name="20% - Accent6 5 2 3 2 2" xfId="10147"/>
    <cellStyle name="20% - Accent6 5 2 3 2 3" xfId="14424"/>
    <cellStyle name="20% - Accent6 5 2 3 2 4" xfId="18683"/>
    <cellStyle name="20% - Accent6 5 2 3 2 5" xfId="22902"/>
    <cellStyle name="20% - Accent6 5 2 3 2 6" xfId="27097"/>
    <cellStyle name="20% - Accent6 5 2 3 2 7" xfId="30993"/>
    <cellStyle name="20% - Accent6 5 2 3 3" xfId="2432"/>
    <cellStyle name="20% - Accent6 5 2 4" xfId="4515"/>
    <cellStyle name="20% - Accent6 5 2 4 2" xfId="9489"/>
    <cellStyle name="20% - Accent6 5 2 4 3" xfId="13766"/>
    <cellStyle name="20% - Accent6 5 2 4 4" xfId="18026"/>
    <cellStyle name="20% - Accent6 5 2 4 5" xfId="22244"/>
    <cellStyle name="20% - Accent6 5 2 4 6" xfId="26440"/>
    <cellStyle name="20% - Accent6 5 2 4 7" xfId="30336"/>
    <cellStyle name="20% - Accent6 5 2 5" xfId="5864"/>
    <cellStyle name="20% - Accent6 5 2 5 2" xfId="10836"/>
    <cellStyle name="20% - Accent6 5 2 5 3" xfId="15114"/>
    <cellStyle name="20% - Accent6 5 2 5 4" xfId="19371"/>
    <cellStyle name="20% - Accent6 5 2 5 5" xfId="23588"/>
    <cellStyle name="20% - Accent6 5 2 5 6" xfId="27774"/>
    <cellStyle name="20% - Accent6 5 2 5 7" xfId="31653"/>
    <cellStyle name="20% - Accent6 5 2 6" xfId="6738"/>
    <cellStyle name="20% - Accent6 5 2 7" xfId="7233"/>
    <cellStyle name="20% - Accent6 5 2 8" xfId="11523"/>
    <cellStyle name="20% - Accent6 5 2 9" xfId="15802"/>
    <cellStyle name="20% - Accent6 5 3" xfId="343"/>
    <cellStyle name="20% - Accent6 5 3 10" xfId="21776"/>
    <cellStyle name="20% - Accent6 5 3 11" xfId="27534"/>
    <cellStyle name="20% - Accent6 5 3 12" xfId="1712"/>
    <cellStyle name="20% - Accent6 5 3 2" xfId="723"/>
    <cellStyle name="20% - Accent6 5 3 2 10" xfId="28250"/>
    <cellStyle name="20% - Accent6 5 3 2 11" xfId="2042"/>
    <cellStyle name="20% - Accent6 5 3 2 2" xfId="1380"/>
    <cellStyle name="20% - Accent6 5 3 2 2 2" xfId="5411"/>
    <cellStyle name="20% - Accent6 5 3 2 2 2 2" xfId="10385"/>
    <cellStyle name="20% - Accent6 5 3 2 2 2 3" xfId="14662"/>
    <cellStyle name="20% - Accent6 5 3 2 2 2 4" xfId="18921"/>
    <cellStyle name="20% - Accent6 5 3 2 2 2 5" xfId="23140"/>
    <cellStyle name="20% - Accent6 5 3 2 2 2 6" xfId="27335"/>
    <cellStyle name="20% - Accent6 5 3 2 2 2 7" xfId="31231"/>
    <cellStyle name="20% - Accent6 5 3 2 2 3" xfId="8638"/>
    <cellStyle name="20% - Accent6 5 3 2 2 4" xfId="12923"/>
    <cellStyle name="20% - Accent6 5 3 2 2 5" xfId="17195"/>
    <cellStyle name="20% - Accent6 5 3 2 2 6" xfId="21430"/>
    <cellStyle name="20% - Accent6 5 3 2 2 7" xfId="25668"/>
    <cellStyle name="20% - Accent6 5 3 2 2 8" xfId="29746"/>
    <cellStyle name="20% - Accent6 5 3 2 2 9" xfId="3662"/>
    <cellStyle name="20% - Accent6 5 3 2 3" xfId="4754"/>
    <cellStyle name="20% - Accent6 5 3 2 3 2" xfId="9728"/>
    <cellStyle name="20% - Accent6 5 3 2 3 3" xfId="14005"/>
    <cellStyle name="20% - Accent6 5 3 2 3 4" xfId="18264"/>
    <cellStyle name="20% - Accent6 5 3 2 3 5" xfId="22483"/>
    <cellStyle name="20% - Accent6 5 3 2 3 6" xfId="26678"/>
    <cellStyle name="20% - Accent6 5 3 2 3 7" xfId="30574"/>
    <cellStyle name="20% - Accent6 5 3 2 4" xfId="6102"/>
    <cellStyle name="20% - Accent6 5 3 2 4 2" xfId="11074"/>
    <cellStyle name="20% - Accent6 5 3 2 4 3" xfId="15352"/>
    <cellStyle name="20% - Accent6 5 3 2 4 4" xfId="19609"/>
    <cellStyle name="20% - Accent6 5 3 2 4 5" xfId="23826"/>
    <cellStyle name="20% - Accent6 5 3 2 4 6" xfId="28012"/>
    <cellStyle name="20% - Accent6 5 3 2 4 7" xfId="31891"/>
    <cellStyle name="20% - Accent6 5 3 2 5" xfId="7020"/>
    <cellStyle name="20% - Accent6 5 3 2 6" xfId="11312"/>
    <cellStyle name="20% - Accent6 5 3 2 7" xfId="15590"/>
    <cellStyle name="20% - Accent6 5 3 2 8" xfId="19847"/>
    <cellStyle name="20% - Accent6 5 3 2 9" xfId="24098"/>
    <cellStyle name="20% - Accent6 5 3 3" xfId="1051"/>
    <cellStyle name="20% - Accent6 5 3 3 2" xfId="5082"/>
    <cellStyle name="20% - Accent6 5 3 3 2 2" xfId="10056"/>
    <cellStyle name="20% - Accent6 5 3 3 2 3" xfId="14333"/>
    <cellStyle name="20% - Accent6 5 3 3 2 4" xfId="18592"/>
    <cellStyle name="20% - Accent6 5 3 3 2 5" xfId="22811"/>
    <cellStyle name="20% - Accent6 5 3 3 2 6" xfId="27006"/>
    <cellStyle name="20% - Accent6 5 3 3 2 7" xfId="30902"/>
    <cellStyle name="20% - Accent6 5 3 3 3" xfId="7787"/>
    <cellStyle name="20% - Accent6 5 3 3 4" xfId="12076"/>
    <cellStyle name="20% - Accent6 5 3 3 5" xfId="16352"/>
    <cellStyle name="20% - Accent6 5 3 3 6" xfId="20594"/>
    <cellStyle name="20% - Accent6 5 3 3 7" xfId="24841"/>
    <cellStyle name="20% - Accent6 5 3 3 8" xfId="28939"/>
    <cellStyle name="20% - Accent6 5 3 3 9" xfId="2810"/>
    <cellStyle name="20% - Accent6 5 3 4" xfId="4424"/>
    <cellStyle name="20% - Accent6 5 3 4 2" xfId="9398"/>
    <cellStyle name="20% - Accent6 5 3 4 3" xfId="13675"/>
    <cellStyle name="20% - Accent6 5 3 4 4" xfId="17935"/>
    <cellStyle name="20% - Accent6 5 3 4 5" xfId="22153"/>
    <cellStyle name="20% - Accent6 5 3 4 6" xfId="26349"/>
    <cellStyle name="20% - Accent6 5 3 4 7" xfId="30245"/>
    <cellStyle name="20% - Accent6 5 3 5" xfId="5773"/>
    <cellStyle name="20% - Accent6 5 3 5 2" xfId="10745"/>
    <cellStyle name="20% - Accent6 5 3 5 3" xfId="15023"/>
    <cellStyle name="20% - Accent6 5 3 5 4" xfId="19280"/>
    <cellStyle name="20% - Accent6 5 3 5 5" xfId="23497"/>
    <cellStyle name="20% - Accent6 5 3 5 6" xfId="27683"/>
    <cellStyle name="20% - Accent6 5 3 5 7" xfId="31562"/>
    <cellStyle name="20% - Accent6 5 3 6" xfId="6641"/>
    <cellStyle name="20% - Accent6 5 3 7" xfId="10584"/>
    <cellStyle name="20% - Accent6 5 3 8" xfId="14861"/>
    <cellStyle name="20% - Accent6 5 3 9" xfId="19120"/>
    <cellStyle name="20% - Accent6 5 4" xfId="3231"/>
    <cellStyle name="20% - Accent6 5 4 2" xfId="8207"/>
    <cellStyle name="20% - Accent6 5 4 3" xfId="12493"/>
    <cellStyle name="20% - Accent6 5 4 4" xfId="16765"/>
    <cellStyle name="20% - Accent6 5 4 5" xfId="21003"/>
    <cellStyle name="20% - Accent6 5 4 6" xfId="25241"/>
    <cellStyle name="20% - Accent6 5 4 7" xfId="29322"/>
    <cellStyle name="20% - Accent6 5 5" xfId="2337"/>
    <cellStyle name="20% - Accent6 5 5 2" xfId="7315"/>
    <cellStyle name="20% - Accent6 5 5 3" xfId="11605"/>
    <cellStyle name="20% - Accent6 5 5 4" xfId="15883"/>
    <cellStyle name="20% - Accent6 5 5 5" xfId="20135"/>
    <cellStyle name="20% - Accent6 5 5 6" xfId="24384"/>
    <cellStyle name="20% - Accent6 5 5 7" xfId="28514"/>
    <cellStyle name="20% - Accent6 6" xfId="372"/>
    <cellStyle name="20% - Accent6 6 10" xfId="21925"/>
    <cellStyle name="20% - Accent6 6 11" xfId="26002"/>
    <cellStyle name="20% - Accent6 6 12" xfId="1735"/>
    <cellStyle name="20% - Accent6 6 2" xfId="746"/>
    <cellStyle name="20% - Accent6 6 2 10" xfId="19870"/>
    <cellStyle name="20% - Accent6 6 2 11" xfId="24121"/>
    <cellStyle name="20% - Accent6 6 2 12" xfId="28273"/>
    <cellStyle name="20% - Accent6 6 2 13" xfId="2065"/>
    <cellStyle name="20% - Accent6 6 2 2" xfId="1403"/>
    <cellStyle name="20% - Accent6 6 2 2 10" xfId="2811"/>
    <cellStyle name="20% - Accent6 6 2 2 2" xfId="3663"/>
    <cellStyle name="20% - Accent6 6 2 2 2 2" xfId="8639"/>
    <cellStyle name="20% - Accent6 6 2 2 2 3" xfId="12924"/>
    <cellStyle name="20% - Accent6 6 2 2 2 4" xfId="17196"/>
    <cellStyle name="20% - Accent6 6 2 2 2 5" xfId="21431"/>
    <cellStyle name="20% - Accent6 6 2 2 2 6" xfId="25669"/>
    <cellStyle name="20% - Accent6 6 2 2 2 7" xfId="29747"/>
    <cellStyle name="20% - Accent6 6 2 2 3" xfId="5434"/>
    <cellStyle name="20% - Accent6 6 2 2 3 2" xfId="10408"/>
    <cellStyle name="20% - Accent6 6 2 2 3 3" xfId="14685"/>
    <cellStyle name="20% - Accent6 6 2 2 3 4" xfId="18944"/>
    <cellStyle name="20% - Accent6 6 2 2 3 5" xfId="23163"/>
    <cellStyle name="20% - Accent6 6 2 2 3 6" xfId="27358"/>
    <cellStyle name="20% - Accent6 6 2 2 3 7" xfId="31254"/>
    <cellStyle name="20% - Accent6 6 2 2 4" xfId="7788"/>
    <cellStyle name="20% - Accent6 6 2 2 5" xfId="12077"/>
    <cellStyle name="20% - Accent6 6 2 2 6" xfId="16353"/>
    <cellStyle name="20% - Accent6 6 2 2 7" xfId="20595"/>
    <cellStyle name="20% - Accent6 6 2 2 8" xfId="24842"/>
    <cellStyle name="20% - Accent6 6 2 2 9" xfId="28940"/>
    <cellStyle name="20% - Accent6 6 2 3" xfId="3324"/>
    <cellStyle name="20% - Accent6 6 2 3 2" xfId="8300"/>
    <cellStyle name="20% - Accent6 6 2 3 3" xfId="12585"/>
    <cellStyle name="20% - Accent6 6 2 3 4" xfId="16857"/>
    <cellStyle name="20% - Accent6 6 2 3 5" xfId="21092"/>
    <cellStyle name="20% - Accent6 6 2 3 6" xfId="25330"/>
    <cellStyle name="20% - Accent6 6 2 3 7" xfId="29408"/>
    <cellStyle name="20% - Accent6 6 2 4" xfId="2463"/>
    <cellStyle name="20% - Accent6 6 2 4 2" xfId="7440"/>
    <cellStyle name="20% - Accent6 6 2 4 3" xfId="11729"/>
    <cellStyle name="20% - Accent6 6 2 4 4" xfId="16007"/>
    <cellStyle name="20% - Accent6 6 2 4 5" xfId="20250"/>
    <cellStyle name="20% - Accent6 6 2 4 6" xfId="24496"/>
    <cellStyle name="20% - Accent6 6 2 4 7" xfId="28601"/>
    <cellStyle name="20% - Accent6 6 2 5" xfId="4777"/>
    <cellStyle name="20% - Accent6 6 2 5 2" xfId="9751"/>
    <cellStyle name="20% - Accent6 6 2 5 3" xfId="14028"/>
    <cellStyle name="20% - Accent6 6 2 5 4" xfId="18287"/>
    <cellStyle name="20% - Accent6 6 2 5 5" xfId="22506"/>
    <cellStyle name="20% - Accent6 6 2 5 6" xfId="26701"/>
    <cellStyle name="20% - Accent6 6 2 5 7" xfId="30597"/>
    <cellStyle name="20% - Accent6 6 2 6" xfId="6125"/>
    <cellStyle name="20% - Accent6 6 2 6 2" xfId="11097"/>
    <cellStyle name="20% - Accent6 6 2 6 3" xfId="15375"/>
    <cellStyle name="20% - Accent6 6 2 6 4" xfId="19632"/>
    <cellStyle name="20% - Accent6 6 2 6 5" xfId="23849"/>
    <cellStyle name="20% - Accent6 6 2 6 6" xfId="28035"/>
    <cellStyle name="20% - Accent6 6 2 6 7" xfId="31914"/>
    <cellStyle name="20% - Accent6 6 2 7" xfId="7043"/>
    <cellStyle name="20% - Accent6 6 2 8" xfId="11335"/>
    <cellStyle name="20% - Accent6 6 2 9" xfId="15613"/>
    <cellStyle name="20% - Accent6 6 3" xfId="1074"/>
    <cellStyle name="20% - Accent6 6 3 2" xfId="5105"/>
    <cellStyle name="20% - Accent6 6 3 2 2" xfId="10079"/>
    <cellStyle name="20% - Accent6 6 3 2 3" xfId="14356"/>
    <cellStyle name="20% - Accent6 6 3 2 4" xfId="18615"/>
    <cellStyle name="20% - Accent6 6 3 2 5" xfId="22834"/>
    <cellStyle name="20% - Accent6 6 3 2 6" xfId="27029"/>
    <cellStyle name="20% - Accent6 6 3 2 7" xfId="30925"/>
    <cellStyle name="20% - Accent6 6 3 3" xfId="2366"/>
    <cellStyle name="20% - Accent6 6 4" xfId="4447"/>
    <cellStyle name="20% - Accent6 6 4 2" xfId="9421"/>
    <cellStyle name="20% - Accent6 6 4 3" xfId="13698"/>
    <cellStyle name="20% - Accent6 6 4 4" xfId="17958"/>
    <cellStyle name="20% - Accent6 6 4 5" xfId="22176"/>
    <cellStyle name="20% - Accent6 6 4 6" xfId="26372"/>
    <cellStyle name="20% - Accent6 6 4 7" xfId="30268"/>
    <cellStyle name="20% - Accent6 6 5" xfId="5796"/>
    <cellStyle name="20% - Accent6 6 5 2" xfId="10768"/>
    <cellStyle name="20% - Accent6 6 5 3" xfId="15046"/>
    <cellStyle name="20% - Accent6 6 5 4" xfId="19303"/>
    <cellStyle name="20% - Accent6 6 5 5" xfId="23520"/>
    <cellStyle name="20% - Accent6 6 5 6" xfId="27706"/>
    <cellStyle name="20% - Accent6 6 5 7" xfId="31585"/>
    <cellStyle name="20% - Accent6 6 6" xfId="6670"/>
    <cellStyle name="20% - Accent6 6 7" xfId="8981"/>
    <cellStyle name="20% - Accent6 6 8" xfId="13263"/>
    <cellStyle name="20% - Accent6 6 9" xfId="17537"/>
    <cellStyle name="20% - Accent6 7" xfId="554"/>
    <cellStyle name="20% - Accent6 7 2" xfId="2812"/>
    <cellStyle name="20% - Accent6 7 2 2" xfId="3664"/>
    <cellStyle name="20% - Accent6 7 2 2 2" xfId="8640"/>
    <cellStyle name="20% - Accent6 7 2 2 3" xfId="12925"/>
    <cellStyle name="20% - Accent6 7 2 2 4" xfId="17197"/>
    <cellStyle name="20% - Accent6 7 2 2 5" xfId="21432"/>
    <cellStyle name="20% - Accent6 7 2 2 6" xfId="25670"/>
    <cellStyle name="20% - Accent6 7 2 2 7" xfId="29748"/>
    <cellStyle name="20% - Accent6 7 2 3" xfId="7789"/>
    <cellStyle name="20% - Accent6 7 2 4" xfId="12078"/>
    <cellStyle name="20% - Accent6 7 2 5" xfId="16354"/>
    <cellStyle name="20% - Accent6 7 2 6" xfId="20596"/>
    <cellStyle name="20% - Accent6 7 2 7" xfId="24843"/>
    <cellStyle name="20% - Accent6 7 2 8" xfId="28941"/>
    <cellStyle name="20% - Accent6 7 3" xfId="3457"/>
    <cellStyle name="20% - Accent6 7 3 2" xfId="8433"/>
    <cellStyle name="20% - Accent6 7 3 3" xfId="12718"/>
    <cellStyle name="20% - Accent6 7 3 4" xfId="16990"/>
    <cellStyle name="20% - Accent6 7 3 5" xfId="21225"/>
    <cellStyle name="20% - Accent6 7 3 6" xfId="25463"/>
    <cellStyle name="20% - Accent6 7 3 7" xfId="29541"/>
    <cellStyle name="20% - Accent6 7 4" xfId="2598"/>
    <cellStyle name="20% - Accent6 7 4 2" xfId="7575"/>
    <cellStyle name="20% - Accent6 7 4 3" xfId="11864"/>
    <cellStyle name="20% - Accent6 7 4 4" xfId="16140"/>
    <cellStyle name="20% - Accent6 7 4 5" xfId="20383"/>
    <cellStyle name="20% - Accent6 7 4 6" xfId="24629"/>
    <cellStyle name="20% - Accent6 7 4 7" xfId="28734"/>
    <cellStyle name="20% - Accent6 8" xfId="2813"/>
    <cellStyle name="40% - Accent1" xfId="7" builtinId="31" customBuiltin="1"/>
    <cellStyle name="40% - Accent1 2" xfId="75"/>
    <cellStyle name="40% - Accent1 2 10" xfId="4292"/>
    <cellStyle name="40% - Accent1 2 10 2" xfId="9266"/>
    <cellStyle name="40% - Accent1 2 10 3" xfId="13543"/>
    <cellStyle name="40% - Accent1 2 10 4" xfId="17803"/>
    <cellStyle name="40% - Accent1 2 10 5" xfId="22022"/>
    <cellStyle name="40% - Accent1 2 10 6" xfId="26220"/>
    <cellStyle name="40% - Accent1 2 10 7" xfId="30117"/>
    <cellStyle name="40% - Accent1 2 11" xfId="5648"/>
    <cellStyle name="40% - Accent1 2 11 2" xfId="10620"/>
    <cellStyle name="40% - Accent1 2 11 3" xfId="14898"/>
    <cellStyle name="40% - Accent1 2 11 4" xfId="19155"/>
    <cellStyle name="40% - Accent1 2 11 5" xfId="23372"/>
    <cellStyle name="40% - Accent1 2 11 6" xfId="27558"/>
    <cellStyle name="40% - Accent1 2 11 7" xfId="31437"/>
    <cellStyle name="40% - Accent1 2 12" xfId="6375"/>
    <cellStyle name="40% - Accent1 2 13" xfId="8096"/>
    <cellStyle name="40% - Accent1 2 14" xfId="12384"/>
    <cellStyle name="40% - Accent1 2 15" xfId="16659"/>
    <cellStyle name="40% - Accent1 2 16" xfId="6480"/>
    <cellStyle name="40% - Accent1 2 17" xfId="25139"/>
    <cellStyle name="40% - Accent1 2 18" xfId="1582"/>
    <cellStyle name="40% - Accent1 2 2" xfId="167"/>
    <cellStyle name="40% - Accent1 2 2 10" xfId="5680"/>
    <cellStyle name="40% - Accent1 2 2 10 2" xfId="10652"/>
    <cellStyle name="40% - Accent1 2 2 10 3" xfId="14930"/>
    <cellStyle name="40% - Accent1 2 2 10 4" xfId="19187"/>
    <cellStyle name="40% - Accent1 2 2 10 5" xfId="23404"/>
    <cellStyle name="40% - Accent1 2 2 10 6" xfId="27590"/>
    <cellStyle name="40% - Accent1 2 2 10 7" xfId="31469"/>
    <cellStyle name="40% - Accent1 2 2 11" xfId="6466"/>
    <cellStyle name="40% - Accent1 2 2 12" xfId="6882"/>
    <cellStyle name="40% - Accent1 2 2 13" xfId="6856"/>
    <cellStyle name="40% - Accent1 2 2 14" xfId="6570"/>
    <cellStyle name="40% - Accent1 2 2 15" xfId="16459"/>
    <cellStyle name="40% - Accent1 2 2 16" xfId="20385"/>
    <cellStyle name="40% - Accent1 2 2 17" xfId="1615"/>
    <cellStyle name="40% - Accent1 2 2 2" xfId="311"/>
    <cellStyle name="40% - Accent1 2 2 2 10" xfId="13476"/>
    <cellStyle name="40% - Accent1 2 2 2 11" xfId="17739"/>
    <cellStyle name="40% - Accent1 2 2 2 12" xfId="21816"/>
    <cellStyle name="40% - Accent1 2 2 2 13" xfId="26164"/>
    <cellStyle name="40% - Accent1 2 2 2 14" xfId="1683"/>
    <cellStyle name="40% - Accent1 2 2 2 2" xfId="475"/>
    <cellStyle name="40% - Accent1 2 2 2 2 10" xfId="16771"/>
    <cellStyle name="40% - Accent1 2 2 2 2 11" xfId="17626"/>
    <cellStyle name="40% - Accent1 2 2 2 2 12" xfId="25247"/>
    <cellStyle name="40% - Accent1 2 2 2 2 13" xfId="1838"/>
    <cellStyle name="40% - Accent1 2 2 2 2 2" xfId="849"/>
    <cellStyle name="40% - Accent1 2 2 2 2 2 10" xfId="24224"/>
    <cellStyle name="40% - Accent1 2 2 2 2 2 11" xfId="28376"/>
    <cellStyle name="40% - Accent1 2 2 2 2 2 12" xfId="2168"/>
    <cellStyle name="40% - Accent1 2 2 2 2 2 2" xfId="1506"/>
    <cellStyle name="40% - Accent1 2 2 2 2 2 2 2" xfId="5537"/>
    <cellStyle name="40% - Accent1 2 2 2 2 2 2 2 2" xfId="10511"/>
    <cellStyle name="40% - Accent1 2 2 2 2 2 2 2 3" xfId="14788"/>
    <cellStyle name="40% - Accent1 2 2 2 2 2 2 2 4" xfId="19047"/>
    <cellStyle name="40% - Accent1 2 2 2 2 2 2 2 5" xfId="23266"/>
    <cellStyle name="40% - Accent1 2 2 2 2 2 2 2 6" xfId="27461"/>
    <cellStyle name="40% - Accent1 2 2 2 2 2 2 2 7" xfId="31357"/>
    <cellStyle name="40% - Accent1 2 2 2 2 2 2 3" xfId="8641"/>
    <cellStyle name="40% - Accent1 2 2 2 2 2 2 4" xfId="12926"/>
    <cellStyle name="40% - Accent1 2 2 2 2 2 2 5" xfId="17198"/>
    <cellStyle name="40% - Accent1 2 2 2 2 2 2 6" xfId="21433"/>
    <cellStyle name="40% - Accent1 2 2 2 2 2 2 7" xfId="25671"/>
    <cellStyle name="40% - Accent1 2 2 2 2 2 2 8" xfId="29749"/>
    <cellStyle name="40% - Accent1 2 2 2 2 2 2 9" xfId="3665"/>
    <cellStyle name="40% - Accent1 2 2 2 2 2 3" xfId="2814"/>
    <cellStyle name="40% - Accent1 2 2 2 2 2 3 2" xfId="7791"/>
    <cellStyle name="40% - Accent1 2 2 2 2 2 3 3" xfId="12080"/>
    <cellStyle name="40% - Accent1 2 2 2 2 2 3 4" xfId="16356"/>
    <cellStyle name="40% - Accent1 2 2 2 2 2 3 5" xfId="20597"/>
    <cellStyle name="40% - Accent1 2 2 2 2 2 3 6" xfId="24845"/>
    <cellStyle name="40% - Accent1 2 2 2 2 2 3 7" xfId="28942"/>
    <cellStyle name="40% - Accent1 2 2 2 2 2 4" xfId="4880"/>
    <cellStyle name="40% - Accent1 2 2 2 2 2 4 2" xfId="9854"/>
    <cellStyle name="40% - Accent1 2 2 2 2 2 4 3" xfId="14131"/>
    <cellStyle name="40% - Accent1 2 2 2 2 2 4 4" xfId="18390"/>
    <cellStyle name="40% - Accent1 2 2 2 2 2 4 5" xfId="22609"/>
    <cellStyle name="40% - Accent1 2 2 2 2 2 4 6" xfId="26804"/>
    <cellStyle name="40% - Accent1 2 2 2 2 2 4 7" xfId="30700"/>
    <cellStyle name="40% - Accent1 2 2 2 2 2 5" xfId="6228"/>
    <cellStyle name="40% - Accent1 2 2 2 2 2 5 2" xfId="11200"/>
    <cellStyle name="40% - Accent1 2 2 2 2 2 5 3" xfId="15478"/>
    <cellStyle name="40% - Accent1 2 2 2 2 2 5 4" xfId="19735"/>
    <cellStyle name="40% - Accent1 2 2 2 2 2 5 5" xfId="23952"/>
    <cellStyle name="40% - Accent1 2 2 2 2 2 5 6" xfId="28138"/>
    <cellStyle name="40% - Accent1 2 2 2 2 2 5 7" xfId="32017"/>
    <cellStyle name="40% - Accent1 2 2 2 2 2 6" xfId="7146"/>
    <cellStyle name="40% - Accent1 2 2 2 2 2 7" xfId="11438"/>
    <cellStyle name="40% - Accent1 2 2 2 2 2 8" xfId="15716"/>
    <cellStyle name="40% - Accent1 2 2 2 2 2 9" xfId="19973"/>
    <cellStyle name="40% - Accent1 2 2 2 2 3" xfId="1177"/>
    <cellStyle name="40% - Accent1 2 2 2 2 3 2" xfId="5208"/>
    <cellStyle name="40% - Accent1 2 2 2 2 3 2 2" xfId="10182"/>
    <cellStyle name="40% - Accent1 2 2 2 2 3 2 3" xfId="14459"/>
    <cellStyle name="40% - Accent1 2 2 2 2 3 2 4" xfId="18718"/>
    <cellStyle name="40% - Accent1 2 2 2 2 3 2 5" xfId="22937"/>
    <cellStyle name="40% - Accent1 2 2 2 2 3 2 6" xfId="27132"/>
    <cellStyle name="40% - Accent1 2 2 2 2 3 2 7" xfId="31028"/>
    <cellStyle name="40% - Accent1 2 2 2 2 3 3" xfId="8403"/>
    <cellStyle name="40% - Accent1 2 2 2 2 3 4" xfId="12688"/>
    <cellStyle name="40% - Accent1 2 2 2 2 3 5" xfId="16960"/>
    <cellStyle name="40% - Accent1 2 2 2 2 3 6" xfId="21195"/>
    <cellStyle name="40% - Accent1 2 2 2 2 3 7" xfId="25433"/>
    <cellStyle name="40% - Accent1 2 2 2 2 3 8" xfId="29511"/>
    <cellStyle name="40% - Accent1 2 2 2 2 3 9" xfId="3427"/>
    <cellStyle name="40% - Accent1 2 2 2 2 4" xfId="2566"/>
    <cellStyle name="40% - Accent1 2 2 2 2 4 2" xfId="7543"/>
    <cellStyle name="40% - Accent1 2 2 2 2 4 3" xfId="11832"/>
    <cellStyle name="40% - Accent1 2 2 2 2 4 4" xfId="16110"/>
    <cellStyle name="40% - Accent1 2 2 2 2 4 5" xfId="20353"/>
    <cellStyle name="40% - Accent1 2 2 2 2 4 6" xfId="24599"/>
    <cellStyle name="40% - Accent1 2 2 2 2 4 7" xfId="28704"/>
    <cellStyle name="40% - Accent1 2 2 2 2 5" xfId="4550"/>
    <cellStyle name="40% - Accent1 2 2 2 2 5 2" xfId="9524"/>
    <cellStyle name="40% - Accent1 2 2 2 2 5 3" xfId="13801"/>
    <cellStyle name="40% - Accent1 2 2 2 2 5 4" xfId="18061"/>
    <cellStyle name="40% - Accent1 2 2 2 2 5 5" xfId="22279"/>
    <cellStyle name="40% - Accent1 2 2 2 2 5 6" xfId="26475"/>
    <cellStyle name="40% - Accent1 2 2 2 2 5 7" xfId="30371"/>
    <cellStyle name="40% - Accent1 2 2 2 2 6" xfId="5899"/>
    <cellStyle name="40% - Accent1 2 2 2 2 6 2" xfId="10871"/>
    <cellStyle name="40% - Accent1 2 2 2 2 6 3" xfId="15149"/>
    <cellStyle name="40% - Accent1 2 2 2 2 6 4" xfId="19406"/>
    <cellStyle name="40% - Accent1 2 2 2 2 6 5" xfId="23623"/>
    <cellStyle name="40% - Accent1 2 2 2 2 6 6" xfId="27809"/>
    <cellStyle name="40% - Accent1 2 2 2 2 6 7" xfId="31688"/>
    <cellStyle name="40% - Accent1 2 2 2 2 7" xfId="6773"/>
    <cellStyle name="40% - Accent1 2 2 2 2 8" xfId="8213"/>
    <cellStyle name="40% - Accent1 2 2 2 2 9" xfId="12499"/>
    <cellStyle name="40% - Accent1 2 2 2 3" xfId="694"/>
    <cellStyle name="40% - Accent1 2 2 2 3 10" xfId="24069"/>
    <cellStyle name="40% - Accent1 2 2 2 3 11" xfId="28221"/>
    <cellStyle name="40% - Accent1 2 2 2 3 12" xfId="2013"/>
    <cellStyle name="40% - Accent1 2 2 2 3 2" xfId="1351"/>
    <cellStyle name="40% - Accent1 2 2 2 3 2 2" xfId="5382"/>
    <cellStyle name="40% - Accent1 2 2 2 3 2 2 2" xfId="10356"/>
    <cellStyle name="40% - Accent1 2 2 2 3 2 2 3" xfId="14633"/>
    <cellStyle name="40% - Accent1 2 2 2 3 2 2 4" xfId="18892"/>
    <cellStyle name="40% - Accent1 2 2 2 3 2 2 5" xfId="23111"/>
    <cellStyle name="40% - Accent1 2 2 2 3 2 2 6" xfId="27306"/>
    <cellStyle name="40% - Accent1 2 2 2 3 2 2 7" xfId="31202"/>
    <cellStyle name="40% - Accent1 2 2 2 3 2 3" xfId="8642"/>
    <cellStyle name="40% - Accent1 2 2 2 3 2 4" xfId="12927"/>
    <cellStyle name="40% - Accent1 2 2 2 3 2 5" xfId="17199"/>
    <cellStyle name="40% - Accent1 2 2 2 3 2 6" xfId="21434"/>
    <cellStyle name="40% - Accent1 2 2 2 3 2 7" xfId="25672"/>
    <cellStyle name="40% - Accent1 2 2 2 3 2 8" xfId="29750"/>
    <cellStyle name="40% - Accent1 2 2 2 3 2 9" xfId="3666"/>
    <cellStyle name="40% - Accent1 2 2 2 3 3" xfId="2815"/>
    <cellStyle name="40% - Accent1 2 2 2 3 3 2" xfId="7792"/>
    <cellStyle name="40% - Accent1 2 2 2 3 3 3" xfId="12081"/>
    <cellStyle name="40% - Accent1 2 2 2 3 3 4" xfId="16357"/>
    <cellStyle name="40% - Accent1 2 2 2 3 3 5" xfId="20598"/>
    <cellStyle name="40% - Accent1 2 2 2 3 3 6" xfId="24846"/>
    <cellStyle name="40% - Accent1 2 2 2 3 3 7" xfId="28943"/>
    <cellStyle name="40% - Accent1 2 2 2 3 4" xfId="4725"/>
    <cellStyle name="40% - Accent1 2 2 2 3 4 2" xfId="9699"/>
    <cellStyle name="40% - Accent1 2 2 2 3 4 3" xfId="13976"/>
    <cellStyle name="40% - Accent1 2 2 2 3 4 4" xfId="18235"/>
    <cellStyle name="40% - Accent1 2 2 2 3 4 5" xfId="22454"/>
    <cellStyle name="40% - Accent1 2 2 2 3 4 6" xfId="26649"/>
    <cellStyle name="40% - Accent1 2 2 2 3 4 7" xfId="30545"/>
    <cellStyle name="40% - Accent1 2 2 2 3 5" xfId="6073"/>
    <cellStyle name="40% - Accent1 2 2 2 3 5 2" xfId="11045"/>
    <cellStyle name="40% - Accent1 2 2 2 3 5 3" xfId="15323"/>
    <cellStyle name="40% - Accent1 2 2 2 3 5 4" xfId="19580"/>
    <cellStyle name="40% - Accent1 2 2 2 3 5 5" xfId="23797"/>
    <cellStyle name="40% - Accent1 2 2 2 3 5 6" xfId="27983"/>
    <cellStyle name="40% - Accent1 2 2 2 3 5 7" xfId="31862"/>
    <cellStyle name="40% - Accent1 2 2 2 3 6" xfId="6991"/>
    <cellStyle name="40% - Accent1 2 2 2 3 7" xfId="11283"/>
    <cellStyle name="40% - Accent1 2 2 2 3 8" xfId="15561"/>
    <cellStyle name="40% - Accent1 2 2 2 3 9" xfId="19818"/>
    <cellStyle name="40% - Accent1 2 2 2 4" xfId="1022"/>
    <cellStyle name="40% - Accent1 2 2 2 4 2" xfId="5053"/>
    <cellStyle name="40% - Accent1 2 2 2 4 2 2" xfId="10027"/>
    <cellStyle name="40% - Accent1 2 2 2 4 2 3" xfId="14304"/>
    <cellStyle name="40% - Accent1 2 2 2 4 2 4" xfId="18563"/>
    <cellStyle name="40% - Accent1 2 2 2 4 2 5" xfId="22782"/>
    <cellStyle name="40% - Accent1 2 2 2 4 2 6" xfId="26977"/>
    <cellStyle name="40% - Accent1 2 2 2 4 2 7" xfId="30873"/>
    <cellStyle name="40% - Accent1 2 2 2 4 3" xfId="8251"/>
    <cellStyle name="40% - Accent1 2 2 2 4 4" xfId="12536"/>
    <cellStyle name="40% - Accent1 2 2 2 4 5" xfId="16809"/>
    <cellStyle name="40% - Accent1 2 2 2 4 6" xfId="21045"/>
    <cellStyle name="40% - Accent1 2 2 2 4 7" xfId="25283"/>
    <cellStyle name="40% - Accent1 2 2 2 4 8" xfId="29361"/>
    <cellStyle name="40% - Accent1 2 2 2 4 9" xfId="3275"/>
    <cellStyle name="40% - Accent1 2 2 2 5" xfId="2391"/>
    <cellStyle name="40% - Accent1 2 2 2 5 2" xfId="7369"/>
    <cellStyle name="40% - Accent1 2 2 2 5 3" xfId="11658"/>
    <cellStyle name="40% - Accent1 2 2 2 5 4" xfId="15936"/>
    <cellStyle name="40% - Accent1 2 2 2 5 5" xfId="20185"/>
    <cellStyle name="40% - Accent1 2 2 2 5 6" xfId="24433"/>
    <cellStyle name="40% - Accent1 2 2 2 5 7" xfId="28553"/>
    <cellStyle name="40% - Accent1 2 2 2 6" xfId="4395"/>
    <cellStyle name="40% - Accent1 2 2 2 6 2" xfId="9369"/>
    <cellStyle name="40% - Accent1 2 2 2 6 3" xfId="13646"/>
    <cellStyle name="40% - Accent1 2 2 2 6 4" xfId="17906"/>
    <cellStyle name="40% - Accent1 2 2 2 6 5" xfId="22124"/>
    <cellStyle name="40% - Accent1 2 2 2 6 6" xfId="26320"/>
    <cellStyle name="40% - Accent1 2 2 2 6 7" xfId="30216"/>
    <cellStyle name="40% - Accent1 2 2 2 7" xfId="5744"/>
    <cellStyle name="40% - Accent1 2 2 2 7 2" xfId="10716"/>
    <cellStyle name="40% - Accent1 2 2 2 7 3" xfId="14994"/>
    <cellStyle name="40% - Accent1 2 2 2 7 4" xfId="19251"/>
    <cellStyle name="40% - Accent1 2 2 2 7 5" xfId="23468"/>
    <cellStyle name="40% - Accent1 2 2 2 7 6" xfId="27654"/>
    <cellStyle name="40% - Accent1 2 2 2 7 7" xfId="31533"/>
    <cellStyle name="40% - Accent1 2 2 2 8" xfId="6609"/>
    <cellStyle name="40% - Accent1 2 2 2 9" xfId="9198"/>
    <cellStyle name="40% - Accent1 2 2 3" xfId="414"/>
    <cellStyle name="40% - Accent1 2 2 3 10" xfId="17653"/>
    <cellStyle name="40% - Accent1 2 2 3 11" xfId="21886"/>
    <cellStyle name="40% - Accent1 2 2 3 12" xfId="26098"/>
    <cellStyle name="40% - Accent1 2 2 3 13" xfId="1777"/>
    <cellStyle name="40% - Accent1 2 2 3 2" xfId="788"/>
    <cellStyle name="40% - Accent1 2 2 3 2 10" xfId="24163"/>
    <cellStyle name="40% - Accent1 2 2 3 2 11" xfId="28315"/>
    <cellStyle name="40% - Accent1 2 2 3 2 12" xfId="2107"/>
    <cellStyle name="40% - Accent1 2 2 3 2 2" xfId="1445"/>
    <cellStyle name="40% - Accent1 2 2 3 2 2 2" xfId="5476"/>
    <cellStyle name="40% - Accent1 2 2 3 2 2 2 2" xfId="10450"/>
    <cellStyle name="40% - Accent1 2 2 3 2 2 2 3" xfId="14727"/>
    <cellStyle name="40% - Accent1 2 2 3 2 2 2 4" xfId="18986"/>
    <cellStyle name="40% - Accent1 2 2 3 2 2 2 5" xfId="23205"/>
    <cellStyle name="40% - Accent1 2 2 3 2 2 2 6" xfId="27400"/>
    <cellStyle name="40% - Accent1 2 2 3 2 2 2 7" xfId="31296"/>
    <cellStyle name="40% - Accent1 2 2 3 2 2 3" xfId="8643"/>
    <cellStyle name="40% - Accent1 2 2 3 2 2 4" xfId="12928"/>
    <cellStyle name="40% - Accent1 2 2 3 2 2 5" xfId="17200"/>
    <cellStyle name="40% - Accent1 2 2 3 2 2 6" xfId="21435"/>
    <cellStyle name="40% - Accent1 2 2 3 2 2 7" xfId="25673"/>
    <cellStyle name="40% - Accent1 2 2 3 2 2 8" xfId="29751"/>
    <cellStyle name="40% - Accent1 2 2 3 2 2 9" xfId="3667"/>
    <cellStyle name="40% - Accent1 2 2 3 2 3" xfId="2816"/>
    <cellStyle name="40% - Accent1 2 2 3 2 3 2" xfId="7793"/>
    <cellStyle name="40% - Accent1 2 2 3 2 3 3" xfId="12082"/>
    <cellStyle name="40% - Accent1 2 2 3 2 3 4" xfId="16358"/>
    <cellStyle name="40% - Accent1 2 2 3 2 3 5" xfId="20599"/>
    <cellStyle name="40% - Accent1 2 2 3 2 3 6" xfId="24847"/>
    <cellStyle name="40% - Accent1 2 2 3 2 3 7" xfId="28944"/>
    <cellStyle name="40% - Accent1 2 2 3 2 4" xfId="4819"/>
    <cellStyle name="40% - Accent1 2 2 3 2 4 2" xfId="9793"/>
    <cellStyle name="40% - Accent1 2 2 3 2 4 3" xfId="14070"/>
    <cellStyle name="40% - Accent1 2 2 3 2 4 4" xfId="18329"/>
    <cellStyle name="40% - Accent1 2 2 3 2 4 5" xfId="22548"/>
    <cellStyle name="40% - Accent1 2 2 3 2 4 6" xfId="26743"/>
    <cellStyle name="40% - Accent1 2 2 3 2 4 7" xfId="30639"/>
    <cellStyle name="40% - Accent1 2 2 3 2 5" xfId="6167"/>
    <cellStyle name="40% - Accent1 2 2 3 2 5 2" xfId="11139"/>
    <cellStyle name="40% - Accent1 2 2 3 2 5 3" xfId="15417"/>
    <cellStyle name="40% - Accent1 2 2 3 2 5 4" xfId="19674"/>
    <cellStyle name="40% - Accent1 2 2 3 2 5 5" xfId="23891"/>
    <cellStyle name="40% - Accent1 2 2 3 2 5 6" xfId="28077"/>
    <cellStyle name="40% - Accent1 2 2 3 2 5 7" xfId="31956"/>
    <cellStyle name="40% - Accent1 2 2 3 2 6" xfId="7085"/>
    <cellStyle name="40% - Accent1 2 2 3 2 7" xfId="11377"/>
    <cellStyle name="40% - Accent1 2 2 3 2 8" xfId="15655"/>
    <cellStyle name="40% - Accent1 2 2 3 2 9" xfId="19912"/>
    <cellStyle name="40% - Accent1 2 2 3 3" xfId="1116"/>
    <cellStyle name="40% - Accent1 2 2 3 3 2" xfId="5147"/>
    <cellStyle name="40% - Accent1 2 2 3 3 2 2" xfId="10121"/>
    <cellStyle name="40% - Accent1 2 2 3 3 2 3" xfId="14398"/>
    <cellStyle name="40% - Accent1 2 2 3 3 2 4" xfId="18657"/>
    <cellStyle name="40% - Accent1 2 2 3 3 2 5" xfId="22876"/>
    <cellStyle name="40% - Accent1 2 2 3 3 2 6" xfId="27071"/>
    <cellStyle name="40% - Accent1 2 2 3 3 2 7" xfId="30967"/>
    <cellStyle name="40% - Accent1 2 2 3 3 3" xfId="8342"/>
    <cellStyle name="40% - Accent1 2 2 3 3 4" xfId="12627"/>
    <cellStyle name="40% - Accent1 2 2 3 3 5" xfId="16899"/>
    <cellStyle name="40% - Accent1 2 2 3 3 6" xfId="21134"/>
    <cellStyle name="40% - Accent1 2 2 3 3 7" xfId="25372"/>
    <cellStyle name="40% - Accent1 2 2 3 3 8" xfId="29450"/>
    <cellStyle name="40% - Accent1 2 2 3 3 9" xfId="3366"/>
    <cellStyle name="40% - Accent1 2 2 3 4" xfId="2505"/>
    <cellStyle name="40% - Accent1 2 2 3 4 2" xfId="7482"/>
    <cellStyle name="40% - Accent1 2 2 3 4 3" xfId="11771"/>
    <cellStyle name="40% - Accent1 2 2 3 4 4" xfId="16049"/>
    <cellStyle name="40% - Accent1 2 2 3 4 5" xfId="20292"/>
    <cellStyle name="40% - Accent1 2 2 3 4 6" xfId="24538"/>
    <cellStyle name="40% - Accent1 2 2 3 4 7" xfId="28643"/>
    <cellStyle name="40% - Accent1 2 2 3 5" xfId="4489"/>
    <cellStyle name="40% - Accent1 2 2 3 5 2" xfId="9463"/>
    <cellStyle name="40% - Accent1 2 2 3 5 3" xfId="13740"/>
    <cellStyle name="40% - Accent1 2 2 3 5 4" xfId="18000"/>
    <cellStyle name="40% - Accent1 2 2 3 5 5" xfId="22218"/>
    <cellStyle name="40% - Accent1 2 2 3 5 6" xfId="26414"/>
    <cellStyle name="40% - Accent1 2 2 3 5 7" xfId="30310"/>
    <cellStyle name="40% - Accent1 2 2 3 6" xfId="5838"/>
    <cellStyle name="40% - Accent1 2 2 3 6 2" xfId="10810"/>
    <cellStyle name="40% - Accent1 2 2 3 6 3" xfId="15088"/>
    <cellStyle name="40% - Accent1 2 2 3 6 4" xfId="19345"/>
    <cellStyle name="40% - Accent1 2 2 3 6 5" xfId="23562"/>
    <cellStyle name="40% - Accent1 2 2 3 6 6" xfId="27748"/>
    <cellStyle name="40% - Accent1 2 2 3 6 7" xfId="31627"/>
    <cellStyle name="40% - Accent1 2 2 3 7" xfId="6712"/>
    <cellStyle name="40% - Accent1 2 2 3 8" xfId="9104"/>
    <cellStyle name="40% - Accent1 2 2 3 9" xfId="13385"/>
    <cellStyle name="40% - Accent1 2 2 4" xfId="528"/>
    <cellStyle name="40% - Accent1 2 2 4 10" xfId="9151"/>
    <cellStyle name="40% - Accent1 2 2 4 11" xfId="14886"/>
    <cellStyle name="40% - Accent1 2 2 4 12" xfId="21825"/>
    <cellStyle name="40% - Accent1 2 2 4 13" xfId="1891"/>
    <cellStyle name="40% - Accent1 2 2 4 2" xfId="902"/>
    <cellStyle name="40% - Accent1 2 2 4 2 10" xfId="24277"/>
    <cellStyle name="40% - Accent1 2 2 4 2 11" xfId="28429"/>
    <cellStyle name="40% - Accent1 2 2 4 2 12" xfId="2221"/>
    <cellStyle name="40% - Accent1 2 2 4 2 2" xfId="1559"/>
    <cellStyle name="40% - Accent1 2 2 4 2 2 2" xfId="5590"/>
    <cellStyle name="40% - Accent1 2 2 4 2 2 2 2" xfId="10564"/>
    <cellStyle name="40% - Accent1 2 2 4 2 2 2 3" xfId="14841"/>
    <cellStyle name="40% - Accent1 2 2 4 2 2 2 4" xfId="19100"/>
    <cellStyle name="40% - Accent1 2 2 4 2 2 2 5" xfId="23319"/>
    <cellStyle name="40% - Accent1 2 2 4 2 2 2 6" xfId="27514"/>
    <cellStyle name="40% - Accent1 2 2 4 2 2 2 7" xfId="31410"/>
    <cellStyle name="40% - Accent1 2 2 4 2 2 3" xfId="8644"/>
    <cellStyle name="40% - Accent1 2 2 4 2 2 4" xfId="12929"/>
    <cellStyle name="40% - Accent1 2 2 4 2 2 5" xfId="17201"/>
    <cellStyle name="40% - Accent1 2 2 4 2 2 6" xfId="21436"/>
    <cellStyle name="40% - Accent1 2 2 4 2 2 7" xfId="25674"/>
    <cellStyle name="40% - Accent1 2 2 4 2 2 8" xfId="29752"/>
    <cellStyle name="40% - Accent1 2 2 4 2 2 9" xfId="3668"/>
    <cellStyle name="40% - Accent1 2 2 4 2 3" xfId="2817"/>
    <cellStyle name="40% - Accent1 2 2 4 2 3 2" xfId="7794"/>
    <cellStyle name="40% - Accent1 2 2 4 2 3 3" xfId="12083"/>
    <cellStyle name="40% - Accent1 2 2 4 2 3 4" xfId="16359"/>
    <cellStyle name="40% - Accent1 2 2 4 2 3 5" xfId="20600"/>
    <cellStyle name="40% - Accent1 2 2 4 2 3 6" xfId="24848"/>
    <cellStyle name="40% - Accent1 2 2 4 2 3 7" xfId="28945"/>
    <cellStyle name="40% - Accent1 2 2 4 2 4" xfId="4933"/>
    <cellStyle name="40% - Accent1 2 2 4 2 4 2" xfId="9907"/>
    <cellStyle name="40% - Accent1 2 2 4 2 4 3" xfId="14184"/>
    <cellStyle name="40% - Accent1 2 2 4 2 4 4" xfId="18443"/>
    <cellStyle name="40% - Accent1 2 2 4 2 4 5" xfId="22662"/>
    <cellStyle name="40% - Accent1 2 2 4 2 4 6" xfId="26857"/>
    <cellStyle name="40% - Accent1 2 2 4 2 4 7" xfId="30753"/>
    <cellStyle name="40% - Accent1 2 2 4 2 5" xfId="6281"/>
    <cellStyle name="40% - Accent1 2 2 4 2 5 2" xfId="11253"/>
    <cellStyle name="40% - Accent1 2 2 4 2 5 3" xfId="15531"/>
    <cellStyle name="40% - Accent1 2 2 4 2 5 4" xfId="19788"/>
    <cellStyle name="40% - Accent1 2 2 4 2 5 5" xfId="24005"/>
    <cellStyle name="40% - Accent1 2 2 4 2 5 6" xfId="28191"/>
    <cellStyle name="40% - Accent1 2 2 4 2 5 7" xfId="32070"/>
    <cellStyle name="40% - Accent1 2 2 4 2 6" xfId="7199"/>
    <cellStyle name="40% - Accent1 2 2 4 2 7" xfId="11491"/>
    <cellStyle name="40% - Accent1 2 2 4 2 8" xfId="15769"/>
    <cellStyle name="40% - Accent1 2 2 4 2 9" xfId="20026"/>
    <cellStyle name="40% - Accent1 2 2 4 3" xfId="1230"/>
    <cellStyle name="40% - Accent1 2 2 4 3 2" xfId="5261"/>
    <cellStyle name="40% - Accent1 2 2 4 3 2 2" xfId="10235"/>
    <cellStyle name="40% - Accent1 2 2 4 3 2 3" xfId="14512"/>
    <cellStyle name="40% - Accent1 2 2 4 3 2 4" xfId="18771"/>
    <cellStyle name="40% - Accent1 2 2 4 3 2 5" xfId="22990"/>
    <cellStyle name="40% - Accent1 2 2 4 3 2 6" xfId="27185"/>
    <cellStyle name="40% - Accent1 2 2 4 3 2 7" xfId="31081"/>
    <cellStyle name="40% - Accent1 2 2 4 3 3" xfId="8470"/>
    <cellStyle name="40% - Accent1 2 2 4 3 4" xfId="12755"/>
    <cellStyle name="40% - Accent1 2 2 4 3 5" xfId="17027"/>
    <cellStyle name="40% - Accent1 2 2 4 3 6" xfId="21262"/>
    <cellStyle name="40% - Accent1 2 2 4 3 7" xfId="25500"/>
    <cellStyle name="40% - Accent1 2 2 4 3 8" xfId="29578"/>
    <cellStyle name="40% - Accent1 2 2 4 3 9" xfId="3494"/>
    <cellStyle name="40% - Accent1 2 2 4 4" xfId="2637"/>
    <cellStyle name="40% - Accent1 2 2 4 4 2" xfId="7614"/>
    <cellStyle name="40% - Accent1 2 2 4 4 3" xfId="11903"/>
    <cellStyle name="40% - Accent1 2 2 4 4 4" xfId="16179"/>
    <cellStyle name="40% - Accent1 2 2 4 4 5" xfId="20421"/>
    <cellStyle name="40% - Accent1 2 2 4 4 6" xfId="24668"/>
    <cellStyle name="40% - Accent1 2 2 4 4 7" xfId="28771"/>
    <cellStyle name="40% - Accent1 2 2 4 5" xfId="4603"/>
    <cellStyle name="40% - Accent1 2 2 4 5 2" xfId="9577"/>
    <cellStyle name="40% - Accent1 2 2 4 5 3" xfId="13854"/>
    <cellStyle name="40% - Accent1 2 2 4 5 4" xfId="18114"/>
    <cellStyle name="40% - Accent1 2 2 4 5 5" xfId="22332"/>
    <cellStyle name="40% - Accent1 2 2 4 5 6" xfId="26528"/>
    <cellStyle name="40% - Accent1 2 2 4 5 7" xfId="30424"/>
    <cellStyle name="40% - Accent1 2 2 4 6" xfId="5952"/>
    <cellStyle name="40% - Accent1 2 2 4 6 2" xfId="10924"/>
    <cellStyle name="40% - Accent1 2 2 4 6 3" xfId="15202"/>
    <cellStyle name="40% - Accent1 2 2 4 6 4" xfId="19459"/>
    <cellStyle name="40% - Accent1 2 2 4 6 5" xfId="23676"/>
    <cellStyle name="40% - Accent1 2 2 4 6 6" xfId="27862"/>
    <cellStyle name="40% - Accent1 2 2 4 6 7" xfId="31741"/>
    <cellStyle name="40% - Accent1 2 2 4 7" xfId="6826"/>
    <cellStyle name="40% - Accent1 2 2 4 8" xfId="6512"/>
    <cellStyle name="40% - Accent1 2 2 4 9" xfId="6879"/>
    <cellStyle name="40% - Accent1 2 2 5" xfId="629"/>
    <cellStyle name="40% - Accent1 2 2 5 10" xfId="17776"/>
    <cellStyle name="40% - Accent1 2 2 5 11" xfId="20493"/>
    <cellStyle name="40% - Accent1 2 2 5 12" xfId="26195"/>
    <cellStyle name="40% - Accent1 2 2 5 13" xfId="1948"/>
    <cellStyle name="40% - Accent1 2 2 5 2" xfId="1286"/>
    <cellStyle name="40% - Accent1 2 2 5 2 10" xfId="2819"/>
    <cellStyle name="40% - Accent1 2 2 5 2 2" xfId="3670"/>
    <cellStyle name="40% - Accent1 2 2 5 2 2 2" xfId="8646"/>
    <cellStyle name="40% - Accent1 2 2 5 2 2 3" xfId="12931"/>
    <cellStyle name="40% - Accent1 2 2 5 2 2 4" xfId="17203"/>
    <cellStyle name="40% - Accent1 2 2 5 2 2 5" xfId="21438"/>
    <cellStyle name="40% - Accent1 2 2 5 2 2 6" xfId="25676"/>
    <cellStyle name="40% - Accent1 2 2 5 2 2 7" xfId="29754"/>
    <cellStyle name="40% - Accent1 2 2 5 2 3" xfId="5317"/>
    <cellStyle name="40% - Accent1 2 2 5 2 3 2" xfId="10291"/>
    <cellStyle name="40% - Accent1 2 2 5 2 3 3" xfId="14568"/>
    <cellStyle name="40% - Accent1 2 2 5 2 3 4" xfId="18827"/>
    <cellStyle name="40% - Accent1 2 2 5 2 3 5" xfId="23046"/>
    <cellStyle name="40% - Accent1 2 2 5 2 3 6" xfId="27241"/>
    <cellStyle name="40% - Accent1 2 2 5 2 3 7" xfId="31137"/>
    <cellStyle name="40% - Accent1 2 2 5 2 4" xfId="7796"/>
    <cellStyle name="40% - Accent1 2 2 5 2 5" xfId="12085"/>
    <cellStyle name="40% - Accent1 2 2 5 2 6" xfId="16361"/>
    <cellStyle name="40% - Accent1 2 2 5 2 7" xfId="20602"/>
    <cellStyle name="40% - Accent1 2 2 5 2 8" xfId="24850"/>
    <cellStyle name="40% - Accent1 2 2 5 2 9" xfId="28947"/>
    <cellStyle name="40% - Accent1 2 2 5 3" xfId="3669"/>
    <cellStyle name="40% - Accent1 2 2 5 3 2" xfId="8645"/>
    <cellStyle name="40% - Accent1 2 2 5 3 3" xfId="12930"/>
    <cellStyle name="40% - Accent1 2 2 5 3 4" xfId="17202"/>
    <cellStyle name="40% - Accent1 2 2 5 3 5" xfId="21437"/>
    <cellStyle name="40% - Accent1 2 2 5 3 6" xfId="25675"/>
    <cellStyle name="40% - Accent1 2 2 5 3 7" xfId="29753"/>
    <cellStyle name="40% - Accent1 2 2 5 4" xfId="2818"/>
    <cellStyle name="40% - Accent1 2 2 5 4 2" xfId="7795"/>
    <cellStyle name="40% - Accent1 2 2 5 4 3" xfId="12084"/>
    <cellStyle name="40% - Accent1 2 2 5 4 4" xfId="16360"/>
    <cellStyle name="40% - Accent1 2 2 5 4 5" xfId="20601"/>
    <cellStyle name="40% - Accent1 2 2 5 4 6" xfId="24849"/>
    <cellStyle name="40% - Accent1 2 2 5 4 7" xfId="28946"/>
    <cellStyle name="40% - Accent1 2 2 5 5" xfId="4660"/>
    <cellStyle name="40% - Accent1 2 2 5 5 2" xfId="9634"/>
    <cellStyle name="40% - Accent1 2 2 5 5 3" xfId="13911"/>
    <cellStyle name="40% - Accent1 2 2 5 5 4" xfId="18170"/>
    <cellStyle name="40% - Accent1 2 2 5 5 5" xfId="22389"/>
    <cellStyle name="40% - Accent1 2 2 5 5 6" xfId="26584"/>
    <cellStyle name="40% - Accent1 2 2 5 5 7" xfId="30480"/>
    <cellStyle name="40% - Accent1 2 2 5 6" xfId="6008"/>
    <cellStyle name="40% - Accent1 2 2 5 6 2" xfId="10980"/>
    <cellStyle name="40% - Accent1 2 2 5 6 3" xfId="15258"/>
    <cellStyle name="40% - Accent1 2 2 5 6 4" xfId="19515"/>
    <cellStyle name="40% - Accent1 2 2 5 6 5" xfId="23732"/>
    <cellStyle name="40% - Accent1 2 2 5 6 6" xfId="27918"/>
    <cellStyle name="40% - Accent1 2 2 5 6 7" xfId="31797"/>
    <cellStyle name="40% - Accent1 2 2 5 7" xfId="6926"/>
    <cellStyle name="40% - Accent1 2 2 5 8" xfId="9239"/>
    <cellStyle name="40% - Accent1 2 2 5 9" xfId="13516"/>
    <cellStyle name="40% - Accent1 2 2 6" xfId="957"/>
    <cellStyle name="40% - Accent1 2 2 6 10" xfId="2820"/>
    <cellStyle name="40% - Accent1 2 2 6 2" xfId="3671"/>
    <cellStyle name="40% - Accent1 2 2 6 2 2" xfId="8647"/>
    <cellStyle name="40% - Accent1 2 2 6 2 3" xfId="12932"/>
    <cellStyle name="40% - Accent1 2 2 6 2 4" xfId="17204"/>
    <cellStyle name="40% - Accent1 2 2 6 2 5" xfId="21439"/>
    <cellStyle name="40% - Accent1 2 2 6 2 6" xfId="25677"/>
    <cellStyle name="40% - Accent1 2 2 6 2 7" xfId="29755"/>
    <cellStyle name="40% - Accent1 2 2 6 3" xfId="4988"/>
    <cellStyle name="40% - Accent1 2 2 6 3 2" xfId="9962"/>
    <cellStyle name="40% - Accent1 2 2 6 3 3" xfId="14239"/>
    <cellStyle name="40% - Accent1 2 2 6 3 4" xfId="18498"/>
    <cellStyle name="40% - Accent1 2 2 6 3 5" xfId="22717"/>
    <cellStyle name="40% - Accent1 2 2 6 3 6" xfId="26912"/>
    <cellStyle name="40% - Accent1 2 2 6 3 7" xfId="30808"/>
    <cellStyle name="40% - Accent1 2 2 6 4" xfId="7797"/>
    <cellStyle name="40% - Accent1 2 2 6 5" xfId="12086"/>
    <cellStyle name="40% - Accent1 2 2 6 6" xfId="16362"/>
    <cellStyle name="40% - Accent1 2 2 6 7" xfId="20603"/>
    <cellStyle name="40% - Accent1 2 2 6 8" xfId="24851"/>
    <cellStyle name="40% - Accent1 2 2 6 9" xfId="28948"/>
    <cellStyle name="40% - Accent1 2 2 7" xfId="3200"/>
    <cellStyle name="40% - Accent1 2 2 7 2" xfId="8176"/>
    <cellStyle name="40% - Accent1 2 2 7 3" xfId="12462"/>
    <cellStyle name="40% - Accent1 2 2 7 4" xfId="16736"/>
    <cellStyle name="40% - Accent1 2 2 7 5" xfId="20972"/>
    <cellStyle name="40% - Accent1 2 2 7 6" xfId="25212"/>
    <cellStyle name="40% - Accent1 2 2 7 7" xfId="29293"/>
    <cellStyle name="40% - Accent1 2 2 8" xfId="2297"/>
    <cellStyle name="40% - Accent1 2 2 8 2" xfId="7275"/>
    <cellStyle name="40% - Accent1 2 2 8 3" xfId="11565"/>
    <cellStyle name="40% - Accent1 2 2 8 4" xfId="15843"/>
    <cellStyle name="40% - Accent1 2 2 8 5" xfId="20096"/>
    <cellStyle name="40% - Accent1 2 2 8 6" xfId="24347"/>
    <cellStyle name="40% - Accent1 2 2 8 7" xfId="28484"/>
    <cellStyle name="40% - Accent1 2 2 9" xfId="4325"/>
    <cellStyle name="40% - Accent1 2 2 9 2" xfId="9299"/>
    <cellStyle name="40% - Accent1 2 2 9 3" xfId="13576"/>
    <cellStyle name="40% - Accent1 2 2 9 4" xfId="17836"/>
    <cellStyle name="40% - Accent1 2 2 9 5" xfId="22055"/>
    <cellStyle name="40% - Accent1 2 2 9 6" xfId="26253"/>
    <cellStyle name="40% - Accent1 2 2 9 7" xfId="30150"/>
    <cellStyle name="40% - Accent1 2 3" xfId="232"/>
    <cellStyle name="40% - Accent1 2 3 10" xfId="14866"/>
    <cellStyle name="40% - Accent1 2 3 11" xfId="19124"/>
    <cellStyle name="40% - Accent1 2 3 12" xfId="21833"/>
    <cellStyle name="40% - Accent1 2 3 13" xfId="27535"/>
    <cellStyle name="40% - Accent1 2 3 14" xfId="1639"/>
    <cellStyle name="40% - Accent1 2 3 2" xfId="446"/>
    <cellStyle name="40% - Accent1 2 3 2 10" xfId="17741"/>
    <cellStyle name="40% - Accent1 2 3 2 11" xfId="16539"/>
    <cellStyle name="40% - Accent1 2 3 2 12" xfId="26165"/>
    <cellStyle name="40% - Accent1 2 3 2 13" xfId="1809"/>
    <cellStyle name="40% - Accent1 2 3 2 2" xfId="820"/>
    <cellStyle name="40% - Accent1 2 3 2 2 10" xfId="24195"/>
    <cellStyle name="40% - Accent1 2 3 2 2 11" xfId="28347"/>
    <cellStyle name="40% - Accent1 2 3 2 2 12" xfId="2139"/>
    <cellStyle name="40% - Accent1 2 3 2 2 2" xfId="1477"/>
    <cellStyle name="40% - Accent1 2 3 2 2 2 2" xfId="5508"/>
    <cellStyle name="40% - Accent1 2 3 2 2 2 2 2" xfId="10482"/>
    <cellStyle name="40% - Accent1 2 3 2 2 2 2 3" xfId="14759"/>
    <cellStyle name="40% - Accent1 2 3 2 2 2 2 4" xfId="19018"/>
    <cellStyle name="40% - Accent1 2 3 2 2 2 2 5" xfId="23237"/>
    <cellStyle name="40% - Accent1 2 3 2 2 2 2 6" xfId="27432"/>
    <cellStyle name="40% - Accent1 2 3 2 2 2 2 7" xfId="31328"/>
    <cellStyle name="40% - Accent1 2 3 2 2 2 3" xfId="8648"/>
    <cellStyle name="40% - Accent1 2 3 2 2 2 4" xfId="12933"/>
    <cellStyle name="40% - Accent1 2 3 2 2 2 5" xfId="17205"/>
    <cellStyle name="40% - Accent1 2 3 2 2 2 6" xfId="21440"/>
    <cellStyle name="40% - Accent1 2 3 2 2 2 7" xfId="25678"/>
    <cellStyle name="40% - Accent1 2 3 2 2 2 8" xfId="29756"/>
    <cellStyle name="40% - Accent1 2 3 2 2 2 9" xfId="3672"/>
    <cellStyle name="40% - Accent1 2 3 2 2 3" xfId="2821"/>
    <cellStyle name="40% - Accent1 2 3 2 2 3 2" xfId="7798"/>
    <cellStyle name="40% - Accent1 2 3 2 2 3 3" xfId="12087"/>
    <cellStyle name="40% - Accent1 2 3 2 2 3 4" xfId="16363"/>
    <cellStyle name="40% - Accent1 2 3 2 2 3 5" xfId="20604"/>
    <cellStyle name="40% - Accent1 2 3 2 2 3 6" xfId="24852"/>
    <cellStyle name="40% - Accent1 2 3 2 2 3 7" xfId="28949"/>
    <cellStyle name="40% - Accent1 2 3 2 2 4" xfId="4851"/>
    <cellStyle name="40% - Accent1 2 3 2 2 4 2" xfId="9825"/>
    <cellStyle name="40% - Accent1 2 3 2 2 4 3" xfId="14102"/>
    <cellStyle name="40% - Accent1 2 3 2 2 4 4" xfId="18361"/>
    <cellStyle name="40% - Accent1 2 3 2 2 4 5" xfId="22580"/>
    <cellStyle name="40% - Accent1 2 3 2 2 4 6" xfId="26775"/>
    <cellStyle name="40% - Accent1 2 3 2 2 4 7" xfId="30671"/>
    <cellStyle name="40% - Accent1 2 3 2 2 5" xfId="6199"/>
    <cellStyle name="40% - Accent1 2 3 2 2 5 2" xfId="11171"/>
    <cellStyle name="40% - Accent1 2 3 2 2 5 3" xfId="15449"/>
    <cellStyle name="40% - Accent1 2 3 2 2 5 4" xfId="19706"/>
    <cellStyle name="40% - Accent1 2 3 2 2 5 5" xfId="23923"/>
    <cellStyle name="40% - Accent1 2 3 2 2 5 6" xfId="28109"/>
    <cellStyle name="40% - Accent1 2 3 2 2 5 7" xfId="31988"/>
    <cellStyle name="40% - Accent1 2 3 2 2 6" xfId="7117"/>
    <cellStyle name="40% - Accent1 2 3 2 2 7" xfId="11409"/>
    <cellStyle name="40% - Accent1 2 3 2 2 8" xfId="15687"/>
    <cellStyle name="40% - Accent1 2 3 2 2 9" xfId="19944"/>
    <cellStyle name="40% - Accent1 2 3 2 3" xfId="1148"/>
    <cellStyle name="40% - Accent1 2 3 2 3 2" xfId="5179"/>
    <cellStyle name="40% - Accent1 2 3 2 3 2 2" xfId="10153"/>
    <cellStyle name="40% - Accent1 2 3 2 3 2 3" xfId="14430"/>
    <cellStyle name="40% - Accent1 2 3 2 3 2 4" xfId="18689"/>
    <cellStyle name="40% - Accent1 2 3 2 3 2 5" xfId="22908"/>
    <cellStyle name="40% - Accent1 2 3 2 3 2 6" xfId="27103"/>
    <cellStyle name="40% - Accent1 2 3 2 3 2 7" xfId="30999"/>
    <cellStyle name="40% - Accent1 2 3 2 3 3" xfId="8374"/>
    <cellStyle name="40% - Accent1 2 3 2 3 4" xfId="12659"/>
    <cellStyle name="40% - Accent1 2 3 2 3 5" xfId="16931"/>
    <cellStyle name="40% - Accent1 2 3 2 3 6" xfId="21166"/>
    <cellStyle name="40% - Accent1 2 3 2 3 7" xfId="25404"/>
    <cellStyle name="40% - Accent1 2 3 2 3 8" xfId="29482"/>
    <cellStyle name="40% - Accent1 2 3 2 3 9" xfId="3398"/>
    <cellStyle name="40% - Accent1 2 3 2 4" xfId="2537"/>
    <cellStyle name="40% - Accent1 2 3 2 4 2" xfId="7514"/>
    <cellStyle name="40% - Accent1 2 3 2 4 3" xfId="11803"/>
    <cellStyle name="40% - Accent1 2 3 2 4 4" xfId="16081"/>
    <cellStyle name="40% - Accent1 2 3 2 4 5" xfId="20324"/>
    <cellStyle name="40% - Accent1 2 3 2 4 6" xfId="24570"/>
    <cellStyle name="40% - Accent1 2 3 2 4 7" xfId="28675"/>
    <cellStyle name="40% - Accent1 2 3 2 5" xfId="4521"/>
    <cellStyle name="40% - Accent1 2 3 2 5 2" xfId="9495"/>
    <cellStyle name="40% - Accent1 2 3 2 5 3" xfId="13772"/>
    <cellStyle name="40% - Accent1 2 3 2 5 4" xfId="18032"/>
    <cellStyle name="40% - Accent1 2 3 2 5 5" xfId="22250"/>
    <cellStyle name="40% - Accent1 2 3 2 5 6" xfId="26446"/>
    <cellStyle name="40% - Accent1 2 3 2 5 7" xfId="30342"/>
    <cellStyle name="40% - Accent1 2 3 2 6" xfId="5870"/>
    <cellStyle name="40% - Accent1 2 3 2 6 2" xfId="10842"/>
    <cellStyle name="40% - Accent1 2 3 2 6 3" xfId="15120"/>
    <cellStyle name="40% - Accent1 2 3 2 6 4" xfId="19377"/>
    <cellStyle name="40% - Accent1 2 3 2 6 5" xfId="23594"/>
    <cellStyle name="40% - Accent1 2 3 2 6 6" xfId="27780"/>
    <cellStyle name="40% - Accent1 2 3 2 6 7" xfId="31659"/>
    <cellStyle name="40% - Accent1 2 3 2 7" xfId="6744"/>
    <cellStyle name="40% - Accent1 2 3 2 8" xfId="9200"/>
    <cellStyle name="40% - Accent1 2 3 2 9" xfId="13478"/>
    <cellStyle name="40% - Accent1 2 3 3" xfId="653"/>
    <cellStyle name="40% - Accent1 2 3 3 10" xfId="24028"/>
    <cellStyle name="40% - Accent1 2 3 3 11" xfId="24766"/>
    <cellStyle name="40% - Accent1 2 3 3 12" xfId="1972"/>
    <cellStyle name="40% - Accent1 2 3 3 2" xfId="1310"/>
    <cellStyle name="40% - Accent1 2 3 3 2 2" xfId="5341"/>
    <cellStyle name="40% - Accent1 2 3 3 2 2 2" xfId="10315"/>
    <cellStyle name="40% - Accent1 2 3 3 2 2 3" xfId="14592"/>
    <cellStyle name="40% - Accent1 2 3 3 2 2 4" xfId="18851"/>
    <cellStyle name="40% - Accent1 2 3 3 2 2 5" xfId="23070"/>
    <cellStyle name="40% - Accent1 2 3 3 2 2 6" xfId="27265"/>
    <cellStyle name="40% - Accent1 2 3 3 2 2 7" xfId="31161"/>
    <cellStyle name="40% - Accent1 2 3 3 2 3" xfId="8649"/>
    <cellStyle name="40% - Accent1 2 3 3 2 4" xfId="12934"/>
    <cellStyle name="40% - Accent1 2 3 3 2 5" xfId="17206"/>
    <cellStyle name="40% - Accent1 2 3 3 2 6" xfId="21441"/>
    <cellStyle name="40% - Accent1 2 3 3 2 7" xfId="25679"/>
    <cellStyle name="40% - Accent1 2 3 3 2 8" xfId="29757"/>
    <cellStyle name="40% - Accent1 2 3 3 2 9" xfId="3673"/>
    <cellStyle name="40% - Accent1 2 3 3 3" xfId="2822"/>
    <cellStyle name="40% - Accent1 2 3 3 3 2" xfId="7799"/>
    <cellStyle name="40% - Accent1 2 3 3 3 3" xfId="12088"/>
    <cellStyle name="40% - Accent1 2 3 3 3 4" xfId="16364"/>
    <cellStyle name="40% - Accent1 2 3 3 3 5" xfId="20605"/>
    <cellStyle name="40% - Accent1 2 3 3 3 6" xfId="24853"/>
    <cellStyle name="40% - Accent1 2 3 3 3 7" xfId="28950"/>
    <cellStyle name="40% - Accent1 2 3 3 4" xfId="4684"/>
    <cellStyle name="40% - Accent1 2 3 3 4 2" xfId="9658"/>
    <cellStyle name="40% - Accent1 2 3 3 4 3" xfId="13935"/>
    <cellStyle name="40% - Accent1 2 3 3 4 4" xfId="18194"/>
    <cellStyle name="40% - Accent1 2 3 3 4 5" xfId="22413"/>
    <cellStyle name="40% - Accent1 2 3 3 4 6" xfId="26608"/>
    <cellStyle name="40% - Accent1 2 3 3 4 7" xfId="30504"/>
    <cellStyle name="40% - Accent1 2 3 3 5" xfId="6032"/>
    <cellStyle name="40% - Accent1 2 3 3 5 2" xfId="11004"/>
    <cellStyle name="40% - Accent1 2 3 3 5 3" xfId="15282"/>
    <cellStyle name="40% - Accent1 2 3 3 5 4" xfId="19539"/>
    <cellStyle name="40% - Accent1 2 3 3 5 5" xfId="23756"/>
    <cellStyle name="40% - Accent1 2 3 3 5 6" xfId="27942"/>
    <cellStyle name="40% - Accent1 2 3 3 5 7" xfId="31821"/>
    <cellStyle name="40% - Accent1 2 3 3 6" xfId="6950"/>
    <cellStyle name="40% - Accent1 2 3 3 7" xfId="7712"/>
    <cellStyle name="40% - Accent1 2 3 3 8" xfId="12001"/>
    <cellStyle name="40% - Accent1 2 3 3 9" xfId="16277"/>
    <cellStyle name="40% - Accent1 2 3 4" xfId="981"/>
    <cellStyle name="40% - Accent1 2 3 4 2" xfId="5012"/>
    <cellStyle name="40% - Accent1 2 3 4 2 2" xfId="9986"/>
    <cellStyle name="40% - Accent1 2 3 4 2 3" xfId="14263"/>
    <cellStyle name="40% - Accent1 2 3 4 2 4" xfId="18522"/>
    <cellStyle name="40% - Accent1 2 3 4 2 5" xfId="22741"/>
    <cellStyle name="40% - Accent1 2 3 4 2 6" xfId="26936"/>
    <cellStyle name="40% - Accent1 2 3 4 2 7" xfId="30832"/>
    <cellStyle name="40% - Accent1 2 3 4 3" xfId="8218"/>
    <cellStyle name="40% - Accent1 2 3 4 4" xfId="12503"/>
    <cellStyle name="40% - Accent1 2 3 4 5" xfId="16776"/>
    <cellStyle name="40% - Accent1 2 3 4 6" xfId="21014"/>
    <cellStyle name="40% - Accent1 2 3 4 7" xfId="25251"/>
    <cellStyle name="40% - Accent1 2 3 4 8" xfId="29330"/>
    <cellStyle name="40% - Accent1 2 3 4 9" xfId="3242"/>
    <cellStyle name="40% - Accent1 2 3 5" xfId="2356"/>
    <cellStyle name="40% - Accent1 2 3 5 2" xfId="7334"/>
    <cellStyle name="40% - Accent1 2 3 5 3" xfId="11623"/>
    <cellStyle name="40% - Accent1 2 3 5 4" xfId="15902"/>
    <cellStyle name="40% - Accent1 2 3 5 5" xfId="20152"/>
    <cellStyle name="40% - Accent1 2 3 5 6" xfId="24399"/>
    <cellStyle name="40% - Accent1 2 3 5 7" xfId="28522"/>
    <cellStyle name="40% - Accent1 2 3 6" xfId="4353"/>
    <cellStyle name="40% - Accent1 2 3 6 2" xfId="9327"/>
    <cellStyle name="40% - Accent1 2 3 6 3" xfId="13604"/>
    <cellStyle name="40% - Accent1 2 3 6 4" xfId="17864"/>
    <cellStyle name="40% - Accent1 2 3 6 5" xfId="22083"/>
    <cellStyle name="40% - Accent1 2 3 6 6" xfId="26279"/>
    <cellStyle name="40% - Accent1 2 3 6 7" xfId="30175"/>
    <cellStyle name="40% - Accent1 2 3 7" xfId="5703"/>
    <cellStyle name="40% - Accent1 2 3 7 2" xfId="10675"/>
    <cellStyle name="40% - Accent1 2 3 7 3" xfId="14953"/>
    <cellStyle name="40% - Accent1 2 3 7 4" xfId="19210"/>
    <cellStyle name="40% - Accent1 2 3 7 5" xfId="23427"/>
    <cellStyle name="40% - Accent1 2 3 7 6" xfId="27613"/>
    <cellStyle name="40% - Accent1 2 3 7 7" xfId="31492"/>
    <cellStyle name="40% - Accent1 2 3 8" xfId="6530"/>
    <cellStyle name="40% - Accent1 2 3 9" xfId="10588"/>
    <cellStyle name="40% - Accent1 2 4" xfId="380"/>
    <cellStyle name="40% - Accent1 2 4 10" xfId="13285"/>
    <cellStyle name="40% - Accent1 2 4 11" xfId="17559"/>
    <cellStyle name="40% - Accent1 2 4 12" xfId="21878"/>
    <cellStyle name="40% - Accent1 2 4 13" xfId="26020"/>
    <cellStyle name="40% - Accent1 2 4 14" xfId="1743"/>
    <cellStyle name="40% - Accent1 2 4 2" xfId="754"/>
    <cellStyle name="40% - Accent1 2 4 2 10" xfId="24129"/>
    <cellStyle name="40% - Accent1 2 4 2 11" xfId="28281"/>
    <cellStyle name="40% - Accent1 2 4 2 12" xfId="2073"/>
    <cellStyle name="40% - Accent1 2 4 2 2" xfId="1411"/>
    <cellStyle name="40% - Accent1 2 4 2 2 2" xfId="5442"/>
    <cellStyle name="40% - Accent1 2 4 2 2 2 2" xfId="10416"/>
    <cellStyle name="40% - Accent1 2 4 2 2 2 3" xfId="14693"/>
    <cellStyle name="40% - Accent1 2 4 2 2 2 4" xfId="18952"/>
    <cellStyle name="40% - Accent1 2 4 2 2 2 5" xfId="23171"/>
    <cellStyle name="40% - Accent1 2 4 2 2 2 6" xfId="27366"/>
    <cellStyle name="40% - Accent1 2 4 2 2 2 7" xfId="31262"/>
    <cellStyle name="40% - Accent1 2 4 2 2 3" xfId="8650"/>
    <cellStyle name="40% - Accent1 2 4 2 2 4" xfId="12935"/>
    <cellStyle name="40% - Accent1 2 4 2 2 5" xfId="17207"/>
    <cellStyle name="40% - Accent1 2 4 2 2 6" xfId="21442"/>
    <cellStyle name="40% - Accent1 2 4 2 2 7" xfId="25680"/>
    <cellStyle name="40% - Accent1 2 4 2 2 8" xfId="29758"/>
    <cellStyle name="40% - Accent1 2 4 2 2 9" xfId="3674"/>
    <cellStyle name="40% - Accent1 2 4 2 3" xfId="2823"/>
    <cellStyle name="40% - Accent1 2 4 2 3 2" xfId="7800"/>
    <cellStyle name="40% - Accent1 2 4 2 3 3" xfId="12089"/>
    <cellStyle name="40% - Accent1 2 4 2 3 4" xfId="16365"/>
    <cellStyle name="40% - Accent1 2 4 2 3 5" xfId="20606"/>
    <cellStyle name="40% - Accent1 2 4 2 3 6" xfId="24854"/>
    <cellStyle name="40% - Accent1 2 4 2 3 7" xfId="28951"/>
    <cellStyle name="40% - Accent1 2 4 2 4" xfId="4785"/>
    <cellStyle name="40% - Accent1 2 4 2 4 2" xfId="9759"/>
    <cellStyle name="40% - Accent1 2 4 2 4 3" xfId="14036"/>
    <cellStyle name="40% - Accent1 2 4 2 4 4" xfId="18295"/>
    <cellStyle name="40% - Accent1 2 4 2 4 5" xfId="22514"/>
    <cellStyle name="40% - Accent1 2 4 2 4 6" xfId="26709"/>
    <cellStyle name="40% - Accent1 2 4 2 4 7" xfId="30605"/>
    <cellStyle name="40% - Accent1 2 4 2 5" xfId="6133"/>
    <cellStyle name="40% - Accent1 2 4 2 5 2" xfId="11105"/>
    <cellStyle name="40% - Accent1 2 4 2 5 3" xfId="15383"/>
    <cellStyle name="40% - Accent1 2 4 2 5 4" xfId="19640"/>
    <cellStyle name="40% - Accent1 2 4 2 5 5" xfId="23857"/>
    <cellStyle name="40% - Accent1 2 4 2 5 6" xfId="28043"/>
    <cellStyle name="40% - Accent1 2 4 2 5 7" xfId="31922"/>
    <cellStyle name="40% - Accent1 2 4 2 6" xfId="7051"/>
    <cellStyle name="40% - Accent1 2 4 2 7" xfId="11343"/>
    <cellStyle name="40% - Accent1 2 4 2 8" xfId="15621"/>
    <cellStyle name="40% - Accent1 2 4 2 9" xfId="19878"/>
    <cellStyle name="40% - Accent1 2 4 3" xfId="1082"/>
    <cellStyle name="40% - Accent1 2 4 3 2" xfId="5113"/>
    <cellStyle name="40% - Accent1 2 4 3 2 2" xfId="10087"/>
    <cellStyle name="40% - Accent1 2 4 3 2 3" xfId="14364"/>
    <cellStyle name="40% - Accent1 2 4 3 2 4" xfId="18623"/>
    <cellStyle name="40% - Accent1 2 4 3 2 5" xfId="22842"/>
    <cellStyle name="40% - Accent1 2 4 3 2 6" xfId="27037"/>
    <cellStyle name="40% - Accent1 2 4 3 2 7" xfId="30933"/>
    <cellStyle name="40% - Accent1 2 4 3 3" xfId="8308"/>
    <cellStyle name="40% - Accent1 2 4 3 4" xfId="12593"/>
    <cellStyle name="40% - Accent1 2 4 3 5" xfId="16865"/>
    <cellStyle name="40% - Accent1 2 4 3 6" xfId="21100"/>
    <cellStyle name="40% - Accent1 2 4 3 7" xfId="25338"/>
    <cellStyle name="40% - Accent1 2 4 3 8" xfId="29416"/>
    <cellStyle name="40% - Accent1 2 4 3 9" xfId="3332"/>
    <cellStyle name="40% - Accent1 2 4 4" xfId="2471"/>
    <cellStyle name="40% - Accent1 2 4 4 2" xfId="7448"/>
    <cellStyle name="40% - Accent1 2 4 4 3" xfId="11737"/>
    <cellStyle name="40% - Accent1 2 4 4 4" xfId="16015"/>
    <cellStyle name="40% - Accent1 2 4 4 5" xfId="20258"/>
    <cellStyle name="40% - Accent1 2 4 4 6" xfId="24504"/>
    <cellStyle name="40% - Accent1 2 4 4 7" xfId="28609"/>
    <cellStyle name="40% - Accent1 2 4 5" xfId="4137"/>
    <cellStyle name="40% - Accent1 2 4 6" xfId="4455"/>
    <cellStyle name="40% - Accent1 2 4 6 2" xfId="9429"/>
    <cellStyle name="40% - Accent1 2 4 6 3" xfId="13706"/>
    <cellStyle name="40% - Accent1 2 4 6 4" xfId="17966"/>
    <cellStyle name="40% - Accent1 2 4 6 5" xfId="22184"/>
    <cellStyle name="40% - Accent1 2 4 6 6" xfId="26380"/>
    <cellStyle name="40% - Accent1 2 4 6 7" xfId="30276"/>
    <cellStyle name="40% - Accent1 2 4 7" xfId="5804"/>
    <cellStyle name="40% - Accent1 2 4 7 2" xfId="10776"/>
    <cellStyle name="40% - Accent1 2 4 7 3" xfId="15054"/>
    <cellStyle name="40% - Accent1 2 4 7 4" xfId="19311"/>
    <cellStyle name="40% - Accent1 2 4 7 5" xfId="23528"/>
    <cellStyle name="40% - Accent1 2 4 7 6" xfId="27714"/>
    <cellStyle name="40% - Accent1 2 4 7 7" xfId="31593"/>
    <cellStyle name="40% - Accent1 2 4 8" xfId="6678"/>
    <cellStyle name="40% - Accent1 2 4 9" xfId="9003"/>
    <cellStyle name="40% - Accent1 2 5" xfId="495"/>
    <cellStyle name="40% - Accent1 2 5 10" xfId="11510"/>
    <cellStyle name="40% - Accent1 2 5 11" xfId="16556"/>
    <cellStyle name="40% - Accent1 2 5 12" xfId="21819"/>
    <cellStyle name="40% - Accent1 2 5 13" xfId="1858"/>
    <cellStyle name="40% - Accent1 2 5 2" xfId="869"/>
    <cellStyle name="40% - Accent1 2 5 2 10" xfId="24244"/>
    <cellStyle name="40% - Accent1 2 5 2 11" xfId="28396"/>
    <cellStyle name="40% - Accent1 2 5 2 12" xfId="2188"/>
    <cellStyle name="40% - Accent1 2 5 2 2" xfId="1526"/>
    <cellStyle name="40% - Accent1 2 5 2 2 2" xfId="5557"/>
    <cellStyle name="40% - Accent1 2 5 2 2 2 2" xfId="10531"/>
    <cellStyle name="40% - Accent1 2 5 2 2 2 3" xfId="14808"/>
    <cellStyle name="40% - Accent1 2 5 2 2 2 4" xfId="19067"/>
    <cellStyle name="40% - Accent1 2 5 2 2 2 5" xfId="23286"/>
    <cellStyle name="40% - Accent1 2 5 2 2 2 6" xfId="27481"/>
    <cellStyle name="40% - Accent1 2 5 2 2 2 7" xfId="31377"/>
    <cellStyle name="40% - Accent1 2 5 2 2 3" xfId="8651"/>
    <cellStyle name="40% - Accent1 2 5 2 2 4" xfId="12936"/>
    <cellStyle name="40% - Accent1 2 5 2 2 5" xfId="17208"/>
    <cellStyle name="40% - Accent1 2 5 2 2 6" xfId="21443"/>
    <cellStyle name="40% - Accent1 2 5 2 2 7" xfId="25681"/>
    <cellStyle name="40% - Accent1 2 5 2 2 8" xfId="29759"/>
    <cellStyle name="40% - Accent1 2 5 2 2 9" xfId="3675"/>
    <cellStyle name="40% - Accent1 2 5 2 3" xfId="2824"/>
    <cellStyle name="40% - Accent1 2 5 2 3 2" xfId="7801"/>
    <cellStyle name="40% - Accent1 2 5 2 3 3" xfId="12090"/>
    <cellStyle name="40% - Accent1 2 5 2 3 4" xfId="16366"/>
    <cellStyle name="40% - Accent1 2 5 2 3 5" xfId="20607"/>
    <cellStyle name="40% - Accent1 2 5 2 3 6" xfId="24855"/>
    <cellStyle name="40% - Accent1 2 5 2 3 7" xfId="28952"/>
    <cellStyle name="40% - Accent1 2 5 2 4" xfId="4900"/>
    <cellStyle name="40% - Accent1 2 5 2 4 2" xfId="9874"/>
    <cellStyle name="40% - Accent1 2 5 2 4 3" xfId="14151"/>
    <cellStyle name="40% - Accent1 2 5 2 4 4" xfId="18410"/>
    <cellStyle name="40% - Accent1 2 5 2 4 5" xfId="22629"/>
    <cellStyle name="40% - Accent1 2 5 2 4 6" xfId="26824"/>
    <cellStyle name="40% - Accent1 2 5 2 4 7" xfId="30720"/>
    <cellStyle name="40% - Accent1 2 5 2 5" xfId="6248"/>
    <cellStyle name="40% - Accent1 2 5 2 5 2" xfId="11220"/>
    <cellStyle name="40% - Accent1 2 5 2 5 3" xfId="15498"/>
    <cellStyle name="40% - Accent1 2 5 2 5 4" xfId="19755"/>
    <cellStyle name="40% - Accent1 2 5 2 5 5" xfId="23972"/>
    <cellStyle name="40% - Accent1 2 5 2 5 6" xfId="28158"/>
    <cellStyle name="40% - Accent1 2 5 2 5 7" xfId="32037"/>
    <cellStyle name="40% - Accent1 2 5 2 6" xfId="7166"/>
    <cellStyle name="40% - Accent1 2 5 2 7" xfId="11458"/>
    <cellStyle name="40% - Accent1 2 5 2 8" xfId="15736"/>
    <cellStyle name="40% - Accent1 2 5 2 9" xfId="19993"/>
    <cellStyle name="40% - Accent1 2 5 3" xfId="1197"/>
    <cellStyle name="40% - Accent1 2 5 3 2" xfId="5228"/>
    <cellStyle name="40% - Accent1 2 5 3 2 2" xfId="10202"/>
    <cellStyle name="40% - Accent1 2 5 3 2 3" xfId="14479"/>
    <cellStyle name="40% - Accent1 2 5 3 2 4" xfId="18738"/>
    <cellStyle name="40% - Accent1 2 5 3 2 5" xfId="22957"/>
    <cellStyle name="40% - Accent1 2 5 3 2 6" xfId="27152"/>
    <cellStyle name="40% - Accent1 2 5 3 2 7" xfId="31048"/>
    <cellStyle name="40% - Accent1 2 5 3 3" xfId="8438"/>
    <cellStyle name="40% - Accent1 2 5 3 4" xfId="12723"/>
    <cellStyle name="40% - Accent1 2 5 3 5" xfId="16995"/>
    <cellStyle name="40% - Accent1 2 5 3 6" xfId="21230"/>
    <cellStyle name="40% - Accent1 2 5 3 7" xfId="25468"/>
    <cellStyle name="40% - Accent1 2 5 3 8" xfId="29546"/>
    <cellStyle name="40% - Accent1 2 5 3 9" xfId="3462"/>
    <cellStyle name="40% - Accent1 2 5 4" xfId="2604"/>
    <cellStyle name="40% - Accent1 2 5 4 2" xfId="7581"/>
    <cellStyle name="40% - Accent1 2 5 4 3" xfId="11870"/>
    <cellStyle name="40% - Accent1 2 5 4 4" xfId="16146"/>
    <cellStyle name="40% - Accent1 2 5 4 5" xfId="20389"/>
    <cellStyle name="40% - Accent1 2 5 4 6" xfId="24635"/>
    <cellStyle name="40% - Accent1 2 5 4 7" xfId="28739"/>
    <cellStyle name="40% - Accent1 2 5 5" xfId="4570"/>
    <cellStyle name="40% - Accent1 2 5 5 2" xfId="9544"/>
    <cellStyle name="40% - Accent1 2 5 5 3" xfId="13821"/>
    <cellStyle name="40% - Accent1 2 5 5 4" xfId="18081"/>
    <cellStyle name="40% - Accent1 2 5 5 5" xfId="22299"/>
    <cellStyle name="40% - Accent1 2 5 5 6" xfId="26495"/>
    <cellStyle name="40% - Accent1 2 5 5 7" xfId="30391"/>
    <cellStyle name="40% - Accent1 2 5 6" xfId="5919"/>
    <cellStyle name="40% - Accent1 2 5 6 2" xfId="10891"/>
    <cellStyle name="40% - Accent1 2 5 6 3" xfId="15169"/>
    <cellStyle name="40% - Accent1 2 5 6 4" xfId="19426"/>
    <cellStyle name="40% - Accent1 2 5 6 5" xfId="23643"/>
    <cellStyle name="40% - Accent1 2 5 6 6" xfId="27829"/>
    <cellStyle name="40% - Accent1 2 5 6 7" xfId="31708"/>
    <cellStyle name="40% - Accent1 2 5 7" xfId="6793"/>
    <cellStyle name="40% - Accent1 2 5 8" xfId="6393"/>
    <cellStyle name="40% - Accent1 2 5 9" xfId="7218"/>
    <cellStyle name="40% - Accent1 2 6" xfId="596"/>
    <cellStyle name="40% - Accent1 2 6 10" xfId="15982"/>
    <cellStyle name="40% - Accent1 2 6 11" xfId="9210"/>
    <cellStyle name="40% - Accent1 2 6 12" xfId="24472"/>
    <cellStyle name="40% - Accent1 2 6 13" xfId="1915"/>
    <cellStyle name="40% - Accent1 2 6 2" xfId="1253"/>
    <cellStyle name="40% - Accent1 2 6 2 10" xfId="2826"/>
    <cellStyle name="40% - Accent1 2 6 2 2" xfId="3677"/>
    <cellStyle name="40% - Accent1 2 6 2 2 2" xfId="8653"/>
    <cellStyle name="40% - Accent1 2 6 2 2 3" xfId="12938"/>
    <cellStyle name="40% - Accent1 2 6 2 2 4" xfId="17210"/>
    <cellStyle name="40% - Accent1 2 6 2 2 5" xfId="21445"/>
    <cellStyle name="40% - Accent1 2 6 2 2 6" xfId="25683"/>
    <cellStyle name="40% - Accent1 2 6 2 2 7" xfId="29761"/>
    <cellStyle name="40% - Accent1 2 6 2 3" xfId="5284"/>
    <cellStyle name="40% - Accent1 2 6 2 3 2" xfId="10258"/>
    <cellStyle name="40% - Accent1 2 6 2 3 3" xfId="14535"/>
    <cellStyle name="40% - Accent1 2 6 2 3 4" xfId="18794"/>
    <cellStyle name="40% - Accent1 2 6 2 3 5" xfId="23013"/>
    <cellStyle name="40% - Accent1 2 6 2 3 6" xfId="27208"/>
    <cellStyle name="40% - Accent1 2 6 2 3 7" xfId="31104"/>
    <cellStyle name="40% - Accent1 2 6 2 4" xfId="7803"/>
    <cellStyle name="40% - Accent1 2 6 2 5" xfId="12092"/>
    <cellStyle name="40% - Accent1 2 6 2 6" xfId="16368"/>
    <cellStyle name="40% - Accent1 2 6 2 7" xfId="20609"/>
    <cellStyle name="40% - Accent1 2 6 2 8" xfId="24857"/>
    <cellStyle name="40% - Accent1 2 6 2 9" xfId="28954"/>
    <cellStyle name="40% - Accent1 2 6 3" xfId="3676"/>
    <cellStyle name="40% - Accent1 2 6 3 2" xfId="8652"/>
    <cellStyle name="40% - Accent1 2 6 3 3" xfId="12937"/>
    <cellStyle name="40% - Accent1 2 6 3 4" xfId="17209"/>
    <cellStyle name="40% - Accent1 2 6 3 5" xfId="21444"/>
    <cellStyle name="40% - Accent1 2 6 3 6" xfId="25682"/>
    <cellStyle name="40% - Accent1 2 6 3 7" xfId="29760"/>
    <cellStyle name="40% - Accent1 2 6 4" xfId="2825"/>
    <cellStyle name="40% - Accent1 2 6 4 2" xfId="7802"/>
    <cellStyle name="40% - Accent1 2 6 4 3" xfId="12091"/>
    <cellStyle name="40% - Accent1 2 6 4 4" xfId="16367"/>
    <cellStyle name="40% - Accent1 2 6 4 5" xfId="20608"/>
    <cellStyle name="40% - Accent1 2 6 4 6" xfId="24856"/>
    <cellStyle name="40% - Accent1 2 6 4 7" xfId="28953"/>
    <cellStyle name="40% - Accent1 2 6 5" xfId="4627"/>
    <cellStyle name="40% - Accent1 2 6 5 2" xfId="9601"/>
    <cellStyle name="40% - Accent1 2 6 5 3" xfId="13878"/>
    <cellStyle name="40% - Accent1 2 6 5 4" xfId="18137"/>
    <cellStyle name="40% - Accent1 2 6 5 5" xfId="22356"/>
    <cellStyle name="40% - Accent1 2 6 5 6" xfId="26551"/>
    <cellStyle name="40% - Accent1 2 6 5 7" xfId="30447"/>
    <cellStyle name="40% - Accent1 2 6 6" xfId="5975"/>
    <cellStyle name="40% - Accent1 2 6 6 2" xfId="10947"/>
    <cellStyle name="40% - Accent1 2 6 6 3" xfId="15225"/>
    <cellStyle name="40% - Accent1 2 6 6 4" xfId="19482"/>
    <cellStyle name="40% - Accent1 2 6 6 5" xfId="23699"/>
    <cellStyle name="40% - Accent1 2 6 6 6" xfId="27885"/>
    <cellStyle name="40% - Accent1 2 6 6 7" xfId="31764"/>
    <cellStyle name="40% - Accent1 2 6 7" xfId="6893"/>
    <cellStyle name="40% - Accent1 2 6 8" xfId="7415"/>
    <cellStyle name="40% - Accent1 2 6 9" xfId="11703"/>
    <cellStyle name="40% - Accent1 2 7" xfId="924"/>
    <cellStyle name="40% - Accent1 2 7 10" xfId="2827"/>
    <cellStyle name="40% - Accent1 2 7 2" xfId="3678"/>
    <cellStyle name="40% - Accent1 2 7 2 2" xfId="8654"/>
    <cellStyle name="40% - Accent1 2 7 2 3" xfId="12939"/>
    <cellStyle name="40% - Accent1 2 7 2 4" xfId="17211"/>
    <cellStyle name="40% - Accent1 2 7 2 5" xfId="21446"/>
    <cellStyle name="40% - Accent1 2 7 2 6" xfId="25684"/>
    <cellStyle name="40% - Accent1 2 7 2 7" xfId="29762"/>
    <cellStyle name="40% - Accent1 2 7 3" xfId="4955"/>
    <cellStyle name="40% - Accent1 2 7 3 2" xfId="9929"/>
    <cellStyle name="40% - Accent1 2 7 3 3" xfId="14206"/>
    <cellStyle name="40% - Accent1 2 7 3 4" xfId="18465"/>
    <cellStyle name="40% - Accent1 2 7 3 5" xfId="22684"/>
    <cellStyle name="40% - Accent1 2 7 3 6" xfId="26879"/>
    <cellStyle name="40% - Accent1 2 7 3 7" xfId="30775"/>
    <cellStyle name="40% - Accent1 2 7 4" xfId="7804"/>
    <cellStyle name="40% - Accent1 2 7 5" xfId="12093"/>
    <cellStyle name="40% - Accent1 2 7 6" xfId="16369"/>
    <cellStyle name="40% - Accent1 2 7 7" xfId="20610"/>
    <cellStyle name="40% - Accent1 2 7 8" xfId="24858"/>
    <cellStyle name="40% - Accent1 2 7 9" xfId="28955"/>
    <cellStyle name="40% - Accent1 2 8" xfId="3167"/>
    <cellStyle name="40% - Accent1 2 8 2" xfId="8143"/>
    <cellStyle name="40% - Accent1 2 8 3" xfId="12429"/>
    <cellStyle name="40% - Accent1 2 8 4" xfId="16703"/>
    <cellStyle name="40% - Accent1 2 8 5" xfId="20939"/>
    <cellStyle name="40% - Accent1 2 8 6" xfId="25179"/>
    <cellStyle name="40% - Accent1 2 8 7" xfId="29260"/>
    <cellStyle name="40% - Accent1 2 9" xfId="2252"/>
    <cellStyle name="40% - Accent1 2 9 2" xfId="7230"/>
    <cellStyle name="40% - Accent1 2 9 3" xfId="11520"/>
    <cellStyle name="40% - Accent1 2 9 4" xfId="15799"/>
    <cellStyle name="40% - Accent1 2 9 5" xfId="20054"/>
    <cellStyle name="40% - Accent1 2 9 6" xfId="24304"/>
    <cellStyle name="40% - Accent1 2 9 7" xfId="28451"/>
    <cellStyle name="40% - Accent1 3" xfId="126"/>
    <cellStyle name="40% - Accent1 3 2" xfId="4002"/>
    <cellStyle name="40% - Accent1 3 3" xfId="2600"/>
    <cellStyle name="40% - Accent1 4" xfId="107"/>
    <cellStyle name="40% - Accent1 4 10" xfId="5666"/>
    <cellStyle name="40% - Accent1 4 10 2" xfId="10638"/>
    <cellStyle name="40% - Accent1 4 10 3" xfId="14916"/>
    <cellStyle name="40% - Accent1 4 10 4" xfId="19173"/>
    <cellStyle name="40% - Accent1 4 10 5" xfId="23390"/>
    <cellStyle name="40% - Accent1 4 10 6" xfId="27576"/>
    <cellStyle name="40% - Accent1 4 10 7" xfId="31455"/>
    <cellStyle name="40% - Accent1 4 11" xfId="6407"/>
    <cellStyle name="40% - Accent1 4 12" xfId="6654"/>
    <cellStyle name="40% - Accent1 4 13" xfId="9152"/>
    <cellStyle name="40% - Accent1 4 14" xfId="13433"/>
    <cellStyle name="40% - Accent1 4 15" xfId="17586"/>
    <cellStyle name="40% - Accent1 4 16" xfId="21826"/>
    <cellStyle name="40% - Accent1 4 17" xfId="1601"/>
    <cellStyle name="40% - Accent1 4 2" xfId="298"/>
    <cellStyle name="40% - Accent1 4 2 10" xfId="13507"/>
    <cellStyle name="40% - Accent1 4 2 11" xfId="17767"/>
    <cellStyle name="40% - Accent1 4 2 12" xfId="21928"/>
    <cellStyle name="40% - Accent1 4 2 13" xfId="26186"/>
    <cellStyle name="40% - Accent1 4 2 14" xfId="1670"/>
    <cellStyle name="40% - Accent1 4 2 2" xfId="462"/>
    <cellStyle name="40% - Accent1 4 2 2 10" xfId="17764"/>
    <cellStyle name="40% - Accent1 4 2 2 11" xfId="16694"/>
    <cellStyle name="40% - Accent1 4 2 2 12" xfId="26183"/>
    <cellStyle name="40% - Accent1 4 2 2 13" xfId="1825"/>
    <cellStyle name="40% - Accent1 4 2 2 2" xfId="836"/>
    <cellStyle name="40% - Accent1 4 2 2 2 10" xfId="24211"/>
    <cellStyle name="40% - Accent1 4 2 2 2 11" xfId="28363"/>
    <cellStyle name="40% - Accent1 4 2 2 2 12" xfId="2155"/>
    <cellStyle name="40% - Accent1 4 2 2 2 2" xfId="1493"/>
    <cellStyle name="40% - Accent1 4 2 2 2 2 2" xfId="5524"/>
    <cellStyle name="40% - Accent1 4 2 2 2 2 2 2" xfId="10498"/>
    <cellStyle name="40% - Accent1 4 2 2 2 2 2 3" xfId="14775"/>
    <cellStyle name="40% - Accent1 4 2 2 2 2 2 4" xfId="19034"/>
    <cellStyle name="40% - Accent1 4 2 2 2 2 2 5" xfId="23253"/>
    <cellStyle name="40% - Accent1 4 2 2 2 2 2 6" xfId="27448"/>
    <cellStyle name="40% - Accent1 4 2 2 2 2 2 7" xfId="31344"/>
    <cellStyle name="40% - Accent1 4 2 2 2 2 3" xfId="8655"/>
    <cellStyle name="40% - Accent1 4 2 2 2 2 4" xfId="12940"/>
    <cellStyle name="40% - Accent1 4 2 2 2 2 5" xfId="17212"/>
    <cellStyle name="40% - Accent1 4 2 2 2 2 6" xfId="21447"/>
    <cellStyle name="40% - Accent1 4 2 2 2 2 7" xfId="25685"/>
    <cellStyle name="40% - Accent1 4 2 2 2 2 8" xfId="29763"/>
    <cellStyle name="40% - Accent1 4 2 2 2 2 9" xfId="3679"/>
    <cellStyle name="40% - Accent1 4 2 2 2 3" xfId="2828"/>
    <cellStyle name="40% - Accent1 4 2 2 2 3 2" xfId="7805"/>
    <cellStyle name="40% - Accent1 4 2 2 2 3 3" xfId="12094"/>
    <cellStyle name="40% - Accent1 4 2 2 2 3 4" xfId="16370"/>
    <cellStyle name="40% - Accent1 4 2 2 2 3 5" xfId="20611"/>
    <cellStyle name="40% - Accent1 4 2 2 2 3 6" xfId="24859"/>
    <cellStyle name="40% - Accent1 4 2 2 2 3 7" xfId="28956"/>
    <cellStyle name="40% - Accent1 4 2 2 2 4" xfId="4867"/>
    <cellStyle name="40% - Accent1 4 2 2 2 4 2" xfId="9841"/>
    <cellStyle name="40% - Accent1 4 2 2 2 4 3" xfId="14118"/>
    <cellStyle name="40% - Accent1 4 2 2 2 4 4" xfId="18377"/>
    <cellStyle name="40% - Accent1 4 2 2 2 4 5" xfId="22596"/>
    <cellStyle name="40% - Accent1 4 2 2 2 4 6" xfId="26791"/>
    <cellStyle name="40% - Accent1 4 2 2 2 4 7" xfId="30687"/>
    <cellStyle name="40% - Accent1 4 2 2 2 5" xfId="6215"/>
    <cellStyle name="40% - Accent1 4 2 2 2 5 2" xfId="11187"/>
    <cellStyle name="40% - Accent1 4 2 2 2 5 3" xfId="15465"/>
    <cellStyle name="40% - Accent1 4 2 2 2 5 4" xfId="19722"/>
    <cellStyle name="40% - Accent1 4 2 2 2 5 5" xfId="23939"/>
    <cellStyle name="40% - Accent1 4 2 2 2 5 6" xfId="28125"/>
    <cellStyle name="40% - Accent1 4 2 2 2 5 7" xfId="32004"/>
    <cellStyle name="40% - Accent1 4 2 2 2 6" xfId="7133"/>
    <cellStyle name="40% - Accent1 4 2 2 2 7" xfId="11425"/>
    <cellStyle name="40% - Accent1 4 2 2 2 8" xfId="15703"/>
    <cellStyle name="40% - Accent1 4 2 2 2 9" xfId="19960"/>
    <cellStyle name="40% - Accent1 4 2 2 3" xfId="1164"/>
    <cellStyle name="40% - Accent1 4 2 2 3 2" xfId="5195"/>
    <cellStyle name="40% - Accent1 4 2 2 3 2 2" xfId="10169"/>
    <cellStyle name="40% - Accent1 4 2 2 3 2 3" xfId="14446"/>
    <cellStyle name="40% - Accent1 4 2 2 3 2 4" xfId="18705"/>
    <cellStyle name="40% - Accent1 4 2 2 3 2 5" xfId="22924"/>
    <cellStyle name="40% - Accent1 4 2 2 3 2 6" xfId="27119"/>
    <cellStyle name="40% - Accent1 4 2 2 3 2 7" xfId="31015"/>
    <cellStyle name="40% - Accent1 4 2 2 3 3" xfId="8390"/>
    <cellStyle name="40% - Accent1 4 2 2 3 4" xfId="12675"/>
    <cellStyle name="40% - Accent1 4 2 2 3 5" xfId="16947"/>
    <cellStyle name="40% - Accent1 4 2 2 3 6" xfId="21182"/>
    <cellStyle name="40% - Accent1 4 2 2 3 7" xfId="25420"/>
    <cellStyle name="40% - Accent1 4 2 2 3 8" xfId="29498"/>
    <cellStyle name="40% - Accent1 4 2 2 3 9" xfId="3414"/>
    <cellStyle name="40% - Accent1 4 2 2 4" xfId="2553"/>
    <cellStyle name="40% - Accent1 4 2 2 4 2" xfId="7530"/>
    <cellStyle name="40% - Accent1 4 2 2 4 3" xfId="11819"/>
    <cellStyle name="40% - Accent1 4 2 2 4 4" xfId="16097"/>
    <cellStyle name="40% - Accent1 4 2 2 4 5" xfId="20340"/>
    <cellStyle name="40% - Accent1 4 2 2 4 6" xfId="24586"/>
    <cellStyle name="40% - Accent1 4 2 2 4 7" xfId="28691"/>
    <cellStyle name="40% - Accent1 4 2 2 5" xfId="4537"/>
    <cellStyle name="40% - Accent1 4 2 2 5 2" xfId="9511"/>
    <cellStyle name="40% - Accent1 4 2 2 5 3" xfId="13788"/>
    <cellStyle name="40% - Accent1 4 2 2 5 4" xfId="18048"/>
    <cellStyle name="40% - Accent1 4 2 2 5 5" xfId="22266"/>
    <cellStyle name="40% - Accent1 4 2 2 5 6" xfId="26462"/>
    <cellStyle name="40% - Accent1 4 2 2 5 7" xfId="30358"/>
    <cellStyle name="40% - Accent1 4 2 2 6" xfId="5886"/>
    <cellStyle name="40% - Accent1 4 2 2 6 2" xfId="10858"/>
    <cellStyle name="40% - Accent1 4 2 2 6 3" xfId="15136"/>
    <cellStyle name="40% - Accent1 4 2 2 6 4" xfId="19393"/>
    <cellStyle name="40% - Accent1 4 2 2 6 5" xfId="23610"/>
    <cellStyle name="40% - Accent1 4 2 2 6 6" xfId="27796"/>
    <cellStyle name="40% - Accent1 4 2 2 6 7" xfId="31675"/>
    <cellStyle name="40% - Accent1 4 2 2 7" xfId="6760"/>
    <cellStyle name="40% - Accent1 4 2 2 8" xfId="9226"/>
    <cellStyle name="40% - Accent1 4 2 2 9" xfId="13504"/>
    <cellStyle name="40% - Accent1 4 2 3" xfId="681"/>
    <cellStyle name="40% - Accent1 4 2 3 10" xfId="24056"/>
    <cellStyle name="40% - Accent1 4 2 3 11" xfId="26068"/>
    <cellStyle name="40% - Accent1 4 2 3 12" xfId="2000"/>
    <cellStyle name="40% - Accent1 4 2 3 2" xfId="1338"/>
    <cellStyle name="40% - Accent1 4 2 3 2 2" xfId="5369"/>
    <cellStyle name="40% - Accent1 4 2 3 2 2 2" xfId="10343"/>
    <cellStyle name="40% - Accent1 4 2 3 2 2 3" xfId="14620"/>
    <cellStyle name="40% - Accent1 4 2 3 2 2 4" xfId="18879"/>
    <cellStyle name="40% - Accent1 4 2 3 2 2 5" xfId="23098"/>
    <cellStyle name="40% - Accent1 4 2 3 2 2 6" xfId="27293"/>
    <cellStyle name="40% - Accent1 4 2 3 2 2 7" xfId="31189"/>
    <cellStyle name="40% - Accent1 4 2 3 2 3" xfId="8656"/>
    <cellStyle name="40% - Accent1 4 2 3 2 4" xfId="12941"/>
    <cellStyle name="40% - Accent1 4 2 3 2 5" xfId="17213"/>
    <cellStyle name="40% - Accent1 4 2 3 2 6" xfId="21448"/>
    <cellStyle name="40% - Accent1 4 2 3 2 7" xfId="25686"/>
    <cellStyle name="40% - Accent1 4 2 3 2 8" xfId="29764"/>
    <cellStyle name="40% - Accent1 4 2 3 2 9" xfId="3680"/>
    <cellStyle name="40% - Accent1 4 2 3 3" xfId="2829"/>
    <cellStyle name="40% - Accent1 4 2 3 3 2" xfId="7806"/>
    <cellStyle name="40% - Accent1 4 2 3 3 3" xfId="12095"/>
    <cellStyle name="40% - Accent1 4 2 3 3 4" xfId="16371"/>
    <cellStyle name="40% - Accent1 4 2 3 3 5" xfId="20612"/>
    <cellStyle name="40% - Accent1 4 2 3 3 6" xfId="24860"/>
    <cellStyle name="40% - Accent1 4 2 3 3 7" xfId="28957"/>
    <cellStyle name="40% - Accent1 4 2 3 4" xfId="4712"/>
    <cellStyle name="40% - Accent1 4 2 3 4 2" xfId="9686"/>
    <cellStyle name="40% - Accent1 4 2 3 4 3" xfId="13963"/>
    <cellStyle name="40% - Accent1 4 2 3 4 4" xfId="18222"/>
    <cellStyle name="40% - Accent1 4 2 3 4 5" xfId="22441"/>
    <cellStyle name="40% - Accent1 4 2 3 4 6" xfId="26636"/>
    <cellStyle name="40% - Accent1 4 2 3 4 7" xfId="30532"/>
    <cellStyle name="40% - Accent1 4 2 3 5" xfId="6060"/>
    <cellStyle name="40% - Accent1 4 2 3 5 2" xfId="11032"/>
    <cellStyle name="40% - Accent1 4 2 3 5 3" xfId="15310"/>
    <cellStyle name="40% - Accent1 4 2 3 5 4" xfId="19567"/>
    <cellStyle name="40% - Accent1 4 2 3 5 5" xfId="23784"/>
    <cellStyle name="40% - Accent1 4 2 3 5 6" xfId="27970"/>
    <cellStyle name="40% - Accent1 4 2 3 5 7" xfId="31849"/>
    <cellStyle name="40% - Accent1 4 2 3 6" xfId="6978"/>
    <cellStyle name="40% - Accent1 4 2 3 7" xfId="9064"/>
    <cellStyle name="40% - Accent1 4 2 3 8" xfId="13346"/>
    <cellStyle name="40% - Accent1 4 2 3 9" xfId="17618"/>
    <cellStyle name="40% - Accent1 4 2 4" xfId="1009"/>
    <cellStyle name="40% - Accent1 4 2 4 2" xfId="5040"/>
    <cellStyle name="40% - Accent1 4 2 4 2 2" xfId="10014"/>
    <cellStyle name="40% - Accent1 4 2 4 2 3" xfId="14291"/>
    <cellStyle name="40% - Accent1 4 2 4 2 4" xfId="18550"/>
    <cellStyle name="40% - Accent1 4 2 4 2 5" xfId="22769"/>
    <cellStyle name="40% - Accent1 4 2 4 2 6" xfId="26964"/>
    <cellStyle name="40% - Accent1 4 2 4 2 7" xfId="30860"/>
    <cellStyle name="40% - Accent1 4 2 4 3" xfId="8237"/>
    <cellStyle name="40% - Accent1 4 2 4 4" xfId="12522"/>
    <cellStyle name="40% - Accent1 4 2 4 5" xfId="16795"/>
    <cellStyle name="40% - Accent1 4 2 4 6" xfId="21031"/>
    <cellStyle name="40% - Accent1 4 2 4 7" xfId="25269"/>
    <cellStyle name="40% - Accent1 4 2 4 8" xfId="29347"/>
    <cellStyle name="40% - Accent1 4 2 4 9" xfId="3261"/>
    <cellStyle name="40% - Accent1 4 2 5" xfId="2377"/>
    <cellStyle name="40% - Accent1 4 2 5 2" xfId="7355"/>
    <cellStyle name="40% - Accent1 4 2 5 3" xfId="11644"/>
    <cellStyle name="40% - Accent1 4 2 5 4" xfId="15922"/>
    <cellStyle name="40% - Accent1 4 2 5 5" xfId="20171"/>
    <cellStyle name="40% - Accent1 4 2 5 6" xfId="24419"/>
    <cellStyle name="40% - Accent1 4 2 5 7" xfId="28539"/>
    <cellStyle name="40% - Accent1 4 2 6" xfId="4382"/>
    <cellStyle name="40% - Accent1 4 2 6 2" xfId="9356"/>
    <cellStyle name="40% - Accent1 4 2 6 3" xfId="13633"/>
    <cellStyle name="40% - Accent1 4 2 6 4" xfId="17893"/>
    <cellStyle name="40% - Accent1 4 2 6 5" xfId="22111"/>
    <cellStyle name="40% - Accent1 4 2 6 6" xfId="26307"/>
    <cellStyle name="40% - Accent1 4 2 6 7" xfId="30203"/>
    <cellStyle name="40% - Accent1 4 2 7" xfId="5731"/>
    <cellStyle name="40% - Accent1 4 2 7 2" xfId="10703"/>
    <cellStyle name="40% - Accent1 4 2 7 3" xfId="14981"/>
    <cellStyle name="40% - Accent1 4 2 7 4" xfId="19238"/>
    <cellStyle name="40% - Accent1 4 2 7 5" xfId="23455"/>
    <cellStyle name="40% - Accent1 4 2 7 6" xfId="27641"/>
    <cellStyle name="40% - Accent1 4 2 7 7" xfId="31520"/>
    <cellStyle name="40% - Accent1 4 2 8" xfId="6596"/>
    <cellStyle name="40% - Accent1 4 2 9" xfId="9229"/>
    <cellStyle name="40% - Accent1 4 3" xfId="400"/>
    <cellStyle name="40% - Accent1 4 3 10" xfId="17755"/>
    <cellStyle name="40% - Accent1 4 3 11" xfId="21974"/>
    <cellStyle name="40% - Accent1 4 3 12" xfId="26175"/>
    <cellStyle name="40% - Accent1 4 3 13" xfId="1763"/>
    <cellStyle name="40% - Accent1 4 3 2" xfId="774"/>
    <cellStyle name="40% - Accent1 4 3 2 10" xfId="24149"/>
    <cellStyle name="40% - Accent1 4 3 2 11" xfId="28301"/>
    <cellStyle name="40% - Accent1 4 3 2 12" xfId="2093"/>
    <cellStyle name="40% - Accent1 4 3 2 2" xfId="1431"/>
    <cellStyle name="40% - Accent1 4 3 2 2 2" xfId="5462"/>
    <cellStyle name="40% - Accent1 4 3 2 2 2 2" xfId="10436"/>
    <cellStyle name="40% - Accent1 4 3 2 2 2 3" xfId="14713"/>
    <cellStyle name="40% - Accent1 4 3 2 2 2 4" xfId="18972"/>
    <cellStyle name="40% - Accent1 4 3 2 2 2 5" xfId="23191"/>
    <cellStyle name="40% - Accent1 4 3 2 2 2 6" xfId="27386"/>
    <cellStyle name="40% - Accent1 4 3 2 2 2 7" xfId="31282"/>
    <cellStyle name="40% - Accent1 4 3 2 2 3" xfId="8657"/>
    <cellStyle name="40% - Accent1 4 3 2 2 4" xfId="12942"/>
    <cellStyle name="40% - Accent1 4 3 2 2 5" xfId="17214"/>
    <cellStyle name="40% - Accent1 4 3 2 2 6" xfId="21449"/>
    <cellStyle name="40% - Accent1 4 3 2 2 7" xfId="25687"/>
    <cellStyle name="40% - Accent1 4 3 2 2 8" xfId="29765"/>
    <cellStyle name="40% - Accent1 4 3 2 2 9" xfId="3681"/>
    <cellStyle name="40% - Accent1 4 3 2 3" xfId="2830"/>
    <cellStyle name="40% - Accent1 4 3 2 3 2" xfId="7807"/>
    <cellStyle name="40% - Accent1 4 3 2 3 3" xfId="12096"/>
    <cellStyle name="40% - Accent1 4 3 2 3 4" xfId="16372"/>
    <cellStyle name="40% - Accent1 4 3 2 3 5" xfId="20613"/>
    <cellStyle name="40% - Accent1 4 3 2 3 6" xfId="24861"/>
    <cellStyle name="40% - Accent1 4 3 2 3 7" xfId="28958"/>
    <cellStyle name="40% - Accent1 4 3 2 4" xfId="4805"/>
    <cellStyle name="40% - Accent1 4 3 2 4 2" xfId="9779"/>
    <cellStyle name="40% - Accent1 4 3 2 4 3" xfId="14056"/>
    <cellStyle name="40% - Accent1 4 3 2 4 4" xfId="18315"/>
    <cellStyle name="40% - Accent1 4 3 2 4 5" xfId="22534"/>
    <cellStyle name="40% - Accent1 4 3 2 4 6" xfId="26729"/>
    <cellStyle name="40% - Accent1 4 3 2 4 7" xfId="30625"/>
    <cellStyle name="40% - Accent1 4 3 2 5" xfId="6153"/>
    <cellStyle name="40% - Accent1 4 3 2 5 2" xfId="11125"/>
    <cellStyle name="40% - Accent1 4 3 2 5 3" xfId="15403"/>
    <cellStyle name="40% - Accent1 4 3 2 5 4" xfId="19660"/>
    <cellStyle name="40% - Accent1 4 3 2 5 5" xfId="23877"/>
    <cellStyle name="40% - Accent1 4 3 2 5 6" xfId="28063"/>
    <cellStyle name="40% - Accent1 4 3 2 5 7" xfId="31942"/>
    <cellStyle name="40% - Accent1 4 3 2 6" xfId="7071"/>
    <cellStyle name="40% - Accent1 4 3 2 7" xfId="11363"/>
    <cellStyle name="40% - Accent1 4 3 2 8" xfId="15641"/>
    <cellStyle name="40% - Accent1 4 3 2 9" xfId="19898"/>
    <cellStyle name="40% - Accent1 4 3 3" xfId="1102"/>
    <cellStyle name="40% - Accent1 4 3 3 2" xfId="5133"/>
    <cellStyle name="40% - Accent1 4 3 3 2 2" xfId="10107"/>
    <cellStyle name="40% - Accent1 4 3 3 2 3" xfId="14384"/>
    <cellStyle name="40% - Accent1 4 3 3 2 4" xfId="18643"/>
    <cellStyle name="40% - Accent1 4 3 3 2 5" xfId="22862"/>
    <cellStyle name="40% - Accent1 4 3 3 2 6" xfId="27057"/>
    <cellStyle name="40% - Accent1 4 3 3 2 7" xfId="30953"/>
    <cellStyle name="40% - Accent1 4 3 3 3" xfId="8328"/>
    <cellStyle name="40% - Accent1 4 3 3 4" xfId="12613"/>
    <cellStyle name="40% - Accent1 4 3 3 5" xfId="16885"/>
    <cellStyle name="40% - Accent1 4 3 3 6" xfId="21120"/>
    <cellStyle name="40% - Accent1 4 3 3 7" xfId="25358"/>
    <cellStyle name="40% - Accent1 4 3 3 8" xfId="29436"/>
    <cellStyle name="40% - Accent1 4 3 3 9" xfId="3352"/>
    <cellStyle name="40% - Accent1 4 3 4" xfId="2491"/>
    <cellStyle name="40% - Accent1 4 3 4 2" xfId="7468"/>
    <cellStyle name="40% - Accent1 4 3 4 3" xfId="11757"/>
    <cellStyle name="40% - Accent1 4 3 4 4" xfId="16035"/>
    <cellStyle name="40% - Accent1 4 3 4 5" xfId="20278"/>
    <cellStyle name="40% - Accent1 4 3 4 6" xfId="24524"/>
    <cellStyle name="40% - Accent1 4 3 4 7" xfId="28629"/>
    <cellStyle name="40% - Accent1 4 3 5" xfId="4475"/>
    <cellStyle name="40% - Accent1 4 3 5 2" xfId="9449"/>
    <cellStyle name="40% - Accent1 4 3 5 3" xfId="13726"/>
    <cellStyle name="40% - Accent1 4 3 5 4" xfId="17986"/>
    <cellStyle name="40% - Accent1 4 3 5 5" xfId="22204"/>
    <cellStyle name="40% - Accent1 4 3 5 6" xfId="26400"/>
    <cellStyle name="40% - Accent1 4 3 5 7" xfId="30296"/>
    <cellStyle name="40% - Accent1 4 3 6" xfId="5824"/>
    <cellStyle name="40% - Accent1 4 3 6 2" xfId="10796"/>
    <cellStyle name="40% - Accent1 4 3 6 3" xfId="15074"/>
    <cellStyle name="40% - Accent1 4 3 6 4" xfId="19331"/>
    <cellStyle name="40% - Accent1 4 3 6 5" xfId="23548"/>
    <cellStyle name="40% - Accent1 4 3 6 6" xfId="27734"/>
    <cellStyle name="40% - Accent1 4 3 6 7" xfId="31613"/>
    <cellStyle name="40% - Accent1 4 3 7" xfId="6698"/>
    <cellStyle name="40% - Accent1 4 3 8" xfId="9216"/>
    <cellStyle name="40% - Accent1 4 3 9" xfId="13494"/>
    <cellStyle name="40% - Accent1 4 4" xfId="514"/>
    <cellStyle name="40% - Accent1 4 4 10" xfId="9212"/>
    <cellStyle name="40% - Accent1 4 4 11" xfId="23357"/>
    <cellStyle name="40% - Accent1 4 4 12" xfId="21011"/>
    <cellStyle name="40% - Accent1 4 4 13" xfId="1877"/>
    <cellStyle name="40% - Accent1 4 4 2" xfId="888"/>
    <cellStyle name="40% - Accent1 4 4 2 10" xfId="24263"/>
    <cellStyle name="40% - Accent1 4 4 2 11" xfId="28415"/>
    <cellStyle name="40% - Accent1 4 4 2 12" xfId="2207"/>
    <cellStyle name="40% - Accent1 4 4 2 2" xfId="1545"/>
    <cellStyle name="40% - Accent1 4 4 2 2 2" xfId="5576"/>
    <cellStyle name="40% - Accent1 4 4 2 2 2 2" xfId="10550"/>
    <cellStyle name="40% - Accent1 4 4 2 2 2 3" xfId="14827"/>
    <cellStyle name="40% - Accent1 4 4 2 2 2 4" xfId="19086"/>
    <cellStyle name="40% - Accent1 4 4 2 2 2 5" xfId="23305"/>
    <cellStyle name="40% - Accent1 4 4 2 2 2 6" xfId="27500"/>
    <cellStyle name="40% - Accent1 4 4 2 2 2 7" xfId="31396"/>
    <cellStyle name="40% - Accent1 4 4 2 2 3" xfId="8658"/>
    <cellStyle name="40% - Accent1 4 4 2 2 4" xfId="12943"/>
    <cellStyle name="40% - Accent1 4 4 2 2 5" xfId="17215"/>
    <cellStyle name="40% - Accent1 4 4 2 2 6" xfId="21450"/>
    <cellStyle name="40% - Accent1 4 4 2 2 7" xfId="25688"/>
    <cellStyle name="40% - Accent1 4 4 2 2 8" xfId="29766"/>
    <cellStyle name="40% - Accent1 4 4 2 2 9" xfId="3682"/>
    <cellStyle name="40% - Accent1 4 4 2 3" xfId="2831"/>
    <cellStyle name="40% - Accent1 4 4 2 3 2" xfId="7808"/>
    <cellStyle name="40% - Accent1 4 4 2 3 3" xfId="12097"/>
    <cellStyle name="40% - Accent1 4 4 2 3 4" xfId="16373"/>
    <cellStyle name="40% - Accent1 4 4 2 3 5" xfId="20614"/>
    <cellStyle name="40% - Accent1 4 4 2 3 6" xfId="24862"/>
    <cellStyle name="40% - Accent1 4 4 2 3 7" xfId="28959"/>
    <cellStyle name="40% - Accent1 4 4 2 4" xfId="4919"/>
    <cellStyle name="40% - Accent1 4 4 2 4 2" xfId="9893"/>
    <cellStyle name="40% - Accent1 4 4 2 4 3" xfId="14170"/>
    <cellStyle name="40% - Accent1 4 4 2 4 4" xfId="18429"/>
    <cellStyle name="40% - Accent1 4 4 2 4 5" xfId="22648"/>
    <cellStyle name="40% - Accent1 4 4 2 4 6" xfId="26843"/>
    <cellStyle name="40% - Accent1 4 4 2 4 7" xfId="30739"/>
    <cellStyle name="40% - Accent1 4 4 2 5" xfId="6267"/>
    <cellStyle name="40% - Accent1 4 4 2 5 2" xfId="11239"/>
    <cellStyle name="40% - Accent1 4 4 2 5 3" xfId="15517"/>
    <cellStyle name="40% - Accent1 4 4 2 5 4" xfId="19774"/>
    <cellStyle name="40% - Accent1 4 4 2 5 5" xfId="23991"/>
    <cellStyle name="40% - Accent1 4 4 2 5 6" xfId="28177"/>
    <cellStyle name="40% - Accent1 4 4 2 5 7" xfId="32056"/>
    <cellStyle name="40% - Accent1 4 4 2 6" xfId="7185"/>
    <cellStyle name="40% - Accent1 4 4 2 7" xfId="11477"/>
    <cellStyle name="40% - Accent1 4 4 2 8" xfId="15755"/>
    <cellStyle name="40% - Accent1 4 4 2 9" xfId="20012"/>
    <cellStyle name="40% - Accent1 4 4 3" xfId="1216"/>
    <cellStyle name="40% - Accent1 4 4 3 2" xfId="5247"/>
    <cellStyle name="40% - Accent1 4 4 3 2 2" xfId="10221"/>
    <cellStyle name="40% - Accent1 4 4 3 2 3" xfId="14498"/>
    <cellStyle name="40% - Accent1 4 4 3 2 4" xfId="18757"/>
    <cellStyle name="40% - Accent1 4 4 3 2 5" xfId="22976"/>
    <cellStyle name="40% - Accent1 4 4 3 2 6" xfId="27171"/>
    <cellStyle name="40% - Accent1 4 4 3 2 7" xfId="31067"/>
    <cellStyle name="40% - Accent1 4 4 3 3" xfId="8457"/>
    <cellStyle name="40% - Accent1 4 4 3 4" xfId="12742"/>
    <cellStyle name="40% - Accent1 4 4 3 5" xfId="17014"/>
    <cellStyle name="40% - Accent1 4 4 3 6" xfId="21249"/>
    <cellStyle name="40% - Accent1 4 4 3 7" xfId="25487"/>
    <cellStyle name="40% - Accent1 4 4 3 8" xfId="29565"/>
    <cellStyle name="40% - Accent1 4 4 3 9" xfId="3481"/>
    <cellStyle name="40% - Accent1 4 4 4" xfId="2624"/>
    <cellStyle name="40% - Accent1 4 4 4 2" xfId="7601"/>
    <cellStyle name="40% - Accent1 4 4 4 3" xfId="11890"/>
    <cellStyle name="40% - Accent1 4 4 4 4" xfId="16166"/>
    <cellStyle name="40% - Accent1 4 4 4 5" xfId="20408"/>
    <cellStyle name="40% - Accent1 4 4 4 6" xfId="24655"/>
    <cellStyle name="40% - Accent1 4 4 4 7" xfId="28758"/>
    <cellStyle name="40% - Accent1 4 4 5" xfId="4589"/>
    <cellStyle name="40% - Accent1 4 4 5 2" xfId="9563"/>
    <cellStyle name="40% - Accent1 4 4 5 3" xfId="13840"/>
    <cellStyle name="40% - Accent1 4 4 5 4" xfId="18100"/>
    <cellStyle name="40% - Accent1 4 4 5 5" xfId="22318"/>
    <cellStyle name="40% - Accent1 4 4 5 6" xfId="26514"/>
    <cellStyle name="40% - Accent1 4 4 5 7" xfId="30410"/>
    <cellStyle name="40% - Accent1 4 4 6" xfId="5938"/>
    <cellStyle name="40% - Accent1 4 4 6 2" xfId="10910"/>
    <cellStyle name="40% - Accent1 4 4 6 3" xfId="15188"/>
    <cellStyle name="40% - Accent1 4 4 6 4" xfId="19445"/>
    <cellStyle name="40% - Accent1 4 4 6 5" xfId="23662"/>
    <cellStyle name="40% - Accent1 4 4 6 6" xfId="27848"/>
    <cellStyle name="40% - Accent1 4 4 6 7" xfId="31727"/>
    <cellStyle name="40% - Accent1 4 4 7" xfId="6812"/>
    <cellStyle name="40% - Accent1 4 4 8" xfId="6321"/>
    <cellStyle name="40% - Accent1 4 4 9" xfId="6559"/>
    <cellStyle name="40% - Accent1 4 5" xfId="615"/>
    <cellStyle name="40% - Accent1 4 5 10" xfId="15891"/>
    <cellStyle name="40% - Accent1 4 5 11" xfId="21812"/>
    <cellStyle name="40% - Accent1 4 5 12" xfId="24389"/>
    <cellStyle name="40% - Accent1 4 5 13" xfId="1934"/>
    <cellStyle name="40% - Accent1 4 5 2" xfId="1272"/>
    <cellStyle name="40% - Accent1 4 5 2 10" xfId="2833"/>
    <cellStyle name="40% - Accent1 4 5 2 2" xfId="3684"/>
    <cellStyle name="40% - Accent1 4 5 2 2 2" xfId="8660"/>
    <cellStyle name="40% - Accent1 4 5 2 2 3" xfId="12945"/>
    <cellStyle name="40% - Accent1 4 5 2 2 4" xfId="17217"/>
    <cellStyle name="40% - Accent1 4 5 2 2 5" xfId="21452"/>
    <cellStyle name="40% - Accent1 4 5 2 2 6" xfId="25690"/>
    <cellStyle name="40% - Accent1 4 5 2 2 7" xfId="29768"/>
    <cellStyle name="40% - Accent1 4 5 2 3" xfId="5303"/>
    <cellStyle name="40% - Accent1 4 5 2 3 2" xfId="10277"/>
    <cellStyle name="40% - Accent1 4 5 2 3 3" xfId="14554"/>
    <cellStyle name="40% - Accent1 4 5 2 3 4" xfId="18813"/>
    <cellStyle name="40% - Accent1 4 5 2 3 5" xfId="23032"/>
    <cellStyle name="40% - Accent1 4 5 2 3 6" xfId="27227"/>
    <cellStyle name="40% - Accent1 4 5 2 3 7" xfId="31123"/>
    <cellStyle name="40% - Accent1 4 5 2 4" xfId="7810"/>
    <cellStyle name="40% - Accent1 4 5 2 5" xfId="12099"/>
    <cellStyle name="40% - Accent1 4 5 2 6" xfId="16375"/>
    <cellStyle name="40% - Accent1 4 5 2 7" xfId="20616"/>
    <cellStyle name="40% - Accent1 4 5 2 8" xfId="24864"/>
    <cellStyle name="40% - Accent1 4 5 2 9" xfId="28961"/>
    <cellStyle name="40% - Accent1 4 5 3" xfId="3683"/>
    <cellStyle name="40% - Accent1 4 5 3 2" xfId="8659"/>
    <cellStyle name="40% - Accent1 4 5 3 3" xfId="12944"/>
    <cellStyle name="40% - Accent1 4 5 3 4" xfId="17216"/>
    <cellStyle name="40% - Accent1 4 5 3 5" xfId="21451"/>
    <cellStyle name="40% - Accent1 4 5 3 6" xfId="25689"/>
    <cellStyle name="40% - Accent1 4 5 3 7" xfId="29767"/>
    <cellStyle name="40% - Accent1 4 5 4" xfId="2832"/>
    <cellStyle name="40% - Accent1 4 5 4 2" xfId="7809"/>
    <cellStyle name="40% - Accent1 4 5 4 3" xfId="12098"/>
    <cellStyle name="40% - Accent1 4 5 4 4" xfId="16374"/>
    <cellStyle name="40% - Accent1 4 5 4 5" xfId="20615"/>
    <cellStyle name="40% - Accent1 4 5 4 6" xfId="24863"/>
    <cellStyle name="40% - Accent1 4 5 4 7" xfId="28960"/>
    <cellStyle name="40% - Accent1 4 5 5" xfId="4646"/>
    <cellStyle name="40% - Accent1 4 5 5 2" xfId="9620"/>
    <cellStyle name="40% - Accent1 4 5 5 3" xfId="13897"/>
    <cellStyle name="40% - Accent1 4 5 5 4" xfId="18156"/>
    <cellStyle name="40% - Accent1 4 5 5 5" xfId="22375"/>
    <cellStyle name="40% - Accent1 4 5 5 6" xfId="26570"/>
    <cellStyle name="40% - Accent1 4 5 5 7" xfId="30466"/>
    <cellStyle name="40% - Accent1 4 5 6" xfId="5994"/>
    <cellStyle name="40% - Accent1 4 5 6 2" xfId="10966"/>
    <cellStyle name="40% - Accent1 4 5 6 3" xfId="15244"/>
    <cellStyle name="40% - Accent1 4 5 6 4" xfId="19501"/>
    <cellStyle name="40% - Accent1 4 5 6 5" xfId="23718"/>
    <cellStyle name="40% - Accent1 4 5 6 6" xfId="27904"/>
    <cellStyle name="40% - Accent1 4 5 6 7" xfId="31783"/>
    <cellStyle name="40% - Accent1 4 5 7" xfId="6912"/>
    <cellStyle name="40% - Accent1 4 5 8" xfId="7323"/>
    <cellStyle name="40% - Accent1 4 5 9" xfId="11612"/>
    <cellStyle name="40% - Accent1 4 6" xfId="943"/>
    <cellStyle name="40% - Accent1 4 6 10" xfId="2834"/>
    <cellStyle name="40% - Accent1 4 6 2" xfId="3685"/>
    <cellStyle name="40% - Accent1 4 6 2 2" xfId="8661"/>
    <cellStyle name="40% - Accent1 4 6 2 3" xfId="12946"/>
    <cellStyle name="40% - Accent1 4 6 2 4" xfId="17218"/>
    <cellStyle name="40% - Accent1 4 6 2 5" xfId="21453"/>
    <cellStyle name="40% - Accent1 4 6 2 6" xfId="25691"/>
    <cellStyle name="40% - Accent1 4 6 2 7" xfId="29769"/>
    <cellStyle name="40% - Accent1 4 6 3" xfId="4974"/>
    <cellStyle name="40% - Accent1 4 6 3 2" xfId="9948"/>
    <cellStyle name="40% - Accent1 4 6 3 3" xfId="14225"/>
    <cellStyle name="40% - Accent1 4 6 3 4" xfId="18484"/>
    <cellStyle name="40% - Accent1 4 6 3 5" xfId="22703"/>
    <cellStyle name="40% - Accent1 4 6 3 6" xfId="26898"/>
    <cellStyle name="40% - Accent1 4 6 3 7" xfId="30794"/>
    <cellStyle name="40% - Accent1 4 6 4" xfId="7811"/>
    <cellStyle name="40% - Accent1 4 6 5" xfId="12100"/>
    <cellStyle name="40% - Accent1 4 6 6" xfId="16376"/>
    <cellStyle name="40% - Accent1 4 6 7" xfId="20617"/>
    <cellStyle name="40% - Accent1 4 6 8" xfId="24865"/>
    <cellStyle name="40% - Accent1 4 6 9" xfId="28962"/>
    <cellStyle name="40% - Accent1 4 7" xfId="3186"/>
    <cellStyle name="40% - Accent1 4 7 2" xfId="8162"/>
    <cellStyle name="40% - Accent1 4 7 3" xfId="12448"/>
    <cellStyle name="40% - Accent1 4 7 4" xfId="16722"/>
    <cellStyle name="40% - Accent1 4 7 5" xfId="20958"/>
    <cellStyle name="40% - Accent1 4 7 6" xfId="25198"/>
    <cellStyle name="40% - Accent1 4 7 7" xfId="29279"/>
    <cellStyle name="40% - Accent1 4 8" xfId="2273"/>
    <cellStyle name="40% - Accent1 4 8 2" xfId="7251"/>
    <cellStyle name="40% - Accent1 4 8 3" xfId="11541"/>
    <cellStyle name="40% - Accent1 4 8 4" xfId="15820"/>
    <cellStyle name="40% - Accent1 4 8 5" xfId="20075"/>
    <cellStyle name="40% - Accent1 4 8 6" xfId="24325"/>
    <cellStyle name="40% - Accent1 4 8 7" xfId="28470"/>
    <cellStyle name="40% - Accent1 4 9" xfId="4311"/>
    <cellStyle name="40% - Accent1 4 9 2" xfId="9285"/>
    <cellStyle name="40% - Accent1 4 9 3" xfId="13562"/>
    <cellStyle name="40% - Accent1 4 9 4" xfId="17822"/>
    <cellStyle name="40% - Accent1 4 9 5" xfId="22041"/>
    <cellStyle name="40% - Accent1 4 9 6" xfId="26239"/>
    <cellStyle name="40% - Accent1 4 9 7" xfId="30136"/>
    <cellStyle name="40% - Accent1 5" xfId="225"/>
    <cellStyle name="40% - Accent1 5 2" xfId="431"/>
    <cellStyle name="40% - Accent1 5 2 10" xfId="6502"/>
    <cellStyle name="40% - Accent1 5 2 11" xfId="26081"/>
    <cellStyle name="40% - Accent1 5 2 12" xfId="1794"/>
    <cellStyle name="40% - Accent1 5 2 2" xfId="805"/>
    <cellStyle name="40% - Accent1 5 2 2 10" xfId="19929"/>
    <cellStyle name="40% - Accent1 5 2 2 11" xfId="24180"/>
    <cellStyle name="40% - Accent1 5 2 2 12" xfId="28332"/>
    <cellStyle name="40% - Accent1 5 2 2 13" xfId="2124"/>
    <cellStyle name="40% - Accent1 5 2 2 2" xfId="1462"/>
    <cellStyle name="40% - Accent1 5 2 2 2 10" xfId="2835"/>
    <cellStyle name="40% - Accent1 5 2 2 2 2" xfId="3686"/>
    <cellStyle name="40% - Accent1 5 2 2 2 2 2" xfId="8662"/>
    <cellStyle name="40% - Accent1 5 2 2 2 2 3" xfId="12947"/>
    <cellStyle name="40% - Accent1 5 2 2 2 2 4" xfId="17219"/>
    <cellStyle name="40% - Accent1 5 2 2 2 2 5" xfId="21454"/>
    <cellStyle name="40% - Accent1 5 2 2 2 2 6" xfId="25692"/>
    <cellStyle name="40% - Accent1 5 2 2 2 2 7" xfId="29770"/>
    <cellStyle name="40% - Accent1 5 2 2 2 3" xfId="5493"/>
    <cellStyle name="40% - Accent1 5 2 2 2 3 2" xfId="10467"/>
    <cellStyle name="40% - Accent1 5 2 2 2 3 3" xfId="14744"/>
    <cellStyle name="40% - Accent1 5 2 2 2 3 4" xfId="19003"/>
    <cellStyle name="40% - Accent1 5 2 2 2 3 5" xfId="23222"/>
    <cellStyle name="40% - Accent1 5 2 2 2 3 6" xfId="27417"/>
    <cellStyle name="40% - Accent1 5 2 2 2 3 7" xfId="31313"/>
    <cellStyle name="40% - Accent1 5 2 2 2 4" xfId="7812"/>
    <cellStyle name="40% - Accent1 5 2 2 2 5" xfId="12101"/>
    <cellStyle name="40% - Accent1 5 2 2 2 6" xfId="16377"/>
    <cellStyle name="40% - Accent1 5 2 2 2 7" xfId="20618"/>
    <cellStyle name="40% - Accent1 5 2 2 2 8" xfId="24866"/>
    <cellStyle name="40% - Accent1 5 2 2 2 9" xfId="28963"/>
    <cellStyle name="40% - Accent1 5 2 2 3" xfId="3383"/>
    <cellStyle name="40% - Accent1 5 2 2 3 2" xfId="8359"/>
    <cellStyle name="40% - Accent1 5 2 2 3 3" xfId="12644"/>
    <cellStyle name="40% - Accent1 5 2 2 3 4" xfId="16916"/>
    <cellStyle name="40% - Accent1 5 2 2 3 5" xfId="21151"/>
    <cellStyle name="40% - Accent1 5 2 2 3 6" xfId="25389"/>
    <cellStyle name="40% - Accent1 5 2 2 3 7" xfId="29467"/>
    <cellStyle name="40% - Accent1 5 2 2 4" xfId="2522"/>
    <cellStyle name="40% - Accent1 5 2 2 4 2" xfId="7499"/>
    <cellStyle name="40% - Accent1 5 2 2 4 3" xfId="11788"/>
    <cellStyle name="40% - Accent1 5 2 2 4 4" xfId="16066"/>
    <cellStyle name="40% - Accent1 5 2 2 4 5" xfId="20309"/>
    <cellStyle name="40% - Accent1 5 2 2 4 6" xfId="24555"/>
    <cellStyle name="40% - Accent1 5 2 2 4 7" xfId="28660"/>
    <cellStyle name="40% - Accent1 5 2 2 5" xfId="4836"/>
    <cellStyle name="40% - Accent1 5 2 2 5 2" xfId="9810"/>
    <cellStyle name="40% - Accent1 5 2 2 5 3" xfId="14087"/>
    <cellStyle name="40% - Accent1 5 2 2 5 4" xfId="18346"/>
    <cellStyle name="40% - Accent1 5 2 2 5 5" xfId="22565"/>
    <cellStyle name="40% - Accent1 5 2 2 5 6" xfId="26760"/>
    <cellStyle name="40% - Accent1 5 2 2 5 7" xfId="30656"/>
    <cellStyle name="40% - Accent1 5 2 2 6" xfId="6184"/>
    <cellStyle name="40% - Accent1 5 2 2 6 2" xfId="11156"/>
    <cellStyle name="40% - Accent1 5 2 2 6 3" xfId="15434"/>
    <cellStyle name="40% - Accent1 5 2 2 6 4" xfId="19691"/>
    <cellStyle name="40% - Accent1 5 2 2 6 5" xfId="23908"/>
    <cellStyle name="40% - Accent1 5 2 2 6 6" xfId="28094"/>
    <cellStyle name="40% - Accent1 5 2 2 6 7" xfId="31973"/>
    <cellStyle name="40% - Accent1 5 2 2 7" xfId="7102"/>
    <cellStyle name="40% - Accent1 5 2 2 8" xfId="11394"/>
    <cellStyle name="40% - Accent1 5 2 2 9" xfId="15672"/>
    <cellStyle name="40% - Accent1 5 2 3" xfId="1133"/>
    <cellStyle name="40% - Accent1 5 2 3 2" xfId="5164"/>
    <cellStyle name="40% - Accent1 5 2 3 2 2" xfId="10138"/>
    <cellStyle name="40% - Accent1 5 2 3 2 3" xfId="14415"/>
    <cellStyle name="40% - Accent1 5 2 3 2 4" xfId="18674"/>
    <cellStyle name="40% - Accent1 5 2 3 2 5" xfId="22893"/>
    <cellStyle name="40% - Accent1 5 2 3 2 6" xfId="27088"/>
    <cellStyle name="40% - Accent1 5 2 3 2 7" xfId="30984"/>
    <cellStyle name="40% - Accent1 5 2 3 3" xfId="2424"/>
    <cellStyle name="40% - Accent1 5 2 4" xfId="4506"/>
    <cellStyle name="40% - Accent1 5 2 4 2" xfId="9480"/>
    <cellStyle name="40% - Accent1 5 2 4 3" xfId="13757"/>
    <cellStyle name="40% - Accent1 5 2 4 4" xfId="18017"/>
    <cellStyle name="40% - Accent1 5 2 4 5" xfId="22235"/>
    <cellStyle name="40% - Accent1 5 2 4 6" xfId="26431"/>
    <cellStyle name="40% - Accent1 5 2 4 7" xfId="30327"/>
    <cellStyle name="40% - Accent1 5 2 5" xfId="5855"/>
    <cellStyle name="40% - Accent1 5 2 5 2" xfId="10827"/>
    <cellStyle name="40% - Accent1 5 2 5 3" xfId="15105"/>
    <cellStyle name="40% - Accent1 5 2 5 4" xfId="19362"/>
    <cellStyle name="40% - Accent1 5 2 5 5" xfId="23579"/>
    <cellStyle name="40% - Accent1 5 2 5 6" xfId="27765"/>
    <cellStyle name="40% - Accent1 5 2 5 7" xfId="31644"/>
    <cellStyle name="40% - Accent1 5 2 6" xfId="6729"/>
    <cellStyle name="40% - Accent1 5 2 7" xfId="9083"/>
    <cellStyle name="40% - Accent1 5 2 8" xfId="13365"/>
    <cellStyle name="40% - Accent1 5 2 9" xfId="17634"/>
    <cellStyle name="40% - Accent1 5 3" xfId="263"/>
    <cellStyle name="40% - Accent1 5 3 10" xfId="21824"/>
    <cellStyle name="40% - Accent1 5 3 11" xfId="26176"/>
    <cellStyle name="40% - Accent1 5 3 12" xfId="1655"/>
    <cellStyle name="40% - Accent1 5 3 2" xfId="669"/>
    <cellStyle name="40% - Accent1 5 3 2 10" xfId="26205"/>
    <cellStyle name="40% - Accent1 5 3 2 11" xfId="1988"/>
    <cellStyle name="40% - Accent1 5 3 2 2" xfId="1326"/>
    <cellStyle name="40% - Accent1 5 3 2 2 2" xfId="5357"/>
    <cellStyle name="40% - Accent1 5 3 2 2 2 2" xfId="10331"/>
    <cellStyle name="40% - Accent1 5 3 2 2 2 3" xfId="14608"/>
    <cellStyle name="40% - Accent1 5 3 2 2 2 4" xfId="18867"/>
    <cellStyle name="40% - Accent1 5 3 2 2 2 5" xfId="23086"/>
    <cellStyle name="40% - Accent1 5 3 2 2 2 6" xfId="27281"/>
    <cellStyle name="40% - Accent1 5 3 2 2 2 7" xfId="31177"/>
    <cellStyle name="40% - Accent1 5 3 2 2 3" xfId="8663"/>
    <cellStyle name="40% - Accent1 5 3 2 2 4" xfId="12948"/>
    <cellStyle name="40% - Accent1 5 3 2 2 5" xfId="17220"/>
    <cellStyle name="40% - Accent1 5 3 2 2 6" xfId="21455"/>
    <cellStyle name="40% - Accent1 5 3 2 2 7" xfId="25693"/>
    <cellStyle name="40% - Accent1 5 3 2 2 8" xfId="29771"/>
    <cellStyle name="40% - Accent1 5 3 2 2 9" xfId="3687"/>
    <cellStyle name="40% - Accent1 5 3 2 3" xfId="4700"/>
    <cellStyle name="40% - Accent1 5 3 2 3 2" xfId="9674"/>
    <cellStyle name="40% - Accent1 5 3 2 3 3" xfId="13951"/>
    <cellStyle name="40% - Accent1 5 3 2 3 4" xfId="18210"/>
    <cellStyle name="40% - Accent1 5 3 2 3 5" xfId="22429"/>
    <cellStyle name="40% - Accent1 5 3 2 3 6" xfId="26624"/>
    <cellStyle name="40% - Accent1 5 3 2 3 7" xfId="30520"/>
    <cellStyle name="40% - Accent1 5 3 2 4" xfId="6048"/>
    <cellStyle name="40% - Accent1 5 3 2 4 2" xfId="11020"/>
    <cellStyle name="40% - Accent1 5 3 2 4 3" xfId="15298"/>
    <cellStyle name="40% - Accent1 5 3 2 4 4" xfId="19555"/>
    <cellStyle name="40% - Accent1 5 3 2 4 5" xfId="23772"/>
    <cellStyle name="40% - Accent1 5 3 2 4 6" xfId="27958"/>
    <cellStyle name="40% - Accent1 5 3 2 4 7" xfId="31837"/>
    <cellStyle name="40% - Accent1 5 3 2 5" xfId="6966"/>
    <cellStyle name="40% - Accent1 5 3 2 6" xfId="9251"/>
    <cellStyle name="40% - Accent1 5 3 2 7" xfId="13528"/>
    <cellStyle name="40% - Accent1 5 3 2 8" xfId="17788"/>
    <cellStyle name="40% - Accent1 5 3 2 9" xfId="24044"/>
    <cellStyle name="40% - Accent1 5 3 3" xfId="997"/>
    <cellStyle name="40% - Accent1 5 3 3 2" xfId="5028"/>
    <cellStyle name="40% - Accent1 5 3 3 2 2" xfId="10002"/>
    <cellStyle name="40% - Accent1 5 3 3 2 3" xfId="14279"/>
    <cellStyle name="40% - Accent1 5 3 3 2 4" xfId="18538"/>
    <cellStyle name="40% - Accent1 5 3 3 2 5" xfId="22757"/>
    <cellStyle name="40% - Accent1 5 3 3 2 6" xfId="26952"/>
    <cellStyle name="40% - Accent1 5 3 3 2 7" xfId="30848"/>
    <cellStyle name="40% - Accent1 5 3 3 3" xfId="7813"/>
    <cellStyle name="40% - Accent1 5 3 3 4" xfId="12102"/>
    <cellStyle name="40% - Accent1 5 3 3 5" xfId="16378"/>
    <cellStyle name="40% - Accent1 5 3 3 6" xfId="20619"/>
    <cellStyle name="40% - Accent1 5 3 3 7" xfId="24867"/>
    <cellStyle name="40% - Accent1 5 3 3 8" xfId="28964"/>
    <cellStyle name="40% - Accent1 5 3 3 9" xfId="2836"/>
    <cellStyle name="40% - Accent1 5 3 4" xfId="4369"/>
    <cellStyle name="40% - Accent1 5 3 4 2" xfId="9343"/>
    <cellStyle name="40% - Accent1 5 3 4 3" xfId="13620"/>
    <cellStyle name="40% - Accent1 5 3 4 4" xfId="17880"/>
    <cellStyle name="40% - Accent1 5 3 4 5" xfId="22099"/>
    <cellStyle name="40% - Accent1 5 3 4 6" xfId="26295"/>
    <cellStyle name="40% - Accent1 5 3 4 7" xfId="30191"/>
    <cellStyle name="40% - Accent1 5 3 5" xfId="5719"/>
    <cellStyle name="40% - Accent1 5 3 5 2" xfId="10691"/>
    <cellStyle name="40% - Accent1 5 3 5 3" xfId="14969"/>
    <cellStyle name="40% - Accent1 5 3 5 4" xfId="19226"/>
    <cellStyle name="40% - Accent1 5 3 5 5" xfId="23443"/>
    <cellStyle name="40% - Accent1 5 3 5 6" xfId="27629"/>
    <cellStyle name="40% - Accent1 5 3 5 7" xfId="31508"/>
    <cellStyle name="40% - Accent1 5 3 6" xfId="6561"/>
    <cellStyle name="40% - Accent1 5 3 7" xfId="9217"/>
    <cellStyle name="40% - Accent1 5 3 8" xfId="13495"/>
    <cellStyle name="40% - Accent1 5 3 9" xfId="17756"/>
    <cellStyle name="40% - Accent1 5 4" xfId="3222"/>
    <cellStyle name="40% - Accent1 5 4 2" xfId="8198"/>
    <cellStyle name="40% - Accent1 5 4 3" xfId="12484"/>
    <cellStyle name="40% - Accent1 5 4 4" xfId="16756"/>
    <cellStyle name="40% - Accent1 5 4 5" xfId="20994"/>
    <cellStyle name="40% - Accent1 5 4 6" xfId="25232"/>
    <cellStyle name="40% - Accent1 5 4 7" xfId="29313"/>
    <cellStyle name="40% - Accent1 5 5" xfId="2326"/>
    <cellStyle name="40% - Accent1 5 5 2" xfId="7304"/>
    <cellStyle name="40% - Accent1 5 5 3" xfId="11594"/>
    <cellStyle name="40% - Accent1 5 5 4" xfId="15872"/>
    <cellStyle name="40% - Accent1 5 5 5" xfId="20124"/>
    <cellStyle name="40% - Accent1 5 5 6" xfId="24373"/>
    <cellStyle name="40% - Accent1 5 5 7" xfId="28505"/>
    <cellStyle name="40% - Accent1 6" xfId="363"/>
    <cellStyle name="40% - Accent1 6 10" xfId="21835"/>
    <cellStyle name="40% - Accent1 6 11" xfId="24340"/>
    <cellStyle name="40% - Accent1 6 12" xfId="1726"/>
    <cellStyle name="40% - Accent1 6 2" xfId="737"/>
    <cellStyle name="40% - Accent1 6 2 10" xfId="19861"/>
    <cellStyle name="40% - Accent1 6 2 11" xfId="24112"/>
    <cellStyle name="40% - Accent1 6 2 12" xfId="28264"/>
    <cellStyle name="40% - Accent1 6 2 13" xfId="2056"/>
    <cellStyle name="40% - Accent1 6 2 2" xfId="1394"/>
    <cellStyle name="40% - Accent1 6 2 2 10" xfId="2837"/>
    <cellStyle name="40% - Accent1 6 2 2 2" xfId="3688"/>
    <cellStyle name="40% - Accent1 6 2 2 2 2" xfId="8664"/>
    <cellStyle name="40% - Accent1 6 2 2 2 3" xfId="12949"/>
    <cellStyle name="40% - Accent1 6 2 2 2 4" xfId="17221"/>
    <cellStyle name="40% - Accent1 6 2 2 2 5" xfId="21456"/>
    <cellStyle name="40% - Accent1 6 2 2 2 6" xfId="25694"/>
    <cellStyle name="40% - Accent1 6 2 2 2 7" xfId="29772"/>
    <cellStyle name="40% - Accent1 6 2 2 3" xfId="5425"/>
    <cellStyle name="40% - Accent1 6 2 2 3 2" xfId="10399"/>
    <cellStyle name="40% - Accent1 6 2 2 3 3" xfId="14676"/>
    <cellStyle name="40% - Accent1 6 2 2 3 4" xfId="18935"/>
    <cellStyle name="40% - Accent1 6 2 2 3 5" xfId="23154"/>
    <cellStyle name="40% - Accent1 6 2 2 3 6" xfId="27349"/>
    <cellStyle name="40% - Accent1 6 2 2 3 7" xfId="31245"/>
    <cellStyle name="40% - Accent1 6 2 2 4" xfId="7814"/>
    <cellStyle name="40% - Accent1 6 2 2 5" xfId="12103"/>
    <cellStyle name="40% - Accent1 6 2 2 6" xfId="16379"/>
    <cellStyle name="40% - Accent1 6 2 2 7" xfId="20620"/>
    <cellStyle name="40% - Accent1 6 2 2 8" xfId="24868"/>
    <cellStyle name="40% - Accent1 6 2 2 9" xfId="28965"/>
    <cellStyle name="40% - Accent1 6 2 3" xfId="3315"/>
    <cellStyle name="40% - Accent1 6 2 3 2" xfId="8291"/>
    <cellStyle name="40% - Accent1 6 2 3 3" xfId="12576"/>
    <cellStyle name="40% - Accent1 6 2 3 4" xfId="16848"/>
    <cellStyle name="40% - Accent1 6 2 3 5" xfId="21083"/>
    <cellStyle name="40% - Accent1 6 2 3 6" xfId="25321"/>
    <cellStyle name="40% - Accent1 6 2 3 7" xfId="29399"/>
    <cellStyle name="40% - Accent1 6 2 4" xfId="2454"/>
    <cellStyle name="40% - Accent1 6 2 4 2" xfId="7431"/>
    <cellStyle name="40% - Accent1 6 2 4 3" xfId="11720"/>
    <cellStyle name="40% - Accent1 6 2 4 4" xfId="15998"/>
    <cellStyle name="40% - Accent1 6 2 4 5" xfId="20241"/>
    <cellStyle name="40% - Accent1 6 2 4 6" xfId="24487"/>
    <cellStyle name="40% - Accent1 6 2 4 7" xfId="28592"/>
    <cellStyle name="40% - Accent1 6 2 5" xfId="4768"/>
    <cellStyle name="40% - Accent1 6 2 5 2" xfId="9742"/>
    <cellStyle name="40% - Accent1 6 2 5 3" xfId="14019"/>
    <cellStyle name="40% - Accent1 6 2 5 4" xfId="18278"/>
    <cellStyle name="40% - Accent1 6 2 5 5" xfId="22497"/>
    <cellStyle name="40% - Accent1 6 2 5 6" xfId="26692"/>
    <cellStyle name="40% - Accent1 6 2 5 7" xfId="30588"/>
    <cellStyle name="40% - Accent1 6 2 6" xfId="6116"/>
    <cellStyle name="40% - Accent1 6 2 6 2" xfId="11088"/>
    <cellStyle name="40% - Accent1 6 2 6 3" xfId="15366"/>
    <cellStyle name="40% - Accent1 6 2 6 4" xfId="19623"/>
    <cellStyle name="40% - Accent1 6 2 6 5" xfId="23840"/>
    <cellStyle name="40% - Accent1 6 2 6 6" xfId="28026"/>
    <cellStyle name="40% - Accent1 6 2 6 7" xfId="31905"/>
    <cellStyle name="40% - Accent1 6 2 7" xfId="7034"/>
    <cellStyle name="40% - Accent1 6 2 8" xfId="11326"/>
    <cellStyle name="40% - Accent1 6 2 9" xfId="15604"/>
    <cellStyle name="40% - Accent1 6 3" xfId="1065"/>
    <cellStyle name="40% - Accent1 6 3 2" xfId="5096"/>
    <cellStyle name="40% - Accent1 6 3 2 2" xfId="10070"/>
    <cellStyle name="40% - Accent1 6 3 2 3" xfId="14347"/>
    <cellStyle name="40% - Accent1 6 3 2 4" xfId="18606"/>
    <cellStyle name="40% - Accent1 6 3 2 5" xfId="22825"/>
    <cellStyle name="40% - Accent1 6 3 2 6" xfId="27020"/>
    <cellStyle name="40% - Accent1 6 3 2 7" xfId="30916"/>
    <cellStyle name="40% - Accent1 6 3 3" xfId="2345"/>
    <cellStyle name="40% - Accent1 6 4" xfId="4438"/>
    <cellStyle name="40% - Accent1 6 4 2" xfId="9412"/>
    <cellStyle name="40% - Accent1 6 4 3" xfId="13689"/>
    <cellStyle name="40% - Accent1 6 4 4" xfId="17949"/>
    <cellStyle name="40% - Accent1 6 4 5" xfId="22167"/>
    <cellStyle name="40% - Accent1 6 4 6" xfId="26363"/>
    <cellStyle name="40% - Accent1 6 4 7" xfId="30259"/>
    <cellStyle name="40% - Accent1 6 5" xfId="5787"/>
    <cellStyle name="40% - Accent1 6 5 2" xfId="10759"/>
    <cellStyle name="40% - Accent1 6 5 3" xfId="15037"/>
    <cellStyle name="40% - Accent1 6 5 4" xfId="19294"/>
    <cellStyle name="40% - Accent1 6 5 5" xfId="23511"/>
    <cellStyle name="40% - Accent1 6 5 6" xfId="27697"/>
    <cellStyle name="40% - Accent1 6 5 7" xfId="31576"/>
    <cellStyle name="40% - Accent1 6 6" xfId="6661"/>
    <cellStyle name="40% - Accent1 6 7" xfId="7268"/>
    <cellStyle name="40% - Accent1 6 8" xfId="11558"/>
    <cellStyle name="40% - Accent1 6 9" xfId="15836"/>
    <cellStyle name="40% - Accent1 7" xfId="555"/>
    <cellStyle name="40% - Accent1 7 2" xfId="2838"/>
    <cellStyle name="40% - Accent1 7 2 2" xfId="3689"/>
    <cellStyle name="40% - Accent1 7 2 2 2" xfId="8665"/>
    <cellStyle name="40% - Accent1 7 2 2 3" xfId="12950"/>
    <cellStyle name="40% - Accent1 7 2 2 4" xfId="17222"/>
    <cellStyle name="40% - Accent1 7 2 2 5" xfId="21457"/>
    <cellStyle name="40% - Accent1 7 2 2 6" xfId="25695"/>
    <cellStyle name="40% - Accent1 7 2 2 7" xfId="29773"/>
    <cellStyle name="40% - Accent1 7 2 3" xfId="7815"/>
    <cellStyle name="40% - Accent1 7 2 4" xfId="12104"/>
    <cellStyle name="40% - Accent1 7 2 5" xfId="16380"/>
    <cellStyle name="40% - Accent1 7 2 6" xfId="20621"/>
    <cellStyle name="40% - Accent1 7 2 7" xfId="24869"/>
    <cellStyle name="40% - Accent1 7 2 8" xfId="28966"/>
    <cellStyle name="40% - Accent1 7 3" xfId="3448"/>
    <cellStyle name="40% - Accent1 7 3 2" xfId="8424"/>
    <cellStyle name="40% - Accent1 7 3 3" xfId="12709"/>
    <cellStyle name="40% - Accent1 7 3 4" xfId="16981"/>
    <cellStyle name="40% - Accent1 7 3 5" xfId="21216"/>
    <cellStyle name="40% - Accent1 7 3 6" xfId="25454"/>
    <cellStyle name="40% - Accent1 7 3 7" xfId="29532"/>
    <cellStyle name="40% - Accent1 7 4" xfId="2589"/>
    <cellStyle name="40% - Accent1 7 4 2" xfId="7566"/>
    <cellStyle name="40% - Accent1 7 4 3" xfId="11855"/>
    <cellStyle name="40% - Accent1 7 4 4" xfId="16131"/>
    <cellStyle name="40% - Accent1 7 4 5" xfId="20374"/>
    <cellStyle name="40% - Accent1 7 4 6" xfId="24620"/>
    <cellStyle name="40% - Accent1 7 4 7" xfId="28725"/>
    <cellStyle name="40% - Accent1 8" xfId="2839"/>
    <cellStyle name="40% - Accent2" xfId="8" builtinId="35" customBuiltin="1"/>
    <cellStyle name="40% - Accent2 2" xfId="79"/>
    <cellStyle name="40% - Accent2 2 10" xfId="4294"/>
    <cellStyle name="40% - Accent2 2 10 2" xfId="9268"/>
    <cellStyle name="40% - Accent2 2 10 3" xfId="13545"/>
    <cellStyle name="40% - Accent2 2 10 4" xfId="17805"/>
    <cellStyle name="40% - Accent2 2 10 5" xfId="22024"/>
    <cellStyle name="40% - Accent2 2 10 6" xfId="26222"/>
    <cellStyle name="40% - Accent2 2 10 7" xfId="30119"/>
    <cellStyle name="40% - Accent2 2 11" xfId="5650"/>
    <cellStyle name="40% - Accent2 2 11 2" xfId="10622"/>
    <cellStyle name="40% - Accent2 2 11 3" xfId="14900"/>
    <cellStyle name="40% - Accent2 2 11 4" xfId="19157"/>
    <cellStyle name="40% - Accent2 2 11 5" xfId="23374"/>
    <cellStyle name="40% - Accent2 2 11 6" xfId="27560"/>
    <cellStyle name="40% - Accent2 2 11 7" xfId="31439"/>
    <cellStyle name="40% - Accent2 2 12" xfId="6379"/>
    <cellStyle name="40% - Accent2 2 13" xfId="6345"/>
    <cellStyle name="40% - Accent2 2 14" xfId="9346"/>
    <cellStyle name="40% - Accent2 2 15" xfId="13623"/>
    <cellStyle name="40% - Accent2 2 16" xfId="21951"/>
    <cellStyle name="40% - Accent2 2 17" xfId="17883"/>
    <cellStyle name="40% - Accent2 2 18" xfId="1584"/>
    <cellStyle name="40% - Accent2 2 2" xfId="169"/>
    <cellStyle name="40% - Accent2 2 2 10" xfId="5682"/>
    <cellStyle name="40% - Accent2 2 2 10 2" xfId="10654"/>
    <cellStyle name="40% - Accent2 2 2 10 3" xfId="14932"/>
    <cellStyle name="40% - Accent2 2 2 10 4" xfId="19189"/>
    <cellStyle name="40% - Accent2 2 2 10 5" xfId="23406"/>
    <cellStyle name="40% - Accent2 2 2 10 6" xfId="27592"/>
    <cellStyle name="40% - Accent2 2 2 10 7" xfId="31471"/>
    <cellStyle name="40% - Accent2 2 2 11" xfId="6468"/>
    <cellStyle name="40% - Accent2 2 2 12" xfId="6568"/>
    <cellStyle name="40% - Accent2 2 2 13" xfId="9000"/>
    <cellStyle name="40% - Accent2 2 2 14" xfId="13282"/>
    <cellStyle name="40% - Accent2 2 2 15" xfId="7965"/>
    <cellStyle name="40% - Accent2 2 2 16" xfId="20150"/>
    <cellStyle name="40% - Accent2 2 2 17" xfId="1617"/>
    <cellStyle name="40% - Accent2 2 2 2" xfId="313"/>
    <cellStyle name="40% - Accent2 2 2 2 10" xfId="7406"/>
    <cellStyle name="40% - Accent2 2 2 2 11" xfId="11694"/>
    <cellStyle name="40% - Accent2 2 2 2 12" xfId="21855"/>
    <cellStyle name="40% - Accent2 2 2 2 13" xfId="17597"/>
    <cellStyle name="40% - Accent2 2 2 2 14" xfId="1685"/>
    <cellStyle name="40% - Accent2 2 2 2 2" xfId="477"/>
    <cellStyle name="40% - Accent2 2 2 2 2 10" xfId="16697"/>
    <cellStyle name="40% - Accent2 2 2 2 2 11" xfId="17579"/>
    <cellStyle name="40% - Accent2 2 2 2 2 12" xfId="25174"/>
    <cellStyle name="40% - Accent2 2 2 2 2 13" xfId="1840"/>
    <cellStyle name="40% - Accent2 2 2 2 2 2" xfId="851"/>
    <cellStyle name="40% - Accent2 2 2 2 2 2 10" xfId="24226"/>
    <cellStyle name="40% - Accent2 2 2 2 2 2 11" xfId="28378"/>
    <cellStyle name="40% - Accent2 2 2 2 2 2 12" xfId="2170"/>
    <cellStyle name="40% - Accent2 2 2 2 2 2 2" xfId="1508"/>
    <cellStyle name="40% - Accent2 2 2 2 2 2 2 2" xfId="5539"/>
    <cellStyle name="40% - Accent2 2 2 2 2 2 2 2 2" xfId="10513"/>
    <cellStyle name="40% - Accent2 2 2 2 2 2 2 2 3" xfId="14790"/>
    <cellStyle name="40% - Accent2 2 2 2 2 2 2 2 4" xfId="19049"/>
    <cellStyle name="40% - Accent2 2 2 2 2 2 2 2 5" xfId="23268"/>
    <cellStyle name="40% - Accent2 2 2 2 2 2 2 2 6" xfId="27463"/>
    <cellStyle name="40% - Accent2 2 2 2 2 2 2 2 7" xfId="31359"/>
    <cellStyle name="40% - Accent2 2 2 2 2 2 2 3" xfId="8666"/>
    <cellStyle name="40% - Accent2 2 2 2 2 2 2 4" xfId="12951"/>
    <cellStyle name="40% - Accent2 2 2 2 2 2 2 5" xfId="17223"/>
    <cellStyle name="40% - Accent2 2 2 2 2 2 2 6" xfId="21458"/>
    <cellStyle name="40% - Accent2 2 2 2 2 2 2 7" xfId="25696"/>
    <cellStyle name="40% - Accent2 2 2 2 2 2 2 8" xfId="29774"/>
    <cellStyle name="40% - Accent2 2 2 2 2 2 2 9" xfId="3690"/>
    <cellStyle name="40% - Accent2 2 2 2 2 2 3" xfId="2840"/>
    <cellStyle name="40% - Accent2 2 2 2 2 2 3 2" xfId="7817"/>
    <cellStyle name="40% - Accent2 2 2 2 2 2 3 3" xfId="12106"/>
    <cellStyle name="40% - Accent2 2 2 2 2 2 3 4" xfId="16382"/>
    <cellStyle name="40% - Accent2 2 2 2 2 2 3 5" xfId="20622"/>
    <cellStyle name="40% - Accent2 2 2 2 2 2 3 6" xfId="24871"/>
    <cellStyle name="40% - Accent2 2 2 2 2 2 3 7" xfId="28967"/>
    <cellStyle name="40% - Accent2 2 2 2 2 2 4" xfId="4882"/>
    <cellStyle name="40% - Accent2 2 2 2 2 2 4 2" xfId="9856"/>
    <cellStyle name="40% - Accent2 2 2 2 2 2 4 3" xfId="14133"/>
    <cellStyle name="40% - Accent2 2 2 2 2 2 4 4" xfId="18392"/>
    <cellStyle name="40% - Accent2 2 2 2 2 2 4 5" xfId="22611"/>
    <cellStyle name="40% - Accent2 2 2 2 2 2 4 6" xfId="26806"/>
    <cellStyle name="40% - Accent2 2 2 2 2 2 4 7" xfId="30702"/>
    <cellStyle name="40% - Accent2 2 2 2 2 2 5" xfId="6230"/>
    <cellStyle name="40% - Accent2 2 2 2 2 2 5 2" xfId="11202"/>
    <cellStyle name="40% - Accent2 2 2 2 2 2 5 3" xfId="15480"/>
    <cellStyle name="40% - Accent2 2 2 2 2 2 5 4" xfId="19737"/>
    <cellStyle name="40% - Accent2 2 2 2 2 2 5 5" xfId="23954"/>
    <cellStyle name="40% - Accent2 2 2 2 2 2 5 6" xfId="28140"/>
    <cellStyle name="40% - Accent2 2 2 2 2 2 5 7" xfId="32019"/>
    <cellStyle name="40% - Accent2 2 2 2 2 2 6" xfId="7148"/>
    <cellStyle name="40% - Accent2 2 2 2 2 2 7" xfId="11440"/>
    <cellStyle name="40% - Accent2 2 2 2 2 2 8" xfId="15718"/>
    <cellStyle name="40% - Accent2 2 2 2 2 2 9" xfId="19975"/>
    <cellStyle name="40% - Accent2 2 2 2 2 3" xfId="1179"/>
    <cellStyle name="40% - Accent2 2 2 2 2 3 2" xfId="5210"/>
    <cellStyle name="40% - Accent2 2 2 2 2 3 2 2" xfId="10184"/>
    <cellStyle name="40% - Accent2 2 2 2 2 3 2 3" xfId="14461"/>
    <cellStyle name="40% - Accent2 2 2 2 2 3 2 4" xfId="18720"/>
    <cellStyle name="40% - Accent2 2 2 2 2 3 2 5" xfId="22939"/>
    <cellStyle name="40% - Accent2 2 2 2 2 3 2 6" xfId="27134"/>
    <cellStyle name="40% - Accent2 2 2 2 2 3 2 7" xfId="31030"/>
    <cellStyle name="40% - Accent2 2 2 2 2 3 3" xfId="8405"/>
    <cellStyle name="40% - Accent2 2 2 2 2 3 4" xfId="12690"/>
    <cellStyle name="40% - Accent2 2 2 2 2 3 5" xfId="16962"/>
    <cellStyle name="40% - Accent2 2 2 2 2 3 6" xfId="21197"/>
    <cellStyle name="40% - Accent2 2 2 2 2 3 7" xfId="25435"/>
    <cellStyle name="40% - Accent2 2 2 2 2 3 8" xfId="29513"/>
    <cellStyle name="40% - Accent2 2 2 2 2 3 9" xfId="3429"/>
    <cellStyle name="40% - Accent2 2 2 2 2 4" xfId="2568"/>
    <cellStyle name="40% - Accent2 2 2 2 2 4 2" xfId="7545"/>
    <cellStyle name="40% - Accent2 2 2 2 2 4 3" xfId="11834"/>
    <cellStyle name="40% - Accent2 2 2 2 2 4 4" xfId="16112"/>
    <cellStyle name="40% - Accent2 2 2 2 2 4 5" xfId="20355"/>
    <cellStyle name="40% - Accent2 2 2 2 2 4 6" xfId="24601"/>
    <cellStyle name="40% - Accent2 2 2 2 2 4 7" xfId="28706"/>
    <cellStyle name="40% - Accent2 2 2 2 2 5" xfId="4552"/>
    <cellStyle name="40% - Accent2 2 2 2 2 5 2" xfId="9526"/>
    <cellStyle name="40% - Accent2 2 2 2 2 5 3" xfId="13803"/>
    <cellStyle name="40% - Accent2 2 2 2 2 5 4" xfId="18063"/>
    <cellStyle name="40% - Accent2 2 2 2 2 5 5" xfId="22281"/>
    <cellStyle name="40% - Accent2 2 2 2 2 5 6" xfId="26477"/>
    <cellStyle name="40% - Accent2 2 2 2 2 5 7" xfId="30373"/>
    <cellStyle name="40% - Accent2 2 2 2 2 6" xfId="5901"/>
    <cellStyle name="40% - Accent2 2 2 2 2 6 2" xfId="10873"/>
    <cellStyle name="40% - Accent2 2 2 2 2 6 3" xfId="15151"/>
    <cellStyle name="40% - Accent2 2 2 2 2 6 4" xfId="19408"/>
    <cellStyle name="40% - Accent2 2 2 2 2 6 5" xfId="23625"/>
    <cellStyle name="40% - Accent2 2 2 2 2 6 6" xfId="27811"/>
    <cellStyle name="40% - Accent2 2 2 2 2 6 7" xfId="31690"/>
    <cellStyle name="40% - Accent2 2 2 2 2 7" xfId="6775"/>
    <cellStyle name="40% - Accent2 2 2 2 2 8" xfId="8135"/>
    <cellStyle name="40% - Accent2 2 2 2 2 9" xfId="12422"/>
    <cellStyle name="40% - Accent2 2 2 2 3" xfId="696"/>
    <cellStyle name="40% - Accent2 2 2 2 3 10" xfId="24071"/>
    <cellStyle name="40% - Accent2 2 2 2 3 11" xfId="28223"/>
    <cellStyle name="40% - Accent2 2 2 2 3 12" xfId="2015"/>
    <cellStyle name="40% - Accent2 2 2 2 3 2" xfId="1353"/>
    <cellStyle name="40% - Accent2 2 2 2 3 2 2" xfId="5384"/>
    <cellStyle name="40% - Accent2 2 2 2 3 2 2 2" xfId="10358"/>
    <cellStyle name="40% - Accent2 2 2 2 3 2 2 3" xfId="14635"/>
    <cellStyle name="40% - Accent2 2 2 2 3 2 2 4" xfId="18894"/>
    <cellStyle name="40% - Accent2 2 2 2 3 2 2 5" xfId="23113"/>
    <cellStyle name="40% - Accent2 2 2 2 3 2 2 6" xfId="27308"/>
    <cellStyle name="40% - Accent2 2 2 2 3 2 2 7" xfId="31204"/>
    <cellStyle name="40% - Accent2 2 2 2 3 2 3" xfId="8667"/>
    <cellStyle name="40% - Accent2 2 2 2 3 2 4" xfId="12952"/>
    <cellStyle name="40% - Accent2 2 2 2 3 2 5" xfId="17224"/>
    <cellStyle name="40% - Accent2 2 2 2 3 2 6" xfId="21459"/>
    <cellStyle name="40% - Accent2 2 2 2 3 2 7" xfId="25697"/>
    <cellStyle name="40% - Accent2 2 2 2 3 2 8" xfId="29775"/>
    <cellStyle name="40% - Accent2 2 2 2 3 2 9" xfId="3691"/>
    <cellStyle name="40% - Accent2 2 2 2 3 3" xfId="2841"/>
    <cellStyle name="40% - Accent2 2 2 2 3 3 2" xfId="7818"/>
    <cellStyle name="40% - Accent2 2 2 2 3 3 3" xfId="12107"/>
    <cellStyle name="40% - Accent2 2 2 2 3 3 4" xfId="16383"/>
    <cellStyle name="40% - Accent2 2 2 2 3 3 5" xfId="20623"/>
    <cellStyle name="40% - Accent2 2 2 2 3 3 6" xfId="24872"/>
    <cellStyle name="40% - Accent2 2 2 2 3 3 7" xfId="28968"/>
    <cellStyle name="40% - Accent2 2 2 2 3 4" xfId="4727"/>
    <cellStyle name="40% - Accent2 2 2 2 3 4 2" xfId="9701"/>
    <cellStyle name="40% - Accent2 2 2 2 3 4 3" xfId="13978"/>
    <cellStyle name="40% - Accent2 2 2 2 3 4 4" xfId="18237"/>
    <cellStyle name="40% - Accent2 2 2 2 3 4 5" xfId="22456"/>
    <cellStyle name="40% - Accent2 2 2 2 3 4 6" xfId="26651"/>
    <cellStyle name="40% - Accent2 2 2 2 3 4 7" xfId="30547"/>
    <cellStyle name="40% - Accent2 2 2 2 3 5" xfId="6075"/>
    <cellStyle name="40% - Accent2 2 2 2 3 5 2" xfId="11047"/>
    <cellStyle name="40% - Accent2 2 2 2 3 5 3" xfId="15325"/>
    <cellStyle name="40% - Accent2 2 2 2 3 5 4" xfId="19582"/>
    <cellStyle name="40% - Accent2 2 2 2 3 5 5" xfId="23799"/>
    <cellStyle name="40% - Accent2 2 2 2 3 5 6" xfId="27985"/>
    <cellStyle name="40% - Accent2 2 2 2 3 5 7" xfId="31864"/>
    <cellStyle name="40% - Accent2 2 2 2 3 6" xfId="6993"/>
    <cellStyle name="40% - Accent2 2 2 2 3 7" xfId="11285"/>
    <cellStyle name="40% - Accent2 2 2 2 3 8" xfId="15563"/>
    <cellStyle name="40% - Accent2 2 2 2 3 9" xfId="19820"/>
    <cellStyle name="40% - Accent2 2 2 2 4" xfId="1024"/>
    <cellStyle name="40% - Accent2 2 2 2 4 2" xfId="5055"/>
    <cellStyle name="40% - Accent2 2 2 2 4 2 2" xfId="10029"/>
    <cellStyle name="40% - Accent2 2 2 2 4 2 3" xfId="14306"/>
    <cellStyle name="40% - Accent2 2 2 2 4 2 4" xfId="18565"/>
    <cellStyle name="40% - Accent2 2 2 2 4 2 5" xfId="22784"/>
    <cellStyle name="40% - Accent2 2 2 2 4 2 6" xfId="26979"/>
    <cellStyle name="40% - Accent2 2 2 2 4 2 7" xfId="30875"/>
    <cellStyle name="40% - Accent2 2 2 2 4 3" xfId="8253"/>
    <cellStyle name="40% - Accent2 2 2 2 4 4" xfId="12538"/>
    <cellStyle name="40% - Accent2 2 2 2 4 5" xfId="16811"/>
    <cellStyle name="40% - Accent2 2 2 2 4 6" xfId="21047"/>
    <cellStyle name="40% - Accent2 2 2 2 4 7" xfId="25285"/>
    <cellStyle name="40% - Accent2 2 2 2 4 8" xfId="29363"/>
    <cellStyle name="40% - Accent2 2 2 2 4 9" xfId="3277"/>
    <cellStyle name="40% - Accent2 2 2 2 5" xfId="2393"/>
    <cellStyle name="40% - Accent2 2 2 2 5 2" xfId="7371"/>
    <cellStyle name="40% - Accent2 2 2 2 5 3" xfId="11660"/>
    <cellStyle name="40% - Accent2 2 2 2 5 4" xfId="15938"/>
    <cellStyle name="40% - Accent2 2 2 2 5 5" xfId="20187"/>
    <cellStyle name="40% - Accent2 2 2 2 5 6" xfId="24435"/>
    <cellStyle name="40% - Accent2 2 2 2 5 7" xfId="28555"/>
    <cellStyle name="40% - Accent2 2 2 2 6" xfId="4397"/>
    <cellStyle name="40% - Accent2 2 2 2 6 2" xfId="9371"/>
    <cellStyle name="40% - Accent2 2 2 2 6 3" xfId="13648"/>
    <cellStyle name="40% - Accent2 2 2 2 6 4" xfId="17908"/>
    <cellStyle name="40% - Accent2 2 2 2 6 5" xfId="22126"/>
    <cellStyle name="40% - Accent2 2 2 2 6 6" xfId="26322"/>
    <cellStyle name="40% - Accent2 2 2 2 6 7" xfId="30218"/>
    <cellStyle name="40% - Accent2 2 2 2 7" xfId="5746"/>
    <cellStyle name="40% - Accent2 2 2 2 7 2" xfId="10718"/>
    <cellStyle name="40% - Accent2 2 2 2 7 3" xfId="14996"/>
    <cellStyle name="40% - Accent2 2 2 2 7 4" xfId="19253"/>
    <cellStyle name="40% - Accent2 2 2 2 7 5" xfId="23470"/>
    <cellStyle name="40% - Accent2 2 2 2 7 6" xfId="27656"/>
    <cellStyle name="40% - Accent2 2 2 2 7 7" xfId="31535"/>
    <cellStyle name="40% - Accent2 2 2 2 8" xfId="6611"/>
    <cellStyle name="40% - Accent2 2 2 2 9" xfId="6874"/>
    <cellStyle name="40% - Accent2 2 2 3" xfId="416"/>
    <cellStyle name="40% - Accent2 2 2 3 10" xfId="15897"/>
    <cellStyle name="40% - Accent2 2 2 3 11" xfId="20153"/>
    <cellStyle name="40% - Accent2 2 2 3 12" xfId="24394"/>
    <cellStyle name="40% - Accent2 2 2 3 13" xfId="1779"/>
    <cellStyle name="40% - Accent2 2 2 3 2" xfId="790"/>
    <cellStyle name="40% - Accent2 2 2 3 2 10" xfId="24165"/>
    <cellStyle name="40% - Accent2 2 2 3 2 11" xfId="28317"/>
    <cellStyle name="40% - Accent2 2 2 3 2 12" xfId="2109"/>
    <cellStyle name="40% - Accent2 2 2 3 2 2" xfId="1447"/>
    <cellStyle name="40% - Accent2 2 2 3 2 2 2" xfId="5478"/>
    <cellStyle name="40% - Accent2 2 2 3 2 2 2 2" xfId="10452"/>
    <cellStyle name="40% - Accent2 2 2 3 2 2 2 3" xfId="14729"/>
    <cellStyle name="40% - Accent2 2 2 3 2 2 2 4" xfId="18988"/>
    <cellStyle name="40% - Accent2 2 2 3 2 2 2 5" xfId="23207"/>
    <cellStyle name="40% - Accent2 2 2 3 2 2 2 6" xfId="27402"/>
    <cellStyle name="40% - Accent2 2 2 3 2 2 2 7" xfId="31298"/>
    <cellStyle name="40% - Accent2 2 2 3 2 2 3" xfId="8668"/>
    <cellStyle name="40% - Accent2 2 2 3 2 2 4" xfId="12953"/>
    <cellStyle name="40% - Accent2 2 2 3 2 2 5" xfId="17225"/>
    <cellStyle name="40% - Accent2 2 2 3 2 2 6" xfId="21460"/>
    <cellStyle name="40% - Accent2 2 2 3 2 2 7" xfId="25698"/>
    <cellStyle name="40% - Accent2 2 2 3 2 2 8" xfId="29776"/>
    <cellStyle name="40% - Accent2 2 2 3 2 2 9" xfId="3692"/>
    <cellStyle name="40% - Accent2 2 2 3 2 3" xfId="2842"/>
    <cellStyle name="40% - Accent2 2 2 3 2 3 2" xfId="7819"/>
    <cellStyle name="40% - Accent2 2 2 3 2 3 3" xfId="12108"/>
    <cellStyle name="40% - Accent2 2 2 3 2 3 4" xfId="16384"/>
    <cellStyle name="40% - Accent2 2 2 3 2 3 5" xfId="20624"/>
    <cellStyle name="40% - Accent2 2 2 3 2 3 6" xfId="24873"/>
    <cellStyle name="40% - Accent2 2 2 3 2 3 7" xfId="28969"/>
    <cellStyle name="40% - Accent2 2 2 3 2 4" xfId="4821"/>
    <cellStyle name="40% - Accent2 2 2 3 2 4 2" xfId="9795"/>
    <cellStyle name="40% - Accent2 2 2 3 2 4 3" xfId="14072"/>
    <cellStyle name="40% - Accent2 2 2 3 2 4 4" xfId="18331"/>
    <cellStyle name="40% - Accent2 2 2 3 2 4 5" xfId="22550"/>
    <cellStyle name="40% - Accent2 2 2 3 2 4 6" xfId="26745"/>
    <cellStyle name="40% - Accent2 2 2 3 2 4 7" xfId="30641"/>
    <cellStyle name="40% - Accent2 2 2 3 2 5" xfId="6169"/>
    <cellStyle name="40% - Accent2 2 2 3 2 5 2" xfId="11141"/>
    <cellStyle name="40% - Accent2 2 2 3 2 5 3" xfId="15419"/>
    <cellStyle name="40% - Accent2 2 2 3 2 5 4" xfId="19676"/>
    <cellStyle name="40% - Accent2 2 2 3 2 5 5" xfId="23893"/>
    <cellStyle name="40% - Accent2 2 2 3 2 5 6" xfId="28079"/>
    <cellStyle name="40% - Accent2 2 2 3 2 5 7" xfId="31958"/>
    <cellStyle name="40% - Accent2 2 2 3 2 6" xfId="7087"/>
    <cellStyle name="40% - Accent2 2 2 3 2 7" xfId="11379"/>
    <cellStyle name="40% - Accent2 2 2 3 2 8" xfId="15657"/>
    <cellStyle name="40% - Accent2 2 2 3 2 9" xfId="19914"/>
    <cellStyle name="40% - Accent2 2 2 3 3" xfId="1118"/>
    <cellStyle name="40% - Accent2 2 2 3 3 2" xfId="5149"/>
    <cellStyle name="40% - Accent2 2 2 3 3 2 2" xfId="10123"/>
    <cellStyle name="40% - Accent2 2 2 3 3 2 3" xfId="14400"/>
    <cellStyle name="40% - Accent2 2 2 3 3 2 4" xfId="18659"/>
    <cellStyle name="40% - Accent2 2 2 3 3 2 5" xfId="22878"/>
    <cellStyle name="40% - Accent2 2 2 3 3 2 6" xfId="27073"/>
    <cellStyle name="40% - Accent2 2 2 3 3 2 7" xfId="30969"/>
    <cellStyle name="40% - Accent2 2 2 3 3 3" xfId="8344"/>
    <cellStyle name="40% - Accent2 2 2 3 3 4" xfId="12629"/>
    <cellStyle name="40% - Accent2 2 2 3 3 5" xfId="16901"/>
    <cellStyle name="40% - Accent2 2 2 3 3 6" xfId="21136"/>
    <cellStyle name="40% - Accent2 2 2 3 3 7" xfId="25374"/>
    <cellStyle name="40% - Accent2 2 2 3 3 8" xfId="29452"/>
    <cellStyle name="40% - Accent2 2 2 3 3 9" xfId="3368"/>
    <cellStyle name="40% - Accent2 2 2 3 4" xfId="2507"/>
    <cellStyle name="40% - Accent2 2 2 3 4 2" xfId="7484"/>
    <cellStyle name="40% - Accent2 2 2 3 4 3" xfId="11773"/>
    <cellStyle name="40% - Accent2 2 2 3 4 4" xfId="16051"/>
    <cellStyle name="40% - Accent2 2 2 3 4 5" xfId="20294"/>
    <cellStyle name="40% - Accent2 2 2 3 4 6" xfId="24540"/>
    <cellStyle name="40% - Accent2 2 2 3 4 7" xfId="28645"/>
    <cellStyle name="40% - Accent2 2 2 3 5" xfId="4491"/>
    <cellStyle name="40% - Accent2 2 2 3 5 2" xfId="9465"/>
    <cellStyle name="40% - Accent2 2 2 3 5 3" xfId="13742"/>
    <cellStyle name="40% - Accent2 2 2 3 5 4" xfId="18002"/>
    <cellStyle name="40% - Accent2 2 2 3 5 5" xfId="22220"/>
    <cellStyle name="40% - Accent2 2 2 3 5 6" xfId="26416"/>
    <cellStyle name="40% - Accent2 2 2 3 5 7" xfId="30312"/>
    <cellStyle name="40% - Accent2 2 2 3 6" xfId="5840"/>
    <cellStyle name="40% - Accent2 2 2 3 6 2" xfId="10812"/>
    <cellStyle name="40% - Accent2 2 2 3 6 3" xfId="15090"/>
    <cellStyle name="40% - Accent2 2 2 3 6 4" xfId="19347"/>
    <cellStyle name="40% - Accent2 2 2 3 6 5" xfId="23564"/>
    <cellStyle name="40% - Accent2 2 2 3 6 6" xfId="27750"/>
    <cellStyle name="40% - Accent2 2 2 3 6 7" xfId="31629"/>
    <cellStyle name="40% - Accent2 2 2 3 7" xfId="6714"/>
    <cellStyle name="40% - Accent2 2 2 3 8" xfId="7329"/>
    <cellStyle name="40% - Accent2 2 2 3 9" xfId="11618"/>
    <cellStyle name="40% - Accent2 2 2 4" xfId="530"/>
    <cellStyle name="40% - Accent2 2 2 4 10" xfId="19135"/>
    <cellStyle name="40% - Accent2 2 2 4 11" xfId="19139"/>
    <cellStyle name="40% - Accent2 2 2 4 12" xfId="27546"/>
    <cellStyle name="40% - Accent2 2 2 4 13" xfId="1893"/>
    <cellStyle name="40% - Accent2 2 2 4 2" xfId="904"/>
    <cellStyle name="40% - Accent2 2 2 4 2 10" xfId="24279"/>
    <cellStyle name="40% - Accent2 2 2 4 2 11" xfId="28431"/>
    <cellStyle name="40% - Accent2 2 2 4 2 12" xfId="2223"/>
    <cellStyle name="40% - Accent2 2 2 4 2 2" xfId="1561"/>
    <cellStyle name="40% - Accent2 2 2 4 2 2 2" xfId="5592"/>
    <cellStyle name="40% - Accent2 2 2 4 2 2 2 2" xfId="10566"/>
    <cellStyle name="40% - Accent2 2 2 4 2 2 2 3" xfId="14843"/>
    <cellStyle name="40% - Accent2 2 2 4 2 2 2 4" xfId="19102"/>
    <cellStyle name="40% - Accent2 2 2 4 2 2 2 5" xfId="23321"/>
    <cellStyle name="40% - Accent2 2 2 4 2 2 2 6" xfId="27516"/>
    <cellStyle name="40% - Accent2 2 2 4 2 2 2 7" xfId="31412"/>
    <cellStyle name="40% - Accent2 2 2 4 2 2 3" xfId="8669"/>
    <cellStyle name="40% - Accent2 2 2 4 2 2 4" xfId="12954"/>
    <cellStyle name="40% - Accent2 2 2 4 2 2 5" xfId="17226"/>
    <cellStyle name="40% - Accent2 2 2 4 2 2 6" xfId="21461"/>
    <cellStyle name="40% - Accent2 2 2 4 2 2 7" xfId="25699"/>
    <cellStyle name="40% - Accent2 2 2 4 2 2 8" xfId="29777"/>
    <cellStyle name="40% - Accent2 2 2 4 2 2 9" xfId="3693"/>
    <cellStyle name="40% - Accent2 2 2 4 2 3" xfId="2843"/>
    <cellStyle name="40% - Accent2 2 2 4 2 3 2" xfId="7820"/>
    <cellStyle name="40% - Accent2 2 2 4 2 3 3" xfId="12109"/>
    <cellStyle name="40% - Accent2 2 2 4 2 3 4" xfId="16385"/>
    <cellStyle name="40% - Accent2 2 2 4 2 3 5" xfId="20625"/>
    <cellStyle name="40% - Accent2 2 2 4 2 3 6" xfId="24874"/>
    <cellStyle name="40% - Accent2 2 2 4 2 3 7" xfId="28970"/>
    <cellStyle name="40% - Accent2 2 2 4 2 4" xfId="4935"/>
    <cellStyle name="40% - Accent2 2 2 4 2 4 2" xfId="9909"/>
    <cellStyle name="40% - Accent2 2 2 4 2 4 3" xfId="14186"/>
    <cellStyle name="40% - Accent2 2 2 4 2 4 4" xfId="18445"/>
    <cellStyle name="40% - Accent2 2 2 4 2 4 5" xfId="22664"/>
    <cellStyle name="40% - Accent2 2 2 4 2 4 6" xfId="26859"/>
    <cellStyle name="40% - Accent2 2 2 4 2 4 7" xfId="30755"/>
    <cellStyle name="40% - Accent2 2 2 4 2 5" xfId="6283"/>
    <cellStyle name="40% - Accent2 2 2 4 2 5 2" xfId="11255"/>
    <cellStyle name="40% - Accent2 2 2 4 2 5 3" xfId="15533"/>
    <cellStyle name="40% - Accent2 2 2 4 2 5 4" xfId="19790"/>
    <cellStyle name="40% - Accent2 2 2 4 2 5 5" xfId="24007"/>
    <cellStyle name="40% - Accent2 2 2 4 2 5 6" xfId="28193"/>
    <cellStyle name="40% - Accent2 2 2 4 2 5 7" xfId="32072"/>
    <cellStyle name="40% - Accent2 2 2 4 2 6" xfId="7201"/>
    <cellStyle name="40% - Accent2 2 2 4 2 7" xfId="11493"/>
    <cellStyle name="40% - Accent2 2 2 4 2 8" xfId="15771"/>
    <cellStyle name="40% - Accent2 2 2 4 2 9" xfId="20028"/>
    <cellStyle name="40% - Accent2 2 2 4 3" xfId="1232"/>
    <cellStyle name="40% - Accent2 2 2 4 3 2" xfId="5263"/>
    <cellStyle name="40% - Accent2 2 2 4 3 2 2" xfId="10237"/>
    <cellStyle name="40% - Accent2 2 2 4 3 2 3" xfId="14514"/>
    <cellStyle name="40% - Accent2 2 2 4 3 2 4" xfId="18773"/>
    <cellStyle name="40% - Accent2 2 2 4 3 2 5" xfId="22992"/>
    <cellStyle name="40% - Accent2 2 2 4 3 2 6" xfId="27187"/>
    <cellStyle name="40% - Accent2 2 2 4 3 2 7" xfId="31083"/>
    <cellStyle name="40% - Accent2 2 2 4 3 3" xfId="8472"/>
    <cellStyle name="40% - Accent2 2 2 4 3 4" xfId="12757"/>
    <cellStyle name="40% - Accent2 2 2 4 3 5" xfId="17029"/>
    <cellStyle name="40% - Accent2 2 2 4 3 6" xfId="21264"/>
    <cellStyle name="40% - Accent2 2 2 4 3 7" xfId="25502"/>
    <cellStyle name="40% - Accent2 2 2 4 3 8" xfId="29580"/>
    <cellStyle name="40% - Accent2 2 2 4 3 9" xfId="3496"/>
    <cellStyle name="40% - Accent2 2 2 4 4" xfId="2639"/>
    <cellStyle name="40% - Accent2 2 2 4 4 2" xfId="7616"/>
    <cellStyle name="40% - Accent2 2 2 4 4 3" xfId="11905"/>
    <cellStyle name="40% - Accent2 2 2 4 4 4" xfId="16181"/>
    <cellStyle name="40% - Accent2 2 2 4 4 5" xfId="20423"/>
    <cellStyle name="40% - Accent2 2 2 4 4 6" xfId="24670"/>
    <cellStyle name="40% - Accent2 2 2 4 4 7" xfId="28773"/>
    <cellStyle name="40% - Accent2 2 2 4 5" xfId="4605"/>
    <cellStyle name="40% - Accent2 2 2 4 5 2" xfId="9579"/>
    <cellStyle name="40% - Accent2 2 2 4 5 3" xfId="13856"/>
    <cellStyle name="40% - Accent2 2 2 4 5 4" xfId="18116"/>
    <cellStyle name="40% - Accent2 2 2 4 5 5" xfId="22334"/>
    <cellStyle name="40% - Accent2 2 2 4 5 6" xfId="26530"/>
    <cellStyle name="40% - Accent2 2 2 4 5 7" xfId="30426"/>
    <cellStyle name="40% - Accent2 2 2 4 6" xfId="5954"/>
    <cellStyle name="40% - Accent2 2 2 4 6 2" xfId="10926"/>
    <cellStyle name="40% - Accent2 2 2 4 6 3" xfId="15204"/>
    <cellStyle name="40% - Accent2 2 2 4 6 4" xfId="19461"/>
    <cellStyle name="40% - Accent2 2 2 4 6 5" xfId="23678"/>
    <cellStyle name="40% - Accent2 2 2 4 6 6" xfId="27864"/>
    <cellStyle name="40% - Accent2 2 2 4 6 7" xfId="31743"/>
    <cellStyle name="40% - Accent2 2 2 4 7" xfId="6828"/>
    <cellStyle name="40% - Accent2 2 2 4 8" xfId="10599"/>
    <cellStyle name="40% - Accent2 2 2 4 9" xfId="14877"/>
    <cellStyle name="40% - Accent2 2 2 5" xfId="631"/>
    <cellStyle name="40% - Accent2 2 2 5 10" xfId="17695"/>
    <cellStyle name="40% - Accent2 2 2 5 11" xfId="20206"/>
    <cellStyle name="40% - Accent2 2 2 5 12" xfId="26132"/>
    <cellStyle name="40% - Accent2 2 2 5 13" xfId="1950"/>
    <cellStyle name="40% - Accent2 2 2 5 2" xfId="1288"/>
    <cellStyle name="40% - Accent2 2 2 5 2 10" xfId="2845"/>
    <cellStyle name="40% - Accent2 2 2 5 2 2" xfId="3695"/>
    <cellStyle name="40% - Accent2 2 2 5 2 2 2" xfId="8671"/>
    <cellStyle name="40% - Accent2 2 2 5 2 2 3" xfId="12956"/>
    <cellStyle name="40% - Accent2 2 2 5 2 2 4" xfId="17228"/>
    <cellStyle name="40% - Accent2 2 2 5 2 2 5" xfId="21463"/>
    <cellStyle name="40% - Accent2 2 2 5 2 2 6" xfId="25701"/>
    <cellStyle name="40% - Accent2 2 2 5 2 2 7" xfId="29779"/>
    <cellStyle name="40% - Accent2 2 2 5 2 3" xfId="5319"/>
    <cellStyle name="40% - Accent2 2 2 5 2 3 2" xfId="10293"/>
    <cellStyle name="40% - Accent2 2 2 5 2 3 3" xfId="14570"/>
    <cellStyle name="40% - Accent2 2 2 5 2 3 4" xfId="18829"/>
    <cellStyle name="40% - Accent2 2 2 5 2 3 5" xfId="23048"/>
    <cellStyle name="40% - Accent2 2 2 5 2 3 6" xfId="27243"/>
    <cellStyle name="40% - Accent2 2 2 5 2 3 7" xfId="31139"/>
    <cellStyle name="40% - Accent2 2 2 5 2 4" xfId="7822"/>
    <cellStyle name="40% - Accent2 2 2 5 2 5" xfId="12111"/>
    <cellStyle name="40% - Accent2 2 2 5 2 6" xfId="16387"/>
    <cellStyle name="40% - Accent2 2 2 5 2 7" xfId="20627"/>
    <cellStyle name="40% - Accent2 2 2 5 2 8" xfId="24876"/>
    <cellStyle name="40% - Accent2 2 2 5 2 9" xfId="28972"/>
    <cellStyle name="40% - Accent2 2 2 5 3" xfId="3694"/>
    <cellStyle name="40% - Accent2 2 2 5 3 2" xfId="8670"/>
    <cellStyle name="40% - Accent2 2 2 5 3 3" xfId="12955"/>
    <cellStyle name="40% - Accent2 2 2 5 3 4" xfId="17227"/>
    <cellStyle name="40% - Accent2 2 2 5 3 5" xfId="21462"/>
    <cellStyle name="40% - Accent2 2 2 5 3 6" xfId="25700"/>
    <cellStyle name="40% - Accent2 2 2 5 3 7" xfId="29778"/>
    <cellStyle name="40% - Accent2 2 2 5 4" xfId="2844"/>
    <cellStyle name="40% - Accent2 2 2 5 4 2" xfId="7821"/>
    <cellStyle name="40% - Accent2 2 2 5 4 3" xfId="12110"/>
    <cellStyle name="40% - Accent2 2 2 5 4 4" xfId="16386"/>
    <cellStyle name="40% - Accent2 2 2 5 4 5" xfId="20626"/>
    <cellStyle name="40% - Accent2 2 2 5 4 6" xfId="24875"/>
    <cellStyle name="40% - Accent2 2 2 5 4 7" xfId="28971"/>
    <cellStyle name="40% - Accent2 2 2 5 5" xfId="4662"/>
    <cellStyle name="40% - Accent2 2 2 5 5 2" xfId="9636"/>
    <cellStyle name="40% - Accent2 2 2 5 5 3" xfId="13913"/>
    <cellStyle name="40% - Accent2 2 2 5 5 4" xfId="18172"/>
    <cellStyle name="40% - Accent2 2 2 5 5 5" xfId="22391"/>
    <cellStyle name="40% - Accent2 2 2 5 5 6" xfId="26586"/>
    <cellStyle name="40% - Accent2 2 2 5 5 7" xfId="30482"/>
    <cellStyle name="40% - Accent2 2 2 5 6" xfId="6010"/>
    <cellStyle name="40% - Accent2 2 2 5 6 2" xfId="10982"/>
    <cellStyle name="40% - Accent2 2 2 5 6 3" xfId="15260"/>
    <cellStyle name="40% - Accent2 2 2 5 6 4" xfId="19517"/>
    <cellStyle name="40% - Accent2 2 2 5 6 5" xfId="23734"/>
    <cellStyle name="40% - Accent2 2 2 5 6 6" xfId="27920"/>
    <cellStyle name="40% - Accent2 2 2 5 6 7" xfId="31799"/>
    <cellStyle name="40% - Accent2 2 2 5 7" xfId="6928"/>
    <cellStyle name="40% - Accent2 2 2 5 8" xfId="9150"/>
    <cellStyle name="40% - Accent2 2 2 5 9" xfId="13430"/>
    <cellStyle name="40% - Accent2 2 2 6" xfId="959"/>
    <cellStyle name="40% - Accent2 2 2 6 10" xfId="2846"/>
    <cellStyle name="40% - Accent2 2 2 6 2" xfId="3696"/>
    <cellStyle name="40% - Accent2 2 2 6 2 2" xfId="8672"/>
    <cellStyle name="40% - Accent2 2 2 6 2 3" xfId="12957"/>
    <cellStyle name="40% - Accent2 2 2 6 2 4" xfId="17229"/>
    <cellStyle name="40% - Accent2 2 2 6 2 5" xfId="21464"/>
    <cellStyle name="40% - Accent2 2 2 6 2 6" xfId="25702"/>
    <cellStyle name="40% - Accent2 2 2 6 2 7" xfId="29780"/>
    <cellStyle name="40% - Accent2 2 2 6 3" xfId="4990"/>
    <cellStyle name="40% - Accent2 2 2 6 3 2" xfId="9964"/>
    <cellStyle name="40% - Accent2 2 2 6 3 3" xfId="14241"/>
    <cellStyle name="40% - Accent2 2 2 6 3 4" xfId="18500"/>
    <cellStyle name="40% - Accent2 2 2 6 3 5" xfId="22719"/>
    <cellStyle name="40% - Accent2 2 2 6 3 6" xfId="26914"/>
    <cellStyle name="40% - Accent2 2 2 6 3 7" xfId="30810"/>
    <cellStyle name="40% - Accent2 2 2 6 4" xfId="7823"/>
    <cellStyle name="40% - Accent2 2 2 6 5" xfId="12112"/>
    <cellStyle name="40% - Accent2 2 2 6 6" xfId="16388"/>
    <cellStyle name="40% - Accent2 2 2 6 7" xfId="20628"/>
    <cellStyle name="40% - Accent2 2 2 6 8" xfId="24877"/>
    <cellStyle name="40% - Accent2 2 2 6 9" xfId="28973"/>
    <cellStyle name="40% - Accent2 2 2 7" xfId="3202"/>
    <cellStyle name="40% - Accent2 2 2 7 2" xfId="8178"/>
    <cellStyle name="40% - Accent2 2 2 7 3" xfId="12464"/>
    <cellStyle name="40% - Accent2 2 2 7 4" xfId="16738"/>
    <cellStyle name="40% - Accent2 2 2 7 5" xfId="20974"/>
    <cellStyle name="40% - Accent2 2 2 7 6" xfId="25214"/>
    <cellStyle name="40% - Accent2 2 2 7 7" xfId="29295"/>
    <cellStyle name="40% - Accent2 2 2 8" xfId="2299"/>
    <cellStyle name="40% - Accent2 2 2 8 2" xfId="7277"/>
    <cellStyle name="40% - Accent2 2 2 8 3" xfId="11567"/>
    <cellStyle name="40% - Accent2 2 2 8 4" xfId="15845"/>
    <cellStyle name="40% - Accent2 2 2 8 5" xfId="20098"/>
    <cellStyle name="40% - Accent2 2 2 8 6" xfId="24349"/>
    <cellStyle name="40% - Accent2 2 2 8 7" xfId="28486"/>
    <cellStyle name="40% - Accent2 2 2 9" xfId="4327"/>
    <cellStyle name="40% - Accent2 2 2 9 2" xfId="9301"/>
    <cellStyle name="40% - Accent2 2 2 9 3" xfId="13578"/>
    <cellStyle name="40% - Accent2 2 2 9 4" xfId="17838"/>
    <cellStyle name="40% - Accent2 2 2 9 5" xfId="22057"/>
    <cellStyle name="40% - Accent2 2 2 9 6" xfId="26255"/>
    <cellStyle name="40% - Accent2 2 2 9 7" xfId="30152"/>
    <cellStyle name="40% - Accent2 2 3" xfId="234"/>
    <cellStyle name="40% - Accent2 2 3 10" xfId="6350"/>
    <cellStyle name="40% - Accent2 2 3 11" xfId="6348"/>
    <cellStyle name="40% - Accent2 2 3 12" xfId="21941"/>
    <cellStyle name="40% - Accent2 2 3 13" xfId="20992"/>
    <cellStyle name="40% - Accent2 2 3 14" xfId="1641"/>
    <cellStyle name="40% - Accent2 2 3 2" xfId="448"/>
    <cellStyle name="40% - Accent2 2 3 2 10" xfId="17662"/>
    <cellStyle name="40% - Accent2 2 3 2 11" xfId="15867"/>
    <cellStyle name="40% - Accent2 2 3 2 12" xfId="26105"/>
    <cellStyle name="40% - Accent2 2 3 2 13" xfId="1811"/>
    <cellStyle name="40% - Accent2 2 3 2 2" xfId="822"/>
    <cellStyle name="40% - Accent2 2 3 2 2 10" xfId="24197"/>
    <cellStyle name="40% - Accent2 2 3 2 2 11" xfId="28349"/>
    <cellStyle name="40% - Accent2 2 3 2 2 12" xfId="2141"/>
    <cellStyle name="40% - Accent2 2 3 2 2 2" xfId="1479"/>
    <cellStyle name="40% - Accent2 2 3 2 2 2 2" xfId="5510"/>
    <cellStyle name="40% - Accent2 2 3 2 2 2 2 2" xfId="10484"/>
    <cellStyle name="40% - Accent2 2 3 2 2 2 2 3" xfId="14761"/>
    <cellStyle name="40% - Accent2 2 3 2 2 2 2 4" xfId="19020"/>
    <cellStyle name="40% - Accent2 2 3 2 2 2 2 5" xfId="23239"/>
    <cellStyle name="40% - Accent2 2 3 2 2 2 2 6" xfId="27434"/>
    <cellStyle name="40% - Accent2 2 3 2 2 2 2 7" xfId="31330"/>
    <cellStyle name="40% - Accent2 2 3 2 2 2 3" xfId="8673"/>
    <cellStyle name="40% - Accent2 2 3 2 2 2 4" xfId="12958"/>
    <cellStyle name="40% - Accent2 2 3 2 2 2 5" xfId="17230"/>
    <cellStyle name="40% - Accent2 2 3 2 2 2 6" xfId="21465"/>
    <cellStyle name="40% - Accent2 2 3 2 2 2 7" xfId="25703"/>
    <cellStyle name="40% - Accent2 2 3 2 2 2 8" xfId="29781"/>
    <cellStyle name="40% - Accent2 2 3 2 2 2 9" xfId="3697"/>
    <cellStyle name="40% - Accent2 2 3 2 2 3" xfId="2847"/>
    <cellStyle name="40% - Accent2 2 3 2 2 3 2" xfId="7824"/>
    <cellStyle name="40% - Accent2 2 3 2 2 3 3" xfId="12113"/>
    <cellStyle name="40% - Accent2 2 3 2 2 3 4" xfId="16389"/>
    <cellStyle name="40% - Accent2 2 3 2 2 3 5" xfId="20629"/>
    <cellStyle name="40% - Accent2 2 3 2 2 3 6" xfId="24878"/>
    <cellStyle name="40% - Accent2 2 3 2 2 3 7" xfId="28974"/>
    <cellStyle name="40% - Accent2 2 3 2 2 4" xfId="4853"/>
    <cellStyle name="40% - Accent2 2 3 2 2 4 2" xfId="9827"/>
    <cellStyle name="40% - Accent2 2 3 2 2 4 3" xfId="14104"/>
    <cellStyle name="40% - Accent2 2 3 2 2 4 4" xfId="18363"/>
    <cellStyle name="40% - Accent2 2 3 2 2 4 5" xfId="22582"/>
    <cellStyle name="40% - Accent2 2 3 2 2 4 6" xfId="26777"/>
    <cellStyle name="40% - Accent2 2 3 2 2 4 7" xfId="30673"/>
    <cellStyle name="40% - Accent2 2 3 2 2 5" xfId="6201"/>
    <cellStyle name="40% - Accent2 2 3 2 2 5 2" xfId="11173"/>
    <cellStyle name="40% - Accent2 2 3 2 2 5 3" xfId="15451"/>
    <cellStyle name="40% - Accent2 2 3 2 2 5 4" xfId="19708"/>
    <cellStyle name="40% - Accent2 2 3 2 2 5 5" xfId="23925"/>
    <cellStyle name="40% - Accent2 2 3 2 2 5 6" xfId="28111"/>
    <cellStyle name="40% - Accent2 2 3 2 2 5 7" xfId="31990"/>
    <cellStyle name="40% - Accent2 2 3 2 2 6" xfId="7119"/>
    <cellStyle name="40% - Accent2 2 3 2 2 7" xfId="11411"/>
    <cellStyle name="40% - Accent2 2 3 2 2 8" xfId="15689"/>
    <cellStyle name="40% - Accent2 2 3 2 2 9" xfId="19946"/>
    <cellStyle name="40% - Accent2 2 3 2 3" xfId="1150"/>
    <cellStyle name="40% - Accent2 2 3 2 3 2" xfId="5181"/>
    <cellStyle name="40% - Accent2 2 3 2 3 2 2" xfId="10155"/>
    <cellStyle name="40% - Accent2 2 3 2 3 2 3" xfId="14432"/>
    <cellStyle name="40% - Accent2 2 3 2 3 2 4" xfId="18691"/>
    <cellStyle name="40% - Accent2 2 3 2 3 2 5" xfId="22910"/>
    <cellStyle name="40% - Accent2 2 3 2 3 2 6" xfId="27105"/>
    <cellStyle name="40% - Accent2 2 3 2 3 2 7" xfId="31001"/>
    <cellStyle name="40% - Accent2 2 3 2 3 3" xfId="8376"/>
    <cellStyle name="40% - Accent2 2 3 2 3 4" xfId="12661"/>
    <cellStyle name="40% - Accent2 2 3 2 3 5" xfId="16933"/>
    <cellStyle name="40% - Accent2 2 3 2 3 6" xfId="21168"/>
    <cellStyle name="40% - Accent2 2 3 2 3 7" xfId="25406"/>
    <cellStyle name="40% - Accent2 2 3 2 3 8" xfId="29484"/>
    <cellStyle name="40% - Accent2 2 3 2 3 9" xfId="3400"/>
    <cellStyle name="40% - Accent2 2 3 2 4" xfId="2539"/>
    <cellStyle name="40% - Accent2 2 3 2 4 2" xfId="7516"/>
    <cellStyle name="40% - Accent2 2 3 2 4 3" xfId="11805"/>
    <cellStyle name="40% - Accent2 2 3 2 4 4" xfId="16083"/>
    <cellStyle name="40% - Accent2 2 3 2 4 5" xfId="20326"/>
    <cellStyle name="40% - Accent2 2 3 2 4 6" xfId="24572"/>
    <cellStyle name="40% - Accent2 2 3 2 4 7" xfId="28677"/>
    <cellStyle name="40% - Accent2 2 3 2 5" xfId="4523"/>
    <cellStyle name="40% - Accent2 2 3 2 5 2" xfId="9497"/>
    <cellStyle name="40% - Accent2 2 3 2 5 3" xfId="13774"/>
    <cellStyle name="40% - Accent2 2 3 2 5 4" xfId="18034"/>
    <cellStyle name="40% - Accent2 2 3 2 5 5" xfId="22252"/>
    <cellStyle name="40% - Accent2 2 3 2 5 6" xfId="26448"/>
    <cellStyle name="40% - Accent2 2 3 2 5 7" xfId="30344"/>
    <cellStyle name="40% - Accent2 2 3 2 6" xfId="5872"/>
    <cellStyle name="40% - Accent2 2 3 2 6 2" xfId="10844"/>
    <cellStyle name="40% - Accent2 2 3 2 6 3" xfId="15122"/>
    <cellStyle name="40% - Accent2 2 3 2 6 4" xfId="19379"/>
    <cellStyle name="40% - Accent2 2 3 2 6 5" xfId="23596"/>
    <cellStyle name="40% - Accent2 2 3 2 6 6" xfId="27782"/>
    <cellStyle name="40% - Accent2 2 3 2 6 7" xfId="31661"/>
    <cellStyle name="40% - Accent2 2 3 2 7" xfId="6746"/>
    <cellStyle name="40% - Accent2 2 3 2 8" xfId="9114"/>
    <cellStyle name="40% - Accent2 2 3 2 9" xfId="13394"/>
    <cellStyle name="40% - Accent2 2 3 3" xfId="655"/>
    <cellStyle name="40% - Accent2 2 3 3 10" xfId="24030"/>
    <cellStyle name="40% - Accent2 2 3 3 11" xfId="24383"/>
    <cellStyle name="40% - Accent2 2 3 3 12" xfId="1974"/>
    <cellStyle name="40% - Accent2 2 3 3 2" xfId="1312"/>
    <cellStyle name="40% - Accent2 2 3 3 2 2" xfId="5343"/>
    <cellStyle name="40% - Accent2 2 3 3 2 2 2" xfId="10317"/>
    <cellStyle name="40% - Accent2 2 3 3 2 2 3" xfId="14594"/>
    <cellStyle name="40% - Accent2 2 3 3 2 2 4" xfId="18853"/>
    <cellStyle name="40% - Accent2 2 3 3 2 2 5" xfId="23072"/>
    <cellStyle name="40% - Accent2 2 3 3 2 2 6" xfId="27267"/>
    <cellStyle name="40% - Accent2 2 3 3 2 2 7" xfId="31163"/>
    <cellStyle name="40% - Accent2 2 3 3 2 3" xfId="8674"/>
    <cellStyle name="40% - Accent2 2 3 3 2 4" xfId="12959"/>
    <cellStyle name="40% - Accent2 2 3 3 2 5" xfId="17231"/>
    <cellStyle name="40% - Accent2 2 3 3 2 6" xfId="21466"/>
    <cellStyle name="40% - Accent2 2 3 3 2 7" xfId="25704"/>
    <cellStyle name="40% - Accent2 2 3 3 2 8" xfId="29782"/>
    <cellStyle name="40% - Accent2 2 3 3 2 9" xfId="3698"/>
    <cellStyle name="40% - Accent2 2 3 3 3" xfId="2848"/>
    <cellStyle name="40% - Accent2 2 3 3 3 2" xfId="7825"/>
    <cellStyle name="40% - Accent2 2 3 3 3 3" xfId="12114"/>
    <cellStyle name="40% - Accent2 2 3 3 3 4" xfId="16390"/>
    <cellStyle name="40% - Accent2 2 3 3 3 5" xfId="20630"/>
    <cellStyle name="40% - Accent2 2 3 3 3 6" xfId="24879"/>
    <cellStyle name="40% - Accent2 2 3 3 3 7" xfId="28975"/>
    <cellStyle name="40% - Accent2 2 3 3 4" xfId="4686"/>
    <cellStyle name="40% - Accent2 2 3 3 4 2" xfId="9660"/>
    <cellStyle name="40% - Accent2 2 3 3 4 3" xfId="13937"/>
    <cellStyle name="40% - Accent2 2 3 3 4 4" xfId="18196"/>
    <cellStyle name="40% - Accent2 2 3 3 4 5" xfId="22415"/>
    <cellStyle name="40% - Accent2 2 3 3 4 6" xfId="26610"/>
    <cellStyle name="40% - Accent2 2 3 3 4 7" xfId="30506"/>
    <cellStyle name="40% - Accent2 2 3 3 5" xfId="6034"/>
    <cellStyle name="40% - Accent2 2 3 3 5 2" xfId="11006"/>
    <cellStyle name="40% - Accent2 2 3 3 5 3" xfId="15284"/>
    <cellStyle name="40% - Accent2 2 3 3 5 4" xfId="19541"/>
    <cellStyle name="40% - Accent2 2 3 3 5 5" xfId="23758"/>
    <cellStyle name="40% - Accent2 2 3 3 5 6" xfId="27944"/>
    <cellStyle name="40% - Accent2 2 3 3 5 7" xfId="31823"/>
    <cellStyle name="40% - Accent2 2 3 3 6" xfId="6952"/>
    <cellStyle name="40% - Accent2 2 3 3 7" xfId="7314"/>
    <cellStyle name="40% - Accent2 2 3 3 8" xfId="11604"/>
    <cellStyle name="40% - Accent2 2 3 3 9" xfId="15882"/>
    <cellStyle name="40% - Accent2 2 3 4" xfId="983"/>
    <cellStyle name="40% - Accent2 2 3 4 2" xfId="5014"/>
    <cellStyle name="40% - Accent2 2 3 4 2 2" xfId="9988"/>
    <cellStyle name="40% - Accent2 2 3 4 2 3" xfId="14265"/>
    <cellStyle name="40% - Accent2 2 3 4 2 4" xfId="18524"/>
    <cellStyle name="40% - Accent2 2 3 4 2 5" xfId="22743"/>
    <cellStyle name="40% - Accent2 2 3 4 2 6" xfId="26938"/>
    <cellStyle name="40% - Accent2 2 3 4 2 7" xfId="30834"/>
    <cellStyle name="40% - Accent2 2 3 4 3" xfId="8220"/>
    <cellStyle name="40% - Accent2 2 3 4 4" xfId="12505"/>
    <cellStyle name="40% - Accent2 2 3 4 5" xfId="16778"/>
    <cellStyle name="40% - Accent2 2 3 4 6" xfId="21016"/>
    <cellStyle name="40% - Accent2 2 3 4 7" xfId="25253"/>
    <cellStyle name="40% - Accent2 2 3 4 8" xfId="29332"/>
    <cellStyle name="40% - Accent2 2 3 4 9" xfId="3244"/>
    <cellStyle name="40% - Accent2 2 3 5" xfId="2359"/>
    <cellStyle name="40% - Accent2 2 3 5 2" xfId="7337"/>
    <cellStyle name="40% - Accent2 2 3 5 3" xfId="11626"/>
    <cellStyle name="40% - Accent2 2 3 5 4" xfId="15905"/>
    <cellStyle name="40% - Accent2 2 3 5 5" xfId="20155"/>
    <cellStyle name="40% - Accent2 2 3 5 6" xfId="24402"/>
    <cellStyle name="40% - Accent2 2 3 5 7" xfId="28524"/>
    <cellStyle name="40% - Accent2 2 3 6" xfId="4355"/>
    <cellStyle name="40% - Accent2 2 3 6 2" xfId="9329"/>
    <cellStyle name="40% - Accent2 2 3 6 3" xfId="13606"/>
    <cellStyle name="40% - Accent2 2 3 6 4" xfId="17866"/>
    <cellStyle name="40% - Accent2 2 3 6 5" xfId="22085"/>
    <cellStyle name="40% - Accent2 2 3 6 6" xfId="26281"/>
    <cellStyle name="40% - Accent2 2 3 6 7" xfId="30177"/>
    <cellStyle name="40% - Accent2 2 3 7" xfId="5705"/>
    <cellStyle name="40% - Accent2 2 3 7 2" xfId="10677"/>
    <cellStyle name="40% - Accent2 2 3 7 3" xfId="14955"/>
    <cellStyle name="40% - Accent2 2 3 7 4" xfId="19212"/>
    <cellStyle name="40% - Accent2 2 3 7 5" xfId="23429"/>
    <cellStyle name="40% - Accent2 2 3 7 6" xfId="27615"/>
    <cellStyle name="40% - Accent2 2 3 7 7" xfId="31494"/>
    <cellStyle name="40% - Accent2 2 3 8" xfId="6532"/>
    <cellStyle name="40% - Accent2 2 3 9" xfId="6334"/>
    <cellStyle name="40% - Accent2 2 4" xfId="382"/>
    <cellStyle name="40% - Accent2 2 4 10" xfId="13310"/>
    <cellStyle name="40% - Accent2 2 4 11" xfId="17583"/>
    <cellStyle name="40% - Accent2 2 4 12" xfId="20147"/>
    <cellStyle name="40% - Accent2 2 4 13" xfId="26037"/>
    <cellStyle name="40% - Accent2 2 4 14" xfId="1745"/>
    <cellStyle name="40% - Accent2 2 4 2" xfId="756"/>
    <cellStyle name="40% - Accent2 2 4 2 10" xfId="24131"/>
    <cellStyle name="40% - Accent2 2 4 2 11" xfId="28283"/>
    <cellStyle name="40% - Accent2 2 4 2 12" xfId="2075"/>
    <cellStyle name="40% - Accent2 2 4 2 2" xfId="1413"/>
    <cellStyle name="40% - Accent2 2 4 2 2 2" xfId="5444"/>
    <cellStyle name="40% - Accent2 2 4 2 2 2 2" xfId="10418"/>
    <cellStyle name="40% - Accent2 2 4 2 2 2 3" xfId="14695"/>
    <cellStyle name="40% - Accent2 2 4 2 2 2 4" xfId="18954"/>
    <cellStyle name="40% - Accent2 2 4 2 2 2 5" xfId="23173"/>
    <cellStyle name="40% - Accent2 2 4 2 2 2 6" xfId="27368"/>
    <cellStyle name="40% - Accent2 2 4 2 2 2 7" xfId="31264"/>
    <cellStyle name="40% - Accent2 2 4 2 2 3" xfId="8675"/>
    <cellStyle name="40% - Accent2 2 4 2 2 4" xfId="12960"/>
    <cellStyle name="40% - Accent2 2 4 2 2 5" xfId="17232"/>
    <cellStyle name="40% - Accent2 2 4 2 2 6" xfId="21467"/>
    <cellStyle name="40% - Accent2 2 4 2 2 7" xfId="25705"/>
    <cellStyle name="40% - Accent2 2 4 2 2 8" xfId="29783"/>
    <cellStyle name="40% - Accent2 2 4 2 2 9" xfId="3699"/>
    <cellStyle name="40% - Accent2 2 4 2 3" xfId="2849"/>
    <cellStyle name="40% - Accent2 2 4 2 3 2" xfId="7826"/>
    <cellStyle name="40% - Accent2 2 4 2 3 3" xfId="12115"/>
    <cellStyle name="40% - Accent2 2 4 2 3 4" xfId="16391"/>
    <cellStyle name="40% - Accent2 2 4 2 3 5" xfId="20631"/>
    <cellStyle name="40% - Accent2 2 4 2 3 6" xfId="24880"/>
    <cellStyle name="40% - Accent2 2 4 2 3 7" xfId="28976"/>
    <cellStyle name="40% - Accent2 2 4 2 4" xfId="4787"/>
    <cellStyle name="40% - Accent2 2 4 2 4 2" xfId="9761"/>
    <cellStyle name="40% - Accent2 2 4 2 4 3" xfId="14038"/>
    <cellStyle name="40% - Accent2 2 4 2 4 4" xfId="18297"/>
    <cellStyle name="40% - Accent2 2 4 2 4 5" xfId="22516"/>
    <cellStyle name="40% - Accent2 2 4 2 4 6" xfId="26711"/>
    <cellStyle name="40% - Accent2 2 4 2 4 7" xfId="30607"/>
    <cellStyle name="40% - Accent2 2 4 2 5" xfId="6135"/>
    <cellStyle name="40% - Accent2 2 4 2 5 2" xfId="11107"/>
    <cellStyle name="40% - Accent2 2 4 2 5 3" xfId="15385"/>
    <cellStyle name="40% - Accent2 2 4 2 5 4" xfId="19642"/>
    <cellStyle name="40% - Accent2 2 4 2 5 5" xfId="23859"/>
    <cellStyle name="40% - Accent2 2 4 2 5 6" xfId="28045"/>
    <cellStyle name="40% - Accent2 2 4 2 5 7" xfId="31924"/>
    <cellStyle name="40% - Accent2 2 4 2 6" xfId="7053"/>
    <cellStyle name="40% - Accent2 2 4 2 7" xfId="11345"/>
    <cellStyle name="40% - Accent2 2 4 2 8" xfId="15623"/>
    <cellStyle name="40% - Accent2 2 4 2 9" xfId="19880"/>
    <cellStyle name="40% - Accent2 2 4 3" xfId="1084"/>
    <cellStyle name="40% - Accent2 2 4 3 2" xfId="5115"/>
    <cellStyle name="40% - Accent2 2 4 3 2 2" xfId="10089"/>
    <cellStyle name="40% - Accent2 2 4 3 2 3" xfId="14366"/>
    <cellStyle name="40% - Accent2 2 4 3 2 4" xfId="18625"/>
    <cellStyle name="40% - Accent2 2 4 3 2 5" xfId="22844"/>
    <cellStyle name="40% - Accent2 2 4 3 2 6" xfId="27039"/>
    <cellStyle name="40% - Accent2 2 4 3 2 7" xfId="30935"/>
    <cellStyle name="40% - Accent2 2 4 3 3" xfId="8310"/>
    <cellStyle name="40% - Accent2 2 4 3 4" xfId="12595"/>
    <cellStyle name="40% - Accent2 2 4 3 5" xfId="16867"/>
    <cellStyle name="40% - Accent2 2 4 3 6" xfId="21102"/>
    <cellStyle name="40% - Accent2 2 4 3 7" xfId="25340"/>
    <cellStyle name="40% - Accent2 2 4 3 8" xfId="29418"/>
    <cellStyle name="40% - Accent2 2 4 3 9" xfId="3334"/>
    <cellStyle name="40% - Accent2 2 4 4" xfId="2473"/>
    <cellStyle name="40% - Accent2 2 4 4 2" xfId="7450"/>
    <cellStyle name="40% - Accent2 2 4 4 3" xfId="11739"/>
    <cellStyle name="40% - Accent2 2 4 4 4" xfId="16017"/>
    <cellStyle name="40% - Accent2 2 4 4 5" xfId="20260"/>
    <cellStyle name="40% - Accent2 2 4 4 6" xfId="24506"/>
    <cellStyle name="40% - Accent2 2 4 4 7" xfId="28611"/>
    <cellStyle name="40% - Accent2 2 4 5" xfId="3996"/>
    <cellStyle name="40% - Accent2 2 4 6" xfId="4457"/>
    <cellStyle name="40% - Accent2 2 4 6 2" xfId="9431"/>
    <cellStyle name="40% - Accent2 2 4 6 3" xfId="13708"/>
    <cellStyle name="40% - Accent2 2 4 6 4" xfId="17968"/>
    <cellStyle name="40% - Accent2 2 4 6 5" xfId="22186"/>
    <cellStyle name="40% - Accent2 2 4 6 6" xfId="26382"/>
    <cellStyle name="40% - Accent2 2 4 6 7" xfId="30278"/>
    <cellStyle name="40% - Accent2 2 4 7" xfId="5806"/>
    <cellStyle name="40% - Accent2 2 4 7 2" xfId="10778"/>
    <cellStyle name="40% - Accent2 2 4 7 3" xfId="15056"/>
    <cellStyle name="40% - Accent2 2 4 7 4" xfId="19313"/>
    <cellStyle name="40% - Accent2 2 4 7 5" xfId="23530"/>
    <cellStyle name="40% - Accent2 2 4 7 6" xfId="27716"/>
    <cellStyle name="40% - Accent2 2 4 7 7" xfId="31595"/>
    <cellStyle name="40% - Accent2 2 4 8" xfId="6680"/>
    <cellStyle name="40% - Accent2 2 4 9" xfId="9027"/>
    <cellStyle name="40% - Accent2 2 5" xfId="497"/>
    <cellStyle name="40% - Accent2 2 5 10" xfId="13419"/>
    <cellStyle name="40% - Accent2 2 5 11" xfId="17655"/>
    <cellStyle name="40% - Accent2 2 5 12" xfId="20149"/>
    <cellStyle name="40% - Accent2 2 5 13" xfId="1860"/>
    <cellStyle name="40% - Accent2 2 5 2" xfId="871"/>
    <cellStyle name="40% - Accent2 2 5 2 10" xfId="24246"/>
    <cellStyle name="40% - Accent2 2 5 2 11" xfId="28398"/>
    <cellStyle name="40% - Accent2 2 5 2 12" xfId="2190"/>
    <cellStyle name="40% - Accent2 2 5 2 2" xfId="1528"/>
    <cellStyle name="40% - Accent2 2 5 2 2 2" xfId="5559"/>
    <cellStyle name="40% - Accent2 2 5 2 2 2 2" xfId="10533"/>
    <cellStyle name="40% - Accent2 2 5 2 2 2 3" xfId="14810"/>
    <cellStyle name="40% - Accent2 2 5 2 2 2 4" xfId="19069"/>
    <cellStyle name="40% - Accent2 2 5 2 2 2 5" xfId="23288"/>
    <cellStyle name="40% - Accent2 2 5 2 2 2 6" xfId="27483"/>
    <cellStyle name="40% - Accent2 2 5 2 2 2 7" xfId="31379"/>
    <cellStyle name="40% - Accent2 2 5 2 2 3" xfId="8676"/>
    <cellStyle name="40% - Accent2 2 5 2 2 4" xfId="12961"/>
    <cellStyle name="40% - Accent2 2 5 2 2 5" xfId="17233"/>
    <cellStyle name="40% - Accent2 2 5 2 2 6" xfId="21468"/>
    <cellStyle name="40% - Accent2 2 5 2 2 7" xfId="25706"/>
    <cellStyle name="40% - Accent2 2 5 2 2 8" xfId="29784"/>
    <cellStyle name="40% - Accent2 2 5 2 2 9" xfId="3700"/>
    <cellStyle name="40% - Accent2 2 5 2 3" xfId="2850"/>
    <cellStyle name="40% - Accent2 2 5 2 3 2" xfId="7827"/>
    <cellStyle name="40% - Accent2 2 5 2 3 3" xfId="12116"/>
    <cellStyle name="40% - Accent2 2 5 2 3 4" xfId="16392"/>
    <cellStyle name="40% - Accent2 2 5 2 3 5" xfId="20632"/>
    <cellStyle name="40% - Accent2 2 5 2 3 6" xfId="24881"/>
    <cellStyle name="40% - Accent2 2 5 2 3 7" xfId="28977"/>
    <cellStyle name="40% - Accent2 2 5 2 4" xfId="4902"/>
    <cellStyle name="40% - Accent2 2 5 2 4 2" xfId="9876"/>
    <cellStyle name="40% - Accent2 2 5 2 4 3" xfId="14153"/>
    <cellStyle name="40% - Accent2 2 5 2 4 4" xfId="18412"/>
    <cellStyle name="40% - Accent2 2 5 2 4 5" xfId="22631"/>
    <cellStyle name="40% - Accent2 2 5 2 4 6" xfId="26826"/>
    <cellStyle name="40% - Accent2 2 5 2 4 7" xfId="30722"/>
    <cellStyle name="40% - Accent2 2 5 2 5" xfId="6250"/>
    <cellStyle name="40% - Accent2 2 5 2 5 2" xfId="11222"/>
    <cellStyle name="40% - Accent2 2 5 2 5 3" xfId="15500"/>
    <cellStyle name="40% - Accent2 2 5 2 5 4" xfId="19757"/>
    <cellStyle name="40% - Accent2 2 5 2 5 5" xfId="23974"/>
    <cellStyle name="40% - Accent2 2 5 2 5 6" xfId="28160"/>
    <cellStyle name="40% - Accent2 2 5 2 5 7" xfId="32039"/>
    <cellStyle name="40% - Accent2 2 5 2 6" xfId="7168"/>
    <cellStyle name="40% - Accent2 2 5 2 7" xfId="11460"/>
    <cellStyle name="40% - Accent2 2 5 2 8" xfId="15738"/>
    <cellStyle name="40% - Accent2 2 5 2 9" xfId="19995"/>
    <cellStyle name="40% - Accent2 2 5 3" xfId="1199"/>
    <cellStyle name="40% - Accent2 2 5 3 2" xfId="5230"/>
    <cellStyle name="40% - Accent2 2 5 3 2 2" xfId="10204"/>
    <cellStyle name="40% - Accent2 2 5 3 2 3" xfId="14481"/>
    <cellStyle name="40% - Accent2 2 5 3 2 4" xfId="18740"/>
    <cellStyle name="40% - Accent2 2 5 3 2 5" xfId="22959"/>
    <cellStyle name="40% - Accent2 2 5 3 2 6" xfId="27154"/>
    <cellStyle name="40% - Accent2 2 5 3 2 7" xfId="31050"/>
    <cellStyle name="40% - Accent2 2 5 3 3" xfId="8440"/>
    <cellStyle name="40% - Accent2 2 5 3 4" xfId="12725"/>
    <cellStyle name="40% - Accent2 2 5 3 5" xfId="16997"/>
    <cellStyle name="40% - Accent2 2 5 3 6" xfId="21232"/>
    <cellStyle name="40% - Accent2 2 5 3 7" xfId="25470"/>
    <cellStyle name="40% - Accent2 2 5 3 8" xfId="29548"/>
    <cellStyle name="40% - Accent2 2 5 3 9" xfId="3464"/>
    <cellStyle name="40% - Accent2 2 5 4" xfId="2606"/>
    <cellStyle name="40% - Accent2 2 5 4 2" xfId="7583"/>
    <cellStyle name="40% - Accent2 2 5 4 3" xfId="11872"/>
    <cellStyle name="40% - Accent2 2 5 4 4" xfId="16148"/>
    <cellStyle name="40% - Accent2 2 5 4 5" xfId="20391"/>
    <cellStyle name="40% - Accent2 2 5 4 6" xfId="24637"/>
    <cellStyle name="40% - Accent2 2 5 4 7" xfId="28741"/>
    <cellStyle name="40% - Accent2 2 5 5" xfId="4572"/>
    <cellStyle name="40% - Accent2 2 5 5 2" xfId="9546"/>
    <cellStyle name="40% - Accent2 2 5 5 3" xfId="13823"/>
    <cellStyle name="40% - Accent2 2 5 5 4" xfId="18083"/>
    <cellStyle name="40% - Accent2 2 5 5 5" xfId="22301"/>
    <cellStyle name="40% - Accent2 2 5 5 6" xfId="26497"/>
    <cellStyle name="40% - Accent2 2 5 5 7" xfId="30393"/>
    <cellStyle name="40% - Accent2 2 5 6" xfId="5921"/>
    <cellStyle name="40% - Accent2 2 5 6 2" xfId="10893"/>
    <cellStyle name="40% - Accent2 2 5 6 3" xfId="15171"/>
    <cellStyle name="40% - Accent2 2 5 6 4" xfId="19428"/>
    <cellStyle name="40% - Accent2 2 5 6 5" xfId="23645"/>
    <cellStyle name="40% - Accent2 2 5 6 6" xfId="27831"/>
    <cellStyle name="40% - Accent2 2 5 6 7" xfId="31710"/>
    <cellStyle name="40% - Accent2 2 5 7" xfId="6795"/>
    <cellStyle name="40% - Accent2 2 5 8" xfId="6869"/>
    <cellStyle name="40% - Accent2 2 5 9" xfId="9139"/>
    <cellStyle name="40% - Accent2 2 6" xfId="598"/>
    <cellStyle name="40% - Accent2 2 6 10" xfId="17621"/>
    <cellStyle name="40% - Accent2 2 6 11" xfId="13393"/>
    <cellStyle name="40% - Accent2 2 6 12" xfId="26070"/>
    <cellStyle name="40% - Accent2 2 6 13" xfId="1917"/>
    <cellStyle name="40% - Accent2 2 6 2" xfId="1255"/>
    <cellStyle name="40% - Accent2 2 6 2 10" xfId="2852"/>
    <cellStyle name="40% - Accent2 2 6 2 2" xfId="3702"/>
    <cellStyle name="40% - Accent2 2 6 2 2 2" xfId="8678"/>
    <cellStyle name="40% - Accent2 2 6 2 2 3" xfId="12963"/>
    <cellStyle name="40% - Accent2 2 6 2 2 4" xfId="17235"/>
    <cellStyle name="40% - Accent2 2 6 2 2 5" xfId="21470"/>
    <cellStyle name="40% - Accent2 2 6 2 2 6" xfId="25708"/>
    <cellStyle name="40% - Accent2 2 6 2 2 7" xfId="29786"/>
    <cellStyle name="40% - Accent2 2 6 2 3" xfId="5286"/>
    <cellStyle name="40% - Accent2 2 6 2 3 2" xfId="10260"/>
    <cellStyle name="40% - Accent2 2 6 2 3 3" xfId="14537"/>
    <cellStyle name="40% - Accent2 2 6 2 3 4" xfId="18796"/>
    <cellStyle name="40% - Accent2 2 6 2 3 5" xfId="23015"/>
    <cellStyle name="40% - Accent2 2 6 2 3 6" xfId="27210"/>
    <cellStyle name="40% - Accent2 2 6 2 3 7" xfId="31106"/>
    <cellStyle name="40% - Accent2 2 6 2 4" xfId="7829"/>
    <cellStyle name="40% - Accent2 2 6 2 5" xfId="12118"/>
    <cellStyle name="40% - Accent2 2 6 2 6" xfId="16394"/>
    <cellStyle name="40% - Accent2 2 6 2 7" xfId="20634"/>
    <cellStyle name="40% - Accent2 2 6 2 8" xfId="24883"/>
    <cellStyle name="40% - Accent2 2 6 2 9" xfId="28979"/>
    <cellStyle name="40% - Accent2 2 6 3" xfId="3701"/>
    <cellStyle name="40% - Accent2 2 6 3 2" xfId="8677"/>
    <cellStyle name="40% - Accent2 2 6 3 3" xfId="12962"/>
    <cellStyle name="40% - Accent2 2 6 3 4" xfId="17234"/>
    <cellStyle name="40% - Accent2 2 6 3 5" xfId="21469"/>
    <cellStyle name="40% - Accent2 2 6 3 6" xfId="25707"/>
    <cellStyle name="40% - Accent2 2 6 3 7" xfId="29785"/>
    <cellStyle name="40% - Accent2 2 6 4" xfId="2851"/>
    <cellStyle name="40% - Accent2 2 6 4 2" xfId="7828"/>
    <cellStyle name="40% - Accent2 2 6 4 3" xfId="12117"/>
    <cellStyle name="40% - Accent2 2 6 4 4" xfId="16393"/>
    <cellStyle name="40% - Accent2 2 6 4 5" xfId="20633"/>
    <cellStyle name="40% - Accent2 2 6 4 6" xfId="24882"/>
    <cellStyle name="40% - Accent2 2 6 4 7" xfId="28978"/>
    <cellStyle name="40% - Accent2 2 6 5" xfId="4629"/>
    <cellStyle name="40% - Accent2 2 6 5 2" xfId="9603"/>
    <cellStyle name="40% - Accent2 2 6 5 3" xfId="13880"/>
    <cellStyle name="40% - Accent2 2 6 5 4" xfId="18139"/>
    <cellStyle name="40% - Accent2 2 6 5 5" xfId="22358"/>
    <cellStyle name="40% - Accent2 2 6 5 6" xfId="26553"/>
    <cellStyle name="40% - Accent2 2 6 5 7" xfId="30449"/>
    <cellStyle name="40% - Accent2 2 6 6" xfId="5977"/>
    <cellStyle name="40% - Accent2 2 6 6 2" xfId="10949"/>
    <cellStyle name="40% - Accent2 2 6 6 3" xfId="15227"/>
    <cellStyle name="40% - Accent2 2 6 6 4" xfId="19484"/>
    <cellStyle name="40% - Accent2 2 6 6 5" xfId="23701"/>
    <cellStyle name="40% - Accent2 2 6 6 6" xfId="27887"/>
    <cellStyle name="40% - Accent2 2 6 6 7" xfId="31766"/>
    <cellStyle name="40% - Accent2 2 6 7" xfId="6895"/>
    <cellStyle name="40% - Accent2 2 6 8" xfId="9068"/>
    <cellStyle name="40% - Accent2 2 6 9" xfId="13350"/>
    <cellStyle name="40% - Accent2 2 7" xfId="926"/>
    <cellStyle name="40% - Accent2 2 7 10" xfId="2853"/>
    <cellStyle name="40% - Accent2 2 7 2" xfId="3703"/>
    <cellStyle name="40% - Accent2 2 7 2 2" xfId="8679"/>
    <cellStyle name="40% - Accent2 2 7 2 3" xfId="12964"/>
    <cellStyle name="40% - Accent2 2 7 2 4" xfId="17236"/>
    <cellStyle name="40% - Accent2 2 7 2 5" xfId="21471"/>
    <cellStyle name="40% - Accent2 2 7 2 6" xfId="25709"/>
    <cellStyle name="40% - Accent2 2 7 2 7" xfId="29787"/>
    <cellStyle name="40% - Accent2 2 7 3" xfId="4957"/>
    <cellStyle name="40% - Accent2 2 7 3 2" xfId="9931"/>
    <cellStyle name="40% - Accent2 2 7 3 3" xfId="14208"/>
    <cellStyle name="40% - Accent2 2 7 3 4" xfId="18467"/>
    <cellStyle name="40% - Accent2 2 7 3 5" xfId="22686"/>
    <cellStyle name="40% - Accent2 2 7 3 6" xfId="26881"/>
    <cellStyle name="40% - Accent2 2 7 3 7" xfId="30777"/>
    <cellStyle name="40% - Accent2 2 7 4" xfId="7830"/>
    <cellStyle name="40% - Accent2 2 7 5" xfId="12119"/>
    <cellStyle name="40% - Accent2 2 7 6" xfId="16395"/>
    <cellStyle name="40% - Accent2 2 7 7" xfId="20635"/>
    <cellStyle name="40% - Accent2 2 7 8" xfId="24884"/>
    <cellStyle name="40% - Accent2 2 7 9" xfId="28980"/>
    <cellStyle name="40% - Accent2 2 8" xfId="3169"/>
    <cellStyle name="40% - Accent2 2 8 2" xfId="8145"/>
    <cellStyle name="40% - Accent2 2 8 3" xfId="12431"/>
    <cellStyle name="40% - Accent2 2 8 4" xfId="16705"/>
    <cellStyle name="40% - Accent2 2 8 5" xfId="20941"/>
    <cellStyle name="40% - Accent2 2 8 6" xfId="25181"/>
    <cellStyle name="40% - Accent2 2 8 7" xfId="29262"/>
    <cellStyle name="40% - Accent2 2 9" xfId="2254"/>
    <cellStyle name="40% - Accent2 2 9 2" xfId="7232"/>
    <cellStyle name="40% - Accent2 2 9 3" xfId="11522"/>
    <cellStyle name="40% - Accent2 2 9 4" xfId="15801"/>
    <cellStyle name="40% - Accent2 2 9 5" xfId="20056"/>
    <cellStyle name="40% - Accent2 2 9 6" xfId="24306"/>
    <cellStyle name="40% - Accent2 2 9 7" xfId="28453"/>
    <cellStyle name="40% - Accent2 3" xfId="127"/>
    <cellStyle name="40% - Accent2 3 2" xfId="2409"/>
    <cellStyle name="40% - Accent2 3 3" xfId="4120"/>
    <cellStyle name="40% - Accent2 4" xfId="109"/>
    <cellStyle name="40% - Accent2 4 10" xfId="5668"/>
    <cellStyle name="40% - Accent2 4 10 2" xfId="10640"/>
    <cellStyle name="40% - Accent2 4 10 3" xfId="14918"/>
    <cellStyle name="40% - Accent2 4 10 4" xfId="19175"/>
    <cellStyle name="40% - Accent2 4 10 5" xfId="23392"/>
    <cellStyle name="40% - Accent2 4 10 6" xfId="27578"/>
    <cellStyle name="40% - Accent2 4 10 7" xfId="31457"/>
    <cellStyle name="40% - Accent2 4 11" xfId="6409"/>
    <cellStyle name="40% - Accent2 4 12" xfId="6501"/>
    <cellStyle name="40% - Accent2 4 13" xfId="6453"/>
    <cellStyle name="40% - Accent2 4 14" xfId="6300"/>
    <cellStyle name="40% - Accent2 4 15" xfId="21984"/>
    <cellStyle name="40% - Accent2 4 16" xfId="21760"/>
    <cellStyle name="40% - Accent2 4 17" xfId="1603"/>
    <cellStyle name="40% - Accent2 4 2" xfId="300"/>
    <cellStyle name="40% - Accent2 4 2 10" xfId="13303"/>
    <cellStyle name="40% - Accent2 4 2 11" xfId="17576"/>
    <cellStyle name="40% - Accent2 4 2 12" xfId="21882"/>
    <cellStyle name="40% - Accent2 4 2 13" xfId="26033"/>
    <cellStyle name="40% - Accent2 4 2 14" xfId="1672"/>
    <cellStyle name="40% - Accent2 4 2 2" xfId="464"/>
    <cellStyle name="40% - Accent2 4 2 2 10" xfId="17766"/>
    <cellStyle name="40% - Accent2 4 2 2 11" xfId="11697"/>
    <cellStyle name="40% - Accent2 4 2 2 12" xfId="26185"/>
    <cellStyle name="40% - Accent2 4 2 2 13" xfId="1827"/>
    <cellStyle name="40% - Accent2 4 2 2 2" xfId="838"/>
    <cellStyle name="40% - Accent2 4 2 2 2 10" xfId="24213"/>
    <cellStyle name="40% - Accent2 4 2 2 2 11" xfId="28365"/>
    <cellStyle name="40% - Accent2 4 2 2 2 12" xfId="2157"/>
    <cellStyle name="40% - Accent2 4 2 2 2 2" xfId="1495"/>
    <cellStyle name="40% - Accent2 4 2 2 2 2 2" xfId="5526"/>
    <cellStyle name="40% - Accent2 4 2 2 2 2 2 2" xfId="10500"/>
    <cellStyle name="40% - Accent2 4 2 2 2 2 2 3" xfId="14777"/>
    <cellStyle name="40% - Accent2 4 2 2 2 2 2 4" xfId="19036"/>
    <cellStyle name="40% - Accent2 4 2 2 2 2 2 5" xfId="23255"/>
    <cellStyle name="40% - Accent2 4 2 2 2 2 2 6" xfId="27450"/>
    <cellStyle name="40% - Accent2 4 2 2 2 2 2 7" xfId="31346"/>
    <cellStyle name="40% - Accent2 4 2 2 2 2 3" xfId="8680"/>
    <cellStyle name="40% - Accent2 4 2 2 2 2 4" xfId="12965"/>
    <cellStyle name="40% - Accent2 4 2 2 2 2 5" xfId="17237"/>
    <cellStyle name="40% - Accent2 4 2 2 2 2 6" xfId="21472"/>
    <cellStyle name="40% - Accent2 4 2 2 2 2 7" xfId="25710"/>
    <cellStyle name="40% - Accent2 4 2 2 2 2 8" xfId="29788"/>
    <cellStyle name="40% - Accent2 4 2 2 2 2 9" xfId="3704"/>
    <cellStyle name="40% - Accent2 4 2 2 2 3" xfId="2854"/>
    <cellStyle name="40% - Accent2 4 2 2 2 3 2" xfId="7831"/>
    <cellStyle name="40% - Accent2 4 2 2 2 3 3" xfId="12120"/>
    <cellStyle name="40% - Accent2 4 2 2 2 3 4" xfId="16396"/>
    <cellStyle name="40% - Accent2 4 2 2 2 3 5" xfId="20636"/>
    <cellStyle name="40% - Accent2 4 2 2 2 3 6" xfId="24885"/>
    <cellStyle name="40% - Accent2 4 2 2 2 3 7" xfId="28981"/>
    <cellStyle name="40% - Accent2 4 2 2 2 4" xfId="4869"/>
    <cellStyle name="40% - Accent2 4 2 2 2 4 2" xfId="9843"/>
    <cellStyle name="40% - Accent2 4 2 2 2 4 3" xfId="14120"/>
    <cellStyle name="40% - Accent2 4 2 2 2 4 4" xfId="18379"/>
    <cellStyle name="40% - Accent2 4 2 2 2 4 5" xfId="22598"/>
    <cellStyle name="40% - Accent2 4 2 2 2 4 6" xfId="26793"/>
    <cellStyle name="40% - Accent2 4 2 2 2 4 7" xfId="30689"/>
    <cellStyle name="40% - Accent2 4 2 2 2 5" xfId="6217"/>
    <cellStyle name="40% - Accent2 4 2 2 2 5 2" xfId="11189"/>
    <cellStyle name="40% - Accent2 4 2 2 2 5 3" xfId="15467"/>
    <cellStyle name="40% - Accent2 4 2 2 2 5 4" xfId="19724"/>
    <cellStyle name="40% - Accent2 4 2 2 2 5 5" xfId="23941"/>
    <cellStyle name="40% - Accent2 4 2 2 2 5 6" xfId="28127"/>
    <cellStyle name="40% - Accent2 4 2 2 2 5 7" xfId="32006"/>
    <cellStyle name="40% - Accent2 4 2 2 2 6" xfId="7135"/>
    <cellStyle name="40% - Accent2 4 2 2 2 7" xfId="11427"/>
    <cellStyle name="40% - Accent2 4 2 2 2 8" xfId="15705"/>
    <cellStyle name="40% - Accent2 4 2 2 2 9" xfId="19962"/>
    <cellStyle name="40% - Accent2 4 2 2 3" xfId="1166"/>
    <cellStyle name="40% - Accent2 4 2 2 3 2" xfId="5197"/>
    <cellStyle name="40% - Accent2 4 2 2 3 2 2" xfId="10171"/>
    <cellStyle name="40% - Accent2 4 2 2 3 2 3" xfId="14448"/>
    <cellStyle name="40% - Accent2 4 2 2 3 2 4" xfId="18707"/>
    <cellStyle name="40% - Accent2 4 2 2 3 2 5" xfId="22926"/>
    <cellStyle name="40% - Accent2 4 2 2 3 2 6" xfId="27121"/>
    <cellStyle name="40% - Accent2 4 2 2 3 2 7" xfId="31017"/>
    <cellStyle name="40% - Accent2 4 2 2 3 3" xfId="8392"/>
    <cellStyle name="40% - Accent2 4 2 2 3 4" xfId="12677"/>
    <cellStyle name="40% - Accent2 4 2 2 3 5" xfId="16949"/>
    <cellStyle name="40% - Accent2 4 2 2 3 6" xfId="21184"/>
    <cellStyle name="40% - Accent2 4 2 2 3 7" xfId="25422"/>
    <cellStyle name="40% - Accent2 4 2 2 3 8" xfId="29500"/>
    <cellStyle name="40% - Accent2 4 2 2 3 9" xfId="3416"/>
    <cellStyle name="40% - Accent2 4 2 2 4" xfId="2555"/>
    <cellStyle name="40% - Accent2 4 2 2 4 2" xfId="7532"/>
    <cellStyle name="40% - Accent2 4 2 2 4 3" xfId="11821"/>
    <cellStyle name="40% - Accent2 4 2 2 4 4" xfId="16099"/>
    <cellStyle name="40% - Accent2 4 2 2 4 5" xfId="20342"/>
    <cellStyle name="40% - Accent2 4 2 2 4 6" xfId="24588"/>
    <cellStyle name="40% - Accent2 4 2 2 4 7" xfId="28693"/>
    <cellStyle name="40% - Accent2 4 2 2 5" xfId="4539"/>
    <cellStyle name="40% - Accent2 4 2 2 5 2" xfId="9513"/>
    <cellStyle name="40% - Accent2 4 2 2 5 3" xfId="13790"/>
    <cellStyle name="40% - Accent2 4 2 2 5 4" xfId="18050"/>
    <cellStyle name="40% - Accent2 4 2 2 5 5" xfId="22268"/>
    <cellStyle name="40% - Accent2 4 2 2 5 6" xfId="26464"/>
    <cellStyle name="40% - Accent2 4 2 2 5 7" xfId="30360"/>
    <cellStyle name="40% - Accent2 4 2 2 6" xfId="5888"/>
    <cellStyle name="40% - Accent2 4 2 2 6 2" xfId="10860"/>
    <cellStyle name="40% - Accent2 4 2 2 6 3" xfId="15138"/>
    <cellStyle name="40% - Accent2 4 2 2 6 4" xfId="19395"/>
    <cellStyle name="40% - Accent2 4 2 2 6 5" xfId="23612"/>
    <cellStyle name="40% - Accent2 4 2 2 6 6" xfId="27798"/>
    <cellStyle name="40% - Accent2 4 2 2 6 7" xfId="31677"/>
    <cellStyle name="40% - Accent2 4 2 2 7" xfId="6762"/>
    <cellStyle name="40% - Accent2 4 2 2 8" xfId="9228"/>
    <cellStyle name="40% - Accent2 4 2 2 9" xfId="13506"/>
    <cellStyle name="40% - Accent2 4 2 3" xfId="683"/>
    <cellStyle name="40% - Accent2 4 2 3 10" xfId="24058"/>
    <cellStyle name="40% - Accent2 4 2 3 11" xfId="28210"/>
    <cellStyle name="40% - Accent2 4 2 3 12" xfId="2002"/>
    <cellStyle name="40% - Accent2 4 2 3 2" xfId="1340"/>
    <cellStyle name="40% - Accent2 4 2 3 2 2" xfId="5371"/>
    <cellStyle name="40% - Accent2 4 2 3 2 2 2" xfId="10345"/>
    <cellStyle name="40% - Accent2 4 2 3 2 2 3" xfId="14622"/>
    <cellStyle name="40% - Accent2 4 2 3 2 2 4" xfId="18881"/>
    <cellStyle name="40% - Accent2 4 2 3 2 2 5" xfId="23100"/>
    <cellStyle name="40% - Accent2 4 2 3 2 2 6" xfId="27295"/>
    <cellStyle name="40% - Accent2 4 2 3 2 2 7" xfId="31191"/>
    <cellStyle name="40% - Accent2 4 2 3 2 3" xfId="8681"/>
    <cellStyle name="40% - Accent2 4 2 3 2 4" xfId="12966"/>
    <cellStyle name="40% - Accent2 4 2 3 2 5" xfId="17238"/>
    <cellStyle name="40% - Accent2 4 2 3 2 6" xfId="21473"/>
    <cellStyle name="40% - Accent2 4 2 3 2 7" xfId="25711"/>
    <cellStyle name="40% - Accent2 4 2 3 2 8" xfId="29789"/>
    <cellStyle name="40% - Accent2 4 2 3 2 9" xfId="3705"/>
    <cellStyle name="40% - Accent2 4 2 3 3" xfId="2855"/>
    <cellStyle name="40% - Accent2 4 2 3 3 2" xfId="7832"/>
    <cellStyle name="40% - Accent2 4 2 3 3 3" xfId="12121"/>
    <cellStyle name="40% - Accent2 4 2 3 3 4" xfId="16397"/>
    <cellStyle name="40% - Accent2 4 2 3 3 5" xfId="20637"/>
    <cellStyle name="40% - Accent2 4 2 3 3 6" xfId="24886"/>
    <cellStyle name="40% - Accent2 4 2 3 3 7" xfId="28982"/>
    <cellStyle name="40% - Accent2 4 2 3 4" xfId="4714"/>
    <cellStyle name="40% - Accent2 4 2 3 4 2" xfId="9688"/>
    <cellStyle name="40% - Accent2 4 2 3 4 3" xfId="13965"/>
    <cellStyle name="40% - Accent2 4 2 3 4 4" xfId="18224"/>
    <cellStyle name="40% - Accent2 4 2 3 4 5" xfId="22443"/>
    <cellStyle name="40% - Accent2 4 2 3 4 6" xfId="26638"/>
    <cellStyle name="40% - Accent2 4 2 3 4 7" xfId="30534"/>
    <cellStyle name="40% - Accent2 4 2 3 5" xfId="6062"/>
    <cellStyle name="40% - Accent2 4 2 3 5 2" xfId="11034"/>
    <cellStyle name="40% - Accent2 4 2 3 5 3" xfId="15312"/>
    <cellStyle name="40% - Accent2 4 2 3 5 4" xfId="19569"/>
    <cellStyle name="40% - Accent2 4 2 3 5 5" xfId="23786"/>
    <cellStyle name="40% - Accent2 4 2 3 5 6" xfId="27972"/>
    <cellStyle name="40% - Accent2 4 2 3 5 7" xfId="31851"/>
    <cellStyle name="40% - Accent2 4 2 3 6" xfId="6980"/>
    <cellStyle name="40% - Accent2 4 2 3 7" xfId="11272"/>
    <cellStyle name="40% - Accent2 4 2 3 8" xfId="15550"/>
    <cellStyle name="40% - Accent2 4 2 3 9" xfId="19807"/>
    <cellStyle name="40% - Accent2 4 2 4" xfId="1011"/>
    <cellStyle name="40% - Accent2 4 2 4 2" xfId="5042"/>
    <cellStyle name="40% - Accent2 4 2 4 2 2" xfId="10016"/>
    <cellStyle name="40% - Accent2 4 2 4 2 3" xfId="14293"/>
    <cellStyle name="40% - Accent2 4 2 4 2 4" xfId="18552"/>
    <cellStyle name="40% - Accent2 4 2 4 2 5" xfId="22771"/>
    <cellStyle name="40% - Accent2 4 2 4 2 6" xfId="26966"/>
    <cellStyle name="40% - Accent2 4 2 4 2 7" xfId="30862"/>
    <cellStyle name="40% - Accent2 4 2 4 3" xfId="8239"/>
    <cellStyle name="40% - Accent2 4 2 4 4" xfId="12524"/>
    <cellStyle name="40% - Accent2 4 2 4 5" xfId="16797"/>
    <cellStyle name="40% - Accent2 4 2 4 6" xfId="21033"/>
    <cellStyle name="40% - Accent2 4 2 4 7" xfId="25271"/>
    <cellStyle name="40% - Accent2 4 2 4 8" xfId="29349"/>
    <cellStyle name="40% - Accent2 4 2 4 9" xfId="3263"/>
    <cellStyle name="40% - Accent2 4 2 5" xfId="2379"/>
    <cellStyle name="40% - Accent2 4 2 5 2" xfId="7357"/>
    <cellStyle name="40% - Accent2 4 2 5 3" xfId="11646"/>
    <cellStyle name="40% - Accent2 4 2 5 4" xfId="15924"/>
    <cellStyle name="40% - Accent2 4 2 5 5" xfId="20173"/>
    <cellStyle name="40% - Accent2 4 2 5 6" xfId="24421"/>
    <cellStyle name="40% - Accent2 4 2 5 7" xfId="28541"/>
    <cellStyle name="40% - Accent2 4 2 6" xfId="4384"/>
    <cellStyle name="40% - Accent2 4 2 6 2" xfId="9358"/>
    <cellStyle name="40% - Accent2 4 2 6 3" xfId="13635"/>
    <cellStyle name="40% - Accent2 4 2 6 4" xfId="17895"/>
    <cellStyle name="40% - Accent2 4 2 6 5" xfId="22113"/>
    <cellStyle name="40% - Accent2 4 2 6 6" xfId="26309"/>
    <cellStyle name="40% - Accent2 4 2 6 7" xfId="30205"/>
    <cellStyle name="40% - Accent2 4 2 7" xfId="5733"/>
    <cellStyle name="40% - Accent2 4 2 7 2" xfId="10705"/>
    <cellStyle name="40% - Accent2 4 2 7 3" xfId="14983"/>
    <cellStyle name="40% - Accent2 4 2 7 4" xfId="19240"/>
    <cellStyle name="40% - Accent2 4 2 7 5" xfId="23457"/>
    <cellStyle name="40% - Accent2 4 2 7 6" xfId="27643"/>
    <cellStyle name="40% - Accent2 4 2 7 7" xfId="31522"/>
    <cellStyle name="40% - Accent2 4 2 8" xfId="6598"/>
    <cellStyle name="40% - Accent2 4 2 9" xfId="9021"/>
    <cellStyle name="40% - Accent2 4 3" xfId="402"/>
    <cellStyle name="40% - Accent2 4 3 10" xfId="17529"/>
    <cellStyle name="40% - Accent2 4 3 11" xfId="21784"/>
    <cellStyle name="40% - Accent2 4 3 12" xfId="25996"/>
    <cellStyle name="40% - Accent2 4 3 13" xfId="1765"/>
    <cellStyle name="40% - Accent2 4 3 2" xfId="776"/>
    <cellStyle name="40% - Accent2 4 3 2 10" xfId="24151"/>
    <cellStyle name="40% - Accent2 4 3 2 11" xfId="28303"/>
    <cellStyle name="40% - Accent2 4 3 2 12" xfId="2095"/>
    <cellStyle name="40% - Accent2 4 3 2 2" xfId="1433"/>
    <cellStyle name="40% - Accent2 4 3 2 2 2" xfId="5464"/>
    <cellStyle name="40% - Accent2 4 3 2 2 2 2" xfId="10438"/>
    <cellStyle name="40% - Accent2 4 3 2 2 2 3" xfId="14715"/>
    <cellStyle name="40% - Accent2 4 3 2 2 2 4" xfId="18974"/>
    <cellStyle name="40% - Accent2 4 3 2 2 2 5" xfId="23193"/>
    <cellStyle name="40% - Accent2 4 3 2 2 2 6" xfId="27388"/>
    <cellStyle name="40% - Accent2 4 3 2 2 2 7" xfId="31284"/>
    <cellStyle name="40% - Accent2 4 3 2 2 3" xfId="8682"/>
    <cellStyle name="40% - Accent2 4 3 2 2 4" xfId="12967"/>
    <cellStyle name="40% - Accent2 4 3 2 2 5" xfId="17239"/>
    <cellStyle name="40% - Accent2 4 3 2 2 6" xfId="21474"/>
    <cellStyle name="40% - Accent2 4 3 2 2 7" xfId="25712"/>
    <cellStyle name="40% - Accent2 4 3 2 2 8" xfId="29790"/>
    <cellStyle name="40% - Accent2 4 3 2 2 9" xfId="3706"/>
    <cellStyle name="40% - Accent2 4 3 2 3" xfId="2856"/>
    <cellStyle name="40% - Accent2 4 3 2 3 2" xfId="7833"/>
    <cellStyle name="40% - Accent2 4 3 2 3 3" xfId="12122"/>
    <cellStyle name="40% - Accent2 4 3 2 3 4" xfId="16398"/>
    <cellStyle name="40% - Accent2 4 3 2 3 5" xfId="20638"/>
    <cellStyle name="40% - Accent2 4 3 2 3 6" xfId="24887"/>
    <cellStyle name="40% - Accent2 4 3 2 3 7" xfId="28983"/>
    <cellStyle name="40% - Accent2 4 3 2 4" xfId="4807"/>
    <cellStyle name="40% - Accent2 4 3 2 4 2" xfId="9781"/>
    <cellStyle name="40% - Accent2 4 3 2 4 3" xfId="14058"/>
    <cellStyle name="40% - Accent2 4 3 2 4 4" xfId="18317"/>
    <cellStyle name="40% - Accent2 4 3 2 4 5" xfId="22536"/>
    <cellStyle name="40% - Accent2 4 3 2 4 6" xfId="26731"/>
    <cellStyle name="40% - Accent2 4 3 2 4 7" xfId="30627"/>
    <cellStyle name="40% - Accent2 4 3 2 5" xfId="6155"/>
    <cellStyle name="40% - Accent2 4 3 2 5 2" xfId="11127"/>
    <cellStyle name="40% - Accent2 4 3 2 5 3" xfId="15405"/>
    <cellStyle name="40% - Accent2 4 3 2 5 4" xfId="19662"/>
    <cellStyle name="40% - Accent2 4 3 2 5 5" xfId="23879"/>
    <cellStyle name="40% - Accent2 4 3 2 5 6" xfId="28065"/>
    <cellStyle name="40% - Accent2 4 3 2 5 7" xfId="31944"/>
    <cellStyle name="40% - Accent2 4 3 2 6" xfId="7073"/>
    <cellStyle name="40% - Accent2 4 3 2 7" xfId="11365"/>
    <cellStyle name="40% - Accent2 4 3 2 8" xfId="15643"/>
    <cellStyle name="40% - Accent2 4 3 2 9" xfId="19900"/>
    <cellStyle name="40% - Accent2 4 3 3" xfId="1104"/>
    <cellStyle name="40% - Accent2 4 3 3 2" xfId="5135"/>
    <cellStyle name="40% - Accent2 4 3 3 2 2" xfId="10109"/>
    <cellStyle name="40% - Accent2 4 3 3 2 3" xfId="14386"/>
    <cellStyle name="40% - Accent2 4 3 3 2 4" xfId="18645"/>
    <cellStyle name="40% - Accent2 4 3 3 2 5" xfId="22864"/>
    <cellStyle name="40% - Accent2 4 3 3 2 6" xfId="27059"/>
    <cellStyle name="40% - Accent2 4 3 3 2 7" xfId="30955"/>
    <cellStyle name="40% - Accent2 4 3 3 3" xfId="8330"/>
    <cellStyle name="40% - Accent2 4 3 3 4" xfId="12615"/>
    <cellStyle name="40% - Accent2 4 3 3 5" xfId="16887"/>
    <cellStyle name="40% - Accent2 4 3 3 6" xfId="21122"/>
    <cellStyle name="40% - Accent2 4 3 3 7" xfId="25360"/>
    <cellStyle name="40% - Accent2 4 3 3 8" xfId="29438"/>
    <cellStyle name="40% - Accent2 4 3 3 9" xfId="3354"/>
    <cellStyle name="40% - Accent2 4 3 4" xfId="2493"/>
    <cellStyle name="40% - Accent2 4 3 4 2" xfId="7470"/>
    <cellStyle name="40% - Accent2 4 3 4 3" xfId="11759"/>
    <cellStyle name="40% - Accent2 4 3 4 4" xfId="16037"/>
    <cellStyle name="40% - Accent2 4 3 4 5" xfId="20280"/>
    <cellStyle name="40% - Accent2 4 3 4 6" xfId="24526"/>
    <cellStyle name="40% - Accent2 4 3 4 7" xfId="28631"/>
    <cellStyle name="40% - Accent2 4 3 5" xfId="4477"/>
    <cellStyle name="40% - Accent2 4 3 5 2" xfId="9451"/>
    <cellStyle name="40% - Accent2 4 3 5 3" xfId="13728"/>
    <cellStyle name="40% - Accent2 4 3 5 4" xfId="17988"/>
    <cellStyle name="40% - Accent2 4 3 5 5" xfId="22206"/>
    <cellStyle name="40% - Accent2 4 3 5 6" xfId="26402"/>
    <cellStyle name="40% - Accent2 4 3 5 7" xfId="30298"/>
    <cellStyle name="40% - Accent2 4 3 6" xfId="5826"/>
    <cellStyle name="40% - Accent2 4 3 6 2" xfId="10798"/>
    <cellStyle name="40% - Accent2 4 3 6 3" xfId="15076"/>
    <cellStyle name="40% - Accent2 4 3 6 4" xfId="19333"/>
    <cellStyle name="40% - Accent2 4 3 6 5" xfId="23550"/>
    <cellStyle name="40% - Accent2 4 3 6 6" xfId="27736"/>
    <cellStyle name="40% - Accent2 4 3 6 7" xfId="31615"/>
    <cellStyle name="40% - Accent2 4 3 7" xfId="6700"/>
    <cellStyle name="40% - Accent2 4 3 8" xfId="8973"/>
    <cellStyle name="40% - Accent2 4 3 9" xfId="13255"/>
    <cellStyle name="40% - Accent2 4 4" xfId="516"/>
    <cellStyle name="40% - Accent2 4 4 10" xfId="6454"/>
    <cellStyle name="40% - Accent2 4 4 11" xfId="12562"/>
    <cellStyle name="40% - Accent2 4 4 12" xfId="20754"/>
    <cellStyle name="40% - Accent2 4 4 13" xfId="1879"/>
    <cellStyle name="40% - Accent2 4 4 2" xfId="890"/>
    <cellStyle name="40% - Accent2 4 4 2 10" xfId="24265"/>
    <cellStyle name="40% - Accent2 4 4 2 11" xfId="28417"/>
    <cellStyle name="40% - Accent2 4 4 2 12" xfId="2209"/>
    <cellStyle name="40% - Accent2 4 4 2 2" xfId="1547"/>
    <cellStyle name="40% - Accent2 4 4 2 2 2" xfId="5578"/>
    <cellStyle name="40% - Accent2 4 4 2 2 2 2" xfId="10552"/>
    <cellStyle name="40% - Accent2 4 4 2 2 2 3" xfId="14829"/>
    <cellStyle name="40% - Accent2 4 4 2 2 2 4" xfId="19088"/>
    <cellStyle name="40% - Accent2 4 4 2 2 2 5" xfId="23307"/>
    <cellStyle name="40% - Accent2 4 4 2 2 2 6" xfId="27502"/>
    <cellStyle name="40% - Accent2 4 4 2 2 2 7" xfId="31398"/>
    <cellStyle name="40% - Accent2 4 4 2 2 3" xfId="8683"/>
    <cellStyle name="40% - Accent2 4 4 2 2 4" xfId="12968"/>
    <cellStyle name="40% - Accent2 4 4 2 2 5" xfId="17240"/>
    <cellStyle name="40% - Accent2 4 4 2 2 6" xfId="21475"/>
    <cellStyle name="40% - Accent2 4 4 2 2 7" xfId="25713"/>
    <cellStyle name="40% - Accent2 4 4 2 2 8" xfId="29791"/>
    <cellStyle name="40% - Accent2 4 4 2 2 9" xfId="3707"/>
    <cellStyle name="40% - Accent2 4 4 2 3" xfId="2857"/>
    <cellStyle name="40% - Accent2 4 4 2 3 2" xfId="7834"/>
    <cellStyle name="40% - Accent2 4 4 2 3 3" xfId="12123"/>
    <cellStyle name="40% - Accent2 4 4 2 3 4" xfId="16399"/>
    <cellStyle name="40% - Accent2 4 4 2 3 5" xfId="20639"/>
    <cellStyle name="40% - Accent2 4 4 2 3 6" xfId="24888"/>
    <cellStyle name="40% - Accent2 4 4 2 3 7" xfId="28984"/>
    <cellStyle name="40% - Accent2 4 4 2 4" xfId="4921"/>
    <cellStyle name="40% - Accent2 4 4 2 4 2" xfId="9895"/>
    <cellStyle name="40% - Accent2 4 4 2 4 3" xfId="14172"/>
    <cellStyle name="40% - Accent2 4 4 2 4 4" xfId="18431"/>
    <cellStyle name="40% - Accent2 4 4 2 4 5" xfId="22650"/>
    <cellStyle name="40% - Accent2 4 4 2 4 6" xfId="26845"/>
    <cellStyle name="40% - Accent2 4 4 2 4 7" xfId="30741"/>
    <cellStyle name="40% - Accent2 4 4 2 5" xfId="6269"/>
    <cellStyle name="40% - Accent2 4 4 2 5 2" xfId="11241"/>
    <cellStyle name="40% - Accent2 4 4 2 5 3" xfId="15519"/>
    <cellStyle name="40% - Accent2 4 4 2 5 4" xfId="19776"/>
    <cellStyle name="40% - Accent2 4 4 2 5 5" xfId="23993"/>
    <cellStyle name="40% - Accent2 4 4 2 5 6" xfId="28179"/>
    <cellStyle name="40% - Accent2 4 4 2 5 7" xfId="32058"/>
    <cellStyle name="40% - Accent2 4 4 2 6" xfId="7187"/>
    <cellStyle name="40% - Accent2 4 4 2 7" xfId="11479"/>
    <cellStyle name="40% - Accent2 4 4 2 8" xfId="15757"/>
    <cellStyle name="40% - Accent2 4 4 2 9" xfId="20014"/>
    <cellStyle name="40% - Accent2 4 4 3" xfId="1218"/>
    <cellStyle name="40% - Accent2 4 4 3 2" xfId="5249"/>
    <cellStyle name="40% - Accent2 4 4 3 2 2" xfId="10223"/>
    <cellStyle name="40% - Accent2 4 4 3 2 3" xfId="14500"/>
    <cellStyle name="40% - Accent2 4 4 3 2 4" xfId="18759"/>
    <cellStyle name="40% - Accent2 4 4 3 2 5" xfId="22978"/>
    <cellStyle name="40% - Accent2 4 4 3 2 6" xfId="27173"/>
    <cellStyle name="40% - Accent2 4 4 3 2 7" xfId="31069"/>
    <cellStyle name="40% - Accent2 4 4 3 3" xfId="8459"/>
    <cellStyle name="40% - Accent2 4 4 3 4" xfId="12744"/>
    <cellStyle name="40% - Accent2 4 4 3 5" xfId="17016"/>
    <cellStyle name="40% - Accent2 4 4 3 6" xfId="21251"/>
    <cellStyle name="40% - Accent2 4 4 3 7" xfId="25489"/>
    <cellStyle name="40% - Accent2 4 4 3 8" xfId="29567"/>
    <cellStyle name="40% - Accent2 4 4 3 9" xfId="3483"/>
    <cellStyle name="40% - Accent2 4 4 4" xfId="2626"/>
    <cellStyle name="40% - Accent2 4 4 4 2" xfId="7603"/>
    <cellStyle name="40% - Accent2 4 4 4 3" xfId="11892"/>
    <cellStyle name="40% - Accent2 4 4 4 4" xfId="16168"/>
    <cellStyle name="40% - Accent2 4 4 4 5" xfId="20410"/>
    <cellStyle name="40% - Accent2 4 4 4 6" xfId="24657"/>
    <cellStyle name="40% - Accent2 4 4 4 7" xfId="28760"/>
    <cellStyle name="40% - Accent2 4 4 5" xfId="4591"/>
    <cellStyle name="40% - Accent2 4 4 5 2" xfId="9565"/>
    <cellStyle name="40% - Accent2 4 4 5 3" xfId="13842"/>
    <cellStyle name="40% - Accent2 4 4 5 4" xfId="18102"/>
    <cellStyle name="40% - Accent2 4 4 5 5" xfId="22320"/>
    <cellStyle name="40% - Accent2 4 4 5 6" xfId="26516"/>
    <cellStyle name="40% - Accent2 4 4 5 7" xfId="30412"/>
    <cellStyle name="40% - Accent2 4 4 6" xfId="5940"/>
    <cellStyle name="40% - Accent2 4 4 6 2" xfId="10912"/>
    <cellStyle name="40% - Accent2 4 4 6 3" xfId="15190"/>
    <cellStyle name="40% - Accent2 4 4 6 4" xfId="19447"/>
    <cellStyle name="40% - Accent2 4 4 6 5" xfId="23664"/>
    <cellStyle name="40% - Accent2 4 4 6 6" xfId="27850"/>
    <cellStyle name="40% - Accent2 4 4 6 7" xfId="31729"/>
    <cellStyle name="40% - Accent2 4 4 7" xfId="6814"/>
    <cellStyle name="40% - Accent2 4 4 8" xfId="6553"/>
    <cellStyle name="40% - Accent2 4 4 9" xfId="6490"/>
    <cellStyle name="40% - Accent2 4 5" xfId="617"/>
    <cellStyle name="40% - Accent2 4 5 10" xfId="8940"/>
    <cellStyle name="40% - Accent2 4 5 11" xfId="21879"/>
    <cellStyle name="40% - Accent2 4 5 12" xfId="21973"/>
    <cellStyle name="40% - Accent2 4 5 13" xfId="1936"/>
    <cellStyle name="40% - Accent2 4 5 2" xfId="1274"/>
    <cellStyle name="40% - Accent2 4 5 2 10" xfId="2859"/>
    <cellStyle name="40% - Accent2 4 5 2 2" xfId="3709"/>
    <cellStyle name="40% - Accent2 4 5 2 2 2" xfId="8685"/>
    <cellStyle name="40% - Accent2 4 5 2 2 3" xfId="12970"/>
    <cellStyle name="40% - Accent2 4 5 2 2 4" xfId="17242"/>
    <cellStyle name="40% - Accent2 4 5 2 2 5" xfId="21477"/>
    <cellStyle name="40% - Accent2 4 5 2 2 6" xfId="25715"/>
    <cellStyle name="40% - Accent2 4 5 2 2 7" xfId="29793"/>
    <cellStyle name="40% - Accent2 4 5 2 3" xfId="5305"/>
    <cellStyle name="40% - Accent2 4 5 2 3 2" xfId="10279"/>
    <cellStyle name="40% - Accent2 4 5 2 3 3" xfId="14556"/>
    <cellStyle name="40% - Accent2 4 5 2 3 4" xfId="18815"/>
    <cellStyle name="40% - Accent2 4 5 2 3 5" xfId="23034"/>
    <cellStyle name="40% - Accent2 4 5 2 3 6" xfId="27229"/>
    <cellStyle name="40% - Accent2 4 5 2 3 7" xfId="31125"/>
    <cellStyle name="40% - Accent2 4 5 2 4" xfId="7836"/>
    <cellStyle name="40% - Accent2 4 5 2 5" xfId="12125"/>
    <cellStyle name="40% - Accent2 4 5 2 6" xfId="16401"/>
    <cellStyle name="40% - Accent2 4 5 2 7" xfId="20641"/>
    <cellStyle name="40% - Accent2 4 5 2 8" xfId="24890"/>
    <cellStyle name="40% - Accent2 4 5 2 9" xfId="28986"/>
    <cellStyle name="40% - Accent2 4 5 3" xfId="3708"/>
    <cellStyle name="40% - Accent2 4 5 3 2" xfId="8684"/>
    <cellStyle name="40% - Accent2 4 5 3 3" xfId="12969"/>
    <cellStyle name="40% - Accent2 4 5 3 4" xfId="17241"/>
    <cellStyle name="40% - Accent2 4 5 3 5" xfId="21476"/>
    <cellStyle name="40% - Accent2 4 5 3 6" xfId="25714"/>
    <cellStyle name="40% - Accent2 4 5 3 7" xfId="29792"/>
    <cellStyle name="40% - Accent2 4 5 4" xfId="2858"/>
    <cellStyle name="40% - Accent2 4 5 4 2" xfId="7835"/>
    <cellStyle name="40% - Accent2 4 5 4 3" xfId="12124"/>
    <cellStyle name="40% - Accent2 4 5 4 4" xfId="16400"/>
    <cellStyle name="40% - Accent2 4 5 4 5" xfId="20640"/>
    <cellStyle name="40% - Accent2 4 5 4 6" xfId="24889"/>
    <cellStyle name="40% - Accent2 4 5 4 7" xfId="28985"/>
    <cellStyle name="40% - Accent2 4 5 5" xfId="4648"/>
    <cellStyle name="40% - Accent2 4 5 5 2" xfId="9622"/>
    <cellStyle name="40% - Accent2 4 5 5 3" xfId="13899"/>
    <cellStyle name="40% - Accent2 4 5 5 4" xfId="18158"/>
    <cellStyle name="40% - Accent2 4 5 5 5" xfId="22377"/>
    <cellStyle name="40% - Accent2 4 5 5 6" xfId="26572"/>
    <cellStyle name="40% - Accent2 4 5 5 7" xfId="30468"/>
    <cellStyle name="40% - Accent2 4 5 6" xfId="5996"/>
    <cellStyle name="40% - Accent2 4 5 6 2" xfId="10968"/>
    <cellStyle name="40% - Accent2 4 5 6 3" xfId="15246"/>
    <cellStyle name="40% - Accent2 4 5 6 4" xfId="19503"/>
    <cellStyle name="40% - Accent2 4 5 6 5" xfId="23720"/>
    <cellStyle name="40% - Accent2 4 5 6 6" xfId="27906"/>
    <cellStyle name="40% - Accent2 4 5 6 7" xfId="31785"/>
    <cellStyle name="40% - Accent2 4 5 7" xfId="6914"/>
    <cellStyle name="40% - Accent2 4 5 8" xfId="6523"/>
    <cellStyle name="40% - Accent2 4 5 9" xfId="6357"/>
    <cellStyle name="40% - Accent2 4 6" xfId="945"/>
    <cellStyle name="40% - Accent2 4 6 10" xfId="2860"/>
    <cellStyle name="40% - Accent2 4 6 2" xfId="3710"/>
    <cellStyle name="40% - Accent2 4 6 2 2" xfId="8686"/>
    <cellStyle name="40% - Accent2 4 6 2 3" xfId="12971"/>
    <cellStyle name="40% - Accent2 4 6 2 4" xfId="17243"/>
    <cellStyle name="40% - Accent2 4 6 2 5" xfId="21478"/>
    <cellStyle name="40% - Accent2 4 6 2 6" xfId="25716"/>
    <cellStyle name="40% - Accent2 4 6 2 7" xfId="29794"/>
    <cellStyle name="40% - Accent2 4 6 3" xfId="4976"/>
    <cellStyle name="40% - Accent2 4 6 3 2" xfId="9950"/>
    <cellStyle name="40% - Accent2 4 6 3 3" xfId="14227"/>
    <cellStyle name="40% - Accent2 4 6 3 4" xfId="18486"/>
    <cellStyle name="40% - Accent2 4 6 3 5" xfId="22705"/>
    <cellStyle name="40% - Accent2 4 6 3 6" xfId="26900"/>
    <cellStyle name="40% - Accent2 4 6 3 7" xfId="30796"/>
    <cellStyle name="40% - Accent2 4 6 4" xfId="7837"/>
    <cellStyle name="40% - Accent2 4 6 5" xfId="12126"/>
    <cellStyle name="40% - Accent2 4 6 6" xfId="16402"/>
    <cellStyle name="40% - Accent2 4 6 7" xfId="20642"/>
    <cellStyle name="40% - Accent2 4 6 8" xfId="24891"/>
    <cellStyle name="40% - Accent2 4 6 9" xfId="28987"/>
    <cellStyle name="40% - Accent2 4 7" xfId="3188"/>
    <cellStyle name="40% - Accent2 4 7 2" xfId="8164"/>
    <cellStyle name="40% - Accent2 4 7 3" xfId="12450"/>
    <cellStyle name="40% - Accent2 4 7 4" xfId="16724"/>
    <cellStyle name="40% - Accent2 4 7 5" xfId="20960"/>
    <cellStyle name="40% - Accent2 4 7 6" xfId="25200"/>
    <cellStyle name="40% - Accent2 4 7 7" xfId="29281"/>
    <cellStyle name="40% - Accent2 4 8" xfId="2275"/>
    <cellStyle name="40% - Accent2 4 8 2" xfId="7253"/>
    <cellStyle name="40% - Accent2 4 8 3" xfId="11543"/>
    <cellStyle name="40% - Accent2 4 8 4" xfId="15822"/>
    <cellStyle name="40% - Accent2 4 8 5" xfId="20077"/>
    <cellStyle name="40% - Accent2 4 8 6" xfId="24327"/>
    <cellStyle name="40% - Accent2 4 8 7" xfId="28472"/>
    <cellStyle name="40% - Accent2 4 9" xfId="4313"/>
    <cellStyle name="40% - Accent2 4 9 2" xfId="9287"/>
    <cellStyle name="40% - Accent2 4 9 3" xfId="13564"/>
    <cellStyle name="40% - Accent2 4 9 4" xfId="17824"/>
    <cellStyle name="40% - Accent2 4 9 5" xfId="22043"/>
    <cellStyle name="40% - Accent2 4 9 6" xfId="26241"/>
    <cellStyle name="40% - Accent2 4 9 7" xfId="30138"/>
    <cellStyle name="40% - Accent2 5" xfId="223"/>
    <cellStyle name="40% - Accent2 5 2" xfId="433"/>
    <cellStyle name="40% - Accent2 5 2 10" xfId="15895"/>
    <cellStyle name="40% - Accent2 5 2 11" xfId="26036"/>
    <cellStyle name="40% - Accent2 5 2 12" xfId="1796"/>
    <cellStyle name="40% - Accent2 5 2 2" xfId="807"/>
    <cellStyle name="40% - Accent2 5 2 2 10" xfId="19931"/>
    <cellStyle name="40% - Accent2 5 2 2 11" xfId="24182"/>
    <cellStyle name="40% - Accent2 5 2 2 12" xfId="28334"/>
    <cellStyle name="40% - Accent2 5 2 2 13" xfId="2126"/>
    <cellStyle name="40% - Accent2 5 2 2 2" xfId="1464"/>
    <cellStyle name="40% - Accent2 5 2 2 2 10" xfId="2861"/>
    <cellStyle name="40% - Accent2 5 2 2 2 2" xfId="3711"/>
    <cellStyle name="40% - Accent2 5 2 2 2 2 2" xfId="8687"/>
    <cellStyle name="40% - Accent2 5 2 2 2 2 3" xfId="12972"/>
    <cellStyle name="40% - Accent2 5 2 2 2 2 4" xfId="17244"/>
    <cellStyle name="40% - Accent2 5 2 2 2 2 5" xfId="21479"/>
    <cellStyle name="40% - Accent2 5 2 2 2 2 6" xfId="25717"/>
    <cellStyle name="40% - Accent2 5 2 2 2 2 7" xfId="29795"/>
    <cellStyle name="40% - Accent2 5 2 2 2 3" xfId="5495"/>
    <cellStyle name="40% - Accent2 5 2 2 2 3 2" xfId="10469"/>
    <cellStyle name="40% - Accent2 5 2 2 2 3 3" xfId="14746"/>
    <cellStyle name="40% - Accent2 5 2 2 2 3 4" xfId="19005"/>
    <cellStyle name="40% - Accent2 5 2 2 2 3 5" xfId="23224"/>
    <cellStyle name="40% - Accent2 5 2 2 2 3 6" xfId="27419"/>
    <cellStyle name="40% - Accent2 5 2 2 2 3 7" xfId="31315"/>
    <cellStyle name="40% - Accent2 5 2 2 2 4" xfId="7838"/>
    <cellStyle name="40% - Accent2 5 2 2 2 5" xfId="12127"/>
    <cellStyle name="40% - Accent2 5 2 2 2 6" xfId="16403"/>
    <cellStyle name="40% - Accent2 5 2 2 2 7" xfId="20643"/>
    <cellStyle name="40% - Accent2 5 2 2 2 8" xfId="24892"/>
    <cellStyle name="40% - Accent2 5 2 2 2 9" xfId="28988"/>
    <cellStyle name="40% - Accent2 5 2 2 3" xfId="3385"/>
    <cellStyle name="40% - Accent2 5 2 2 3 2" xfId="8361"/>
    <cellStyle name="40% - Accent2 5 2 2 3 3" xfId="12646"/>
    <cellStyle name="40% - Accent2 5 2 2 3 4" xfId="16918"/>
    <cellStyle name="40% - Accent2 5 2 2 3 5" xfId="21153"/>
    <cellStyle name="40% - Accent2 5 2 2 3 6" xfId="25391"/>
    <cellStyle name="40% - Accent2 5 2 2 3 7" xfId="29469"/>
    <cellStyle name="40% - Accent2 5 2 2 4" xfId="2524"/>
    <cellStyle name="40% - Accent2 5 2 2 4 2" xfId="7501"/>
    <cellStyle name="40% - Accent2 5 2 2 4 3" xfId="11790"/>
    <cellStyle name="40% - Accent2 5 2 2 4 4" xfId="16068"/>
    <cellStyle name="40% - Accent2 5 2 2 4 5" xfId="20311"/>
    <cellStyle name="40% - Accent2 5 2 2 4 6" xfId="24557"/>
    <cellStyle name="40% - Accent2 5 2 2 4 7" xfId="28662"/>
    <cellStyle name="40% - Accent2 5 2 2 5" xfId="4838"/>
    <cellStyle name="40% - Accent2 5 2 2 5 2" xfId="9812"/>
    <cellStyle name="40% - Accent2 5 2 2 5 3" xfId="14089"/>
    <cellStyle name="40% - Accent2 5 2 2 5 4" xfId="18348"/>
    <cellStyle name="40% - Accent2 5 2 2 5 5" xfId="22567"/>
    <cellStyle name="40% - Accent2 5 2 2 5 6" xfId="26762"/>
    <cellStyle name="40% - Accent2 5 2 2 5 7" xfId="30658"/>
    <cellStyle name="40% - Accent2 5 2 2 6" xfId="6186"/>
    <cellStyle name="40% - Accent2 5 2 2 6 2" xfId="11158"/>
    <cellStyle name="40% - Accent2 5 2 2 6 3" xfId="15436"/>
    <cellStyle name="40% - Accent2 5 2 2 6 4" xfId="19693"/>
    <cellStyle name="40% - Accent2 5 2 2 6 5" xfId="23910"/>
    <cellStyle name="40% - Accent2 5 2 2 6 6" xfId="28096"/>
    <cellStyle name="40% - Accent2 5 2 2 6 7" xfId="31975"/>
    <cellStyle name="40% - Accent2 5 2 2 7" xfId="7104"/>
    <cellStyle name="40% - Accent2 5 2 2 8" xfId="11396"/>
    <cellStyle name="40% - Accent2 5 2 2 9" xfId="15674"/>
    <cellStyle name="40% - Accent2 5 2 3" xfId="1135"/>
    <cellStyle name="40% - Accent2 5 2 3 2" xfId="5166"/>
    <cellStyle name="40% - Accent2 5 2 3 2 2" xfId="10140"/>
    <cellStyle name="40% - Accent2 5 2 3 2 3" xfId="14417"/>
    <cellStyle name="40% - Accent2 5 2 3 2 4" xfId="18676"/>
    <cellStyle name="40% - Accent2 5 2 3 2 5" xfId="22895"/>
    <cellStyle name="40% - Accent2 5 2 3 2 6" xfId="27090"/>
    <cellStyle name="40% - Accent2 5 2 3 2 7" xfId="30986"/>
    <cellStyle name="40% - Accent2 5 2 3 3" xfId="2438"/>
    <cellStyle name="40% - Accent2 5 2 4" xfId="4508"/>
    <cellStyle name="40% - Accent2 5 2 4 2" xfId="9482"/>
    <cellStyle name="40% - Accent2 5 2 4 3" xfId="13759"/>
    <cellStyle name="40% - Accent2 5 2 4 4" xfId="18019"/>
    <cellStyle name="40% - Accent2 5 2 4 5" xfId="22237"/>
    <cellStyle name="40% - Accent2 5 2 4 6" xfId="26433"/>
    <cellStyle name="40% - Accent2 5 2 4 7" xfId="30329"/>
    <cellStyle name="40% - Accent2 5 2 5" xfId="5857"/>
    <cellStyle name="40% - Accent2 5 2 5 2" xfId="10829"/>
    <cellStyle name="40% - Accent2 5 2 5 3" xfId="15107"/>
    <cellStyle name="40% - Accent2 5 2 5 4" xfId="19364"/>
    <cellStyle name="40% - Accent2 5 2 5 5" xfId="23581"/>
    <cellStyle name="40% - Accent2 5 2 5 6" xfId="27767"/>
    <cellStyle name="40% - Accent2 5 2 5 7" xfId="31646"/>
    <cellStyle name="40% - Accent2 5 2 6" xfId="6731"/>
    <cellStyle name="40% - Accent2 5 2 7" xfId="9025"/>
    <cellStyle name="40% - Accent2 5 2 8" xfId="13308"/>
    <cellStyle name="40% - Accent2 5 2 9" xfId="17581"/>
    <cellStyle name="40% - Accent2 5 3" xfId="282"/>
    <cellStyle name="40% - Accent2 5 3 10" xfId="21811"/>
    <cellStyle name="40% - Accent2 5 3 11" xfId="26108"/>
    <cellStyle name="40% - Accent2 5 3 12" xfId="1661"/>
    <cellStyle name="40% - Accent2 5 3 2" xfId="672"/>
    <cellStyle name="40% - Accent2 5 3 2 10" xfId="20987"/>
    <cellStyle name="40% - Accent2 5 3 2 11" xfId="1991"/>
    <cellStyle name="40% - Accent2 5 3 2 2" xfId="1329"/>
    <cellStyle name="40% - Accent2 5 3 2 2 2" xfId="5360"/>
    <cellStyle name="40% - Accent2 5 3 2 2 2 2" xfId="10334"/>
    <cellStyle name="40% - Accent2 5 3 2 2 2 3" xfId="14611"/>
    <cellStyle name="40% - Accent2 5 3 2 2 2 4" xfId="18870"/>
    <cellStyle name="40% - Accent2 5 3 2 2 2 5" xfId="23089"/>
    <cellStyle name="40% - Accent2 5 3 2 2 2 6" xfId="27284"/>
    <cellStyle name="40% - Accent2 5 3 2 2 2 7" xfId="31180"/>
    <cellStyle name="40% - Accent2 5 3 2 2 3" xfId="8688"/>
    <cellStyle name="40% - Accent2 5 3 2 2 4" xfId="12973"/>
    <cellStyle name="40% - Accent2 5 3 2 2 5" xfId="17245"/>
    <cellStyle name="40% - Accent2 5 3 2 2 6" xfId="21480"/>
    <cellStyle name="40% - Accent2 5 3 2 2 7" xfId="25718"/>
    <cellStyle name="40% - Accent2 5 3 2 2 8" xfId="29796"/>
    <cellStyle name="40% - Accent2 5 3 2 2 9" xfId="3712"/>
    <cellStyle name="40% - Accent2 5 3 2 3" xfId="4703"/>
    <cellStyle name="40% - Accent2 5 3 2 3 2" xfId="9677"/>
    <cellStyle name="40% - Accent2 5 3 2 3 3" xfId="13954"/>
    <cellStyle name="40% - Accent2 5 3 2 3 4" xfId="18213"/>
    <cellStyle name="40% - Accent2 5 3 2 3 5" xfId="22432"/>
    <cellStyle name="40% - Accent2 5 3 2 3 6" xfId="26627"/>
    <cellStyle name="40% - Accent2 5 3 2 3 7" xfId="30523"/>
    <cellStyle name="40% - Accent2 5 3 2 4" xfId="6051"/>
    <cellStyle name="40% - Accent2 5 3 2 4 2" xfId="11023"/>
    <cellStyle name="40% - Accent2 5 3 2 4 3" xfId="15301"/>
    <cellStyle name="40% - Accent2 5 3 2 4 4" xfId="19558"/>
    <cellStyle name="40% - Accent2 5 3 2 4 5" xfId="23775"/>
    <cellStyle name="40% - Accent2 5 3 2 4 6" xfId="27961"/>
    <cellStyle name="40% - Accent2 5 3 2 4 7" xfId="31840"/>
    <cellStyle name="40% - Accent2 5 3 2 5" xfId="6969"/>
    <cellStyle name="40% - Accent2 5 3 2 6" xfId="6302"/>
    <cellStyle name="40% - Accent2 5 3 2 7" xfId="6483"/>
    <cellStyle name="40% - Accent2 5 3 2 8" xfId="6579"/>
    <cellStyle name="40% - Accent2 5 3 2 9" xfId="24047"/>
    <cellStyle name="40% - Accent2 5 3 3" xfId="1000"/>
    <cellStyle name="40% - Accent2 5 3 3 2" xfId="5031"/>
    <cellStyle name="40% - Accent2 5 3 3 2 2" xfId="10005"/>
    <cellStyle name="40% - Accent2 5 3 3 2 3" xfId="14282"/>
    <cellStyle name="40% - Accent2 5 3 3 2 4" xfId="18541"/>
    <cellStyle name="40% - Accent2 5 3 3 2 5" xfId="22760"/>
    <cellStyle name="40% - Accent2 5 3 3 2 6" xfId="26955"/>
    <cellStyle name="40% - Accent2 5 3 3 2 7" xfId="30851"/>
    <cellStyle name="40% - Accent2 5 3 3 3" xfId="7839"/>
    <cellStyle name="40% - Accent2 5 3 3 4" xfId="12128"/>
    <cellStyle name="40% - Accent2 5 3 3 5" xfId="16404"/>
    <cellStyle name="40% - Accent2 5 3 3 6" xfId="20644"/>
    <cellStyle name="40% - Accent2 5 3 3 7" xfId="24893"/>
    <cellStyle name="40% - Accent2 5 3 3 8" xfId="28989"/>
    <cellStyle name="40% - Accent2 5 3 3 9" xfId="2862"/>
    <cellStyle name="40% - Accent2 5 3 4" xfId="4373"/>
    <cellStyle name="40% - Accent2 5 3 4 2" xfId="9347"/>
    <cellStyle name="40% - Accent2 5 3 4 3" xfId="13624"/>
    <cellStyle name="40% - Accent2 5 3 4 4" xfId="17884"/>
    <cellStyle name="40% - Accent2 5 3 4 5" xfId="22102"/>
    <cellStyle name="40% - Accent2 5 3 4 6" xfId="26298"/>
    <cellStyle name="40% - Accent2 5 3 4 7" xfId="30194"/>
    <cellStyle name="40% - Accent2 5 3 5" xfId="5722"/>
    <cellStyle name="40% - Accent2 5 3 5 2" xfId="10694"/>
    <cellStyle name="40% - Accent2 5 3 5 3" xfId="14972"/>
    <cellStyle name="40% - Accent2 5 3 5 4" xfId="19229"/>
    <cellStyle name="40% - Accent2 5 3 5 5" xfId="23446"/>
    <cellStyle name="40% - Accent2 5 3 5 6" xfId="27632"/>
    <cellStyle name="40% - Accent2 5 3 5 7" xfId="31511"/>
    <cellStyle name="40% - Accent2 5 3 6" xfId="6580"/>
    <cellStyle name="40% - Accent2 5 3 7" xfId="9118"/>
    <cellStyle name="40% - Accent2 5 3 8" xfId="13398"/>
    <cellStyle name="40% - Accent2 5 3 9" xfId="17666"/>
    <cellStyle name="40% - Accent2 5 4" xfId="3224"/>
    <cellStyle name="40% - Accent2 5 4 2" xfId="8200"/>
    <cellStyle name="40% - Accent2 5 4 3" xfId="12486"/>
    <cellStyle name="40% - Accent2 5 4 4" xfId="16758"/>
    <cellStyle name="40% - Accent2 5 4 5" xfId="20996"/>
    <cellStyle name="40% - Accent2 5 4 6" xfId="25234"/>
    <cellStyle name="40% - Accent2 5 4 7" xfId="29315"/>
    <cellStyle name="40% - Accent2 5 5" xfId="2329"/>
    <cellStyle name="40% - Accent2 5 5 2" xfId="7307"/>
    <cellStyle name="40% - Accent2 5 5 3" xfId="11597"/>
    <cellStyle name="40% - Accent2 5 5 4" xfId="15875"/>
    <cellStyle name="40% - Accent2 5 5 5" xfId="20127"/>
    <cellStyle name="40% - Accent2 5 5 6" xfId="24376"/>
    <cellStyle name="40% - Accent2 5 5 7" xfId="28507"/>
    <cellStyle name="40% - Accent2 6" xfId="365"/>
    <cellStyle name="40% - Accent2 6 10" xfId="20045"/>
    <cellStyle name="40% - Accent2 6 11" xfId="26034"/>
    <cellStyle name="40% - Accent2 6 12" xfId="1728"/>
    <cellStyle name="40% - Accent2 6 2" xfId="739"/>
    <cellStyle name="40% - Accent2 6 2 10" xfId="19863"/>
    <cellStyle name="40% - Accent2 6 2 11" xfId="24114"/>
    <cellStyle name="40% - Accent2 6 2 12" xfId="28266"/>
    <cellStyle name="40% - Accent2 6 2 13" xfId="2058"/>
    <cellStyle name="40% - Accent2 6 2 2" xfId="1396"/>
    <cellStyle name="40% - Accent2 6 2 2 10" xfId="2863"/>
    <cellStyle name="40% - Accent2 6 2 2 2" xfId="3713"/>
    <cellStyle name="40% - Accent2 6 2 2 2 2" xfId="8689"/>
    <cellStyle name="40% - Accent2 6 2 2 2 3" xfId="12974"/>
    <cellStyle name="40% - Accent2 6 2 2 2 4" xfId="17246"/>
    <cellStyle name="40% - Accent2 6 2 2 2 5" xfId="21481"/>
    <cellStyle name="40% - Accent2 6 2 2 2 6" xfId="25719"/>
    <cellStyle name="40% - Accent2 6 2 2 2 7" xfId="29797"/>
    <cellStyle name="40% - Accent2 6 2 2 3" xfId="5427"/>
    <cellStyle name="40% - Accent2 6 2 2 3 2" xfId="10401"/>
    <cellStyle name="40% - Accent2 6 2 2 3 3" xfId="14678"/>
    <cellStyle name="40% - Accent2 6 2 2 3 4" xfId="18937"/>
    <cellStyle name="40% - Accent2 6 2 2 3 5" xfId="23156"/>
    <cellStyle name="40% - Accent2 6 2 2 3 6" xfId="27351"/>
    <cellStyle name="40% - Accent2 6 2 2 3 7" xfId="31247"/>
    <cellStyle name="40% - Accent2 6 2 2 4" xfId="7840"/>
    <cellStyle name="40% - Accent2 6 2 2 5" xfId="12129"/>
    <cellStyle name="40% - Accent2 6 2 2 6" xfId="16405"/>
    <cellStyle name="40% - Accent2 6 2 2 7" xfId="20645"/>
    <cellStyle name="40% - Accent2 6 2 2 8" xfId="24894"/>
    <cellStyle name="40% - Accent2 6 2 2 9" xfId="28990"/>
    <cellStyle name="40% - Accent2 6 2 3" xfId="3317"/>
    <cellStyle name="40% - Accent2 6 2 3 2" xfId="8293"/>
    <cellStyle name="40% - Accent2 6 2 3 3" xfId="12578"/>
    <cellStyle name="40% - Accent2 6 2 3 4" xfId="16850"/>
    <cellStyle name="40% - Accent2 6 2 3 5" xfId="21085"/>
    <cellStyle name="40% - Accent2 6 2 3 6" xfId="25323"/>
    <cellStyle name="40% - Accent2 6 2 3 7" xfId="29401"/>
    <cellStyle name="40% - Accent2 6 2 4" xfId="2456"/>
    <cellStyle name="40% - Accent2 6 2 4 2" xfId="7433"/>
    <cellStyle name="40% - Accent2 6 2 4 3" xfId="11722"/>
    <cellStyle name="40% - Accent2 6 2 4 4" xfId="16000"/>
    <cellStyle name="40% - Accent2 6 2 4 5" xfId="20243"/>
    <cellStyle name="40% - Accent2 6 2 4 6" xfId="24489"/>
    <cellStyle name="40% - Accent2 6 2 4 7" xfId="28594"/>
    <cellStyle name="40% - Accent2 6 2 5" xfId="4770"/>
    <cellStyle name="40% - Accent2 6 2 5 2" xfId="9744"/>
    <cellStyle name="40% - Accent2 6 2 5 3" xfId="14021"/>
    <cellStyle name="40% - Accent2 6 2 5 4" xfId="18280"/>
    <cellStyle name="40% - Accent2 6 2 5 5" xfId="22499"/>
    <cellStyle name="40% - Accent2 6 2 5 6" xfId="26694"/>
    <cellStyle name="40% - Accent2 6 2 5 7" xfId="30590"/>
    <cellStyle name="40% - Accent2 6 2 6" xfId="6118"/>
    <cellStyle name="40% - Accent2 6 2 6 2" xfId="11090"/>
    <cellStyle name="40% - Accent2 6 2 6 3" xfId="15368"/>
    <cellStyle name="40% - Accent2 6 2 6 4" xfId="19625"/>
    <cellStyle name="40% - Accent2 6 2 6 5" xfId="23842"/>
    <cellStyle name="40% - Accent2 6 2 6 6" xfId="28028"/>
    <cellStyle name="40% - Accent2 6 2 6 7" xfId="31907"/>
    <cellStyle name="40% - Accent2 6 2 7" xfId="7036"/>
    <cellStyle name="40% - Accent2 6 2 8" xfId="11328"/>
    <cellStyle name="40% - Accent2 6 2 9" xfId="15606"/>
    <cellStyle name="40% - Accent2 6 3" xfId="1067"/>
    <cellStyle name="40% - Accent2 6 3 2" xfId="5098"/>
    <cellStyle name="40% - Accent2 6 3 2 2" xfId="10072"/>
    <cellStyle name="40% - Accent2 6 3 2 3" xfId="14349"/>
    <cellStyle name="40% - Accent2 6 3 2 4" xfId="18608"/>
    <cellStyle name="40% - Accent2 6 3 2 5" xfId="22827"/>
    <cellStyle name="40% - Accent2 6 3 2 6" xfId="27022"/>
    <cellStyle name="40% - Accent2 6 3 2 7" xfId="30918"/>
    <cellStyle name="40% - Accent2 6 3 3" xfId="2353"/>
    <cellStyle name="40% - Accent2 6 4" xfId="4440"/>
    <cellStyle name="40% - Accent2 6 4 2" xfId="9414"/>
    <cellStyle name="40% - Accent2 6 4 3" xfId="13691"/>
    <cellStyle name="40% - Accent2 6 4 4" xfId="17951"/>
    <cellStyle name="40% - Accent2 6 4 5" xfId="22169"/>
    <cellStyle name="40% - Accent2 6 4 6" xfId="26365"/>
    <cellStyle name="40% - Accent2 6 4 7" xfId="30261"/>
    <cellStyle name="40% - Accent2 6 5" xfId="5789"/>
    <cellStyle name="40% - Accent2 6 5 2" xfId="10761"/>
    <cellStyle name="40% - Accent2 6 5 3" xfId="15039"/>
    <cellStyle name="40% - Accent2 6 5 4" xfId="19296"/>
    <cellStyle name="40% - Accent2 6 5 5" xfId="23513"/>
    <cellStyle name="40% - Accent2 6 5 6" xfId="27699"/>
    <cellStyle name="40% - Accent2 6 5 7" xfId="31578"/>
    <cellStyle name="40% - Accent2 6 6" xfId="6663"/>
    <cellStyle name="40% - Accent2 6 7" xfId="9022"/>
    <cellStyle name="40% - Accent2 6 8" xfId="13305"/>
    <cellStyle name="40% - Accent2 6 9" xfId="17578"/>
    <cellStyle name="40% - Accent2 7" xfId="556"/>
    <cellStyle name="40% - Accent2 7 2" xfId="2864"/>
    <cellStyle name="40% - Accent2 7 2 2" xfId="3714"/>
    <cellStyle name="40% - Accent2 7 2 2 2" xfId="8690"/>
    <cellStyle name="40% - Accent2 7 2 2 3" xfId="12975"/>
    <cellStyle name="40% - Accent2 7 2 2 4" xfId="17247"/>
    <cellStyle name="40% - Accent2 7 2 2 5" xfId="21482"/>
    <cellStyle name="40% - Accent2 7 2 2 6" xfId="25720"/>
    <cellStyle name="40% - Accent2 7 2 2 7" xfId="29798"/>
    <cellStyle name="40% - Accent2 7 2 3" xfId="7841"/>
    <cellStyle name="40% - Accent2 7 2 4" xfId="12130"/>
    <cellStyle name="40% - Accent2 7 2 5" xfId="16406"/>
    <cellStyle name="40% - Accent2 7 2 6" xfId="20646"/>
    <cellStyle name="40% - Accent2 7 2 7" xfId="24895"/>
    <cellStyle name="40% - Accent2 7 2 8" xfId="28991"/>
    <cellStyle name="40% - Accent2 7 3" xfId="3450"/>
    <cellStyle name="40% - Accent2 7 3 2" xfId="8426"/>
    <cellStyle name="40% - Accent2 7 3 3" xfId="12711"/>
    <cellStyle name="40% - Accent2 7 3 4" xfId="16983"/>
    <cellStyle name="40% - Accent2 7 3 5" xfId="21218"/>
    <cellStyle name="40% - Accent2 7 3 6" xfId="25456"/>
    <cellStyle name="40% - Accent2 7 3 7" xfId="29534"/>
    <cellStyle name="40% - Accent2 7 4" xfId="2591"/>
    <cellStyle name="40% - Accent2 7 4 2" xfId="7568"/>
    <cellStyle name="40% - Accent2 7 4 3" xfId="11857"/>
    <cellStyle name="40% - Accent2 7 4 4" xfId="16133"/>
    <cellStyle name="40% - Accent2 7 4 5" xfId="20376"/>
    <cellStyle name="40% - Accent2 7 4 6" xfId="24622"/>
    <cellStyle name="40% - Accent2 7 4 7" xfId="28727"/>
    <cellStyle name="40% - Accent2 8" xfId="2865"/>
    <cellStyle name="40% - Accent3" xfId="9" builtinId="39" customBuiltin="1"/>
    <cellStyle name="40% - Accent3 2" xfId="83"/>
    <cellStyle name="40% - Accent3 2 10" xfId="4296"/>
    <cellStyle name="40% - Accent3 2 10 2" xfId="9270"/>
    <cellStyle name="40% - Accent3 2 10 3" xfId="13547"/>
    <cellStyle name="40% - Accent3 2 10 4" xfId="17807"/>
    <cellStyle name="40% - Accent3 2 10 5" xfId="22026"/>
    <cellStyle name="40% - Accent3 2 10 6" xfId="26224"/>
    <cellStyle name="40% - Accent3 2 10 7" xfId="30121"/>
    <cellStyle name="40% - Accent3 2 11" xfId="5652"/>
    <cellStyle name="40% - Accent3 2 11 2" xfId="10624"/>
    <cellStyle name="40% - Accent3 2 11 3" xfId="14902"/>
    <cellStyle name="40% - Accent3 2 11 4" xfId="19159"/>
    <cellStyle name="40% - Accent3 2 11 5" xfId="23376"/>
    <cellStyle name="40% - Accent3 2 11 6" xfId="27562"/>
    <cellStyle name="40% - Accent3 2 11 7" xfId="31441"/>
    <cellStyle name="40% - Accent3 2 12" xfId="6383"/>
    <cellStyle name="40% - Accent3 2 13" xfId="7300"/>
    <cellStyle name="40% - Accent3 2 14" xfId="11590"/>
    <cellStyle name="40% - Accent3 2 15" xfId="15868"/>
    <cellStyle name="40% - Accent3 2 16" xfId="12183"/>
    <cellStyle name="40% - Accent3 2 17" xfId="24370"/>
    <cellStyle name="40% - Accent3 2 18" xfId="1586"/>
    <cellStyle name="40% - Accent3 2 2" xfId="171"/>
    <cellStyle name="40% - Accent3 2 2 10" xfId="5684"/>
    <cellStyle name="40% - Accent3 2 2 10 2" xfId="10656"/>
    <cellStyle name="40% - Accent3 2 2 10 3" xfId="14934"/>
    <cellStyle name="40% - Accent3 2 2 10 4" xfId="19191"/>
    <cellStyle name="40% - Accent3 2 2 10 5" xfId="23408"/>
    <cellStyle name="40% - Accent3 2 2 10 6" xfId="27594"/>
    <cellStyle name="40% - Accent3 2 2 10 7" xfId="31473"/>
    <cellStyle name="40% - Accent3 2 2 11" xfId="6470"/>
    <cellStyle name="40% - Accent3 2 2 12" xfId="8801"/>
    <cellStyle name="40% - Accent3 2 2 13" xfId="13086"/>
    <cellStyle name="40% - Accent3 2 2 14" xfId="17358"/>
    <cellStyle name="40% - Accent3 2 2 15" xfId="19148"/>
    <cellStyle name="40% - Accent3 2 2 16" xfId="25831"/>
    <cellStyle name="40% - Accent3 2 2 17" xfId="1619"/>
    <cellStyle name="40% - Accent3 2 2 2" xfId="315"/>
    <cellStyle name="40% - Accent3 2 2 2 10" xfId="13271"/>
    <cellStyle name="40% - Accent3 2 2 2 11" xfId="17545"/>
    <cellStyle name="40% - Accent3 2 2 2 12" xfId="21848"/>
    <cellStyle name="40% - Accent3 2 2 2 13" xfId="26009"/>
    <cellStyle name="40% - Accent3 2 2 2 14" xfId="1687"/>
    <cellStyle name="40% - Accent3 2 2 2 2" xfId="479"/>
    <cellStyle name="40% - Accent3 2 2 2 2 10" xfId="16518"/>
    <cellStyle name="40% - Accent3 2 2 2 2 11" xfId="17750"/>
    <cellStyle name="40% - Accent3 2 2 2 2 12" xfId="25003"/>
    <cellStyle name="40% - Accent3 2 2 2 2 13" xfId="1842"/>
    <cellStyle name="40% - Accent3 2 2 2 2 2" xfId="853"/>
    <cellStyle name="40% - Accent3 2 2 2 2 2 10" xfId="24228"/>
    <cellStyle name="40% - Accent3 2 2 2 2 2 11" xfId="28380"/>
    <cellStyle name="40% - Accent3 2 2 2 2 2 12" xfId="2172"/>
    <cellStyle name="40% - Accent3 2 2 2 2 2 2" xfId="1510"/>
    <cellStyle name="40% - Accent3 2 2 2 2 2 2 2" xfId="5541"/>
    <cellStyle name="40% - Accent3 2 2 2 2 2 2 2 2" xfId="10515"/>
    <cellStyle name="40% - Accent3 2 2 2 2 2 2 2 3" xfId="14792"/>
    <cellStyle name="40% - Accent3 2 2 2 2 2 2 2 4" xfId="19051"/>
    <cellStyle name="40% - Accent3 2 2 2 2 2 2 2 5" xfId="23270"/>
    <cellStyle name="40% - Accent3 2 2 2 2 2 2 2 6" xfId="27465"/>
    <cellStyle name="40% - Accent3 2 2 2 2 2 2 2 7" xfId="31361"/>
    <cellStyle name="40% - Accent3 2 2 2 2 2 2 3" xfId="8691"/>
    <cellStyle name="40% - Accent3 2 2 2 2 2 2 4" xfId="12976"/>
    <cellStyle name="40% - Accent3 2 2 2 2 2 2 5" xfId="17248"/>
    <cellStyle name="40% - Accent3 2 2 2 2 2 2 6" xfId="21483"/>
    <cellStyle name="40% - Accent3 2 2 2 2 2 2 7" xfId="25721"/>
    <cellStyle name="40% - Accent3 2 2 2 2 2 2 8" xfId="29799"/>
    <cellStyle name="40% - Accent3 2 2 2 2 2 2 9" xfId="3715"/>
    <cellStyle name="40% - Accent3 2 2 2 2 2 3" xfId="2866"/>
    <cellStyle name="40% - Accent3 2 2 2 2 2 3 2" xfId="7843"/>
    <cellStyle name="40% - Accent3 2 2 2 2 2 3 3" xfId="12132"/>
    <cellStyle name="40% - Accent3 2 2 2 2 2 3 4" xfId="16408"/>
    <cellStyle name="40% - Accent3 2 2 2 2 2 3 5" xfId="20648"/>
    <cellStyle name="40% - Accent3 2 2 2 2 2 3 6" xfId="24897"/>
    <cellStyle name="40% - Accent3 2 2 2 2 2 3 7" xfId="28992"/>
    <cellStyle name="40% - Accent3 2 2 2 2 2 4" xfId="4884"/>
    <cellStyle name="40% - Accent3 2 2 2 2 2 4 2" xfId="9858"/>
    <cellStyle name="40% - Accent3 2 2 2 2 2 4 3" xfId="14135"/>
    <cellStyle name="40% - Accent3 2 2 2 2 2 4 4" xfId="18394"/>
    <cellStyle name="40% - Accent3 2 2 2 2 2 4 5" xfId="22613"/>
    <cellStyle name="40% - Accent3 2 2 2 2 2 4 6" xfId="26808"/>
    <cellStyle name="40% - Accent3 2 2 2 2 2 4 7" xfId="30704"/>
    <cellStyle name="40% - Accent3 2 2 2 2 2 5" xfId="6232"/>
    <cellStyle name="40% - Accent3 2 2 2 2 2 5 2" xfId="11204"/>
    <cellStyle name="40% - Accent3 2 2 2 2 2 5 3" xfId="15482"/>
    <cellStyle name="40% - Accent3 2 2 2 2 2 5 4" xfId="19739"/>
    <cellStyle name="40% - Accent3 2 2 2 2 2 5 5" xfId="23956"/>
    <cellStyle name="40% - Accent3 2 2 2 2 2 5 6" xfId="28142"/>
    <cellStyle name="40% - Accent3 2 2 2 2 2 5 7" xfId="32021"/>
    <cellStyle name="40% - Accent3 2 2 2 2 2 6" xfId="7150"/>
    <cellStyle name="40% - Accent3 2 2 2 2 2 7" xfId="11442"/>
    <cellStyle name="40% - Accent3 2 2 2 2 2 8" xfId="15720"/>
    <cellStyle name="40% - Accent3 2 2 2 2 2 9" xfId="19977"/>
    <cellStyle name="40% - Accent3 2 2 2 2 3" xfId="1181"/>
    <cellStyle name="40% - Accent3 2 2 2 2 3 2" xfId="5212"/>
    <cellStyle name="40% - Accent3 2 2 2 2 3 2 2" xfId="10186"/>
    <cellStyle name="40% - Accent3 2 2 2 2 3 2 3" xfId="14463"/>
    <cellStyle name="40% - Accent3 2 2 2 2 3 2 4" xfId="18722"/>
    <cellStyle name="40% - Accent3 2 2 2 2 3 2 5" xfId="22941"/>
    <cellStyle name="40% - Accent3 2 2 2 2 3 2 6" xfId="27136"/>
    <cellStyle name="40% - Accent3 2 2 2 2 3 2 7" xfId="31032"/>
    <cellStyle name="40% - Accent3 2 2 2 2 3 3" xfId="8407"/>
    <cellStyle name="40% - Accent3 2 2 2 2 3 4" xfId="12692"/>
    <cellStyle name="40% - Accent3 2 2 2 2 3 5" xfId="16964"/>
    <cellStyle name="40% - Accent3 2 2 2 2 3 6" xfId="21199"/>
    <cellStyle name="40% - Accent3 2 2 2 2 3 7" xfId="25437"/>
    <cellStyle name="40% - Accent3 2 2 2 2 3 8" xfId="29515"/>
    <cellStyle name="40% - Accent3 2 2 2 2 3 9" xfId="3431"/>
    <cellStyle name="40% - Accent3 2 2 2 2 4" xfId="2570"/>
    <cellStyle name="40% - Accent3 2 2 2 2 4 2" xfId="7547"/>
    <cellStyle name="40% - Accent3 2 2 2 2 4 3" xfId="11836"/>
    <cellStyle name="40% - Accent3 2 2 2 2 4 4" xfId="16114"/>
    <cellStyle name="40% - Accent3 2 2 2 2 4 5" xfId="20357"/>
    <cellStyle name="40% - Accent3 2 2 2 2 4 6" xfId="24603"/>
    <cellStyle name="40% - Accent3 2 2 2 2 4 7" xfId="28708"/>
    <cellStyle name="40% - Accent3 2 2 2 2 5" xfId="4554"/>
    <cellStyle name="40% - Accent3 2 2 2 2 5 2" xfId="9528"/>
    <cellStyle name="40% - Accent3 2 2 2 2 5 3" xfId="13805"/>
    <cellStyle name="40% - Accent3 2 2 2 2 5 4" xfId="18065"/>
    <cellStyle name="40% - Accent3 2 2 2 2 5 5" xfId="22283"/>
    <cellStyle name="40% - Accent3 2 2 2 2 5 6" xfId="26479"/>
    <cellStyle name="40% - Accent3 2 2 2 2 5 7" xfId="30375"/>
    <cellStyle name="40% - Accent3 2 2 2 2 6" xfId="5903"/>
    <cellStyle name="40% - Accent3 2 2 2 2 6 2" xfId="10875"/>
    <cellStyle name="40% - Accent3 2 2 2 2 6 3" xfId="15153"/>
    <cellStyle name="40% - Accent3 2 2 2 2 6 4" xfId="19410"/>
    <cellStyle name="40% - Accent3 2 2 2 2 6 5" xfId="23627"/>
    <cellStyle name="40% - Accent3 2 2 2 2 6 6" xfId="27813"/>
    <cellStyle name="40% - Accent3 2 2 2 2 6 7" xfId="31692"/>
    <cellStyle name="40% - Accent3 2 2 2 2 7" xfId="6777"/>
    <cellStyle name="40% - Accent3 2 2 2 2 8" xfId="7953"/>
    <cellStyle name="40% - Accent3 2 2 2 2 9" xfId="12242"/>
    <cellStyle name="40% - Accent3 2 2 2 3" xfId="698"/>
    <cellStyle name="40% - Accent3 2 2 2 3 10" xfId="24073"/>
    <cellStyle name="40% - Accent3 2 2 2 3 11" xfId="28225"/>
    <cellStyle name="40% - Accent3 2 2 2 3 12" xfId="2017"/>
    <cellStyle name="40% - Accent3 2 2 2 3 2" xfId="1355"/>
    <cellStyle name="40% - Accent3 2 2 2 3 2 2" xfId="5386"/>
    <cellStyle name="40% - Accent3 2 2 2 3 2 2 2" xfId="10360"/>
    <cellStyle name="40% - Accent3 2 2 2 3 2 2 3" xfId="14637"/>
    <cellStyle name="40% - Accent3 2 2 2 3 2 2 4" xfId="18896"/>
    <cellStyle name="40% - Accent3 2 2 2 3 2 2 5" xfId="23115"/>
    <cellStyle name="40% - Accent3 2 2 2 3 2 2 6" xfId="27310"/>
    <cellStyle name="40% - Accent3 2 2 2 3 2 2 7" xfId="31206"/>
    <cellStyle name="40% - Accent3 2 2 2 3 2 3" xfId="8692"/>
    <cellStyle name="40% - Accent3 2 2 2 3 2 4" xfId="12977"/>
    <cellStyle name="40% - Accent3 2 2 2 3 2 5" xfId="17249"/>
    <cellStyle name="40% - Accent3 2 2 2 3 2 6" xfId="21484"/>
    <cellStyle name="40% - Accent3 2 2 2 3 2 7" xfId="25722"/>
    <cellStyle name="40% - Accent3 2 2 2 3 2 8" xfId="29800"/>
    <cellStyle name="40% - Accent3 2 2 2 3 2 9" xfId="3716"/>
    <cellStyle name="40% - Accent3 2 2 2 3 3" xfId="2867"/>
    <cellStyle name="40% - Accent3 2 2 2 3 3 2" xfId="7844"/>
    <cellStyle name="40% - Accent3 2 2 2 3 3 3" xfId="12133"/>
    <cellStyle name="40% - Accent3 2 2 2 3 3 4" xfId="16409"/>
    <cellStyle name="40% - Accent3 2 2 2 3 3 5" xfId="20649"/>
    <cellStyle name="40% - Accent3 2 2 2 3 3 6" xfId="24898"/>
    <cellStyle name="40% - Accent3 2 2 2 3 3 7" xfId="28993"/>
    <cellStyle name="40% - Accent3 2 2 2 3 4" xfId="4729"/>
    <cellStyle name="40% - Accent3 2 2 2 3 4 2" xfId="9703"/>
    <cellStyle name="40% - Accent3 2 2 2 3 4 3" xfId="13980"/>
    <cellStyle name="40% - Accent3 2 2 2 3 4 4" xfId="18239"/>
    <cellStyle name="40% - Accent3 2 2 2 3 4 5" xfId="22458"/>
    <cellStyle name="40% - Accent3 2 2 2 3 4 6" xfId="26653"/>
    <cellStyle name="40% - Accent3 2 2 2 3 4 7" xfId="30549"/>
    <cellStyle name="40% - Accent3 2 2 2 3 5" xfId="6077"/>
    <cellStyle name="40% - Accent3 2 2 2 3 5 2" xfId="11049"/>
    <cellStyle name="40% - Accent3 2 2 2 3 5 3" xfId="15327"/>
    <cellStyle name="40% - Accent3 2 2 2 3 5 4" xfId="19584"/>
    <cellStyle name="40% - Accent3 2 2 2 3 5 5" xfId="23801"/>
    <cellStyle name="40% - Accent3 2 2 2 3 5 6" xfId="27987"/>
    <cellStyle name="40% - Accent3 2 2 2 3 5 7" xfId="31866"/>
    <cellStyle name="40% - Accent3 2 2 2 3 6" xfId="6995"/>
    <cellStyle name="40% - Accent3 2 2 2 3 7" xfId="11287"/>
    <cellStyle name="40% - Accent3 2 2 2 3 8" xfId="15565"/>
    <cellStyle name="40% - Accent3 2 2 2 3 9" xfId="19822"/>
    <cellStyle name="40% - Accent3 2 2 2 4" xfId="1026"/>
    <cellStyle name="40% - Accent3 2 2 2 4 2" xfId="5057"/>
    <cellStyle name="40% - Accent3 2 2 2 4 2 2" xfId="10031"/>
    <cellStyle name="40% - Accent3 2 2 2 4 2 3" xfId="14308"/>
    <cellStyle name="40% - Accent3 2 2 2 4 2 4" xfId="18567"/>
    <cellStyle name="40% - Accent3 2 2 2 4 2 5" xfId="22786"/>
    <cellStyle name="40% - Accent3 2 2 2 4 2 6" xfId="26981"/>
    <cellStyle name="40% - Accent3 2 2 2 4 2 7" xfId="30877"/>
    <cellStyle name="40% - Accent3 2 2 2 4 3" xfId="8255"/>
    <cellStyle name="40% - Accent3 2 2 2 4 4" xfId="12540"/>
    <cellStyle name="40% - Accent3 2 2 2 4 5" xfId="16813"/>
    <cellStyle name="40% - Accent3 2 2 2 4 6" xfId="21049"/>
    <cellStyle name="40% - Accent3 2 2 2 4 7" xfId="25287"/>
    <cellStyle name="40% - Accent3 2 2 2 4 8" xfId="29365"/>
    <cellStyle name="40% - Accent3 2 2 2 4 9" xfId="3279"/>
    <cellStyle name="40% - Accent3 2 2 2 5" xfId="2395"/>
    <cellStyle name="40% - Accent3 2 2 2 5 2" xfId="7373"/>
    <cellStyle name="40% - Accent3 2 2 2 5 3" xfId="11662"/>
    <cellStyle name="40% - Accent3 2 2 2 5 4" xfId="15940"/>
    <cellStyle name="40% - Accent3 2 2 2 5 5" xfId="20189"/>
    <cellStyle name="40% - Accent3 2 2 2 5 6" xfId="24437"/>
    <cellStyle name="40% - Accent3 2 2 2 5 7" xfId="28557"/>
    <cellStyle name="40% - Accent3 2 2 2 6" xfId="4399"/>
    <cellStyle name="40% - Accent3 2 2 2 6 2" xfId="9373"/>
    <cellStyle name="40% - Accent3 2 2 2 6 3" xfId="13650"/>
    <cellStyle name="40% - Accent3 2 2 2 6 4" xfId="17910"/>
    <cellStyle name="40% - Accent3 2 2 2 6 5" xfId="22128"/>
    <cellStyle name="40% - Accent3 2 2 2 6 6" xfId="26324"/>
    <cellStyle name="40% - Accent3 2 2 2 6 7" xfId="30220"/>
    <cellStyle name="40% - Accent3 2 2 2 7" xfId="5748"/>
    <cellStyle name="40% - Accent3 2 2 2 7 2" xfId="10720"/>
    <cellStyle name="40% - Accent3 2 2 2 7 3" xfId="14998"/>
    <cellStyle name="40% - Accent3 2 2 2 7 4" xfId="19255"/>
    <cellStyle name="40% - Accent3 2 2 2 7 5" xfId="23472"/>
    <cellStyle name="40% - Accent3 2 2 2 7 6" xfId="27658"/>
    <cellStyle name="40% - Accent3 2 2 2 7 7" xfId="31537"/>
    <cellStyle name="40% - Accent3 2 2 2 8" xfId="6613"/>
    <cellStyle name="40% - Accent3 2 2 2 9" xfId="8989"/>
    <cellStyle name="40% - Accent3 2 2 3" xfId="418"/>
    <cellStyle name="40% - Accent3 2 2 3 10" xfId="17675"/>
    <cellStyle name="40% - Accent3 2 2 3 11" xfId="21813"/>
    <cellStyle name="40% - Accent3 2 2 3 12" xfId="26116"/>
    <cellStyle name="40% - Accent3 2 2 3 13" xfId="1781"/>
    <cellStyle name="40% - Accent3 2 2 3 2" xfId="792"/>
    <cellStyle name="40% - Accent3 2 2 3 2 10" xfId="24167"/>
    <cellStyle name="40% - Accent3 2 2 3 2 11" xfId="28319"/>
    <cellStyle name="40% - Accent3 2 2 3 2 12" xfId="2111"/>
    <cellStyle name="40% - Accent3 2 2 3 2 2" xfId="1449"/>
    <cellStyle name="40% - Accent3 2 2 3 2 2 2" xfId="5480"/>
    <cellStyle name="40% - Accent3 2 2 3 2 2 2 2" xfId="10454"/>
    <cellStyle name="40% - Accent3 2 2 3 2 2 2 3" xfId="14731"/>
    <cellStyle name="40% - Accent3 2 2 3 2 2 2 4" xfId="18990"/>
    <cellStyle name="40% - Accent3 2 2 3 2 2 2 5" xfId="23209"/>
    <cellStyle name="40% - Accent3 2 2 3 2 2 2 6" xfId="27404"/>
    <cellStyle name="40% - Accent3 2 2 3 2 2 2 7" xfId="31300"/>
    <cellStyle name="40% - Accent3 2 2 3 2 2 3" xfId="8693"/>
    <cellStyle name="40% - Accent3 2 2 3 2 2 4" xfId="12978"/>
    <cellStyle name="40% - Accent3 2 2 3 2 2 5" xfId="17250"/>
    <cellStyle name="40% - Accent3 2 2 3 2 2 6" xfId="21485"/>
    <cellStyle name="40% - Accent3 2 2 3 2 2 7" xfId="25723"/>
    <cellStyle name="40% - Accent3 2 2 3 2 2 8" xfId="29801"/>
    <cellStyle name="40% - Accent3 2 2 3 2 2 9" xfId="3717"/>
    <cellStyle name="40% - Accent3 2 2 3 2 3" xfId="2868"/>
    <cellStyle name="40% - Accent3 2 2 3 2 3 2" xfId="7845"/>
    <cellStyle name="40% - Accent3 2 2 3 2 3 3" xfId="12134"/>
    <cellStyle name="40% - Accent3 2 2 3 2 3 4" xfId="16410"/>
    <cellStyle name="40% - Accent3 2 2 3 2 3 5" xfId="20650"/>
    <cellStyle name="40% - Accent3 2 2 3 2 3 6" xfId="24899"/>
    <cellStyle name="40% - Accent3 2 2 3 2 3 7" xfId="28994"/>
    <cellStyle name="40% - Accent3 2 2 3 2 4" xfId="4823"/>
    <cellStyle name="40% - Accent3 2 2 3 2 4 2" xfId="9797"/>
    <cellStyle name="40% - Accent3 2 2 3 2 4 3" xfId="14074"/>
    <cellStyle name="40% - Accent3 2 2 3 2 4 4" xfId="18333"/>
    <cellStyle name="40% - Accent3 2 2 3 2 4 5" xfId="22552"/>
    <cellStyle name="40% - Accent3 2 2 3 2 4 6" xfId="26747"/>
    <cellStyle name="40% - Accent3 2 2 3 2 4 7" xfId="30643"/>
    <cellStyle name="40% - Accent3 2 2 3 2 5" xfId="6171"/>
    <cellStyle name="40% - Accent3 2 2 3 2 5 2" xfId="11143"/>
    <cellStyle name="40% - Accent3 2 2 3 2 5 3" xfId="15421"/>
    <cellStyle name="40% - Accent3 2 2 3 2 5 4" xfId="19678"/>
    <cellStyle name="40% - Accent3 2 2 3 2 5 5" xfId="23895"/>
    <cellStyle name="40% - Accent3 2 2 3 2 5 6" xfId="28081"/>
    <cellStyle name="40% - Accent3 2 2 3 2 5 7" xfId="31960"/>
    <cellStyle name="40% - Accent3 2 2 3 2 6" xfId="7089"/>
    <cellStyle name="40% - Accent3 2 2 3 2 7" xfId="11381"/>
    <cellStyle name="40% - Accent3 2 2 3 2 8" xfId="15659"/>
    <cellStyle name="40% - Accent3 2 2 3 2 9" xfId="19916"/>
    <cellStyle name="40% - Accent3 2 2 3 3" xfId="1120"/>
    <cellStyle name="40% - Accent3 2 2 3 3 2" xfId="5151"/>
    <cellStyle name="40% - Accent3 2 2 3 3 2 2" xfId="10125"/>
    <cellStyle name="40% - Accent3 2 2 3 3 2 3" xfId="14402"/>
    <cellStyle name="40% - Accent3 2 2 3 3 2 4" xfId="18661"/>
    <cellStyle name="40% - Accent3 2 2 3 3 2 5" xfId="22880"/>
    <cellStyle name="40% - Accent3 2 2 3 3 2 6" xfId="27075"/>
    <cellStyle name="40% - Accent3 2 2 3 3 2 7" xfId="30971"/>
    <cellStyle name="40% - Accent3 2 2 3 3 3" xfId="8346"/>
    <cellStyle name="40% - Accent3 2 2 3 3 4" xfId="12631"/>
    <cellStyle name="40% - Accent3 2 2 3 3 5" xfId="16903"/>
    <cellStyle name="40% - Accent3 2 2 3 3 6" xfId="21138"/>
    <cellStyle name="40% - Accent3 2 2 3 3 7" xfId="25376"/>
    <cellStyle name="40% - Accent3 2 2 3 3 8" xfId="29454"/>
    <cellStyle name="40% - Accent3 2 2 3 3 9" xfId="3370"/>
    <cellStyle name="40% - Accent3 2 2 3 4" xfId="2509"/>
    <cellStyle name="40% - Accent3 2 2 3 4 2" xfId="7486"/>
    <cellStyle name="40% - Accent3 2 2 3 4 3" xfId="11775"/>
    <cellStyle name="40% - Accent3 2 2 3 4 4" xfId="16053"/>
    <cellStyle name="40% - Accent3 2 2 3 4 5" xfId="20296"/>
    <cellStyle name="40% - Accent3 2 2 3 4 6" xfId="24542"/>
    <cellStyle name="40% - Accent3 2 2 3 4 7" xfId="28647"/>
    <cellStyle name="40% - Accent3 2 2 3 5" xfId="4493"/>
    <cellStyle name="40% - Accent3 2 2 3 5 2" xfId="9467"/>
    <cellStyle name="40% - Accent3 2 2 3 5 3" xfId="13744"/>
    <cellStyle name="40% - Accent3 2 2 3 5 4" xfId="18004"/>
    <cellStyle name="40% - Accent3 2 2 3 5 5" xfId="22222"/>
    <cellStyle name="40% - Accent3 2 2 3 5 6" xfId="26418"/>
    <cellStyle name="40% - Accent3 2 2 3 5 7" xfId="30314"/>
    <cellStyle name="40% - Accent3 2 2 3 6" xfId="5842"/>
    <cellStyle name="40% - Accent3 2 2 3 6 2" xfId="10814"/>
    <cellStyle name="40% - Accent3 2 2 3 6 3" xfId="15092"/>
    <cellStyle name="40% - Accent3 2 2 3 6 4" xfId="19349"/>
    <cellStyle name="40% - Accent3 2 2 3 6 5" xfId="23566"/>
    <cellStyle name="40% - Accent3 2 2 3 6 6" xfId="27752"/>
    <cellStyle name="40% - Accent3 2 2 3 6 7" xfId="31631"/>
    <cellStyle name="40% - Accent3 2 2 3 7" xfId="6716"/>
    <cellStyle name="40% - Accent3 2 2 3 8" xfId="9128"/>
    <cellStyle name="40% - Accent3 2 2 3 9" xfId="13408"/>
    <cellStyle name="40% - Accent3 2 2 4" xfId="532"/>
    <cellStyle name="40% - Accent3 2 2 4 10" xfId="13245"/>
    <cellStyle name="40% - Accent3 2 2 4 11" xfId="20223"/>
    <cellStyle name="40% - Accent3 2 2 4 12" xfId="21817"/>
    <cellStyle name="40% - Accent3 2 2 4 13" xfId="1895"/>
    <cellStyle name="40% - Accent3 2 2 4 2" xfId="906"/>
    <cellStyle name="40% - Accent3 2 2 4 2 10" xfId="24281"/>
    <cellStyle name="40% - Accent3 2 2 4 2 11" xfId="28433"/>
    <cellStyle name="40% - Accent3 2 2 4 2 12" xfId="2225"/>
    <cellStyle name="40% - Accent3 2 2 4 2 2" xfId="1563"/>
    <cellStyle name="40% - Accent3 2 2 4 2 2 2" xfId="5594"/>
    <cellStyle name="40% - Accent3 2 2 4 2 2 2 2" xfId="10568"/>
    <cellStyle name="40% - Accent3 2 2 4 2 2 2 3" xfId="14845"/>
    <cellStyle name="40% - Accent3 2 2 4 2 2 2 4" xfId="19104"/>
    <cellStyle name="40% - Accent3 2 2 4 2 2 2 5" xfId="23323"/>
    <cellStyle name="40% - Accent3 2 2 4 2 2 2 6" xfId="27518"/>
    <cellStyle name="40% - Accent3 2 2 4 2 2 2 7" xfId="31414"/>
    <cellStyle name="40% - Accent3 2 2 4 2 2 3" xfId="8694"/>
    <cellStyle name="40% - Accent3 2 2 4 2 2 4" xfId="12979"/>
    <cellStyle name="40% - Accent3 2 2 4 2 2 5" xfId="17251"/>
    <cellStyle name="40% - Accent3 2 2 4 2 2 6" xfId="21486"/>
    <cellStyle name="40% - Accent3 2 2 4 2 2 7" xfId="25724"/>
    <cellStyle name="40% - Accent3 2 2 4 2 2 8" xfId="29802"/>
    <cellStyle name="40% - Accent3 2 2 4 2 2 9" xfId="3718"/>
    <cellStyle name="40% - Accent3 2 2 4 2 3" xfId="2869"/>
    <cellStyle name="40% - Accent3 2 2 4 2 3 2" xfId="7846"/>
    <cellStyle name="40% - Accent3 2 2 4 2 3 3" xfId="12135"/>
    <cellStyle name="40% - Accent3 2 2 4 2 3 4" xfId="16411"/>
    <cellStyle name="40% - Accent3 2 2 4 2 3 5" xfId="20651"/>
    <cellStyle name="40% - Accent3 2 2 4 2 3 6" xfId="24900"/>
    <cellStyle name="40% - Accent3 2 2 4 2 3 7" xfId="28995"/>
    <cellStyle name="40% - Accent3 2 2 4 2 4" xfId="4937"/>
    <cellStyle name="40% - Accent3 2 2 4 2 4 2" xfId="9911"/>
    <cellStyle name="40% - Accent3 2 2 4 2 4 3" xfId="14188"/>
    <cellStyle name="40% - Accent3 2 2 4 2 4 4" xfId="18447"/>
    <cellStyle name="40% - Accent3 2 2 4 2 4 5" xfId="22666"/>
    <cellStyle name="40% - Accent3 2 2 4 2 4 6" xfId="26861"/>
    <cellStyle name="40% - Accent3 2 2 4 2 4 7" xfId="30757"/>
    <cellStyle name="40% - Accent3 2 2 4 2 5" xfId="6285"/>
    <cellStyle name="40% - Accent3 2 2 4 2 5 2" xfId="11257"/>
    <cellStyle name="40% - Accent3 2 2 4 2 5 3" xfId="15535"/>
    <cellStyle name="40% - Accent3 2 2 4 2 5 4" xfId="19792"/>
    <cellStyle name="40% - Accent3 2 2 4 2 5 5" xfId="24009"/>
    <cellStyle name="40% - Accent3 2 2 4 2 5 6" xfId="28195"/>
    <cellStyle name="40% - Accent3 2 2 4 2 5 7" xfId="32074"/>
    <cellStyle name="40% - Accent3 2 2 4 2 6" xfId="7203"/>
    <cellStyle name="40% - Accent3 2 2 4 2 7" xfId="11495"/>
    <cellStyle name="40% - Accent3 2 2 4 2 8" xfId="15773"/>
    <cellStyle name="40% - Accent3 2 2 4 2 9" xfId="20030"/>
    <cellStyle name="40% - Accent3 2 2 4 3" xfId="1234"/>
    <cellStyle name="40% - Accent3 2 2 4 3 2" xfId="5265"/>
    <cellStyle name="40% - Accent3 2 2 4 3 2 2" xfId="10239"/>
    <cellStyle name="40% - Accent3 2 2 4 3 2 3" xfId="14516"/>
    <cellStyle name="40% - Accent3 2 2 4 3 2 4" xfId="18775"/>
    <cellStyle name="40% - Accent3 2 2 4 3 2 5" xfId="22994"/>
    <cellStyle name="40% - Accent3 2 2 4 3 2 6" xfId="27189"/>
    <cellStyle name="40% - Accent3 2 2 4 3 2 7" xfId="31085"/>
    <cellStyle name="40% - Accent3 2 2 4 3 3" xfId="8474"/>
    <cellStyle name="40% - Accent3 2 2 4 3 4" xfId="12759"/>
    <cellStyle name="40% - Accent3 2 2 4 3 5" xfId="17031"/>
    <cellStyle name="40% - Accent3 2 2 4 3 6" xfId="21266"/>
    <cellStyle name="40% - Accent3 2 2 4 3 7" xfId="25504"/>
    <cellStyle name="40% - Accent3 2 2 4 3 8" xfId="29582"/>
    <cellStyle name="40% - Accent3 2 2 4 3 9" xfId="3498"/>
    <cellStyle name="40% - Accent3 2 2 4 4" xfId="2641"/>
    <cellStyle name="40% - Accent3 2 2 4 4 2" xfId="7618"/>
    <cellStyle name="40% - Accent3 2 2 4 4 3" xfId="11907"/>
    <cellStyle name="40% - Accent3 2 2 4 4 4" xfId="16183"/>
    <cellStyle name="40% - Accent3 2 2 4 4 5" xfId="20425"/>
    <cellStyle name="40% - Accent3 2 2 4 4 6" xfId="24672"/>
    <cellStyle name="40% - Accent3 2 2 4 4 7" xfId="28775"/>
    <cellStyle name="40% - Accent3 2 2 4 5" xfId="4607"/>
    <cellStyle name="40% - Accent3 2 2 4 5 2" xfId="9581"/>
    <cellStyle name="40% - Accent3 2 2 4 5 3" xfId="13858"/>
    <cellStyle name="40% - Accent3 2 2 4 5 4" xfId="18118"/>
    <cellStyle name="40% - Accent3 2 2 4 5 5" xfId="22336"/>
    <cellStyle name="40% - Accent3 2 2 4 5 6" xfId="26532"/>
    <cellStyle name="40% - Accent3 2 2 4 5 7" xfId="30428"/>
    <cellStyle name="40% - Accent3 2 2 4 6" xfId="5956"/>
    <cellStyle name="40% - Accent3 2 2 4 6 2" xfId="10928"/>
    <cellStyle name="40% - Accent3 2 2 4 6 3" xfId="15206"/>
    <cellStyle name="40% - Accent3 2 2 4 6 4" xfId="19463"/>
    <cellStyle name="40% - Accent3 2 2 4 6 5" xfId="23680"/>
    <cellStyle name="40% - Accent3 2 2 4 6 6" xfId="27866"/>
    <cellStyle name="40% - Accent3 2 2 4 6 7" xfId="31745"/>
    <cellStyle name="40% - Accent3 2 2 4 7" xfId="6830"/>
    <cellStyle name="40% - Accent3 2 2 4 8" xfId="6318"/>
    <cellStyle name="40% - Accent3 2 2 4 9" xfId="8963"/>
    <cellStyle name="40% - Accent3 2 2 5" xfId="633"/>
    <cellStyle name="40% - Accent3 2 2 5 10" xfId="16329"/>
    <cellStyle name="40% - Accent3 2 2 5 11" xfId="15866"/>
    <cellStyle name="40% - Accent3 2 2 5 12" xfId="24818"/>
    <cellStyle name="40% - Accent3 2 2 5 13" xfId="1952"/>
    <cellStyle name="40% - Accent3 2 2 5 2" xfId="1290"/>
    <cellStyle name="40% - Accent3 2 2 5 2 10" xfId="2871"/>
    <cellStyle name="40% - Accent3 2 2 5 2 2" xfId="3720"/>
    <cellStyle name="40% - Accent3 2 2 5 2 2 2" xfId="8696"/>
    <cellStyle name="40% - Accent3 2 2 5 2 2 3" xfId="12981"/>
    <cellStyle name="40% - Accent3 2 2 5 2 2 4" xfId="17253"/>
    <cellStyle name="40% - Accent3 2 2 5 2 2 5" xfId="21488"/>
    <cellStyle name="40% - Accent3 2 2 5 2 2 6" xfId="25726"/>
    <cellStyle name="40% - Accent3 2 2 5 2 2 7" xfId="29804"/>
    <cellStyle name="40% - Accent3 2 2 5 2 3" xfId="5321"/>
    <cellStyle name="40% - Accent3 2 2 5 2 3 2" xfId="10295"/>
    <cellStyle name="40% - Accent3 2 2 5 2 3 3" xfId="14572"/>
    <cellStyle name="40% - Accent3 2 2 5 2 3 4" xfId="18831"/>
    <cellStyle name="40% - Accent3 2 2 5 2 3 5" xfId="23050"/>
    <cellStyle name="40% - Accent3 2 2 5 2 3 6" xfId="27245"/>
    <cellStyle name="40% - Accent3 2 2 5 2 3 7" xfId="31141"/>
    <cellStyle name="40% - Accent3 2 2 5 2 4" xfId="7848"/>
    <cellStyle name="40% - Accent3 2 2 5 2 5" xfId="12137"/>
    <cellStyle name="40% - Accent3 2 2 5 2 6" xfId="16413"/>
    <cellStyle name="40% - Accent3 2 2 5 2 7" xfId="20653"/>
    <cellStyle name="40% - Accent3 2 2 5 2 8" xfId="24902"/>
    <cellStyle name="40% - Accent3 2 2 5 2 9" xfId="28997"/>
    <cellStyle name="40% - Accent3 2 2 5 3" xfId="3719"/>
    <cellStyle name="40% - Accent3 2 2 5 3 2" xfId="8695"/>
    <cellStyle name="40% - Accent3 2 2 5 3 3" xfId="12980"/>
    <cellStyle name="40% - Accent3 2 2 5 3 4" xfId="17252"/>
    <cellStyle name="40% - Accent3 2 2 5 3 5" xfId="21487"/>
    <cellStyle name="40% - Accent3 2 2 5 3 6" xfId="25725"/>
    <cellStyle name="40% - Accent3 2 2 5 3 7" xfId="29803"/>
    <cellStyle name="40% - Accent3 2 2 5 4" xfId="2870"/>
    <cellStyle name="40% - Accent3 2 2 5 4 2" xfId="7847"/>
    <cellStyle name="40% - Accent3 2 2 5 4 3" xfId="12136"/>
    <cellStyle name="40% - Accent3 2 2 5 4 4" xfId="16412"/>
    <cellStyle name="40% - Accent3 2 2 5 4 5" xfId="20652"/>
    <cellStyle name="40% - Accent3 2 2 5 4 6" xfId="24901"/>
    <cellStyle name="40% - Accent3 2 2 5 4 7" xfId="28996"/>
    <cellStyle name="40% - Accent3 2 2 5 5" xfId="4664"/>
    <cellStyle name="40% - Accent3 2 2 5 5 2" xfId="9638"/>
    <cellStyle name="40% - Accent3 2 2 5 5 3" xfId="13915"/>
    <cellStyle name="40% - Accent3 2 2 5 5 4" xfId="18174"/>
    <cellStyle name="40% - Accent3 2 2 5 5 5" xfId="22393"/>
    <cellStyle name="40% - Accent3 2 2 5 5 6" xfId="26588"/>
    <cellStyle name="40% - Accent3 2 2 5 5 7" xfId="30484"/>
    <cellStyle name="40% - Accent3 2 2 5 6" xfId="6012"/>
    <cellStyle name="40% - Accent3 2 2 5 6 2" xfId="10984"/>
    <cellStyle name="40% - Accent3 2 2 5 6 3" xfId="15262"/>
    <cellStyle name="40% - Accent3 2 2 5 6 4" xfId="19519"/>
    <cellStyle name="40% - Accent3 2 2 5 6 5" xfId="23736"/>
    <cellStyle name="40% - Accent3 2 2 5 6 6" xfId="27922"/>
    <cellStyle name="40% - Accent3 2 2 5 6 7" xfId="31801"/>
    <cellStyle name="40% - Accent3 2 2 5 7" xfId="6930"/>
    <cellStyle name="40% - Accent3 2 2 5 8" xfId="7764"/>
    <cellStyle name="40% - Accent3 2 2 5 9" xfId="12053"/>
    <cellStyle name="40% - Accent3 2 2 6" xfId="961"/>
    <cellStyle name="40% - Accent3 2 2 6 10" xfId="2872"/>
    <cellStyle name="40% - Accent3 2 2 6 2" xfId="3721"/>
    <cellStyle name="40% - Accent3 2 2 6 2 2" xfId="8697"/>
    <cellStyle name="40% - Accent3 2 2 6 2 3" xfId="12982"/>
    <cellStyle name="40% - Accent3 2 2 6 2 4" xfId="17254"/>
    <cellStyle name="40% - Accent3 2 2 6 2 5" xfId="21489"/>
    <cellStyle name="40% - Accent3 2 2 6 2 6" xfId="25727"/>
    <cellStyle name="40% - Accent3 2 2 6 2 7" xfId="29805"/>
    <cellStyle name="40% - Accent3 2 2 6 3" xfId="4992"/>
    <cellStyle name="40% - Accent3 2 2 6 3 2" xfId="9966"/>
    <cellStyle name="40% - Accent3 2 2 6 3 3" xfId="14243"/>
    <cellStyle name="40% - Accent3 2 2 6 3 4" xfId="18502"/>
    <cellStyle name="40% - Accent3 2 2 6 3 5" xfId="22721"/>
    <cellStyle name="40% - Accent3 2 2 6 3 6" xfId="26916"/>
    <cellStyle name="40% - Accent3 2 2 6 3 7" xfId="30812"/>
    <cellStyle name="40% - Accent3 2 2 6 4" xfId="7849"/>
    <cellStyle name="40% - Accent3 2 2 6 5" xfId="12138"/>
    <cellStyle name="40% - Accent3 2 2 6 6" xfId="16414"/>
    <cellStyle name="40% - Accent3 2 2 6 7" xfId="20654"/>
    <cellStyle name="40% - Accent3 2 2 6 8" xfId="24903"/>
    <cellStyle name="40% - Accent3 2 2 6 9" xfId="28998"/>
    <cellStyle name="40% - Accent3 2 2 7" xfId="3204"/>
    <cellStyle name="40% - Accent3 2 2 7 2" xfId="8180"/>
    <cellStyle name="40% - Accent3 2 2 7 3" xfId="12466"/>
    <cellStyle name="40% - Accent3 2 2 7 4" xfId="16740"/>
    <cellStyle name="40% - Accent3 2 2 7 5" xfId="20976"/>
    <cellStyle name="40% - Accent3 2 2 7 6" xfId="25216"/>
    <cellStyle name="40% - Accent3 2 2 7 7" xfId="29297"/>
    <cellStyle name="40% - Accent3 2 2 8" xfId="2301"/>
    <cellStyle name="40% - Accent3 2 2 8 2" xfId="7279"/>
    <cellStyle name="40% - Accent3 2 2 8 3" xfId="11569"/>
    <cellStyle name="40% - Accent3 2 2 8 4" xfId="15847"/>
    <cellStyle name="40% - Accent3 2 2 8 5" xfId="20100"/>
    <cellStyle name="40% - Accent3 2 2 8 6" xfId="24351"/>
    <cellStyle name="40% - Accent3 2 2 8 7" xfId="28488"/>
    <cellStyle name="40% - Accent3 2 2 9" xfId="4329"/>
    <cellStyle name="40% - Accent3 2 2 9 2" xfId="9303"/>
    <cellStyle name="40% - Accent3 2 2 9 3" xfId="13580"/>
    <cellStyle name="40% - Accent3 2 2 9 4" xfId="17840"/>
    <cellStyle name="40% - Accent3 2 2 9 5" xfId="22059"/>
    <cellStyle name="40% - Accent3 2 2 9 6" xfId="26257"/>
    <cellStyle name="40% - Accent3 2 2 9 7" xfId="30154"/>
    <cellStyle name="40% - Accent3 2 3" xfId="237"/>
    <cellStyle name="40% - Accent3 2 3 10" xfId="13253"/>
    <cellStyle name="40% - Accent3 2 3 11" xfId="17527"/>
    <cellStyle name="40% - Accent3 2 3 12" xfId="21963"/>
    <cellStyle name="40% - Accent3 2 3 13" xfId="25994"/>
    <cellStyle name="40% - Accent3 2 3 14" xfId="1643"/>
    <cellStyle name="40% - Accent3 2 3 2" xfId="450"/>
    <cellStyle name="40% - Accent3 2 3 2 10" xfId="15903"/>
    <cellStyle name="40% - Accent3 2 3 2 11" xfId="21858"/>
    <cellStyle name="40% - Accent3 2 3 2 12" xfId="24400"/>
    <cellStyle name="40% - Accent3 2 3 2 13" xfId="1813"/>
    <cellStyle name="40% - Accent3 2 3 2 2" xfId="824"/>
    <cellStyle name="40% - Accent3 2 3 2 2 10" xfId="24199"/>
    <cellStyle name="40% - Accent3 2 3 2 2 11" xfId="28351"/>
    <cellStyle name="40% - Accent3 2 3 2 2 12" xfId="2143"/>
    <cellStyle name="40% - Accent3 2 3 2 2 2" xfId="1481"/>
    <cellStyle name="40% - Accent3 2 3 2 2 2 2" xfId="5512"/>
    <cellStyle name="40% - Accent3 2 3 2 2 2 2 2" xfId="10486"/>
    <cellStyle name="40% - Accent3 2 3 2 2 2 2 3" xfId="14763"/>
    <cellStyle name="40% - Accent3 2 3 2 2 2 2 4" xfId="19022"/>
    <cellStyle name="40% - Accent3 2 3 2 2 2 2 5" xfId="23241"/>
    <cellStyle name="40% - Accent3 2 3 2 2 2 2 6" xfId="27436"/>
    <cellStyle name="40% - Accent3 2 3 2 2 2 2 7" xfId="31332"/>
    <cellStyle name="40% - Accent3 2 3 2 2 2 3" xfId="8698"/>
    <cellStyle name="40% - Accent3 2 3 2 2 2 4" xfId="12983"/>
    <cellStyle name="40% - Accent3 2 3 2 2 2 5" xfId="17255"/>
    <cellStyle name="40% - Accent3 2 3 2 2 2 6" xfId="21490"/>
    <cellStyle name="40% - Accent3 2 3 2 2 2 7" xfId="25728"/>
    <cellStyle name="40% - Accent3 2 3 2 2 2 8" xfId="29806"/>
    <cellStyle name="40% - Accent3 2 3 2 2 2 9" xfId="3722"/>
    <cellStyle name="40% - Accent3 2 3 2 2 3" xfId="2873"/>
    <cellStyle name="40% - Accent3 2 3 2 2 3 2" xfId="7850"/>
    <cellStyle name="40% - Accent3 2 3 2 2 3 3" xfId="12139"/>
    <cellStyle name="40% - Accent3 2 3 2 2 3 4" xfId="16415"/>
    <cellStyle name="40% - Accent3 2 3 2 2 3 5" xfId="20655"/>
    <cellStyle name="40% - Accent3 2 3 2 2 3 6" xfId="24904"/>
    <cellStyle name="40% - Accent3 2 3 2 2 3 7" xfId="28999"/>
    <cellStyle name="40% - Accent3 2 3 2 2 4" xfId="4855"/>
    <cellStyle name="40% - Accent3 2 3 2 2 4 2" xfId="9829"/>
    <cellStyle name="40% - Accent3 2 3 2 2 4 3" xfId="14106"/>
    <cellStyle name="40% - Accent3 2 3 2 2 4 4" xfId="18365"/>
    <cellStyle name="40% - Accent3 2 3 2 2 4 5" xfId="22584"/>
    <cellStyle name="40% - Accent3 2 3 2 2 4 6" xfId="26779"/>
    <cellStyle name="40% - Accent3 2 3 2 2 4 7" xfId="30675"/>
    <cellStyle name="40% - Accent3 2 3 2 2 5" xfId="6203"/>
    <cellStyle name="40% - Accent3 2 3 2 2 5 2" xfId="11175"/>
    <cellStyle name="40% - Accent3 2 3 2 2 5 3" xfId="15453"/>
    <cellStyle name="40% - Accent3 2 3 2 2 5 4" xfId="19710"/>
    <cellStyle name="40% - Accent3 2 3 2 2 5 5" xfId="23927"/>
    <cellStyle name="40% - Accent3 2 3 2 2 5 6" xfId="28113"/>
    <cellStyle name="40% - Accent3 2 3 2 2 5 7" xfId="31992"/>
    <cellStyle name="40% - Accent3 2 3 2 2 6" xfId="7121"/>
    <cellStyle name="40% - Accent3 2 3 2 2 7" xfId="11413"/>
    <cellStyle name="40% - Accent3 2 3 2 2 8" xfId="15691"/>
    <cellStyle name="40% - Accent3 2 3 2 2 9" xfId="19948"/>
    <cellStyle name="40% - Accent3 2 3 2 3" xfId="1152"/>
    <cellStyle name="40% - Accent3 2 3 2 3 2" xfId="5183"/>
    <cellStyle name="40% - Accent3 2 3 2 3 2 2" xfId="10157"/>
    <cellStyle name="40% - Accent3 2 3 2 3 2 3" xfId="14434"/>
    <cellStyle name="40% - Accent3 2 3 2 3 2 4" xfId="18693"/>
    <cellStyle name="40% - Accent3 2 3 2 3 2 5" xfId="22912"/>
    <cellStyle name="40% - Accent3 2 3 2 3 2 6" xfId="27107"/>
    <cellStyle name="40% - Accent3 2 3 2 3 2 7" xfId="31003"/>
    <cellStyle name="40% - Accent3 2 3 2 3 3" xfId="8378"/>
    <cellStyle name="40% - Accent3 2 3 2 3 4" xfId="12663"/>
    <cellStyle name="40% - Accent3 2 3 2 3 5" xfId="16935"/>
    <cellStyle name="40% - Accent3 2 3 2 3 6" xfId="21170"/>
    <cellStyle name="40% - Accent3 2 3 2 3 7" xfId="25408"/>
    <cellStyle name="40% - Accent3 2 3 2 3 8" xfId="29486"/>
    <cellStyle name="40% - Accent3 2 3 2 3 9" xfId="3402"/>
    <cellStyle name="40% - Accent3 2 3 2 4" xfId="2541"/>
    <cellStyle name="40% - Accent3 2 3 2 4 2" xfId="7518"/>
    <cellStyle name="40% - Accent3 2 3 2 4 3" xfId="11807"/>
    <cellStyle name="40% - Accent3 2 3 2 4 4" xfId="16085"/>
    <cellStyle name="40% - Accent3 2 3 2 4 5" xfId="20328"/>
    <cellStyle name="40% - Accent3 2 3 2 4 6" xfId="24574"/>
    <cellStyle name="40% - Accent3 2 3 2 4 7" xfId="28679"/>
    <cellStyle name="40% - Accent3 2 3 2 5" xfId="4525"/>
    <cellStyle name="40% - Accent3 2 3 2 5 2" xfId="9499"/>
    <cellStyle name="40% - Accent3 2 3 2 5 3" xfId="13776"/>
    <cellStyle name="40% - Accent3 2 3 2 5 4" xfId="18036"/>
    <cellStyle name="40% - Accent3 2 3 2 5 5" xfId="22254"/>
    <cellStyle name="40% - Accent3 2 3 2 5 6" xfId="26450"/>
    <cellStyle name="40% - Accent3 2 3 2 5 7" xfId="30346"/>
    <cellStyle name="40% - Accent3 2 3 2 6" xfId="5874"/>
    <cellStyle name="40% - Accent3 2 3 2 6 2" xfId="10846"/>
    <cellStyle name="40% - Accent3 2 3 2 6 3" xfId="15124"/>
    <cellStyle name="40% - Accent3 2 3 2 6 4" xfId="19381"/>
    <cellStyle name="40% - Accent3 2 3 2 6 5" xfId="23598"/>
    <cellStyle name="40% - Accent3 2 3 2 6 6" xfId="27784"/>
    <cellStyle name="40% - Accent3 2 3 2 6 7" xfId="31663"/>
    <cellStyle name="40% - Accent3 2 3 2 7" xfId="6748"/>
    <cellStyle name="40% - Accent3 2 3 2 8" xfId="7335"/>
    <cellStyle name="40% - Accent3 2 3 2 9" xfId="11624"/>
    <cellStyle name="40% - Accent3 2 3 3" xfId="657"/>
    <cellStyle name="40% - Accent3 2 3 3 10" xfId="24032"/>
    <cellStyle name="40% - Accent3 2 3 3 11" xfId="21814"/>
    <cellStyle name="40% - Accent3 2 3 3 12" xfId="1976"/>
    <cellStyle name="40% - Accent3 2 3 3 2" xfId="1314"/>
    <cellStyle name="40% - Accent3 2 3 3 2 2" xfId="5345"/>
    <cellStyle name="40% - Accent3 2 3 3 2 2 2" xfId="10319"/>
    <cellStyle name="40% - Accent3 2 3 3 2 2 3" xfId="14596"/>
    <cellStyle name="40% - Accent3 2 3 3 2 2 4" xfId="18855"/>
    <cellStyle name="40% - Accent3 2 3 3 2 2 5" xfId="23074"/>
    <cellStyle name="40% - Accent3 2 3 3 2 2 6" xfId="27269"/>
    <cellStyle name="40% - Accent3 2 3 3 2 2 7" xfId="31165"/>
    <cellStyle name="40% - Accent3 2 3 3 2 3" xfId="8699"/>
    <cellStyle name="40% - Accent3 2 3 3 2 4" xfId="12984"/>
    <cellStyle name="40% - Accent3 2 3 3 2 5" xfId="17256"/>
    <cellStyle name="40% - Accent3 2 3 3 2 6" xfId="21491"/>
    <cellStyle name="40% - Accent3 2 3 3 2 7" xfId="25729"/>
    <cellStyle name="40% - Accent3 2 3 3 2 8" xfId="29807"/>
    <cellStyle name="40% - Accent3 2 3 3 2 9" xfId="3723"/>
    <cellStyle name="40% - Accent3 2 3 3 3" xfId="2874"/>
    <cellStyle name="40% - Accent3 2 3 3 3 2" xfId="7851"/>
    <cellStyle name="40% - Accent3 2 3 3 3 3" xfId="12140"/>
    <cellStyle name="40% - Accent3 2 3 3 3 4" xfId="16416"/>
    <cellStyle name="40% - Accent3 2 3 3 3 5" xfId="20656"/>
    <cellStyle name="40% - Accent3 2 3 3 3 6" xfId="24905"/>
    <cellStyle name="40% - Accent3 2 3 3 3 7" xfId="29000"/>
    <cellStyle name="40% - Accent3 2 3 3 4" xfId="4688"/>
    <cellStyle name="40% - Accent3 2 3 3 4 2" xfId="9662"/>
    <cellStyle name="40% - Accent3 2 3 3 4 3" xfId="13939"/>
    <cellStyle name="40% - Accent3 2 3 3 4 4" xfId="18198"/>
    <cellStyle name="40% - Accent3 2 3 3 4 5" xfId="22417"/>
    <cellStyle name="40% - Accent3 2 3 3 4 6" xfId="26612"/>
    <cellStyle name="40% - Accent3 2 3 3 4 7" xfId="30508"/>
    <cellStyle name="40% - Accent3 2 3 3 5" xfId="6036"/>
    <cellStyle name="40% - Accent3 2 3 3 5 2" xfId="11008"/>
    <cellStyle name="40% - Accent3 2 3 3 5 3" xfId="15286"/>
    <cellStyle name="40% - Accent3 2 3 3 5 4" xfId="19543"/>
    <cellStyle name="40% - Accent3 2 3 3 5 5" xfId="23760"/>
    <cellStyle name="40% - Accent3 2 3 3 5 6" xfId="27946"/>
    <cellStyle name="40% - Accent3 2 3 3 5 7" xfId="31825"/>
    <cellStyle name="40% - Accent3 2 3 3 6" xfId="6954"/>
    <cellStyle name="40% - Accent3 2 3 3 7" xfId="6586"/>
    <cellStyle name="40% - Accent3 2 3 3 8" xfId="9166"/>
    <cellStyle name="40% - Accent3 2 3 3 9" xfId="13446"/>
    <cellStyle name="40% - Accent3 2 3 4" xfId="985"/>
    <cellStyle name="40% - Accent3 2 3 4 2" xfId="5016"/>
    <cellStyle name="40% - Accent3 2 3 4 2 2" xfId="9990"/>
    <cellStyle name="40% - Accent3 2 3 4 2 3" xfId="14267"/>
    <cellStyle name="40% - Accent3 2 3 4 2 4" xfId="18526"/>
    <cellStyle name="40% - Accent3 2 3 4 2 5" xfId="22745"/>
    <cellStyle name="40% - Accent3 2 3 4 2 6" xfId="26940"/>
    <cellStyle name="40% - Accent3 2 3 4 2 7" xfId="30836"/>
    <cellStyle name="40% - Accent3 2 3 4 3" xfId="8222"/>
    <cellStyle name="40% - Accent3 2 3 4 4" xfId="12507"/>
    <cellStyle name="40% - Accent3 2 3 4 5" xfId="16780"/>
    <cellStyle name="40% - Accent3 2 3 4 6" xfId="21018"/>
    <cellStyle name="40% - Accent3 2 3 4 7" xfId="25255"/>
    <cellStyle name="40% - Accent3 2 3 4 8" xfId="29334"/>
    <cellStyle name="40% - Accent3 2 3 4 9" xfId="3246"/>
    <cellStyle name="40% - Accent3 2 3 5" xfId="2361"/>
    <cellStyle name="40% - Accent3 2 3 5 2" xfId="7339"/>
    <cellStyle name="40% - Accent3 2 3 5 3" xfId="11628"/>
    <cellStyle name="40% - Accent3 2 3 5 4" xfId="15907"/>
    <cellStyle name="40% - Accent3 2 3 5 5" xfId="20157"/>
    <cellStyle name="40% - Accent3 2 3 5 6" xfId="24404"/>
    <cellStyle name="40% - Accent3 2 3 5 7" xfId="28526"/>
    <cellStyle name="40% - Accent3 2 3 6" xfId="4357"/>
    <cellStyle name="40% - Accent3 2 3 6 2" xfId="9331"/>
    <cellStyle name="40% - Accent3 2 3 6 3" xfId="13608"/>
    <cellStyle name="40% - Accent3 2 3 6 4" xfId="17868"/>
    <cellStyle name="40% - Accent3 2 3 6 5" xfId="22087"/>
    <cellStyle name="40% - Accent3 2 3 6 6" xfId="26283"/>
    <cellStyle name="40% - Accent3 2 3 6 7" xfId="30179"/>
    <cellStyle name="40% - Accent3 2 3 7" xfId="5707"/>
    <cellStyle name="40% - Accent3 2 3 7 2" xfId="10679"/>
    <cellStyle name="40% - Accent3 2 3 7 3" xfId="14957"/>
    <cellStyle name="40% - Accent3 2 3 7 4" xfId="19214"/>
    <cellStyle name="40% - Accent3 2 3 7 5" xfId="23431"/>
    <cellStyle name="40% - Accent3 2 3 7 6" xfId="27617"/>
    <cellStyle name="40% - Accent3 2 3 7 7" xfId="31496"/>
    <cellStyle name="40% - Accent3 2 3 8" xfId="6535"/>
    <cellStyle name="40% - Accent3 2 3 9" xfId="8971"/>
    <cellStyle name="40% - Accent3 2 4" xfId="384"/>
    <cellStyle name="40% - Accent3 2 4 10" xfId="13526"/>
    <cellStyle name="40% - Accent3 2 4 11" xfId="17786"/>
    <cellStyle name="40% - Accent3 2 4 12" xfId="21900"/>
    <cellStyle name="40% - Accent3 2 4 13" xfId="26203"/>
    <cellStyle name="40% - Accent3 2 4 14" xfId="1747"/>
    <cellStyle name="40% - Accent3 2 4 2" xfId="758"/>
    <cellStyle name="40% - Accent3 2 4 2 10" xfId="24133"/>
    <cellStyle name="40% - Accent3 2 4 2 11" xfId="28285"/>
    <cellStyle name="40% - Accent3 2 4 2 12" xfId="2077"/>
    <cellStyle name="40% - Accent3 2 4 2 2" xfId="1415"/>
    <cellStyle name="40% - Accent3 2 4 2 2 2" xfId="5446"/>
    <cellStyle name="40% - Accent3 2 4 2 2 2 2" xfId="10420"/>
    <cellStyle name="40% - Accent3 2 4 2 2 2 3" xfId="14697"/>
    <cellStyle name="40% - Accent3 2 4 2 2 2 4" xfId="18956"/>
    <cellStyle name="40% - Accent3 2 4 2 2 2 5" xfId="23175"/>
    <cellStyle name="40% - Accent3 2 4 2 2 2 6" xfId="27370"/>
    <cellStyle name="40% - Accent3 2 4 2 2 2 7" xfId="31266"/>
    <cellStyle name="40% - Accent3 2 4 2 2 3" xfId="8700"/>
    <cellStyle name="40% - Accent3 2 4 2 2 4" xfId="12985"/>
    <cellStyle name="40% - Accent3 2 4 2 2 5" xfId="17257"/>
    <cellStyle name="40% - Accent3 2 4 2 2 6" xfId="21492"/>
    <cellStyle name="40% - Accent3 2 4 2 2 7" xfId="25730"/>
    <cellStyle name="40% - Accent3 2 4 2 2 8" xfId="29808"/>
    <cellStyle name="40% - Accent3 2 4 2 2 9" xfId="3724"/>
    <cellStyle name="40% - Accent3 2 4 2 3" xfId="2875"/>
    <cellStyle name="40% - Accent3 2 4 2 3 2" xfId="7852"/>
    <cellStyle name="40% - Accent3 2 4 2 3 3" xfId="12141"/>
    <cellStyle name="40% - Accent3 2 4 2 3 4" xfId="16417"/>
    <cellStyle name="40% - Accent3 2 4 2 3 5" xfId="20657"/>
    <cellStyle name="40% - Accent3 2 4 2 3 6" xfId="24906"/>
    <cellStyle name="40% - Accent3 2 4 2 3 7" xfId="29001"/>
    <cellStyle name="40% - Accent3 2 4 2 4" xfId="4789"/>
    <cellStyle name="40% - Accent3 2 4 2 4 2" xfId="9763"/>
    <cellStyle name="40% - Accent3 2 4 2 4 3" xfId="14040"/>
    <cellStyle name="40% - Accent3 2 4 2 4 4" xfId="18299"/>
    <cellStyle name="40% - Accent3 2 4 2 4 5" xfId="22518"/>
    <cellStyle name="40% - Accent3 2 4 2 4 6" xfId="26713"/>
    <cellStyle name="40% - Accent3 2 4 2 4 7" xfId="30609"/>
    <cellStyle name="40% - Accent3 2 4 2 5" xfId="6137"/>
    <cellStyle name="40% - Accent3 2 4 2 5 2" xfId="11109"/>
    <cellStyle name="40% - Accent3 2 4 2 5 3" xfId="15387"/>
    <cellStyle name="40% - Accent3 2 4 2 5 4" xfId="19644"/>
    <cellStyle name="40% - Accent3 2 4 2 5 5" xfId="23861"/>
    <cellStyle name="40% - Accent3 2 4 2 5 6" xfId="28047"/>
    <cellStyle name="40% - Accent3 2 4 2 5 7" xfId="31926"/>
    <cellStyle name="40% - Accent3 2 4 2 6" xfId="7055"/>
    <cellStyle name="40% - Accent3 2 4 2 7" xfId="11347"/>
    <cellStyle name="40% - Accent3 2 4 2 8" xfId="15625"/>
    <cellStyle name="40% - Accent3 2 4 2 9" xfId="19882"/>
    <cellStyle name="40% - Accent3 2 4 3" xfId="1086"/>
    <cellStyle name="40% - Accent3 2 4 3 2" xfId="5117"/>
    <cellStyle name="40% - Accent3 2 4 3 2 2" xfId="10091"/>
    <cellStyle name="40% - Accent3 2 4 3 2 3" xfId="14368"/>
    <cellStyle name="40% - Accent3 2 4 3 2 4" xfId="18627"/>
    <cellStyle name="40% - Accent3 2 4 3 2 5" xfId="22846"/>
    <cellStyle name="40% - Accent3 2 4 3 2 6" xfId="27041"/>
    <cellStyle name="40% - Accent3 2 4 3 2 7" xfId="30937"/>
    <cellStyle name="40% - Accent3 2 4 3 3" xfId="8312"/>
    <cellStyle name="40% - Accent3 2 4 3 4" xfId="12597"/>
    <cellStyle name="40% - Accent3 2 4 3 5" xfId="16869"/>
    <cellStyle name="40% - Accent3 2 4 3 6" xfId="21104"/>
    <cellStyle name="40% - Accent3 2 4 3 7" xfId="25342"/>
    <cellStyle name="40% - Accent3 2 4 3 8" xfId="29420"/>
    <cellStyle name="40% - Accent3 2 4 3 9" xfId="3336"/>
    <cellStyle name="40% - Accent3 2 4 4" xfId="2475"/>
    <cellStyle name="40% - Accent3 2 4 4 2" xfId="7452"/>
    <cellStyle name="40% - Accent3 2 4 4 3" xfId="11741"/>
    <cellStyle name="40% - Accent3 2 4 4 4" xfId="16019"/>
    <cellStyle name="40% - Accent3 2 4 4 5" xfId="20262"/>
    <cellStyle name="40% - Accent3 2 4 4 6" xfId="24508"/>
    <cellStyle name="40% - Accent3 2 4 4 7" xfId="28613"/>
    <cellStyle name="40% - Accent3 2 4 5" xfId="4084"/>
    <cellStyle name="40% - Accent3 2 4 6" xfId="4459"/>
    <cellStyle name="40% - Accent3 2 4 6 2" xfId="9433"/>
    <cellStyle name="40% - Accent3 2 4 6 3" xfId="13710"/>
    <cellStyle name="40% - Accent3 2 4 6 4" xfId="17970"/>
    <cellStyle name="40% - Accent3 2 4 6 5" xfId="22188"/>
    <cellStyle name="40% - Accent3 2 4 6 6" xfId="26384"/>
    <cellStyle name="40% - Accent3 2 4 6 7" xfId="30280"/>
    <cellStyle name="40% - Accent3 2 4 7" xfId="5808"/>
    <cellStyle name="40% - Accent3 2 4 7 2" xfId="10780"/>
    <cellStyle name="40% - Accent3 2 4 7 3" xfId="15058"/>
    <cellStyle name="40% - Accent3 2 4 7 4" xfId="19315"/>
    <cellStyle name="40% - Accent3 2 4 7 5" xfId="23532"/>
    <cellStyle name="40% - Accent3 2 4 7 6" xfId="27718"/>
    <cellStyle name="40% - Accent3 2 4 7 7" xfId="31597"/>
    <cellStyle name="40% - Accent3 2 4 8" xfId="6682"/>
    <cellStyle name="40% - Accent3 2 4 9" xfId="9249"/>
    <cellStyle name="40% - Accent3 2 5" xfId="499"/>
    <cellStyle name="40% - Accent3 2 5 10" xfId="13590"/>
    <cellStyle name="40% - Accent3 2 5 11" xfId="15885"/>
    <cellStyle name="40% - Accent3 2 5 12" xfId="15963"/>
    <cellStyle name="40% - Accent3 2 5 13" xfId="1862"/>
    <cellStyle name="40% - Accent3 2 5 2" xfId="873"/>
    <cellStyle name="40% - Accent3 2 5 2 10" xfId="24248"/>
    <cellStyle name="40% - Accent3 2 5 2 11" xfId="28400"/>
    <cellStyle name="40% - Accent3 2 5 2 12" xfId="2192"/>
    <cellStyle name="40% - Accent3 2 5 2 2" xfId="1530"/>
    <cellStyle name="40% - Accent3 2 5 2 2 2" xfId="5561"/>
    <cellStyle name="40% - Accent3 2 5 2 2 2 2" xfId="10535"/>
    <cellStyle name="40% - Accent3 2 5 2 2 2 3" xfId="14812"/>
    <cellStyle name="40% - Accent3 2 5 2 2 2 4" xfId="19071"/>
    <cellStyle name="40% - Accent3 2 5 2 2 2 5" xfId="23290"/>
    <cellStyle name="40% - Accent3 2 5 2 2 2 6" xfId="27485"/>
    <cellStyle name="40% - Accent3 2 5 2 2 2 7" xfId="31381"/>
    <cellStyle name="40% - Accent3 2 5 2 2 3" xfId="8701"/>
    <cellStyle name="40% - Accent3 2 5 2 2 4" xfId="12986"/>
    <cellStyle name="40% - Accent3 2 5 2 2 5" xfId="17258"/>
    <cellStyle name="40% - Accent3 2 5 2 2 6" xfId="21493"/>
    <cellStyle name="40% - Accent3 2 5 2 2 7" xfId="25731"/>
    <cellStyle name="40% - Accent3 2 5 2 2 8" xfId="29809"/>
    <cellStyle name="40% - Accent3 2 5 2 2 9" xfId="3725"/>
    <cellStyle name="40% - Accent3 2 5 2 3" xfId="2876"/>
    <cellStyle name="40% - Accent3 2 5 2 3 2" xfId="7853"/>
    <cellStyle name="40% - Accent3 2 5 2 3 3" xfId="12142"/>
    <cellStyle name="40% - Accent3 2 5 2 3 4" xfId="16418"/>
    <cellStyle name="40% - Accent3 2 5 2 3 5" xfId="20658"/>
    <cellStyle name="40% - Accent3 2 5 2 3 6" xfId="24907"/>
    <cellStyle name="40% - Accent3 2 5 2 3 7" xfId="29002"/>
    <cellStyle name="40% - Accent3 2 5 2 4" xfId="4904"/>
    <cellStyle name="40% - Accent3 2 5 2 4 2" xfId="9878"/>
    <cellStyle name="40% - Accent3 2 5 2 4 3" xfId="14155"/>
    <cellStyle name="40% - Accent3 2 5 2 4 4" xfId="18414"/>
    <cellStyle name="40% - Accent3 2 5 2 4 5" xfId="22633"/>
    <cellStyle name="40% - Accent3 2 5 2 4 6" xfId="26828"/>
    <cellStyle name="40% - Accent3 2 5 2 4 7" xfId="30724"/>
    <cellStyle name="40% - Accent3 2 5 2 5" xfId="6252"/>
    <cellStyle name="40% - Accent3 2 5 2 5 2" xfId="11224"/>
    <cellStyle name="40% - Accent3 2 5 2 5 3" xfId="15502"/>
    <cellStyle name="40% - Accent3 2 5 2 5 4" xfId="19759"/>
    <cellStyle name="40% - Accent3 2 5 2 5 5" xfId="23976"/>
    <cellStyle name="40% - Accent3 2 5 2 5 6" xfId="28162"/>
    <cellStyle name="40% - Accent3 2 5 2 5 7" xfId="32041"/>
    <cellStyle name="40% - Accent3 2 5 2 6" xfId="7170"/>
    <cellStyle name="40% - Accent3 2 5 2 7" xfId="11462"/>
    <cellStyle name="40% - Accent3 2 5 2 8" xfId="15740"/>
    <cellStyle name="40% - Accent3 2 5 2 9" xfId="19997"/>
    <cellStyle name="40% - Accent3 2 5 3" xfId="1201"/>
    <cellStyle name="40% - Accent3 2 5 3 2" xfId="5232"/>
    <cellStyle name="40% - Accent3 2 5 3 2 2" xfId="10206"/>
    <cellStyle name="40% - Accent3 2 5 3 2 3" xfId="14483"/>
    <cellStyle name="40% - Accent3 2 5 3 2 4" xfId="18742"/>
    <cellStyle name="40% - Accent3 2 5 3 2 5" xfId="22961"/>
    <cellStyle name="40% - Accent3 2 5 3 2 6" xfId="27156"/>
    <cellStyle name="40% - Accent3 2 5 3 2 7" xfId="31052"/>
    <cellStyle name="40% - Accent3 2 5 3 3" xfId="8442"/>
    <cellStyle name="40% - Accent3 2 5 3 4" xfId="12727"/>
    <cellStyle name="40% - Accent3 2 5 3 5" xfId="16999"/>
    <cellStyle name="40% - Accent3 2 5 3 6" xfId="21234"/>
    <cellStyle name="40% - Accent3 2 5 3 7" xfId="25472"/>
    <cellStyle name="40% - Accent3 2 5 3 8" xfId="29550"/>
    <cellStyle name="40% - Accent3 2 5 3 9" xfId="3466"/>
    <cellStyle name="40% - Accent3 2 5 4" xfId="2608"/>
    <cellStyle name="40% - Accent3 2 5 4 2" xfId="7585"/>
    <cellStyle name="40% - Accent3 2 5 4 3" xfId="11874"/>
    <cellStyle name="40% - Accent3 2 5 4 4" xfId="16150"/>
    <cellStyle name="40% - Accent3 2 5 4 5" xfId="20393"/>
    <cellStyle name="40% - Accent3 2 5 4 6" xfId="24639"/>
    <cellStyle name="40% - Accent3 2 5 4 7" xfId="28743"/>
    <cellStyle name="40% - Accent3 2 5 5" xfId="4574"/>
    <cellStyle name="40% - Accent3 2 5 5 2" xfId="9548"/>
    <cellStyle name="40% - Accent3 2 5 5 3" xfId="13825"/>
    <cellStyle name="40% - Accent3 2 5 5 4" xfId="18085"/>
    <cellStyle name="40% - Accent3 2 5 5 5" xfId="22303"/>
    <cellStyle name="40% - Accent3 2 5 5 6" xfId="26499"/>
    <cellStyle name="40% - Accent3 2 5 5 7" xfId="30395"/>
    <cellStyle name="40% - Accent3 2 5 6" xfId="5923"/>
    <cellStyle name="40% - Accent3 2 5 6 2" xfId="10895"/>
    <cellStyle name="40% - Accent3 2 5 6 3" xfId="15173"/>
    <cellStyle name="40% - Accent3 2 5 6 4" xfId="19430"/>
    <cellStyle name="40% - Accent3 2 5 6 5" xfId="23647"/>
    <cellStyle name="40% - Accent3 2 5 6 6" xfId="27833"/>
    <cellStyle name="40% - Accent3 2 5 6 7" xfId="31712"/>
    <cellStyle name="40% - Accent3 2 5 7" xfId="6797"/>
    <cellStyle name="40% - Accent3 2 5 8" xfId="6442"/>
    <cellStyle name="40% - Accent3 2 5 9" xfId="9313"/>
    <cellStyle name="40% - Accent3 2 6" xfId="600"/>
    <cellStyle name="40% - Accent3 2 6 10" xfId="13489"/>
    <cellStyle name="40% - Accent3 2 6 11" xfId="9146"/>
    <cellStyle name="40% - Accent3 2 6 12" xfId="14887"/>
    <cellStyle name="40% - Accent3 2 6 13" xfId="1919"/>
    <cellStyle name="40% - Accent3 2 6 2" xfId="1257"/>
    <cellStyle name="40% - Accent3 2 6 2 10" xfId="2878"/>
    <cellStyle name="40% - Accent3 2 6 2 2" xfId="3727"/>
    <cellStyle name="40% - Accent3 2 6 2 2 2" xfId="8703"/>
    <cellStyle name="40% - Accent3 2 6 2 2 3" xfId="12988"/>
    <cellStyle name="40% - Accent3 2 6 2 2 4" xfId="17260"/>
    <cellStyle name="40% - Accent3 2 6 2 2 5" xfId="21495"/>
    <cellStyle name="40% - Accent3 2 6 2 2 6" xfId="25733"/>
    <cellStyle name="40% - Accent3 2 6 2 2 7" xfId="29811"/>
    <cellStyle name="40% - Accent3 2 6 2 3" xfId="5288"/>
    <cellStyle name="40% - Accent3 2 6 2 3 2" xfId="10262"/>
    <cellStyle name="40% - Accent3 2 6 2 3 3" xfId="14539"/>
    <cellStyle name="40% - Accent3 2 6 2 3 4" xfId="18798"/>
    <cellStyle name="40% - Accent3 2 6 2 3 5" xfId="23017"/>
    <cellStyle name="40% - Accent3 2 6 2 3 6" xfId="27212"/>
    <cellStyle name="40% - Accent3 2 6 2 3 7" xfId="31108"/>
    <cellStyle name="40% - Accent3 2 6 2 4" xfId="7855"/>
    <cellStyle name="40% - Accent3 2 6 2 5" xfId="12144"/>
    <cellStyle name="40% - Accent3 2 6 2 6" xfId="16420"/>
    <cellStyle name="40% - Accent3 2 6 2 7" xfId="20660"/>
    <cellStyle name="40% - Accent3 2 6 2 8" xfId="24909"/>
    <cellStyle name="40% - Accent3 2 6 2 9" xfId="29004"/>
    <cellStyle name="40% - Accent3 2 6 3" xfId="3726"/>
    <cellStyle name="40% - Accent3 2 6 3 2" xfId="8702"/>
    <cellStyle name="40% - Accent3 2 6 3 3" xfId="12987"/>
    <cellStyle name="40% - Accent3 2 6 3 4" xfId="17259"/>
    <cellStyle name="40% - Accent3 2 6 3 5" xfId="21494"/>
    <cellStyle name="40% - Accent3 2 6 3 6" xfId="25732"/>
    <cellStyle name="40% - Accent3 2 6 3 7" xfId="29810"/>
    <cellStyle name="40% - Accent3 2 6 4" xfId="2877"/>
    <cellStyle name="40% - Accent3 2 6 4 2" xfId="7854"/>
    <cellStyle name="40% - Accent3 2 6 4 3" xfId="12143"/>
    <cellStyle name="40% - Accent3 2 6 4 4" xfId="16419"/>
    <cellStyle name="40% - Accent3 2 6 4 5" xfId="20659"/>
    <cellStyle name="40% - Accent3 2 6 4 6" xfId="24908"/>
    <cellStyle name="40% - Accent3 2 6 4 7" xfId="29003"/>
    <cellStyle name="40% - Accent3 2 6 5" xfId="4631"/>
    <cellStyle name="40% - Accent3 2 6 5 2" xfId="9605"/>
    <cellStyle name="40% - Accent3 2 6 5 3" xfId="13882"/>
    <cellStyle name="40% - Accent3 2 6 5 4" xfId="18141"/>
    <cellStyle name="40% - Accent3 2 6 5 5" xfId="22360"/>
    <cellStyle name="40% - Accent3 2 6 5 6" xfId="26555"/>
    <cellStyle name="40% - Accent3 2 6 5 7" xfId="30451"/>
    <cellStyle name="40% - Accent3 2 6 6" xfId="5979"/>
    <cellStyle name="40% - Accent3 2 6 6 2" xfId="10951"/>
    <cellStyle name="40% - Accent3 2 6 6 3" xfId="15229"/>
    <cellStyle name="40% - Accent3 2 6 6 4" xfId="19486"/>
    <cellStyle name="40% - Accent3 2 6 6 5" xfId="23703"/>
    <cellStyle name="40% - Accent3 2 6 6 6" xfId="27889"/>
    <cellStyle name="40% - Accent3 2 6 6 7" xfId="31768"/>
    <cellStyle name="40% - Accent3 2 6 7" xfId="6897"/>
    <cellStyle name="40% - Accent3 2 6 8" xfId="6428"/>
    <cellStyle name="40% - Accent3 2 6 9" xfId="9211"/>
    <cellStyle name="40% - Accent3 2 7" xfId="928"/>
    <cellStyle name="40% - Accent3 2 7 10" xfId="2879"/>
    <cellStyle name="40% - Accent3 2 7 2" xfId="3728"/>
    <cellStyle name="40% - Accent3 2 7 2 2" xfId="8704"/>
    <cellStyle name="40% - Accent3 2 7 2 3" xfId="12989"/>
    <cellStyle name="40% - Accent3 2 7 2 4" xfId="17261"/>
    <cellStyle name="40% - Accent3 2 7 2 5" xfId="21496"/>
    <cellStyle name="40% - Accent3 2 7 2 6" xfId="25734"/>
    <cellStyle name="40% - Accent3 2 7 2 7" xfId="29812"/>
    <cellStyle name="40% - Accent3 2 7 3" xfId="4959"/>
    <cellStyle name="40% - Accent3 2 7 3 2" xfId="9933"/>
    <cellStyle name="40% - Accent3 2 7 3 3" xfId="14210"/>
    <cellStyle name="40% - Accent3 2 7 3 4" xfId="18469"/>
    <cellStyle name="40% - Accent3 2 7 3 5" xfId="22688"/>
    <cellStyle name="40% - Accent3 2 7 3 6" xfId="26883"/>
    <cellStyle name="40% - Accent3 2 7 3 7" xfId="30779"/>
    <cellStyle name="40% - Accent3 2 7 4" xfId="7856"/>
    <cellStyle name="40% - Accent3 2 7 5" xfId="12145"/>
    <cellStyle name="40% - Accent3 2 7 6" xfId="16421"/>
    <cellStyle name="40% - Accent3 2 7 7" xfId="20661"/>
    <cellStyle name="40% - Accent3 2 7 8" xfId="24910"/>
    <cellStyle name="40% - Accent3 2 7 9" xfId="29005"/>
    <cellStyle name="40% - Accent3 2 8" xfId="3171"/>
    <cellStyle name="40% - Accent3 2 8 2" xfId="8147"/>
    <cellStyle name="40% - Accent3 2 8 3" xfId="12433"/>
    <cellStyle name="40% - Accent3 2 8 4" xfId="16707"/>
    <cellStyle name="40% - Accent3 2 8 5" xfId="20943"/>
    <cellStyle name="40% - Accent3 2 8 6" xfId="25183"/>
    <cellStyle name="40% - Accent3 2 8 7" xfId="29264"/>
    <cellStyle name="40% - Accent3 2 9" xfId="2257"/>
    <cellStyle name="40% - Accent3 2 9 2" xfId="7235"/>
    <cellStyle name="40% - Accent3 2 9 3" xfId="11525"/>
    <cellStyle name="40% - Accent3 2 9 4" xfId="15804"/>
    <cellStyle name="40% - Accent3 2 9 5" xfId="20059"/>
    <cellStyle name="40% - Accent3 2 9 6" xfId="24309"/>
    <cellStyle name="40% - Accent3 2 9 7" xfId="28455"/>
    <cellStyle name="40% - Accent3 3" xfId="128"/>
    <cellStyle name="40% - Accent3 3 2" xfId="4284"/>
    <cellStyle name="40% - Accent3 3 3" xfId="4093"/>
    <cellStyle name="40% - Accent3 4" xfId="111"/>
    <cellStyle name="40% - Accent3 4 10" xfId="5670"/>
    <cellStyle name="40% - Accent3 4 10 2" xfId="10642"/>
    <cellStyle name="40% - Accent3 4 10 3" xfId="14920"/>
    <cellStyle name="40% - Accent3 4 10 4" xfId="19177"/>
    <cellStyle name="40% - Accent3 4 10 5" xfId="23394"/>
    <cellStyle name="40% - Accent3 4 10 6" xfId="27580"/>
    <cellStyle name="40% - Accent3 4 10 7" xfId="31459"/>
    <cellStyle name="40% - Accent3 4 11" xfId="6411"/>
    <cellStyle name="40% - Accent3 4 12" xfId="6651"/>
    <cellStyle name="40% - Accent3 4 13" xfId="9135"/>
    <cellStyle name="40% - Accent3 4 14" xfId="13415"/>
    <cellStyle name="40% - Accent3 4 15" xfId="20777"/>
    <cellStyle name="40% - Accent3 4 16" xfId="21918"/>
    <cellStyle name="40% - Accent3 4 17" xfId="1605"/>
    <cellStyle name="40% - Accent3 4 2" xfId="302"/>
    <cellStyle name="40% - Accent3 4 2 10" xfId="13265"/>
    <cellStyle name="40% - Accent3 4 2 11" xfId="17539"/>
    <cellStyle name="40% - Accent3 4 2 12" xfId="21943"/>
    <cellStyle name="40% - Accent3 4 2 13" xfId="26003"/>
    <cellStyle name="40% - Accent3 4 2 14" xfId="1674"/>
    <cellStyle name="40% - Accent3 4 2 2" xfId="466"/>
    <cellStyle name="40% - Accent3 4 2 2 10" xfId="9040"/>
    <cellStyle name="40% - Accent3 4 2 2 11" xfId="23349"/>
    <cellStyle name="40% - Accent3 4 2 2 12" xfId="9197"/>
    <cellStyle name="40% - Accent3 4 2 2 13" xfId="1829"/>
    <cellStyle name="40% - Accent3 4 2 2 2" xfId="840"/>
    <cellStyle name="40% - Accent3 4 2 2 2 10" xfId="24215"/>
    <cellStyle name="40% - Accent3 4 2 2 2 11" xfId="28367"/>
    <cellStyle name="40% - Accent3 4 2 2 2 12" xfId="2159"/>
    <cellStyle name="40% - Accent3 4 2 2 2 2" xfId="1497"/>
    <cellStyle name="40% - Accent3 4 2 2 2 2 2" xfId="5528"/>
    <cellStyle name="40% - Accent3 4 2 2 2 2 2 2" xfId="10502"/>
    <cellStyle name="40% - Accent3 4 2 2 2 2 2 3" xfId="14779"/>
    <cellStyle name="40% - Accent3 4 2 2 2 2 2 4" xfId="19038"/>
    <cellStyle name="40% - Accent3 4 2 2 2 2 2 5" xfId="23257"/>
    <cellStyle name="40% - Accent3 4 2 2 2 2 2 6" xfId="27452"/>
    <cellStyle name="40% - Accent3 4 2 2 2 2 2 7" xfId="31348"/>
    <cellStyle name="40% - Accent3 4 2 2 2 2 3" xfId="8705"/>
    <cellStyle name="40% - Accent3 4 2 2 2 2 4" xfId="12990"/>
    <cellStyle name="40% - Accent3 4 2 2 2 2 5" xfId="17262"/>
    <cellStyle name="40% - Accent3 4 2 2 2 2 6" xfId="21497"/>
    <cellStyle name="40% - Accent3 4 2 2 2 2 7" xfId="25735"/>
    <cellStyle name="40% - Accent3 4 2 2 2 2 8" xfId="29813"/>
    <cellStyle name="40% - Accent3 4 2 2 2 2 9" xfId="3729"/>
    <cellStyle name="40% - Accent3 4 2 2 2 3" xfId="2880"/>
    <cellStyle name="40% - Accent3 4 2 2 2 3 2" xfId="7857"/>
    <cellStyle name="40% - Accent3 4 2 2 2 3 3" xfId="12146"/>
    <cellStyle name="40% - Accent3 4 2 2 2 3 4" xfId="16422"/>
    <cellStyle name="40% - Accent3 4 2 2 2 3 5" xfId="20662"/>
    <cellStyle name="40% - Accent3 4 2 2 2 3 6" xfId="24911"/>
    <cellStyle name="40% - Accent3 4 2 2 2 3 7" xfId="29006"/>
    <cellStyle name="40% - Accent3 4 2 2 2 4" xfId="4871"/>
    <cellStyle name="40% - Accent3 4 2 2 2 4 2" xfId="9845"/>
    <cellStyle name="40% - Accent3 4 2 2 2 4 3" xfId="14122"/>
    <cellStyle name="40% - Accent3 4 2 2 2 4 4" xfId="18381"/>
    <cellStyle name="40% - Accent3 4 2 2 2 4 5" xfId="22600"/>
    <cellStyle name="40% - Accent3 4 2 2 2 4 6" xfId="26795"/>
    <cellStyle name="40% - Accent3 4 2 2 2 4 7" xfId="30691"/>
    <cellStyle name="40% - Accent3 4 2 2 2 5" xfId="6219"/>
    <cellStyle name="40% - Accent3 4 2 2 2 5 2" xfId="11191"/>
    <cellStyle name="40% - Accent3 4 2 2 2 5 3" xfId="15469"/>
    <cellStyle name="40% - Accent3 4 2 2 2 5 4" xfId="19726"/>
    <cellStyle name="40% - Accent3 4 2 2 2 5 5" xfId="23943"/>
    <cellStyle name="40% - Accent3 4 2 2 2 5 6" xfId="28129"/>
    <cellStyle name="40% - Accent3 4 2 2 2 5 7" xfId="32008"/>
    <cellStyle name="40% - Accent3 4 2 2 2 6" xfId="7137"/>
    <cellStyle name="40% - Accent3 4 2 2 2 7" xfId="11429"/>
    <cellStyle name="40% - Accent3 4 2 2 2 8" xfId="15707"/>
    <cellStyle name="40% - Accent3 4 2 2 2 9" xfId="19964"/>
    <cellStyle name="40% - Accent3 4 2 2 3" xfId="1168"/>
    <cellStyle name="40% - Accent3 4 2 2 3 2" xfId="5199"/>
    <cellStyle name="40% - Accent3 4 2 2 3 2 2" xfId="10173"/>
    <cellStyle name="40% - Accent3 4 2 2 3 2 3" xfId="14450"/>
    <cellStyle name="40% - Accent3 4 2 2 3 2 4" xfId="18709"/>
    <cellStyle name="40% - Accent3 4 2 2 3 2 5" xfId="22928"/>
    <cellStyle name="40% - Accent3 4 2 2 3 2 6" xfId="27123"/>
    <cellStyle name="40% - Accent3 4 2 2 3 2 7" xfId="31019"/>
    <cellStyle name="40% - Accent3 4 2 2 3 3" xfId="8394"/>
    <cellStyle name="40% - Accent3 4 2 2 3 4" xfId="12679"/>
    <cellStyle name="40% - Accent3 4 2 2 3 5" xfId="16951"/>
    <cellStyle name="40% - Accent3 4 2 2 3 6" xfId="21186"/>
    <cellStyle name="40% - Accent3 4 2 2 3 7" xfId="25424"/>
    <cellStyle name="40% - Accent3 4 2 2 3 8" xfId="29502"/>
    <cellStyle name="40% - Accent3 4 2 2 3 9" xfId="3418"/>
    <cellStyle name="40% - Accent3 4 2 2 4" xfId="2557"/>
    <cellStyle name="40% - Accent3 4 2 2 4 2" xfId="7534"/>
    <cellStyle name="40% - Accent3 4 2 2 4 3" xfId="11823"/>
    <cellStyle name="40% - Accent3 4 2 2 4 4" xfId="16101"/>
    <cellStyle name="40% - Accent3 4 2 2 4 5" xfId="20344"/>
    <cellStyle name="40% - Accent3 4 2 2 4 6" xfId="24590"/>
    <cellStyle name="40% - Accent3 4 2 2 4 7" xfId="28695"/>
    <cellStyle name="40% - Accent3 4 2 2 5" xfId="4541"/>
    <cellStyle name="40% - Accent3 4 2 2 5 2" xfId="9515"/>
    <cellStyle name="40% - Accent3 4 2 2 5 3" xfId="13792"/>
    <cellStyle name="40% - Accent3 4 2 2 5 4" xfId="18052"/>
    <cellStyle name="40% - Accent3 4 2 2 5 5" xfId="22270"/>
    <cellStyle name="40% - Accent3 4 2 2 5 6" xfId="26466"/>
    <cellStyle name="40% - Accent3 4 2 2 5 7" xfId="30362"/>
    <cellStyle name="40% - Accent3 4 2 2 6" xfId="5890"/>
    <cellStyle name="40% - Accent3 4 2 2 6 2" xfId="10862"/>
    <cellStyle name="40% - Accent3 4 2 2 6 3" xfId="15140"/>
    <cellStyle name="40% - Accent3 4 2 2 6 4" xfId="19397"/>
    <cellStyle name="40% - Accent3 4 2 2 6 5" xfId="23614"/>
    <cellStyle name="40% - Accent3 4 2 2 6 6" xfId="27800"/>
    <cellStyle name="40% - Accent3 4 2 2 6 7" xfId="31679"/>
    <cellStyle name="40% - Accent3 4 2 2 7" xfId="6764"/>
    <cellStyle name="40% - Accent3 4 2 2 8" xfId="6328"/>
    <cellStyle name="40% - Accent3 4 2 2 9" xfId="6351"/>
    <cellStyle name="40% - Accent3 4 2 3" xfId="685"/>
    <cellStyle name="40% - Accent3 4 2 3 10" xfId="24060"/>
    <cellStyle name="40% - Accent3 4 2 3 11" xfId="28212"/>
    <cellStyle name="40% - Accent3 4 2 3 12" xfId="2004"/>
    <cellStyle name="40% - Accent3 4 2 3 2" xfId="1342"/>
    <cellStyle name="40% - Accent3 4 2 3 2 2" xfId="5373"/>
    <cellStyle name="40% - Accent3 4 2 3 2 2 2" xfId="10347"/>
    <cellStyle name="40% - Accent3 4 2 3 2 2 3" xfId="14624"/>
    <cellStyle name="40% - Accent3 4 2 3 2 2 4" xfId="18883"/>
    <cellStyle name="40% - Accent3 4 2 3 2 2 5" xfId="23102"/>
    <cellStyle name="40% - Accent3 4 2 3 2 2 6" xfId="27297"/>
    <cellStyle name="40% - Accent3 4 2 3 2 2 7" xfId="31193"/>
    <cellStyle name="40% - Accent3 4 2 3 2 3" xfId="8706"/>
    <cellStyle name="40% - Accent3 4 2 3 2 4" xfId="12991"/>
    <cellStyle name="40% - Accent3 4 2 3 2 5" xfId="17263"/>
    <cellStyle name="40% - Accent3 4 2 3 2 6" xfId="21498"/>
    <cellStyle name="40% - Accent3 4 2 3 2 7" xfId="25736"/>
    <cellStyle name="40% - Accent3 4 2 3 2 8" xfId="29814"/>
    <cellStyle name="40% - Accent3 4 2 3 2 9" xfId="3730"/>
    <cellStyle name="40% - Accent3 4 2 3 3" xfId="2881"/>
    <cellStyle name="40% - Accent3 4 2 3 3 2" xfId="7858"/>
    <cellStyle name="40% - Accent3 4 2 3 3 3" xfId="12147"/>
    <cellStyle name="40% - Accent3 4 2 3 3 4" xfId="16423"/>
    <cellStyle name="40% - Accent3 4 2 3 3 5" xfId="20663"/>
    <cellStyle name="40% - Accent3 4 2 3 3 6" xfId="24912"/>
    <cellStyle name="40% - Accent3 4 2 3 3 7" xfId="29007"/>
    <cellStyle name="40% - Accent3 4 2 3 4" xfId="4716"/>
    <cellStyle name="40% - Accent3 4 2 3 4 2" xfId="9690"/>
    <cellStyle name="40% - Accent3 4 2 3 4 3" xfId="13967"/>
    <cellStyle name="40% - Accent3 4 2 3 4 4" xfId="18226"/>
    <cellStyle name="40% - Accent3 4 2 3 4 5" xfId="22445"/>
    <cellStyle name="40% - Accent3 4 2 3 4 6" xfId="26640"/>
    <cellStyle name="40% - Accent3 4 2 3 4 7" xfId="30536"/>
    <cellStyle name="40% - Accent3 4 2 3 5" xfId="6064"/>
    <cellStyle name="40% - Accent3 4 2 3 5 2" xfId="11036"/>
    <cellStyle name="40% - Accent3 4 2 3 5 3" xfId="15314"/>
    <cellStyle name="40% - Accent3 4 2 3 5 4" xfId="19571"/>
    <cellStyle name="40% - Accent3 4 2 3 5 5" xfId="23788"/>
    <cellStyle name="40% - Accent3 4 2 3 5 6" xfId="27974"/>
    <cellStyle name="40% - Accent3 4 2 3 5 7" xfId="31853"/>
    <cellStyle name="40% - Accent3 4 2 3 6" xfId="6982"/>
    <cellStyle name="40% - Accent3 4 2 3 7" xfId="11274"/>
    <cellStyle name="40% - Accent3 4 2 3 8" xfId="15552"/>
    <cellStyle name="40% - Accent3 4 2 3 9" xfId="19809"/>
    <cellStyle name="40% - Accent3 4 2 4" xfId="1013"/>
    <cellStyle name="40% - Accent3 4 2 4 2" xfId="5044"/>
    <cellStyle name="40% - Accent3 4 2 4 2 2" xfId="10018"/>
    <cellStyle name="40% - Accent3 4 2 4 2 3" xfId="14295"/>
    <cellStyle name="40% - Accent3 4 2 4 2 4" xfId="18554"/>
    <cellStyle name="40% - Accent3 4 2 4 2 5" xfId="22773"/>
    <cellStyle name="40% - Accent3 4 2 4 2 6" xfId="26968"/>
    <cellStyle name="40% - Accent3 4 2 4 2 7" xfId="30864"/>
    <cellStyle name="40% - Accent3 4 2 4 3" xfId="8241"/>
    <cellStyle name="40% - Accent3 4 2 4 4" xfId="12526"/>
    <cellStyle name="40% - Accent3 4 2 4 5" xfId="16799"/>
    <cellStyle name="40% - Accent3 4 2 4 6" xfId="21035"/>
    <cellStyle name="40% - Accent3 4 2 4 7" xfId="25273"/>
    <cellStyle name="40% - Accent3 4 2 4 8" xfId="29351"/>
    <cellStyle name="40% - Accent3 4 2 4 9" xfId="3265"/>
    <cellStyle name="40% - Accent3 4 2 5" xfId="2381"/>
    <cellStyle name="40% - Accent3 4 2 5 2" xfId="7359"/>
    <cellStyle name="40% - Accent3 4 2 5 3" xfId="11648"/>
    <cellStyle name="40% - Accent3 4 2 5 4" xfId="15926"/>
    <cellStyle name="40% - Accent3 4 2 5 5" xfId="20175"/>
    <cellStyle name="40% - Accent3 4 2 5 6" xfId="24423"/>
    <cellStyle name="40% - Accent3 4 2 5 7" xfId="28543"/>
    <cellStyle name="40% - Accent3 4 2 6" xfId="4386"/>
    <cellStyle name="40% - Accent3 4 2 6 2" xfId="9360"/>
    <cellStyle name="40% - Accent3 4 2 6 3" xfId="13637"/>
    <cellStyle name="40% - Accent3 4 2 6 4" xfId="17897"/>
    <cellStyle name="40% - Accent3 4 2 6 5" xfId="22115"/>
    <cellStyle name="40% - Accent3 4 2 6 6" xfId="26311"/>
    <cellStyle name="40% - Accent3 4 2 6 7" xfId="30207"/>
    <cellStyle name="40% - Accent3 4 2 7" xfId="5735"/>
    <cellStyle name="40% - Accent3 4 2 7 2" xfId="10707"/>
    <cellStyle name="40% - Accent3 4 2 7 3" xfId="14985"/>
    <cellStyle name="40% - Accent3 4 2 7 4" xfId="19242"/>
    <cellStyle name="40% - Accent3 4 2 7 5" xfId="23459"/>
    <cellStyle name="40% - Accent3 4 2 7 6" xfId="27645"/>
    <cellStyle name="40% - Accent3 4 2 7 7" xfId="31524"/>
    <cellStyle name="40% - Accent3 4 2 8" xfId="6600"/>
    <cellStyle name="40% - Accent3 4 2 9" xfId="8983"/>
    <cellStyle name="40% - Accent3 4 3" xfId="404"/>
    <cellStyle name="40% - Accent3 4 3 10" xfId="15956"/>
    <cellStyle name="40% - Accent3 4 3 11" xfId="21995"/>
    <cellStyle name="40% - Accent3 4 3 12" xfId="24452"/>
    <cellStyle name="40% - Accent3 4 3 13" xfId="1767"/>
    <cellStyle name="40% - Accent3 4 3 2" xfId="778"/>
    <cellStyle name="40% - Accent3 4 3 2 10" xfId="24153"/>
    <cellStyle name="40% - Accent3 4 3 2 11" xfId="28305"/>
    <cellStyle name="40% - Accent3 4 3 2 12" xfId="2097"/>
    <cellStyle name="40% - Accent3 4 3 2 2" xfId="1435"/>
    <cellStyle name="40% - Accent3 4 3 2 2 2" xfId="5466"/>
    <cellStyle name="40% - Accent3 4 3 2 2 2 2" xfId="10440"/>
    <cellStyle name="40% - Accent3 4 3 2 2 2 3" xfId="14717"/>
    <cellStyle name="40% - Accent3 4 3 2 2 2 4" xfId="18976"/>
    <cellStyle name="40% - Accent3 4 3 2 2 2 5" xfId="23195"/>
    <cellStyle name="40% - Accent3 4 3 2 2 2 6" xfId="27390"/>
    <cellStyle name="40% - Accent3 4 3 2 2 2 7" xfId="31286"/>
    <cellStyle name="40% - Accent3 4 3 2 2 3" xfId="8707"/>
    <cellStyle name="40% - Accent3 4 3 2 2 4" xfId="12992"/>
    <cellStyle name="40% - Accent3 4 3 2 2 5" xfId="17264"/>
    <cellStyle name="40% - Accent3 4 3 2 2 6" xfId="21499"/>
    <cellStyle name="40% - Accent3 4 3 2 2 7" xfId="25737"/>
    <cellStyle name="40% - Accent3 4 3 2 2 8" xfId="29815"/>
    <cellStyle name="40% - Accent3 4 3 2 2 9" xfId="3731"/>
    <cellStyle name="40% - Accent3 4 3 2 3" xfId="2882"/>
    <cellStyle name="40% - Accent3 4 3 2 3 2" xfId="7859"/>
    <cellStyle name="40% - Accent3 4 3 2 3 3" xfId="12148"/>
    <cellStyle name="40% - Accent3 4 3 2 3 4" xfId="16424"/>
    <cellStyle name="40% - Accent3 4 3 2 3 5" xfId="20664"/>
    <cellStyle name="40% - Accent3 4 3 2 3 6" xfId="24913"/>
    <cellStyle name="40% - Accent3 4 3 2 3 7" xfId="29008"/>
    <cellStyle name="40% - Accent3 4 3 2 4" xfId="4809"/>
    <cellStyle name="40% - Accent3 4 3 2 4 2" xfId="9783"/>
    <cellStyle name="40% - Accent3 4 3 2 4 3" xfId="14060"/>
    <cellStyle name="40% - Accent3 4 3 2 4 4" xfId="18319"/>
    <cellStyle name="40% - Accent3 4 3 2 4 5" xfId="22538"/>
    <cellStyle name="40% - Accent3 4 3 2 4 6" xfId="26733"/>
    <cellStyle name="40% - Accent3 4 3 2 4 7" xfId="30629"/>
    <cellStyle name="40% - Accent3 4 3 2 5" xfId="6157"/>
    <cellStyle name="40% - Accent3 4 3 2 5 2" xfId="11129"/>
    <cellStyle name="40% - Accent3 4 3 2 5 3" xfId="15407"/>
    <cellStyle name="40% - Accent3 4 3 2 5 4" xfId="19664"/>
    <cellStyle name="40% - Accent3 4 3 2 5 5" xfId="23881"/>
    <cellStyle name="40% - Accent3 4 3 2 5 6" xfId="28067"/>
    <cellStyle name="40% - Accent3 4 3 2 5 7" xfId="31946"/>
    <cellStyle name="40% - Accent3 4 3 2 6" xfId="7075"/>
    <cellStyle name="40% - Accent3 4 3 2 7" xfId="11367"/>
    <cellStyle name="40% - Accent3 4 3 2 8" xfId="15645"/>
    <cellStyle name="40% - Accent3 4 3 2 9" xfId="19902"/>
    <cellStyle name="40% - Accent3 4 3 3" xfId="1106"/>
    <cellStyle name="40% - Accent3 4 3 3 2" xfId="5137"/>
    <cellStyle name="40% - Accent3 4 3 3 2 2" xfId="10111"/>
    <cellStyle name="40% - Accent3 4 3 3 2 3" xfId="14388"/>
    <cellStyle name="40% - Accent3 4 3 3 2 4" xfId="18647"/>
    <cellStyle name="40% - Accent3 4 3 3 2 5" xfId="22866"/>
    <cellStyle name="40% - Accent3 4 3 3 2 6" xfId="27061"/>
    <cellStyle name="40% - Accent3 4 3 3 2 7" xfId="30957"/>
    <cellStyle name="40% - Accent3 4 3 3 3" xfId="8332"/>
    <cellStyle name="40% - Accent3 4 3 3 4" xfId="12617"/>
    <cellStyle name="40% - Accent3 4 3 3 5" xfId="16889"/>
    <cellStyle name="40% - Accent3 4 3 3 6" xfId="21124"/>
    <cellStyle name="40% - Accent3 4 3 3 7" xfId="25362"/>
    <cellStyle name="40% - Accent3 4 3 3 8" xfId="29440"/>
    <cellStyle name="40% - Accent3 4 3 3 9" xfId="3356"/>
    <cellStyle name="40% - Accent3 4 3 4" xfId="2495"/>
    <cellStyle name="40% - Accent3 4 3 4 2" xfId="7472"/>
    <cellStyle name="40% - Accent3 4 3 4 3" xfId="11761"/>
    <cellStyle name="40% - Accent3 4 3 4 4" xfId="16039"/>
    <cellStyle name="40% - Accent3 4 3 4 5" xfId="20282"/>
    <cellStyle name="40% - Accent3 4 3 4 6" xfId="24528"/>
    <cellStyle name="40% - Accent3 4 3 4 7" xfId="28633"/>
    <cellStyle name="40% - Accent3 4 3 5" xfId="4479"/>
    <cellStyle name="40% - Accent3 4 3 5 2" xfId="9453"/>
    <cellStyle name="40% - Accent3 4 3 5 3" xfId="13730"/>
    <cellStyle name="40% - Accent3 4 3 5 4" xfId="17990"/>
    <cellStyle name="40% - Accent3 4 3 5 5" xfId="22208"/>
    <cellStyle name="40% - Accent3 4 3 5 6" xfId="26404"/>
    <cellStyle name="40% - Accent3 4 3 5 7" xfId="30300"/>
    <cellStyle name="40% - Accent3 4 3 6" xfId="5828"/>
    <cellStyle name="40% - Accent3 4 3 6 2" xfId="10800"/>
    <cellStyle name="40% - Accent3 4 3 6 3" xfId="15078"/>
    <cellStyle name="40% - Accent3 4 3 6 4" xfId="19335"/>
    <cellStyle name="40% - Accent3 4 3 6 5" xfId="23552"/>
    <cellStyle name="40% - Accent3 4 3 6 6" xfId="27738"/>
    <cellStyle name="40% - Accent3 4 3 6 7" xfId="31617"/>
    <cellStyle name="40% - Accent3 4 3 7" xfId="6702"/>
    <cellStyle name="40% - Accent3 4 3 8" xfId="7389"/>
    <cellStyle name="40% - Accent3 4 3 9" xfId="11678"/>
    <cellStyle name="40% - Accent3 4 4" xfId="518"/>
    <cellStyle name="40% - Accent3 4 4 10" xfId="19133"/>
    <cellStyle name="40% - Accent3 4 4 11" xfId="13410"/>
    <cellStyle name="40% - Accent3 4 4 12" xfId="27544"/>
    <cellStyle name="40% - Accent3 4 4 13" xfId="1881"/>
    <cellStyle name="40% - Accent3 4 4 2" xfId="892"/>
    <cellStyle name="40% - Accent3 4 4 2 10" xfId="24267"/>
    <cellStyle name="40% - Accent3 4 4 2 11" xfId="28419"/>
    <cellStyle name="40% - Accent3 4 4 2 12" xfId="2211"/>
    <cellStyle name="40% - Accent3 4 4 2 2" xfId="1549"/>
    <cellStyle name="40% - Accent3 4 4 2 2 2" xfId="5580"/>
    <cellStyle name="40% - Accent3 4 4 2 2 2 2" xfId="10554"/>
    <cellStyle name="40% - Accent3 4 4 2 2 2 3" xfId="14831"/>
    <cellStyle name="40% - Accent3 4 4 2 2 2 4" xfId="19090"/>
    <cellStyle name="40% - Accent3 4 4 2 2 2 5" xfId="23309"/>
    <cellStyle name="40% - Accent3 4 4 2 2 2 6" xfId="27504"/>
    <cellStyle name="40% - Accent3 4 4 2 2 2 7" xfId="31400"/>
    <cellStyle name="40% - Accent3 4 4 2 2 3" xfId="8708"/>
    <cellStyle name="40% - Accent3 4 4 2 2 4" xfId="12993"/>
    <cellStyle name="40% - Accent3 4 4 2 2 5" xfId="17265"/>
    <cellStyle name="40% - Accent3 4 4 2 2 6" xfId="21500"/>
    <cellStyle name="40% - Accent3 4 4 2 2 7" xfId="25738"/>
    <cellStyle name="40% - Accent3 4 4 2 2 8" xfId="29816"/>
    <cellStyle name="40% - Accent3 4 4 2 2 9" xfId="3732"/>
    <cellStyle name="40% - Accent3 4 4 2 3" xfId="2883"/>
    <cellStyle name="40% - Accent3 4 4 2 3 2" xfId="7860"/>
    <cellStyle name="40% - Accent3 4 4 2 3 3" xfId="12149"/>
    <cellStyle name="40% - Accent3 4 4 2 3 4" xfId="16425"/>
    <cellStyle name="40% - Accent3 4 4 2 3 5" xfId="20665"/>
    <cellStyle name="40% - Accent3 4 4 2 3 6" xfId="24914"/>
    <cellStyle name="40% - Accent3 4 4 2 3 7" xfId="29009"/>
    <cellStyle name="40% - Accent3 4 4 2 4" xfId="4923"/>
    <cellStyle name="40% - Accent3 4 4 2 4 2" xfId="9897"/>
    <cellStyle name="40% - Accent3 4 4 2 4 3" xfId="14174"/>
    <cellStyle name="40% - Accent3 4 4 2 4 4" xfId="18433"/>
    <cellStyle name="40% - Accent3 4 4 2 4 5" xfId="22652"/>
    <cellStyle name="40% - Accent3 4 4 2 4 6" xfId="26847"/>
    <cellStyle name="40% - Accent3 4 4 2 4 7" xfId="30743"/>
    <cellStyle name="40% - Accent3 4 4 2 5" xfId="6271"/>
    <cellStyle name="40% - Accent3 4 4 2 5 2" xfId="11243"/>
    <cellStyle name="40% - Accent3 4 4 2 5 3" xfId="15521"/>
    <cellStyle name="40% - Accent3 4 4 2 5 4" xfId="19778"/>
    <cellStyle name="40% - Accent3 4 4 2 5 5" xfId="23995"/>
    <cellStyle name="40% - Accent3 4 4 2 5 6" xfId="28181"/>
    <cellStyle name="40% - Accent3 4 4 2 5 7" xfId="32060"/>
    <cellStyle name="40% - Accent3 4 4 2 6" xfId="7189"/>
    <cellStyle name="40% - Accent3 4 4 2 7" xfId="11481"/>
    <cellStyle name="40% - Accent3 4 4 2 8" xfId="15759"/>
    <cellStyle name="40% - Accent3 4 4 2 9" xfId="20016"/>
    <cellStyle name="40% - Accent3 4 4 3" xfId="1220"/>
    <cellStyle name="40% - Accent3 4 4 3 2" xfId="5251"/>
    <cellStyle name="40% - Accent3 4 4 3 2 2" xfId="10225"/>
    <cellStyle name="40% - Accent3 4 4 3 2 3" xfId="14502"/>
    <cellStyle name="40% - Accent3 4 4 3 2 4" xfId="18761"/>
    <cellStyle name="40% - Accent3 4 4 3 2 5" xfId="22980"/>
    <cellStyle name="40% - Accent3 4 4 3 2 6" xfId="27175"/>
    <cellStyle name="40% - Accent3 4 4 3 2 7" xfId="31071"/>
    <cellStyle name="40% - Accent3 4 4 3 3" xfId="8461"/>
    <cellStyle name="40% - Accent3 4 4 3 4" xfId="12746"/>
    <cellStyle name="40% - Accent3 4 4 3 5" xfId="17018"/>
    <cellStyle name="40% - Accent3 4 4 3 6" xfId="21253"/>
    <cellStyle name="40% - Accent3 4 4 3 7" xfId="25491"/>
    <cellStyle name="40% - Accent3 4 4 3 8" xfId="29569"/>
    <cellStyle name="40% - Accent3 4 4 3 9" xfId="3485"/>
    <cellStyle name="40% - Accent3 4 4 4" xfId="2628"/>
    <cellStyle name="40% - Accent3 4 4 4 2" xfId="7605"/>
    <cellStyle name="40% - Accent3 4 4 4 3" xfId="11894"/>
    <cellStyle name="40% - Accent3 4 4 4 4" xfId="16170"/>
    <cellStyle name="40% - Accent3 4 4 4 5" xfId="20412"/>
    <cellStyle name="40% - Accent3 4 4 4 6" xfId="24659"/>
    <cellStyle name="40% - Accent3 4 4 4 7" xfId="28762"/>
    <cellStyle name="40% - Accent3 4 4 5" xfId="4593"/>
    <cellStyle name="40% - Accent3 4 4 5 2" xfId="9567"/>
    <cellStyle name="40% - Accent3 4 4 5 3" xfId="13844"/>
    <cellStyle name="40% - Accent3 4 4 5 4" xfId="18104"/>
    <cellStyle name="40% - Accent3 4 4 5 5" xfId="22322"/>
    <cellStyle name="40% - Accent3 4 4 5 6" xfId="26518"/>
    <cellStyle name="40% - Accent3 4 4 5 7" xfId="30414"/>
    <cellStyle name="40% - Accent3 4 4 6" xfId="5942"/>
    <cellStyle name="40% - Accent3 4 4 6 2" xfId="10914"/>
    <cellStyle name="40% - Accent3 4 4 6 3" xfId="15192"/>
    <cellStyle name="40% - Accent3 4 4 6 4" xfId="19449"/>
    <cellStyle name="40% - Accent3 4 4 6 5" xfId="23666"/>
    <cellStyle name="40% - Accent3 4 4 6 6" xfId="27852"/>
    <cellStyle name="40% - Accent3 4 4 6 7" xfId="31731"/>
    <cellStyle name="40% - Accent3 4 4 7" xfId="6816"/>
    <cellStyle name="40% - Accent3 4 4 8" xfId="10597"/>
    <cellStyle name="40% - Accent3 4 4 9" xfId="14875"/>
    <cellStyle name="40% - Accent3 4 5" xfId="619"/>
    <cellStyle name="40% - Accent3 4 5 10" xfId="17534"/>
    <cellStyle name="40% - Accent3 4 5 11" xfId="20519"/>
    <cellStyle name="40% - Accent3 4 5 12" xfId="25999"/>
    <cellStyle name="40% - Accent3 4 5 13" xfId="1938"/>
    <cellStyle name="40% - Accent3 4 5 2" xfId="1276"/>
    <cellStyle name="40% - Accent3 4 5 2 10" xfId="2885"/>
    <cellStyle name="40% - Accent3 4 5 2 2" xfId="3734"/>
    <cellStyle name="40% - Accent3 4 5 2 2 2" xfId="8710"/>
    <cellStyle name="40% - Accent3 4 5 2 2 3" xfId="12995"/>
    <cellStyle name="40% - Accent3 4 5 2 2 4" xfId="17267"/>
    <cellStyle name="40% - Accent3 4 5 2 2 5" xfId="21502"/>
    <cellStyle name="40% - Accent3 4 5 2 2 6" xfId="25740"/>
    <cellStyle name="40% - Accent3 4 5 2 2 7" xfId="29818"/>
    <cellStyle name="40% - Accent3 4 5 2 3" xfId="5307"/>
    <cellStyle name="40% - Accent3 4 5 2 3 2" xfId="10281"/>
    <cellStyle name="40% - Accent3 4 5 2 3 3" xfId="14558"/>
    <cellStyle name="40% - Accent3 4 5 2 3 4" xfId="18817"/>
    <cellStyle name="40% - Accent3 4 5 2 3 5" xfId="23036"/>
    <cellStyle name="40% - Accent3 4 5 2 3 6" xfId="27231"/>
    <cellStyle name="40% - Accent3 4 5 2 3 7" xfId="31127"/>
    <cellStyle name="40% - Accent3 4 5 2 4" xfId="7862"/>
    <cellStyle name="40% - Accent3 4 5 2 5" xfId="12151"/>
    <cellStyle name="40% - Accent3 4 5 2 6" xfId="16427"/>
    <cellStyle name="40% - Accent3 4 5 2 7" xfId="20667"/>
    <cellStyle name="40% - Accent3 4 5 2 8" xfId="24916"/>
    <cellStyle name="40% - Accent3 4 5 2 9" xfId="29011"/>
    <cellStyle name="40% - Accent3 4 5 3" xfId="3733"/>
    <cellStyle name="40% - Accent3 4 5 3 2" xfId="8709"/>
    <cellStyle name="40% - Accent3 4 5 3 3" xfId="12994"/>
    <cellStyle name="40% - Accent3 4 5 3 4" xfId="17266"/>
    <cellStyle name="40% - Accent3 4 5 3 5" xfId="21501"/>
    <cellStyle name="40% - Accent3 4 5 3 6" xfId="25739"/>
    <cellStyle name="40% - Accent3 4 5 3 7" xfId="29817"/>
    <cellStyle name="40% - Accent3 4 5 4" xfId="2884"/>
    <cellStyle name="40% - Accent3 4 5 4 2" xfId="7861"/>
    <cellStyle name="40% - Accent3 4 5 4 3" xfId="12150"/>
    <cellStyle name="40% - Accent3 4 5 4 4" xfId="16426"/>
    <cellStyle name="40% - Accent3 4 5 4 5" xfId="20666"/>
    <cellStyle name="40% - Accent3 4 5 4 6" xfId="24915"/>
    <cellStyle name="40% - Accent3 4 5 4 7" xfId="29010"/>
    <cellStyle name="40% - Accent3 4 5 5" xfId="4650"/>
    <cellStyle name="40% - Accent3 4 5 5 2" xfId="9624"/>
    <cellStyle name="40% - Accent3 4 5 5 3" xfId="13901"/>
    <cellStyle name="40% - Accent3 4 5 5 4" xfId="18160"/>
    <cellStyle name="40% - Accent3 4 5 5 5" xfId="22379"/>
    <cellStyle name="40% - Accent3 4 5 5 6" xfId="26574"/>
    <cellStyle name="40% - Accent3 4 5 5 7" xfId="30470"/>
    <cellStyle name="40% - Accent3 4 5 6" xfId="5998"/>
    <cellStyle name="40% - Accent3 4 5 6 2" xfId="10970"/>
    <cellStyle name="40% - Accent3 4 5 6 3" xfId="15248"/>
    <cellStyle name="40% - Accent3 4 5 6 4" xfId="19505"/>
    <cellStyle name="40% - Accent3 4 5 6 5" xfId="23722"/>
    <cellStyle name="40% - Accent3 4 5 6 6" xfId="27908"/>
    <cellStyle name="40% - Accent3 4 5 6 7" xfId="31787"/>
    <cellStyle name="40% - Accent3 4 5 7" xfId="6916"/>
    <cellStyle name="40% - Accent3 4 5 8" xfId="8978"/>
    <cellStyle name="40% - Accent3 4 5 9" xfId="13260"/>
    <cellStyle name="40% - Accent3 4 6" xfId="947"/>
    <cellStyle name="40% - Accent3 4 6 10" xfId="2886"/>
    <cellStyle name="40% - Accent3 4 6 2" xfId="3735"/>
    <cellStyle name="40% - Accent3 4 6 2 2" xfId="8711"/>
    <cellStyle name="40% - Accent3 4 6 2 3" xfId="12996"/>
    <cellStyle name="40% - Accent3 4 6 2 4" xfId="17268"/>
    <cellStyle name="40% - Accent3 4 6 2 5" xfId="21503"/>
    <cellStyle name="40% - Accent3 4 6 2 6" xfId="25741"/>
    <cellStyle name="40% - Accent3 4 6 2 7" xfId="29819"/>
    <cellStyle name="40% - Accent3 4 6 3" xfId="4978"/>
    <cellStyle name="40% - Accent3 4 6 3 2" xfId="9952"/>
    <cellStyle name="40% - Accent3 4 6 3 3" xfId="14229"/>
    <cellStyle name="40% - Accent3 4 6 3 4" xfId="18488"/>
    <cellStyle name="40% - Accent3 4 6 3 5" xfId="22707"/>
    <cellStyle name="40% - Accent3 4 6 3 6" xfId="26902"/>
    <cellStyle name="40% - Accent3 4 6 3 7" xfId="30798"/>
    <cellStyle name="40% - Accent3 4 6 4" xfId="7863"/>
    <cellStyle name="40% - Accent3 4 6 5" xfId="12152"/>
    <cellStyle name="40% - Accent3 4 6 6" xfId="16428"/>
    <cellStyle name="40% - Accent3 4 6 7" xfId="20668"/>
    <cellStyle name="40% - Accent3 4 6 8" xfId="24917"/>
    <cellStyle name="40% - Accent3 4 6 9" xfId="29012"/>
    <cellStyle name="40% - Accent3 4 7" xfId="3190"/>
    <cellStyle name="40% - Accent3 4 7 2" xfId="8166"/>
    <cellStyle name="40% - Accent3 4 7 3" xfId="12452"/>
    <cellStyle name="40% - Accent3 4 7 4" xfId="16726"/>
    <cellStyle name="40% - Accent3 4 7 5" xfId="20962"/>
    <cellStyle name="40% - Accent3 4 7 6" xfId="25202"/>
    <cellStyle name="40% - Accent3 4 7 7" xfId="29283"/>
    <cellStyle name="40% - Accent3 4 8" xfId="2277"/>
    <cellStyle name="40% - Accent3 4 8 2" xfId="7255"/>
    <cellStyle name="40% - Accent3 4 8 3" xfId="11545"/>
    <cellStyle name="40% - Accent3 4 8 4" xfId="15824"/>
    <cellStyle name="40% - Accent3 4 8 5" xfId="20079"/>
    <cellStyle name="40% - Accent3 4 8 6" xfId="24329"/>
    <cellStyle name="40% - Accent3 4 8 7" xfId="28474"/>
    <cellStyle name="40% - Accent3 4 9" xfId="4315"/>
    <cellStyle name="40% - Accent3 4 9 2" xfId="9289"/>
    <cellStyle name="40% - Accent3 4 9 3" xfId="13566"/>
    <cellStyle name="40% - Accent3 4 9 4" xfId="17826"/>
    <cellStyle name="40% - Accent3 4 9 5" xfId="22045"/>
    <cellStyle name="40% - Accent3 4 9 6" xfId="26243"/>
    <cellStyle name="40% - Accent3 4 9 7" xfId="30140"/>
    <cellStyle name="40% - Accent3 5" xfId="213"/>
    <cellStyle name="40% - Accent3 5 2" xfId="435"/>
    <cellStyle name="40% - Accent3 5 2 10" xfId="17608"/>
    <cellStyle name="40% - Accent3 5 2 11" xfId="26143"/>
    <cellStyle name="40% - Accent3 5 2 12" xfId="1798"/>
    <cellStyle name="40% - Accent3 5 2 2" xfId="809"/>
    <cellStyle name="40% - Accent3 5 2 2 10" xfId="19933"/>
    <cellStyle name="40% - Accent3 5 2 2 11" xfId="24184"/>
    <cellStyle name="40% - Accent3 5 2 2 12" xfId="28336"/>
    <cellStyle name="40% - Accent3 5 2 2 13" xfId="2128"/>
    <cellStyle name="40% - Accent3 5 2 2 2" xfId="1466"/>
    <cellStyle name="40% - Accent3 5 2 2 2 10" xfId="2887"/>
    <cellStyle name="40% - Accent3 5 2 2 2 2" xfId="3736"/>
    <cellStyle name="40% - Accent3 5 2 2 2 2 2" xfId="8712"/>
    <cellStyle name="40% - Accent3 5 2 2 2 2 3" xfId="12997"/>
    <cellStyle name="40% - Accent3 5 2 2 2 2 4" xfId="17269"/>
    <cellStyle name="40% - Accent3 5 2 2 2 2 5" xfId="21504"/>
    <cellStyle name="40% - Accent3 5 2 2 2 2 6" xfId="25742"/>
    <cellStyle name="40% - Accent3 5 2 2 2 2 7" xfId="29820"/>
    <cellStyle name="40% - Accent3 5 2 2 2 3" xfId="5497"/>
    <cellStyle name="40% - Accent3 5 2 2 2 3 2" xfId="10471"/>
    <cellStyle name="40% - Accent3 5 2 2 2 3 3" xfId="14748"/>
    <cellStyle name="40% - Accent3 5 2 2 2 3 4" xfId="19007"/>
    <cellStyle name="40% - Accent3 5 2 2 2 3 5" xfId="23226"/>
    <cellStyle name="40% - Accent3 5 2 2 2 3 6" xfId="27421"/>
    <cellStyle name="40% - Accent3 5 2 2 2 3 7" xfId="31317"/>
    <cellStyle name="40% - Accent3 5 2 2 2 4" xfId="7864"/>
    <cellStyle name="40% - Accent3 5 2 2 2 5" xfId="12153"/>
    <cellStyle name="40% - Accent3 5 2 2 2 6" xfId="16429"/>
    <cellStyle name="40% - Accent3 5 2 2 2 7" xfId="20669"/>
    <cellStyle name="40% - Accent3 5 2 2 2 8" xfId="24918"/>
    <cellStyle name="40% - Accent3 5 2 2 2 9" xfId="29013"/>
    <cellStyle name="40% - Accent3 5 2 2 3" xfId="3387"/>
    <cellStyle name="40% - Accent3 5 2 2 3 2" xfId="8363"/>
    <cellStyle name="40% - Accent3 5 2 2 3 3" xfId="12648"/>
    <cellStyle name="40% - Accent3 5 2 2 3 4" xfId="16920"/>
    <cellStyle name="40% - Accent3 5 2 2 3 5" xfId="21155"/>
    <cellStyle name="40% - Accent3 5 2 2 3 6" xfId="25393"/>
    <cellStyle name="40% - Accent3 5 2 2 3 7" xfId="29471"/>
    <cellStyle name="40% - Accent3 5 2 2 4" xfId="2526"/>
    <cellStyle name="40% - Accent3 5 2 2 4 2" xfId="7503"/>
    <cellStyle name="40% - Accent3 5 2 2 4 3" xfId="11792"/>
    <cellStyle name="40% - Accent3 5 2 2 4 4" xfId="16070"/>
    <cellStyle name="40% - Accent3 5 2 2 4 5" xfId="20313"/>
    <cellStyle name="40% - Accent3 5 2 2 4 6" xfId="24559"/>
    <cellStyle name="40% - Accent3 5 2 2 4 7" xfId="28664"/>
    <cellStyle name="40% - Accent3 5 2 2 5" xfId="4840"/>
    <cellStyle name="40% - Accent3 5 2 2 5 2" xfId="9814"/>
    <cellStyle name="40% - Accent3 5 2 2 5 3" xfId="14091"/>
    <cellStyle name="40% - Accent3 5 2 2 5 4" xfId="18350"/>
    <cellStyle name="40% - Accent3 5 2 2 5 5" xfId="22569"/>
    <cellStyle name="40% - Accent3 5 2 2 5 6" xfId="26764"/>
    <cellStyle name="40% - Accent3 5 2 2 5 7" xfId="30660"/>
    <cellStyle name="40% - Accent3 5 2 2 6" xfId="6188"/>
    <cellStyle name="40% - Accent3 5 2 2 6 2" xfId="11160"/>
    <cellStyle name="40% - Accent3 5 2 2 6 3" xfId="15438"/>
    <cellStyle name="40% - Accent3 5 2 2 6 4" xfId="19695"/>
    <cellStyle name="40% - Accent3 5 2 2 6 5" xfId="23912"/>
    <cellStyle name="40% - Accent3 5 2 2 6 6" xfId="28098"/>
    <cellStyle name="40% - Accent3 5 2 2 6 7" xfId="31977"/>
    <cellStyle name="40% - Accent3 5 2 2 7" xfId="7106"/>
    <cellStyle name="40% - Accent3 5 2 2 8" xfId="11398"/>
    <cellStyle name="40% - Accent3 5 2 2 9" xfId="15676"/>
    <cellStyle name="40% - Accent3 5 2 3" xfId="1137"/>
    <cellStyle name="40% - Accent3 5 2 3 2" xfId="5168"/>
    <cellStyle name="40% - Accent3 5 2 3 2 2" xfId="10142"/>
    <cellStyle name="40% - Accent3 5 2 3 2 3" xfId="14419"/>
    <cellStyle name="40% - Accent3 5 2 3 2 4" xfId="18678"/>
    <cellStyle name="40% - Accent3 5 2 3 2 5" xfId="22897"/>
    <cellStyle name="40% - Accent3 5 2 3 2 6" xfId="27092"/>
    <cellStyle name="40% - Accent3 5 2 3 2 7" xfId="30988"/>
    <cellStyle name="40% - Accent3 5 2 3 3" xfId="2437"/>
    <cellStyle name="40% - Accent3 5 2 4" xfId="4510"/>
    <cellStyle name="40% - Accent3 5 2 4 2" xfId="9484"/>
    <cellStyle name="40% - Accent3 5 2 4 3" xfId="13761"/>
    <cellStyle name="40% - Accent3 5 2 4 4" xfId="18021"/>
    <cellStyle name="40% - Accent3 5 2 4 5" xfId="22239"/>
    <cellStyle name="40% - Accent3 5 2 4 6" xfId="26435"/>
    <cellStyle name="40% - Accent3 5 2 4 7" xfId="30331"/>
    <cellStyle name="40% - Accent3 5 2 5" xfId="5859"/>
    <cellStyle name="40% - Accent3 5 2 5 2" xfId="10831"/>
    <cellStyle name="40% - Accent3 5 2 5 3" xfId="15109"/>
    <cellStyle name="40% - Accent3 5 2 5 4" xfId="19366"/>
    <cellStyle name="40% - Accent3 5 2 5 5" xfId="23583"/>
    <cellStyle name="40% - Accent3 5 2 5 6" xfId="27769"/>
    <cellStyle name="40% - Accent3 5 2 5 7" xfId="31648"/>
    <cellStyle name="40% - Accent3 5 2 6" xfId="6733"/>
    <cellStyle name="40% - Accent3 5 2 7" xfId="9167"/>
    <cellStyle name="40% - Accent3 5 2 8" xfId="13447"/>
    <cellStyle name="40% - Accent3 5 2 9" xfId="17712"/>
    <cellStyle name="40% - Accent3 5 3" xfId="328"/>
    <cellStyle name="40% - Accent3 5 3 10" xfId="8961"/>
    <cellStyle name="40% - Accent3 5 3 11" xfId="24343"/>
    <cellStyle name="40% - Accent3 5 3 12" xfId="1700"/>
    <cellStyle name="40% - Accent3 5 3 2" xfId="711"/>
    <cellStyle name="40% - Accent3 5 3 2 10" xfId="28238"/>
    <cellStyle name="40% - Accent3 5 3 2 11" xfId="2030"/>
    <cellStyle name="40% - Accent3 5 3 2 2" xfId="1368"/>
    <cellStyle name="40% - Accent3 5 3 2 2 2" xfId="5399"/>
    <cellStyle name="40% - Accent3 5 3 2 2 2 2" xfId="10373"/>
    <cellStyle name="40% - Accent3 5 3 2 2 2 3" xfId="14650"/>
    <cellStyle name="40% - Accent3 5 3 2 2 2 4" xfId="18909"/>
    <cellStyle name="40% - Accent3 5 3 2 2 2 5" xfId="23128"/>
    <cellStyle name="40% - Accent3 5 3 2 2 2 6" xfId="27323"/>
    <cellStyle name="40% - Accent3 5 3 2 2 2 7" xfId="31219"/>
    <cellStyle name="40% - Accent3 5 3 2 2 3" xfId="8713"/>
    <cellStyle name="40% - Accent3 5 3 2 2 4" xfId="12998"/>
    <cellStyle name="40% - Accent3 5 3 2 2 5" xfId="17270"/>
    <cellStyle name="40% - Accent3 5 3 2 2 6" xfId="21505"/>
    <cellStyle name="40% - Accent3 5 3 2 2 7" xfId="25743"/>
    <cellStyle name="40% - Accent3 5 3 2 2 8" xfId="29821"/>
    <cellStyle name="40% - Accent3 5 3 2 2 9" xfId="3737"/>
    <cellStyle name="40% - Accent3 5 3 2 3" xfId="4742"/>
    <cellStyle name="40% - Accent3 5 3 2 3 2" xfId="9716"/>
    <cellStyle name="40% - Accent3 5 3 2 3 3" xfId="13993"/>
    <cellStyle name="40% - Accent3 5 3 2 3 4" xfId="18252"/>
    <cellStyle name="40% - Accent3 5 3 2 3 5" xfId="22471"/>
    <cellStyle name="40% - Accent3 5 3 2 3 6" xfId="26666"/>
    <cellStyle name="40% - Accent3 5 3 2 3 7" xfId="30562"/>
    <cellStyle name="40% - Accent3 5 3 2 4" xfId="6090"/>
    <cellStyle name="40% - Accent3 5 3 2 4 2" xfId="11062"/>
    <cellStyle name="40% - Accent3 5 3 2 4 3" xfId="15340"/>
    <cellStyle name="40% - Accent3 5 3 2 4 4" xfId="19597"/>
    <cellStyle name="40% - Accent3 5 3 2 4 5" xfId="23814"/>
    <cellStyle name="40% - Accent3 5 3 2 4 6" xfId="28000"/>
    <cellStyle name="40% - Accent3 5 3 2 4 7" xfId="31879"/>
    <cellStyle name="40% - Accent3 5 3 2 5" xfId="7008"/>
    <cellStyle name="40% - Accent3 5 3 2 6" xfId="11300"/>
    <cellStyle name="40% - Accent3 5 3 2 7" xfId="15578"/>
    <cellStyle name="40% - Accent3 5 3 2 8" xfId="19835"/>
    <cellStyle name="40% - Accent3 5 3 2 9" xfId="24086"/>
    <cellStyle name="40% - Accent3 5 3 3" xfId="1039"/>
    <cellStyle name="40% - Accent3 5 3 3 2" xfId="5070"/>
    <cellStyle name="40% - Accent3 5 3 3 2 2" xfId="10044"/>
    <cellStyle name="40% - Accent3 5 3 3 2 3" xfId="14321"/>
    <cellStyle name="40% - Accent3 5 3 3 2 4" xfId="18580"/>
    <cellStyle name="40% - Accent3 5 3 3 2 5" xfId="22799"/>
    <cellStyle name="40% - Accent3 5 3 3 2 6" xfId="26994"/>
    <cellStyle name="40% - Accent3 5 3 3 2 7" xfId="30890"/>
    <cellStyle name="40% - Accent3 5 3 3 3" xfId="7865"/>
    <cellStyle name="40% - Accent3 5 3 3 4" xfId="12154"/>
    <cellStyle name="40% - Accent3 5 3 3 5" xfId="16430"/>
    <cellStyle name="40% - Accent3 5 3 3 6" xfId="20670"/>
    <cellStyle name="40% - Accent3 5 3 3 7" xfId="24919"/>
    <cellStyle name="40% - Accent3 5 3 3 8" xfId="29014"/>
    <cellStyle name="40% - Accent3 5 3 3 9" xfId="2888"/>
    <cellStyle name="40% - Accent3 5 3 4" xfId="4412"/>
    <cellStyle name="40% - Accent3 5 3 4 2" xfId="9386"/>
    <cellStyle name="40% - Accent3 5 3 4 3" xfId="13663"/>
    <cellStyle name="40% - Accent3 5 3 4 4" xfId="17923"/>
    <cellStyle name="40% - Accent3 5 3 4 5" xfId="22141"/>
    <cellStyle name="40% - Accent3 5 3 4 6" xfId="26337"/>
    <cellStyle name="40% - Accent3 5 3 4 7" xfId="30233"/>
    <cellStyle name="40% - Accent3 5 3 5" xfId="5761"/>
    <cellStyle name="40% - Accent3 5 3 5 2" xfId="10733"/>
    <cellStyle name="40% - Accent3 5 3 5 3" xfId="15011"/>
    <cellStyle name="40% - Accent3 5 3 5 4" xfId="19268"/>
    <cellStyle name="40% - Accent3 5 3 5 5" xfId="23485"/>
    <cellStyle name="40% - Accent3 5 3 5 6" xfId="27671"/>
    <cellStyle name="40% - Accent3 5 3 5 7" xfId="31550"/>
    <cellStyle name="40% - Accent3 5 3 6" xfId="6626"/>
    <cellStyle name="40% - Accent3 5 3 7" xfId="7271"/>
    <cellStyle name="40% - Accent3 5 3 8" xfId="11561"/>
    <cellStyle name="40% - Accent3 5 3 9" xfId="15839"/>
    <cellStyle name="40% - Accent3 5 4" xfId="3226"/>
    <cellStyle name="40% - Accent3 5 4 2" xfId="8202"/>
    <cellStyle name="40% - Accent3 5 4 3" xfId="12488"/>
    <cellStyle name="40% - Accent3 5 4 4" xfId="16760"/>
    <cellStyle name="40% - Accent3 5 4 5" xfId="20998"/>
    <cellStyle name="40% - Accent3 5 4 6" xfId="25236"/>
    <cellStyle name="40% - Accent3 5 4 7" xfId="29317"/>
    <cellStyle name="40% - Accent3 5 5" xfId="2331"/>
    <cellStyle name="40% - Accent3 5 5 2" xfId="7309"/>
    <cellStyle name="40% - Accent3 5 5 3" xfId="11599"/>
    <cellStyle name="40% - Accent3 5 5 4" xfId="15877"/>
    <cellStyle name="40% - Accent3 5 5 5" xfId="20129"/>
    <cellStyle name="40% - Accent3 5 5 6" xfId="24378"/>
    <cellStyle name="40% - Accent3 5 5 7" xfId="28509"/>
    <cellStyle name="40% - Accent3 6" xfId="367"/>
    <cellStyle name="40% - Accent3 6 10" xfId="21820"/>
    <cellStyle name="40% - Accent3 6 11" xfId="24999"/>
    <cellStyle name="40% - Accent3 6 12" xfId="1730"/>
    <cellStyle name="40% - Accent3 6 2" xfId="741"/>
    <cellStyle name="40% - Accent3 6 2 10" xfId="19865"/>
    <cellStyle name="40% - Accent3 6 2 11" xfId="24116"/>
    <cellStyle name="40% - Accent3 6 2 12" xfId="28268"/>
    <cellStyle name="40% - Accent3 6 2 13" xfId="2060"/>
    <cellStyle name="40% - Accent3 6 2 2" xfId="1398"/>
    <cellStyle name="40% - Accent3 6 2 2 10" xfId="2889"/>
    <cellStyle name="40% - Accent3 6 2 2 2" xfId="3738"/>
    <cellStyle name="40% - Accent3 6 2 2 2 2" xfId="8714"/>
    <cellStyle name="40% - Accent3 6 2 2 2 3" xfId="12999"/>
    <cellStyle name="40% - Accent3 6 2 2 2 4" xfId="17271"/>
    <cellStyle name="40% - Accent3 6 2 2 2 5" xfId="21506"/>
    <cellStyle name="40% - Accent3 6 2 2 2 6" xfId="25744"/>
    <cellStyle name="40% - Accent3 6 2 2 2 7" xfId="29822"/>
    <cellStyle name="40% - Accent3 6 2 2 3" xfId="5429"/>
    <cellStyle name="40% - Accent3 6 2 2 3 2" xfId="10403"/>
    <cellStyle name="40% - Accent3 6 2 2 3 3" xfId="14680"/>
    <cellStyle name="40% - Accent3 6 2 2 3 4" xfId="18939"/>
    <cellStyle name="40% - Accent3 6 2 2 3 5" xfId="23158"/>
    <cellStyle name="40% - Accent3 6 2 2 3 6" xfId="27353"/>
    <cellStyle name="40% - Accent3 6 2 2 3 7" xfId="31249"/>
    <cellStyle name="40% - Accent3 6 2 2 4" xfId="7866"/>
    <cellStyle name="40% - Accent3 6 2 2 5" xfId="12155"/>
    <cellStyle name="40% - Accent3 6 2 2 6" xfId="16431"/>
    <cellStyle name="40% - Accent3 6 2 2 7" xfId="20671"/>
    <cellStyle name="40% - Accent3 6 2 2 8" xfId="24920"/>
    <cellStyle name="40% - Accent3 6 2 2 9" xfId="29015"/>
    <cellStyle name="40% - Accent3 6 2 3" xfId="3319"/>
    <cellStyle name="40% - Accent3 6 2 3 2" xfId="8295"/>
    <cellStyle name="40% - Accent3 6 2 3 3" xfId="12580"/>
    <cellStyle name="40% - Accent3 6 2 3 4" xfId="16852"/>
    <cellStyle name="40% - Accent3 6 2 3 5" xfId="21087"/>
    <cellStyle name="40% - Accent3 6 2 3 6" xfId="25325"/>
    <cellStyle name="40% - Accent3 6 2 3 7" xfId="29403"/>
    <cellStyle name="40% - Accent3 6 2 4" xfId="2458"/>
    <cellStyle name="40% - Accent3 6 2 4 2" xfId="7435"/>
    <cellStyle name="40% - Accent3 6 2 4 3" xfId="11724"/>
    <cellStyle name="40% - Accent3 6 2 4 4" xfId="16002"/>
    <cellStyle name="40% - Accent3 6 2 4 5" xfId="20245"/>
    <cellStyle name="40% - Accent3 6 2 4 6" xfId="24491"/>
    <cellStyle name="40% - Accent3 6 2 4 7" xfId="28596"/>
    <cellStyle name="40% - Accent3 6 2 5" xfId="4772"/>
    <cellStyle name="40% - Accent3 6 2 5 2" xfId="9746"/>
    <cellStyle name="40% - Accent3 6 2 5 3" xfId="14023"/>
    <cellStyle name="40% - Accent3 6 2 5 4" xfId="18282"/>
    <cellStyle name="40% - Accent3 6 2 5 5" xfId="22501"/>
    <cellStyle name="40% - Accent3 6 2 5 6" xfId="26696"/>
    <cellStyle name="40% - Accent3 6 2 5 7" xfId="30592"/>
    <cellStyle name="40% - Accent3 6 2 6" xfId="6120"/>
    <cellStyle name="40% - Accent3 6 2 6 2" xfId="11092"/>
    <cellStyle name="40% - Accent3 6 2 6 3" xfId="15370"/>
    <cellStyle name="40% - Accent3 6 2 6 4" xfId="19627"/>
    <cellStyle name="40% - Accent3 6 2 6 5" xfId="23844"/>
    <cellStyle name="40% - Accent3 6 2 6 6" xfId="28030"/>
    <cellStyle name="40% - Accent3 6 2 6 7" xfId="31909"/>
    <cellStyle name="40% - Accent3 6 2 7" xfId="7038"/>
    <cellStyle name="40% - Accent3 6 2 8" xfId="11330"/>
    <cellStyle name="40% - Accent3 6 2 9" xfId="15608"/>
    <cellStyle name="40% - Accent3 6 3" xfId="1069"/>
    <cellStyle name="40% - Accent3 6 3 2" xfId="5100"/>
    <cellStyle name="40% - Accent3 6 3 2 2" xfId="10074"/>
    <cellStyle name="40% - Accent3 6 3 2 3" xfId="14351"/>
    <cellStyle name="40% - Accent3 6 3 2 4" xfId="18610"/>
    <cellStyle name="40% - Accent3 6 3 2 5" xfId="22829"/>
    <cellStyle name="40% - Accent3 6 3 2 6" xfId="27024"/>
    <cellStyle name="40% - Accent3 6 3 2 7" xfId="30920"/>
    <cellStyle name="40% - Accent3 6 3 3" xfId="2347"/>
    <cellStyle name="40% - Accent3 6 4" xfId="4442"/>
    <cellStyle name="40% - Accent3 6 4 2" xfId="9416"/>
    <cellStyle name="40% - Accent3 6 4 3" xfId="13693"/>
    <cellStyle name="40% - Accent3 6 4 4" xfId="17953"/>
    <cellStyle name="40% - Accent3 6 4 5" xfId="22171"/>
    <cellStyle name="40% - Accent3 6 4 6" xfId="26367"/>
    <cellStyle name="40% - Accent3 6 4 7" xfId="30263"/>
    <cellStyle name="40% - Accent3 6 5" xfId="5791"/>
    <cellStyle name="40% - Accent3 6 5 2" xfId="10763"/>
    <cellStyle name="40% - Accent3 6 5 3" xfId="15041"/>
    <cellStyle name="40% - Accent3 6 5 4" xfId="19298"/>
    <cellStyle name="40% - Accent3 6 5 5" xfId="23515"/>
    <cellStyle name="40% - Accent3 6 5 6" xfId="27701"/>
    <cellStyle name="40% - Accent3 6 5 7" xfId="31580"/>
    <cellStyle name="40% - Accent3 6 6" xfId="6665"/>
    <cellStyle name="40% - Accent3 6 7" xfId="7948"/>
    <cellStyle name="40% - Accent3 6 8" xfId="12237"/>
    <cellStyle name="40% - Accent3 6 9" xfId="16513"/>
    <cellStyle name="40% - Accent3 7" xfId="557"/>
    <cellStyle name="40% - Accent3 7 2" xfId="2890"/>
    <cellStyle name="40% - Accent3 7 2 2" xfId="3739"/>
    <cellStyle name="40% - Accent3 7 2 2 2" xfId="8715"/>
    <cellStyle name="40% - Accent3 7 2 2 3" xfId="13000"/>
    <cellStyle name="40% - Accent3 7 2 2 4" xfId="17272"/>
    <cellStyle name="40% - Accent3 7 2 2 5" xfId="21507"/>
    <cellStyle name="40% - Accent3 7 2 2 6" xfId="25745"/>
    <cellStyle name="40% - Accent3 7 2 2 7" xfId="29823"/>
    <cellStyle name="40% - Accent3 7 2 3" xfId="7867"/>
    <cellStyle name="40% - Accent3 7 2 4" xfId="12156"/>
    <cellStyle name="40% - Accent3 7 2 5" xfId="16432"/>
    <cellStyle name="40% - Accent3 7 2 6" xfId="20672"/>
    <cellStyle name="40% - Accent3 7 2 7" xfId="24921"/>
    <cellStyle name="40% - Accent3 7 2 8" xfId="29016"/>
    <cellStyle name="40% - Accent3 7 3" xfId="3452"/>
    <cellStyle name="40% - Accent3 7 3 2" xfId="8428"/>
    <cellStyle name="40% - Accent3 7 3 3" xfId="12713"/>
    <cellStyle name="40% - Accent3 7 3 4" xfId="16985"/>
    <cellStyle name="40% - Accent3 7 3 5" xfId="21220"/>
    <cellStyle name="40% - Accent3 7 3 6" xfId="25458"/>
    <cellStyle name="40% - Accent3 7 3 7" xfId="29536"/>
    <cellStyle name="40% - Accent3 7 4" xfId="2593"/>
    <cellStyle name="40% - Accent3 7 4 2" xfId="7570"/>
    <cellStyle name="40% - Accent3 7 4 3" xfId="11859"/>
    <cellStyle name="40% - Accent3 7 4 4" xfId="16135"/>
    <cellStyle name="40% - Accent3 7 4 5" xfId="20378"/>
    <cellStyle name="40% - Accent3 7 4 6" xfId="24624"/>
    <cellStyle name="40% - Accent3 7 4 7" xfId="28729"/>
    <cellStyle name="40% - Accent3 8" xfId="2891"/>
    <cellStyle name="40% - Accent4" xfId="10" builtinId="43" customBuiltin="1"/>
    <cellStyle name="40% - Accent4 2" xfId="87"/>
    <cellStyle name="40% - Accent4 2 10" xfId="4298"/>
    <cellStyle name="40% - Accent4 2 10 2" xfId="9272"/>
    <cellStyle name="40% - Accent4 2 10 3" xfId="13549"/>
    <cellStyle name="40% - Accent4 2 10 4" xfId="17809"/>
    <cellStyle name="40% - Accent4 2 10 5" xfId="22028"/>
    <cellStyle name="40% - Accent4 2 10 6" xfId="26226"/>
    <cellStyle name="40% - Accent4 2 10 7" xfId="30123"/>
    <cellStyle name="40% - Accent4 2 11" xfId="5654"/>
    <cellStyle name="40% - Accent4 2 11 2" xfId="10626"/>
    <cellStyle name="40% - Accent4 2 11 3" xfId="14904"/>
    <cellStyle name="40% - Accent4 2 11 4" xfId="19161"/>
    <cellStyle name="40% - Accent4 2 11 5" xfId="23378"/>
    <cellStyle name="40% - Accent4 2 11 6" xfId="27564"/>
    <cellStyle name="40% - Accent4 2 11 7" xfId="31443"/>
    <cellStyle name="40% - Accent4 2 12" xfId="6387"/>
    <cellStyle name="40% - Accent4 2 13" xfId="7413"/>
    <cellStyle name="40% - Accent4 2 14" xfId="11701"/>
    <cellStyle name="40% - Accent4 2 15" xfId="15980"/>
    <cellStyle name="40% - Accent4 2 16" xfId="13290"/>
    <cellStyle name="40% - Accent4 2 17" xfId="24470"/>
    <cellStyle name="40% - Accent4 2 18" xfId="1588"/>
    <cellStyle name="40% - Accent4 2 2" xfId="173"/>
    <cellStyle name="40% - Accent4 2 2 10" xfId="5686"/>
    <cellStyle name="40% - Accent4 2 2 10 2" xfId="10658"/>
    <cellStyle name="40% - Accent4 2 2 10 3" xfId="14936"/>
    <cellStyle name="40% - Accent4 2 2 10 4" xfId="19193"/>
    <cellStyle name="40% - Accent4 2 2 10 5" xfId="23410"/>
    <cellStyle name="40% - Accent4 2 2 10 6" xfId="27596"/>
    <cellStyle name="40% - Accent4 2 2 10 7" xfId="31475"/>
    <cellStyle name="40% - Accent4 2 2 11" xfId="6472"/>
    <cellStyle name="40% - Accent4 2 2 12" xfId="6455"/>
    <cellStyle name="40% - Accent4 2 2 13" xfId="6528"/>
    <cellStyle name="40% - Accent4 2 2 14" xfId="6508"/>
    <cellStyle name="40% - Accent4 2 2 15" xfId="6310"/>
    <cellStyle name="40% - Accent4 2 2 16" xfId="17564"/>
    <cellStyle name="40% - Accent4 2 2 17" xfId="1621"/>
    <cellStyle name="40% - Accent4 2 2 2" xfId="317"/>
    <cellStyle name="40% - Accent4 2 2 2 10" xfId="13412"/>
    <cellStyle name="40% - Accent4 2 2 2 11" xfId="17678"/>
    <cellStyle name="40% - Accent4 2 2 2 12" xfId="21998"/>
    <cellStyle name="40% - Accent4 2 2 2 13" xfId="26119"/>
    <cellStyle name="40% - Accent4 2 2 2 14" xfId="1689"/>
    <cellStyle name="40% - Accent4 2 2 2 2" xfId="481"/>
    <cellStyle name="40% - Accent4 2 2 2 2 10" xfId="19127"/>
    <cellStyle name="40% - Accent4 2 2 2 2 11" xfId="16519"/>
    <cellStyle name="40% - Accent4 2 2 2 2 12" xfId="27538"/>
    <cellStyle name="40% - Accent4 2 2 2 2 13" xfId="1844"/>
    <cellStyle name="40% - Accent4 2 2 2 2 2" xfId="855"/>
    <cellStyle name="40% - Accent4 2 2 2 2 2 10" xfId="24230"/>
    <cellStyle name="40% - Accent4 2 2 2 2 2 11" xfId="28382"/>
    <cellStyle name="40% - Accent4 2 2 2 2 2 12" xfId="2174"/>
    <cellStyle name="40% - Accent4 2 2 2 2 2 2" xfId="1512"/>
    <cellStyle name="40% - Accent4 2 2 2 2 2 2 2" xfId="5543"/>
    <cellStyle name="40% - Accent4 2 2 2 2 2 2 2 2" xfId="10517"/>
    <cellStyle name="40% - Accent4 2 2 2 2 2 2 2 3" xfId="14794"/>
    <cellStyle name="40% - Accent4 2 2 2 2 2 2 2 4" xfId="19053"/>
    <cellStyle name="40% - Accent4 2 2 2 2 2 2 2 5" xfId="23272"/>
    <cellStyle name="40% - Accent4 2 2 2 2 2 2 2 6" xfId="27467"/>
    <cellStyle name="40% - Accent4 2 2 2 2 2 2 2 7" xfId="31363"/>
    <cellStyle name="40% - Accent4 2 2 2 2 2 2 3" xfId="8716"/>
    <cellStyle name="40% - Accent4 2 2 2 2 2 2 4" xfId="13001"/>
    <cellStyle name="40% - Accent4 2 2 2 2 2 2 5" xfId="17273"/>
    <cellStyle name="40% - Accent4 2 2 2 2 2 2 6" xfId="21508"/>
    <cellStyle name="40% - Accent4 2 2 2 2 2 2 7" xfId="25746"/>
    <cellStyle name="40% - Accent4 2 2 2 2 2 2 8" xfId="29824"/>
    <cellStyle name="40% - Accent4 2 2 2 2 2 2 9" xfId="3740"/>
    <cellStyle name="40% - Accent4 2 2 2 2 2 3" xfId="2892"/>
    <cellStyle name="40% - Accent4 2 2 2 2 2 3 2" xfId="7869"/>
    <cellStyle name="40% - Accent4 2 2 2 2 2 3 3" xfId="12158"/>
    <cellStyle name="40% - Accent4 2 2 2 2 2 3 4" xfId="16434"/>
    <cellStyle name="40% - Accent4 2 2 2 2 2 3 5" xfId="20673"/>
    <cellStyle name="40% - Accent4 2 2 2 2 2 3 6" xfId="24923"/>
    <cellStyle name="40% - Accent4 2 2 2 2 2 3 7" xfId="29017"/>
    <cellStyle name="40% - Accent4 2 2 2 2 2 4" xfId="4886"/>
    <cellStyle name="40% - Accent4 2 2 2 2 2 4 2" xfId="9860"/>
    <cellStyle name="40% - Accent4 2 2 2 2 2 4 3" xfId="14137"/>
    <cellStyle name="40% - Accent4 2 2 2 2 2 4 4" xfId="18396"/>
    <cellStyle name="40% - Accent4 2 2 2 2 2 4 5" xfId="22615"/>
    <cellStyle name="40% - Accent4 2 2 2 2 2 4 6" xfId="26810"/>
    <cellStyle name="40% - Accent4 2 2 2 2 2 4 7" xfId="30706"/>
    <cellStyle name="40% - Accent4 2 2 2 2 2 5" xfId="6234"/>
    <cellStyle name="40% - Accent4 2 2 2 2 2 5 2" xfId="11206"/>
    <cellStyle name="40% - Accent4 2 2 2 2 2 5 3" xfId="15484"/>
    <cellStyle name="40% - Accent4 2 2 2 2 2 5 4" xfId="19741"/>
    <cellStyle name="40% - Accent4 2 2 2 2 2 5 5" xfId="23958"/>
    <cellStyle name="40% - Accent4 2 2 2 2 2 5 6" xfId="28144"/>
    <cellStyle name="40% - Accent4 2 2 2 2 2 5 7" xfId="32023"/>
    <cellStyle name="40% - Accent4 2 2 2 2 2 6" xfId="7152"/>
    <cellStyle name="40% - Accent4 2 2 2 2 2 7" xfId="11444"/>
    <cellStyle name="40% - Accent4 2 2 2 2 2 8" xfId="15722"/>
    <cellStyle name="40% - Accent4 2 2 2 2 2 9" xfId="19979"/>
    <cellStyle name="40% - Accent4 2 2 2 2 3" xfId="1183"/>
    <cellStyle name="40% - Accent4 2 2 2 2 3 2" xfId="5214"/>
    <cellStyle name="40% - Accent4 2 2 2 2 3 2 2" xfId="10188"/>
    <cellStyle name="40% - Accent4 2 2 2 2 3 2 3" xfId="14465"/>
    <cellStyle name="40% - Accent4 2 2 2 2 3 2 4" xfId="18724"/>
    <cellStyle name="40% - Accent4 2 2 2 2 3 2 5" xfId="22943"/>
    <cellStyle name="40% - Accent4 2 2 2 2 3 2 6" xfId="27138"/>
    <cellStyle name="40% - Accent4 2 2 2 2 3 2 7" xfId="31034"/>
    <cellStyle name="40% - Accent4 2 2 2 2 3 3" xfId="8409"/>
    <cellStyle name="40% - Accent4 2 2 2 2 3 4" xfId="12694"/>
    <cellStyle name="40% - Accent4 2 2 2 2 3 5" xfId="16966"/>
    <cellStyle name="40% - Accent4 2 2 2 2 3 6" xfId="21201"/>
    <cellStyle name="40% - Accent4 2 2 2 2 3 7" xfId="25439"/>
    <cellStyle name="40% - Accent4 2 2 2 2 3 8" xfId="29517"/>
    <cellStyle name="40% - Accent4 2 2 2 2 3 9" xfId="3433"/>
    <cellStyle name="40% - Accent4 2 2 2 2 4" xfId="2572"/>
    <cellStyle name="40% - Accent4 2 2 2 2 4 2" xfId="7549"/>
    <cellStyle name="40% - Accent4 2 2 2 2 4 3" xfId="11838"/>
    <cellStyle name="40% - Accent4 2 2 2 2 4 4" xfId="16116"/>
    <cellStyle name="40% - Accent4 2 2 2 2 4 5" xfId="20359"/>
    <cellStyle name="40% - Accent4 2 2 2 2 4 6" xfId="24605"/>
    <cellStyle name="40% - Accent4 2 2 2 2 4 7" xfId="28710"/>
    <cellStyle name="40% - Accent4 2 2 2 2 5" xfId="4556"/>
    <cellStyle name="40% - Accent4 2 2 2 2 5 2" xfId="9530"/>
    <cellStyle name="40% - Accent4 2 2 2 2 5 3" xfId="13807"/>
    <cellStyle name="40% - Accent4 2 2 2 2 5 4" xfId="18067"/>
    <cellStyle name="40% - Accent4 2 2 2 2 5 5" xfId="22285"/>
    <cellStyle name="40% - Accent4 2 2 2 2 5 6" xfId="26481"/>
    <cellStyle name="40% - Accent4 2 2 2 2 5 7" xfId="30377"/>
    <cellStyle name="40% - Accent4 2 2 2 2 6" xfId="5905"/>
    <cellStyle name="40% - Accent4 2 2 2 2 6 2" xfId="10877"/>
    <cellStyle name="40% - Accent4 2 2 2 2 6 3" xfId="15155"/>
    <cellStyle name="40% - Accent4 2 2 2 2 6 4" xfId="19412"/>
    <cellStyle name="40% - Accent4 2 2 2 2 6 5" xfId="23629"/>
    <cellStyle name="40% - Accent4 2 2 2 2 6 6" xfId="27815"/>
    <cellStyle name="40% - Accent4 2 2 2 2 6 7" xfId="31694"/>
    <cellStyle name="40% - Accent4 2 2 2 2 7" xfId="6779"/>
    <cellStyle name="40% - Accent4 2 2 2 2 8" xfId="10591"/>
    <cellStyle name="40% - Accent4 2 2 2 2 9" xfId="14869"/>
    <cellStyle name="40% - Accent4 2 2 2 3" xfId="700"/>
    <cellStyle name="40% - Accent4 2 2 2 3 10" xfId="24075"/>
    <cellStyle name="40% - Accent4 2 2 2 3 11" xfId="28227"/>
    <cellStyle name="40% - Accent4 2 2 2 3 12" xfId="2019"/>
    <cellStyle name="40% - Accent4 2 2 2 3 2" xfId="1357"/>
    <cellStyle name="40% - Accent4 2 2 2 3 2 2" xfId="5388"/>
    <cellStyle name="40% - Accent4 2 2 2 3 2 2 2" xfId="10362"/>
    <cellStyle name="40% - Accent4 2 2 2 3 2 2 3" xfId="14639"/>
    <cellStyle name="40% - Accent4 2 2 2 3 2 2 4" xfId="18898"/>
    <cellStyle name="40% - Accent4 2 2 2 3 2 2 5" xfId="23117"/>
    <cellStyle name="40% - Accent4 2 2 2 3 2 2 6" xfId="27312"/>
    <cellStyle name="40% - Accent4 2 2 2 3 2 2 7" xfId="31208"/>
    <cellStyle name="40% - Accent4 2 2 2 3 2 3" xfId="8717"/>
    <cellStyle name="40% - Accent4 2 2 2 3 2 4" xfId="13002"/>
    <cellStyle name="40% - Accent4 2 2 2 3 2 5" xfId="17274"/>
    <cellStyle name="40% - Accent4 2 2 2 3 2 6" xfId="21509"/>
    <cellStyle name="40% - Accent4 2 2 2 3 2 7" xfId="25747"/>
    <cellStyle name="40% - Accent4 2 2 2 3 2 8" xfId="29825"/>
    <cellStyle name="40% - Accent4 2 2 2 3 2 9" xfId="3741"/>
    <cellStyle name="40% - Accent4 2 2 2 3 3" xfId="2893"/>
    <cellStyle name="40% - Accent4 2 2 2 3 3 2" xfId="7870"/>
    <cellStyle name="40% - Accent4 2 2 2 3 3 3" xfId="12159"/>
    <cellStyle name="40% - Accent4 2 2 2 3 3 4" xfId="16435"/>
    <cellStyle name="40% - Accent4 2 2 2 3 3 5" xfId="20674"/>
    <cellStyle name="40% - Accent4 2 2 2 3 3 6" xfId="24924"/>
    <cellStyle name="40% - Accent4 2 2 2 3 3 7" xfId="29018"/>
    <cellStyle name="40% - Accent4 2 2 2 3 4" xfId="4731"/>
    <cellStyle name="40% - Accent4 2 2 2 3 4 2" xfId="9705"/>
    <cellStyle name="40% - Accent4 2 2 2 3 4 3" xfId="13982"/>
    <cellStyle name="40% - Accent4 2 2 2 3 4 4" xfId="18241"/>
    <cellStyle name="40% - Accent4 2 2 2 3 4 5" xfId="22460"/>
    <cellStyle name="40% - Accent4 2 2 2 3 4 6" xfId="26655"/>
    <cellStyle name="40% - Accent4 2 2 2 3 4 7" xfId="30551"/>
    <cellStyle name="40% - Accent4 2 2 2 3 5" xfId="6079"/>
    <cellStyle name="40% - Accent4 2 2 2 3 5 2" xfId="11051"/>
    <cellStyle name="40% - Accent4 2 2 2 3 5 3" xfId="15329"/>
    <cellStyle name="40% - Accent4 2 2 2 3 5 4" xfId="19586"/>
    <cellStyle name="40% - Accent4 2 2 2 3 5 5" xfId="23803"/>
    <cellStyle name="40% - Accent4 2 2 2 3 5 6" xfId="27989"/>
    <cellStyle name="40% - Accent4 2 2 2 3 5 7" xfId="31868"/>
    <cellStyle name="40% - Accent4 2 2 2 3 6" xfId="6997"/>
    <cellStyle name="40% - Accent4 2 2 2 3 7" xfId="11289"/>
    <cellStyle name="40% - Accent4 2 2 2 3 8" xfId="15567"/>
    <cellStyle name="40% - Accent4 2 2 2 3 9" xfId="19824"/>
    <cellStyle name="40% - Accent4 2 2 2 4" xfId="1028"/>
    <cellStyle name="40% - Accent4 2 2 2 4 2" xfId="5059"/>
    <cellStyle name="40% - Accent4 2 2 2 4 2 2" xfId="10033"/>
    <cellStyle name="40% - Accent4 2 2 2 4 2 3" xfId="14310"/>
    <cellStyle name="40% - Accent4 2 2 2 4 2 4" xfId="18569"/>
    <cellStyle name="40% - Accent4 2 2 2 4 2 5" xfId="22788"/>
    <cellStyle name="40% - Accent4 2 2 2 4 2 6" xfId="26983"/>
    <cellStyle name="40% - Accent4 2 2 2 4 2 7" xfId="30879"/>
    <cellStyle name="40% - Accent4 2 2 2 4 3" xfId="8257"/>
    <cellStyle name="40% - Accent4 2 2 2 4 4" xfId="12542"/>
    <cellStyle name="40% - Accent4 2 2 2 4 5" xfId="16815"/>
    <cellStyle name="40% - Accent4 2 2 2 4 6" xfId="21051"/>
    <cellStyle name="40% - Accent4 2 2 2 4 7" xfId="25289"/>
    <cellStyle name="40% - Accent4 2 2 2 4 8" xfId="29367"/>
    <cellStyle name="40% - Accent4 2 2 2 4 9" xfId="3281"/>
    <cellStyle name="40% - Accent4 2 2 2 5" xfId="2397"/>
    <cellStyle name="40% - Accent4 2 2 2 5 2" xfId="7375"/>
    <cellStyle name="40% - Accent4 2 2 2 5 3" xfId="11664"/>
    <cellStyle name="40% - Accent4 2 2 2 5 4" xfId="15942"/>
    <cellStyle name="40% - Accent4 2 2 2 5 5" xfId="20191"/>
    <cellStyle name="40% - Accent4 2 2 2 5 6" xfId="24439"/>
    <cellStyle name="40% - Accent4 2 2 2 5 7" xfId="28559"/>
    <cellStyle name="40% - Accent4 2 2 2 6" xfId="4401"/>
    <cellStyle name="40% - Accent4 2 2 2 6 2" xfId="9375"/>
    <cellStyle name="40% - Accent4 2 2 2 6 3" xfId="13652"/>
    <cellStyle name="40% - Accent4 2 2 2 6 4" xfId="17912"/>
    <cellStyle name="40% - Accent4 2 2 2 6 5" xfId="22130"/>
    <cellStyle name="40% - Accent4 2 2 2 6 6" xfId="26326"/>
    <cellStyle name="40% - Accent4 2 2 2 6 7" xfId="30222"/>
    <cellStyle name="40% - Accent4 2 2 2 7" xfId="5750"/>
    <cellStyle name="40% - Accent4 2 2 2 7 2" xfId="10722"/>
    <cellStyle name="40% - Accent4 2 2 2 7 3" xfId="15000"/>
    <cellStyle name="40% - Accent4 2 2 2 7 4" xfId="19257"/>
    <cellStyle name="40% - Accent4 2 2 2 7 5" xfId="23474"/>
    <cellStyle name="40% - Accent4 2 2 2 7 6" xfId="27660"/>
    <cellStyle name="40% - Accent4 2 2 2 7 7" xfId="31539"/>
    <cellStyle name="40% - Accent4 2 2 2 8" xfId="6615"/>
    <cellStyle name="40% - Accent4 2 2 2 9" xfId="9132"/>
    <cellStyle name="40% - Accent4 2 2 3" xfId="420"/>
    <cellStyle name="40% - Accent4 2 2 3 10" xfId="17651"/>
    <cellStyle name="40% - Accent4 2 2 3 11" xfId="21818"/>
    <cellStyle name="40% - Accent4 2 2 3 12" xfId="26096"/>
    <cellStyle name="40% - Accent4 2 2 3 13" xfId="1783"/>
    <cellStyle name="40% - Accent4 2 2 3 2" xfId="794"/>
    <cellStyle name="40% - Accent4 2 2 3 2 10" xfId="24169"/>
    <cellStyle name="40% - Accent4 2 2 3 2 11" xfId="28321"/>
    <cellStyle name="40% - Accent4 2 2 3 2 12" xfId="2113"/>
    <cellStyle name="40% - Accent4 2 2 3 2 2" xfId="1451"/>
    <cellStyle name="40% - Accent4 2 2 3 2 2 2" xfId="5482"/>
    <cellStyle name="40% - Accent4 2 2 3 2 2 2 2" xfId="10456"/>
    <cellStyle name="40% - Accent4 2 2 3 2 2 2 3" xfId="14733"/>
    <cellStyle name="40% - Accent4 2 2 3 2 2 2 4" xfId="18992"/>
    <cellStyle name="40% - Accent4 2 2 3 2 2 2 5" xfId="23211"/>
    <cellStyle name="40% - Accent4 2 2 3 2 2 2 6" xfId="27406"/>
    <cellStyle name="40% - Accent4 2 2 3 2 2 2 7" xfId="31302"/>
    <cellStyle name="40% - Accent4 2 2 3 2 2 3" xfId="8718"/>
    <cellStyle name="40% - Accent4 2 2 3 2 2 4" xfId="13003"/>
    <cellStyle name="40% - Accent4 2 2 3 2 2 5" xfId="17275"/>
    <cellStyle name="40% - Accent4 2 2 3 2 2 6" xfId="21510"/>
    <cellStyle name="40% - Accent4 2 2 3 2 2 7" xfId="25748"/>
    <cellStyle name="40% - Accent4 2 2 3 2 2 8" xfId="29826"/>
    <cellStyle name="40% - Accent4 2 2 3 2 2 9" xfId="3742"/>
    <cellStyle name="40% - Accent4 2 2 3 2 3" xfId="2894"/>
    <cellStyle name="40% - Accent4 2 2 3 2 3 2" xfId="7871"/>
    <cellStyle name="40% - Accent4 2 2 3 2 3 3" xfId="12160"/>
    <cellStyle name="40% - Accent4 2 2 3 2 3 4" xfId="16436"/>
    <cellStyle name="40% - Accent4 2 2 3 2 3 5" xfId="20675"/>
    <cellStyle name="40% - Accent4 2 2 3 2 3 6" xfId="24925"/>
    <cellStyle name="40% - Accent4 2 2 3 2 3 7" xfId="29019"/>
    <cellStyle name="40% - Accent4 2 2 3 2 4" xfId="4825"/>
    <cellStyle name="40% - Accent4 2 2 3 2 4 2" xfId="9799"/>
    <cellStyle name="40% - Accent4 2 2 3 2 4 3" xfId="14076"/>
    <cellStyle name="40% - Accent4 2 2 3 2 4 4" xfId="18335"/>
    <cellStyle name="40% - Accent4 2 2 3 2 4 5" xfId="22554"/>
    <cellStyle name="40% - Accent4 2 2 3 2 4 6" xfId="26749"/>
    <cellStyle name="40% - Accent4 2 2 3 2 4 7" xfId="30645"/>
    <cellStyle name="40% - Accent4 2 2 3 2 5" xfId="6173"/>
    <cellStyle name="40% - Accent4 2 2 3 2 5 2" xfId="11145"/>
    <cellStyle name="40% - Accent4 2 2 3 2 5 3" xfId="15423"/>
    <cellStyle name="40% - Accent4 2 2 3 2 5 4" xfId="19680"/>
    <cellStyle name="40% - Accent4 2 2 3 2 5 5" xfId="23897"/>
    <cellStyle name="40% - Accent4 2 2 3 2 5 6" xfId="28083"/>
    <cellStyle name="40% - Accent4 2 2 3 2 5 7" xfId="31962"/>
    <cellStyle name="40% - Accent4 2 2 3 2 6" xfId="7091"/>
    <cellStyle name="40% - Accent4 2 2 3 2 7" xfId="11383"/>
    <cellStyle name="40% - Accent4 2 2 3 2 8" xfId="15661"/>
    <cellStyle name="40% - Accent4 2 2 3 2 9" xfId="19918"/>
    <cellStyle name="40% - Accent4 2 2 3 3" xfId="1122"/>
    <cellStyle name="40% - Accent4 2 2 3 3 2" xfId="5153"/>
    <cellStyle name="40% - Accent4 2 2 3 3 2 2" xfId="10127"/>
    <cellStyle name="40% - Accent4 2 2 3 3 2 3" xfId="14404"/>
    <cellStyle name="40% - Accent4 2 2 3 3 2 4" xfId="18663"/>
    <cellStyle name="40% - Accent4 2 2 3 3 2 5" xfId="22882"/>
    <cellStyle name="40% - Accent4 2 2 3 3 2 6" xfId="27077"/>
    <cellStyle name="40% - Accent4 2 2 3 3 2 7" xfId="30973"/>
    <cellStyle name="40% - Accent4 2 2 3 3 3" xfId="8348"/>
    <cellStyle name="40% - Accent4 2 2 3 3 4" xfId="12633"/>
    <cellStyle name="40% - Accent4 2 2 3 3 5" xfId="16905"/>
    <cellStyle name="40% - Accent4 2 2 3 3 6" xfId="21140"/>
    <cellStyle name="40% - Accent4 2 2 3 3 7" xfId="25378"/>
    <cellStyle name="40% - Accent4 2 2 3 3 8" xfId="29456"/>
    <cellStyle name="40% - Accent4 2 2 3 3 9" xfId="3372"/>
    <cellStyle name="40% - Accent4 2 2 3 4" xfId="2511"/>
    <cellStyle name="40% - Accent4 2 2 3 4 2" xfId="7488"/>
    <cellStyle name="40% - Accent4 2 2 3 4 3" xfId="11777"/>
    <cellStyle name="40% - Accent4 2 2 3 4 4" xfId="16055"/>
    <cellStyle name="40% - Accent4 2 2 3 4 5" xfId="20298"/>
    <cellStyle name="40% - Accent4 2 2 3 4 6" xfId="24544"/>
    <cellStyle name="40% - Accent4 2 2 3 4 7" xfId="28649"/>
    <cellStyle name="40% - Accent4 2 2 3 5" xfId="4495"/>
    <cellStyle name="40% - Accent4 2 2 3 5 2" xfId="9469"/>
    <cellStyle name="40% - Accent4 2 2 3 5 3" xfId="13746"/>
    <cellStyle name="40% - Accent4 2 2 3 5 4" xfId="18006"/>
    <cellStyle name="40% - Accent4 2 2 3 5 5" xfId="22224"/>
    <cellStyle name="40% - Accent4 2 2 3 5 6" xfId="26420"/>
    <cellStyle name="40% - Accent4 2 2 3 5 7" xfId="30316"/>
    <cellStyle name="40% - Accent4 2 2 3 6" xfId="5844"/>
    <cellStyle name="40% - Accent4 2 2 3 6 2" xfId="10816"/>
    <cellStyle name="40% - Accent4 2 2 3 6 3" xfId="15094"/>
    <cellStyle name="40% - Accent4 2 2 3 6 4" xfId="19351"/>
    <cellStyle name="40% - Accent4 2 2 3 6 5" xfId="23568"/>
    <cellStyle name="40% - Accent4 2 2 3 6 6" xfId="27754"/>
    <cellStyle name="40% - Accent4 2 2 3 6 7" xfId="31633"/>
    <cellStyle name="40% - Accent4 2 2 3 7" xfId="6718"/>
    <cellStyle name="40% - Accent4 2 2 3 8" xfId="9102"/>
    <cellStyle name="40% - Accent4 2 2 3 9" xfId="13383"/>
    <cellStyle name="40% - Accent4 2 2 4" xfId="534"/>
    <cellStyle name="40% - Accent4 2 2 4 10" xfId="13405"/>
    <cellStyle name="40% - Accent4 2 2 4 11" xfId="20756"/>
    <cellStyle name="40% - Accent4 2 2 4 12" xfId="21920"/>
    <cellStyle name="40% - Accent4 2 2 4 13" xfId="1897"/>
    <cellStyle name="40% - Accent4 2 2 4 2" xfId="908"/>
    <cellStyle name="40% - Accent4 2 2 4 2 10" xfId="24283"/>
    <cellStyle name="40% - Accent4 2 2 4 2 11" xfId="28435"/>
    <cellStyle name="40% - Accent4 2 2 4 2 12" xfId="2227"/>
    <cellStyle name="40% - Accent4 2 2 4 2 2" xfId="1565"/>
    <cellStyle name="40% - Accent4 2 2 4 2 2 2" xfId="5596"/>
    <cellStyle name="40% - Accent4 2 2 4 2 2 2 2" xfId="10570"/>
    <cellStyle name="40% - Accent4 2 2 4 2 2 2 3" xfId="14847"/>
    <cellStyle name="40% - Accent4 2 2 4 2 2 2 4" xfId="19106"/>
    <cellStyle name="40% - Accent4 2 2 4 2 2 2 5" xfId="23325"/>
    <cellStyle name="40% - Accent4 2 2 4 2 2 2 6" xfId="27520"/>
    <cellStyle name="40% - Accent4 2 2 4 2 2 2 7" xfId="31416"/>
    <cellStyle name="40% - Accent4 2 2 4 2 2 3" xfId="8719"/>
    <cellStyle name="40% - Accent4 2 2 4 2 2 4" xfId="13004"/>
    <cellStyle name="40% - Accent4 2 2 4 2 2 5" xfId="17276"/>
    <cellStyle name="40% - Accent4 2 2 4 2 2 6" xfId="21511"/>
    <cellStyle name="40% - Accent4 2 2 4 2 2 7" xfId="25749"/>
    <cellStyle name="40% - Accent4 2 2 4 2 2 8" xfId="29827"/>
    <cellStyle name="40% - Accent4 2 2 4 2 2 9" xfId="3743"/>
    <cellStyle name="40% - Accent4 2 2 4 2 3" xfId="2895"/>
    <cellStyle name="40% - Accent4 2 2 4 2 3 2" xfId="7872"/>
    <cellStyle name="40% - Accent4 2 2 4 2 3 3" xfId="12161"/>
    <cellStyle name="40% - Accent4 2 2 4 2 3 4" xfId="16437"/>
    <cellStyle name="40% - Accent4 2 2 4 2 3 5" xfId="20676"/>
    <cellStyle name="40% - Accent4 2 2 4 2 3 6" xfId="24926"/>
    <cellStyle name="40% - Accent4 2 2 4 2 3 7" xfId="29020"/>
    <cellStyle name="40% - Accent4 2 2 4 2 4" xfId="4939"/>
    <cellStyle name="40% - Accent4 2 2 4 2 4 2" xfId="9913"/>
    <cellStyle name="40% - Accent4 2 2 4 2 4 3" xfId="14190"/>
    <cellStyle name="40% - Accent4 2 2 4 2 4 4" xfId="18449"/>
    <cellStyle name="40% - Accent4 2 2 4 2 4 5" xfId="22668"/>
    <cellStyle name="40% - Accent4 2 2 4 2 4 6" xfId="26863"/>
    <cellStyle name="40% - Accent4 2 2 4 2 4 7" xfId="30759"/>
    <cellStyle name="40% - Accent4 2 2 4 2 5" xfId="6287"/>
    <cellStyle name="40% - Accent4 2 2 4 2 5 2" xfId="11259"/>
    <cellStyle name="40% - Accent4 2 2 4 2 5 3" xfId="15537"/>
    <cellStyle name="40% - Accent4 2 2 4 2 5 4" xfId="19794"/>
    <cellStyle name="40% - Accent4 2 2 4 2 5 5" xfId="24011"/>
    <cellStyle name="40% - Accent4 2 2 4 2 5 6" xfId="28197"/>
    <cellStyle name="40% - Accent4 2 2 4 2 5 7" xfId="32076"/>
    <cellStyle name="40% - Accent4 2 2 4 2 6" xfId="7205"/>
    <cellStyle name="40% - Accent4 2 2 4 2 7" xfId="11497"/>
    <cellStyle name="40% - Accent4 2 2 4 2 8" xfId="15775"/>
    <cellStyle name="40% - Accent4 2 2 4 2 9" xfId="20032"/>
    <cellStyle name="40% - Accent4 2 2 4 3" xfId="1236"/>
    <cellStyle name="40% - Accent4 2 2 4 3 2" xfId="5267"/>
    <cellStyle name="40% - Accent4 2 2 4 3 2 2" xfId="10241"/>
    <cellStyle name="40% - Accent4 2 2 4 3 2 3" xfId="14518"/>
    <cellStyle name="40% - Accent4 2 2 4 3 2 4" xfId="18777"/>
    <cellStyle name="40% - Accent4 2 2 4 3 2 5" xfId="22996"/>
    <cellStyle name="40% - Accent4 2 2 4 3 2 6" xfId="27191"/>
    <cellStyle name="40% - Accent4 2 2 4 3 2 7" xfId="31087"/>
    <cellStyle name="40% - Accent4 2 2 4 3 3" xfId="8476"/>
    <cellStyle name="40% - Accent4 2 2 4 3 4" xfId="12761"/>
    <cellStyle name="40% - Accent4 2 2 4 3 5" xfId="17033"/>
    <cellStyle name="40% - Accent4 2 2 4 3 6" xfId="21268"/>
    <cellStyle name="40% - Accent4 2 2 4 3 7" xfId="25506"/>
    <cellStyle name="40% - Accent4 2 2 4 3 8" xfId="29584"/>
    <cellStyle name="40% - Accent4 2 2 4 3 9" xfId="3500"/>
    <cellStyle name="40% - Accent4 2 2 4 4" xfId="2643"/>
    <cellStyle name="40% - Accent4 2 2 4 4 2" xfId="7620"/>
    <cellStyle name="40% - Accent4 2 2 4 4 3" xfId="11909"/>
    <cellStyle name="40% - Accent4 2 2 4 4 4" xfId="16185"/>
    <cellStyle name="40% - Accent4 2 2 4 4 5" xfId="20427"/>
    <cellStyle name="40% - Accent4 2 2 4 4 6" xfId="24674"/>
    <cellStyle name="40% - Accent4 2 2 4 4 7" xfId="28777"/>
    <cellStyle name="40% - Accent4 2 2 4 5" xfId="4609"/>
    <cellStyle name="40% - Accent4 2 2 4 5 2" xfId="9583"/>
    <cellStyle name="40% - Accent4 2 2 4 5 3" xfId="13860"/>
    <cellStyle name="40% - Accent4 2 2 4 5 4" xfId="18120"/>
    <cellStyle name="40% - Accent4 2 2 4 5 5" xfId="22338"/>
    <cellStyle name="40% - Accent4 2 2 4 5 6" xfId="26534"/>
    <cellStyle name="40% - Accent4 2 2 4 5 7" xfId="30430"/>
    <cellStyle name="40% - Accent4 2 2 4 6" xfId="5958"/>
    <cellStyle name="40% - Accent4 2 2 4 6 2" xfId="10930"/>
    <cellStyle name="40% - Accent4 2 2 4 6 3" xfId="15208"/>
    <cellStyle name="40% - Accent4 2 2 4 6 4" xfId="19465"/>
    <cellStyle name="40% - Accent4 2 2 4 6 5" xfId="23682"/>
    <cellStyle name="40% - Accent4 2 2 4 6 6" xfId="27868"/>
    <cellStyle name="40% - Accent4 2 2 4 6 7" xfId="31747"/>
    <cellStyle name="40% - Accent4 2 2 4 7" xfId="6832"/>
    <cellStyle name="40% - Accent4 2 2 4 8" xfId="6563"/>
    <cellStyle name="40% - Accent4 2 2 4 9" xfId="9125"/>
    <cellStyle name="40% - Accent4 2 2 5" xfId="635"/>
    <cellStyle name="40% - Accent4 2 2 5 10" xfId="15869"/>
    <cellStyle name="40% - Accent4 2 2 5 11" xfId="22009"/>
    <cellStyle name="40% - Accent4 2 2 5 12" xfId="24371"/>
    <cellStyle name="40% - Accent4 2 2 5 13" xfId="1954"/>
    <cellStyle name="40% - Accent4 2 2 5 2" xfId="1292"/>
    <cellStyle name="40% - Accent4 2 2 5 2 10" xfId="2897"/>
    <cellStyle name="40% - Accent4 2 2 5 2 2" xfId="3745"/>
    <cellStyle name="40% - Accent4 2 2 5 2 2 2" xfId="8721"/>
    <cellStyle name="40% - Accent4 2 2 5 2 2 3" xfId="13006"/>
    <cellStyle name="40% - Accent4 2 2 5 2 2 4" xfId="17278"/>
    <cellStyle name="40% - Accent4 2 2 5 2 2 5" xfId="21513"/>
    <cellStyle name="40% - Accent4 2 2 5 2 2 6" xfId="25751"/>
    <cellStyle name="40% - Accent4 2 2 5 2 2 7" xfId="29829"/>
    <cellStyle name="40% - Accent4 2 2 5 2 3" xfId="5323"/>
    <cellStyle name="40% - Accent4 2 2 5 2 3 2" xfId="10297"/>
    <cellStyle name="40% - Accent4 2 2 5 2 3 3" xfId="14574"/>
    <cellStyle name="40% - Accent4 2 2 5 2 3 4" xfId="18833"/>
    <cellStyle name="40% - Accent4 2 2 5 2 3 5" xfId="23052"/>
    <cellStyle name="40% - Accent4 2 2 5 2 3 6" xfId="27247"/>
    <cellStyle name="40% - Accent4 2 2 5 2 3 7" xfId="31143"/>
    <cellStyle name="40% - Accent4 2 2 5 2 4" xfId="7874"/>
    <cellStyle name="40% - Accent4 2 2 5 2 5" xfId="12163"/>
    <cellStyle name="40% - Accent4 2 2 5 2 6" xfId="16439"/>
    <cellStyle name="40% - Accent4 2 2 5 2 7" xfId="20678"/>
    <cellStyle name="40% - Accent4 2 2 5 2 8" xfId="24928"/>
    <cellStyle name="40% - Accent4 2 2 5 2 9" xfId="29022"/>
    <cellStyle name="40% - Accent4 2 2 5 3" xfId="3744"/>
    <cellStyle name="40% - Accent4 2 2 5 3 2" xfId="8720"/>
    <cellStyle name="40% - Accent4 2 2 5 3 3" xfId="13005"/>
    <cellStyle name="40% - Accent4 2 2 5 3 4" xfId="17277"/>
    <cellStyle name="40% - Accent4 2 2 5 3 5" xfId="21512"/>
    <cellStyle name="40% - Accent4 2 2 5 3 6" xfId="25750"/>
    <cellStyle name="40% - Accent4 2 2 5 3 7" xfId="29828"/>
    <cellStyle name="40% - Accent4 2 2 5 4" xfId="2896"/>
    <cellStyle name="40% - Accent4 2 2 5 4 2" xfId="7873"/>
    <cellStyle name="40% - Accent4 2 2 5 4 3" xfId="12162"/>
    <cellStyle name="40% - Accent4 2 2 5 4 4" xfId="16438"/>
    <cellStyle name="40% - Accent4 2 2 5 4 5" xfId="20677"/>
    <cellStyle name="40% - Accent4 2 2 5 4 6" xfId="24927"/>
    <cellStyle name="40% - Accent4 2 2 5 4 7" xfId="29021"/>
    <cellStyle name="40% - Accent4 2 2 5 5" xfId="4666"/>
    <cellStyle name="40% - Accent4 2 2 5 5 2" xfId="9640"/>
    <cellStyle name="40% - Accent4 2 2 5 5 3" xfId="13917"/>
    <cellStyle name="40% - Accent4 2 2 5 5 4" xfId="18176"/>
    <cellStyle name="40% - Accent4 2 2 5 5 5" xfId="22395"/>
    <cellStyle name="40% - Accent4 2 2 5 5 6" xfId="26590"/>
    <cellStyle name="40% - Accent4 2 2 5 5 7" xfId="30486"/>
    <cellStyle name="40% - Accent4 2 2 5 6" xfId="6014"/>
    <cellStyle name="40% - Accent4 2 2 5 6 2" xfId="10986"/>
    <cellStyle name="40% - Accent4 2 2 5 6 3" xfId="15264"/>
    <cellStyle name="40% - Accent4 2 2 5 6 4" xfId="19521"/>
    <cellStyle name="40% - Accent4 2 2 5 6 5" xfId="23738"/>
    <cellStyle name="40% - Accent4 2 2 5 6 6" xfId="27924"/>
    <cellStyle name="40% - Accent4 2 2 5 6 7" xfId="31803"/>
    <cellStyle name="40% - Accent4 2 2 5 7" xfId="6932"/>
    <cellStyle name="40% - Accent4 2 2 5 8" xfId="7301"/>
    <cellStyle name="40% - Accent4 2 2 5 9" xfId="11591"/>
    <cellStyle name="40% - Accent4 2 2 6" xfId="963"/>
    <cellStyle name="40% - Accent4 2 2 6 10" xfId="2898"/>
    <cellStyle name="40% - Accent4 2 2 6 2" xfId="3746"/>
    <cellStyle name="40% - Accent4 2 2 6 2 2" xfId="8722"/>
    <cellStyle name="40% - Accent4 2 2 6 2 3" xfId="13007"/>
    <cellStyle name="40% - Accent4 2 2 6 2 4" xfId="17279"/>
    <cellStyle name="40% - Accent4 2 2 6 2 5" xfId="21514"/>
    <cellStyle name="40% - Accent4 2 2 6 2 6" xfId="25752"/>
    <cellStyle name="40% - Accent4 2 2 6 2 7" xfId="29830"/>
    <cellStyle name="40% - Accent4 2 2 6 3" xfId="4994"/>
    <cellStyle name="40% - Accent4 2 2 6 3 2" xfId="9968"/>
    <cellStyle name="40% - Accent4 2 2 6 3 3" xfId="14245"/>
    <cellStyle name="40% - Accent4 2 2 6 3 4" xfId="18504"/>
    <cellStyle name="40% - Accent4 2 2 6 3 5" xfId="22723"/>
    <cellStyle name="40% - Accent4 2 2 6 3 6" xfId="26918"/>
    <cellStyle name="40% - Accent4 2 2 6 3 7" xfId="30814"/>
    <cellStyle name="40% - Accent4 2 2 6 4" xfId="7875"/>
    <cellStyle name="40% - Accent4 2 2 6 5" xfId="12164"/>
    <cellStyle name="40% - Accent4 2 2 6 6" xfId="16440"/>
    <cellStyle name="40% - Accent4 2 2 6 7" xfId="20679"/>
    <cellStyle name="40% - Accent4 2 2 6 8" xfId="24929"/>
    <cellStyle name="40% - Accent4 2 2 6 9" xfId="29023"/>
    <cellStyle name="40% - Accent4 2 2 7" xfId="3206"/>
    <cellStyle name="40% - Accent4 2 2 7 2" xfId="8182"/>
    <cellStyle name="40% - Accent4 2 2 7 3" xfId="12468"/>
    <cellStyle name="40% - Accent4 2 2 7 4" xfId="16742"/>
    <cellStyle name="40% - Accent4 2 2 7 5" xfId="20978"/>
    <cellStyle name="40% - Accent4 2 2 7 6" xfId="25218"/>
    <cellStyle name="40% - Accent4 2 2 7 7" xfId="29299"/>
    <cellStyle name="40% - Accent4 2 2 8" xfId="2303"/>
    <cellStyle name="40% - Accent4 2 2 8 2" xfId="7281"/>
    <cellStyle name="40% - Accent4 2 2 8 3" xfId="11571"/>
    <cellStyle name="40% - Accent4 2 2 8 4" xfId="15849"/>
    <cellStyle name="40% - Accent4 2 2 8 5" xfId="20102"/>
    <cellStyle name="40% - Accent4 2 2 8 6" xfId="24353"/>
    <cellStyle name="40% - Accent4 2 2 8 7" xfId="28490"/>
    <cellStyle name="40% - Accent4 2 2 9" xfId="4331"/>
    <cellStyle name="40% - Accent4 2 2 9 2" xfId="9305"/>
    <cellStyle name="40% - Accent4 2 2 9 3" xfId="13582"/>
    <cellStyle name="40% - Accent4 2 2 9 4" xfId="17842"/>
    <cellStyle name="40% - Accent4 2 2 9 5" xfId="22061"/>
    <cellStyle name="40% - Accent4 2 2 9 6" xfId="26259"/>
    <cellStyle name="40% - Accent4 2 2 9 7" xfId="30156"/>
    <cellStyle name="40% - Accent4 2 3" xfId="240"/>
    <cellStyle name="40% - Accent4 2 3 10" xfId="6338"/>
    <cellStyle name="40% - Accent4 2 3 11" xfId="8131"/>
    <cellStyle name="40% - Accent4 2 3 12" xfId="21961"/>
    <cellStyle name="40% - Accent4 2 3 13" xfId="12418"/>
    <cellStyle name="40% - Accent4 2 3 14" xfId="1645"/>
    <cellStyle name="40% - Accent4 2 3 2" xfId="452"/>
    <cellStyle name="40% - Accent4 2 3 2 10" xfId="17592"/>
    <cellStyle name="40% - Accent4 2 3 2 11" xfId="6311"/>
    <cellStyle name="40% - Accent4 2 3 2 12" xfId="26045"/>
    <cellStyle name="40% - Accent4 2 3 2 13" xfId="1815"/>
    <cellStyle name="40% - Accent4 2 3 2 2" xfId="826"/>
    <cellStyle name="40% - Accent4 2 3 2 2 10" xfId="24201"/>
    <cellStyle name="40% - Accent4 2 3 2 2 11" xfId="28353"/>
    <cellStyle name="40% - Accent4 2 3 2 2 12" xfId="2145"/>
    <cellStyle name="40% - Accent4 2 3 2 2 2" xfId="1483"/>
    <cellStyle name="40% - Accent4 2 3 2 2 2 2" xfId="5514"/>
    <cellStyle name="40% - Accent4 2 3 2 2 2 2 2" xfId="10488"/>
    <cellStyle name="40% - Accent4 2 3 2 2 2 2 3" xfId="14765"/>
    <cellStyle name="40% - Accent4 2 3 2 2 2 2 4" xfId="19024"/>
    <cellStyle name="40% - Accent4 2 3 2 2 2 2 5" xfId="23243"/>
    <cellStyle name="40% - Accent4 2 3 2 2 2 2 6" xfId="27438"/>
    <cellStyle name="40% - Accent4 2 3 2 2 2 2 7" xfId="31334"/>
    <cellStyle name="40% - Accent4 2 3 2 2 2 3" xfId="8723"/>
    <cellStyle name="40% - Accent4 2 3 2 2 2 4" xfId="13008"/>
    <cellStyle name="40% - Accent4 2 3 2 2 2 5" xfId="17280"/>
    <cellStyle name="40% - Accent4 2 3 2 2 2 6" xfId="21515"/>
    <cellStyle name="40% - Accent4 2 3 2 2 2 7" xfId="25753"/>
    <cellStyle name="40% - Accent4 2 3 2 2 2 8" xfId="29831"/>
    <cellStyle name="40% - Accent4 2 3 2 2 2 9" xfId="3747"/>
    <cellStyle name="40% - Accent4 2 3 2 2 3" xfId="2899"/>
    <cellStyle name="40% - Accent4 2 3 2 2 3 2" xfId="7876"/>
    <cellStyle name="40% - Accent4 2 3 2 2 3 3" xfId="12165"/>
    <cellStyle name="40% - Accent4 2 3 2 2 3 4" xfId="16441"/>
    <cellStyle name="40% - Accent4 2 3 2 2 3 5" xfId="20680"/>
    <cellStyle name="40% - Accent4 2 3 2 2 3 6" xfId="24930"/>
    <cellStyle name="40% - Accent4 2 3 2 2 3 7" xfId="29024"/>
    <cellStyle name="40% - Accent4 2 3 2 2 4" xfId="4857"/>
    <cellStyle name="40% - Accent4 2 3 2 2 4 2" xfId="9831"/>
    <cellStyle name="40% - Accent4 2 3 2 2 4 3" xfId="14108"/>
    <cellStyle name="40% - Accent4 2 3 2 2 4 4" xfId="18367"/>
    <cellStyle name="40% - Accent4 2 3 2 2 4 5" xfId="22586"/>
    <cellStyle name="40% - Accent4 2 3 2 2 4 6" xfId="26781"/>
    <cellStyle name="40% - Accent4 2 3 2 2 4 7" xfId="30677"/>
    <cellStyle name="40% - Accent4 2 3 2 2 5" xfId="6205"/>
    <cellStyle name="40% - Accent4 2 3 2 2 5 2" xfId="11177"/>
    <cellStyle name="40% - Accent4 2 3 2 2 5 3" xfId="15455"/>
    <cellStyle name="40% - Accent4 2 3 2 2 5 4" xfId="19712"/>
    <cellStyle name="40% - Accent4 2 3 2 2 5 5" xfId="23929"/>
    <cellStyle name="40% - Accent4 2 3 2 2 5 6" xfId="28115"/>
    <cellStyle name="40% - Accent4 2 3 2 2 5 7" xfId="31994"/>
    <cellStyle name="40% - Accent4 2 3 2 2 6" xfId="7123"/>
    <cellStyle name="40% - Accent4 2 3 2 2 7" xfId="11415"/>
    <cellStyle name="40% - Accent4 2 3 2 2 8" xfId="15693"/>
    <cellStyle name="40% - Accent4 2 3 2 2 9" xfId="19950"/>
    <cellStyle name="40% - Accent4 2 3 2 3" xfId="1154"/>
    <cellStyle name="40% - Accent4 2 3 2 3 2" xfId="5185"/>
    <cellStyle name="40% - Accent4 2 3 2 3 2 2" xfId="10159"/>
    <cellStyle name="40% - Accent4 2 3 2 3 2 3" xfId="14436"/>
    <cellStyle name="40% - Accent4 2 3 2 3 2 4" xfId="18695"/>
    <cellStyle name="40% - Accent4 2 3 2 3 2 5" xfId="22914"/>
    <cellStyle name="40% - Accent4 2 3 2 3 2 6" xfId="27109"/>
    <cellStyle name="40% - Accent4 2 3 2 3 2 7" xfId="31005"/>
    <cellStyle name="40% - Accent4 2 3 2 3 3" xfId="8380"/>
    <cellStyle name="40% - Accent4 2 3 2 3 4" xfId="12665"/>
    <cellStyle name="40% - Accent4 2 3 2 3 5" xfId="16937"/>
    <cellStyle name="40% - Accent4 2 3 2 3 6" xfId="21172"/>
    <cellStyle name="40% - Accent4 2 3 2 3 7" xfId="25410"/>
    <cellStyle name="40% - Accent4 2 3 2 3 8" xfId="29488"/>
    <cellStyle name="40% - Accent4 2 3 2 3 9" xfId="3404"/>
    <cellStyle name="40% - Accent4 2 3 2 4" xfId="2543"/>
    <cellStyle name="40% - Accent4 2 3 2 4 2" xfId="7520"/>
    <cellStyle name="40% - Accent4 2 3 2 4 3" xfId="11809"/>
    <cellStyle name="40% - Accent4 2 3 2 4 4" xfId="16087"/>
    <cellStyle name="40% - Accent4 2 3 2 4 5" xfId="20330"/>
    <cellStyle name="40% - Accent4 2 3 2 4 6" xfId="24576"/>
    <cellStyle name="40% - Accent4 2 3 2 4 7" xfId="28681"/>
    <cellStyle name="40% - Accent4 2 3 2 5" xfId="4527"/>
    <cellStyle name="40% - Accent4 2 3 2 5 2" xfId="9501"/>
    <cellStyle name="40% - Accent4 2 3 2 5 3" xfId="13778"/>
    <cellStyle name="40% - Accent4 2 3 2 5 4" xfId="18038"/>
    <cellStyle name="40% - Accent4 2 3 2 5 5" xfId="22256"/>
    <cellStyle name="40% - Accent4 2 3 2 5 6" xfId="26452"/>
    <cellStyle name="40% - Accent4 2 3 2 5 7" xfId="30348"/>
    <cellStyle name="40% - Accent4 2 3 2 6" xfId="5876"/>
    <cellStyle name="40% - Accent4 2 3 2 6 2" xfId="10848"/>
    <cellStyle name="40% - Accent4 2 3 2 6 3" xfId="15126"/>
    <cellStyle name="40% - Accent4 2 3 2 6 4" xfId="19383"/>
    <cellStyle name="40% - Accent4 2 3 2 6 5" xfId="23600"/>
    <cellStyle name="40% - Accent4 2 3 2 6 6" xfId="27786"/>
    <cellStyle name="40% - Accent4 2 3 2 6 7" xfId="31665"/>
    <cellStyle name="40% - Accent4 2 3 2 7" xfId="6750"/>
    <cellStyle name="40% - Accent4 2 3 2 8" xfId="9036"/>
    <cellStyle name="40% - Accent4 2 3 2 9" xfId="13319"/>
    <cellStyle name="40% - Accent4 2 3 3" xfId="659"/>
    <cellStyle name="40% - Accent4 2 3 3 10" xfId="24034"/>
    <cellStyle name="40% - Accent4 2 3 3 11" xfId="24338"/>
    <cellStyle name="40% - Accent4 2 3 3 12" xfId="1978"/>
    <cellStyle name="40% - Accent4 2 3 3 2" xfId="1316"/>
    <cellStyle name="40% - Accent4 2 3 3 2 2" xfId="5347"/>
    <cellStyle name="40% - Accent4 2 3 3 2 2 2" xfId="10321"/>
    <cellStyle name="40% - Accent4 2 3 3 2 2 3" xfId="14598"/>
    <cellStyle name="40% - Accent4 2 3 3 2 2 4" xfId="18857"/>
    <cellStyle name="40% - Accent4 2 3 3 2 2 5" xfId="23076"/>
    <cellStyle name="40% - Accent4 2 3 3 2 2 6" xfId="27271"/>
    <cellStyle name="40% - Accent4 2 3 3 2 2 7" xfId="31167"/>
    <cellStyle name="40% - Accent4 2 3 3 2 3" xfId="8724"/>
    <cellStyle name="40% - Accent4 2 3 3 2 4" xfId="13009"/>
    <cellStyle name="40% - Accent4 2 3 3 2 5" xfId="17281"/>
    <cellStyle name="40% - Accent4 2 3 3 2 6" xfId="21516"/>
    <cellStyle name="40% - Accent4 2 3 3 2 7" xfId="25754"/>
    <cellStyle name="40% - Accent4 2 3 3 2 8" xfId="29832"/>
    <cellStyle name="40% - Accent4 2 3 3 2 9" xfId="3748"/>
    <cellStyle name="40% - Accent4 2 3 3 3" xfId="2900"/>
    <cellStyle name="40% - Accent4 2 3 3 3 2" xfId="7877"/>
    <cellStyle name="40% - Accent4 2 3 3 3 3" xfId="12166"/>
    <cellStyle name="40% - Accent4 2 3 3 3 4" xfId="16442"/>
    <cellStyle name="40% - Accent4 2 3 3 3 5" xfId="20681"/>
    <cellStyle name="40% - Accent4 2 3 3 3 6" xfId="24931"/>
    <cellStyle name="40% - Accent4 2 3 3 3 7" xfId="29025"/>
    <cellStyle name="40% - Accent4 2 3 3 4" xfId="4690"/>
    <cellStyle name="40% - Accent4 2 3 3 4 2" xfId="9664"/>
    <cellStyle name="40% - Accent4 2 3 3 4 3" xfId="13941"/>
    <cellStyle name="40% - Accent4 2 3 3 4 4" xfId="18200"/>
    <cellStyle name="40% - Accent4 2 3 3 4 5" xfId="22419"/>
    <cellStyle name="40% - Accent4 2 3 3 4 6" xfId="26614"/>
    <cellStyle name="40% - Accent4 2 3 3 4 7" xfId="30510"/>
    <cellStyle name="40% - Accent4 2 3 3 5" xfId="6038"/>
    <cellStyle name="40% - Accent4 2 3 3 5 2" xfId="11010"/>
    <cellStyle name="40% - Accent4 2 3 3 5 3" xfId="15288"/>
    <cellStyle name="40% - Accent4 2 3 3 5 4" xfId="19545"/>
    <cellStyle name="40% - Accent4 2 3 3 5 5" xfId="23762"/>
    <cellStyle name="40% - Accent4 2 3 3 5 6" xfId="27948"/>
    <cellStyle name="40% - Accent4 2 3 3 5 7" xfId="31827"/>
    <cellStyle name="40% - Accent4 2 3 3 6" xfId="6956"/>
    <cellStyle name="40% - Accent4 2 3 3 7" xfId="7266"/>
    <cellStyle name="40% - Accent4 2 3 3 8" xfId="11556"/>
    <cellStyle name="40% - Accent4 2 3 3 9" xfId="15834"/>
    <cellStyle name="40% - Accent4 2 3 4" xfId="987"/>
    <cellStyle name="40% - Accent4 2 3 4 2" xfId="5018"/>
    <cellStyle name="40% - Accent4 2 3 4 2 2" xfId="9992"/>
    <cellStyle name="40% - Accent4 2 3 4 2 3" xfId="14269"/>
    <cellStyle name="40% - Accent4 2 3 4 2 4" xfId="18528"/>
    <cellStyle name="40% - Accent4 2 3 4 2 5" xfId="22747"/>
    <cellStyle name="40% - Accent4 2 3 4 2 6" xfId="26942"/>
    <cellStyle name="40% - Accent4 2 3 4 2 7" xfId="30838"/>
    <cellStyle name="40% - Accent4 2 3 4 3" xfId="8225"/>
    <cellStyle name="40% - Accent4 2 3 4 4" xfId="12510"/>
    <cellStyle name="40% - Accent4 2 3 4 5" xfId="16783"/>
    <cellStyle name="40% - Accent4 2 3 4 6" xfId="21020"/>
    <cellStyle name="40% - Accent4 2 3 4 7" xfId="25257"/>
    <cellStyle name="40% - Accent4 2 3 4 8" xfId="29336"/>
    <cellStyle name="40% - Accent4 2 3 4 9" xfId="3249"/>
    <cellStyle name="40% - Accent4 2 3 5" xfId="2363"/>
    <cellStyle name="40% - Accent4 2 3 5 2" xfId="7341"/>
    <cellStyle name="40% - Accent4 2 3 5 3" xfId="11630"/>
    <cellStyle name="40% - Accent4 2 3 5 4" xfId="15909"/>
    <cellStyle name="40% - Accent4 2 3 5 5" xfId="20159"/>
    <cellStyle name="40% - Accent4 2 3 5 6" xfId="24406"/>
    <cellStyle name="40% - Accent4 2 3 5 7" xfId="28528"/>
    <cellStyle name="40% - Accent4 2 3 6" xfId="4359"/>
    <cellStyle name="40% - Accent4 2 3 6 2" xfId="9333"/>
    <cellStyle name="40% - Accent4 2 3 6 3" xfId="13610"/>
    <cellStyle name="40% - Accent4 2 3 6 4" xfId="17870"/>
    <cellStyle name="40% - Accent4 2 3 6 5" xfId="22089"/>
    <cellStyle name="40% - Accent4 2 3 6 6" xfId="26285"/>
    <cellStyle name="40% - Accent4 2 3 6 7" xfId="30181"/>
    <cellStyle name="40% - Accent4 2 3 7" xfId="5709"/>
    <cellStyle name="40% - Accent4 2 3 7 2" xfId="10681"/>
    <cellStyle name="40% - Accent4 2 3 7 3" xfId="14959"/>
    <cellStyle name="40% - Accent4 2 3 7 4" xfId="19216"/>
    <cellStyle name="40% - Accent4 2 3 7 5" xfId="23433"/>
    <cellStyle name="40% - Accent4 2 3 7 6" xfId="27619"/>
    <cellStyle name="40% - Accent4 2 3 7 7" xfId="31498"/>
    <cellStyle name="40% - Accent4 2 3 8" xfId="6538"/>
    <cellStyle name="40% - Accent4 2 3 9" xfId="6504"/>
    <cellStyle name="40% - Accent4 2 4" xfId="386"/>
    <cellStyle name="40% - Accent4 2 4 10" xfId="13380"/>
    <cellStyle name="40% - Accent4 2 4 11" xfId="17649"/>
    <cellStyle name="40% - Accent4 2 4 12" xfId="21876"/>
    <cellStyle name="40% - Accent4 2 4 13" xfId="26095"/>
    <cellStyle name="40% - Accent4 2 4 14" xfId="1749"/>
    <cellStyle name="40% - Accent4 2 4 2" xfId="760"/>
    <cellStyle name="40% - Accent4 2 4 2 10" xfId="24135"/>
    <cellStyle name="40% - Accent4 2 4 2 11" xfId="28287"/>
    <cellStyle name="40% - Accent4 2 4 2 12" xfId="2079"/>
    <cellStyle name="40% - Accent4 2 4 2 2" xfId="1417"/>
    <cellStyle name="40% - Accent4 2 4 2 2 2" xfId="5448"/>
    <cellStyle name="40% - Accent4 2 4 2 2 2 2" xfId="10422"/>
    <cellStyle name="40% - Accent4 2 4 2 2 2 3" xfId="14699"/>
    <cellStyle name="40% - Accent4 2 4 2 2 2 4" xfId="18958"/>
    <cellStyle name="40% - Accent4 2 4 2 2 2 5" xfId="23177"/>
    <cellStyle name="40% - Accent4 2 4 2 2 2 6" xfId="27372"/>
    <cellStyle name="40% - Accent4 2 4 2 2 2 7" xfId="31268"/>
    <cellStyle name="40% - Accent4 2 4 2 2 3" xfId="8725"/>
    <cellStyle name="40% - Accent4 2 4 2 2 4" xfId="13010"/>
    <cellStyle name="40% - Accent4 2 4 2 2 5" xfId="17282"/>
    <cellStyle name="40% - Accent4 2 4 2 2 6" xfId="21517"/>
    <cellStyle name="40% - Accent4 2 4 2 2 7" xfId="25755"/>
    <cellStyle name="40% - Accent4 2 4 2 2 8" xfId="29833"/>
    <cellStyle name="40% - Accent4 2 4 2 2 9" xfId="3749"/>
    <cellStyle name="40% - Accent4 2 4 2 3" xfId="2901"/>
    <cellStyle name="40% - Accent4 2 4 2 3 2" xfId="7878"/>
    <cellStyle name="40% - Accent4 2 4 2 3 3" xfId="12167"/>
    <cellStyle name="40% - Accent4 2 4 2 3 4" xfId="16443"/>
    <cellStyle name="40% - Accent4 2 4 2 3 5" xfId="20682"/>
    <cellStyle name="40% - Accent4 2 4 2 3 6" xfId="24932"/>
    <cellStyle name="40% - Accent4 2 4 2 3 7" xfId="29026"/>
    <cellStyle name="40% - Accent4 2 4 2 4" xfId="4791"/>
    <cellStyle name="40% - Accent4 2 4 2 4 2" xfId="9765"/>
    <cellStyle name="40% - Accent4 2 4 2 4 3" xfId="14042"/>
    <cellStyle name="40% - Accent4 2 4 2 4 4" xfId="18301"/>
    <cellStyle name="40% - Accent4 2 4 2 4 5" xfId="22520"/>
    <cellStyle name="40% - Accent4 2 4 2 4 6" xfId="26715"/>
    <cellStyle name="40% - Accent4 2 4 2 4 7" xfId="30611"/>
    <cellStyle name="40% - Accent4 2 4 2 5" xfId="6139"/>
    <cellStyle name="40% - Accent4 2 4 2 5 2" xfId="11111"/>
    <cellStyle name="40% - Accent4 2 4 2 5 3" xfId="15389"/>
    <cellStyle name="40% - Accent4 2 4 2 5 4" xfId="19646"/>
    <cellStyle name="40% - Accent4 2 4 2 5 5" xfId="23863"/>
    <cellStyle name="40% - Accent4 2 4 2 5 6" xfId="28049"/>
    <cellStyle name="40% - Accent4 2 4 2 5 7" xfId="31928"/>
    <cellStyle name="40% - Accent4 2 4 2 6" xfId="7057"/>
    <cellStyle name="40% - Accent4 2 4 2 7" xfId="11349"/>
    <cellStyle name="40% - Accent4 2 4 2 8" xfId="15627"/>
    <cellStyle name="40% - Accent4 2 4 2 9" xfId="19884"/>
    <cellStyle name="40% - Accent4 2 4 3" xfId="1088"/>
    <cellStyle name="40% - Accent4 2 4 3 2" xfId="5119"/>
    <cellStyle name="40% - Accent4 2 4 3 2 2" xfId="10093"/>
    <cellStyle name="40% - Accent4 2 4 3 2 3" xfId="14370"/>
    <cellStyle name="40% - Accent4 2 4 3 2 4" xfId="18629"/>
    <cellStyle name="40% - Accent4 2 4 3 2 5" xfId="22848"/>
    <cellStyle name="40% - Accent4 2 4 3 2 6" xfId="27043"/>
    <cellStyle name="40% - Accent4 2 4 3 2 7" xfId="30939"/>
    <cellStyle name="40% - Accent4 2 4 3 3" xfId="8314"/>
    <cellStyle name="40% - Accent4 2 4 3 4" xfId="12599"/>
    <cellStyle name="40% - Accent4 2 4 3 5" xfId="16871"/>
    <cellStyle name="40% - Accent4 2 4 3 6" xfId="21106"/>
    <cellStyle name="40% - Accent4 2 4 3 7" xfId="25344"/>
    <cellStyle name="40% - Accent4 2 4 3 8" xfId="29422"/>
    <cellStyle name="40% - Accent4 2 4 3 9" xfId="3338"/>
    <cellStyle name="40% - Accent4 2 4 4" xfId="2477"/>
    <cellStyle name="40% - Accent4 2 4 4 2" xfId="7454"/>
    <cellStyle name="40% - Accent4 2 4 4 3" xfId="11743"/>
    <cellStyle name="40% - Accent4 2 4 4 4" xfId="16021"/>
    <cellStyle name="40% - Accent4 2 4 4 5" xfId="20264"/>
    <cellStyle name="40% - Accent4 2 4 4 6" xfId="24510"/>
    <cellStyle name="40% - Accent4 2 4 4 7" xfId="28615"/>
    <cellStyle name="40% - Accent4 2 4 5" xfId="4168"/>
    <cellStyle name="40% - Accent4 2 4 6" xfId="4461"/>
    <cellStyle name="40% - Accent4 2 4 6 2" xfId="9435"/>
    <cellStyle name="40% - Accent4 2 4 6 3" xfId="13712"/>
    <cellStyle name="40% - Accent4 2 4 6 4" xfId="17972"/>
    <cellStyle name="40% - Accent4 2 4 6 5" xfId="22190"/>
    <cellStyle name="40% - Accent4 2 4 6 6" xfId="26386"/>
    <cellStyle name="40% - Accent4 2 4 6 7" xfId="30282"/>
    <cellStyle name="40% - Accent4 2 4 7" xfId="5810"/>
    <cellStyle name="40% - Accent4 2 4 7 2" xfId="10782"/>
    <cellStyle name="40% - Accent4 2 4 7 3" xfId="15060"/>
    <cellStyle name="40% - Accent4 2 4 7 4" xfId="19317"/>
    <cellStyle name="40% - Accent4 2 4 7 5" xfId="23534"/>
    <cellStyle name="40% - Accent4 2 4 7 6" xfId="27720"/>
    <cellStyle name="40% - Accent4 2 4 7 7" xfId="31599"/>
    <cellStyle name="40% - Accent4 2 4 8" xfId="6684"/>
    <cellStyle name="40% - Accent4 2 4 9" xfId="9099"/>
    <cellStyle name="40% - Accent4 2 5" xfId="501"/>
    <cellStyle name="40% - Accent4 2 5 10" xfId="11705"/>
    <cellStyle name="40% - Accent4 2 5 11" xfId="11675"/>
    <cellStyle name="40% - Accent4 2 5 12" xfId="21762"/>
    <cellStyle name="40% - Accent4 2 5 13" xfId="1864"/>
    <cellStyle name="40% - Accent4 2 5 2" xfId="875"/>
    <cellStyle name="40% - Accent4 2 5 2 10" xfId="24250"/>
    <cellStyle name="40% - Accent4 2 5 2 11" xfId="28402"/>
    <cellStyle name="40% - Accent4 2 5 2 12" xfId="2194"/>
    <cellStyle name="40% - Accent4 2 5 2 2" xfId="1532"/>
    <cellStyle name="40% - Accent4 2 5 2 2 2" xfId="5563"/>
    <cellStyle name="40% - Accent4 2 5 2 2 2 2" xfId="10537"/>
    <cellStyle name="40% - Accent4 2 5 2 2 2 3" xfId="14814"/>
    <cellStyle name="40% - Accent4 2 5 2 2 2 4" xfId="19073"/>
    <cellStyle name="40% - Accent4 2 5 2 2 2 5" xfId="23292"/>
    <cellStyle name="40% - Accent4 2 5 2 2 2 6" xfId="27487"/>
    <cellStyle name="40% - Accent4 2 5 2 2 2 7" xfId="31383"/>
    <cellStyle name="40% - Accent4 2 5 2 2 3" xfId="8726"/>
    <cellStyle name="40% - Accent4 2 5 2 2 4" xfId="13011"/>
    <cellStyle name="40% - Accent4 2 5 2 2 5" xfId="17283"/>
    <cellStyle name="40% - Accent4 2 5 2 2 6" xfId="21518"/>
    <cellStyle name="40% - Accent4 2 5 2 2 7" xfId="25756"/>
    <cellStyle name="40% - Accent4 2 5 2 2 8" xfId="29834"/>
    <cellStyle name="40% - Accent4 2 5 2 2 9" xfId="3750"/>
    <cellStyle name="40% - Accent4 2 5 2 3" xfId="2902"/>
    <cellStyle name="40% - Accent4 2 5 2 3 2" xfId="7879"/>
    <cellStyle name="40% - Accent4 2 5 2 3 3" xfId="12168"/>
    <cellStyle name="40% - Accent4 2 5 2 3 4" xfId="16444"/>
    <cellStyle name="40% - Accent4 2 5 2 3 5" xfId="20683"/>
    <cellStyle name="40% - Accent4 2 5 2 3 6" xfId="24933"/>
    <cellStyle name="40% - Accent4 2 5 2 3 7" xfId="29027"/>
    <cellStyle name="40% - Accent4 2 5 2 4" xfId="4906"/>
    <cellStyle name="40% - Accent4 2 5 2 4 2" xfId="9880"/>
    <cellStyle name="40% - Accent4 2 5 2 4 3" xfId="14157"/>
    <cellStyle name="40% - Accent4 2 5 2 4 4" xfId="18416"/>
    <cellStyle name="40% - Accent4 2 5 2 4 5" xfId="22635"/>
    <cellStyle name="40% - Accent4 2 5 2 4 6" xfId="26830"/>
    <cellStyle name="40% - Accent4 2 5 2 4 7" xfId="30726"/>
    <cellStyle name="40% - Accent4 2 5 2 5" xfId="6254"/>
    <cellStyle name="40% - Accent4 2 5 2 5 2" xfId="11226"/>
    <cellStyle name="40% - Accent4 2 5 2 5 3" xfId="15504"/>
    <cellStyle name="40% - Accent4 2 5 2 5 4" xfId="19761"/>
    <cellStyle name="40% - Accent4 2 5 2 5 5" xfId="23978"/>
    <cellStyle name="40% - Accent4 2 5 2 5 6" xfId="28164"/>
    <cellStyle name="40% - Accent4 2 5 2 5 7" xfId="32043"/>
    <cellStyle name="40% - Accent4 2 5 2 6" xfId="7172"/>
    <cellStyle name="40% - Accent4 2 5 2 7" xfId="11464"/>
    <cellStyle name="40% - Accent4 2 5 2 8" xfId="15742"/>
    <cellStyle name="40% - Accent4 2 5 2 9" xfId="19999"/>
    <cellStyle name="40% - Accent4 2 5 3" xfId="1203"/>
    <cellStyle name="40% - Accent4 2 5 3 2" xfId="5234"/>
    <cellStyle name="40% - Accent4 2 5 3 2 2" xfId="10208"/>
    <cellStyle name="40% - Accent4 2 5 3 2 3" xfId="14485"/>
    <cellStyle name="40% - Accent4 2 5 3 2 4" xfId="18744"/>
    <cellStyle name="40% - Accent4 2 5 3 2 5" xfId="22963"/>
    <cellStyle name="40% - Accent4 2 5 3 2 6" xfId="27158"/>
    <cellStyle name="40% - Accent4 2 5 3 2 7" xfId="31054"/>
    <cellStyle name="40% - Accent4 2 5 3 3" xfId="8444"/>
    <cellStyle name="40% - Accent4 2 5 3 4" xfId="12729"/>
    <cellStyle name="40% - Accent4 2 5 3 5" xfId="17001"/>
    <cellStyle name="40% - Accent4 2 5 3 6" xfId="21236"/>
    <cellStyle name="40% - Accent4 2 5 3 7" xfId="25474"/>
    <cellStyle name="40% - Accent4 2 5 3 8" xfId="29552"/>
    <cellStyle name="40% - Accent4 2 5 3 9" xfId="3468"/>
    <cellStyle name="40% - Accent4 2 5 4" xfId="2610"/>
    <cellStyle name="40% - Accent4 2 5 4 2" xfId="7587"/>
    <cellStyle name="40% - Accent4 2 5 4 3" xfId="11876"/>
    <cellStyle name="40% - Accent4 2 5 4 4" xfId="16152"/>
    <cellStyle name="40% - Accent4 2 5 4 5" xfId="20395"/>
    <cellStyle name="40% - Accent4 2 5 4 6" xfId="24641"/>
    <cellStyle name="40% - Accent4 2 5 4 7" xfId="28745"/>
    <cellStyle name="40% - Accent4 2 5 5" xfId="4576"/>
    <cellStyle name="40% - Accent4 2 5 5 2" xfId="9550"/>
    <cellStyle name="40% - Accent4 2 5 5 3" xfId="13827"/>
    <cellStyle name="40% - Accent4 2 5 5 4" xfId="18087"/>
    <cellStyle name="40% - Accent4 2 5 5 5" xfId="22305"/>
    <cellStyle name="40% - Accent4 2 5 5 6" xfId="26501"/>
    <cellStyle name="40% - Accent4 2 5 5 7" xfId="30397"/>
    <cellStyle name="40% - Accent4 2 5 6" xfId="5925"/>
    <cellStyle name="40% - Accent4 2 5 6 2" xfId="10897"/>
    <cellStyle name="40% - Accent4 2 5 6 3" xfId="15175"/>
    <cellStyle name="40% - Accent4 2 5 6 4" xfId="19432"/>
    <cellStyle name="40% - Accent4 2 5 6 5" xfId="23649"/>
    <cellStyle name="40% - Accent4 2 5 6 6" xfId="27835"/>
    <cellStyle name="40% - Accent4 2 5 6 7" xfId="31714"/>
    <cellStyle name="40% - Accent4 2 5 7" xfId="6799"/>
    <cellStyle name="40% - Accent4 2 5 8" xfId="6389"/>
    <cellStyle name="40% - Accent4 2 5 9" xfId="7417"/>
    <cellStyle name="40% - Accent4 2 6" xfId="602"/>
    <cellStyle name="40% - Accent4 2 6 10" xfId="7560"/>
    <cellStyle name="40% - Accent4 2 6 11" xfId="20221"/>
    <cellStyle name="40% - Accent4 2 6 12" xfId="21807"/>
    <cellStyle name="40% - Accent4 2 6 13" xfId="1921"/>
    <cellStyle name="40% - Accent4 2 6 2" xfId="1259"/>
    <cellStyle name="40% - Accent4 2 6 2 10" xfId="2904"/>
    <cellStyle name="40% - Accent4 2 6 2 2" xfId="3752"/>
    <cellStyle name="40% - Accent4 2 6 2 2 2" xfId="8728"/>
    <cellStyle name="40% - Accent4 2 6 2 2 3" xfId="13013"/>
    <cellStyle name="40% - Accent4 2 6 2 2 4" xfId="17285"/>
    <cellStyle name="40% - Accent4 2 6 2 2 5" xfId="21520"/>
    <cellStyle name="40% - Accent4 2 6 2 2 6" xfId="25758"/>
    <cellStyle name="40% - Accent4 2 6 2 2 7" xfId="29836"/>
    <cellStyle name="40% - Accent4 2 6 2 3" xfId="5290"/>
    <cellStyle name="40% - Accent4 2 6 2 3 2" xfId="10264"/>
    <cellStyle name="40% - Accent4 2 6 2 3 3" xfId="14541"/>
    <cellStyle name="40% - Accent4 2 6 2 3 4" xfId="18800"/>
    <cellStyle name="40% - Accent4 2 6 2 3 5" xfId="23019"/>
    <cellStyle name="40% - Accent4 2 6 2 3 6" xfId="27214"/>
    <cellStyle name="40% - Accent4 2 6 2 3 7" xfId="31110"/>
    <cellStyle name="40% - Accent4 2 6 2 4" xfId="7881"/>
    <cellStyle name="40% - Accent4 2 6 2 5" xfId="12170"/>
    <cellStyle name="40% - Accent4 2 6 2 6" xfId="16446"/>
    <cellStyle name="40% - Accent4 2 6 2 7" xfId="20685"/>
    <cellStyle name="40% - Accent4 2 6 2 8" xfId="24935"/>
    <cellStyle name="40% - Accent4 2 6 2 9" xfId="29029"/>
    <cellStyle name="40% - Accent4 2 6 3" xfId="3751"/>
    <cellStyle name="40% - Accent4 2 6 3 2" xfId="8727"/>
    <cellStyle name="40% - Accent4 2 6 3 3" xfId="13012"/>
    <cellStyle name="40% - Accent4 2 6 3 4" xfId="17284"/>
    <cellStyle name="40% - Accent4 2 6 3 5" xfId="21519"/>
    <cellStyle name="40% - Accent4 2 6 3 6" xfId="25757"/>
    <cellStyle name="40% - Accent4 2 6 3 7" xfId="29835"/>
    <cellStyle name="40% - Accent4 2 6 4" xfId="2903"/>
    <cellStyle name="40% - Accent4 2 6 4 2" xfId="7880"/>
    <cellStyle name="40% - Accent4 2 6 4 3" xfId="12169"/>
    <cellStyle name="40% - Accent4 2 6 4 4" xfId="16445"/>
    <cellStyle name="40% - Accent4 2 6 4 5" xfId="20684"/>
    <cellStyle name="40% - Accent4 2 6 4 6" xfId="24934"/>
    <cellStyle name="40% - Accent4 2 6 4 7" xfId="29028"/>
    <cellStyle name="40% - Accent4 2 6 5" xfId="4633"/>
    <cellStyle name="40% - Accent4 2 6 5 2" xfId="9607"/>
    <cellStyle name="40% - Accent4 2 6 5 3" xfId="13884"/>
    <cellStyle name="40% - Accent4 2 6 5 4" xfId="18143"/>
    <cellStyle name="40% - Accent4 2 6 5 5" xfId="22362"/>
    <cellStyle name="40% - Accent4 2 6 5 6" xfId="26557"/>
    <cellStyle name="40% - Accent4 2 6 5 7" xfId="30453"/>
    <cellStyle name="40% - Accent4 2 6 6" xfId="5981"/>
    <cellStyle name="40% - Accent4 2 6 6 2" xfId="10953"/>
    <cellStyle name="40% - Accent4 2 6 6 3" xfId="15231"/>
    <cellStyle name="40% - Accent4 2 6 6 4" xfId="19488"/>
    <cellStyle name="40% - Accent4 2 6 6 5" xfId="23705"/>
    <cellStyle name="40% - Accent4 2 6 6 6" xfId="27891"/>
    <cellStyle name="40% - Accent4 2 6 6 7" xfId="31770"/>
    <cellStyle name="40% - Accent4 2 6 7" xfId="6899"/>
    <cellStyle name="40% - Accent4 2 6 8" xfId="6309"/>
    <cellStyle name="40% - Accent4 2 6 9" xfId="6485"/>
    <cellStyle name="40% - Accent4 2 7" xfId="930"/>
    <cellStyle name="40% - Accent4 2 7 10" xfId="2905"/>
    <cellStyle name="40% - Accent4 2 7 2" xfId="3753"/>
    <cellStyle name="40% - Accent4 2 7 2 2" xfId="8729"/>
    <cellStyle name="40% - Accent4 2 7 2 3" xfId="13014"/>
    <cellStyle name="40% - Accent4 2 7 2 4" xfId="17286"/>
    <cellStyle name="40% - Accent4 2 7 2 5" xfId="21521"/>
    <cellStyle name="40% - Accent4 2 7 2 6" xfId="25759"/>
    <cellStyle name="40% - Accent4 2 7 2 7" xfId="29837"/>
    <cellStyle name="40% - Accent4 2 7 3" xfId="4961"/>
    <cellStyle name="40% - Accent4 2 7 3 2" xfId="9935"/>
    <cellStyle name="40% - Accent4 2 7 3 3" xfId="14212"/>
    <cellStyle name="40% - Accent4 2 7 3 4" xfId="18471"/>
    <cellStyle name="40% - Accent4 2 7 3 5" xfId="22690"/>
    <cellStyle name="40% - Accent4 2 7 3 6" xfId="26885"/>
    <cellStyle name="40% - Accent4 2 7 3 7" xfId="30781"/>
    <cellStyle name="40% - Accent4 2 7 4" xfId="7882"/>
    <cellStyle name="40% - Accent4 2 7 5" xfId="12171"/>
    <cellStyle name="40% - Accent4 2 7 6" xfId="16447"/>
    <cellStyle name="40% - Accent4 2 7 7" xfId="20686"/>
    <cellStyle name="40% - Accent4 2 7 8" xfId="24936"/>
    <cellStyle name="40% - Accent4 2 7 9" xfId="29030"/>
    <cellStyle name="40% - Accent4 2 8" xfId="3173"/>
    <cellStyle name="40% - Accent4 2 8 2" xfId="8149"/>
    <cellStyle name="40% - Accent4 2 8 3" xfId="12435"/>
    <cellStyle name="40% - Accent4 2 8 4" xfId="16709"/>
    <cellStyle name="40% - Accent4 2 8 5" xfId="20945"/>
    <cellStyle name="40% - Accent4 2 8 6" xfId="25185"/>
    <cellStyle name="40% - Accent4 2 8 7" xfId="29266"/>
    <cellStyle name="40% - Accent4 2 9" xfId="2259"/>
    <cellStyle name="40% - Accent4 2 9 2" xfId="7237"/>
    <cellStyle name="40% - Accent4 2 9 3" xfId="11527"/>
    <cellStyle name="40% - Accent4 2 9 4" xfId="15806"/>
    <cellStyle name="40% - Accent4 2 9 5" xfId="20061"/>
    <cellStyle name="40% - Accent4 2 9 6" xfId="24311"/>
    <cellStyle name="40% - Accent4 2 9 7" xfId="28457"/>
    <cellStyle name="40% - Accent4 3" xfId="129"/>
    <cellStyle name="40% - Accent4 3 2" xfId="4236"/>
    <cellStyle name="40% - Accent4 3 3" xfId="4136"/>
    <cellStyle name="40% - Accent4 4" xfId="113"/>
    <cellStyle name="40% - Accent4 4 10" xfId="5672"/>
    <cellStyle name="40% - Accent4 4 10 2" xfId="10644"/>
    <cellStyle name="40% - Accent4 4 10 3" xfId="14922"/>
    <cellStyle name="40% - Accent4 4 10 4" xfId="19179"/>
    <cellStyle name="40% - Accent4 4 10 5" xfId="23396"/>
    <cellStyle name="40% - Accent4 4 10 6" xfId="27582"/>
    <cellStyle name="40% - Accent4 4 10 7" xfId="31461"/>
    <cellStyle name="40% - Accent4 4 11" xfId="6413"/>
    <cellStyle name="40% - Accent4 4 12" xfId="9184"/>
    <cellStyle name="40% - Accent4 4 13" xfId="13464"/>
    <cellStyle name="40% - Accent4 4 14" xfId="17727"/>
    <cellStyle name="40% - Accent4 4 15" xfId="20776"/>
    <cellStyle name="40% - Accent4 4 16" xfId="26155"/>
    <cellStyle name="40% - Accent4 4 17" xfId="1607"/>
    <cellStyle name="40% - Accent4 4 2" xfId="304"/>
    <cellStyle name="40% - Accent4 4 2 10" xfId="11621"/>
    <cellStyle name="40% - Accent4 4 2 11" xfId="15900"/>
    <cellStyle name="40% - Accent4 4 2 12" xfId="21933"/>
    <cellStyle name="40% - Accent4 4 2 13" xfId="24397"/>
    <cellStyle name="40% - Accent4 4 2 14" xfId="1676"/>
    <cellStyle name="40% - Accent4 4 2 2" xfId="468"/>
    <cellStyle name="40% - Accent4 4 2 2 10" xfId="13345"/>
    <cellStyle name="40% - Accent4 4 2 2 11" xfId="17518"/>
    <cellStyle name="40% - Accent4 4 2 2 12" xfId="21937"/>
    <cellStyle name="40% - Accent4 4 2 2 13" xfId="1831"/>
    <cellStyle name="40% - Accent4 4 2 2 2" xfId="842"/>
    <cellStyle name="40% - Accent4 4 2 2 2 10" xfId="24217"/>
    <cellStyle name="40% - Accent4 4 2 2 2 11" xfId="28369"/>
    <cellStyle name="40% - Accent4 4 2 2 2 12" xfId="2161"/>
    <cellStyle name="40% - Accent4 4 2 2 2 2" xfId="1499"/>
    <cellStyle name="40% - Accent4 4 2 2 2 2 2" xfId="5530"/>
    <cellStyle name="40% - Accent4 4 2 2 2 2 2 2" xfId="10504"/>
    <cellStyle name="40% - Accent4 4 2 2 2 2 2 3" xfId="14781"/>
    <cellStyle name="40% - Accent4 4 2 2 2 2 2 4" xfId="19040"/>
    <cellStyle name="40% - Accent4 4 2 2 2 2 2 5" xfId="23259"/>
    <cellStyle name="40% - Accent4 4 2 2 2 2 2 6" xfId="27454"/>
    <cellStyle name="40% - Accent4 4 2 2 2 2 2 7" xfId="31350"/>
    <cellStyle name="40% - Accent4 4 2 2 2 2 3" xfId="8730"/>
    <cellStyle name="40% - Accent4 4 2 2 2 2 4" xfId="13015"/>
    <cellStyle name="40% - Accent4 4 2 2 2 2 5" xfId="17287"/>
    <cellStyle name="40% - Accent4 4 2 2 2 2 6" xfId="21522"/>
    <cellStyle name="40% - Accent4 4 2 2 2 2 7" xfId="25760"/>
    <cellStyle name="40% - Accent4 4 2 2 2 2 8" xfId="29838"/>
    <cellStyle name="40% - Accent4 4 2 2 2 2 9" xfId="3754"/>
    <cellStyle name="40% - Accent4 4 2 2 2 3" xfId="2906"/>
    <cellStyle name="40% - Accent4 4 2 2 2 3 2" xfId="7883"/>
    <cellStyle name="40% - Accent4 4 2 2 2 3 3" xfId="12172"/>
    <cellStyle name="40% - Accent4 4 2 2 2 3 4" xfId="16448"/>
    <cellStyle name="40% - Accent4 4 2 2 2 3 5" xfId="20687"/>
    <cellStyle name="40% - Accent4 4 2 2 2 3 6" xfId="24937"/>
    <cellStyle name="40% - Accent4 4 2 2 2 3 7" xfId="29031"/>
    <cellStyle name="40% - Accent4 4 2 2 2 4" xfId="4873"/>
    <cellStyle name="40% - Accent4 4 2 2 2 4 2" xfId="9847"/>
    <cellStyle name="40% - Accent4 4 2 2 2 4 3" xfId="14124"/>
    <cellStyle name="40% - Accent4 4 2 2 2 4 4" xfId="18383"/>
    <cellStyle name="40% - Accent4 4 2 2 2 4 5" xfId="22602"/>
    <cellStyle name="40% - Accent4 4 2 2 2 4 6" xfId="26797"/>
    <cellStyle name="40% - Accent4 4 2 2 2 4 7" xfId="30693"/>
    <cellStyle name="40% - Accent4 4 2 2 2 5" xfId="6221"/>
    <cellStyle name="40% - Accent4 4 2 2 2 5 2" xfId="11193"/>
    <cellStyle name="40% - Accent4 4 2 2 2 5 3" xfId="15471"/>
    <cellStyle name="40% - Accent4 4 2 2 2 5 4" xfId="19728"/>
    <cellStyle name="40% - Accent4 4 2 2 2 5 5" xfId="23945"/>
    <cellStyle name="40% - Accent4 4 2 2 2 5 6" xfId="28131"/>
    <cellStyle name="40% - Accent4 4 2 2 2 5 7" xfId="32010"/>
    <cellStyle name="40% - Accent4 4 2 2 2 6" xfId="7139"/>
    <cellStyle name="40% - Accent4 4 2 2 2 7" xfId="11431"/>
    <cellStyle name="40% - Accent4 4 2 2 2 8" xfId="15709"/>
    <cellStyle name="40% - Accent4 4 2 2 2 9" xfId="19966"/>
    <cellStyle name="40% - Accent4 4 2 2 3" xfId="1170"/>
    <cellStyle name="40% - Accent4 4 2 2 3 2" xfId="5201"/>
    <cellStyle name="40% - Accent4 4 2 2 3 2 2" xfId="10175"/>
    <cellStyle name="40% - Accent4 4 2 2 3 2 3" xfId="14452"/>
    <cellStyle name="40% - Accent4 4 2 2 3 2 4" xfId="18711"/>
    <cellStyle name="40% - Accent4 4 2 2 3 2 5" xfId="22930"/>
    <cellStyle name="40% - Accent4 4 2 2 3 2 6" xfId="27125"/>
    <cellStyle name="40% - Accent4 4 2 2 3 2 7" xfId="31021"/>
    <cellStyle name="40% - Accent4 4 2 2 3 3" xfId="8396"/>
    <cellStyle name="40% - Accent4 4 2 2 3 4" xfId="12681"/>
    <cellStyle name="40% - Accent4 4 2 2 3 5" xfId="16953"/>
    <cellStyle name="40% - Accent4 4 2 2 3 6" xfId="21188"/>
    <cellStyle name="40% - Accent4 4 2 2 3 7" xfId="25426"/>
    <cellStyle name="40% - Accent4 4 2 2 3 8" xfId="29504"/>
    <cellStyle name="40% - Accent4 4 2 2 3 9" xfId="3420"/>
    <cellStyle name="40% - Accent4 4 2 2 4" xfId="2559"/>
    <cellStyle name="40% - Accent4 4 2 2 4 2" xfId="7536"/>
    <cellStyle name="40% - Accent4 4 2 2 4 3" xfId="11825"/>
    <cellStyle name="40% - Accent4 4 2 2 4 4" xfId="16103"/>
    <cellStyle name="40% - Accent4 4 2 2 4 5" xfId="20346"/>
    <cellStyle name="40% - Accent4 4 2 2 4 6" xfId="24592"/>
    <cellStyle name="40% - Accent4 4 2 2 4 7" xfId="28697"/>
    <cellStyle name="40% - Accent4 4 2 2 5" xfId="4543"/>
    <cellStyle name="40% - Accent4 4 2 2 5 2" xfId="9517"/>
    <cellStyle name="40% - Accent4 4 2 2 5 3" xfId="13794"/>
    <cellStyle name="40% - Accent4 4 2 2 5 4" xfId="18054"/>
    <cellStyle name="40% - Accent4 4 2 2 5 5" xfId="22272"/>
    <cellStyle name="40% - Accent4 4 2 2 5 6" xfId="26468"/>
    <cellStyle name="40% - Accent4 4 2 2 5 7" xfId="30364"/>
    <cellStyle name="40% - Accent4 4 2 2 6" xfId="5892"/>
    <cellStyle name="40% - Accent4 4 2 2 6 2" xfId="10864"/>
    <cellStyle name="40% - Accent4 4 2 2 6 3" xfId="15142"/>
    <cellStyle name="40% - Accent4 4 2 2 6 4" xfId="19399"/>
    <cellStyle name="40% - Accent4 4 2 2 6 5" xfId="23616"/>
    <cellStyle name="40% - Accent4 4 2 2 6 6" xfId="27802"/>
    <cellStyle name="40% - Accent4 4 2 2 6 7" xfId="31681"/>
    <cellStyle name="40% - Accent4 4 2 2 7" xfId="6766"/>
    <cellStyle name="40% - Accent4 4 2 2 8" xfId="6552"/>
    <cellStyle name="40% - Accent4 4 2 2 9" xfId="9063"/>
    <cellStyle name="40% - Accent4 4 2 3" xfId="687"/>
    <cellStyle name="40% - Accent4 4 2 3 10" xfId="24062"/>
    <cellStyle name="40% - Accent4 4 2 3 11" xfId="28214"/>
    <cellStyle name="40% - Accent4 4 2 3 12" xfId="2006"/>
    <cellStyle name="40% - Accent4 4 2 3 2" xfId="1344"/>
    <cellStyle name="40% - Accent4 4 2 3 2 2" xfId="5375"/>
    <cellStyle name="40% - Accent4 4 2 3 2 2 2" xfId="10349"/>
    <cellStyle name="40% - Accent4 4 2 3 2 2 3" xfId="14626"/>
    <cellStyle name="40% - Accent4 4 2 3 2 2 4" xfId="18885"/>
    <cellStyle name="40% - Accent4 4 2 3 2 2 5" xfId="23104"/>
    <cellStyle name="40% - Accent4 4 2 3 2 2 6" xfId="27299"/>
    <cellStyle name="40% - Accent4 4 2 3 2 2 7" xfId="31195"/>
    <cellStyle name="40% - Accent4 4 2 3 2 3" xfId="8731"/>
    <cellStyle name="40% - Accent4 4 2 3 2 4" xfId="13016"/>
    <cellStyle name="40% - Accent4 4 2 3 2 5" xfId="17288"/>
    <cellStyle name="40% - Accent4 4 2 3 2 6" xfId="21523"/>
    <cellStyle name="40% - Accent4 4 2 3 2 7" xfId="25761"/>
    <cellStyle name="40% - Accent4 4 2 3 2 8" xfId="29839"/>
    <cellStyle name="40% - Accent4 4 2 3 2 9" xfId="3755"/>
    <cellStyle name="40% - Accent4 4 2 3 3" xfId="2907"/>
    <cellStyle name="40% - Accent4 4 2 3 3 2" xfId="7884"/>
    <cellStyle name="40% - Accent4 4 2 3 3 3" xfId="12173"/>
    <cellStyle name="40% - Accent4 4 2 3 3 4" xfId="16449"/>
    <cellStyle name="40% - Accent4 4 2 3 3 5" xfId="20688"/>
    <cellStyle name="40% - Accent4 4 2 3 3 6" xfId="24938"/>
    <cellStyle name="40% - Accent4 4 2 3 3 7" xfId="29032"/>
    <cellStyle name="40% - Accent4 4 2 3 4" xfId="4718"/>
    <cellStyle name="40% - Accent4 4 2 3 4 2" xfId="9692"/>
    <cellStyle name="40% - Accent4 4 2 3 4 3" xfId="13969"/>
    <cellStyle name="40% - Accent4 4 2 3 4 4" xfId="18228"/>
    <cellStyle name="40% - Accent4 4 2 3 4 5" xfId="22447"/>
    <cellStyle name="40% - Accent4 4 2 3 4 6" xfId="26642"/>
    <cellStyle name="40% - Accent4 4 2 3 4 7" xfId="30538"/>
    <cellStyle name="40% - Accent4 4 2 3 5" xfId="6066"/>
    <cellStyle name="40% - Accent4 4 2 3 5 2" xfId="11038"/>
    <cellStyle name="40% - Accent4 4 2 3 5 3" xfId="15316"/>
    <cellStyle name="40% - Accent4 4 2 3 5 4" xfId="19573"/>
    <cellStyle name="40% - Accent4 4 2 3 5 5" xfId="23790"/>
    <cellStyle name="40% - Accent4 4 2 3 5 6" xfId="27976"/>
    <cellStyle name="40% - Accent4 4 2 3 5 7" xfId="31855"/>
    <cellStyle name="40% - Accent4 4 2 3 6" xfId="6984"/>
    <cellStyle name="40% - Accent4 4 2 3 7" xfId="11276"/>
    <cellStyle name="40% - Accent4 4 2 3 8" xfId="15554"/>
    <cellStyle name="40% - Accent4 4 2 3 9" xfId="19811"/>
    <cellStyle name="40% - Accent4 4 2 4" xfId="1015"/>
    <cellStyle name="40% - Accent4 4 2 4 2" xfId="5046"/>
    <cellStyle name="40% - Accent4 4 2 4 2 2" xfId="10020"/>
    <cellStyle name="40% - Accent4 4 2 4 2 3" xfId="14297"/>
    <cellStyle name="40% - Accent4 4 2 4 2 4" xfId="18556"/>
    <cellStyle name="40% - Accent4 4 2 4 2 5" xfId="22775"/>
    <cellStyle name="40% - Accent4 4 2 4 2 6" xfId="26970"/>
    <cellStyle name="40% - Accent4 4 2 4 2 7" xfId="30866"/>
    <cellStyle name="40% - Accent4 4 2 4 3" xfId="8243"/>
    <cellStyle name="40% - Accent4 4 2 4 4" xfId="12528"/>
    <cellStyle name="40% - Accent4 4 2 4 5" xfId="16801"/>
    <cellStyle name="40% - Accent4 4 2 4 6" xfId="21037"/>
    <cellStyle name="40% - Accent4 4 2 4 7" xfId="25275"/>
    <cellStyle name="40% - Accent4 4 2 4 8" xfId="29353"/>
    <cellStyle name="40% - Accent4 4 2 4 9" xfId="3267"/>
    <cellStyle name="40% - Accent4 4 2 5" xfId="2383"/>
    <cellStyle name="40% - Accent4 4 2 5 2" xfId="7361"/>
    <cellStyle name="40% - Accent4 4 2 5 3" xfId="11650"/>
    <cellStyle name="40% - Accent4 4 2 5 4" xfId="15928"/>
    <cellStyle name="40% - Accent4 4 2 5 5" xfId="20177"/>
    <cellStyle name="40% - Accent4 4 2 5 6" xfId="24425"/>
    <cellStyle name="40% - Accent4 4 2 5 7" xfId="28545"/>
    <cellStyle name="40% - Accent4 4 2 6" xfId="4388"/>
    <cellStyle name="40% - Accent4 4 2 6 2" xfId="9362"/>
    <cellStyle name="40% - Accent4 4 2 6 3" xfId="13639"/>
    <cellStyle name="40% - Accent4 4 2 6 4" xfId="17899"/>
    <cellStyle name="40% - Accent4 4 2 6 5" xfId="22117"/>
    <cellStyle name="40% - Accent4 4 2 6 6" xfId="26313"/>
    <cellStyle name="40% - Accent4 4 2 6 7" xfId="30209"/>
    <cellStyle name="40% - Accent4 4 2 7" xfId="5737"/>
    <cellStyle name="40% - Accent4 4 2 7 2" xfId="10709"/>
    <cellStyle name="40% - Accent4 4 2 7 3" xfId="14987"/>
    <cellStyle name="40% - Accent4 4 2 7 4" xfId="19244"/>
    <cellStyle name="40% - Accent4 4 2 7 5" xfId="23461"/>
    <cellStyle name="40% - Accent4 4 2 7 6" xfId="27647"/>
    <cellStyle name="40% - Accent4 4 2 7 7" xfId="31526"/>
    <cellStyle name="40% - Accent4 4 2 8" xfId="6602"/>
    <cellStyle name="40% - Accent4 4 2 9" xfId="7332"/>
    <cellStyle name="40% - Accent4 4 3" xfId="406"/>
    <cellStyle name="40% - Accent4 4 3 10" xfId="17699"/>
    <cellStyle name="40% - Accent4 4 3 11" xfId="20057"/>
    <cellStyle name="40% - Accent4 4 3 12" xfId="26133"/>
    <cellStyle name="40% - Accent4 4 3 13" xfId="1769"/>
    <cellStyle name="40% - Accent4 4 3 2" xfId="780"/>
    <cellStyle name="40% - Accent4 4 3 2 10" xfId="24155"/>
    <cellStyle name="40% - Accent4 4 3 2 11" xfId="28307"/>
    <cellStyle name="40% - Accent4 4 3 2 12" xfId="2099"/>
    <cellStyle name="40% - Accent4 4 3 2 2" xfId="1437"/>
    <cellStyle name="40% - Accent4 4 3 2 2 2" xfId="5468"/>
    <cellStyle name="40% - Accent4 4 3 2 2 2 2" xfId="10442"/>
    <cellStyle name="40% - Accent4 4 3 2 2 2 3" xfId="14719"/>
    <cellStyle name="40% - Accent4 4 3 2 2 2 4" xfId="18978"/>
    <cellStyle name="40% - Accent4 4 3 2 2 2 5" xfId="23197"/>
    <cellStyle name="40% - Accent4 4 3 2 2 2 6" xfId="27392"/>
    <cellStyle name="40% - Accent4 4 3 2 2 2 7" xfId="31288"/>
    <cellStyle name="40% - Accent4 4 3 2 2 3" xfId="8732"/>
    <cellStyle name="40% - Accent4 4 3 2 2 4" xfId="13017"/>
    <cellStyle name="40% - Accent4 4 3 2 2 5" xfId="17289"/>
    <cellStyle name="40% - Accent4 4 3 2 2 6" xfId="21524"/>
    <cellStyle name="40% - Accent4 4 3 2 2 7" xfId="25762"/>
    <cellStyle name="40% - Accent4 4 3 2 2 8" xfId="29840"/>
    <cellStyle name="40% - Accent4 4 3 2 2 9" xfId="3756"/>
    <cellStyle name="40% - Accent4 4 3 2 3" xfId="2908"/>
    <cellStyle name="40% - Accent4 4 3 2 3 2" xfId="7885"/>
    <cellStyle name="40% - Accent4 4 3 2 3 3" xfId="12174"/>
    <cellStyle name="40% - Accent4 4 3 2 3 4" xfId="16450"/>
    <cellStyle name="40% - Accent4 4 3 2 3 5" xfId="20689"/>
    <cellStyle name="40% - Accent4 4 3 2 3 6" xfId="24939"/>
    <cellStyle name="40% - Accent4 4 3 2 3 7" xfId="29033"/>
    <cellStyle name="40% - Accent4 4 3 2 4" xfId="4811"/>
    <cellStyle name="40% - Accent4 4 3 2 4 2" xfId="9785"/>
    <cellStyle name="40% - Accent4 4 3 2 4 3" xfId="14062"/>
    <cellStyle name="40% - Accent4 4 3 2 4 4" xfId="18321"/>
    <cellStyle name="40% - Accent4 4 3 2 4 5" xfId="22540"/>
    <cellStyle name="40% - Accent4 4 3 2 4 6" xfId="26735"/>
    <cellStyle name="40% - Accent4 4 3 2 4 7" xfId="30631"/>
    <cellStyle name="40% - Accent4 4 3 2 5" xfId="6159"/>
    <cellStyle name="40% - Accent4 4 3 2 5 2" xfId="11131"/>
    <cellStyle name="40% - Accent4 4 3 2 5 3" xfId="15409"/>
    <cellStyle name="40% - Accent4 4 3 2 5 4" xfId="19666"/>
    <cellStyle name="40% - Accent4 4 3 2 5 5" xfId="23883"/>
    <cellStyle name="40% - Accent4 4 3 2 5 6" xfId="28069"/>
    <cellStyle name="40% - Accent4 4 3 2 5 7" xfId="31948"/>
    <cellStyle name="40% - Accent4 4 3 2 6" xfId="7077"/>
    <cellStyle name="40% - Accent4 4 3 2 7" xfId="11369"/>
    <cellStyle name="40% - Accent4 4 3 2 8" xfId="15647"/>
    <cellStyle name="40% - Accent4 4 3 2 9" xfId="19904"/>
    <cellStyle name="40% - Accent4 4 3 3" xfId="1108"/>
    <cellStyle name="40% - Accent4 4 3 3 2" xfId="5139"/>
    <cellStyle name="40% - Accent4 4 3 3 2 2" xfId="10113"/>
    <cellStyle name="40% - Accent4 4 3 3 2 3" xfId="14390"/>
    <cellStyle name="40% - Accent4 4 3 3 2 4" xfId="18649"/>
    <cellStyle name="40% - Accent4 4 3 3 2 5" xfId="22868"/>
    <cellStyle name="40% - Accent4 4 3 3 2 6" xfId="27063"/>
    <cellStyle name="40% - Accent4 4 3 3 2 7" xfId="30959"/>
    <cellStyle name="40% - Accent4 4 3 3 3" xfId="8334"/>
    <cellStyle name="40% - Accent4 4 3 3 4" xfId="12619"/>
    <cellStyle name="40% - Accent4 4 3 3 5" xfId="16891"/>
    <cellStyle name="40% - Accent4 4 3 3 6" xfId="21126"/>
    <cellStyle name="40% - Accent4 4 3 3 7" xfId="25364"/>
    <cellStyle name="40% - Accent4 4 3 3 8" xfId="29442"/>
    <cellStyle name="40% - Accent4 4 3 3 9" xfId="3358"/>
    <cellStyle name="40% - Accent4 4 3 4" xfId="2497"/>
    <cellStyle name="40% - Accent4 4 3 4 2" xfId="7474"/>
    <cellStyle name="40% - Accent4 4 3 4 3" xfId="11763"/>
    <cellStyle name="40% - Accent4 4 3 4 4" xfId="16041"/>
    <cellStyle name="40% - Accent4 4 3 4 5" xfId="20284"/>
    <cellStyle name="40% - Accent4 4 3 4 6" xfId="24530"/>
    <cellStyle name="40% - Accent4 4 3 4 7" xfId="28635"/>
    <cellStyle name="40% - Accent4 4 3 5" xfId="4481"/>
    <cellStyle name="40% - Accent4 4 3 5 2" xfId="9455"/>
    <cellStyle name="40% - Accent4 4 3 5 3" xfId="13732"/>
    <cellStyle name="40% - Accent4 4 3 5 4" xfId="17992"/>
    <cellStyle name="40% - Accent4 4 3 5 5" xfId="22210"/>
    <cellStyle name="40% - Accent4 4 3 5 6" xfId="26406"/>
    <cellStyle name="40% - Accent4 4 3 5 7" xfId="30302"/>
    <cellStyle name="40% - Accent4 4 3 6" xfId="5830"/>
    <cellStyle name="40% - Accent4 4 3 6 2" xfId="10802"/>
    <cellStyle name="40% - Accent4 4 3 6 3" xfId="15080"/>
    <cellStyle name="40% - Accent4 4 3 6 4" xfId="19337"/>
    <cellStyle name="40% - Accent4 4 3 6 5" xfId="23554"/>
    <cellStyle name="40% - Accent4 4 3 6 6" xfId="27740"/>
    <cellStyle name="40% - Accent4 4 3 6 7" xfId="31619"/>
    <cellStyle name="40% - Accent4 4 3 7" xfId="6704"/>
    <cellStyle name="40% - Accent4 4 3 8" xfId="9153"/>
    <cellStyle name="40% - Accent4 4 3 9" xfId="13434"/>
    <cellStyle name="40% - Accent4 4 4" xfId="520"/>
    <cellStyle name="40% - Accent4 4 4 10" xfId="12508"/>
    <cellStyle name="40% - Accent4 4 4 11" xfId="23358"/>
    <cellStyle name="40% - Accent4 4 4 12" xfId="17660"/>
    <cellStyle name="40% - Accent4 4 4 13" xfId="1883"/>
    <cellStyle name="40% - Accent4 4 4 2" xfId="894"/>
    <cellStyle name="40% - Accent4 4 4 2 10" xfId="24269"/>
    <cellStyle name="40% - Accent4 4 4 2 11" xfId="28421"/>
    <cellStyle name="40% - Accent4 4 4 2 12" xfId="2213"/>
    <cellStyle name="40% - Accent4 4 4 2 2" xfId="1551"/>
    <cellStyle name="40% - Accent4 4 4 2 2 2" xfId="5582"/>
    <cellStyle name="40% - Accent4 4 4 2 2 2 2" xfId="10556"/>
    <cellStyle name="40% - Accent4 4 4 2 2 2 3" xfId="14833"/>
    <cellStyle name="40% - Accent4 4 4 2 2 2 4" xfId="19092"/>
    <cellStyle name="40% - Accent4 4 4 2 2 2 5" xfId="23311"/>
    <cellStyle name="40% - Accent4 4 4 2 2 2 6" xfId="27506"/>
    <cellStyle name="40% - Accent4 4 4 2 2 2 7" xfId="31402"/>
    <cellStyle name="40% - Accent4 4 4 2 2 3" xfId="8733"/>
    <cellStyle name="40% - Accent4 4 4 2 2 4" xfId="13018"/>
    <cellStyle name="40% - Accent4 4 4 2 2 5" xfId="17290"/>
    <cellStyle name="40% - Accent4 4 4 2 2 6" xfId="21525"/>
    <cellStyle name="40% - Accent4 4 4 2 2 7" xfId="25763"/>
    <cellStyle name="40% - Accent4 4 4 2 2 8" xfId="29841"/>
    <cellStyle name="40% - Accent4 4 4 2 2 9" xfId="3757"/>
    <cellStyle name="40% - Accent4 4 4 2 3" xfId="2909"/>
    <cellStyle name="40% - Accent4 4 4 2 3 2" xfId="7886"/>
    <cellStyle name="40% - Accent4 4 4 2 3 3" xfId="12175"/>
    <cellStyle name="40% - Accent4 4 4 2 3 4" xfId="16451"/>
    <cellStyle name="40% - Accent4 4 4 2 3 5" xfId="20690"/>
    <cellStyle name="40% - Accent4 4 4 2 3 6" xfId="24940"/>
    <cellStyle name="40% - Accent4 4 4 2 3 7" xfId="29034"/>
    <cellStyle name="40% - Accent4 4 4 2 4" xfId="4925"/>
    <cellStyle name="40% - Accent4 4 4 2 4 2" xfId="9899"/>
    <cellStyle name="40% - Accent4 4 4 2 4 3" xfId="14176"/>
    <cellStyle name="40% - Accent4 4 4 2 4 4" xfId="18435"/>
    <cellStyle name="40% - Accent4 4 4 2 4 5" xfId="22654"/>
    <cellStyle name="40% - Accent4 4 4 2 4 6" xfId="26849"/>
    <cellStyle name="40% - Accent4 4 4 2 4 7" xfId="30745"/>
    <cellStyle name="40% - Accent4 4 4 2 5" xfId="6273"/>
    <cellStyle name="40% - Accent4 4 4 2 5 2" xfId="11245"/>
    <cellStyle name="40% - Accent4 4 4 2 5 3" xfId="15523"/>
    <cellStyle name="40% - Accent4 4 4 2 5 4" xfId="19780"/>
    <cellStyle name="40% - Accent4 4 4 2 5 5" xfId="23997"/>
    <cellStyle name="40% - Accent4 4 4 2 5 6" xfId="28183"/>
    <cellStyle name="40% - Accent4 4 4 2 5 7" xfId="32062"/>
    <cellStyle name="40% - Accent4 4 4 2 6" xfId="7191"/>
    <cellStyle name="40% - Accent4 4 4 2 7" xfId="11483"/>
    <cellStyle name="40% - Accent4 4 4 2 8" xfId="15761"/>
    <cellStyle name="40% - Accent4 4 4 2 9" xfId="20018"/>
    <cellStyle name="40% - Accent4 4 4 3" xfId="1222"/>
    <cellStyle name="40% - Accent4 4 4 3 2" xfId="5253"/>
    <cellStyle name="40% - Accent4 4 4 3 2 2" xfId="10227"/>
    <cellStyle name="40% - Accent4 4 4 3 2 3" xfId="14504"/>
    <cellStyle name="40% - Accent4 4 4 3 2 4" xfId="18763"/>
    <cellStyle name="40% - Accent4 4 4 3 2 5" xfId="22982"/>
    <cellStyle name="40% - Accent4 4 4 3 2 6" xfId="27177"/>
    <cellStyle name="40% - Accent4 4 4 3 2 7" xfId="31073"/>
    <cellStyle name="40% - Accent4 4 4 3 3" xfId="8463"/>
    <cellStyle name="40% - Accent4 4 4 3 4" xfId="12748"/>
    <cellStyle name="40% - Accent4 4 4 3 5" xfId="17020"/>
    <cellStyle name="40% - Accent4 4 4 3 6" xfId="21255"/>
    <cellStyle name="40% - Accent4 4 4 3 7" xfId="25493"/>
    <cellStyle name="40% - Accent4 4 4 3 8" xfId="29571"/>
    <cellStyle name="40% - Accent4 4 4 3 9" xfId="3487"/>
    <cellStyle name="40% - Accent4 4 4 4" xfId="2630"/>
    <cellStyle name="40% - Accent4 4 4 4 2" xfId="7607"/>
    <cellStyle name="40% - Accent4 4 4 4 3" xfId="11896"/>
    <cellStyle name="40% - Accent4 4 4 4 4" xfId="16172"/>
    <cellStyle name="40% - Accent4 4 4 4 5" xfId="20414"/>
    <cellStyle name="40% - Accent4 4 4 4 6" xfId="24661"/>
    <cellStyle name="40% - Accent4 4 4 4 7" xfId="28764"/>
    <cellStyle name="40% - Accent4 4 4 5" xfId="4595"/>
    <cellStyle name="40% - Accent4 4 4 5 2" xfId="9569"/>
    <cellStyle name="40% - Accent4 4 4 5 3" xfId="13846"/>
    <cellStyle name="40% - Accent4 4 4 5 4" xfId="18106"/>
    <cellStyle name="40% - Accent4 4 4 5 5" xfId="22324"/>
    <cellStyle name="40% - Accent4 4 4 5 6" xfId="26520"/>
    <cellStyle name="40% - Accent4 4 4 5 7" xfId="30416"/>
    <cellStyle name="40% - Accent4 4 4 6" xfId="5944"/>
    <cellStyle name="40% - Accent4 4 4 6 2" xfId="10916"/>
    <cellStyle name="40% - Accent4 4 4 6 3" xfId="15194"/>
    <cellStyle name="40% - Accent4 4 4 6 4" xfId="19451"/>
    <cellStyle name="40% - Accent4 4 4 6 5" xfId="23668"/>
    <cellStyle name="40% - Accent4 4 4 6 6" xfId="27854"/>
    <cellStyle name="40% - Accent4 4 4 6 7" xfId="31733"/>
    <cellStyle name="40% - Accent4 4 4 7" xfId="6818"/>
    <cellStyle name="40% - Accent4 4 4 8" xfId="6320"/>
    <cellStyle name="40% - Accent4 4 4 9" xfId="8223"/>
    <cellStyle name="40% - Accent4 4 5" xfId="621"/>
    <cellStyle name="40% - Accent4 4 5 10" xfId="17661"/>
    <cellStyle name="40% - Accent4 4 5 11" xfId="20134"/>
    <cellStyle name="40% - Accent4 4 5 12" xfId="26104"/>
    <cellStyle name="40% - Accent4 4 5 13" xfId="1940"/>
    <cellStyle name="40% - Accent4 4 5 2" xfId="1278"/>
    <cellStyle name="40% - Accent4 4 5 2 10" xfId="2911"/>
    <cellStyle name="40% - Accent4 4 5 2 2" xfId="3759"/>
    <cellStyle name="40% - Accent4 4 5 2 2 2" xfId="8735"/>
    <cellStyle name="40% - Accent4 4 5 2 2 3" xfId="13020"/>
    <cellStyle name="40% - Accent4 4 5 2 2 4" xfId="17292"/>
    <cellStyle name="40% - Accent4 4 5 2 2 5" xfId="21527"/>
    <cellStyle name="40% - Accent4 4 5 2 2 6" xfId="25765"/>
    <cellStyle name="40% - Accent4 4 5 2 2 7" xfId="29843"/>
    <cellStyle name="40% - Accent4 4 5 2 3" xfId="5309"/>
    <cellStyle name="40% - Accent4 4 5 2 3 2" xfId="10283"/>
    <cellStyle name="40% - Accent4 4 5 2 3 3" xfId="14560"/>
    <cellStyle name="40% - Accent4 4 5 2 3 4" xfId="18819"/>
    <cellStyle name="40% - Accent4 4 5 2 3 5" xfId="23038"/>
    <cellStyle name="40% - Accent4 4 5 2 3 6" xfId="27233"/>
    <cellStyle name="40% - Accent4 4 5 2 3 7" xfId="31129"/>
    <cellStyle name="40% - Accent4 4 5 2 4" xfId="7888"/>
    <cellStyle name="40% - Accent4 4 5 2 5" xfId="12177"/>
    <cellStyle name="40% - Accent4 4 5 2 6" xfId="16453"/>
    <cellStyle name="40% - Accent4 4 5 2 7" xfId="20692"/>
    <cellStyle name="40% - Accent4 4 5 2 8" xfId="24942"/>
    <cellStyle name="40% - Accent4 4 5 2 9" xfId="29036"/>
    <cellStyle name="40% - Accent4 4 5 3" xfId="3758"/>
    <cellStyle name="40% - Accent4 4 5 3 2" xfId="8734"/>
    <cellStyle name="40% - Accent4 4 5 3 3" xfId="13019"/>
    <cellStyle name="40% - Accent4 4 5 3 4" xfId="17291"/>
    <cellStyle name="40% - Accent4 4 5 3 5" xfId="21526"/>
    <cellStyle name="40% - Accent4 4 5 3 6" xfId="25764"/>
    <cellStyle name="40% - Accent4 4 5 3 7" xfId="29842"/>
    <cellStyle name="40% - Accent4 4 5 4" xfId="2910"/>
    <cellStyle name="40% - Accent4 4 5 4 2" xfId="7887"/>
    <cellStyle name="40% - Accent4 4 5 4 3" xfId="12176"/>
    <cellStyle name="40% - Accent4 4 5 4 4" xfId="16452"/>
    <cellStyle name="40% - Accent4 4 5 4 5" xfId="20691"/>
    <cellStyle name="40% - Accent4 4 5 4 6" xfId="24941"/>
    <cellStyle name="40% - Accent4 4 5 4 7" xfId="29035"/>
    <cellStyle name="40% - Accent4 4 5 5" xfId="4652"/>
    <cellStyle name="40% - Accent4 4 5 5 2" xfId="9626"/>
    <cellStyle name="40% - Accent4 4 5 5 3" xfId="13903"/>
    <cellStyle name="40% - Accent4 4 5 5 4" xfId="18162"/>
    <cellStyle name="40% - Accent4 4 5 5 5" xfId="22381"/>
    <cellStyle name="40% - Accent4 4 5 5 6" xfId="26576"/>
    <cellStyle name="40% - Accent4 4 5 5 7" xfId="30472"/>
    <cellStyle name="40% - Accent4 4 5 6" xfId="6000"/>
    <cellStyle name="40% - Accent4 4 5 6 2" xfId="10972"/>
    <cellStyle name="40% - Accent4 4 5 6 3" xfId="15250"/>
    <cellStyle name="40% - Accent4 4 5 6 4" xfId="19507"/>
    <cellStyle name="40% - Accent4 4 5 6 5" xfId="23724"/>
    <cellStyle name="40% - Accent4 4 5 6 6" xfId="27910"/>
    <cellStyle name="40% - Accent4 4 5 6 7" xfId="31789"/>
    <cellStyle name="40% - Accent4 4 5 7" xfId="6918"/>
    <cellStyle name="40% - Accent4 4 5 8" xfId="9112"/>
    <cellStyle name="40% - Accent4 4 5 9" xfId="13392"/>
    <cellStyle name="40% - Accent4 4 6" xfId="949"/>
    <cellStyle name="40% - Accent4 4 6 10" xfId="2912"/>
    <cellStyle name="40% - Accent4 4 6 2" xfId="3760"/>
    <cellStyle name="40% - Accent4 4 6 2 2" xfId="8736"/>
    <cellStyle name="40% - Accent4 4 6 2 3" xfId="13021"/>
    <cellStyle name="40% - Accent4 4 6 2 4" xfId="17293"/>
    <cellStyle name="40% - Accent4 4 6 2 5" xfId="21528"/>
    <cellStyle name="40% - Accent4 4 6 2 6" xfId="25766"/>
    <cellStyle name="40% - Accent4 4 6 2 7" xfId="29844"/>
    <cellStyle name="40% - Accent4 4 6 3" xfId="4980"/>
    <cellStyle name="40% - Accent4 4 6 3 2" xfId="9954"/>
    <cellStyle name="40% - Accent4 4 6 3 3" xfId="14231"/>
    <cellStyle name="40% - Accent4 4 6 3 4" xfId="18490"/>
    <cellStyle name="40% - Accent4 4 6 3 5" xfId="22709"/>
    <cellStyle name="40% - Accent4 4 6 3 6" xfId="26904"/>
    <cellStyle name="40% - Accent4 4 6 3 7" xfId="30800"/>
    <cellStyle name="40% - Accent4 4 6 4" xfId="7889"/>
    <cellStyle name="40% - Accent4 4 6 5" xfId="12178"/>
    <cellStyle name="40% - Accent4 4 6 6" xfId="16454"/>
    <cellStyle name="40% - Accent4 4 6 7" xfId="20693"/>
    <cellStyle name="40% - Accent4 4 6 8" xfId="24943"/>
    <cellStyle name="40% - Accent4 4 6 9" xfId="29037"/>
    <cellStyle name="40% - Accent4 4 7" xfId="3192"/>
    <cellStyle name="40% - Accent4 4 7 2" xfId="8168"/>
    <cellStyle name="40% - Accent4 4 7 3" xfId="12454"/>
    <cellStyle name="40% - Accent4 4 7 4" xfId="16728"/>
    <cellStyle name="40% - Accent4 4 7 5" xfId="20964"/>
    <cellStyle name="40% - Accent4 4 7 6" xfId="25204"/>
    <cellStyle name="40% - Accent4 4 7 7" xfId="29285"/>
    <cellStyle name="40% - Accent4 4 8" xfId="2279"/>
    <cellStyle name="40% - Accent4 4 8 2" xfId="7257"/>
    <cellStyle name="40% - Accent4 4 8 3" xfId="11547"/>
    <cellStyle name="40% - Accent4 4 8 4" xfId="15826"/>
    <cellStyle name="40% - Accent4 4 8 5" xfId="20081"/>
    <cellStyle name="40% - Accent4 4 8 6" xfId="24331"/>
    <cellStyle name="40% - Accent4 4 8 7" xfId="28476"/>
    <cellStyle name="40% - Accent4 4 9" xfId="4317"/>
    <cellStyle name="40% - Accent4 4 9 2" xfId="9291"/>
    <cellStyle name="40% - Accent4 4 9 3" xfId="13568"/>
    <cellStyle name="40% - Accent4 4 9 4" xfId="17828"/>
    <cellStyle name="40% - Accent4 4 9 5" xfId="22047"/>
    <cellStyle name="40% - Accent4 4 9 6" xfId="26245"/>
    <cellStyle name="40% - Accent4 4 9 7" xfId="30142"/>
    <cellStyle name="40% - Accent4 5" xfId="271"/>
    <cellStyle name="40% - Accent4 5 2" xfId="437"/>
    <cellStyle name="40% - Accent4 5 2 10" xfId="15979"/>
    <cellStyle name="40% - Accent4 5 2 11" xfId="26017"/>
    <cellStyle name="40% - Accent4 5 2 12" xfId="1800"/>
    <cellStyle name="40% - Accent4 5 2 2" xfId="811"/>
    <cellStyle name="40% - Accent4 5 2 2 10" xfId="19935"/>
    <cellStyle name="40% - Accent4 5 2 2 11" xfId="24186"/>
    <cellStyle name="40% - Accent4 5 2 2 12" xfId="28338"/>
    <cellStyle name="40% - Accent4 5 2 2 13" xfId="2130"/>
    <cellStyle name="40% - Accent4 5 2 2 2" xfId="1468"/>
    <cellStyle name="40% - Accent4 5 2 2 2 10" xfId="2913"/>
    <cellStyle name="40% - Accent4 5 2 2 2 2" xfId="3761"/>
    <cellStyle name="40% - Accent4 5 2 2 2 2 2" xfId="8737"/>
    <cellStyle name="40% - Accent4 5 2 2 2 2 3" xfId="13022"/>
    <cellStyle name="40% - Accent4 5 2 2 2 2 4" xfId="17294"/>
    <cellStyle name="40% - Accent4 5 2 2 2 2 5" xfId="21529"/>
    <cellStyle name="40% - Accent4 5 2 2 2 2 6" xfId="25767"/>
    <cellStyle name="40% - Accent4 5 2 2 2 2 7" xfId="29845"/>
    <cellStyle name="40% - Accent4 5 2 2 2 3" xfId="5499"/>
    <cellStyle name="40% - Accent4 5 2 2 2 3 2" xfId="10473"/>
    <cellStyle name="40% - Accent4 5 2 2 2 3 3" xfId="14750"/>
    <cellStyle name="40% - Accent4 5 2 2 2 3 4" xfId="19009"/>
    <cellStyle name="40% - Accent4 5 2 2 2 3 5" xfId="23228"/>
    <cellStyle name="40% - Accent4 5 2 2 2 3 6" xfId="27423"/>
    <cellStyle name="40% - Accent4 5 2 2 2 3 7" xfId="31319"/>
    <cellStyle name="40% - Accent4 5 2 2 2 4" xfId="7890"/>
    <cellStyle name="40% - Accent4 5 2 2 2 5" xfId="12179"/>
    <cellStyle name="40% - Accent4 5 2 2 2 6" xfId="16455"/>
    <cellStyle name="40% - Accent4 5 2 2 2 7" xfId="20694"/>
    <cellStyle name="40% - Accent4 5 2 2 2 8" xfId="24944"/>
    <cellStyle name="40% - Accent4 5 2 2 2 9" xfId="29038"/>
    <cellStyle name="40% - Accent4 5 2 2 3" xfId="3389"/>
    <cellStyle name="40% - Accent4 5 2 2 3 2" xfId="8365"/>
    <cellStyle name="40% - Accent4 5 2 2 3 3" xfId="12650"/>
    <cellStyle name="40% - Accent4 5 2 2 3 4" xfId="16922"/>
    <cellStyle name="40% - Accent4 5 2 2 3 5" xfId="21157"/>
    <cellStyle name="40% - Accent4 5 2 2 3 6" xfId="25395"/>
    <cellStyle name="40% - Accent4 5 2 2 3 7" xfId="29473"/>
    <cellStyle name="40% - Accent4 5 2 2 4" xfId="2528"/>
    <cellStyle name="40% - Accent4 5 2 2 4 2" xfId="7505"/>
    <cellStyle name="40% - Accent4 5 2 2 4 3" xfId="11794"/>
    <cellStyle name="40% - Accent4 5 2 2 4 4" xfId="16072"/>
    <cellStyle name="40% - Accent4 5 2 2 4 5" xfId="20315"/>
    <cellStyle name="40% - Accent4 5 2 2 4 6" xfId="24561"/>
    <cellStyle name="40% - Accent4 5 2 2 4 7" xfId="28666"/>
    <cellStyle name="40% - Accent4 5 2 2 5" xfId="4842"/>
    <cellStyle name="40% - Accent4 5 2 2 5 2" xfId="9816"/>
    <cellStyle name="40% - Accent4 5 2 2 5 3" xfId="14093"/>
    <cellStyle name="40% - Accent4 5 2 2 5 4" xfId="18352"/>
    <cellStyle name="40% - Accent4 5 2 2 5 5" xfId="22571"/>
    <cellStyle name="40% - Accent4 5 2 2 5 6" xfId="26766"/>
    <cellStyle name="40% - Accent4 5 2 2 5 7" xfId="30662"/>
    <cellStyle name="40% - Accent4 5 2 2 6" xfId="6190"/>
    <cellStyle name="40% - Accent4 5 2 2 6 2" xfId="11162"/>
    <cellStyle name="40% - Accent4 5 2 2 6 3" xfId="15440"/>
    <cellStyle name="40% - Accent4 5 2 2 6 4" xfId="19697"/>
    <cellStyle name="40% - Accent4 5 2 2 6 5" xfId="23914"/>
    <cellStyle name="40% - Accent4 5 2 2 6 6" xfId="28100"/>
    <cellStyle name="40% - Accent4 5 2 2 6 7" xfId="31979"/>
    <cellStyle name="40% - Accent4 5 2 2 7" xfId="7108"/>
    <cellStyle name="40% - Accent4 5 2 2 8" xfId="11400"/>
    <cellStyle name="40% - Accent4 5 2 2 9" xfId="15678"/>
    <cellStyle name="40% - Accent4 5 2 3" xfId="1139"/>
    <cellStyle name="40% - Accent4 5 2 3 2" xfId="5170"/>
    <cellStyle name="40% - Accent4 5 2 3 2 2" xfId="10144"/>
    <cellStyle name="40% - Accent4 5 2 3 2 3" xfId="14421"/>
    <cellStyle name="40% - Accent4 5 2 3 2 4" xfId="18680"/>
    <cellStyle name="40% - Accent4 5 2 3 2 5" xfId="22899"/>
    <cellStyle name="40% - Accent4 5 2 3 2 6" xfId="27094"/>
    <cellStyle name="40% - Accent4 5 2 3 2 7" xfId="30990"/>
    <cellStyle name="40% - Accent4 5 2 3 3" xfId="2427"/>
    <cellStyle name="40% - Accent4 5 2 4" xfId="4512"/>
    <cellStyle name="40% - Accent4 5 2 4 2" xfId="9486"/>
    <cellStyle name="40% - Accent4 5 2 4 3" xfId="13763"/>
    <cellStyle name="40% - Accent4 5 2 4 4" xfId="18023"/>
    <cellStyle name="40% - Accent4 5 2 4 5" xfId="22241"/>
    <cellStyle name="40% - Accent4 5 2 4 6" xfId="26437"/>
    <cellStyle name="40% - Accent4 5 2 4 7" xfId="30333"/>
    <cellStyle name="40% - Accent4 5 2 5" xfId="5861"/>
    <cellStyle name="40% - Accent4 5 2 5 2" xfId="10833"/>
    <cellStyle name="40% - Accent4 5 2 5 3" xfId="15111"/>
    <cellStyle name="40% - Accent4 5 2 5 4" xfId="19368"/>
    <cellStyle name="40% - Accent4 5 2 5 5" xfId="23585"/>
    <cellStyle name="40% - Accent4 5 2 5 6" xfId="27771"/>
    <cellStyle name="40% - Accent4 5 2 5 7" xfId="31650"/>
    <cellStyle name="40% - Accent4 5 2 6" xfId="6735"/>
    <cellStyle name="40% - Accent4 5 2 7" xfId="8999"/>
    <cellStyle name="40% - Accent4 5 2 8" xfId="13281"/>
    <cellStyle name="40% - Accent4 5 2 9" xfId="17555"/>
    <cellStyle name="40% - Accent4 5 3" xfId="340"/>
    <cellStyle name="40% - Accent4 5 3 10" xfId="21781"/>
    <cellStyle name="40% - Accent4 5 3 11" xfId="26067"/>
    <cellStyle name="40% - Accent4 5 3 12" xfId="1709"/>
    <cellStyle name="40% - Accent4 5 3 2" xfId="720"/>
    <cellStyle name="40% - Accent4 5 3 2 10" xfId="28247"/>
    <cellStyle name="40% - Accent4 5 3 2 11" xfId="2039"/>
    <cellStyle name="40% - Accent4 5 3 2 2" xfId="1377"/>
    <cellStyle name="40% - Accent4 5 3 2 2 2" xfId="5408"/>
    <cellStyle name="40% - Accent4 5 3 2 2 2 2" xfId="10382"/>
    <cellStyle name="40% - Accent4 5 3 2 2 2 3" xfId="14659"/>
    <cellStyle name="40% - Accent4 5 3 2 2 2 4" xfId="18918"/>
    <cellStyle name="40% - Accent4 5 3 2 2 2 5" xfId="23137"/>
    <cellStyle name="40% - Accent4 5 3 2 2 2 6" xfId="27332"/>
    <cellStyle name="40% - Accent4 5 3 2 2 2 7" xfId="31228"/>
    <cellStyle name="40% - Accent4 5 3 2 2 3" xfId="8738"/>
    <cellStyle name="40% - Accent4 5 3 2 2 4" xfId="13023"/>
    <cellStyle name="40% - Accent4 5 3 2 2 5" xfId="17295"/>
    <cellStyle name="40% - Accent4 5 3 2 2 6" xfId="21530"/>
    <cellStyle name="40% - Accent4 5 3 2 2 7" xfId="25768"/>
    <cellStyle name="40% - Accent4 5 3 2 2 8" xfId="29846"/>
    <cellStyle name="40% - Accent4 5 3 2 2 9" xfId="3762"/>
    <cellStyle name="40% - Accent4 5 3 2 3" xfId="4751"/>
    <cellStyle name="40% - Accent4 5 3 2 3 2" xfId="9725"/>
    <cellStyle name="40% - Accent4 5 3 2 3 3" xfId="14002"/>
    <cellStyle name="40% - Accent4 5 3 2 3 4" xfId="18261"/>
    <cellStyle name="40% - Accent4 5 3 2 3 5" xfId="22480"/>
    <cellStyle name="40% - Accent4 5 3 2 3 6" xfId="26675"/>
    <cellStyle name="40% - Accent4 5 3 2 3 7" xfId="30571"/>
    <cellStyle name="40% - Accent4 5 3 2 4" xfId="6099"/>
    <cellStyle name="40% - Accent4 5 3 2 4 2" xfId="11071"/>
    <cellStyle name="40% - Accent4 5 3 2 4 3" xfId="15349"/>
    <cellStyle name="40% - Accent4 5 3 2 4 4" xfId="19606"/>
    <cellStyle name="40% - Accent4 5 3 2 4 5" xfId="23823"/>
    <cellStyle name="40% - Accent4 5 3 2 4 6" xfId="28009"/>
    <cellStyle name="40% - Accent4 5 3 2 4 7" xfId="31888"/>
    <cellStyle name="40% - Accent4 5 3 2 5" xfId="7017"/>
    <cellStyle name="40% - Accent4 5 3 2 6" xfId="11309"/>
    <cellStyle name="40% - Accent4 5 3 2 7" xfId="15587"/>
    <cellStyle name="40% - Accent4 5 3 2 8" xfId="19844"/>
    <cellStyle name="40% - Accent4 5 3 2 9" xfId="24095"/>
    <cellStyle name="40% - Accent4 5 3 3" xfId="1048"/>
    <cellStyle name="40% - Accent4 5 3 3 2" xfId="5079"/>
    <cellStyle name="40% - Accent4 5 3 3 2 2" xfId="10053"/>
    <cellStyle name="40% - Accent4 5 3 3 2 3" xfId="14330"/>
    <cellStyle name="40% - Accent4 5 3 3 2 4" xfId="18589"/>
    <cellStyle name="40% - Accent4 5 3 3 2 5" xfId="22808"/>
    <cellStyle name="40% - Accent4 5 3 3 2 6" xfId="27003"/>
    <cellStyle name="40% - Accent4 5 3 3 2 7" xfId="30899"/>
    <cellStyle name="40% - Accent4 5 3 3 3" xfId="7891"/>
    <cellStyle name="40% - Accent4 5 3 3 4" xfId="12180"/>
    <cellStyle name="40% - Accent4 5 3 3 5" xfId="16456"/>
    <cellStyle name="40% - Accent4 5 3 3 6" xfId="20695"/>
    <cellStyle name="40% - Accent4 5 3 3 7" xfId="24945"/>
    <cellStyle name="40% - Accent4 5 3 3 8" xfId="29039"/>
    <cellStyle name="40% - Accent4 5 3 3 9" xfId="2914"/>
    <cellStyle name="40% - Accent4 5 3 4" xfId="4421"/>
    <cellStyle name="40% - Accent4 5 3 4 2" xfId="9395"/>
    <cellStyle name="40% - Accent4 5 3 4 3" xfId="13672"/>
    <cellStyle name="40% - Accent4 5 3 4 4" xfId="17932"/>
    <cellStyle name="40% - Accent4 5 3 4 5" xfId="22150"/>
    <cellStyle name="40% - Accent4 5 3 4 6" xfId="26346"/>
    <cellStyle name="40% - Accent4 5 3 4 7" xfId="30242"/>
    <cellStyle name="40% - Accent4 5 3 5" xfId="5770"/>
    <cellStyle name="40% - Accent4 5 3 5 2" xfId="10742"/>
    <cellStyle name="40% - Accent4 5 3 5 3" xfId="15020"/>
    <cellStyle name="40% - Accent4 5 3 5 4" xfId="19277"/>
    <cellStyle name="40% - Accent4 5 3 5 5" xfId="23494"/>
    <cellStyle name="40% - Accent4 5 3 5 6" xfId="27680"/>
    <cellStyle name="40% - Accent4 5 3 5 7" xfId="31559"/>
    <cellStyle name="40% - Accent4 5 3 6" xfId="6638"/>
    <cellStyle name="40% - Accent4 5 3 7" xfId="9062"/>
    <cellStyle name="40% - Accent4 5 3 8" xfId="13344"/>
    <cellStyle name="40% - Accent4 5 3 9" xfId="17616"/>
    <cellStyle name="40% - Accent4 5 4" xfId="3228"/>
    <cellStyle name="40% - Accent4 5 4 2" xfId="8204"/>
    <cellStyle name="40% - Accent4 5 4 3" xfId="12490"/>
    <cellStyle name="40% - Accent4 5 4 4" xfId="16762"/>
    <cellStyle name="40% - Accent4 5 4 5" xfId="21000"/>
    <cellStyle name="40% - Accent4 5 4 6" xfId="25238"/>
    <cellStyle name="40% - Accent4 5 4 7" xfId="29319"/>
    <cellStyle name="40% - Accent4 5 5" xfId="2333"/>
    <cellStyle name="40% - Accent4 5 5 2" xfId="7311"/>
    <cellStyle name="40% - Accent4 5 5 3" xfId="11601"/>
    <cellStyle name="40% - Accent4 5 5 4" xfId="15879"/>
    <cellStyle name="40% - Accent4 5 5 5" xfId="20131"/>
    <cellStyle name="40% - Accent4 5 5 6" xfId="24380"/>
    <cellStyle name="40% - Accent4 5 5 7" xfId="28511"/>
    <cellStyle name="40% - Accent4 6" xfId="369"/>
    <cellStyle name="40% - Accent4 6 10" xfId="21968"/>
    <cellStyle name="40% - Accent4 6 11" xfId="26177"/>
    <cellStyle name="40% - Accent4 6 12" xfId="1732"/>
    <cellStyle name="40% - Accent4 6 2" xfId="743"/>
    <cellStyle name="40% - Accent4 6 2 10" xfId="19867"/>
    <cellStyle name="40% - Accent4 6 2 11" xfId="24118"/>
    <cellStyle name="40% - Accent4 6 2 12" xfId="28270"/>
    <cellStyle name="40% - Accent4 6 2 13" xfId="2062"/>
    <cellStyle name="40% - Accent4 6 2 2" xfId="1400"/>
    <cellStyle name="40% - Accent4 6 2 2 10" xfId="2915"/>
    <cellStyle name="40% - Accent4 6 2 2 2" xfId="3763"/>
    <cellStyle name="40% - Accent4 6 2 2 2 2" xfId="8739"/>
    <cellStyle name="40% - Accent4 6 2 2 2 3" xfId="13024"/>
    <cellStyle name="40% - Accent4 6 2 2 2 4" xfId="17296"/>
    <cellStyle name="40% - Accent4 6 2 2 2 5" xfId="21531"/>
    <cellStyle name="40% - Accent4 6 2 2 2 6" xfId="25769"/>
    <cellStyle name="40% - Accent4 6 2 2 2 7" xfId="29847"/>
    <cellStyle name="40% - Accent4 6 2 2 3" xfId="5431"/>
    <cellStyle name="40% - Accent4 6 2 2 3 2" xfId="10405"/>
    <cellStyle name="40% - Accent4 6 2 2 3 3" xfId="14682"/>
    <cellStyle name="40% - Accent4 6 2 2 3 4" xfId="18941"/>
    <cellStyle name="40% - Accent4 6 2 2 3 5" xfId="23160"/>
    <cellStyle name="40% - Accent4 6 2 2 3 6" xfId="27355"/>
    <cellStyle name="40% - Accent4 6 2 2 3 7" xfId="31251"/>
    <cellStyle name="40% - Accent4 6 2 2 4" xfId="7892"/>
    <cellStyle name="40% - Accent4 6 2 2 5" xfId="12181"/>
    <cellStyle name="40% - Accent4 6 2 2 6" xfId="16457"/>
    <cellStyle name="40% - Accent4 6 2 2 7" xfId="20696"/>
    <cellStyle name="40% - Accent4 6 2 2 8" xfId="24946"/>
    <cellStyle name="40% - Accent4 6 2 2 9" xfId="29040"/>
    <cellStyle name="40% - Accent4 6 2 3" xfId="3321"/>
    <cellStyle name="40% - Accent4 6 2 3 2" xfId="8297"/>
    <cellStyle name="40% - Accent4 6 2 3 3" xfId="12582"/>
    <cellStyle name="40% - Accent4 6 2 3 4" xfId="16854"/>
    <cellStyle name="40% - Accent4 6 2 3 5" xfId="21089"/>
    <cellStyle name="40% - Accent4 6 2 3 6" xfId="25327"/>
    <cellStyle name="40% - Accent4 6 2 3 7" xfId="29405"/>
    <cellStyle name="40% - Accent4 6 2 4" xfId="2460"/>
    <cellStyle name="40% - Accent4 6 2 4 2" xfId="7437"/>
    <cellStyle name="40% - Accent4 6 2 4 3" xfId="11726"/>
    <cellStyle name="40% - Accent4 6 2 4 4" xfId="16004"/>
    <cellStyle name="40% - Accent4 6 2 4 5" xfId="20247"/>
    <cellStyle name="40% - Accent4 6 2 4 6" xfId="24493"/>
    <cellStyle name="40% - Accent4 6 2 4 7" xfId="28598"/>
    <cellStyle name="40% - Accent4 6 2 5" xfId="4774"/>
    <cellStyle name="40% - Accent4 6 2 5 2" xfId="9748"/>
    <cellStyle name="40% - Accent4 6 2 5 3" xfId="14025"/>
    <cellStyle name="40% - Accent4 6 2 5 4" xfId="18284"/>
    <cellStyle name="40% - Accent4 6 2 5 5" xfId="22503"/>
    <cellStyle name="40% - Accent4 6 2 5 6" xfId="26698"/>
    <cellStyle name="40% - Accent4 6 2 5 7" xfId="30594"/>
    <cellStyle name="40% - Accent4 6 2 6" xfId="6122"/>
    <cellStyle name="40% - Accent4 6 2 6 2" xfId="11094"/>
    <cellStyle name="40% - Accent4 6 2 6 3" xfId="15372"/>
    <cellStyle name="40% - Accent4 6 2 6 4" xfId="19629"/>
    <cellStyle name="40% - Accent4 6 2 6 5" xfId="23846"/>
    <cellStyle name="40% - Accent4 6 2 6 6" xfId="28032"/>
    <cellStyle name="40% - Accent4 6 2 6 7" xfId="31911"/>
    <cellStyle name="40% - Accent4 6 2 7" xfId="7040"/>
    <cellStyle name="40% - Accent4 6 2 8" xfId="11332"/>
    <cellStyle name="40% - Accent4 6 2 9" xfId="15610"/>
    <cellStyle name="40% - Accent4 6 3" xfId="1071"/>
    <cellStyle name="40% - Accent4 6 3 2" xfId="5102"/>
    <cellStyle name="40% - Accent4 6 3 2 2" xfId="10076"/>
    <cellStyle name="40% - Accent4 6 3 2 3" xfId="14353"/>
    <cellStyle name="40% - Accent4 6 3 2 4" xfId="18612"/>
    <cellStyle name="40% - Accent4 6 3 2 5" xfId="22831"/>
    <cellStyle name="40% - Accent4 6 3 2 6" xfId="27026"/>
    <cellStyle name="40% - Accent4 6 3 2 7" xfId="30922"/>
    <cellStyle name="40% - Accent4 6 3 3" xfId="2343"/>
    <cellStyle name="40% - Accent4 6 4" xfId="4444"/>
    <cellStyle name="40% - Accent4 6 4 2" xfId="9418"/>
    <cellStyle name="40% - Accent4 6 4 3" xfId="13695"/>
    <cellStyle name="40% - Accent4 6 4 4" xfId="17955"/>
    <cellStyle name="40% - Accent4 6 4 5" xfId="22173"/>
    <cellStyle name="40% - Accent4 6 4 6" xfId="26369"/>
    <cellStyle name="40% - Accent4 6 4 7" xfId="30265"/>
    <cellStyle name="40% - Accent4 6 5" xfId="5793"/>
    <cellStyle name="40% - Accent4 6 5 2" xfId="10765"/>
    <cellStyle name="40% - Accent4 6 5 3" xfId="15043"/>
    <cellStyle name="40% - Accent4 6 5 4" xfId="19300"/>
    <cellStyle name="40% - Accent4 6 5 5" xfId="23517"/>
    <cellStyle name="40% - Accent4 6 5 6" xfId="27703"/>
    <cellStyle name="40% - Accent4 6 5 7" xfId="31582"/>
    <cellStyle name="40% - Accent4 6 6" xfId="6667"/>
    <cellStyle name="40% - Accent4 6 7" xfId="9218"/>
    <cellStyle name="40% - Accent4 6 8" xfId="13496"/>
    <cellStyle name="40% - Accent4 6 9" xfId="17757"/>
    <cellStyle name="40% - Accent4 7" xfId="558"/>
    <cellStyle name="40% - Accent4 7 2" xfId="2916"/>
    <cellStyle name="40% - Accent4 7 2 2" xfId="3764"/>
    <cellStyle name="40% - Accent4 7 2 2 2" xfId="8740"/>
    <cellStyle name="40% - Accent4 7 2 2 3" xfId="13025"/>
    <cellStyle name="40% - Accent4 7 2 2 4" xfId="17297"/>
    <cellStyle name="40% - Accent4 7 2 2 5" xfId="21532"/>
    <cellStyle name="40% - Accent4 7 2 2 6" xfId="25770"/>
    <cellStyle name="40% - Accent4 7 2 2 7" xfId="29848"/>
    <cellStyle name="40% - Accent4 7 2 3" xfId="7893"/>
    <cellStyle name="40% - Accent4 7 2 4" xfId="12182"/>
    <cellStyle name="40% - Accent4 7 2 5" xfId="16458"/>
    <cellStyle name="40% - Accent4 7 2 6" xfId="20697"/>
    <cellStyle name="40% - Accent4 7 2 7" xfId="24947"/>
    <cellStyle name="40% - Accent4 7 2 8" xfId="29041"/>
    <cellStyle name="40% - Accent4 7 3" xfId="3454"/>
    <cellStyle name="40% - Accent4 7 3 2" xfId="8430"/>
    <cellStyle name="40% - Accent4 7 3 3" xfId="12715"/>
    <cellStyle name="40% - Accent4 7 3 4" xfId="16987"/>
    <cellStyle name="40% - Accent4 7 3 5" xfId="21222"/>
    <cellStyle name="40% - Accent4 7 3 6" xfId="25460"/>
    <cellStyle name="40% - Accent4 7 3 7" xfId="29538"/>
    <cellStyle name="40% - Accent4 7 4" xfId="2595"/>
    <cellStyle name="40% - Accent4 7 4 2" xfId="7572"/>
    <cellStyle name="40% - Accent4 7 4 3" xfId="11861"/>
    <cellStyle name="40% - Accent4 7 4 4" xfId="16137"/>
    <cellStyle name="40% - Accent4 7 4 5" xfId="20380"/>
    <cellStyle name="40% - Accent4 7 4 6" xfId="24626"/>
    <cellStyle name="40% - Accent4 7 4 7" xfId="28731"/>
    <cellStyle name="40% - Accent4 8" xfId="2917"/>
    <cellStyle name="40% - Accent5" xfId="11" builtinId="47" customBuiltin="1"/>
    <cellStyle name="40% - Accent5 2" xfId="91"/>
    <cellStyle name="40% - Accent5 2 10" xfId="4300"/>
    <cellStyle name="40% - Accent5 2 10 2" xfId="9274"/>
    <cellStyle name="40% - Accent5 2 10 3" xfId="13551"/>
    <cellStyle name="40% - Accent5 2 10 4" xfId="17811"/>
    <cellStyle name="40% - Accent5 2 10 5" xfId="22030"/>
    <cellStyle name="40% - Accent5 2 10 6" xfId="26228"/>
    <cellStyle name="40% - Accent5 2 10 7" xfId="30125"/>
    <cellStyle name="40% - Accent5 2 11" xfId="5656"/>
    <cellStyle name="40% - Accent5 2 11 2" xfId="10628"/>
    <cellStyle name="40% - Accent5 2 11 3" xfId="14906"/>
    <cellStyle name="40% - Accent5 2 11 4" xfId="19163"/>
    <cellStyle name="40% - Accent5 2 11 5" xfId="23380"/>
    <cellStyle name="40% - Accent5 2 11 6" xfId="27566"/>
    <cellStyle name="40% - Accent5 2 11 7" xfId="31445"/>
    <cellStyle name="40% - Accent5 2 12" xfId="6391"/>
    <cellStyle name="40% - Accent5 2 13" xfId="6353"/>
    <cellStyle name="40% - Accent5 2 14" xfId="6886"/>
    <cellStyle name="40% - Accent5 2 15" xfId="9111"/>
    <cellStyle name="40% - Accent5 2 16" xfId="13488"/>
    <cellStyle name="40% - Accent5 2 17" xfId="20224"/>
    <cellStyle name="40% - Accent5 2 18" xfId="1590"/>
    <cellStyle name="40% - Accent5 2 2" xfId="175"/>
    <cellStyle name="40% - Accent5 2 2 10" xfId="5688"/>
    <cellStyle name="40% - Accent5 2 2 10 2" xfId="10660"/>
    <cellStyle name="40% - Accent5 2 2 10 3" xfId="14938"/>
    <cellStyle name="40% - Accent5 2 2 10 4" xfId="19195"/>
    <cellStyle name="40% - Accent5 2 2 10 5" xfId="23412"/>
    <cellStyle name="40% - Accent5 2 2 10 6" xfId="27598"/>
    <cellStyle name="40% - Accent5 2 2 10 7" xfId="31477"/>
    <cellStyle name="40% - Accent5 2 2 11" xfId="6474"/>
    <cellStyle name="40% - Accent5 2 2 12" xfId="6364"/>
    <cellStyle name="40% - Accent5 2 2 13" xfId="8109"/>
    <cellStyle name="40% - Accent5 2 2 14" xfId="12397"/>
    <cellStyle name="40% - Accent5 2 2 15" xfId="15976"/>
    <cellStyle name="40% - Accent5 2 2 16" xfId="17650"/>
    <cellStyle name="40% - Accent5 2 2 17" xfId="1623"/>
    <cellStyle name="40% - Accent5 2 2 2" xfId="319"/>
    <cellStyle name="40% - Accent5 2 2 2 10" xfId="13450"/>
    <cellStyle name="40% - Accent5 2 2 2 11" xfId="17715"/>
    <cellStyle name="40% - Accent5 2 2 2 12" xfId="21907"/>
    <cellStyle name="40% - Accent5 2 2 2 13" xfId="26145"/>
    <cellStyle name="40% - Accent5 2 2 2 14" xfId="1691"/>
    <cellStyle name="40% - Accent5 2 2 2 2" xfId="483"/>
    <cellStyle name="40% - Accent5 2 2 2 2 10" xfId="14893"/>
    <cellStyle name="40% - Accent5 2 2 2 2 11" xfId="17714"/>
    <cellStyle name="40% - Accent5 2 2 2 2 12" xfId="13592"/>
    <cellStyle name="40% - Accent5 2 2 2 2 13" xfId="1846"/>
    <cellStyle name="40% - Accent5 2 2 2 2 2" xfId="857"/>
    <cellStyle name="40% - Accent5 2 2 2 2 2 10" xfId="24232"/>
    <cellStyle name="40% - Accent5 2 2 2 2 2 11" xfId="28384"/>
    <cellStyle name="40% - Accent5 2 2 2 2 2 12" xfId="2176"/>
    <cellStyle name="40% - Accent5 2 2 2 2 2 2" xfId="1514"/>
    <cellStyle name="40% - Accent5 2 2 2 2 2 2 2" xfId="5545"/>
    <cellStyle name="40% - Accent5 2 2 2 2 2 2 2 2" xfId="10519"/>
    <cellStyle name="40% - Accent5 2 2 2 2 2 2 2 3" xfId="14796"/>
    <cellStyle name="40% - Accent5 2 2 2 2 2 2 2 4" xfId="19055"/>
    <cellStyle name="40% - Accent5 2 2 2 2 2 2 2 5" xfId="23274"/>
    <cellStyle name="40% - Accent5 2 2 2 2 2 2 2 6" xfId="27469"/>
    <cellStyle name="40% - Accent5 2 2 2 2 2 2 2 7" xfId="31365"/>
    <cellStyle name="40% - Accent5 2 2 2 2 2 2 3" xfId="8741"/>
    <cellStyle name="40% - Accent5 2 2 2 2 2 2 4" xfId="13026"/>
    <cellStyle name="40% - Accent5 2 2 2 2 2 2 5" xfId="17298"/>
    <cellStyle name="40% - Accent5 2 2 2 2 2 2 6" xfId="21533"/>
    <cellStyle name="40% - Accent5 2 2 2 2 2 2 7" xfId="25771"/>
    <cellStyle name="40% - Accent5 2 2 2 2 2 2 8" xfId="29849"/>
    <cellStyle name="40% - Accent5 2 2 2 2 2 2 9" xfId="3765"/>
    <cellStyle name="40% - Accent5 2 2 2 2 2 3" xfId="2918"/>
    <cellStyle name="40% - Accent5 2 2 2 2 2 3 2" xfId="7895"/>
    <cellStyle name="40% - Accent5 2 2 2 2 2 3 3" xfId="12184"/>
    <cellStyle name="40% - Accent5 2 2 2 2 2 3 4" xfId="16460"/>
    <cellStyle name="40% - Accent5 2 2 2 2 2 3 5" xfId="20699"/>
    <cellStyle name="40% - Accent5 2 2 2 2 2 3 6" xfId="24948"/>
    <cellStyle name="40% - Accent5 2 2 2 2 2 3 7" xfId="29042"/>
    <cellStyle name="40% - Accent5 2 2 2 2 2 4" xfId="4888"/>
    <cellStyle name="40% - Accent5 2 2 2 2 2 4 2" xfId="9862"/>
    <cellStyle name="40% - Accent5 2 2 2 2 2 4 3" xfId="14139"/>
    <cellStyle name="40% - Accent5 2 2 2 2 2 4 4" xfId="18398"/>
    <cellStyle name="40% - Accent5 2 2 2 2 2 4 5" xfId="22617"/>
    <cellStyle name="40% - Accent5 2 2 2 2 2 4 6" xfId="26812"/>
    <cellStyle name="40% - Accent5 2 2 2 2 2 4 7" xfId="30708"/>
    <cellStyle name="40% - Accent5 2 2 2 2 2 5" xfId="6236"/>
    <cellStyle name="40% - Accent5 2 2 2 2 2 5 2" xfId="11208"/>
    <cellStyle name="40% - Accent5 2 2 2 2 2 5 3" xfId="15486"/>
    <cellStyle name="40% - Accent5 2 2 2 2 2 5 4" xfId="19743"/>
    <cellStyle name="40% - Accent5 2 2 2 2 2 5 5" xfId="23960"/>
    <cellStyle name="40% - Accent5 2 2 2 2 2 5 6" xfId="28146"/>
    <cellStyle name="40% - Accent5 2 2 2 2 2 5 7" xfId="32025"/>
    <cellStyle name="40% - Accent5 2 2 2 2 2 6" xfId="7154"/>
    <cellStyle name="40% - Accent5 2 2 2 2 2 7" xfId="11446"/>
    <cellStyle name="40% - Accent5 2 2 2 2 2 8" xfId="15724"/>
    <cellStyle name="40% - Accent5 2 2 2 2 2 9" xfId="19981"/>
    <cellStyle name="40% - Accent5 2 2 2 2 3" xfId="1185"/>
    <cellStyle name="40% - Accent5 2 2 2 2 3 2" xfId="5216"/>
    <cellStyle name="40% - Accent5 2 2 2 2 3 2 2" xfId="10190"/>
    <cellStyle name="40% - Accent5 2 2 2 2 3 2 3" xfId="14467"/>
    <cellStyle name="40% - Accent5 2 2 2 2 3 2 4" xfId="18726"/>
    <cellStyle name="40% - Accent5 2 2 2 2 3 2 5" xfId="22945"/>
    <cellStyle name="40% - Accent5 2 2 2 2 3 2 6" xfId="27140"/>
    <cellStyle name="40% - Accent5 2 2 2 2 3 2 7" xfId="31036"/>
    <cellStyle name="40% - Accent5 2 2 2 2 3 3" xfId="8411"/>
    <cellStyle name="40% - Accent5 2 2 2 2 3 4" xfId="12696"/>
    <cellStyle name="40% - Accent5 2 2 2 2 3 5" xfId="16968"/>
    <cellStyle name="40% - Accent5 2 2 2 2 3 6" xfId="21203"/>
    <cellStyle name="40% - Accent5 2 2 2 2 3 7" xfId="25441"/>
    <cellStyle name="40% - Accent5 2 2 2 2 3 8" xfId="29519"/>
    <cellStyle name="40% - Accent5 2 2 2 2 3 9" xfId="3435"/>
    <cellStyle name="40% - Accent5 2 2 2 2 4" xfId="2574"/>
    <cellStyle name="40% - Accent5 2 2 2 2 4 2" xfId="7551"/>
    <cellStyle name="40% - Accent5 2 2 2 2 4 3" xfId="11840"/>
    <cellStyle name="40% - Accent5 2 2 2 2 4 4" xfId="16118"/>
    <cellStyle name="40% - Accent5 2 2 2 2 4 5" xfId="20361"/>
    <cellStyle name="40% - Accent5 2 2 2 2 4 6" xfId="24607"/>
    <cellStyle name="40% - Accent5 2 2 2 2 4 7" xfId="28712"/>
    <cellStyle name="40% - Accent5 2 2 2 2 5" xfId="4558"/>
    <cellStyle name="40% - Accent5 2 2 2 2 5 2" xfId="9532"/>
    <cellStyle name="40% - Accent5 2 2 2 2 5 3" xfId="13809"/>
    <cellStyle name="40% - Accent5 2 2 2 2 5 4" xfId="18069"/>
    <cellStyle name="40% - Accent5 2 2 2 2 5 5" xfId="22287"/>
    <cellStyle name="40% - Accent5 2 2 2 2 5 6" xfId="26483"/>
    <cellStyle name="40% - Accent5 2 2 2 2 5 7" xfId="30379"/>
    <cellStyle name="40% - Accent5 2 2 2 2 6" xfId="5907"/>
    <cellStyle name="40% - Accent5 2 2 2 2 6 2" xfId="10879"/>
    <cellStyle name="40% - Accent5 2 2 2 2 6 3" xfId="15157"/>
    <cellStyle name="40% - Accent5 2 2 2 2 6 4" xfId="19414"/>
    <cellStyle name="40% - Accent5 2 2 2 2 6 5" xfId="23631"/>
    <cellStyle name="40% - Accent5 2 2 2 2 6 6" xfId="27817"/>
    <cellStyle name="40% - Accent5 2 2 2 2 6 7" xfId="31696"/>
    <cellStyle name="40% - Accent5 2 2 2 2 7" xfId="6781"/>
    <cellStyle name="40% - Accent5 2 2 2 2 8" xfId="6326"/>
    <cellStyle name="40% - Accent5 2 2 2 2 9" xfId="10615"/>
    <cellStyle name="40% - Accent5 2 2 2 3" xfId="702"/>
    <cellStyle name="40% - Accent5 2 2 2 3 10" xfId="24077"/>
    <cellStyle name="40% - Accent5 2 2 2 3 11" xfId="28229"/>
    <cellStyle name="40% - Accent5 2 2 2 3 12" xfId="2021"/>
    <cellStyle name="40% - Accent5 2 2 2 3 2" xfId="1359"/>
    <cellStyle name="40% - Accent5 2 2 2 3 2 2" xfId="5390"/>
    <cellStyle name="40% - Accent5 2 2 2 3 2 2 2" xfId="10364"/>
    <cellStyle name="40% - Accent5 2 2 2 3 2 2 3" xfId="14641"/>
    <cellStyle name="40% - Accent5 2 2 2 3 2 2 4" xfId="18900"/>
    <cellStyle name="40% - Accent5 2 2 2 3 2 2 5" xfId="23119"/>
    <cellStyle name="40% - Accent5 2 2 2 3 2 2 6" xfId="27314"/>
    <cellStyle name="40% - Accent5 2 2 2 3 2 2 7" xfId="31210"/>
    <cellStyle name="40% - Accent5 2 2 2 3 2 3" xfId="8742"/>
    <cellStyle name="40% - Accent5 2 2 2 3 2 4" xfId="13027"/>
    <cellStyle name="40% - Accent5 2 2 2 3 2 5" xfId="17299"/>
    <cellStyle name="40% - Accent5 2 2 2 3 2 6" xfId="21534"/>
    <cellStyle name="40% - Accent5 2 2 2 3 2 7" xfId="25772"/>
    <cellStyle name="40% - Accent5 2 2 2 3 2 8" xfId="29850"/>
    <cellStyle name="40% - Accent5 2 2 2 3 2 9" xfId="3766"/>
    <cellStyle name="40% - Accent5 2 2 2 3 3" xfId="2919"/>
    <cellStyle name="40% - Accent5 2 2 2 3 3 2" xfId="7896"/>
    <cellStyle name="40% - Accent5 2 2 2 3 3 3" xfId="12185"/>
    <cellStyle name="40% - Accent5 2 2 2 3 3 4" xfId="16461"/>
    <cellStyle name="40% - Accent5 2 2 2 3 3 5" xfId="20700"/>
    <cellStyle name="40% - Accent5 2 2 2 3 3 6" xfId="24949"/>
    <cellStyle name="40% - Accent5 2 2 2 3 3 7" xfId="29043"/>
    <cellStyle name="40% - Accent5 2 2 2 3 4" xfId="4733"/>
    <cellStyle name="40% - Accent5 2 2 2 3 4 2" xfId="9707"/>
    <cellStyle name="40% - Accent5 2 2 2 3 4 3" xfId="13984"/>
    <cellStyle name="40% - Accent5 2 2 2 3 4 4" xfId="18243"/>
    <cellStyle name="40% - Accent5 2 2 2 3 4 5" xfId="22462"/>
    <cellStyle name="40% - Accent5 2 2 2 3 4 6" xfId="26657"/>
    <cellStyle name="40% - Accent5 2 2 2 3 4 7" xfId="30553"/>
    <cellStyle name="40% - Accent5 2 2 2 3 5" xfId="6081"/>
    <cellStyle name="40% - Accent5 2 2 2 3 5 2" xfId="11053"/>
    <cellStyle name="40% - Accent5 2 2 2 3 5 3" xfId="15331"/>
    <cellStyle name="40% - Accent5 2 2 2 3 5 4" xfId="19588"/>
    <cellStyle name="40% - Accent5 2 2 2 3 5 5" xfId="23805"/>
    <cellStyle name="40% - Accent5 2 2 2 3 5 6" xfId="27991"/>
    <cellStyle name="40% - Accent5 2 2 2 3 5 7" xfId="31870"/>
    <cellStyle name="40% - Accent5 2 2 2 3 6" xfId="6999"/>
    <cellStyle name="40% - Accent5 2 2 2 3 7" xfId="11291"/>
    <cellStyle name="40% - Accent5 2 2 2 3 8" xfId="15569"/>
    <cellStyle name="40% - Accent5 2 2 2 3 9" xfId="19826"/>
    <cellStyle name="40% - Accent5 2 2 2 4" xfId="1030"/>
    <cellStyle name="40% - Accent5 2 2 2 4 2" xfId="5061"/>
    <cellStyle name="40% - Accent5 2 2 2 4 2 2" xfId="10035"/>
    <cellStyle name="40% - Accent5 2 2 2 4 2 3" xfId="14312"/>
    <cellStyle name="40% - Accent5 2 2 2 4 2 4" xfId="18571"/>
    <cellStyle name="40% - Accent5 2 2 2 4 2 5" xfId="22790"/>
    <cellStyle name="40% - Accent5 2 2 2 4 2 6" xfId="26985"/>
    <cellStyle name="40% - Accent5 2 2 2 4 2 7" xfId="30881"/>
    <cellStyle name="40% - Accent5 2 2 2 4 3" xfId="8259"/>
    <cellStyle name="40% - Accent5 2 2 2 4 4" xfId="12544"/>
    <cellStyle name="40% - Accent5 2 2 2 4 5" xfId="16817"/>
    <cellStyle name="40% - Accent5 2 2 2 4 6" xfId="21053"/>
    <cellStyle name="40% - Accent5 2 2 2 4 7" xfId="25291"/>
    <cellStyle name="40% - Accent5 2 2 2 4 8" xfId="29369"/>
    <cellStyle name="40% - Accent5 2 2 2 4 9" xfId="3283"/>
    <cellStyle name="40% - Accent5 2 2 2 5" xfId="2399"/>
    <cellStyle name="40% - Accent5 2 2 2 5 2" xfId="7377"/>
    <cellStyle name="40% - Accent5 2 2 2 5 3" xfId="11666"/>
    <cellStyle name="40% - Accent5 2 2 2 5 4" xfId="15944"/>
    <cellStyle name="40% - Accent5 2 2 2 5 5" xfId="20193"/>
    <cellStyle name="40% - Accent5 2 2 2 5 6" xfId="24441"/>
    <cellStyle name="40% - Accent5 2 2 2 5 7" xfId="28561"/>
    <cellStyle name="40% - Accent5 2 2 2 6" xfId="4403"/>
    <cellStyle name="40% - Accent5 2 2 2 6 2" xfId="9377"/>
    <cellStyle name="40% - Accent5 2 2 2 6 3" xfId="13654"/>
    <cellStyle name="40% - Accent5 2 2 2 6 4" xfId="17914"/>
    <cellStyle name="40% - Accent5 2 2 2 6 5" xfId="22132"/>
    <cellStyle name="40% - Accent5 2 2 2 6 6" xfId="26328"/>
    <cellStyle name="40% - Accent5 2 2 2 6 7" xfId="30224"/>
    <cellStyle name="40% - Accent5 2 2 2 7" xfId="5752"/>
    <cellStyle name="40% - Accent5 2 2 2 7 2" xfId="10724"/>
    <cellStyle name="40% - Accent5 2 2 2 7 3" xfId="15002"/>
    <cellStyle name="40% - Accent5 2 2 2 7 4" xfId="19259"/>
    <cellStyle name="40% - Accent5 2 2 2 7 5" xfId="23476"/>
    <cellStyle name="40% - Accent5 2 2 2 7 6" xfId="27662"/>
    <cellStyle name="40% - Accent5 2 2 2 7 7" xfId="31541"/>
    <cellStyle name="40% - Accent5 2 2 2 8" xfId="6617"/>
    <cellStyle name="40% - Accent5 2 2 2 9" xfId="9170"/>
    <cellStyle name="40% - Accent5 2 2 3" xfId="422"/>
    <cellStyle name="40% - Accent5 2 2 3 10" xfId="17773"/>
    <cellStyle name="40% - Accent5 2 2 3 11" xfId="21809"/>
    <cellStyle name="40% - Accent5 2 2 3 12" xfId="26192"/>
    <cellStyle name="40% - Accent5 2 2 3 13" xfId="1785"/>
    <cellStyle name="40% - Accent5 2 2 3 2" xfId="796"/>
    <cellStyle name="40% - Accent5 2 2 3 2 10" xfId="24171"/>
    <cellStyle name="40% - Accent5 2 2 3 2 11" xfId="28323"/>
    <cellStyle name="40% - Accent5 2 2 3 2 12" xfId="2115"/>
    <cellStyle name="40% - Accent5 2 2 3 2 2" xfId="1453"/>
    <cellStyle name="40% - Accent5 2 2 3 2 2 2" xfId="5484"/>
    <cellStyle name="40% - Accent5 2 2 3 2 2 2 2" xfId="10458"/>
    <cellStyle name="40% - Accent5 2 2 3 2 2 2 3" xfId="14735"/>
    <cellStyle name="40% - Accent5 2 2 3 2 2 2 4" xfId="18994"/>
    <cellStyle name="40% - Accent5 2 2 3 2 2 2 5" xfId="23213"/>
    <cellStyle name="40% - Accent5 2 2 3 2 2 2 6" xfId="27408"/>
    <cellStyle name="40% - Accent5 2 2 3 2 2 2 7" xfId="31304"/>
    <cellStyle name="40% - Accent5 2 2 3 2 2 3" xfId="8743"/>
    <cellStyle name="40% - Accent5 2 2 3 2 2 4" xfId="13028"/>
    <cellStyle name="40% - Accent5 2 2 3 2 2 5" xfId="17300"/>
    <cellStyle name="40% - Accent5 2 2 3 2 2 6" xfId="21535"/>
    <cellStyle name="40% - Accent5 2 2 3 2 2 7" xfId="25773"/>
    <cellStyle name="40% - Accent5 2 2 3 2 2 8" xfId="29851"/>
    <cellStyle name="40% - Accent5 2 2 3 2 2 9" xfId="3767"/>
    <cellStyle name="40% - Accent5 2 2 3 2 3" xfId="2920"/>
    <cellStyle name="40% - Accent5 2 2 3 2 3 2" xfId="7897"/>
    <cellStyle name="40% - Accent5 2 2 3 2 3 3" xfId="12186"/>
    <cellStyle name="40% - Accent5 2 2 3 2 3 4" xfId="16462"/>
    <cellStyle name="40% - Accent5 2 2 3 2 3 5" xfId="20701"/>
    <cellStyle name="40% - Accent5 2 2 3 2 3 6" xfId="24950"/>
    <cellStyle name="40% - Accent5 2 2 3 2 3 7" xfId="29044"/>
    <cellStyle name="40% - Accent5 2 2 3 2 4" xfId="4827"/>
    <cellStyle name="40% - Accent5 2 2 3 2 4 2" xfId="9801"/>
    <cellStyle name="40% - Accent5 2 2 3 2 4 3" xfId="14078"/>
    <cellStyle name="40% - Accent5 2 2 3 2 4 4" xfId="18337"/>
    <cellStyle name="40% - Accent5 2 2 3 2 4 5" xfId="22556"/>
    <cellStyle name="40% - Accent5 2 2 3 2 4 6" xfId="26751"/>
    <cellStyle name="40% - Accent5 2 2 3 2 4 7" xfId="30647"/>
    <cellStyle name="40% - Accent5 2 2 3 2 5" xfId="6175"/>
    <cellStyle name="40% - Accent5 2 2 3 2 5 2" xfId="11147"/>
    <cellStyle name="40% - Accent5 2 2 3 2 5 3" xfId="15425"/>
    <cellStyle name="40% - Accent5 2 2 3 2 5 4" xfId="19682"/>
    <cellStyle name="40% - Accent5 2 2 3 2 5 5" xfId="23899"/>
    <cellStyle name="40% - Accent5 2 2 3 2 5 6" xfId="28085"/>
    <cellStyle name="40% - Accent5 2 2 3 2 5 7" xfId="31964"/>
    <cellStyle name="40% - Accent5 2 2 3 2 6" xfId="7093"/>
    <cellStyle name="40% - Accent5 2 2 3 2 7" xfId="11385"/>
    <cellStyle name="40% - Accent5 2 2 3 2 8" xfId="15663"/>
    <cellStyle name="40% - Accent5 2 2 3 2 9" xfId="19920"/>
    <cellStyle name="40% - Accent5 2 2 3 3" xfId="1124"/>
    <cellStyle name="40% - Accent5 2 2 3 3 2" xfId="5155"/>
    <cellStyle name="40% - Accent5 2 2 3 3 2 2" xfId="10129"/>
    <cellStyle name="40% - Accent5 2 2 3 3 2 3" xfId="14406"/>
    <cellStyle name="40% - Accent5 2 2 3 3 2 4" xfId="18665"/>
    <cellStyle name="40% - Accent5 2 2 3 3 2 5" xfId="22884"/>
    <cellStyle name="40% - Accent5 2 2 3 3 2 6" xfId="27079"/>
    <cellStyle name="40% - Accent5 2 2 3 3 2 7" xfId="30975"/>
    <cellStyle name="40% - Accent5 2 2 3 3 3" xfId="8350"/>
    <cellStyle name="40% - Accent5 2 2 3 3 4" xfId="12635"/>
    <cellStyle name="40% - Accent5 2 2 3 3 5" xfId="16907"/>
    <cellStyle name="40% - Accent5 2 2 3 3 6" xfId="21142"/>
    <cellStyle name="40% - Accent5 2 2 3 3 7" xfId="25380"/>
    <cellStyle name="40% - Accent5 2 2 3 3 8" xfId="29458"/>
    <cellStyle name="40% - Accent5 2 2 3 3 9" xfId="3374"/>
    <cellStyle name="40% - Accent5 2 2 3 4" xfId="2513"/>
    <cellStyle name="40% - Accent5 2 2 3 4 2" xfId="7490"/>
    <cellStyle name="40% - Accent5 2 2 3 4 3" xfId="11779"/>
    <cellStyle name="40% - Accent5 2 2 3 4 4" xfId="16057"/>
    <cellStyle name="40% - Accent5 2 2 3 4 5" xfId="20300"/>
    <cellStyle name="40% - Accent5 2 2 3 4 6" xfId="24546"/>
    <cellStyle name="40% - Accent5 2 2 3 4 7" xfId="28651"/>
    <cellStyle name="40% - Accent5 2 2 3 5" xfId="4497"/>
    <cellStyle name="40% - Accent5 2 2 3 5 2" xfId="9471"/>
    <cellStyle name="40% - Accent5 2 2 3 5 3" xfId="13748"/>
    <cellStyle name="40% - Accent5 2 2 3 5 4" xfId="18008"/>
    <cellStyle name="40% - Accent5 2 2 3 5 5" xfId="22226"/>
    <cellStyle name="40% - Accent5 2 2 3 5 6" xfId="26422"/>
    <cellStyle name="40% - Accent5 2 2 3 5 7" xfId="30318"/>
    <cellStyle name="40% - Accent5 2 2 3 6" xfId="5846"/>
    <cellStyle name="40% - Accent5 2 2 3 6 2" xfId="10818"/>
    <cellStyle name="40% - Accent5 2 2 3 6 3" xfId="15096"/>
    <cellStyle name="40% - Accent5 2 2 3 6 4" xfId="19353"/>
    <cellStyle name="40% - Accent5 2 2 3 6 5" xfId="23570"/>
    <cellStyle name="40% - Accent5 2 2 3 6 6" xfId="27756"/>
    <cellStyle name="40% - Accent5 2 2 3 6 7" xfId="31635"/>
    <cellStyle name="40% - Accent5 2 2 3 7" xfId="6720"/>
    <cellStyle name="40% - Accent5 2 2 3 8" xfId="9235"/>
    <cellStyle name="40% - Accent5 2 2 3 9" xfId="13513"/>
    <cellStyle name="40% - Accent5 2 2 4" xfId="536"/>
    <cellStyle name="40% - Accent5 2 2 4 10" xfId="19136"/>
    <cellStyle name="40% - Accent5 2 2 4 11" xfId="17573"/>
    <cellStyle name="40% - Accent5 2 2 4 12" xfId="27547"/>
    <cellStyle name="40% - Accent5 2 2 4 13" xfId="1899"/>
    <cellStyle name="40% - Accent5 2 2 4 2" xfId="910"/>
    <cellStyle name="40% - Accent5 2 2 4 2 10" xfId="24285"/>
    <cellStyle name="40% - Accent5 2 2 4 2 11" xfId="28437"/>
    <cellStyle name="40% - Accent5 2 2 4 2 12" xfId="2229"/>
    <cellStyle name="40% - Accent5 2 2 4 2 2" xfId="1567"/>
    <cellStyle name="40% - Accent5 2 2 4 2 2 2" xfId="5598"/>
    <cellStyle name="40% - Accent5 2 2 4 2 2 2 2" xfId="10572"/>
    <cellStyle name="40% - Accent5 2 2 4 2 2 2 3" xfId="14849"/>
    <cellStyle name="40% - Accent5 2 2 4 2 2 2 4" xfId="19108"/>
    <cellStyle name="40% - Accent5 2 2 4 2 2 2 5" xfId="23327"/>
    <cellStyle name="40% - Accent5 2 2 4 2 2 2 6" xfId="27522"/>
    <cellStyle name="40% - Accent5 2 2 4 2 2 2 7" xfId="31418"/>
    <cellStyle name="40% - Accent5 2 2 4 2 2 3" xfId="8744"/>
    <cellStyle name="40% - Accent5 2 2 4 2 2 4" xfId="13029"/>
    <cellStyle name="40% - Accent5 2 2 4 2 2 5" xfId="17301"/>
    <cellStyle name="40% - Accent5 2 2 4 2 2 6" xfId="21536"/>
    <cellStyle name="40% - Accent5 2 2 4 2 2 7" xfId="25774"/>
    <cellStyle name="40% - Accent5 2 2 4 2 2 8" xfId="29852"/>
    <cellStyle name="40% - Accent5 2 2 4 2 2 9" xfId="3768"/>
    <cellStyle name="40% - Accent5 2 2 4 2 3" xfId="2921"/>
    <cellStyle name="40% - Accent5 2 2 4 2 3 2" xfId="7898"/>
    <cellStyle name="40% - Accent5 2 2 4 2 3 3" xfId="12187"/>
    <cellStyle name="40% - Accent5 2 2 4 2 3 4" xfId="16463"/>
    <cellStyle name="40% - Accent5 2 2 4 2 3 5" xfId="20702"/>
    <cellStyle name="40% - Accent5 2 2 4 2 3 6" xfId="24951"/>
    <cellStyle name="40% - Accent5 2 2 4 2 3 7" xfId="29045"/>
    <cellStyle name="40% - Accent5 2 2 4 2 4" xfId="4941"/>
    <cellStyle name="40% - Accent5 2 2 4 2 4 2" xfId="9915"/>
    <cellStyle name="40% - Accent5 2 2 4 2 4 3" xfId="14192"/>
    <cellStyle name="40% - Accent5 2 2 4 2 4 4" xfId="18451"/>
    <cellStyle name="40% - Accent5 2 2 4 2 4 5" xfId="22670"/>
    <cellStyle name="40% - Accent5 2 2 4 2 4 6" xfId="26865"/>
    <cellStyle name="40% - Accent5 2 2 4 2 4 7" xfId="30761"/>
    <cellStyle name="40% - Accent5 2 2 4 2 5" xfId="6289"/>
    <cellStyle name="40% - Accent5 2 2 4 2 5 2" xfId="11261"/>
    <cellStyle name="40% - Accent5 2 2 4 2 5 3" xfId="15539"/>
    <cellStyle name="40% - Accent5 2 2 4 2 5 4" xfId="19796"/>
    <cellStyle name="40% - Accent5 2 2 4 2 5 5" xfId="24013"/>
    <cellStyle name="40% - Accent5 2 2 4 2 5 6" xfId="28199"/>
    <cellStyle name="40% - Accent5 2 2 4 2 5 7" xfId="32078"/>
    <cellStyle name="40% - Accent5 2 2 4 2 6" xfId="7207"/>
    <cellStyle name="40% - Accent5 2 2 4 2 7" xfId="11499"/>
    <cellStyle name="40% - Accent5 2 2 4 2 8" xfId="15777"/>
    <cellStyle name="40% - Accent5 2 2 4 2 9" xfId="20034"/>
    <cellStyle name="40% - Accent5 2 2 4 3" xfId="1238"/>
    <cellStyle name="40% - Accent5 2 2 4 3 2" xfId="5269"/>
    <cellStyle name="40% - Accent5 2 2 4 3 2 2" xfId="10243"/>
    <cellStyle name="40% - Accent5 2 2 4 3 2 3" xfId="14520"/>
    <cellStyle name="40% - Accent5 2 2 4 3 2 4" xfId="18779"/>
    <cellStyle name="40% - Accent5 2 2 4 3 2 5" xfId="22998"/>
    <cellStyle name="40% - Accent5 2 2 4 3 2 6" xfId="27193"/>
    <cellStyle name="40% - Accent5 2 2 4 3 2 7" xfId="31089"/>
    <cellStyle name="40% - Accent5 2 2 4 3 3" xfId="8478"/>
    <cellStyle name="40% - Accent5 2 2 4 3 4" xfId="12763"/>
    <cellStyle name="40% - Accent5 2 2 4 3 5" xfId="17035"/>
    <cellStyle name="40% - Accent5 2 2 4 3 6" xfId="21270"/>
    <cellStyle name="40% - Accent5 2 2 4 3 7" xfId="25508"/>
    <cellStyle name="40% - Accent5 2 2 4 3 8" xfId="29586"/>
    <cellStyle name="40% - Accent5 2 2 4 3 9" xfId="3502"/>
    <cellStyle name="40% - Accent5 2 2 4 4" xfId="2645"/>
    <cellStyle name="40% - Accent5 2 2 4 4 2" xfId="7622"/>
    <cellStyle name="40% - Accent5 2 2 4 4 3" xfId="11911"/>
    <cellStyle name="40% - Accent5 2 2 4 4 4" xfId="16187"/>
    <cellStyle name="40% - Accent5 2 2 4 4 5" xfId="20429"/>
    <cellStyle name="40% - Accent5 2 2 4 4 6" xfId="24676"/>
    <cellStyle name="40% - Accent5 2 2 4 4 7" xfId="28779"/>
    <cellStyle name="40% - Accent5 2 2 4 5" xfId="4611"/>
    <cellStyle name="40% - Accent5 2 2 4 5 2" xfId="9585"/>
    <cellStyle name="40% - Accent5 2 2 4 5 3" xfId="13862"/>
    <cellStyle name="40% - Accent5 2 2 4 5 4" xfId="18122"/>
    <cellStyle name="40% - Accent5 2 2 4 5 5" xfId="22340"/>
    <cellStyle name="40% - Accent5 2 2 4 5 6" xfId="26536"/>
    <cellStyle name="40% - Accent5 2 2 4 5 7" xfId="30432"/>
    <cellStyle name="40% - Accent5 2 2 4 6" xfId="5960"/>
    <cellStyle name="40% - Accent5 2 2 4 6 2" xfId="10932"/>
    <cellStyle name="40% - Accent5 2 2 4 6 3" xfId="15210"/>
    <cellStyle name="40% - Accent5 2 2 4 6 4" xfId="19467"/>
    <cellStyle name="40% - Accent5 2 2 4 6 5" xfId="23684"/>
    <cellStyle name="40% - Accent5 2 2 4 6 6" xfId="27870"/>
    <cellStyle name="40% - Accent5 2 2 4 6 7" xfId="31749"/>
    <cellStyle name="40% - Accent5 2 2 4 7" xfId="6834"/>
    <cellStyle name="40% - Accent5 2 2 4 8" xfId="10600"/>
    <cellStyle name="40% - Accent5 2 2 4 9" xfId="14878"/>
    <cellStyle name="40% - Accent5 2 2 5" xfId="637"/>
    <cellStyle name="40% - Accent5 2 2 5 10" xfId="12240"/>
    <cellStyle name="40% - Accent5 2 2 5 11" xfId="21757"/>
    <cellStyle name="40% - Accent5 2 2 5 12" xfId="21853"/>
    <cellStyle name="40% - Accent5 2 2 5 13" xfId="1956"/>
    <cellStyle name="40% - Accent5 2 2 5 2" xfId="1294"/>
    <cellStyle name="40% - Accent5 2 2 5 2 10" xfId="2923"/>
    <cellStyle name="40% - Accent5 2 2 5 2 2" xfId="3770"/>
    <cellStyle name="40% - Accent5 2 2 5 2 2 2" xfId="8746"/>
    <cellStyle name="40% - Accent5 2 2 5 2 2 3" xfId="13031"/>
    <cellStyle name="40% - Accent5 2 2 5 2 2 4" xfId="17303"/>
    <cellStyle name="40% - Accent5 2 2 5 2 2 5" xfId="21538"/>
    <cellStyle name="40% - Accent5 2 2 5 2 2 6" xfId="25776"/>
    <cellStyle name="40% - Accent5 2 2 5 2 2 7" xfId="29854"/>
    <cellStyle name="40% - Accent5 2 2 5 2 3" xfId="5325"/>
    <cellStyle name="40% - Accent5 2 2 5 2 3 2" xfId="10299"/>
    <cellStyle name="40% - Accent5 2 2 5 2 3 3" xfId="14576"/>
    <cellStyle name="40% - Accent5 2 2 5 2 3 4" xfId="18835"/>
    <cellStyle name="40% - Accent5 2 2 5 2 3 5" xfId="23054"/>
    <cellStyle name="40% - Accent5 2 2 5 2 3 6" xfId="27249"/>
    <cellStyle name="40% - Accent5 2 2 5 2 3 7" xfId="31145"/>
    <cellStyle name="40% - Accent5 2 2 5 2 4" xfId="7900"/>
    <cellStyle name="40% - Accent5 2 2 5 2 5" xfId="12189"/>
    <cellStyle name="40% - Accent5 2 2 5 2 6" xfId="16465"/>
    <cellStyle name="40% - Accent5 2 2 5 2 7" xfId="20704"/>
    <cellStyle name="40% - Accent5 2 2 5 2 8" xfId="24953"/>
    <cellStyle name="40% - Accent5 2 2 5 2 9" xfId="29047"/>
    <cellStyle name="40% - Accent5 2 2 5 3" xfId="3769"/>
    <cellStyle name="40% - Accent5 2 2 5 3 2" xfId="8745"/>
    <cellStyle name="40% - Accent5 2 2 5 3 3" xfId="13030"/>
    <cellStyle name="40% - Accent5 2 2 5 3 4" xfId="17302"/>
    <cellStyle name="40% - Accent5 2 2 5 3 5" xfId="21537"/>
    <cellStyle name="40% - Accent5 2 2 5 3 6" xfId="25775"/>
    <cellStyle name="40% - Accent5 2 2 5 3 7" xfId="29853"/>
    <cellStyle name="40% - Accent5 2 2 5 4" xfId="2922"/>
    <cellStyle name="40% - Accent5 2 2 5 4 2" xfId="7899"/>
    <cellStyle name="40% - Accent5 2 2 5 4 3" xfId="12188"/>
    <cellStyle name="40% - Accent5 2 2 5 4 4" xfId="16464"/>
    <cellStyle name="40% - Accent5 2 2 5 4 5" xfId="20703"/>
    <cellStyle name="40% - Accent5 2 2 5 4 6" xfId="24952"/>
    <cellStyle name="40% - Accent5 2 2 5 4 7" xfId="29046"/>
    <cellStyle name="40% - Accent5 2 2 5 5" xfId="4668"/>
    <cellStyle name="40% - Accent5 2 2 5 5 2" xfId="9642"/>
    <cellStyle name="40% - Accent5 2 2 5 5 3" xfId="13919"/>
    <cellStyle name="40% - Accent5 2 2 5 5 4" xfId="18178"/>
    <cellStyle name="40% - Accent5 2 2 5 5 5" xfId="22397"/>
    <cellStyle name="40% - Accent5 2 2 5 5 6" xfId="26592"/>
    <cellStyle name="40% - Accent5 2 2 5 5 7" xfId="30488"/>
    <cellStyle name="40% - Accent5 2 2 5 6" xfId="6016"/>
    <cellStyle name="40% - Accent5 2 2 5 6 2" xfId="10988"/>
    <cellStyle name="40% - Accent5 2 2 5 6 3" xfId="15266"/>
    <cellStyle name="40% - Accent5 2 2 5 6 4" xfId="19523"/>
    <cellStyle name="40% - Accent5 2 2 5 6 5" xfId="23740"/>
    <cellStyle name="40% - Accent5 2 2 5 6 6" xfId="27926"/>
    <cellStyle name="40% - Accent5 2 2 5 6 7" xfId="31805"/>
    <cellStyle name="40% - Accent5 2 2 5 7" xfId="6934"/>
    <cellStyle name="40% - Accent5 2 2 5 8" xfId="6587"/>
    <cellStyle name="40% - Accent5 2 2 5 9" xfId="7951"/>
    <cellStyle name="40% - Accent5 2 2 6" xfId="965"/>
    <cellStyle name="40% - Accent5 2 2 6 10" xfId="2924"/>
    <cellStyle name="40% - Accent5 2 2 6 2" xfId="3771"/>
    <cellStyle name="40% - Accent5 2 2 6 2 2" xfId="8747"/>
    <cellStyle name="40% - Accent5 2 2 6 2 3" xfId="13032"/>
    <cellStyle name="40% - Accent5 2 2 6 2 4" xfId="17304"/>
    <cellStyle name="40% - Accent5 2 2 6 2 5" xfId="21539"/>
    <cellStyle name="40% - Accent5 2 2 6 2 6" xfId="25777"/>
    <cellStyle name="40% - Accent5 2 2 6 2 7" xfId="29855"/>
    <cellStyle name="40% - Accent5 2 2 6 3" xfId="4996"/>
    <cellStyle name="40% - Accent5 2 2 6 3 2" xfId="9970"/>
    <cellStyle name="40% - Accent5 2 2 6 3 3" xfId="14247"/>
    <cellStyle name="40% - Accent5 2 2 6 3 4" xfId="18506"/>
    <cellStyle name="40% - Accent5 2 2 6 3 5" xfId="22725"/>
    <cellStyle name="40% - Accent5 2 2 6 3 6" xfId="26920"/>
    <cellStyle name="40% - Accent5 2 2 6 3 7" xfId="30816"/>
    <cellStyle name="40% - Accent5 2 2 6 4" xfId="7901"/>
    <cellStyle name="40% - Accent5 2 2 6 5" xfId="12190"/>
    <cellStyle name="40% - Accent5 2 2 6 6" xfId="16466"/>
    <cellStyle name="40% - Accent5 2 2 6 7" xfId="20705"/>
    <cellStyle name="40% - Accent5 2 2 6 8" xfId="24954"/>
    <cellStyle name="40% - Accent5 2 2 6 9" xfId="29048"/>
    <cellStyle name="40% - Accent5 2 2 7" xfId="3208"/>
    <cellStyle name="40% - Accent5 2 2 7 2" xfId="8184"/>
    <cellStyle name="40% - Accent5 2 2 7 3" xfId="12470"/>
    <cellStyle name="40% - Accent5 2 2 7 4" xfId="16744"/>
    <cellStyle name="40% - Accent5 2 2 7 5" xfId="20980"/>
    <cellStyle name="40% - Accent5 2 2 7 6" xfId="25220"/>
    <cellStyle name="40% - Accent5 2 2 7 7" xfId="29301"/>
    <cellStyle name="40% - Accent5 2 2 8" xfId="2305"/>
    <cellStyle name="40% - Accent5 2 2 8 2" xfId="7283"/>
    <cellStyle name="40% - Accent5 2 2 8 3" xfId="11573"/>
    <cellStyle name="40% - Accent5 2 2 8 4" xfId="15851"/>
    <cellStyle name="40% - Accent5 2 2 8 5" xfId="20104"/>
    <cellStyle name="40% - Accent5 2 2 8 6" xfId="24355"/>
    <cellStyle name="40% - Accent5 2 2 8 7" xfId="28492"/>
    <cellStyle name="40% - Accent5 2 2 9" xfId="4333"/>
    <cellStyle name="40% - Accent5 2 2 9 2" xfId="9307"/>
    <cellStyle name="40% - Accent5 2 2 9 3" xfId="13584"/>
    <cellStyle name="40% - Accent5 2 2 9 4" xfId="17844"/>
    <cellStyle name="40% - Accent5 2 2 9 5" xfId="22063"/>
    <cellStyle name="40% - Accent5 2 2 9 6" xfId="26261"/>
    <cellStyle name="40% - Accent5 2 2 9 7" xfId="30158"/>
    <cellStyle name="40% - Accent5 2 3" xfId="242"/>
    <cellStyle name="40% - Accent5 2 3 10" xfId="14867"/>
    <cellStyle name="40% - Accent5 2 3 11" xfId="19125"/>
    <cellStyle name="40% - Accent5 2 3 12" xfId="21956"/>
    <cellStyle name="40% - Accent5 2 3 13" xfId="27536"/>
    <cellStyle name="40% - Accent5 2 3 14" xfId="1647"/>
    <cellStyle name="40% - Accent5 2 3 2" xfId="454"/>
    <cellStyle name="40% - Accent5 2 3 2 10" xfId="17596"/>
    <cellStyle name="40% - Accent5 2 3 2 11" xfId="23347"/>
    <cellStyle name="40% - Accent5 2 3 2 12" xfId="26049"/>
    <cellStyle name="40% - Accent5 2 3 2 13" xfId="1817"/>
    <cellStyle name="40% - Accent5 2 3 2 2" xfId="828"/>
    <cellStyle name="40% - Accent5 2 3 2 2 10" xfId="24203"/>
    <cellStyle name="40% - Accent5 2 3 2 2 11" xfId="28355"/>
    <cellStyle name="40% - Accent5 2 3 2 2 12" xfId="2147"/>
    <cellStyle name="40% - Accent5 2 3 2 2 2" xfId="1485"/>
    <cellStyle name="40% - Accent5 2 3 2 2 2 2" xfId="5516"/>
    <cellStyle name="40% - Accent5 2 3 2 2 2 2 2" xfId="10490"/>
    <cellStyle name="40% - Accent5 2 3 2 2 2 2 3" xfId="14767"/>
    <cellStyle name="40% - Accent5 2 3 2 2 2 2 4" xfId="19026"/>
    <cellStyle name="40% - Accent5 2 3 2 2 2 2 5" xfId="23245"/>
    <cellStyle name="40% - Accent5 2 3 2 2 2 2 6" xfId="27440"/>
    <cellStyle name="40% - Accent5 2 3 2 2 2 2 7" xfId="31336"/>
    <cellStyle name="40% - Accent5 2 3 2 2 2 3" xfId="8748"/>
    <cellStyle name="40% - Accent5 2 3 2 2 2 4" xfId="13033"/>
    <cellStyle name="40% - Accent5 2 3 2 2 2 5" xfId="17305"/>
    <cellStyle name="40% - Accent5 2 3 2 2 2 6" xfId="21540"/>
    <cellStyle name="40% - Accent5 2 3 2 2 2 7" xfId="25778"/>
    <cellStyle name="40% - Accent5 2 3 2 2 2 8" xfId="29856"/>
    <cellStyle name="40% - Accent5 2 3 2 2 2 9" xfId="3772"/>
    <cellStyle name="40% - Accent5 2 3 2 2 3" xfId="2925"/>
    <cellStyle name="40% - Accent5 2 3 2 2 3 2" xfId="7902"/>
    <cellStyle name="40% - Accent5 2 3 2 2 3 3" xfId="12191"/>
    <cellStyle name="40% - Accent5 2 3 2 2 3 4" xfId="16467"/>
    <cellStyle name="40% - Accent5 2 3 2 2 3 5" xfId="20706"/>
    <cellStyle name="40% - Accent5 2 3 2 2 3 6" xfId="24955"/>
    <cellStyle name="40% - Accent5 2 3 2 2 3 7" xfId="29049"/>
    <cellStyle name="40% - Accent5 2 3 2 2 4" xfId="4859"/>
    <cellStyle name="40% - Accent5 2 3 2 2 4 2" xfId="9833"/>
    <cellStyle name="40% - Accent5 2 3 2 2 4 3" xfId="14110"/>
    <cellStyle name="40% - Accent5 2 3 2 2 4 4" xfId="18369"/>
    <cellStyle name="40% - Accent5 2 3 2 2 4 5" xfId="22588"/>
    <cellStyle name="40% - Accent5 2 3 2 2 4 6" xfId="26783"/>
    <cellStyle name="40% - Accent5 2 3 2 2 4 7" xfId="30679"/>
    <cellStyle name="40% - Accent5 2 3 2 2 5" xfId="6207"/>
    <cellStyle name="40% - Accent5 2 3 2 2 5 2" xfId="11179"/>
    <cellStyle name="40% - Accent5 2 3 2 2 5 3" xfId="15457"/>
    <cellStyle name="40% - Accent5 2 3 2 2 5 4" xfId="19714"/>
    <cellStyle name="40% - Accent5 2 3 2 2 5 5" xfId="23931"/>
    <cellStyle name="40% - Accent5 2 3 2 2 5 6" xfId="28117"/>
    <cellStyle name="40% - Accent5 2 3 2 2 5 7" xfId="31996"/>
    <cellStyle name="40% - Accent5 2 3 2 2 6" xfId="7125"/>
    <cellStyle name="40% - Accent5 2 3 2 2 7" xfId="11417"/>
    <cellStyle name="40% - Accent5 2 3 2 2 8" xfId="15695"/>
    <cellStyle name="40% - Accent5 2 3 2 2 9" xfId="19952"/>
    <cellStyle name="40% - Accent5 2 3 2 3" xfId="1156"/>
    <cellStyle name="40% - Accent5 2 3 2 3 2" xfId="5187"/>
    <cellStyle name="40% - Accent5 2 3 2 3 2 2" xfId="10161"/>
    <cellStyle name="40% - Accent5 2 3 2 3 2 3" xfId="14438"/>
    <cellStyle name="40% - Accent5 2 3 2 3 2 4" xfId="18697"/>
    <cellStyle name="40% - Accent5 2 3 2 3 2 5" xfId="22916"/>
    <cellStyle name="40% - Accent5 2 3 2 3 2 6" xfId="27111"/>
    <cellStyle name="40% - Accent5 2 3 2 3 2 7" xfId="31007"/>
    <cellStyle name="40% - Accent5 2 3 2 3 3" xfId="8382"/>
    <cellStyle name="40% - Accent5 2 3 2 3 4" xfId="12667"/>
    <cellStyle name="40% - Accent5 2 3 2 3 5" xfId="16939"/>
    <cellStyle name="40% - Accent5 2 3 2 3 6" xfId="21174"/>
    <cellStyle name="40% - Accent5 2 3 2 3 7" xfId="25412"/>
    <cellStyle name="40% - Accent5 2 3 2 3 8" xfId="29490"/>
    <cellStyle name="40% - Accent5 2 3 2 3 9" xfId="3406"/>
    <cellStyle name="40% - Accent5 2 3 2 4" xfId="2545"/>
    <cellStyle name="40% - Accent5 2 3 2 4 2" xfId="7522"/>
    <cellStyle name="40% - Accent5 2 3 2 4 3" xfId="11811"/>
    <cellStyle name="40% - Accent5 2 3 2 4 4" xfId="16089"/>
    <cellStyle name="40% - Accent5 2 3 2 4 5" xfId="20332"/>
    <cellStyle name="40% - Accent5 2 3 2 4 6" xfId="24578"/>
    <cellStyle name="40% - Accent5 2 3 2 4 7" xfId="28683"/>
    <cellStyle name="40% - Accent5 2 3 2 5" xfId="4529"/>
    <cellStyle name="40% - Accent5 2 3 2 5 2" xfId="9503"/>
    <cellStyle name="40% - Accent5 2 3 2 5 3" xfId="13780"/>
    <cellStyle name="40% - Accent5 2 3 2 5 4" xfId="18040"/>
    <cellStyle name="40% - Accent5 2 3 2 5 5" xfId="22258"/>
    <cellStyle name="40% - Accent5 2 3 2 5 6" xfId="26454"/>
    <cellStyle name="40% - Accent5 2 3 2 5 7" xfId="30350"/>
    <cellStyle name="40% - Accent5 2 3 2 6" xfId="5878"/>
    <cellStyle name="40% - Accent5 2 3 2 6 2" xfId="10850"/>
    <cellStyle name="40% - Accent5 2 3 2 6 3" xfId="15128"/>
    <cellStyle name="40% - Accent5 2 3 2 6 4" xfId="19385"/>
    <cellStyle name="40% - Accent5 2 3 2 6 5" xfId="23602"/>
    <cellStyle name="40% - Accent5 2 3 2 6 6" xfId="27788"/>
    <cellStyle name="40% - Accent5 2 3 2 6 7" xfId="31667"/>
    <cellStyle name="40% - Accent5 2 3 2 7" xfId="6752"/>
    <cellStyle name="40% - Accent5 2 3 2 8" xfId="9041"/>
    <cellStyle name="40% - Accent5 2 3 2 9" xfId="13324"/>
    <cellStyle name="40% - Accent5 2 3 3" xfId="661"/>
    <cellStyle name="40% - Accent5 2 3 3 10" xfId="24036"/>
    <cellStyle name="40% - Accent5 2 3 3 11" xfId="26200"/>
    <cellStyle name="40% - Accent5 2 3 3 12" xfId="1980"/>
    <cellStyle name="40% - Accent5 2 3 3 2" xfId="1318"/>
    <cellStyle name="40% - Accent5 2 3 3 2 2" xfId="5349"/>
    <cellStyle name="40% - Accent5 2 3 3 2 2 2" xfId="10323"/>
    <cellStyle name="40% - Accent5 2 3 3 2 2 3" xfId="14600"/>
    <cellStyle name="40% - Accent5 2 3 3 2 2 4" xfId="18859"/>
    <cellStyle name="40% - Accent5 2 3 3 2 2 5" xfId="23078"/>
    <cellStyle name="40% - Accent5 2 3 3 2 2 6" xfId="27273"/>
    <cellStyle name="40% - Accent5 2 3 3 2 2 7" xfId="31169"/>
    <cellStyle name="40% - Accent5 2 3 3 2 3" xfId="8749"/>
    <cellStyle name="40% - Accent5 2 3 3 2 4" xfId="13034"/>
    <cellStyle name="40% - Accent5 2 3 3 2 5" xfId="17306"/>
    <cellStyle name="40% - Accent5 2 3 3 2 6" xfId="21541"/>
    <cellStyle name="40% - Accent5 2 3 3 2 7" xfId="25779"/>
    <cellStyle name="40% - Accent5 2 3 3 2 8" xfId="29857"/>
    <cellStyle name="40% - Accent5 2 3 3 2 9" xfId="3773"/>
    <cellStyle name="40% - Accent5 2 3 3 3" xfId="2926"/>
    <cellStyle name="40% - Accent5 2 3 3 3 2" xfId="7903"/>
    <cellStyle name="40% - Accent5 2 3 3 3 3" xfId="12192"/>
    <cellStyle name="40% - Accent5 2 3 3 3 4" xfId="16468"/>
    <cellStyle name="40% - Accent5 2 3 3 3 5" xfId="20707"/>
    <cellStyle name="40% - Accent5 2 3 3 3 6" xfId="24956"/>
    <cellStyle name="40% - Accent5 2 3 3 3 7" xfId="29050"/>
    <cellStyle name="40% - Accent5 2 3 3 4" xfId="4692"/>
    <cellStyle name="40% - Accent5 2 3 3 4 2" xfId="9666"/>
    <cellStyle name="40% - Accent5 2 3 3 4 3" xfId="13943"/>
    <cellStyle name="40% - Accent5 2 3 3 4 4" xfId="18202"/>
    <cellStyle name="40% - Accent5 2 3 3 4 5" xfId="22421"/>
    <cellStyle name="40% - Accent5 2 3 3 4 6" xfId="26616"/>
    <cellStyle name="40% - Accent5 2 3 3 4 7" xfId="30512"/>
    <cellStyle name="40% - Accent5 2 3 3 5" xfId="6040"/>
    <cellStyle name="40% - Accent5 2 3 3 5 2" xfId="11012"/>
    <cellStyle name="40% - Accent5 2 3 3 5 3" xfId="15290"/>
    <cellStyle name="40% - Accent5 2 3 3 5 4" xfId="19547"/>
    <cellStyle name="40% - Accent5 2 3 3 5 5" xfId="23764"/>
    <cellStyle name="40% - Accent5 2 3 3 5 6" xfId="27950"/>
    <cellStyle name="40% - Accent5 2 3 3 5 7" xfId="31829"/>
    <cellStyle name="40% - Accent5 2 3 3 6" xfId="6958"/>
    <cellStyle name="40% - Accent5 2 3 3 7" xfId="9246"/>
    <cellStyle name="40% - Accent5 2 3 3 8" xfId="13523"/>
    <cellStyle name="40% - Accent5 2 3 3 9" xfId="17783"/>
    <cellStyle name="40% - Accent5 2 3 4" xfId="989"/>
    <cellStyle name="40% - Accent5 2 3 4 2" xfId="5020"/>
    <cellStyle name="40% - Accent5 2 3 4 2 2" xfId="9994"/>
    <cellStyle name="40% - Accent5 2 3 4 2 3" xfId="14271"/>
    <cellStyle name="40% - Accent5 2 3 4 2 4" xfId="18530"/>
    <cellStyle name="40% - Accent5 2 3 4 2 5" xfId="22749"/>
    <cellStyle name="40% - Accent5 2 3 4 2 6" xfId="26944"/>
    <cellStyle name="40% - Accent5 2 3 4 2 7" xfId="30840"/>
    <cellStyle name="40% - Accent5 2 3 4 3" xfId="8227"/>
    <cellStyle name="40% - Accent5 2 3 4 4" xfId="12512"/>
    <cellStyle name="40% - Accent5 2 3 4 5" xfId="16785"/>
    <cellStyle name="40% - Accent5 2 3 4 6" xfId="21022"/>
    <cellStyle name="40% - Accent5 2 3 4 7" xfId="25259"/>
    <cellStyle name="40% - Accent5 2 3 4 8" xfId="29338"/>
    <cellStyle name="40% - Accent5 2 3 4 9" xfId="3251"/>
    <cellStyle name="40% - Accent5 2 3 5" xfId="2365"/>
    <cellStyle name="40% - Accent5 2 3 5 2" xfId="7343"/>
    <cellStyle name="40% - Accent5 2 3 5 3" xfId="11632"/>
    <cellStyle name="40% - Accent5 2 3 5 4" xfId="15911"/>
    <cellStyle name="40% - Accent5 2 3 5 5" xfId="20161"/>
    <cellStyle name="40% - Accent5 2 3 5 6" xfId="24408"/>
    <cellStyle name="40% - Accent5 2 3 5 7" xfId="28530"/>
    <cellStyle name="40% - Accent5 2 3 6" xfId="4361"/>
    <cellStyle name="40% - Accent5 2 3 6 2" xfId="9335"/>
    <cellStyle name="40% - Accent5 2 3 6 3" xfId="13612"/>
    <cellStyle name="40% - Accent5 2 3 6 4" xfId="17872"/>
    <cellStyle name="40% - Accent5 2 3 6 5" xfId="22091"/>
    <cellStyle name="40% - Accent5 2 3 6 6" xfId="26287"/>
    <cellStyle name="40% - Accent5 2 3 6 7" xfId="30183"/>
    <cellStyle name="40% - Accent5 2 3 7" xfId="5711"/>
    <cellStyle name="40% - Accent5 2 3 7 2" xfId="10683"/>
    <cellStyle name="40% - Accent5 2 3 7 3" xfId="14961"/>
    <cellStyle name="40% - Accent5 2 3 7 4" xfId="19218"/>
    <cellStyle name="40% - Accent5 2 3 7 5" xfId="23435"/>
    <cellStyle name="40% - Accent5 2 3 7 6" xfId="27621"/>
    <cellStyle name="40% - Accent5 2 3 7 7" xfId="31500"/>
    <cellStyle name="40% - Accent5 2 3 8" xfId="6540"/>
    <cellStyle name="40% - Accent5 2 3 9" xfId="10589"/>
    <cellStyle name="40% - Accent5 2 4" xfId="388"/>
    <cellStyle name="40% - Accent5 2 4 10" xfId="13321"/>
    <cellStyle name="40% - Accent5 2 4 11" xfId="17594"/>
    <cellStyle name="40% - Accent5 2 4 12" xfId="21996"/>
    <cellStyle name="40% - Accent5 2 4 13" xfId="26047"/>
    <cellStyle name="40% - Accent5 2 4 14" xfId="1751"/>
    <cellStyle name="40% - Accent5 2 4 2" xfId="762"/>
    <cellStyle name="40% - Accent5 2 4 2 10" xfId="24137"/>
    <cellStyle name="40% - Accent5 2 4 2 11" xfId="28289"/>
    <cellStyle name="40% - Accent5 2 4 2 12" xfId="2081"/>
    <cellStyle name="40% - Accent5 2 4 2 2" xfId="1419"/>
    <cellStyle name="40% - Accent5 2 4 2 2 2" xfId="5450"/>
    <cellStyle name="40% - Accent5 2 4 2 2 2 2" xfId="10424"/>
    <cellStyle name="40% - Accent5 2 4 2 2 2 3" xfId="14701"/>
    <cellStyle name="40% - Accent5 2 4 2 2 2 4" xfId="18960"/>
    <cellStyle name="40% - Accent5 2 4 2 2 2 5" xfId="23179"/>
    <cellStyle name="40% - Accent5 2 4 2 2 2 6" xfId="27374"/>
    <cellStyle name="40% - Accent5 2 4 2 2 2 7" xfId="31270"/>
    <cellStyle name="40% - Accent5 2 4 2 2 3" xfId="8750"/>
    <cellStyle name="40% - Accent5 2 4 2 2 4" xfId="13035"/>
    <cellStyle name="40% - Accent5 2 4 2 2 5" xfId="17307"/>
    <cellStyle name="40% - Accent5 2 4 2 2 6" xfId="21542"/>
    <cellStyle name="40% - Accent5 2 4 2 2 7" xfId="25780"/>
    <cellStyle name="40% - Accent5 2 4 2 2 8" xfId="29858"/>
    <cellStyle name="40% - Accent5 2 4 2 2 9" xfId="3774"/>
    <cellStyle name="40% - Accent5 2 4 2 3" xfId="2927"/>
    <cellStyle name="40% - Accent5 2 4 2 3 2" xfId="7904"/>
    <cellStyle name="40% - Accent5 2 4 2 3 3" xfId="12193"/>
    <cellStyle name="40% - Accent5 2 4 2 3 4" xfId="16469"/>
    <cellStyle name="40% - Accent5 2 4 2 3 5" xfId="20708"/>
    <cellStyle name="40% - Accent5 2 4 2 3 6" xfId="24957"/>
    <cellStyle name="40% - Accent5 2 4 2 3 7" xfId="29051"/>
    <cellStyle name="40% - Accent5 2 4 2 4" xfId="4793"/>
    <cellStyle name="40% - Accent5 2 4 2 4 2" xfId="9767"/>
    <cellStyle name="40% - Accent5 2 4 2 4 3" xfId="14044"/>
    <cellStyle name="40% - Accent5 2 4 2 4 4" xfId="18303"/>
    <cellStyle name="40% - Accent5 2 4 2 4 5" xfId="22522"/>
    <cellStyle name="40% - Accent5 2 4 2 4 6" xfId="26717"/>
    <cellStyle name="40% - Accent5 2 4 2 4 7" xfId="30613"/>
    <cellStyle name="40% - Accent5 2 4 2 5" xfId="6141"/>
    <cellStyle name="40% - Accent5 2 4 2 5 2" xfId="11113"/>
    <cellStyle name="40% - Accent5 2 4 2 5 3" xfId="15391"/>
    <cellStyle name="40% - Accent5 2 4 2 5 4" xfId="19648"/>
    <cellStyle name="40% - Accent5 2 4 2 5 5" xfId="23865"/>
    <cellStyle name="40% - Accent5 2 4 2 5 6" xfId="28051"/>
    <cellStyle name="40% - Accent5 2 4 2 5 7" xfId="31930"/>
    <cellStyle name="40% - Accent5 2 4 2 6" xfId="7059"/>
    <cellStyle name="40% - Accent5 2 4 2 7" xfId="11351"/>
    <cellStyle name="40% - Accent5 2 4 2 8" xfId="15629"/>
    <cellStyle name="40% - Accent5 2 4 2 9" xfId="19886"/>
    <cellStyle name="40% - Accent5 2 4 3" xfId="1090"/>
    <cellStyle name="40% - Accent5 2 4 3 2" xfId="5121"/>
    <cellStyle name="40% - Accent5 2 4 3 2 2" xfId="10095"/>
    <cellStyle name="40% - Accent5 2 4 3 2 3" xfId="14372"/>
    <cellStyle name="40% - Accent5 2 4 3 2 4" xfId="18631"/>
    <cellStyle name="40% - Accent5 2 4 3 2 5" xfId="22850"/>
    <cellStyle name="40% - Accent5 2 4 3 2 6" xfId="27045"/>
    <cellStyle name="40% - Accent5 2 4 3 2 7" xfId="30941"/>
    <cellStyle name="40% - Accent5 2 4 3 3" xfId="8316"/>
    <cellStyle name="40% - Accent5 2 4 3 4" xfId="12601"/>
    <cellStyle name="40% - Accent5 2 4 3 5" xfId="16873"/>
    <cellStyle name="40% - Accent5 2 4 3 6" xfId="21108"/>
    <cellStyle name="40% - Accent5 2 4 3 7" xfId="25346"/>
    <cellStyle name="40% - Accent5 2 4 3 8" xfId="29424"/>
    <cellStyle name="40% - Accent5 2 4 3 9" xfId="3340"/>
    <cellStyle name="40% - Accent5 2 4 4" xfId="2479"/>
    <cellStyle name="40% - Accent5 2 4 4 2" xfId="7456"/>
    <cellStyle name="40% - Accent5 2 4 4 3" xfId="11745"/>
    <cellStyle name="40% - Accent5 2 4 4 4" xfId="16023"/>
    <cellStyle name="40% - Accent5 2 4 4 5" xfId="20266"/>
    <cellStyle name="40% - Accent5 2 4 4 6" xfId="24512"/>
    <cellStyle name="40% - Accent5 2 4 4 7" xfId="28617"/>
    <cellStyle name="40% - Accent5 2 4 5" xfId="4177"/>
    <cellStyle name="40% - Accent5 2 4 6" xfId="4463"/>
    <cellStyle name="40% - Accent5 2 4 6 2" xfId="9437"/>
    <cellStyle name="40% - Accent5 2 4 6 3" xfId="13714"/>
    <cellStyle name="40% - Accent5 2 4 6 4" xfId="17974"/>
    <cellStyle name="40% - Accent5 2 4 6 5" xfId="22192"/>
    <cellStyle name="40% - Accent5 2 4 6 6" xfId="26388"/>
    <cellStyle name="40% - Accent5 2 4 6 7" xfId="30284"/>
    <cellStyle name="40% - Accent5 2 4 7" xfId="5812"/>
    <cellStyle name="40% - Accent5 2 4 7 2" xfId="10784"/>
    <cellStyle name="40% - Accent5 2 4 7 3" xfId="15062"/>
    <cellStyle name="40% - Accent5 2 4 7 4" xfId="19319"/>
    <cellStyle name="40% - Accent5 2 4 7 5" xfId="23536"/>
    <cellStyle name="40% - Accent5 2 4 7 6" xfId="27722"/>
    <cellStyle name="40% - Accent5 2 4 7 7" xfId="31601"/>
    <cellStyle name="40% - Accent5 2 4 8" xfId="6686"/>
    <cellStyle name="40% - Accent5 2 4 9" xfId="9038"/>
    <cellStyle name="40% - Accent5 2 5" xfId="503"/>
    <cellStyle name="40% - Accent5 2 5 10" xfId="9018"/>
    <cellStyle name="40% - Accent5 2 5 11" xfId="13457"/>
    <cellStyle name="40% - Accent5 2 5 12" xfId="14894"/>
    <cellStyle name="40% - Accent5 2 5 13" xfId="1866"/>
    <cellStyle name="40% - Accent5 2 5 2" xfId="877"/>
    <cellStyle name="40% - Accent5 2 5 2 10" xfId="24252"/>
    <cellStyle name="40% - Accent5 2 5 2 11" xfId="28404"/>
    <cellStyle name="40% - Accent5 2 5 2 12" xfId="2196"/>
    <cellStyle name="40% - Accent5 2 5 2 2" xfId="1534"/>
    <cellStyle name="40% - Accent5 2 5 2 2 2" xfId="5565"/>
    <cellStyle name="40% - Accent5 2 5 2 2 2 2" xfId="10539"/>
    <cellStyle name="40% - Accent5 2 5 2 2 2 3" xfId="14816"/>
    <cellStyle name="40% - Accent5 2 5 2 2 2 4" xfId="19075"/>
    <cellStyle name="40% - Accent5 2 5 2 2 2 5" xfId="23294"/>
    <cellStyle name="40% - Accent5 2 5 2 2 2 6" xfId="27489"/>
    <cellStyle name="40% - Accent5 2 5 2 2 2 7" xfId="31385"/>
    <cellStyle name="40% - Accent5 2 5 2 2 3" xfId="8751"/>
    <cellStyle name="40% - Accent5 2 5 2 2 4" xfId="13036"/>
    <cellStyle name="40% - Accent5 2 5 2 2 5" xfId="17308"/>
    <cellStyle name="40% - Accent5 2 5 2 2 6" xfId="21543"/>
    <cellStyle name="40% - Accent5 2 5 2 2 7" xfId="25781"/>
    <cellStyle name="40% - Accent5 2 5 2 2 8" xfId="29859"/>
    <cellStyle name="40% - Accent5 2 5 2 2 9" xfId="3775"/>
    <cellStyle name="40% - Accent5 2 5 2 3" xfId="2928"/>
    <cellStyle name="40% - Accent5 2 5 2 3 2" xfId="7905"/>
    <cellStyle name="40% - Accent5 2 5 2 3 3" xfId="12194"/>
    <cellStyle name="40% - Accent5 2 5 2 3 4" xfId="16470"/>
    <cellStyle name="40% - Accent5 2 5 2 3 5" xfId="20709"/>
    <cellStyle name="40% - Accent5 2 5 2 3 6" xfId="24958"/>
    <cellStyle name="40% - Accent5 2 5 2 3 7" xfId="29052"/>
    <cellStyle name="40% - Accent5 2 5 2 4" xfId="4908"/>
    <cellStyle name="40% - Accent5 2 5 2 4 2" xfId="9882"/>
    <cellStyle name="40% - Accent5 2 5 2 4 3" xfId="14159"/>
    <cellStyle name="40% - Accent5 2 5 2 4 4" xfId="18418"/>
    <cellStyle name="40% - Accent5 2 5 2 4 5" xfId="22637"/>
    <cellStyle name="40% - Accent5 2 5 2 4 6" xfId="26832"/>
    <cellStyle name="40% - Accent5 2 5 2 4 7" xfId="30728"/>
    <cellStyle name="40% - Accent5 2 5 2 5" xfId="6256"/>
    <cellStyle name="40% - Accent5 2 5 2 5 2" xfId="11228"/>
    <cellStyle name="40% - Accent5 2 5 2 5 3" xfId="15506"/>
    <cellStyle name="40% - Accent5 2 5 2 5 4" xfId="19763"/>
    <cellStyle name="40% - Accent5 2 5 2 5 5" xfId="23980"/>
    <cellStyle name="40% - Accent5 2 5 2 5 6" xfId="28166"/>
    <cellStyle name="40% - Accent5 2 5 2 5 7" xfId="32045"/>
    <cellStyle name="40% - Accent5 2 5 2 6" xfId="7174"/>
    <cellStyle name="40% - Accent5 2 5 2 7" xfId="11466"/>
    <cellStyle name="40% - Accent5 2 5 2 8" xfId="15744"/>
    <cellStyle name="40% - Accent5 2 5 2 9" xfId="20001"/>
    <cellStyle name="40% - Accent5 2 5 3" xfId="1205"/>
    <cellStyle name="40% - Accent5 2 5 3 2" xfId="5236"/>
    <cellStyle name="40% - Accent5 2 5 3 2 2" xfId="10210"/>
    <cellStyle name="40% - Accent5 2 5 3 2 3" xfId="14487"/>
    <cellStyle name="40% - Accent5 2 5 3 2 4" xfId="18746"/>
    <cellStyle name="40% - Accent5 2 5 3 2 5" xfId="22965"/>
    <cellStyle name="40% - Accent5 2 5 3 2 6" xfId="27160"/>
    <cellStyle name="40% - Accent5 2 5 3 2 7" xfId="31056"/>
    <cellStyle name="40% - Accent5 2 5 3 3" xfId="8446"/>
    <cellStyle name="40% - Accent5 2 5 3 4" xfId="12731"/>
    <cellStyle name="40% - Accent5 2 5 3 5" xfId="17003"/>
    <cellStyle name="40% - Accent5 2 5 3 6" xfId="21238"/>
    <cellStyle name="40% - Accent5 2 5 3 7" xfId="25476"/>
    <cellStyle name="40% - Accent5 2 5 3 8" xfId="29554"/>
    <cellStyle name="40% - Accent5 2 5 3 9" xfId="3470"/>
    <cellStyle name="40% - Accent5 2 5 4" xfId="2612"/>
    <cellStyle name="40% - Accent5 2 5 4 2" xfId="7589"/>
    <cellStyle name="40% - Accent5 2 5 4 3" xfId="11878"/>
    <cellStyle name="40% - Accent5 2 5 4 4" xfId="16154"/>
    <cellStyle name="40% - Accent5 2 5 4 5" xfId="20397"/>
    <cellStyle name="40% - Accent5 2 5 4 6" xfId="24643"/>
    <cellStyle name="40% - Accent5 2 5 4 7" xfId="28747"/>
    <cellStyle name="40% - Accent5 2 5 5" xfId="4578"/>
    <cellStyle name="40% - Accent5 2 5 5 2" xfId="9552"/>
    <cellStyle name="40% - Accent5 2 5 5 3" xfId="13829"/>
    <cellStyle name="40% - Accent5 2 5 5 4" xfId="18089"/>
    <cellStyle name="40% - Accent5 2 5 5 5" xfId="22307"/>
    <cellStyle name="40% - Accent5 2 5 5 6" xfId="26503"/>
    <cellStyle name="40% - Accent5 2 5 5 7" xfId="30399"/>
    <cellStyle name="40% - Accent5 2 5 6" xfId="5927"/>
    <cellStyle name="40% - Accent5 2 5 6 2" xfId="10899"/>
    <cellStyle name="40% - Accent5 2 5 6 3" xfId="15177"/>
    <cellStyle name="40% - Accent5 2 5 6 4" xfId="19434"/>
    <cellStyle name="40% - Accent5 2 5 6 5" xfId="23651"/>
    <cellStyle name="40% - Accent5 2 5 6 6" xfId="27837"/>
    <cellStyle name="40% - Accent5 2 5 6 7" xfId="31716"/>
    <cellStyle name="40% - Accent5 2 5 7" xfId="6801"/>
    <cellStyle name="40% - Accent5 2 5 8" xfId="6868"/>
    <cellStyle name="40% - Accent5 2 5 9" xfId="6431"/>
    <cellStyle name="40% - Accent5 2 6" xfId="604"/>
    <cellStyle name="40% - Accent5 2 6 10" xfId="10616"/>
    <cellStyle name="40% - Accent5 2 6 11" xfId="21985"/>
    <cellStyle name="40% - Accent5 2 6 12" xfId="14862"/>
    <cellStyle name="40% - Accent5 2 6 13" xfId="1923"/>
    <cellStyle name="40% - Accent5 2 6 2" xfId="1261"/>
    <cellStyle name="40% - Accent5 2 6 2 10" xfId="2930"/>
    <cellStyle name="40% - Accent5 2 6 2 2" xfId="3777"/>
    <cellStyle name="40% - Accent5 2 6 2 2 2" xfId="8753"/>
    <cellStyle name="40% - Accent5 2 6 2 2 3" xfId="13038"/>
    <cellStyle name="40% - Accent5 2 6 2 2 4" xfId="17310"/>
    <cellStyle name="40% - Accent5 2 6 2 2 5" xfId="21545"/>
    <cellStyle name="40% - Accent5 2 6 2 2 6" xfId="25783"/>
    <cellStyle name="40% - Accent5 2 6 2 2 7" xfId="29861"/>
    <cellStyle name="40% - Accent5 2 6 2 3" xfId="5292"/>
    <cellStyle name="40% - Accent5 2 6 2 3 2" xfId="10266"/>
    <cellStyle name="40% - Accent5 2 6 2 3 3" xfId="14543"/>
    <cellStyle name="40% - Accent5 2 6 2 3 4" xfId="18802"/>
    <cellStyle name="40% - Accent5 2 6 2 3 5" xfId="23021"/>
    <cellStyle name="40% - Accent5 2 6 2 3 6" xfId="27216"/>
    <cellStyle name="40% - Accent5 2 6 2 3 7" xfId="31112"/>
    <cellStyle name="40% - Accent5 2 6 2 4" xfId="7907"/>
    <cellStyle name="40% - Accent5 2 6 2 5" xfId="12196"/>
    <cellStyle name="40% - Accent5 2 6 2 6" xfId="16472"/>
    <cellStyle name="40% - Accent5 2 6 2 7" xfId="20711"/>
    <cellStyle name="40% - Accent5 2 6 2 8" xfId="24960"/>
    <cellStyle name="40% - Accent5 2 6 2 9" xfId="29054"/>
    <cellStyle name="40% - Accent5 2 6 3" xfId="3776"/>
    <cellStyle name="40% - Accent5 2 6 3 2" xfId="8752"/>
    <cellStyle name="40% - Accent5 2 6 3 3" xfId="13037"/>
    <cellStyle name="40% - Accent5 2 6 3 4" xfId="17309"/>
    <cellStyle name="40% - Accent5 2 6 3 5" xfId="21544"/>
    <cellStyle name="40% - Accent5 2 6 3 6" xfId="25782"/>
    <cellStyle name="40% - Accent5 2 6 3 7" xfId="29860"/>
    <cellStyle name="40% - Accent5 2 6 4" xfId="2929"/>
    <cellStyle name="40% - Accent5 2 6 4 2" xfId="7906"/>
    <cellStyle name="40% - Accent5 2 6 4 3" xfId="12195"/>
    <cellStyle name="40% - Accent5 2 6 4 4" xfId="16471"/>
    <cellStyle name="40% - Accent5 2 6 4 5" xfId="20710"/>
    <cellStyle name="40% - Accent5 2 6 4 6" xfId="24959"/>
    <cellStyle name="40% - Accent5 2 6 4 7" xfId="29053"/>
    <cellStyle name="40% - Accent5 2 6 5" xfId="4635"/>
    <cellStyle name="40% - Accent5 2 6 5 2" xfId="9609"/>
    <cellStyle name="40% - Accent5 2 6 5 3" xfId="13886"/>
    <cellStyle name="40% - Accent5 2 6 5 4" xfId="18145"/>
    <cellStyle name="40% - Accent5 2 6 5 5" xfId="22364"/>
    <cellStyle name="40% - Accent5 2 6 5 6" xfId="26559"/>
    <cellStyle name="40% - Accent5 2 6 5 7" xfId="30455"/>
    <cellStyle name="40% - Accent5 2 6 6" xfId="5983"/>
    <cellStyle name="40% - Accent5 2 6 6 2" xfId="10955"/>
    <cellStyle name="40% - Accent5 2 6 6 3" xfId="15233"/>
    <cellStyle name="40% - Accent5 2 6 6 4" xfId="19490"/>
    <cellStyle name="40% - Accent5 2 6 6 5" xfId="23707"/>
    <cellStyle name="40% - Accent5 2 6 6 6" xfId="27893"/>
    <cellStyle name="40% - Accent5 2 6 6 7" xfId="31772"/>
    <cellStyle name="40% - Accent5 2 6 7" xfId="6901"/>
    <cellStyle name="40% - Accent5 2 6 8" xfId="6854"/>
    <cellStyle name="40% - Accent5 2 6 9" xfId="6314"/>
    <cellStyle name="40% - Accent5 2 7" xfId="932"/>
    <cellStyle name="40% - Accent5 2 7 10" xfId="2931"/>
    <cellStyle name="40% - Accent5 2 7 2" xfId="3778"/>
    <cellStyle name="40% - Accent5 2 7 2 2" xfId="8754"/>
    <cellStyle name="40% - Accent5 2 7 2 3" xfId="13039"/>
    <cellStyle name="40% - Accent5 2 7 2 4" xfId="17311"/>
    <cellStyle name="40% - Accent5 2 7 2 5" xfId="21546"/>
    <cellStyle name="40% - Accent5 2 7 2 6" xfId="25784"/>
    <cellStyle name="40% - Accent5 2 7 2 7" xfId="29862"/>
    <cellStyle name="40% - Accent5 2 7 3" xfId="4963"/>
    <cellStyle name="40% - Accent5 2 7 3 2" xfId="9937"/>
    <cellStyle name="40% - Accent5 2 7 3 3" xfId="14214"/>
    <cellStyle name="40% - Accent5 2 7 3 4" xfId="18473"/>
    <cellStyle name="40% - Accent5 2 7 3 5" xfId="22692"/>
    <cellStyle name="40% - Accent5 2 7 3 6" xfId="26887"/>
    <cellStyle name="40% - Accent5 2 7 3 7" xfId="30783"/>
    <cellStyle name="40% - Accent5 2 7 4" xfId="7908"/>
    <cellStyle name="40% - Accent5 2 7 5" xfId="12197"/>
    <cellStyle name="40% - Accent5 2 7 6" xfId="16473"/>
    <cellStyle name="40% - Accent5 2 7 7" xfId="20712"/>
    <cellStyle name="40% - Accent5 2 7 8" xfId="24961"/>
    <cellStyle name="40% - Accent5 2 7 9" xfId="29055"/>
    <cellStyle name="40% - Accent5 2 8" xfId="3175"/>
    <cellStyle name="40% - Accent5 2 8 2" xfId="8151"/>
    <cellStyle name="40% - Accent5 2 8 3" xfId="12437"/>
    <cellStyle name="40% - Accent5 2 8 4" xfId="16711"/>
    <cellStyle name="40% - Accent5 2 8 5" xfId="20947"/>
    <cellStyle name="40% - Accent5 2 8 6" xfId="25187"/>
    <cellStyle name="40% - Accent5 2 8 7" xfId="29268"/>
    <cellStyle name="40% - Accent5 2 9" xfId="2261"/>
    <cellStyle name="40% - Accent5 2 9 2" xfId="7239"/>
    <cellStyle name="40% - Accent5 2 9 3" xfId="11529"/>
    <cellStyle name="40% - Accent5 2 9 4" xfId="15808"/>
    <cellStyle name="40% - Accent5 2 9 5" xfId="20063"/>
    <cellStyle name="40% - Accent5 2 9 6" xfId="24313"/>
    <cellStyle name="40% - Accent5 2 9 7" xfId="28459"/>
    <cellStyle name="40% - Accent5 3" xfId="130"/>
    <cellStyle name="40% - Accent5 3 2" xfId="4155"/>
    <cellStyle name="40% - Accent5 3 3" xfId="4204"/>
    <cellStyle name="40% - Accent5 4" xfId="115"/>
    <cellStyle name="40% - Accent5 4 10" xfId="5674"/>
    <cellStyle name="40% - Accent5 4 10 2" xfId="10646"/>
    <cellStyle name="40% - Accent5 4 10 3" xfId="14924"/>
    <cellStyle name="40% - Accent5 4 10 4" xfId="19181"/>
    <cellStyle name="40% - Accent5 4 10 5" xfId="23398"/>
    <cellStyle name="40% - Accent5 4 10 6" xfId="27584"/>
    <cellStyle name="40% - Accent5 4 10 7" xfId="31463"/>
    <cellStyle name="40% - Accent5 4 11" xfId="6415"/>
    <cellStyle name="40% - Accent5 4 12" xfId="7388"/>
    <cellStyle name="40% - Accent5 4 13" xfId="11677"/>
    <cellStyle name="40% - Accent5 4 14" xfId="15955"/>
    <cellStyle name="40% - Accent5 4 15" xfId="21846"/>
    <cellStyle name="40% - Accent5 4 16" xfId="24451"/>
    <cellStyle name="40% - Accent5 4 17" xfId="1609"/>
    <cellStyle name="40% - Accent5 4 2" xfId="306"/>
    <cellStyle name="40% - Accent5 4 2 10" xfId="13258"/>
    <cellStyle name="40% - Accent5 4 2 11" xfId="17532"/>
    <cellStyle name="40% - Accent5 4 2 12" xfId="21839"/>
    <cellStyle name="40% - Accent5 4 2 13" xfId="25997"/>
    <cellStyle name="40% - Accent5 4 2 14" xfId="1678"/>
    <cellStyle name="40% - Accent5 4 2 2" xfId="470"/>
    <cellStyle name="40% - Accent5 4 2 2 10" xfId="19126"/>
    <cellStyle name="40% - Accent5 4 2 2 11" xfId="15833"/>
    <cellStyle name="40% - Accent5 4 2 2 12" xfId="27537"/>
    <cellStyle name="40% - Accent5 4 2 2 13" xfId="1833"/>
    <cellStyle name="40% - Accent5 4 2 2 2" xfId="844"/>
    <cellStyle name="40% - Accent5 4 2 2 2 10" xfId="24219"/>
    <cellStyle name="40% - Accent5 4 2 2 2 11" xfId="28371"/>
    <cellStyle name="40% - Accent5 4 2 2 2 12" xfId="2163"/>
    <cellStyle name="40% - Accent5 4 2 2 2 2" xfId="1501"/>
    <cellStyle name="40% - Accent5 4 2 2 2 2 2" xfId="5532"/>
    <cellStyle name="40% - Accent5 4 2 2 2 2 2 2" xfId="10506"/>
    <cellStyle name="40% - Accent5 4 2 2 2 2 2 3" xfId="14783"/>
    <cellStyle name="40% - Accent5 4 2 2 2 2 2 4" xfId="19042"/>
    <cellStyle name="40% - Accent5 4 2 2 2 2 2 5" xfId="23261"/>
    <cellStyle name="40% - Accent5 4 2 2 2 2 2 6" xfId="27456"/>
    <cellStyle name="40% - Accent5 4 2 2 2 2 2 7" xfId="31352"/>
    <cellStyle name="40% - Accent5 4 2 2 2 2 3" xfId="8755"/>
    <cellStyle name="40% - Accent5 4 2 2 2 2 4" xfId="13040"/>
    <cellStyle name="40% - Accent5 4 2 2 2 2 5" xfId="17312"/>
    <cellStyle name="40% - Accent5 4 2 2 2 2 6" xfId="21547"/>
    <cellStyle name="40% - Accent5 4 2 2 2 2 7" xfId="25785"/>
    <cellStyle name="40% - Accent5 4 2 2 2 2 8" xfId="29863"/>
    <cellStyle name="40% - Accent5 4 2 2 2 2 9" xfId="3779"/>
    <cellStyle name="40% - Accent5 4 2 2 2 3" xfId="2932"/>
    <cellStyle name="40% - Accent5 4 2 2 2 3 2" xfId="7909"/>
    <cellStyle name="40% - Accent5 4 2 2 2 3 3" xfId="12198"/>
    <cellStyle name="40% - Accent5 4 2 2 2 3 4" xfId="16474"/>
    <cellStyle name="40% - Accent5 4 2 2 2 3 5" xfId="20713"/>
    <cellStyle name="40% - Accent5 4 2 2 2 3 6" xfId="24962"/>
    <cellStyle name="40% - Accent5 4 2 2 2 3 7" xfId="29056"/>
    <cellStyle name="40% - Accent5 4 2 2 2 4" xfId="4875"/>
    <cellStyle name="40% - Accent5 4 2 2 2 4 2" xfId="9849"/>
    <cellStyle name="40% - Accent5 4 2 2 2 4 3" xfId="14126"/>
    <cellStyle name="40% - Accent5 4 2 2 2 4 4" xfId="18385"/>
    <cellStyle name="40% - Accent5 4 2 2 2 4 5" xfId="22604"/>
    <cellStyle name="40% - Accent5 4 2 2 2 4 6" xfId="26799"/>
    <cellStyle name="40% - Accent5 4 2 2 2 4 7" xfId="30695"/>
    <cellStyle name="40% - Accent5 4 2 2 2 5" xfId="6223"/>
    <cellStyle name="40% - Accent5 4 2 2 2 5 2" xfId="11195"/>
    <cellStyle name="40% - Accent5 4 2 2 2 5 3" xfId="15473"/>
    <cellStyle name="40% - Accent5 4 2 2 2 5 4" xfId="19730"/>
    <cellStyle name="40% - Accent5 4 2 2 2 5 5" xfId="23947"/>
    <cellStyle name="40% - Accent5 4 2 2 2 5 6" xfId="28133"/>
    <cellStyle name="40% - Accent5 4 2 2 2 5 7" xfId="32012"/>
    <cellStyle name="40% - Accent5 4 2 2 2 6" xfId="7141"/>
    <cellStyle name="40% - Accent5 4 2 2 2 7" xfId="11433"/>
    <cellStyle name="40% - Accent5 4 2 2 2 8" xfId="15711"/>
    <cellStyle name="40% - Accent5 4 2 2 2 9" xfId="19968"/>
    <cellStyle name="40% - Accent5 4 2 2 3" xfId="1172"/>
    <cellStyle name="40% - Accent5 4 2 2 3 2" xfId="5203"/>
    <cellStyle name="40% - Accent5 4 2 2 3 2 2" xfId="10177"/>
    <cellStyle name="40% - Accent5 4 2 2 3 2 3" xfId="14454"/>
    <cellStyle name="40% - Accent5 4 2 2 3 2 4" xfId="18713"/>
    <cellStyle name="40% - Accent5 4 2 2 3 2 5" xfId="22932"/>
    <cellStyle name="40% - Accent5 4 2 2 3 2 6" xfId="27127"/>
    <cellStyle name="40% - Accent5 4 2 2 3 2 7" xfId="31023"/>
    <cellStyle name="40% - Accent5 4 2 2 3 3" xfId="8398"/>
    <cellStyle name="40% - Accent5 4 2 2 3 4" xfId="12683"/>
    <cellStyle name="40% - Accent5 4 2 2 3 5" xfId="16955"/>
    <cellStyle name="40% - Accent5 4 2 2 3 6" xfId="21190"/>
    <cellStyle name="40% - Accent5 4 2 2 3 7" xfId="25428"/>
    <cellStyle name="40% - Accent5 4 2 2 3 8" xfId="29506"/>
    <cellStyle name="40% - Accent5 4 2 2 3 9" xfId="3422"/>
    <cellStyle name="40% - Accent5 4 2 2 4" xfId="2561"/>
    <cellStyle name="40% - Accent5 4 2 2 4 2" xfId="7538"/>
    <cellStyle name="40% - Accent5 4 2 2 4 3" xfId="11827"/>
    <cellStyle name="40% - Accent5 4 2 2 4 4" xfId="16105"/>
    <cellStyle name="40% - Accent5 4 2 2 4 5" xfId="20348"/>
    <cellStyle name="40% - Accent5 4 2 2 4 6" xfId="24594"/>
    <cellStyle name="40% - Accent5 4 2 2 4 7" xfId="28699"/>
    <cellStyle name="40% - Accent5 4 2 2 5" xfId="4545"/>
    <cellStyle name="40% - Accent5 4 2 2 5 2" xfId="9519"/>
    <cellStyle name="40% - Accent5 4 2 2 5 3" xfId="13796"/>
    <cellStyle name="40% - Accent5 4 2 2 5 4" xfId="18056"/>
    <cellStyle name="40% - Accent5 4 2 2 5 5" xfId="22274"/>
    <cellStyle name="40% - Accent5 4 2 2 5 6" xfId="26470"/>
    <cellStyle name="40% - Accent5 4 2 2 5 7" xfId="30366"/>
    <cellStyle name="40% - Accent5 4 2 2 6" xfId="5894"/>
    <cellStyle name="40% - Accent5 4 2 2 6 2" xfId="10866"/>
    <cellStyle name="40% - Accent5 4 2 2 6 3" xfId="15144"/>
    <cellStyle name="40% - Accent5 4 2 2 6 4" xfId="19401"/>
    <cellStyle name="40% - Accent5 4 2 2 6 5" xfId="23618"/>
    <cellStyle name="40% - Accent5 4 2 2 6 6" xfId="27804"/>
    <cellStyle name="40% - Accent5 4 2 2 6 7" xfId="31683"/>
    <cellStyle name="40% - Accent5 4 2 2 7" xfId="6768"/>
    <cellStyle name="40% - Accent5 4 2 2 8" xfId="10590"/>
    <cellStyle name="40% - Accent5 4 2 2 9" xfId="14868"/>
    <cellStyle name="40% - Accent5 4 2 3" xfId="689"/>
    <cellStyle name="40% - Accent5 4 2 3 10" xfId="24064"/>
    <cellStyle name="40% - Accent5 4 2 3 11" xfId="28216"/>
    <cellStyle name="40% - Accent5 4 2 3 12" xfId="2008"/>
    <cellStyle name="40% - Accent5 4 2 3 2" xfId="1346"/>
    <cellStyle name="40% - Accent5 4 2 3 2 2" xfId="5377"/>
    <cellStyle name="40% - Accent5 4 2 3 2 2 2" xfId="10351"/>
    <cellStyle name="40% - Accent5 4 2 3 2 2 3" xfId="14628"/>
    <cellStyle name="40% - Accent5 4 2 3 2 2 4" xfId="18887"/>
    <cellStyle name="40% - Accent5 4 2 3 2 2 5" xfId="23106"/>
    <cellStyle name="40% - Accent5 4 2 3 2 2 6" xfId="27301"/>
    <cellStyle name="40% - Accent5 4 2 3 2 2 7" xfId="31197"/>
    <cellStyle name="40% - Accent5 4 2 3 2 3" xfId="8756"/>
    <cellStyle name="40% - Accent5 4 2 3 2 4" xfId="13041"/>
    <cellStyle name="40% - Accent5 4 2 3 2 5" xfId="17313"/>
    <cellStyle name="40% - Accent5 4 2 3 2 6" xfId="21548"/>
    <cellStyle name="40% - Accent5 4 2 3 2 7" xfId="25786"/>
    <cellStyle name="40% - Accent5 4 2 3 2 8" xfId="29864"/>
    <cellStyle name="40% - Accent5 4 2 3 2 9" xfId="3780"/>
    <cellStyle name="40% - Accent5 4 2 3 3" xfId="2933"/>
    <cellStyle name="40% - Accent5 4 2 3 3 2" xfId="7910"/>
    <cellStyle name="40% - Accent5 4 2 3 3 3" xfId="12199"/>
    <cellStyle name="40% - Accent5 4 2 3 3 4" xfId="16475"/>
    <cellStyle name="40% - Accent5 4 2 3 3 5" xfId="20714"/>
    <cellStyle name="40% - Accent5 4 2 3 3 6" xfId="24963"/>
    <cellStyle name="40% - Accent5 4 2 3 3 7" xfId="29057"/>
    <cellStyle name="40% - Accent5 4 2 3 4" xfId="4720"/>
    <cellStyle name="40% - Accent5 4 2 3 4 2" xfId="9694"/>
    <cellStyle name="40% - Accent5 4 2 3 4 3" xfId="13971"/>
    <cellStyle name="40% - Accent5 4 2 3 4 4" xfId="18230"/>
    <cellStyle name="40% - Accent5 4 2 3 4 5" xfId="22449"/>
    <cellStyle name="40% - Accent5 4 2 3 4 6" xfId="26644"/>
    <cellStyle name="40% - Accent5 4 2 3 4 7" xfId="30540"/>
    <cellStyle name="40% - Accent5 4 2 3 5" xfId="6068"/>
    <cellStyle name="40% - Accent5 4 2 3 5 2" xfId="11040"/>
    <cellStyle name="40% - Accent5 4 2 3 5 3" xfId="15318"/>
    <cellStyle name="40% - Accent5 4 2 3 5 4" xfId="19575"/>
    <cellStyle name="40% - Accent5 4 2 3 5 5" xfId="23792"/>
    <cellStyle name="40% - Accent5 4 2 3 5 6" xfId="27978"/>
    <cellStyle name="40% - Accent5 4 2 3 5 7" xfId="31857"/>
    <cellStyle name="40% - Accent5 4 2 3 6" xfId="6986"/>
    <cellStyle name="40% - Accent5 4 2 3 7" xfId="11278"/>
    <cellStyle name="40% - Accent5 4 2 3 8" xfId="15556"/>
    <cellStyle name="40% - Accent5 4 2 3 9" xfId="19813"/>
    <cellStyle name="40% - Accent5 4 2 4" xfId="1017"/>
    <cellStyle name="40% - Accent5 4 2 4 2" xfId="5048"/>
    <cellStyle name="40% - Accent5 4 2 4 2 2" xfId="10022"/>
    <cellStyle name="40% - Accent5 4 2 4 2 3" xfId="14299"/>
    <cellStyle name="40% - Accent5 4 2 4 2 4" xfId="18558"/>
    <cellStyle name="40% - Accent5 4 2 4 2 5" xfId="22777"/>
    <cellStyle name="40% - Accent5 4 2 4 2 6" xfId="26972"/>
    <cellStyle name="40% - Accent5 4 2 4 2 7" xfId="30868"/>
    <cellStyle name="40% - Accent5 4 2 4 3" xfId="8245"/>
    <cellStyle name="40% - Accent5 4 2 4 4" xfId="12530"/>
    <cellStyle name="40% - Accent5 4 2 4 5" xfId="16803"/>
    <cellStyle name="40% - Accent5 4 2 4 6" xfId="21039"/>
    <cellStyle name="40% - Accent5 4 2 4 7" xfId="25277"/>
    <cellStyle name="40% - Accent5 4 2 4 8" xfId="29355"/>
    <cellStyle name="40% - Accent5 4 2 4 9" xfId="3269"/>
    <cellStyle name="40% - Accent5 4 2 5" xfId="2385"/>
    <cellStyle name="40% - Accent5 4 2 5 2" xfId="7363"/>
    <cellStyle name="40% - Accent5 4 2 5 3" xfId="11652"/>
    <cellStyle name="40% - Accent5 4 2 5 4" xfId="15930"/>
    <cellStyle name="40% - Accent5 4 2 5 5" xfId="20179"/>
    <cellStyle name="40% - Accent5 4 2 5 6" xfId="24427"/>
    <cellStyle name="40% - Accent5 4 2 5 7" xfId="28547"/>
    <cellStyle name="40% - Accent5 4 2 6" xfId="4390"/>
    <cellStyle name="40% - Accent5 4 2 6 2" xfId="9364"/>
    <cellStyle name="40% - Accent5 4 2 6 3" xfId="13641"/>
    <cellStyle name="40% - Accent5 4 2 6 4" xfId="17901"/>
    <cellStyle name="40% - Accent5 4 2 6 5" xfId="22119"/>
    <cellStyle name="40% - Accent5 4 2 6 6" xfId="26315"/>
    <cellStyle name="40% - Accent5 4 2 6 7" xfId="30211"/>
    <cellStyle name="40% - Accent5 4 2 7" xfId="5739"/>
    <cellStyle name="40% - Accent5 4 2 7 2" xfId="10711"/>
    <cellStyle name="40% - Accent5 4 2 7 3" xfId="14989"/>
    <cellStyle name="40% - Accent5 4 2 7 4" xfId="19246"/>
    <cellStyle name="40% - Accent5 4 2 7 5" xfId="23463"/>
    <cellStyle name="40% - Accent5 4 2 7 6" xfId="27649"/>
    <cellStyle name="40% - Accent5 4 2 7 7" xfId="31528"/>
    <cellStyle name="40% - Accent5 4 2 8" xfId="6604"/>
    <cellStyle name="40% - Accent5 4 2 9" xfId="8976"/>
    <cellStyle name="40% - Accent5 4 3" xfId="408"/>
    <cellStyle name="40% - Accent5 4 3 10" xfId="17601"/>
    <cellStyle name="40% - Accent5 4 3 11" xfId="21993"/>
    <cellStyle name="40% - Accent5 4 3 12" xfId="26053"/>
    <cellStyle name="40% - Accent5 4 3 13" xfId="1771"/>
    <cellStyle name="40% - Accent5 4 3 2" xfId="782"/>
    <cellStyle name="40% - Accent5 4 3 2 10" xfId="24157"/>
    <cellStyle name="40% - Accent5 4 3 2 11" xfId="28309"/>
    <cellStyle name="40% - Accent5 4 3 2 12" xfId="2101"/>
    <cellStyle name="40% - Accent5 4 3 2 2" xfId="1439"/>
    <cellStyle name="40% - Accent5 4 3 2 2 2" xfId="5470"/>
    <cellStyle name="40% - Accent5 4 3 2 2 2 2" xfId="10444"/>
    <cellStyle name="40% - Accent5 4 3 2 2 2 3" xfId="14721"/>
    <cellStyle name="40% - Accent5 4 3 2 2 2 4" xfId="18980"/>
    <cellStyle name="40% - Accent5 4 3 2 2 2 5" xfId="23199"/>
    <cellStyle name="40% - Accent5 4 3 2 2 2 6" xfId="27394"/>
    <cellStyle name="40% - Accent5 4 3 2 2 2 7" xfId="31290"/>
    <cellStyle name="40% - Accent5 4 3 2 2 3" xfId="8757"/>
    <cellStyle name="40% - Accent5 4 3 2 2 4" xfId="13042"/>
    <cellStyle name="40% - Accent5 4 3 2 2 5" xfId="17314"/>
    <cellStyle name="40% - Accent5 4 3 2 2 6" xfId="21549"/>
    <cellStyle name="40% - Accent5 4 3 2 2 7" xfId="25787"/>
    <cellStyle name="40% - Accent5 4 3 2 2 8" xfId="29865"/>
    <cellStyle name="40% - Accent5 4 3 2 2 9" xfId="3781"/>
    <cellStyle name="40% - Accent5 4 3 2 3" xfId="2934"/>
    <cellStyle name="40% - Accent5 4 3 2 3 2" xfId="7911"/>
    <cellStyle name="40% - Accent5 4 3 2 3 3" xfId="12200"/>
    <cellStyle name="40% - Accent5 4 3 2 3 4" xfId="16476"/>
    <cellStyle name="40% - Accent5 4 3 2 3 5" xfId="20715"/>
    <cellStyle name="40% - Accent5 4 3 2 3 6" xfId="24964"/>
    <cellStyle name="40% - Accent5 4 3 2 3 7" xfId="29058"/>
    <cellStyle name="40% - Accent5 4 3 2 4" xfId="4813"/>
    <cellStyle name="40% - Accent5 4 3 2 4 2" xfId="9787"/>
    <cellStyle name="40% - Accent5 4 3 2 4 3" xfId="14064"/>
    <cellStyle name="40% - Accent5 4 3 2 4 4" xfId="18323"/>
    <cellStyle name="40% - Accent5 4 3 2 4 5" xfId="22542"/>
    <cellStyle name="40% - Accent5 4 3 2 4 6" xfId="26737"/>
    <cellStyle name="40% - Accent5 4 3 2 4 7" xfId="30633"/>
    <cellStyle name="40% - Accent5 4 3 2 5" xfId="6161"/>
    <cellStyle name="40% - Accent5 4 3 2 5 2" xfId="11133"/>
    <cellStyle name="40% - Accent5 4 3 2 5 3" xfId="15411"/>
    <cellStyle name="40% - Accent5 4 3 2 5 4" xfId="19668"/>
    <cellStyle name="40% - Accent5 4 3 2 5 5" xfId="23885"/>
    <cellStyle name="40% - Accent5 4 3 2 5 6" xfId="28071"/>
    <cellStyle name="40% - Accent5 4 3 2 5 7" xfId="31950"/>
    <cellStyle name="40% - Accent5 4 3 2 6" xfId="7079"/>
    <cellStyle name="40% - Accent5 4 3 2 7" xfId="11371"/>
    <cellStyle name="40% - Accent5 4 3 2 8" xfId="15649"/>
    <cellStyle name="40% - Accent5 4 3 2 9" xfId="19906"/>
    <cellStyle name="40% - Accent5 4 3 3" xfId="1110"/>
    <cellStyle name="40% - Accent5 4 3 3 2" xfId="5141"/>
    <cellStyle name="40% - Accent5 4 3 3 2 2" xfId="10115"/>
    <cellStyle name="40% - Accent5 4 3 3 2 3" xfId="14392"/>
    <cellStyle name="40% - Accent5 4 3 3 2 4" xfId="18651"/>
    <cellStyle name="40% - Accent5 4 3 3 2 5" xfId="22870"/>
    <cellStyle name="40% - Accent5 4 3 3 2 6" xfId="27065"/>
    <cellStyle name="40% - Accent5 4 3 3 2 7" xfId="30961"/>
    <cellStyle name="40% - Accent5 4 3 3 3" xfId="8336"/>
    <cellStyle name="40% - Accent5 4 3 3 4" xfId="12621"/>
    <cellStyle name="40% - Accent5 4 3 3 5" xfId="16893"/>
    <cellStyle name="40% - Accent5 4 3 3 6" xfId="21128"/>
    <cellStyle name="40% - Accent5 4 3 3 7" xfId="25366"/>
    <cellStyle name="40% - Accent5 4 3 3 8" xfId="29444"/>
    <cellStyle name="40% - Accent5 4 3 3 9" xfId="3360"/>
    <cellStyle name="40% - Accent5 4 3 4" xfId="2499"/>
    <cellStyle name="40% - Accent5 4 3 4 2" xfId="7476"/>
    <cellStyle name="40% - Accent5 4 3 4 3" xfId="11765"/>
    <cellStyle name="40% - Accent5 4 3 4 4" xfId="16043"/>
    <cellStyle name="40% - Accent5 4 3 4 5" xfId="20286"/>
    <cellStyle name="40% - Accent5 4 3 4 6" xfId="24532"/>
    <cellStyle name="40% - Accent5 4 3 4 7" xfId="28637"/>
    <cellStyle name="40% - Accent5 4 3 5" xfId="4483"/>
    <cellStyle name="40% - Accent5 4 3 5 2" xfId="9457"/>
    <cellStyle name="40% - Accent5 4 3 5 3" xfId="13734"/>
    <cellStyle name="40% - Accent5 4 3 5 4" xfId="17994"/>
    <cellStyle name="40% - Accent5 4 3 5 5" xfId="22212"/>
    <cellStyle name="40% - Accent5 4 3 5 6" xfId="26408"/>
    <cellStyle name="40% - Accent5 4 3 5 7" xfId="30304"/>
    <cellStyle name="40% - Accent5 4 3 6" xfId="5832"/>
    <cellStyle name="40% - Accent5 4 3 6 2" xfId="10804"/>
    <cellStyle name="40% - Accent5 4 3 6 3" xfId="15082"/>
    <cellStyle name="40% - Accent5 4 3 6 4" xfId="19339"/>
    <cellStyle name="40% - Accent5 4 3 6 5" xfId="23556"/>
    <cellStyle name="40% - Accent5 4 3 6 6" xfId="27742"/>
    <cellStyle name="40% - Accent5 4 3 6 7" xfId="31621"/>
    <cellStyle name="40% - Accent5 4 3 7" xfId="6706"/>
    <cellStyle name="40% - Accent5 4 3 8" xfId="9046"/>
    <cellStyle name="40% - Accent5 4 3 9" xfId="13329"/>
    <cellStyle name="40% - Accent5 4 4" xfId="522"/>
    <cellStyle name="40% - Accent5 4 4 10" xfId="14865"/>
    <cellStyle name="40% - Accent5 4 4 11" xfId="19151"/>
    <cellStyle name="40% - Accent5 4 4 12" xfId="21763"/>
    <cellStyle name="40% - Accent5 4 4 13" xfId="1885"/>
    <cellStyle name="40% - Accent5 4 4 2" xfId="896"/>
    <cellStyle name="40% - Accent5 4 4 2 10" xfId="24271"/>
    <cellStyle name="40% - Accent5 4 4 2 11" xfId="28423"/>
    <cellStyle name="40% - Accent5 4 4 2 12" xfId="2215"/>
    <cellStyle name="40% - Accent5 4 4 2 2" xfId="1553"/>
    <cellStyle name="40% - Accent5 4 4 2 2 2" xfId="5584"/>
    <cellStyle name="40% - Accent5 4 4 2 2 2 2" xfId="10558"/>
    <cellStyle name="40% - Accent5 4 4 2 2 2 3" xfId="14835"/>
    <cellStyle name="40% - Accent5 4 4 2 2 2 4" xfId="19094"/>
    <cellStyle name="40% - Accent5 4 4 2 2 2 5" xfId="23313"/>
    <cellStyle name="40% - Accent5 4 4 2 2 2 6" xfId="27508"/>
    <cellStyle name="40% - Accent5 4 4 2 2 2 7" xfId="31404"/>
    <cellStyle name="40% - Accent5 4 4 2 2 3" xfId="8758"/>
    <cellStyle name="40% - Accent5 4 4 2 2 4" xfId="13043"/>
    <cellStyle name="40% - Accent5 4 4 2 2 5" xfId="17315"/>
    <cellStyle name="40% - Accent5 4 4 2 2 6" xfId="21550"/>
    <cellStyle name="40% - Accent5 4 4 2 2 7" xfId="25788"/>
    <cellStyle name="40% - Accent5 4 4 2 2 8" xfId="29866"/>
    <cellStyle name="40% - Accent5 4 4 2 2 9" xfId="3782"/>
    <cellStyle name="40% - Accent5 4 4 2 3" xfId="2935"/>
    <cellStyle name="40% - Accent5 4 4 2 3 2" xfId="7912"/>
    <cellStyle name="40% - Accent5 4 4 2 3 3" xfId="12201"/>
    <cellStyle name="40% - Accent5 4 4 2 3 4" xfId="16477"/>
    <cellStyle name="40% - Accent5 4 4 2 3 5" xfId="20716"/>
    <cellStyle name="40% - Accent5 4 4 2 3 6" xfId="24965"/>
    <cellStyle name="40% - Accent5 4 4 2 3 7" xfId="29059"/>
    <cellStyle name="40% - Accent5 4 4 2 4" xfId="4927"/>
    <cellStyle name="40% - Accent5 4 4 2 4 2" xfId="9901"/>
    <cellStyle name="40% - Accent5 4 4 2 4 3" xfId="14178"/>
    <cellStyle name="40% - Accent5 4 4 2 4 4" xfId="18437"/>
    <cellStyle name="40% - Accent5 4 4 2 4 5" xfId="22656"/>
    <cellStyle name="40% - Accent5 4 4 2 4 6" xfId="26851"/>
    <cellStyle name="40% - Accent5 4 4 2 4 7" xfId="30747"/>
    <cellStyle name="40% - Accent5 4 4 2 5" xfId="6275"/>
    <cellStyle name="40% - Accent5 4 4 2 5 2" xfId="11247"/>
    <cellStyle name="40% - Accent5 4 4 2 5 3" xfId="15525"/>
    <cellStyle name="40% - Accent5 4 4 2 5 4" xfId="19782"/>
    <cellStyle name="40% - Accent5 4 4 2 5 5" xfId="23999"/>
    <cellStyle name="40% - Accent5 4 4 2 5 6" xfId="28185"/>
    <cellStyle name="40% - Accent5 4 4 2 5 7" xfId="32064"/>
    <cellStyle name="40% - Accent5 4 4 2 6" xfId="7193"/>
    <cellStyle name="40% - Accent5 4 4 2 7" xfId="11485"/>
    <cellStyle name="40% - Accent5 4 4 2 8" xfId="15763"/>
    <cellStyle name="40% - Accent5 4 4 2 9" xfId="20020"/>
    <cellStyle name="40% - Accent5 4 4 3" xfId="1224"/>
    <cellStyle name="40% - Accent5 4 4 3 2" xfId="5255"/>
    <cellStyle name="40% - Accent5 4 4 3 2 2" xfId="10229"/>
    <cellStyle name="40% - Accent5 4 4 3 2 3" xfId="14506"/>
    <cellStyle name="40% - Accent5 4 4 3 2 4" xfId="18765"/>
    <cellStyle name="40% - Accent5 4 4 3 2 5" xfId="22984"/>
    <cellStyle name="40% - Accent5 4 4 3 2 6" xfId="27179"/>
    <cellStyle name="40% - Accent5 4 4 3 2 7" xfId="31075"/>
    <cellStyle name="40% - Accent5 4 4 3 3" xfId="8465"/>
    <cellStyle name="40% - Accent5 4 4 3 4" xfId="12750"/>
    <cellStyle name="40% - Accent5 4 4 3 5" xfId="17022"/>
    <cellStyle name="40% - Accent5 4 4 3 6" xfId="21257"/>
    <cellStyle name="40% - Accent5 4 4 3 7" xfId="25495"/>
    <cellStyle name="40% - Accent5 4 4 3 8" xfId="29573"/>
    <cellStyle name="40% - Accent5 4 4 3 9" xfId="3489"/>
    <cellStyle name="40% - Accent5 4 4 4" xfId="2632"/>
    <cellStyle name="40% - Accent5 4 4 4 2" xfId="7609"/>
    <cellStyle name="40% - Accent5 4 4 4 3" xfId="11898"/>
    <cellStyle name="40% - Accent5 4 4 4 4" xfId="16174"/>
    <cellStyle name="40% - Accent5 4 4 4 5" xfId="20416"/>
    <cellStyle name="40% - Accent5 4 4 4 6" xfId="24663"/>
    <cellStyle name="40% - Accent5 4 4 4 7" xfId="28766"/>
    <cellStyle name="40% - Accent5 4 4 5" xfId="4597"/>
    <cellStyle name="40% - Accent5 4 4 5 2" xfId="9571"/>
    <cellStyle name="40% - Accent5 4 4 5 3" xfId="13848"/>
    <cellStyle name="40% - Accent5 4 4 5 4" xfId="18108"/>
    <cellStyle name="40% - Accent5 4 4 5 5" xfId="22326"/>
    <cellStyle name="40% - Accent5 4 4 5 6" xfId="26522"/>
    <cellStyle name="40% - Accent5 4 4 5 7" xfId="30418"/>
    <cellStyle name="40% - Accent5 4 4 6" xfId="5946"/>
    <cellStyle name="40% - Accent5 4 4 6 2" xfId="10918"/>
    <cellStyle name="40% - Accent5 4 4 6 3" xfId="15196"/>
    <cellStyle name="40% - Accent5 4 4 6 4" xfId="19453"/>
    <cellStyle name="40% - Accent5 4 4 6 5" xfId="23670"/>
    <cellStyle name="40% - Accent5 4 4 6 6" xfId="27856"/>
    <cellStyle name="40% - Accent5 4 4 6 7" xfId="31735"/>
    <cellStyle name="40% - Accent5 4 4 7" xfId="6820"/>
    <cellStyle name="40% - Accent5 4 4 8" xfId="6522"/>
    <cellStyle name="40% - Accent5 4 4 9" xfId="10587"/>
    <cellStyle name="40% - Accent5 4 5" xfId="623"/>
    <cellStyle name="40% - Accent5 4 5 10" xfId="16355"/>
    <cellStyle name="40% - Accent5 4 5 11" xfId="17711"/>
    <cellStyle name="40% - Accent5 4 5 12" xfId="24844"/>
    <cellStyle name="40% - Accent5 4 5 13" xfId="1942"/>
    <cellStyle name="40% - Accent5 4 5 2" xfId="1280"/>
    <cellStyle name="40% - Accent5 4 5 2 10" xfId="2937"/>
    <cellStyle name="40% - Accent5 4 5 2 2" xfId="3784"/>
    <cellStyle name="40% - Accent5 4 5 2 2 2" xfId="8760"/>
    <cellStyle name="40% - Accent5 4 5 2 2 3" xfId="13045"/>
    <cellStyle name="40% - Accent5 4 5 2 2 4" xfId="17317"/>
    <cellStyle name="40% - Accent5 4 5 2 2 5" xfId="21552"/>
    <cellStyle name="40% - Accent5 4 5 2 2 6" xfId="25790"/>
    <cellStyle name="40% - Accent5 4 5 2 2 7" xfId="29868"/>
    <cellStyle name="40% - Accent5 4 5 2 3" xfId="5311"/>
    <cellStyle name="40% - Accent5 4 5 2 3 2" xfId="10285"/>
    <cellStyle name="40% - Accent5 4 5 2 3 3" xfId="14562"/>
    <cellStyle name="40% - Accent5 4 5 2 3 4" xfId="18821"/>
    <cellStyle name="40% - Accent5 4 5 2 3 5" xfId="23040"/>
    <cellStyle name="40% - Accent5 4 5 2 3 6" xfId="27235"/>
    <cellStyle name="40% - Accent5 4 5 2 3 7" xfId="31131"/>
    <cellStyle name="40% - Accent5 4 5 2 4" xfId="7914"/>
    <cellStyle name="40% - Accent5 4 5 2 5" xfId="12203"/>
    <cellStyle name="40% - Accent5 4 5 2 6" xfId="16479"/>
    <cellStyle name="40% - Accent5 4 5 2 7" xfId="20718"/>
    <cellStyle name="40% - Accent5 4 5 2 8" xfId="24967"/>
    <cellStyle name="40% - Accent5 4 5 2 9" xfId="29061"/>
    <cellStyle name="40% - Accent5 4 5 3" xfId="3783"/>
    <cellStyle name="40% - Accent5 4 5 3 2" xfId="8759"/>
    <cellStyle name="40% - Accent5 4 5 3 3" xfId="13044"/>
    <cellStyle name="40% - Accent5 4 5 3 4" xfId="17316"/>
    <cellStyle name="40% - Accent5 4 5 3 5" xfId="21551"/>
    <cellStyle name="40% - Accent5 4 5 3 6" xfId="25789"/>
    <cellStyle name="40% - Accent5 4 5 3 7" xfId="29867"/>
    <cellStyle name="40% - Accent5 4 5 4" xfId="2936"/>
    <cellStyle name="40% - Accent5 4 5 4 2" xfId="7913"/>
    <cellStyle name="40% - Accent5 4 5 4 3" xfId="12202"/>
    <cellStyle name="40% - Accent5 4 5 4 4" xfId="16478"/>
    <cellStyle name="40% - Accent5 4 5 4 5" xfId="20717"/>
    <cellStyle name="40% - Accent5 4 5 4 6" xfId="24966"/>
    <cellStyle name="40% - Accent5 4 5 4 7" xfId="29060"/>
    <cellStyle name="40% - Accent5 4 5 5" xfId="4654"/>
    <cellStyle name="40% - Accent5 4 5 5 2" xfId="9628"/>
    <cellStyle name="40% - Accent5 4 5 5 3" xfId="13905"/>
    <cellStyle name="40% - Accent5 4 5 5 4" xfId="18164"/>
    <cellStyle name="40% - Accent5 4 5 5 5" xfId="22383"/>
    <cellStyle name="40% - Accent5 4 5 5 6" xfId="26578"/>
    <cellStyle name="40% - Accent5 4 5 5 7" xfId="30474"/>
    <cellStyle name="40% - Accent5 4 5 6" xfId="6002"/>
    <cellStyle name="40% - Accent5 4 5 6 2" xfId="10974"/>
    <cellStyle name="40% - Accent5 4 5 6 3" xfId="15252"/>
    <cellStyle name="40% - Accent5 4 5 6 4" xfId="19509"/>
    <cellStyle name="40% - Accent5 4 5 6 5" xfId="23726"/>
    <cellStyle name="40% - Accent5 4 5 6 6" xfId="27912"/>
    <cellStyle name="40% - Accent5 4 5 6 7" xfId="31791"/>
    <cellStyle name="40% - Accent5 4 5 7" xfId="6920"/>
    <cellStyle name="40% - Accent5 4 5 8" xfId="7790"/>
    <cellStyle name="40% - Accent5 4 5 9" xfId="12079"/>
    <cellStyle name="40% - Accent5 4 6" xfId="951"/>
    <cellStyle name="40% - Accent5 4 6 10" xfId="2938"/>
    <cellStyle name="40% - Accent5 4 6 2" xfId="3785"/>
    <cellStyle name="40% - Accent5 4 6 2 2" xfId="8761"/>
    <cellStyle name="40% - Accent5 4 6 2 3" xfId="13046"/>
    <cellStyle name="40% - Accent5 4 6 2 4" xfId="17318"/>
    <cellStyle name="40% - Accent5 4 6 2 5" xfId="21553"/>
    <cellStyle name="40% - Accent5 4 6 2 6" xfId="25791"/>
    <cellStyle name="40% - Accent5 4 6 2 7" xfId="29869"/>
    <cellStyle name="40% - Accent5 4 6 3" xfId="4982"/>
    <cellStyle name="40% - Accent5 4 6 3 2" xfId="9956"/>
    <cellStyle name="40% - Accent5 4 6 3 3" xfId="14233"/>
    <cellStyle name="40% - Accent5 4 6 3 4" xfId="18492"/>
    <cellStyle name="40% - Accent5 4 6 3 5" xfId="22711"/>
    <cellStyle name="40% - Accent5 4 6 3 6" xfId="26906"/>
    <cellStyle name="40% - Accent5 4 6 3 7" xfId="30802"/>
    <cellStyle name="40% - Accent5 4 6 4" xfId="7915"/>
    <cellStyle name="40% - Accent5 4 6 5" xfId="12204"/>
    <cellStyle name="40% - Accent5 4 6 6" xfId="16480"/>
    <cellStyle name="40% - Accent5 4 6 7" xfId="20719"/>
    <cellStyle name="40% - Accent5 4 6 8" xfId="24968"/>
    <cellStyle name="40% - Accent5 4 6 9" xfId="29062"/>
    <cellStyle name="40% - Accent5 4 7" xfId="3194"/>
    <cellStyle name="40% - Accent5 4 7 2" xfId="8170"/>
    <cellStyle name="40% - Accent5 4 7 3" xfId="12456"/>
    <cellStyle name="40% - Accent5 4 7 4" xfId="16730"/>
    <cellStyle name="40% - Accent5 4 7 5" xfId="20966"/>
    <cellStyle name="40% - Accent5 4 7 6" xfId="25206"/>
    <cellStyle name="40% - Accent5 4 7 7" xfId="29287"/>
    <cellStyle name="40% - Accent5 4 8" xfId="2281"/>
    <cellStyle name="40% - Accent5 4 8 2" xfId="7259"/>
    <cellStyle name="40% - Accent5 4 8 3" xfId="11549"/>
    <cellStyle name="40% - Accent5 4 8 4" xfId="15828"/>
    <cellStyle name="40% - Accent5 4 8 5" xfId="20083"/>
    <cellStyle name="40% - Accent5 4 8 6" xfId="24333"/>
    <cellStyle name="40% - Accent5 4 8 7" xfId="28478"/>
    <cellStyle name="40% - Accent5 4 9" xfId="4319"/>
    <cellStyle name="40% - Accent5 4 9 2" xfId="9293"/>
    <cellStyle name="40% - Accent5 4 9 3" xfId="13570"/>
    <cellStyle name="40% - Accent5 4 9 4" xfId="17830"/>
    <cellStyle name="40% - Accent5 4 9 5" xfId="22049"/>
    <cellStyle name="40% - Accent5 4 9 6" xfId="26247"/>
    <cellStyle name="40% - Accent5 4 9 7" xfId="30144"/>
    <cellStyle name="40% - Accent5 5" xfId="250"/>
    <cellStyle name="40% - Accent5 5 2" xfId="439"/>
    <cellStyle name="40% - Accent5 5 2 10" xfId="21584"/>
    <cellStyle name="40% - Accent5 5 2 11" xfId="26208"/>
    <cellStyle name="40% - Accent5 5 2 12" xfId="1802"/>
    <cellStyle name="40% - Accent5 5 2 2" xfId="813"/>
    <cellStyle name="40% - Accent5 5 2 2 10" xfId="19937"/>
    <cellStyle name="40% - Accent5 5 2 2 11" xfId="24188"/>
    <cellStyle name="40% - Accent5 5 2 2 12" xfId="28340"/>
    <cellStyle name="40% - Accent5 5 2 2 13" xfId="2132"/>
    <cellStyle name="40% - Accent5 5 2 2 2" xfId="1470"/>
    <cellStyle name="40% - Accent5 5 2 2 2 10" xfId="2939"/>
    <cellStyle name="40% - Accent5 5 2 2 2 2" xfId="3786"/>
    <cellStyle name="40% - Accent5 5 2 2 2 2 2" xfId="8762"/>
    <cellStyle name="40% - Accent5 5 2 2 2 2 3" xfId="13047"/>
    <cellStyle name="40% - Accent5 5 2 2 2 2 4" xfId="17319"/>
    <cellStyle name="40% - Accent5 5 2 2 2 2 5" xfId="21554"/>
    <cellStyle name="40% - Accent5 5 2 2 2 2 6" xfId="25792"/>
    <cellStyle name="40% - Accent5 5 2 2 2 2 7" xfId="29870"/>
    <cellStyle name="40% - Accent5 5 2 2 2 3" xfId="5501"/>
    <cellStyle name="40% - Accent5 5 2 2 2 3 2" xfId="10475"/>
    <cellStyle name="40% - Accent5 5 2 2 2 3 3" xfId="14752"/>
    <cellStyle name="40% - Accent5 5 2 2 2 3 4" xfId="19011"/>
    <cellStyle name="40% - Accent5 5 2 2 2 3 5" xfId="23230"/>
    <cellStyle name="40% - Accent5 5 2 2 2 3 6" xfId="27425"/>
    <cellStyle name="40% - Accent5 5 2 2 2 3 7" xfId="31321"/>
    <cellStyle name="40% - Accent5 5 2 2 2 4" xfId="7916"/>
    <cellStyle name="40% - Accent5 5 2 2 2 5" xfId="12205"/>
    <cellStyle name="40% - Accent5 5 2 2 2 6" xfId="16481"/>
    <cellStyle name="40% - Accent5 5 2 2 2 7" xfId="20720"/>
    <cellStyle name="40% - Accent5 5 2 2 2 8" xfId="24969"/>
    <cellStyle name="40% - Accent5 5 2 2 2 9" xfId="29063"/>
    <cellStyle name="40% - Accent5 5 2 2 3" xfId="3391"/>
    <cellStyle name="40% - Accent5 5 2 2 3 2" xfId="8367"/>
    <cellStyle name="40% - Accent5 5 2 2 3 3" xfId="12652"/>
    <cellStyle name="40% - Accent5 5 2 2 3 4" xfId="16924"/>
    <cellStyle name="40% - Accent5 5 2 2 3 5" xfId="21159"/>
    <cellStyle name="40% - Accent5 5 2 2 3 6" xfId="25397"/>
    <cellStyle name="40% - Accent5 5 2 2 3 7" xfId="29475"/>
    <cellStyle name="40% - Accent5 5 2 2 4" xfId="2530"/>
    <cellStyle name="40% - Accent5 5 2 2 4 2" xfId="7507"/>
    <cellStyle name="40% - Accent5 5 2 2 4 3" xfId="11796"/>
    <cellStyle name="40% - Accent5 5 2 2 4 4" xfId="16074"/>
    <cellStyle name="40% - Accent5 5 2 2 4 5" xfId="20317"/>
    <cellStyle name="40% - Accent5 5 2 2 4 6" xfId="24563"/>
    <cellStyle name="40% - Accent5 5 2 2 4 7" xfId="28668"/>
    <cellStyle name="40% - Accent5 5 2 2 5" xfId="4844"/>
    <cellStyle name="40% - Accent5 5 2 2 5 2" xfId="9818"/>
    <cellStyle name="40% - Accent5 5 2 2 5 3" xfId="14095"/>
    <cellStyle name="40% - Accent5 5 2 2 5 4" xfId="18354"/>
    <cellStyle name="40% - Accent5 5 2 2 5 5" xfId="22573"/>
    <cellStyle name="40% - Accent5 5 2 2 5 6" xfId="26768"/>
    <cellStyle name="40% - Accent5 5 2 2 5 7" xfId="30664"/>
    <cellStyle name="40% - Accent5 5 2 2 6" xfId="6192"/>
    <cellStyle name="40% - Accent5 5 2 2 6 2" xfId="11164"/>
    <cellStyle name="40% - Accent5 5 2 2 6 3" xfId="15442"/>
    <cellStyle name="40% - Accent5 5 2 2 6 4" xfId="19699"/>
    <cellStyle name="40% - Accent5 5 2 2 6 5" xfId="23916"/>
    <cellStyle name="40% - Accent5 5 2 2 6 6" xfId="28102"/>
    <cellStyle name="40% - Accent5 5 2 2 6 7" xfId="31981"/>
    <cellStyle name="40% - Accent5 5 2 2 7" xfId="7110"/>
    <cellStyle name="40% - Accent5 5 2 2 8" xfId="11402"/>
    <cellStyle name="40% - Accent5 5 2 2 9" xfId="15680"/>
    <cellStyle name="40% - Accent5 5 2 3" xfId="1141"/>
    <cellStyle name="40% - Accent5 5 2 3 2" xfId="5172"/>
    <cellStyle name="40% - Accent5 5 2 3 2 2" xfId="10146"/>
    <cellStyle name="40% - Accent5 5 2 3 2 3" xfId="14423"/>
    <cellStyle name="40% - Accent5 5 2 3 2 4" xfId="18682"/>
    <cellStyle name="40% - Accent5 5 2 3 2 5" xfId="22901"/>
    <cellStyle name="40% - Accent5 5 2 3 2 6" xfId="27096"/>
    <cellStyle name="40% - Accent5 5 2 3 2 7" xfId="30992"/>
    <cellStyle name="40% - Accent5 5 2 3 3" xfId="2428"/>
    <cellStyle name="40% - Accent5 5 2 4" xfId="4514"/>
    <cellStyle name="40% - Accent5 5 2 4 2" xfId="9488"/>
    <cellStyle name="40% - Accent5 5 2 4 3" xfId="13765"/>
    <cellStyle name="40% - Accent5 5 2 4 4" xfId="18025"/>
    <cellStyle name="40% - Accent5 5 2 4 5" xfId="22243"/>
    <cellStyle name="40% - Accent5 5 2 4 6" xfId="26439"/>
    <cellStyle name="40% - Accent5 5 2 4 7" xfId="30335"/>
    <cellStyle name="40% - Accent5 5 2 5" xfId="5863"/>
    <cellStyle name="40% - Accent5 5 2 5 2" xfId="10835"/>
    <cellStyle name="40% - Accent5 5 2 5 3" xfId="15113"/>
    <cellStyle name="40% - Accent5 5 2 5 4" xfId="19370"/>
    <cellStyle name="40% - Accent5 5 2 5 5" xfId="23587"/>
    <cellStyle name="40% - Accent5 5 2 5 6" xfId="27773"/>
    <cellStyle name="40% - Accent5 5 2 5 7" xfId="31652"/>
    <cellStyle name="40% - Accent5 5 2 6" xfId="6737"/>
    <cellStyle name="40% - Accent5 5 2 7" xfId="9254"/>
    <cellStyle name="40% - Accent5 5 2 8" xfId="13531"/>
    <cellStyle name="40% - Accent5 5 2 9" xfId="17791"/>
    <cellStyle name="40% - Accent5 5 3" xfId="342"/>
    <cellStyle name="40% - Accent5 5 3 10" xfId="21909"/>
    <cellStyle name="40% - Accent5 5 3 11" xfId="25990"/>
    <cellStyle name="40% - Accent5 5 3 12" xfId="1711"/>
    <cellStyle name="40% - Accent5 5 3 2" xfId="722"/>
    <cellStyle name="40% - Accent5 5 3 2 10" xfId="28249"/>
    <cellStyle name="40% - Accent5 5 3 2 11" xfId="2041"/>
    <cellStyle name="40% - Accent5 5 3 2 2" xfId="1379"/>
    <cellStyle name="40% - Accent5 5 3 2 2 2" xfId="5410"/>
    <cellStyle name="40% - Accent5 5 3 2 2 2 2" xfId="10384"/>
    <cellStyle name="40% - Accent5 5 3 2 2 2 3" xfId="14661"/>
    <cellStyle name="40% - Accent5 5 3 2 2 2 4" xfId="18920"/>
    <cellStyle name="40% - Accent5 5 3 2 2 2 5" xfId="23139"/>
    <cellStyle name="40% - Accent5 5 3 2 2 2 6" xfId="27334"/>
    <cellStyle name="40% - Accent5 5 3 2 2 2 7" xfId="31230"/>
    <cellStyle name="40% - Accent5 5 3 2 2 3" xfId="8763"/>
    <cellStyle name="40% - Accent5 5 3 2 2 4" xfId="13048"/>
    <cellStyle name="40% - Accent5 5 3 2 2 5" xfId="17320"/>
    <cellStyle name="40% - Accent5 5 3 2 2 6" xfId="21555"/>
    <cellStyle name="40% - Accent5 5 3 2 2 7" xfId="25793"/>
    <cellStyle name="40% - Accent5 5 3 2 2 8" xfId="29871"/>
    <cellStyle name="40% - Accent5 5 3 2 2 9" xfId="3787"/>
    <cellStyle name="40% - Accent5 5 3 2 3" xfId="4753"/>
    <cellStyle name="40% - Accent5 5 3 2 3 2" xfId="9727"/>
    <cellStyle name="40% - Accent5 5 3 2 3 3" xfId="14004"/>
    <cellStyle name="40% - Accent5 5 3 2 3 4" xfId="18263"/>
    <cellStyle name="40% - Accent5 5 3 2 3 5" xfId="22482"/>
    <cellStyle name="40% - Accent5 5 3 2 3 6" xfId="26677"/>
    <cellStyle name="40% - Accent5 5 3 2 3 7" xfId="30573"/>
    <cellStyle name="40% - Accent5 5 3 2 4" xfId="6101"/>
    <cellStyle name="40% - Accent5 5 3 2 4 2" xfId="11073"/>
    <cellStyle name="40% - Accent5 5 3 2 4 3" xfId="15351"/>
    <cellStyle name="40% - Accent5 5 3 2 4 4" xfId="19608"/>
    <cellStyle name="40% - Accent5 5 3 2 4 5" xfId="23825"/>
    <cellStyle name="40% - Accent5 5 3 2 4 6" xfId="28011"/>
    <cellStyle name="40% - Accent5 5 3 2 4 7" xfId="31890"/>
    <cellStyle name="40% - Accent5 5 3 2 5" xfId="7019"/>
    <cellStyle name="40% - Accent5 5 3 2 6" xfId="11311"/>
    <cellStyle name="40% - Accent5 5 3 2 7" xfId="15589"/>
    <cellStyle name="40% - Accent5 5 3 2 8" xfId="19846"/>
    <cellStyle name="40% - Accent5 5 3 2 9" xfId="24097"/>
    <cellStyle name="40% - Accent5 5 3 3" xfId="1050"/>
    <cellStyle name="40% - Accent5 5 3 3 2" xfId="5081"/>
    <cellStyle name="40% - Accent5 5 3 3 2 2" xfId="10055"/>
    <cellStyle name="40% - Accent5 5 3 3 2 3" xfId="14332"/>
    <cellStyle name="40% - Accent5 5 3 3 2 4" xfId="18591"/>
    <cellStyle name="40% - Accent5 5 3 3 2 5" xfId="22810"/>
    <cellStyle name="40% - Accent5 5 3 3 2 6" xfId="27005"/>
    <cellStyle name="40% - Accent5 5 3 3 2 7" xfId="30901"/>
    <cellStyle name="40% - Accent5 5 3 3 3" xfId="7917"/>
    <cellStyle name="40% - Accent5 5 3 3 4" xfId="12206"/>
    <cellStyle name="40% - Accent5 5 3 3 5" xfId="16482"/>
    <cellStyle name="40% - Accent5 5 3 3 6" xfId="20721"/>
    <cellStyle name="40% - Accent5 5 3 3 7" xfId="24970"/>
    <cellStyle name="40% - Accent5 5 3 3 8" xfId="29064"/>
    <cellStyle name="40% - Accent5 5 3 3 9" xfId="2940"/>
    <cellStyle name="40% - Accent5 5 3 4" xfId="4423"/>
    <cellStyle name="40% - Accent5 5 3 4 2" xfId="9397"/>
    <cellStyle name="40% - Accent5 5 3 4 3" xfId="13674"/>
    <cellStyle name="40% - Accent5 5 3 4 4" xfId="17934"/>
    <cellStyle name="40% - Accent5 5 3 4 5" xfId="22152"/>
    <cellStyle name="40% - Accent5 5 3 4 6" xfId="26348"/>
    <cellStyle name="40% - Accent5 5 3 4 7" xfId="30244"/>
    <cellStyle name="40% - Accent5 5 3 5" xfId="5772"/>
    <cellStyle name="40% - Accent5 5 3 5 2" xfId="10744"/>
    <cellStyle name="40% - Accent5 5 3 5 3" xfId="15022"/>
    <cellStyle name="40% - Accent5 5 3 5 4" xfId="19279"/>
    <cellStyle name="40% - Accent5 5 3 5 5" xfId="23496"/>
    <cellStyle name="40% - Accent5 5 3 5 6" xfId="27682"/>
    <cellStyle name="40% - Accent5 5 3 5 7" xfId="31561"/>
    <cellStyle name="40% - Accent5 5 3 6" xfId="6640"/>
    <cellStyle name="40% - Accent5 5 3 7" xfId="8967"/>
    <cellStyle name="40% - Accent5 5 3 8" xfId="13249"/>
    <cellStyle name="40% - Accent5 5 3 9" xfId="17523"/>
    <cellStyle name="40% - Accent5 5 4" xfId="3230"/>
    <cellStyle name="40% - Accent5 5 4 2" xfId="8206"/>
    <cellStyle name="40% - Accent5 5 4 3" xfId="12492"/>
    <cellStyle name="40% - Accent5 5 4 4" xfId="16764"/>
    <cellStyle name="40% - Accent5 5 4 5" xfId="21002"/>
    <cellStyle name="40% - Accent5 5 4 6" xfId="25240"/>
    <cellStyle name="40% - Accent5 5 4 7" xfId="29321"/>
    <cellStyle name="40% - Accent5 5 5" xfId="2335"/>
    <cellStyle name="40% - Accent5 5 5 2" xfId="7313"/>
    <cellStyle name="40% - Accent5 5 5 3" xfId="11603"/>
    <cellStyle name="40% - Accent5 5 5 4" xfId="15881"/>
    <cellStyle name="40% - Accent5 5 5 5" xfId="20133"/>
    <cellStyle name="40% - Accent5 5 5 6" xfId="24382"/>
    <cellStyle name="40% - Accent5 5 5 7" xfId="28513"/>
    <cellStyle name="40% - Accent5 6" xfId="371"/>
    <cellStyle name="40% - Accent5 6 10" xfId="21759"/>
    <cellStyle name="40% - Accent5 6 11" xfId="25989"/>
    <cellStyle name="40% - Accent5 6 12" xfId="1734"/>
    <cellStyle name="40% - Accent5 6 2" xfId="745"/>
    <cellStyle name="40% - Accent5 6 2 10" xfId="19869"/>
    <cellStyle name="40% - Accent5 6 2 11" xfId="24120"/>
    <cellStyle name="40% - Accent5 6 2 12" xfId="28272"/>
    <cellStyle name="40% - Accent5 6 2 13" xfId="2064"/>
    <cellStyle name="40% - Accent5 6 2 2" xfId="1402"/>
    <cellStyle name="40% - Accent5 6 2 2 10" xfId="2941"/>
    <cellStyle name="40% - Accent5 6 2 2 2" xfId="3788"/>
    <cellStyle name="40% - Accent5 6 2 2 2 2" xfId="8764"/>
    <cellStyle name="40% - Accent5 6 2 2 2 3" xfId="13049"/>
    <cellStyle name="40% - Accent5 6 2 2 2 4" xfId="17321"/>
    <cellStyle name="40% - Accent5 6 2 2 2 5" xfId="21556"/>
    <cellStyle name="40% - Accent5 6 2 2 2 6" xfId="25794"/>
    <cellStyle name="40% - Accent5 6 2 2 2 7" xfId="29872"/>
    <cellStyle name="40% - Accent5 6 2 2 3" xfId="5433"/>
    <cellStyle name="40% - Accent5 6 2 2 3 2" xfId="10407"/>
    <cellStyle name="40% - Accent5 6 2 2 3 3" xfId="14684"/>
    <cellStyle name="40% - Accent5 6 2 2 3 4" xfId="18943"/>
    <cellStyle name="40% - Accent5 6 2 2 3 5" xfId="23162"/>
    <cellStyle name="40% - Accent5 6 2 2 3 6" xfId="27357"/>
    <cellStyle name="40% - Accent5 6 2 2 3 7" xfId="31253"/>
    <cellStyle name="40% - Accent5 6 2 2 4" xfId="7918"/>
    <cellStyle name="40% - Accent5 6 2 2 5" xfId="12207"/>
    <cellStyle name="40% - Accent5 6 2 2 6" xfId="16483"/>
    <cellStyle name="40% - Accent5 6 2 2 7" xfId="20722"/>
    <cellStyle name="40% - Accent5 6 2 2 8" xfId="24971"/>
    <cellStyle name="40% - Accent5 6 2 2 9" xfId="29065"/>
    <cellStyle name="40% - Accent5 6 2 3" xfId="3323"/>
    <cellStyle name="40% - Accent5 6 2 3 2" xfId="8299"/>
    <cellStyle name="40% - Accent5 6 2 3 3" xfId="12584"/>
    <cellStyle name="40% - Accent5 6 2 3 4" xfId="16856"/>
    <cellStyle name="40% - Accent5 6 2 3 5" xfId="21091"/>
    <cellStyle name="40% - Accent5 6 2 3 6" xfId="25329"/>
    <cellStyle name="40% - Accent5 6 2 3 7" xfId="29407"/>
    <cellStyle name="40% - Accent5 6 2 4" xfId="2462"/>
    <cellStyle name="40% - Accent5 6 2 4 2" xfId="7439"/>
    <cellStyle name="40% - Accent5 6 2 4 3" xfId="11728"/>
    <cellStyle name="40% - Accent5 6 2 4 4" xfId="16006"/>
    <cellStyle name="40% - Accent5 6 2 4 5" xfId="20249"/>
    <cellStyle name="40% - Accent5 6 2 4 6" xfId="24495"/>
    <cellStyle name="40% - Accent5 6 2 4 7" xfId="28600"/>
    <cellStyle name="40% - Accent5 6 2 5" xfId="4776"/>
    <cellStyle name="40% - Accent5 6 2 5 2" xfId="9750"/>
    <cellStyle name="40% - Accent5 6 2 5 3" xfId="14027"/>
    <cellStyle name="40% - Accent5 6 2 5 4" xfId="18286"/>
    <cellStyle name="40% - Accent5 6 2 5 5" xfId="22505"/>
    <cellStyle name="40% - Accent5 6 2 5 6" xfId="26700"/>
    <cellStyle name="40% - Accent5 6 2 5 7" xfId="30596"/>
    <cellStyle name="40% - Accent5 6 2 6" xfId="6124"/>
    <cellStyle name="40% - Accent5 6 2 6 2" xfId="11096"/>
    <cellStyle name="40% - Accent5 6 2 6 3" xfId="15374"/>
    <cellStyle name="40% - Accent5 6 2 6 4" xfId="19631"/>
    <cellStyle name="40% - Accent5 6 2 6 5" xfId="23848"/>
    <cellStyle name="40% - Accent5 6 2 6 6" xfId="28034"/>
    <cellStyle name="40% - Accent5 6 2 6 7" xfId="31913"/>
    <cellStyle name="40% - Accent5 6 2 7" xfId="7042"/>
    <cellStyle name="40% - Accent5 6 2 8" xfId="11334"/>
    <cellStyle name="40% - Accent5 6 2 9" xfId="15612"/>
    <cellStyle name="40% - Accent5 6 3" xfId="1073"/>
    <cellStyle name="40% - Accent5 6 3 2" xfId="5104"/>
    <cellStyle name="40% - Accent5 6 3 2 2" xfId="10078"/>
    <cellStyle name="40% - Accent5 6 3 2 3" xfId="14355"/>
    <cellStyle name="40% - Accent5 6 3 2 4" xfId="18614"/>
    <cellStyle name="40% - Accent5 6 3 2 5" xfId="22833"/>
    <cellStyle name="40% - Accent5 6 3 2 6" xfId="27028"/>
    <cellStyle name="40% - Accent5 6 3 2 7" xfId="30924"/>
    <cellStyle name="40% - Accent5 6 3 3" xfId="2349"/>
    <cellStyle name="40% - Accent5 6 4" xfId="4446"/>
    <cellStyle name="40% - Accent5 6 4 2" xfId="9420"/>
    <cellStyle name="40% - Accent5 6 4 3" xfId="13697"/>
    <cellStyle name="40% - Accent5 6 4 4" xfId="17957"/>
    <cellStyle name="40% - Accent5 6 4 5" xfId="22175"/>
    <cellStyle name="40% - Accent5 6 4 6" xfId="26371"/>
    <cellStyle name="40% - Accent5 6 4 7" xfId="30267"/>
    <cellStyle name="40% - Accent5 6 5" xfId="5795"/>
    <cellStyle name="40% - Accent5 6 5 2" xfId="10767"/>
    <cellStyle name="40% - Accent5 6 5 3" xfId="15045"/>
    <cellStyle name="40% - Accent5 6 5 4" xfId="19302"/>
    <cellStyle name="40% - Accent5 6 5 5" xfId="23519"/>
    <cellStyle name="40% - Accent5 6 5 6" xfId="27705"/>
    <cellStyle name="40% - Accent5 6 5 7" xfId="31584"/>
    <cellStyle name="40% - Accent5 6 6" xfId="6669"/>
    <cellStyle name="40% - Accent5 6 7" xfId="8966"/>
    <cellStyle name="40% - Accent5 6 8" xfId="13248"/>
    <cellStyle name="40% - Accent5 6 9" xfId="17522"/>
    <cellStyle name="40% - Accent5 7" xfId="559"/>
    <cellStyle name="40% - Accent5 7 2" xfId="2942"/>
    <cellStyle name="40% - Accent5 7 2 2" xfId="3789"/>
    <cellStyle name="40% - Accent5 7 2 2 2" xfId="8765"/>
    <cellStyle name="40% - Accent5 7 2 2 3" xfId="13050"/>
    <cellStyle name="40% - Accent5 7 2 2 4" xfId="17322"/>
    <cellStyle name="40% - Accent5 7 2 2 5" xfId="21557"/>
    <cellStyle name="40% - Accent5 7 2 2 6" xfId="25795"/>
    <cellStyle name="40% - Accent5 7 2 2 7" xfId="29873"/>
    <cellStyle name="40% - Accent5 7 2 3" xfId="7919"/>
    <cellStyle name="40% - Accent5 7 2 4" xfId="12208"/>
    <cellStyle name="40% - Accent5 7 2 5" xfId="16484"/>
    <cellStyle name="40% - Accent5 7 2 6" xfId="20723"/>
    <cellStyle name="40% - Accent5 7 2 7" xfId="24972"/>
    <cellStyle name="40% - Accent5 7 2 8" xfId="29066"/>
    <cellStyle name="40% - Accent5 7 3" xfId="3456"/>
    <cellStyle name="40% - Accent5 7 3 2" xfId="8432"/>
    <cellStyle name="40% - Accent5 7 3 3" xfId="12717"/>
    <cellStyle name="40% - Accent5 7 3 4" xfId="16989"/>
    <cellStyle name="40% - Accent5 7 3 5" xfId="21224"/>
    <cellStyle name="40% - Accent5 7 3 6" xfId="25462"/>
    <cellStyle name="40% - Accent5 7 3 7" xfId="29540"/>
    <cellStyle name="40% - Accent5 7 4" xfId="2597"/>
    <cellStyle name="40% - Accent5 7 4 2" xfId="7574"/>
    <cellStyle name="40% - Accent5 7 4 3" xfId="11863"/>
    <cellStyle name="40% - Accent5 7 4 4" xfId="16139"/>
    <cellStyle name="40% - Accent5 7 4 5" xfId="20382"/>
    <cellStyle name="40% - Accent5 7 4 6" xfId="24628"/>
    <cellStyle name="40% - Accent5 7 4 7" xfId="28733"/>
    <cellStyle name="40% - Accent5 8" xfId="2943"/>
    <cellStyle name="40% - Accent6" xfId="12" builtinId="51" customBuiltin="1"/>
    <cellStyle name="40% - Accent6 2" xfId="95"/>
    <cellStyle name="40% - Accent6 2 10" xfId="4302"/>
    <cellStyle name="40% - Accent6 2 10 2" xfId="9276"/>
    <cellStyle name="40% - Accent6 2 10 3" xfId="13553"/>
    <cellStyle name="40% - Accent6 2 10 4" xfId="17813"/>
    <cellStyle name="40% - Accent6 2 10 5" xfId="22032"/>
    <cellStyle name="40% - Accent6 2 10 6" xfId="26230"/>
    <cellStyle name="40% - Accent6 2 10 7" xfId="30127"/>
    <cellStyle name="40% - Accent6 2 11" xfId="5658"/>
    <cellStyle name="40% - Accent6 2 11 2" xfId="10630"/>
    <cellStyle name="40% - Accent6 2 11 3" xfId="14908"/>
    <cellStyle name="40% - Accent6 2 11 4" xfId="19165"/>
    <cellStyle name="40% - Accent6 2 11 5" xfId="23382"/>
    <cellStyle name="40% - Accent6 2 11 6" xfId="27568"/>
    <cellStyle name="40% - Accent6 2 11 7" xfId="31447"/>
    <cellStyle name="40% - Accent6 2 12" xfId="6395"/>
    <cellStyle name="40% - Accent6 2 13" xfId="6556"/>
    <cellStyle name="40% - Accent6 2 14" xfId="8975"/>
    <cellStyle name="40% - Accent6 2 15" xfId="13257"/>
    <cellStyle name="40% - Accent6 2 16" xfId="19121"/>
    <cellStyle name="40% - Accent6 2 17" xfId="20122"/>
    <cellStyle name="40% - Accent6 2 18" xfId="1592"/>
    <cellStyle name="40% - Accent6 2 2" xfId="177"/>
    <cellStyle name="40% - Accent6 2 2 10" xfId="5690"/>
    <cellStyle name="40% - Accent6 2 2 10 2" xfId="10662"/>
    <cellStyle name="40% - Accent6 2 2 10 3" xfId="14940"/>
    <cellStyle name="40% - Accent6 2 2 10 4" xfId="19197"/>
    <cellStyle name="40% - Accent6 2 2 10 5" xfId="23414"/>
    <cellStyle name="40% - Accent6 2 2 10 6" xfId="27600"/>
    <cellStyle name="40% - Accent6 2 2 10 7" xfId="31479"/>
    <cellStyle name="40% - Accent6 2 2 11" xfId="6476"/>
    <cellStyle name="40% - Accent6 2 2 12" xfId="7270"/>
    <cellStyle name="40% - Accent6 2 2 13" xfId="11560"/>
    <cellStyle name="40% - Accent6 2 2 14" xfId="15838"/>
    <cellStyle name="40% - Accent6 2 2 15" xfId="9315"/>
    <cellStyle name="40% - Accent6 2 2 16" xfId="24342"/>
    <cellStyle name="40% - Accent6 2 2 17" xfId="1625"/>
    <cellStyle name="40% - Accent6 2 2 2" xfId="321"/>
    <cellStyle name="40% - Accent6 2 2 2 10" xfId="12253"/>
    <cellStyle name="40% - Accent6 2 2 2 11" xfId="16528"/>
    <cellStyle name="40% - Accent6 2 2 2 12" xfId="21787"/>
    <cellStyle name="40% - Accent6 2 2 2 13" xfId="25012"/>
    <cellStyle name="40% - Accent6 2 2 2 14" xfId="1693"/>
    <cellStyle name="40% - Accent6 2 2 2 2" xfId="485"/>
    <cellStyle name="40% - Accent6 2 2 2 2 10" xfId="12209"/>
    <cellStyle name="40% - Accent6 2 2 2 2 11" xfId="17582"/>
    <cellStyle name="40% - Accent6 2 2 2 2 12" xfId="10602"/>
    <cellStyle name="40% - Accent6 2 2 2 2 13" xfId="1848"/>
    <cellStyle name="40% - Accent6 2 2 2 2 2" xfId="859"/>
    <cellStyle name="40% - Accent6 2 2 2 2 2 10" xfId="24234"/>
    <cellStyle name="40% - Accent6 2 2 2 2 2 11" xfId="28386"/>
    <cellStyle name="40% - Accent6 2 2 2 2 2 12" xfId="2178"/>
    <cellStyle name="40% - Accent6 2 2 2 2 2 2" xfId="1516"/>
    <cellStyle name="40% - Accent6 2 2 2 2 2 2 2" xfId="5547"/>
    <cellStyle name="40% - Accent6 2 2 2 2 2 2 2 2" xfId="10521"/>
    <cellStyle name="40% - Accent6 2 2 2 2 2 2 2 3" xfId="14798"/>
    <cellStyle name="40% - Accent6 2 2 2 2 2 2 2 4" xfId="19057"/>
    <cellStyle name="40% - Accent6 2 2 2 2 2 2 2 5" xfId="23276"/>
    <cellStyle name="40% - Accent6 2 2 2 2 2 2 2 6" xfId="27471"/>
    <cellStyle name="40% - Accent6 2 2 2 2 2 2 2 7" xfId="31367"/>
    <cellStyle name="40% - Accent6 2 2 2 2 2 2 3" xfId="8766"/>
    <cellStyle name="40% - Accent6 2 2 2 2 2 2 4" xfId="13051"/>
    <cellStyle name="40% - Accent6 2 2 2 2 2 2 5" xfId="17323"/>
    <cellStyle name="40% - Accent6 2 2 2 2 2 2 6" xfId="21558"/>
    <cellStyle name="40% - Accent6 2 2 2 2 2 2 7" xfId="25796"/>
    <cellStyle name="40% - Accent6 2 2 2 2 2 2 8" xfId="29874"/>
    <cellStyle name="40% - Accent6 2 2 2 2 2 2 9" xfId="3790"/>
    <cellStyle name="40% - Accent6 2 2 2 2 2 3" xfId="2944"/>
    <cellStyle name="40% - Accent6 2 2 2 2 2 3 2" xfId="7921"/>
    <cellStyle name="40% - Accent6 2 2 2 2 2 3 3" xfId="12210"/>
    <cellStyle name="40% - Accent6 2 2 2 2 2 3 4" xfId="16486"/>
    <cellStyle name="40% - Accent6 2 2 2 2 2 3 5" xfId="20725"/>
    <cellStyle name="40% - Accent6 2 2 2 2 2 3 6" xfId="24973"/>
    <cellStyle name="40% - Accent6 2 2 2 2 2 3 7" xfId="29067"/>
    <cellStyle name="40% - Accent6 2 2 2 2 2 4" xfId="4890"/>
    <cellStyle name="40% - Accent6 2 2 2 2 2 4 2" xfId="9864"/>
    <cellStyle name="40% - Accent6 2 2 2 2 2 4 3" xfId="14141"/>
    <cellStyle name="40% - Accent6 2 2 2 2 2 4 4" xfId="18400"/>
    <cellStyle name="40% - Accent6 2 2 2 2 2 4 5" xfId="22619"/>
    <cellStyle name="40% - Accent6 2 2 2 2 2 4 6" xfId="26814"/>
    <cellStyle name="40% - Accent6 2 2 2 2 2 4 7" xfId="30710"/>
    <cellStyle name="40% - Accent6 2 2 2 2 2 5" xfId="6238"/>
    <cellStyle name="40% - Accent6 2 2 2 2 2 5 2" xfId="11210"/>
    <cellStyle name="40% - Accent6 2 2 2 2 2 5 3" xfId="15488"/>
    <cellStyle name="40% - Accent6 2 2 2 2 2 5 4" xfId="19745"/>
    <cellStyle name="40% - Accent6 2 2 2 2 2 5 5" xfId="23962"/>
    <cellStyle name="40% - Accent6 2 2 2 2 2 5 6" xfId="28148"/>
    <cellStyle name="40% - Accent6 2 2 2 2 2 5 7" xfId="32027"/>
    <cellStyle name="40% - Accent6 2 2 2 2 2 6" xfId="7156"/>
    <cellStyle name="40% - Accent6 2 2 2 2 2 7" xfId="11448"/>
    <cellStyle name="40% - Accent6 2 2 2 2 2 8" xfId="15726"/>
    <cellStyle name="40% - Accent6 2 2 2 2 2 9" xfId="19983"/>
    <cellStyle name="40% - Accent6 2 2 2 2 3" xfId="1187"/>
    <cellStyle name="40% - Accent6 2 2 2 2 3 2" xfId="5218"/>
    <cellStyle name="40% - Accent6 2 2 2 2 3 2 2" xfId="10192"/>
    <cellStyle name="40% - Accent6 2 2 2 2 3 2 3" xfId="14469"/>
    <cellStyle name="40% - Accent6 2 2 2 2 3 2 4" xfId="18728"/>
    <cellStyle name="40% - Accent6 2 2 2 2 3 2 5" xfId="22947"/>
    <cellStyle name="40% - Accent6 2 2 2 2 3 2 6" xfId="27142"/>
    <cellStyle name="40% - Accent6 2 2 2 2 3 2 7" xfId="31038"/>
    <cellStyle name="40% - Accent6 2 2 2 2 3 3" xfId="8413"/>
    <cellStyle name="40% - Accent6 2 2 2 2 3 4" xfId="12698"/>
    <cellStyle name="40% - Accent6 2 2 2 2 3 5" xfId="16970"/>
    <cellStyle name="40% - Accent6 2 2 2 2 3 6" xfId="21205"/>
    <cellStyle name="40% - Accent6 2 2 2 2 3 7" xfId="25443"/>
    <cellStyle name="40% - Accent6 2 2 2 2 3 8" xfId="29521"/>
    <cellStyle name="40% - Accent6 2 2 2 2 3 9" xfId="3437"/>
    <cellStyle name="40% - Accent6 2 2 2 2 4" xfId="2576"/>
    <cellStyle name="40% - Accent6 2 2 2 2 4 2" xfId="7553"/>
    <cellStyle name="40% - Accent6 2 2 2 2 4 3" xfId="11842"/>
    <cellStyle name="40% - Accent6 2 2 2 2 4 4" xfId="16120"/>
    <cellStyle name="40% - Accent6 2 2 2 2 4 5" xfId="20363"/>
    <cellStyle name="40% - Accent6 2 2 2 2 4 6" xfId="24609"/>
    <cellStyle name="40% - Accent6 2 2 2 2 4 7" xfId="28714"/>
    <cellStyle name="40% - Accent6 2 2 2 2 5" xfId="4560"/>
    <cellStyle name="40% - Accent6 2 2 2 2 5 2" xfId="9534"/>
    <cellStyle name="40% - Accent6 2 2 2 2 5 3" xfId="13811"/>
    <cellStyle name="40% - Accent6 2 2 2 2 5 4" xfId="18071"/>
    <cellStyle name="40% - Accent6 2 2 2 2 5 5" xfId="22289"/>
    <cellStyle name="40% - Accent6 2 2 2 2 5 6" xfId="26485"/>
    <cellStyle name="40% - Accent6 2 2 2 2 5 7" xfId="30381"/>
    <cellStyle name="40% - Accent6 2 2 2 2 6" xfId="5909"/>
    <cellStyle name="40% - Accent6 2 2 2 2 6 2" xfId="10881"/>
    <cellStyle name="40% - Accent6 2 2 2 2 6 3" xfId="15159"/>
    <cellStyle name="40% - Accent6 2 2 2 2 6 4" xfId="19416"/>
    <cellStyle name="40% - Accent6 2 2 2 2 6 5" xfId="23633"/>
    <cellStyle name="40% - Accent6 2 2 2 2 6 6" xfId="27819"/>
    <cellStyle name="40% - Accent6 2 2 2 2 6 7" xfId="31698"/>
    <cellStyle name="40% - Accent6 2 2 2 2 7" xfId="6783"/>
    <cellStyle name="40% - Accent6 2 2 2 2 8" xfId="6871"/>
    <cellStyle name="40% - Accent6 2 2 2 2 9" xfId="7920"/>
    <cellStyle name="40% - Accent6 2 2 2 3" xfId="704"/>
    <cellStyle name="40% - Accent6 2 2 2 3 10" xfId="24079"/>
    <cellStyle name="40% - Accent6 2 2 2 3 11" xfId="28231"/>
    <cellStyle name="40% - Accent6 2 2 2 3 12" xfId="2023"/>
    <cellStyle name="40% - Accent6 2 2 2 3 2" xfId="1361"/>
    <cellStyle name="40% - Accent6 2 2 2 3 2 2" xfId="5392"/>
    <cellStyle name="40% - Accent6 2 2 2 3 2 2 2" xfId="10366"/>
    <cellStyle name="40% - Accent6 2 2 2 3 2 2 3" xfId="14643"/>
    <cellStyle name="40% - Accent6 2 2 2 3 2 2 4" xfId="18902"/>
    <cellStyle name="40% - Accent6 2 2 2 3 2 2 5" xfId="23121"/>
    <cellStyle name="40% - Accent6 2 2 2 3 2 2 6" xfId="27316"/>
    <cellStyle name="40% - Accent6 2 2 2 3 2 2 7" xfId="31212"/>
    <cellStyle name="40% - Accent6 2 2 2 3 2 3" xfId="8767"/>
    <cellStyle name="40% - Accent6 2 2 2 3 2 4" xfId="13052"/>
    <cellStyle name="40% - Accent6 2 2 2 3 2 5" xfId="17324"/>
    <cellStyle name="40% - Accent6 2 2 2 3 2 6" xfId="21559"/>
    <cellStyle name="40% - Accent6 2 2 2 3 2 7" xfId="25797"/>
    <cellStyle name="40% - Accent6 2 2 2 3 2 8" xfId="29875"/>
    <cellStyle name="40% - Accent6 2 2 2 3 2 9" xfId="3791"/>
    <cellStyle name="40% - Accent6 2 2 2 3 3" xfId="2945"/>
    <cellStyle name="40% - Accent6 2 2 2 3 3 2" xfId="7922"/>
    <cellStyle name="40% - Accent6 2 2 2 3 3 3" xfId="12211"/>
    <cellStyle name="40% - Accent6 2 2 2 3 3 4" xfId="16487"/>
    <cellStyle name="40% - Accent6 2 2 2 3 3 5" xfId="20726"/>
    <cellStyle name="40% - Accent6 2 2 2 3 3 6" xfId="24974"/>
    <cellStyle name="40% - Accent6 2 2 2 3 3 7" xfId="29068"/>
    <cellStyle name="40% - Accent6 2 2 2 3 4" xfId="4735"/>
    <cellStyle name="40% - Accent6 2 2 2 3 4 2" xfId="9709"/>
    <cellStyle name="40% - Accent6 2 2 2 3 4 3" xfId="13986"/>
    <cellStyle name="40% - Accent6 2 2 2 3 4 4" xfId="18245"/>
    <cellStyle name="40% - Accent6 2 2 2 3 4 5" xfId="22464"/>
    <cellStyle name="40% - Accent6 2 2 2 3 4 6" xfId="26659"/>
    <cellStyle name="40% - Accent6 2 2 2 3 4 7" xfId="30555"/>
    <cellStyle name="40% - Accent6 2 2 2 3 5" xfId="6083"/>
    <cellStyle name="40% - Accent6 2 2 2 3 5 2" xfId="11055"/>
    <cellStyle name="40% - Accent6 2 2 2 3 5 3" xfId="15333"/>
    <cellStyle name="40% - Accent6 2 2 2 3 5 4" xfId="19590"/>
    <cellStyle name="40% - Accent6 2 2 2 3 5 5" xfId="23807"/>
    <cellStyle name="40% - Accent6 2 2 2 3 5 6" xfId="27993"/>
    <cellStyle name="40% - Accent6 2 2 2 3 5 7" xfId="31872"/>
    <cellStyle name="40% - Accent6 2 2 2 3 6" xfId="7001"/>
    <cellStyle name="40% - Accent6 2 2 2 3 7" xfId="11293"/>
    <cellStyle name="40% - Accent6 2 2 2 3 8" xfId="15571"/>
    <cellStyle name="40% - Accent6 2 2 2 3 9" xfId="19828"/>
    <cellStyle name="40% - Accent6 2 2 2 4" xfId="1032"/>
    <cellStyle name="40% - Accent6 2 2 2 4 2" xfId="5063"/>
    <cellStyle name="40% - Accent6 2 2 2 4 2 2" xfId="10037"/>
    <cellStyle name="40% - Accent6 2 2 2 4 2 3" xfId="14314"/>
    <cellStyle name="40% - Accent6 2 2 2 4 2 4" xfId="18573"/>
    <cellStyle name="40% - Accent6 2 2 2 4 2 5" xfId="22792"/>
    <cellStyle name="40% - Accent6 2 2 2 4 2 6" xfId="26987"/>
    <cellStyle name="40% - Accent6 2 2 2 4 2 7" xfId="30883"/>
    <cellStyle name="40% - Accent6 2 2 2 4 3" xfId="8261"/>
    <cellStyle name="40% - Accent6 2 2 2 4 4" xfId="12546"/>
    <cellStyle name="40% - Accent6 2 2 2 4 5" xfId="16819"/>
    <cellStyle name="40% - Accent6 2 2 2 4 6" xfId="21055"/>
    <cellStyle name="40% - Accent6 2 2 2 4 7" xfId="25293"/>
    <cellStyle name="40% - Accent6 2 2 2 4 8" xfId="29371"/>
    <cellStyle name="40% - Accent6 2 2 2 4 9" xfId="3285"/>
    <cellStyle name="40% - Accent6 2 2 2 5" xfId="2401"/>
    <cellStyle name="40% - Accent6 2 2 2 5 2" xfId="7379"/>
    <cellStyle name="40% - Accent6 2 2 2 5 3" xfId="11668"/>
    <cellStyle name="40% - Accent6 2 2 2 5 4" xfId="15946"/>
    <cellStyle name="40% - Accent6 2 2 2 5 5" xfId="20195"/>
    <cellStyle name="40% - Accent6 2 2 2 5 6" xfId="24443"/>
    <cellStyle name="40% - Accent6 2 2 2 5 7" xfId="28563"/>
    <cellStyle name="40% - Accent6 2 2 2 6" xfId="4405"/>
    <cellStyle name="40% - Accent6 2 2 2 6 2" xfId="9379"/>
    <cellStyle name="40% - Accent6 2 2 2 6 3" xfId="13656"/>
    <cellStyle name="40% - Accent6 2 2 2 6 4" xfId="17916"/>
    <cellStyle name="40% - Accent6 2 2 2 6 5" xfId="22134"/>
    <cellStyle name="40% - Accent6 2 2 2 6 6" xfId="26330"/>
    <cellStyle name="40% - Accent6 2 2 2 6 7" xfId="30226"/>
    <cellStyle name="40% - Accent6 2 2 2 7" xfId="5754"/>
    <cellStyle name="40% - Accent6 2 2 2 7 2" xfId="10726"/>
    <cellStyle name="40% - Accent6 2 2 2 7 3" xfId="15004"/>
    <cellStyle name="40% - Accent6 2 2 2 7 4" xfId="19261"/>
    <cellStyle name="40% - Accent6 2 2 2 7 5" xfId="23478"/>
    <cellStyle name="40% - Accent6 2 2 2 7 6" xfId="27664"/>
    <cellStyle name="40% - Accent6 2 2 2 7 7" xfId="31543"/>
    <cellStyle name="40% - Accent6 2 2 2 8" xfId="6619"/>
    <cellStyle name="40% - Accent6 2 2 2 9" xfId="7964"/>
    <cellStyle name="40% - Accent6 2 2 3" xfId="424"/>
    <cellStyle name="40% - Accent6 2 2 3 10" xfId="17629"/>
    <cellStyle name="40% - Accent6 2 2 3 11" xfId="21977"/>
    <cellStyle name="40% - Accent6 2 2 3 12" xfId="26076"/>
    <cellStyle name="40% - Accent6 2 2 3 13" xfId="1787"/>
    <cellStyle name="40% - Accent6 2 2 3 2" xfId="798"/>
    <cellStyle name="40% - Accent6 2 2 3 2 10" xfId="24173"/>
    <cellStyle name="40% - Accent6 2 2 3 2 11" xfId="28325"/>
    <cellStyle name="40% - Accent6 2 2 3 2 12" xfId="2117"/>
    <cellStyle name="40% - Accent6 2 2 3 2 2" xfId="1455"/>
    <cellStyle name="40% - Accent6 2 2 3 2 2 2" xfId="5486"/>
    <cellStyle name="40% - Accent6 2 2 3 2 2 2 2" xfId="10460"/>
    <cellStyle name="40% - Accent6 2 2 3 2 2 2 3" xfId="14737"/>
    <cellStyle name="40% - Accent6 2 2 3 2 2 2 4" xfId="18996"/>
    <cellStyle name="40% - Accent6 2 2 3 2 2 2 5" xfId="23215"/>
    <cellStyle name="40% - Accent6 2 2 3 2 2 2 6" xfId="27410"/>
    <cellStyle name="40% - Accent6 2 2 3 2 2 2 7" xfId="31306"/>
    <cellStyle name="40% - Accent6 2 2 3 2 2 3" xfId="8768"/>
    <cellStyle name="40% - Accent6 2 2 3 2 2 4" xfId="13053"/>
    <cellStyle name="40% - Accent6 2 2 3 2 2 5" xfId="17325"/>
    <cellStyle name="40% - Accent6 2 2 3 2 2 6" xfId="21560"/>
    <cellStyle name="40% - Accent6 2 2 3 2 2 7" xfId="25798"/>
    <cellStyle name="40% - Accent6 2 2 3 2 2 8" xfId="29876"/>
    <cellStyle name="40% - Accent6 2 2 3 2 2 9" xfId="3792"/>
    <cellStyle name="40% - Accent6 2 2 3 2 3" xfId="2946"/>
    <cellStyle name="40% - Accent6 2 2 3 2 3 2" xfId="7923"/>
    <cellStyle name="40% - Accent6 2 2 3 2 3 3" xfId="12212"/>
    <cellStyle name="40% - Accent6 2 2 3 2 3 4" xfId="16488"/>
    <cellStyle name="40% - Accent6 2 2 3 2 3 5" xfId="20727"/>
    <cellStyle name="40% - Accent6 2 2 3 2 3 6" xfId="24975"/>
    <cellStyle name="40% - Accent6 2 2 3 2 3 7" xfId="29069"/>
    <cellStyle name="40% - Accent6 2 2 3 2 4" xfId="4829"/>
    <cellStyle name="40% - Accent6 2 2 3 2 4 2" xfId="9803"/>
    <cellStyle name="40% - Accent6 2 2 3 2 4 3" xfId="14080"/>
    <cellStyle name="40% - Accent6 2 2 3 2 4 4" xfId="18339"/>
    <cellStyle name="40% - Accent6 2 2 3 2 4 5" xfId="22558"/>
    <cellStyle name="40% - Accent6 2 2 3 2 4 6" xfId="26753"/>
    <cellStyle name="40% - Accent6 2 2 3 2 4 7" xfId="30649"/>
    <cellStyle name="40% - Accent6 2 2 3 2 5" xfId="6177"/>
    <cellStyle name="40% - Accent6 2 2 3 2 5 2" xfId="11149"/>
    <cellStyle name="40% - Accent6 2 2 3 2 5 3" xfId="15427"/>
    <cellStyle name="40% - Accent6 2 2 3 2 5 4" xfId="19684"/>
    <cellStyle name="40% - Accent6 2 2 3 2 5 5" xfId="23901"/>
    <cellStyle name="40% - Accent6 2 2 3 2 5 6" xfId="28087"/>
    <cellStyle name="40% - Accent6 2 2 3 2 5 7" xfId="31966"/>
    <cellStyle name="40% - Accent6 2 2 3 2 6" xfId="7095"/>
    <cellStyle name="40% - Accent6 2 2 3 2 7" xfId="11387"/>
    <cellStyle name="40% - Accent6 2 2 3 2 8" xfId="15665"/>
    <cellStyle name="40% - Accent6 2 2 3 2 9" xfId="19922"/>
    <cellStyle name="40% - Accent6 2 2 3 3" xfId="1126"/>
    <cellStyle name="40% - Accent6 2 2 3 3 2" xfId="5157"/>
    <cellStyle name="40% - Accent6 2 2 3 3 2 2" xfId="10131"/>
    <cellStyle name="40% - Accent6 2 2 3 3 2 3" xfId="14408"/>
    <cellStyle name="40% - Accent6 2 2 3 3 2 4" xfId="18667"/>
    <cellStyle name="40% - Accent6 2 2 3 3 2 5" xfId="22886"/>
    <cellStyle name="40% - Accent6 2 2 3 3 2 6" xfId="27081"/>
    <cellStyle name="40% - Accent6 2 2 3 3 2 7" xfId="30977"/>
    <cellStyle name="40% - Accent6 2 2 3 3 3" xfId="8352"/>
    <cellStyle name="40% - Accent6 2 2 3 3 4" xfId="12637"/>
    <cellStyle name="40% - Accent6 2 2 3 3 5" xfId="16909"/>
    <cellStyle name="40% - Accent6 2 2 3 3 6" xfId="21144"/>
    <cellStyle name="40% - Accent6 2 2 3 3 7" xfId="25382"/>
    <cellStyle name="40% - Accent6 2 2 3 3 8" xfId="29460"/>
    <cellStyle name="40% - Accent6 2 2 3 3 9" xfId="3376"/>
    <cellStyle name="40% - Accent6 2 2 3 4" xfId="2515"/>
    <cellStyle name="40% - Accent6 2 2 3 4 2" xfId="7492"/>
    <cellStyle name="40% - Accent6 2 2 3 4 3" xfId="11781"/>
    <cellStyle name="40% - Accent6 2 2 3 4 4" xfId="16059"/>
    <cellStyle name="40% - Accent6 2 2 3 4 5" xfId="20302"/>
    <cellStyle name="40% - Accent6 2 2 3 4 6" xfId="24548"/>
    <cellStyle name="40% - Accent6 2 2 3 4 7" xfId="28653"/>
    <cellStyle name="40% - Accent6 2 2 3 5" xfId="4499"/>
    <cellStyle name="40% - Accent6 2 2 3 5 2" xfId="9473"/>
    <cellStyle name="40% - Accent6 2 2 3 5 3" xfId="13750"/>
    <cellStyle name="40% - Accent6 2 2 3 5 4" xfId="18010"/>
    <cellStyle name="40% - Accent6 2 2 3 5 5" xfId="22228"/>
    <cellStyle name="40% - Accent6 2 2 3 5 6" xfId="26424"/>
    <cellStyle name="40% - Accent6 2 2 3 5 7" xfId="30320"/>
    <cellStyle name="40% - Accent6 2 2 3 6" xfId="5848"/>
    <cellStyle name="40% - Accent6 2 2 3 6 2" xfId="10820"/>
    <cellStyle name="40% - Accent6 2 2 3 6 3" xfId="15098"/>
    <cellStyle name="40% - Accent6 2 2 3 6 4" xfId="19355"/>
    <cellStyle name="40% - Accent6 2 2 3 6 5" xfId="23572"/>
    <cellStyle name="40% - Accent6 2 2 3 6 6" xfId="27758"/>
    <cellStyle name="40% - Accent6 2 2 3 6 7" xfId="31637"/>
    <cellStyle name="40% - Accent6 2 2 3 7" xfId="6722"/>
    <cellStyle name="40% - Accent6 2 2 3 8" xfId="9078"/>
    <cellStyle name="40% - Accent6 2 2 3 9" xfId="13360"/>
    <cellStyle name="40% - Accent6 2 2 4" xfId="538"/>
    <cellStyle name="40% - Accent6 2 2 4 10" xfId="13517"/>
    <cellStyle name="40% - Accent6 2 2 4 11" xfId="11850"/>
    <cellStyle name="40% - Accent6 2 2 4 12" xfId="11711"/>
    <cellStyle name="40% - Accent6 2 2 4 13" xfId="1901"/>
    <cellStyle name="40% - Accent6 2 2 4 2" xfId="912"/>
    <cellStyle name="40% - Accent6 2 2 4 2 10" xfId="24287"/>
    <cellStyle name="40% - Accent6 2 2 4 2 11" xfId="28439"/>
    <cellStyle name="40% - Accent6 2 2 4 2 12" xfId="2231"/>
    <cellStyle name="40% - Accent6 2 2 4 2 2" xfId="1569"/>
    <cellStyle name="40% - Accent6 2 2 4 2 2 2" xfId="5600"/>
    <cellStyle name="40% - Accent6 2 2 4 2 2 2 2" xfId="10574"/>
    <cellStyle name="40% - Accent6 2 2 4 2 2 2 3" xfId="14851"/>
    <cellStyle name="40% - Accent6 2 2 4 2 2 2 4" xfId="19110"/>
    <cellStyle name="40% - Accent6 2 2 4 2 2 2 5" xfId="23329"/>
    <cellStyle name="40% - Accent6 2 2 4 2 2 2 6" xfId="27524"/>
    <cellStyle name="40% - Accent6 2 2 4 2 2 2 7" xfId="31420"/>
    <cellStyle name="40% - Accent6 2 2 4 2 2 3" xfId="8769"/>
    <cellStyle name="40% - Accent6 2 2 4 2 2 4" xfId="13054"/>
    <cellStyle name="40% - Accent6 2 2 4 2 2 5" xfId="17326"/>
    <cellStyle name="40% - Accent6 2 2 4 2 2 6" xfId="21561"/>
    <cellStyle name="40% - Accent6 2 2 4 2 2 7" xfId="25799"/>
    <cellStyle name="40% - Accent6 2 2 4 2 2 8" xfId="29877"/>
    <cellStyle name="40% - Accent6 2 2 4 2 2 9" xfId="3793"/>
    <cellStyle name="40% - Accent6 2 2 4 2 3" xfId="2947"/>
    <cellStyle name="40% - Accent6 2 2 4 2 3 2" xfId="7924"/>
    <cellStyle name="40% - Accent6 2 2 4 2 3 3" xfId="12213"/>
    <cellStyle name="40% - Accent6 2 2 4 2 3 4" xfId="16489"/>
    <cellStyle name="40% - Accent6 2 2 4 2 3 5" xfId="20728"/>
    <cellStyle name="40% - Accent6 2 2 4 2 3 6" xfId="24976"/>
    <cellStyle name="40% - Accent6 2 2 4 2 3 7" xfId="29070"/>
    <cellStyle name="40% - Accent6 2 2 4 2 4" xfId="4943"/>
    <cellStyle name="40% - Accent6 2 2 4 2 4 2" xfId="9917"/>
    <cellStyle name="40% - Accent6 2 2 4 2 4 3" xfId="14194"/>
    <cellStyle name="40% - Accent6 2 2 4 2 4 4" xfId="18453"/>
    <cellStyle name="40% - Accent6 2 2 4 2 4 5" xfId="22672"/>
    <cellStyle name="40% - Accent6 2 2 4 2 4 6" xfId="26867"/>
    <cellStyle name="40% - Accent6 2 2 4 2 4 7" xfId="30763"/>
    <cellStyle name="40% - Accent6 2 2 4 2 5" xfId="6291"/>
    <cellStyle name="40% - Accent6 2 2 4 2 5 2" xfId="11263"/>
    <cellStyle name="40% - Accent6 2 2 4 2 5 3" xfId="15541"/>
    <cellStyle name="40% - Accent6 2 2 4 2 5 4" xfId="19798"/>
    <cellStyle name="40% - Accent6 2 2 4 2 5 5" xfId="24015"/>
    <cellStyle name="40% - Accent6 2 2 4 2 5 6" xfId="28201"/>
    <cellStyle name="40% - Accent6 2 2 4 2 5 7" xfId="32080"/>
    <cellStyle name="40% - Accent6 2 2 4 2 6" xfId="7209"/>
    <cellStyle name="40% - Accent6 2 2 4 2 7" xfId="11501"/>
    <cellStyle name="40% - Accent6 2 2 4 2 8" xfId="15779"/>
    <cellStyle name="40% - Accent6 2 2 4 2 9" xfId="20036"/>
    <cellStyle name="40% - Accent6 2 2 4 3" xfId="1240"/>
    <cellStyle name="40% - Accent6 2 2 4 3 2" xfId="5271"/>
    <cellStyle name="40% - Accent6 2 2 4 3 2 2" xfId="10245"/>
    <cellStyle name="40% - Accent6 2 2 4 3 2 3" xfId="14522"/>
    <cellStyle name="40% - Accent6 2 2 4 3 2 4" xfId="18781"/>
    <cellStyle name="40% - Accent6 2 2 4 3 2 5" xfId="23000"/>
    <cellStyle name="40% - Accent6 2 2 4 3 2 6" xfId="27195"/>
    <cellStyle name="40% - Accent6 2 2 4 3 2 7" xfId="31091"/>
    <cellStyle name="40% - Accent6 2 2 4 3 3" xfId="8480"/>
    <cellStyle name="40% - Accent6 2 2 4 3 4" xfId="12765"/>
    <cellStyle name="40% - Accent6 2 2 4 3 5" xfId="17037"/>
    <cellStyle name="40% - Accent6 2 2 4 3 6" xfId="21272"/>
    <cellStyle name="40% - Accent6 2 2 4 3 7" xfId="25510"/>
    <cellStyle name="40% - Accent6 2 2 4 3 8" xfId="29588"/>
    <cellStyle name="40% - Accent6 2 2 4 3 9" xfId="3504"/>
    <cellStyle name="40% - Accent6 2 2 4 4" xfId="2647"/>
    <cellStyle name="40% - Accent6 2 2 4 4 2" xfId="7624"/>
    <cellStyle name="40% - Accent6 2 2 4 4 3" xfId="11913"/>
    <cellStyle name="40% - Accent6 2 2 4 4 4" xfId="16189"/>
    <cellStyle name="40% - Accent6 2 2 4 4 5" xfId="20431"/>
    <cellStyle name="40% - Accent6 2 2 4 4 6" xfId="24678"/>
    <cellStyle name="40% - Accent6 2 2 4 4 7" xfId="28781"/>
    <cellStyle name="40% - Accent6 2 2 4 5" xfId="4613"/>
    <cellStyle name="40% - Accent6 2 2 4 5 2" xfId="9587"/>
    <cellStyle name="40% - Accent6 2 2 4 5 3" xfId="13864"/>
    <cellStyle name="40% - Accent6 2 2 4 5 4" xfId="18124"/>
    <cellStyle name="40% - Accent6 2 2 4 5 5" xfId="22342"/>
    <cellStyle name="40% - Accent6 2 2 4 5 6" xfId="26538"/>
    <cellStyle name="40% - Accent6 2 2 4 5 7" xfId="30434"/>
    <cellStyle name="40% - Accent6 2 2 4 6" xfId="5962"/>
    <cellStyle name="40% - Accent6 2 2 4 6 2" xfId="10934"/>
    <cellStyle name="40% - Accent6 2 2 4 6 3" xfId="15212"/>
    <cellStyle name="40% - Accent6 2 2 4 6 4" xfId="19469"/>
    <cellStyle name="40% - Accent6 2 2 4 6 5" xfId="23686"/>
    <cellStyle name="40% - Accent6 2 2 4 6 6" xfId="27872"/>
    <cellStyle name="40% - Accent6 2 2 4 6 7" xfId="31751"/>
    <cellStyle name="40% - Accent6 2 2 4 7" xfId="6836"/>
    <cellStyle name="40% - Accent6 2 2 4 8" xfId="6317"/>
    <cellStyle name="40% - Accent6 2 2 4 9" xfId="9240"/>
    <cellStyle name="40% - Accent6 2 2 5" xfId="639"/>
    <cellStyle name="40% - Accent6 2 2 5 10" xfId="17722"/>
    <cellStyle name="40% - Accent6 2 2 5 11" xfId="20467"/>
    <cellStyle name="40% - Accent6 2 2 5 12" xfId="26151"/>
    <cellStyle name="40% - Accent6 2 2 5 13" xfId="1958"/>
    <cellStyle name="40% - Accent6 2 2 5 2" xfId="1296"/>
    <cellStyle name="40% - Accent6 2 2 5 2 10" xfId="2949"/>
    <cellStyle name="40% - Accent6 2 2 5 2 2" xfId="3795"/>
    <cellStyle name="40% - Accent6 2 2 5 2 2 2" xfId="8771"/>
    <cellStyle name="40% - Accent6 2 2 5 2 2 3" xfId="13056"/>
    <cellStyle name="40% - Accent6 2 2 5 2 2 4" xfId="17328"/>
    <cellStyle name="40% - Accent6 2 2 5 2 2 5" xfId="21563"/>
    <cellStyle name="40% - Accent6 2 2 5 2 2 6" xfId="25801"/>
    <cellStyle name="40% - Accent6 2 2 5 2 2 7" xfId="29879"/>
    <cellStyle name="40% - Accent6 2 2 5 2 3" xfId="5327"/>
    <cellStyle name="40% - Accent6 2 2 5 2 3 2" xfId="10301"/>
    <cellStyle name="40% - Accent6 2 2 5 2 3 3" xfId="14578"/>
    <cellStyle name="40% - Accent6 2 2 5 2 3 4" xfId="18837"/>
    <cellStyle name="40% - Accent6 2 2 5 2 3 5" xfId="23056"/>
    <cellStyle name="40% - Accent6 2 2 5 2 3 6" xfId="27251"/>
    <cellStyle name="40% - Accent6 2 2 5 2 3 7" xfId="31147"/>
    <cellStyle name="40% - Accent6 2 2 5 2 4" xfId="7926"/>
    <cellStyle name="40% - Accent6 2 2 5 2 5" xfId="12215"/>
    <cellStyle name="40% - Accent6 2 2 5 2 6" xfId="16491"/>
    <cellStyle name="40% - Accent6 2 2 5 2 7" xfId="20730"/>
    <cellStyle name="40% - Accent6 2 2 5 2 8" xfId="24978"/>
    <cellStyle name="40% - Accent6 2 2 5 2 9" xfId="29072"/>
    <cellStyle name="40% - Accent6 2 2 5 3" xfId="3794"/>
    <cellStyle name="40% - Accent6 2 2 5 3 2" xfId="8770"/>
    <cellStyle name="40% - Accent6 2 2 5 3 3" xfId="13055"/>
    <cellStyle name="40% - Accent6 2 2 5 3 4" xfId="17327"/>
    <cellStyle name="40% - Accent6 2 2 5 3 5" xfId="21562"/>
    <cellStyle name="40% - Accent6 2 2 5 3 6" xfId="25800"/>
    <cellStyle name="40% - Accent6 2 2 5 3 7" xfId="29878"/>
    <cellStyle name="40% - Accent6 2 2 5 4" xfId="2948"/>
    <cellStyle name="40% - Accent6 2 2 5 4 2" xfId="7925"/>
    <cellStyle name="40% - Accent6 2 2 5 4 3" xfId="12214"/>
    <cellStyle name="40% - Accent6 2 2 5 4 4" xfId="16490"/>
    <cellStyle name="40% - Accent6 2 2 5 4 5" xfId="20729"/>
    <cellStyle name="40% - Accent6 2 2 5 4 6" xfId="24977"/>
    <cellStyle name="40% - Accent6 2 2 5 4 7" xfId="29071"/>
    <cellStyle name="40% - Accent6 2 2 5 5" xfId="4670"/>
    <cellStyle name="40% - Accent6 2 2 5 5 2" xfId="9644"/>
    <cellStyle name="40% - Accent6 2 2 5 5 3" xfId="13921"/>
    <cellStyle name="40% - Accent6 2 2 5 5 4" xfId="18180"/>
    <cellStyle name="40% - Accent6 2 2 5 5 5" xfId="22399"/>
    <cellStyle name="40% - Accent6 2 2 5 5 6" xfId="26594"/>
    <cellStyle name="40% - Accent6 2 2 5 5 7" xfId="30490"/>
    <cellStyle name="40% - Accent6 2 2 5 6" xfId="6018"/>
    <cellStyle name="40% - Accent6 2 2 5 6 2" xfId="10990"/>
    <cellStyle name="40% - Accent6 2 2 5 6 3" xfId="15268"/>
    <cellStyle name="40% - Accent6 2 2 5 6 4" xfId="19525"/>
    <cellStyle name="40% - Accent6 2 2 5 6 5" xfId="23742"/>
    <cellStyle name="40% - Accent6 2 2 5 6 6" xfId="27928"/>
    <cellStyle name="40% - Accent6 2 2 5 6 7" xfId="31807"/>
    <cellStyle name="40% - Accent6 2 2 5 7" xfId="6936"/>
    <cellStyle name="40% - Accent6 2 2 5 8" xfId="9179"/>
    <cellStyle name="40% - Accent6 2 2 5 9" xfId="13459"/>
    <cellStyle name="40% - Accent6 2 2 6" xfId="967"/>
    <cellStyle name="40% - Accent6 2 2 6 10" xfId="2950"/>
    <cellStyle name="40% - Accent6 2 2 6 2" xfId="3796"/>
    <cellStyle name="40% - Accent6 2 2 6 2 2" xfId="8772"/>
    <cellStyle name="40% - Accent6 2 2 6 2 3" xfId="13057"/>
    <cellStyle name="40% - Accent6 2 2 6 2 4" xfId="17329"/>
    <cellStyle name="40% - Accent6 2 2 6 2 5" xfId="21564"/>
    <cellStyle name="40% - Accent6 2 2 6 2 6" xfId="25802"/>
    <cellStyle name="40% - Accent6 2 2 6 2 7" xfId="29880"/>
    <cellStyle name="40% - Accent6 2 2 6 3" xfId="4998"/>
    <cellStyle name="40% - Accent6 2 2 6 3 2" xfId="9972"/>
    <cellStyle name="40% - Accent6 2 2 6 3 3" xfId="14249"/>
    <cellStyle name="40% - Accent6 2 2 6 3 4" xfId="18508"/>
    <cellStyle name="40% - Accent6 2 2 6 3 5" xfId="22727"/>
    <cellStyle name="40% - Accent6 2 2 6 3 6" xfId="26922"/>
    <cellStyle name="40% - Accent6 2 2 6 3 7" xfId="30818"/>
    <cellStyle name="40% - Accent6 2 2 6 4" xfId="7927"/>
    <cellStyle name="40% - Accent6 2 2 6 5" xfId="12216"/>
    <cellStyle name="40% - Accent6 2 2 6 6" xfId="16492"/>
    <cellStyle name="40% - Accent6 2 2 6 7" xfId="20731"/>
    <cellStyle name="40% - Accent6 2 2 6 8" xfId="24979"/>
    <cellStyle name="40% - Accent6 2 2 6 9" xfId="29073"/>
    <cellStyle name="40% - Accent6 2 2 7" xfId="3210"/>
    <cellStyle name="40% - Accent6 2 2 7 2" xfId="8186"/>
    <cellStyle name="40% - Accent6 2 2 7 3" xfId="12472"/>
    <cellStyle name="40% - Accent6 2 2 7 4" xfId="16746"/>
    <cellStyle name="40% - Accent6 2 2 7 5" xfId="20982"/>
    <cellStyle name="40% - Accent6 2 2 7 6" xfId="25222"/>
    <cellStyle name="40% - Accent6 2 2 7 7" xfId="29303"/>
    <cellStyle name="40% - Accent6 2 2 8" xfId="2307"/>
    <cellStyle name="40% - Accent6 2 2 8 2" xfId="7285"/>
    <cellStyle name="40% - Accent6 2 2 8 3" xfId="11575"/>
    <cellStyle name="40% - Accent6 2 2 8 4" xfId="15853"/>
    <cellStyle name="40% - Accent6 2 2 8 5" xfId="20106"/>
    <cellStyle name="40% - Accent6 2 2 8 6" xfId="24357"/>
    <cellStyle name="40% - Accent6 2 2 8 7" xfId="28494"/>
    <cellStyle name="40% - Accent6 2 2 9" xfId="4335"/>
    <cellStyle name="40% - Accent6 2 2 9 2" xfId="9309"/>
    <cellStyle name="40% - Accent6 2 2 9 3" xfId="13586"/>
    <cellStyle name="40% - Accent6 2 2 9 4" xfId="17846"/>
    <cellStyle name="40% - Accent6 2 2 9 5" xfId="22065"/>
    <cellStyle name="40% - Accent6 2 2 9 6" xfId="26263"/>
    <cellStyle name="40% - Accent6 2 2 9 7" xfId="30160"/>
    <cellStyle name="40% - Accent6 2 3" xfId="245"/>
    <cellStyle name="40% - Accent6 2 3 10" xfId="11553"/>
    <cellStyle name="40% - Accent6 2 3 11" xfId="15831"/>
    <cellStyle name="40% - Accent6 2 3 12" xfId="21842"/>
    <cellStyle name="40% - Accent6 2 3 13" xfId="24336"/>
    <cellStyle name="40% - Accent6 2 3 14" xfId="1649"/>
    <cellStyle name="40% - Accent6 2 3 2" xfId="456"/>
    <cellStyle name="40% - Accent6 2 3 2 10" xfId="17588"/>
    <cellStyle name="40% - Accent6 2 3 2 11" xfId="6457"/>
    <cellStyle name="40% - Accent6 2 3 2 12" xfId="26041"/>
    <cellStyle name="40% - Accent6 2 3 2 13" xfId="1819"/>
    <cellStyle name="40% - Accent6 2 3 2 2" xfId="830"/>
    <cellStyle name="40% - Accent6 2 3 2 2 10" xfId="24205"/>
    <cellStyle name="40% - Accent6 2 3 2 2 11" xfId="28357"/>
    <cellStyle name="40% - Accent6 2 3 2 2 12" xfId="2149"/>
    <cellStyle name="40% - Accent6 2 3 2 2 2" xfId="1487"/>
    <cellStyle name="40% - Accent6 2 3 2 2 2 2" xfId="5518"/>
    <cellStyle name="40% - Accent6 2 3 2 2 2 2 2" xfId="10492"/>
    <cellStyle name="40% - Accent6 2 3 2 2 2 2 3" xfId="14769"/>
    <cellStyle name="40% - Accent6 2 3 2 2 2 2 4" xfId="19028"/>
    <cellStyle name="40% - Accent6 2 3 2 2 2 2 5" xfId="23247"/>
    <cellStyle name="40% - Accent6 2 3 2 2 2 2 6" xfId="27442"/>
    <cellStyle name="40% - Accent6 2 3 2 2 2 2 7" xfId="31338"/>
    <cellStyle name="40% - Accent6 2 3 2 2 2 3" xfId="8773"/>
    <cellStyle name="40% - Accent6 2 3 2 2 2 4" xfId="13058"/>
    <cellStyle name="40% - Accent6 2 3 2 2 2 5" xfId="17330"/>
    <cellStyle name="40% - Accent6 2 3 2 2 2 6" xfId="21565"/>
    <cellStyle name="40% - Accent6 2 3 2 2 2 7" xfId="25803"/>
    <cellStyle name="40% - Accent6 2 3 2 2 2 8" xfId="29881"/>
    <cellStyle name="40% - Accent6 2 3 2 2 2 9" xfId="3797"/>
    <cellStyle name="40% - Accent6 2 3 2 2 3" xfId="2951"/>
    <cellStyle name="40% - Accent6 2 3 2 2 3 2" xfId="7928"/>
    <cellStyle name="40% - Accent6 2 3 2 2 3 3" xfId="12217"/>
    <cellStyle name="40% - Accent6 2 3 2 2 3 4" xfId="16493"/>
    <cellStyle name="40% - Accent6 2 3 2 2 3 5" xfId="20732"/>
    <cellStyle name="40% - Accent6 2 3 2 2 3 6" xfId="24980"/>
    <cellStyle name="40% - Accent6 2 3 2 2 3 7" xfId="29074"/>
    <cellStyle name="40% - Accent6 2 3 2 2 4" xfId="4861"/>
    <cellStyle name="40% - Accent6 2 3 2 2 4 2" xfId="9835"/>
    <cellStyle name="40% - Accent6 2 3 2 2 4 3" xfId="14112"/>
    <cellStyle name="40% - Accent6 2 3 2 2 4 4" xfId="18371"/>
    <cellStyle name="40% - Accent6 2 3 2 2 4 5" xfId="22590"/>
    <cellStyle name="40% - Accent6 2 3 2 2 4 6" xfId="26785"/>
    <cellStyle name="40% - Accent6 2 3 2 2 4 7" xfId="30681"/>
    <cellStyle name="40% - Accent6 2 3 2 2 5" xfId="6209"/>
    <cellStyle name="40% - Accent6 2 3 2 2 5 2" xfId="11181"/>
    <cellStyle name="40% - Accent6 2 3 2 2 5 3" xfId="15459"/>
    <cellStyle name="40% - Accent6 2 3 2 2 5 4" xfId="19716"/>
    <cellStyle name="40% - Accent6 2 3 2 2 5 5" xfId="23933"/>
    <cellStyle name="40% - Accent6 2 3 2 2 5 6" xfId="28119"/>
    <cellStyle name="40% - Accent6 2 3 2 2 5 7" xfId="31998"/>
    <cellStyle name="40% - Accent6 2 3 2 2 6" xfId="7127"/>
    <cellStyle name="40% - Accent6 2 3 2 2 7" xfId="11419"/>
    <cellStyle name="40% - Accent6 2 3 2 2 8" xfId="15697"/>
    <cellStyle name="40% - Accent6 2 3 2 2 9" xfId="19954"/>
    <cellStyle name="40% - Accent6 2 3 2 3" xfId="1158"/>
    <cellStyle name="40% - Accent6 2 3 2 3 2" xfId="5189"/>
    <cellStyle name="40% - Accent6 2 3 2 3 2 2" xfId="10163"/>
    <cellStyle name="40% - Accent6 2 3 2 3 2 3" xfId="14440"/>
    <cellStyle name="40% - Accent6 2 3 2 3 2 4" xfId="18699"/>
    <cellStyle name="40% - Accent6 2 3 2 3 2 5" xfId="22918"/>
    <cellStyle name="40% - Accent6 2 3 2 3 2 6" xfId="27113"/>
    <cellStyle name="40% - Accent6 2 3 2 3 2 7" xfId="31009"/>
    <cellStyle name="40% - Accent6 2 3 2 3 3" xfId="8384"/>
    <cellStyle name="40% - Accent6 2 3 2 3 4" xfId="12669"/>
    <cellStyle name="40% - Accent6 2 3 2 3 5" xfId="16941"/>
    <cellStyle name="40% - Accent6 2 3 2 3 6" xfId="21176"/>
    <cellStyle name="40% - Accent6 2 3 2 3 7" xfId="25414"/>
    <cellStyle name="40% - Accent6 2 3 2 3 8" xfId="29492"/>
    <cellStyle name="40% - Accent6 2 3 2 3 9" xfId="3408"/>
    <cellStyle name="40% - Accent6 2 3 2 4" xfId="2547"/>
    <cellStyle name="40% - Accent6 2 3 2 4 2" xfId="7524"/>
    <cellStyle name="40% - Accent6 2 3 2 4 3" xfId="11813"/>
    <cellStyle name="40% - Accent6 2 3 2 4 4" xfId="16091"/>
    <cellStyle name="40% - Accent6 2 3 2 4 5" xfId="20334"/>
    <cellStyle name="40% - Accent6 2 3 2 4 6" xfId="24580"/>
    <cellStyle name="40% - Accent6 2 3 2 4 7" xfId="28685"/>
    <cellStyle name="40% - Accent6 2 3 2 5" xfId="4531"/>
    <cellStyle name="40% - Accent6 2 3 2 5 2" xfId="9505"/>
    <cellStyle name="40% - Accent6 2 3 2 5 3" xfId="13782"/>
    <cellStyle name="40% - Accent6 2 3 2 5 4" xfId="18042"/>
    <cellStyle name="40% - Accent6 2 3 2 5 5" xfId="22260"/>
    <cellStyle name="40% - Accent6 2 3 2 5 6" xfId="26456"/>
    <cellStyle name="40% - Accent6 2 3 2 5 7" xfId="30352"/>
    <cellStyle name="40% - Accent6 2 3 2 6" xfId="5880"/>
    <cellStyle name="40% - Accent6 2 3 2 6 2" xfId="10852"/>
    <cellStyle name="40% - Accent6 2 3 2 6 3" xfId="15130"/>
    <cellStyle name="40% - Accent6 2 3 2 6 4" xfId="19387"/>
    <cellStyle name="40% - Accent6 2 3 2 6 5" xfId="23604"/>
    <cellStyle name="40% - Accent6 2 3 2 6 6" xfId="27790"/>
    <cellStyle name="40% - Accent6 2 3 2 6 7" xfId="31669"/>
    <cellStyle name="40% - Accent6 2 3 2 7" xfId="6754"/>
    <cellStyle name="40% - Accent6 2 3 2 8" xfId="9032"/>
    <cellStyle name="40% - Accent6 2 3 2 9" xfId="13315"/>
    <cellStyle name="40% - Accent6 2 3 3" xfId="663"/>
    <cellStyle name="40% - Accent6 2 3 3 10" xfId="24038"/>
    <cellStyle name="40% - Accent6 2 3 3 11" xfId="24740"/>
    <cellStyle name="40% - Accent6 2 3 3 12" xfId="1982"/>
    <cellStyle name="40% - Accent6 2 3 3 2" xfId="1320"/>
    <cellStyle name="40% - Accent6 2 3 3 2 2" xfId="5351"/>
    <cellStyle name="40% - Accent6 2 3 3 2 2 2" xfId="10325"/>
    <cellStyle name="40% - Accent6 2 3 3 2 2 3" xfId="14602"/>
    <cellStyle name="40% - Accent6 2 3 3 2 2 4" xfId="18861"/>
    <cellStyle name="40% - Accent6 2 3 3 2 2 5" xfId="23080"/>
    <cellStyle name="40% - Accent6 2 3 3 2 2 6" xfId="27275"/>
    <cellStyle name="40% - Accent6 2 3 3 2 2 7" xfId="31171"/>
    <cellStyle name="40% - Accent6 2 3 3 2 3" xfId="8774"/>
    <cellStyle name="40% - Accent6 2 3 3 2 4" xfId="13059"/>
    <cellStyle name="40% - Accent6 2 3 3 2 5" xfId="17331"/>
    <cellStyle name="40% - Accent6 2 3 3 2 6" xfId="21566"/>
    <cellStyle name="40% - Accent6 2 3 3 2 7" xfId="25804"/>
    <cellStyle name="40% - Accent6 2 3 3 2 8" xfId="29882"/>
    <cellStyle name="40% - Accent6 2 3 3 2 9" xfId="3798"/>
    <cellStyle name="40% - Accent6 2 3 3 3" xfId="2952"/>
    <cellStyle name="40% - Accent6 2 3 3 3 2" xfId="7929"/>
    <cellStyle name="40% - Accent6 2 3 3 3 3" xfId="12218"/>
    <cellStyle name="40% - Accent6 2 3 3 3 4" xfId="16494"/>
    <cellStyle name="40% - Accent6 2 3 3 3 5" xfId="20733"/>
    <cellStyle name="40% - Accent6 2 3 3 3 6" xfId="24981"/>
    <cellStyle name="40% - Accent6 2 3 3 3 7" xfId="29075"/>
    <cellStyle name="40% - Accent6 2 3 3 4" xfId="4694"/>
    <cellStyle name="40% - Accent6 2 3 3 4 2" xfId="9668"/>
    <cellStyle name="40% - Accent6 2 3 3 4 3" xfId="13945"/>
    <cellStyle name="40% - Accent6 2 3 3 4 4" xfId="18204"/>
    <cellStyle name="40% - Accent6 2 3 3 4 5" xfId="22423"/>
    <cellStyle name="40% - Accent6 2 3 3 4 6" xfId="26618"/>
    <cellStyle name="40% - Accent6 2 3 3 4 7" xfId="30514"/>
    <cellStyle name="40% - Accent6 2 3 3 5" xfId="6042"/>
    <cellStyle name="40% - Accent6 2 3 3 5 2" xfId="11014"/>
    <cellStyle name="40% - Accent6 2 3 3 5 3" xfId="15292"/>
    <cellStyle name="40% - Accent6 2 3 3 5 4" xfId="19549"/>
    <cellStyle name="40% - Accent6 2 3 3 5 5" xfId="23766"/>
    <cellStyle name="40% - Accent6 2 3 3 5 6" xfId="27952"/>
    <cellStyle name="40% - Accent6 2 3 3 5 7" xfId="31831"/>
    <cellStyle name="40% - Accent6 2 3 3 6" xfId="6960"/>
    <cellStyle name="40% - Accent6 2 3 3 7" xfId="7686"/>
    <cellStyle name="40% - Accent6 2 3 3 8" xfId="11975"/>
    <cellStyle name="40% - Accent6 2 3 3 9" xfId="16251"/>
    <cellStyle name="40% - Accent6 2 3 4" xfId="991"/>
    <cellStyle name="40% - Accent6 2 3 4 2" xfId="5022"/>
    <cellStyle name="40% - Accent6 2 3 4 2 2" xfId="9996"/>
    <cellStyle name="40% - Accent6 2 3 4 2 3" xfId="14273"/>
    <cellStyle name="40% - Accent6 2 3 4 2 4" xfId="18532"/>
    <cellStyle name="40% - Accent6 2 3 4 2 5" xfId="22751"/>
    <cellStyle name="40% - Accent6 2 3 4 2 6" xfId="26946"/>
    <cellStyle name="40% - Accent6 2 3 4 2 7" xfId="30842"/>
    <cellStyle name="40% - Accent6 2 3 4 3" xfId="8229"/>
    <cellStyle name="40% - Accent6 2 3 4 4" xfId="12514"/>
    <cellStyle name="40% - Accent6 2 3 4 5" xfId="16787"/>
    <cellStyle name="40% - Accent6 2 3 4 6" xfId="21024"/>
    <cellStyle name="40% - Accent6 2 3 4 7" xfId="25261"/>
    <cellStyle name="40% - Accent6 2 3 4 8" xfId="29340"/>
    <cellStyle name="40% - Accent6 2 3 4 9" xfId="3253"/>
    <cellStyle name="40% - Accent6 2 3 5" xfId="2368"/>
    <cellStyle name="40% - Accent6 2 3 5 2" xfId="7346"/>
    <cellStyle name="40% - Accent6 2 3 5 3" xfId="11635"/>
    <cellStyle name="40% - Accent6 2 3 5 4" xfId="15914"/>
    <cellStyle name="40% - Accent6 2 3 5 5" xfId="20163"/>
    <cellStyle name="40% - Accent6 2 3 5 6" xfId="24411"/>
    <cellStyle name="40% - Accent6 2 3 5 7" xfId="28532"/>
    <cellStyle name="40% - Accent6 2 3 6" xfId="4363"/>
    <cellStyle name="40% - Accent6 2 3 6 2" xfId="9337"/>
    <cellStyle name="40% - Accent6 2 3 6 3" xfId="13614"/>
    <cellStyle name="40% - Accent6 2 3 6 4" xfId="17874"/>
    <cellStyle name="40% - Accent6 2 3 6 5" xfId="22093"/>
    <cellStyle name="40% - Accent6 2 3 6 6" xfId="26289"/>
    <cellStyle name="40% - Accent6 2 3 6 7" xfId="30185"/>
    <cellStyle name="40% - Accent6 2 3 7" xfId="5713"/>
    <cellStyle name="40% - Accent6 2 3 7 2" xfId="10685"/>
    <cellStyle name="40% - Accent6 2 3 7 3" xfId="14963"/>
    <cellStyle name="40% - Accent6 2 3 7 4" xfId="19220"/>
    <cellStyle name="40% - Accent6 2 3 7 5" xfId="23437"/>
    <cellStyle name="40% - Accent6 2 3 7 6" xfId="27623"/>
    <cellStyle name="40% - Accent6 2 3 7 7" xfId="31502"/>
    <cellStyle name="40% - Accent6 2 3 8" xfId="6543"/>
    <cellStyle name="40% - Accent6 2 3 9" xfId="7263"/>
    <cellStyle name="40% - Accent6 2 4" xfId="390"/>
    <cellStyle name="40% - Accent6 2 4 10" xfId="13332"/>
    <cellStyle name="40% - Accent6 2 4 11" xfId="17604"/>
    <cellStyle name="40% - Accent6 2 4 12" xfId="21854"/>
    <cellStyle name="40% - Accent6 2 4 13" xfId="26056"/>
    <cellStyle name="40% - Accent6 2 4 14" xfId="1753"/>
    <cellStyle name="40% - Accent6 2 4 2" xfId="764"/>
    <cellStyle name="40% - Accent6 2 4 2 10" xfId="24139"/>
    <cellStyle name="40% - Accent6 2 4 2 11" xfId="28291"/>
    <cellStyle name="40% - Accent6 2 4 2 12" xfId="2083"/>
    <cellStyle name="40% - Accent6 2 4 2 2" xfId="1421"/>
    <cellStyle name="40% - Accent6 2 4 2 2 2" xfId="5452"/>
    <cellStyle name="40% - Accent6 2 4 2 2 2 2" xfId="10426"/>
    <cellStyle name="40% - Accent6 2 4 2 2 2 3" xfId="14703"/>
    <cellStyle name="40% - Accent6 2 4 2 2 2 4" xfId="18962"/>
    <cellStyle name="40% - Accent6 2 4 2 2 2 5" xfId="23181"/>
    <cellStyle name="40% - Accent6 2 4 2 2 2 6" xfId="27376"/>
    <cellStyle name="40% - Accent6 2 4 2 2 2 7" xfId="31272"/>
    <cellStyle name="40% - Accent6 2 4 2 2 3" xfId="8775"/>
    <cellStyle name="40% - Accent6 2 4 2 2 4" xfId="13060"/>
    <cellStyle name="40% - Accent6 2 4 2 2 5" xfId="17332"/>
    <cellStyle name="40% - Accent6 2 4 2 2 6" xfId="21567"/>
    <cellStyle name="40% - Accent6 2 4 2 2 7" xfId="25805"/>
    <cellStyle name="40% - Accent6 2 4 2 2 8" xfId="29883"/>
    <cellStyle name="40% - Accent6 2 4 2 2 9" xfId="3799"/>
    <cellStyle name="40% - Accent6 2 4 2 3" xfId="2953"/>
    <cellStyle name="40% - Accent6 2 4 2 3 2" xfId="7930"/>
    <cellStyle name="40% - Accent6 2 4 2 3 3" xfId="12219"/>
    <cellStyle name="40% - Accent6 2 4 2 3 4" xfId="16495"/>
    <cellStyle name="40% - Accent6 2 4 2 3 5" xfId="20734"/>
    <cellStyle name="40% - Accent6 2 4 2 3 6" xfId="24982"/>
    <cellStyle name="40% - Accent6 2 4 2 3 7" xfId="29076"/>
    <cellStyle name="40% - Accent6 2 4 2 4" xfId="4795"/>
    <cellStyle name="40% - Accent6 2 4 2 4 2" xfId="9769"/>
    <cellStyle name="40% - Accent6 2 4 2 4 3" xfId="14046"/>
    <cellStyle name="40% - Accent6 2 4 2 4 4" xfId="18305"/>
    <cellStyle name="40% - Accent6 2 4 2 4 5" xfId="22524"/>
    <cellStyle name="40% - Accent6 2 4 2 4 6" xfId="26719"/>
    <cellStyle name="40% - Accent6 2 4 2 4 7" xfId="30615"/>
    <cellStyle name="40% - Accent6 2 4 2 5" xfId="6143"/>
    <cellStyle name="40% - Accent6 2 4 2 5 2" xfId="11115"/>
    <cellStyle name="40% - Accent6 2 4 2 5 3" xfId="15393"/>
    <cellStyle name="40% - Accent6 2 4 2 5 4" xfId="19650"/>
    <cellStyle name="40% - Accent6 2 4 2 5 5" xfId="23867"/>
    <cellStyle name="40% - Accent6 2 4 2 5 6" xfId="28053"/>
    <cellStyle name="40% - Accent6 2 4 2 5 7" xfId="31932"/>
    <cellStyle name="40% - Accent6 2 4 2 6" xfId="7061"/>
    <cellStyle name="40% - Accent6 2 4 2 7" xfId="11353"/>
    <cellStyle name="40% - Accent6 2 4 2 8" xfId="15631"/>
    <cellStyle name="40% - Accent6 2 4 2 9" xfId="19888"/>
    <cellStyle name="40% - Accent6 2 4 3" xfId="1092"/>
    <cellStyle name="40% - Accent6 2 4 3 2" xfId="5123"/>
    <cellStyle name="40% - Accent6 2 4 3 2 2" xfId="10097"/>
    <cellStyle name="40% - Accent6 2 4 3 2 3" xfId="14374"/>
    <cellStyle name="40% - Accent6 2 4 3 2 4" xfId="18633"/>
    <cellStyle name="40% - Accent6 2 4 3 2 5" xfId="22852"/>
    <cellStyle name="40% - Accent6 2 4 3 2 6" xfId="27047"/>
    <cellStyle name="40% - Accent6 2 4 3 2 7" xfId="30943"/>
    <cellStyle name="40% - Accent6 2 4 3 3" xfId="8318"/>
    <cellStyle name="40% - Accent6 2 4 3 4" xfId="12603"/>
    <cellStyle name="40% - Accent6 2 4 3 5" xfId="16875"/>
    <cellStyle name="40% - Accent6 2 4 3 6" xfId="21110"/>
    <cellStyle name="40% - Accent6 2 4 3 7" xfId="25348"/>
    <cellStyle name="40% - Accent6 2 4 3 8" xfId="29426"/>
    <cellStyle name="40% - Accent6 2 4 3 9" xfId="3342"/>
    <cellStyle name="40% - Accent6 2 4 4" xfId="2481"/>
    <cellStyle name="40% - Accent6 2 4 4 2" xfId="7458"/>
    <cellStyle name="40% - Accent6 2 4 4 3" xfId="11747"/>
    <cellStyle name="40% - Accent6 2 4 4 4" xfId="16025"/>
    <cellStyle name="40% - Accent6 2 4 4 5" xfId="20268"/>
    <cellStyle name="40% - Accent6 2 4 4 6" xfId="24514"/>
    <cellStyle name="40% - Accent6 2 4 4 7" xfId="28619"/>
    <cellStyle name="40% - Accent6 2 4 5" xfId="4164"/>
    <cellStyle name="40% - Accent6 2 4 6" xfId="4465"/>
    <cellStyle name="40% - Accent6 2 4 6 2" xfId="9439"/>
    <cellStyle name="40% - Accent6 2 4 6 3" xfId="13716"/>
    <cellStyle name="40% - Accent6 2 4 6 4" xfId="17976"/>
    <cellStyle name="40% - Accent6 2 4 6 5" xfId="22194"/>
    <cellStyle name="40% - Accent6 2 4 6 6" xfId="26390"/>
    <cellStyle name="40% - Accent6 2 4 6 7" xfId="30286"/>
    <cellStyle name="40% - Accent6 2 4 7" xfId="5814"/>
    <cellStyle name="40% - Accent6 2 4 7 2" xfId="10786"/>
    <cellStyle name="40% - Accent6 2 4 7 3" xfId="15064"/>
    <cellStyle name="40% - Accent6 2 4 7 4" xfId="19321"/>
    <cellStyle name="40% - Accent6 2 4 7 5" xfId="23538"/>
    <cellStyle name="40% - Accent6 2 4 7 6" xfId="27724"/>
    <cellStyle name="40% - Accent6 2 4 7 7" xfId="31603"/>
    <cellStyle name="40% - Accent6 2 4 8" xfId="6688"/>
    <cellStyle name="40% - Accent6 2 4 9" xfId="9049"/>
    <cellStyle name="40% - Accent6 2 5" xfId="505"/>
    <cellStyle name="40% - Accent6 2 5 10" xfId="9030"/>
    <cellStyle name="40% - Accent6 2 5 11" xfId="14881"/>
    <cellStyle name="40% - Accent6 2 5 12" xfId="16672"/>
    <cellStyle name="40% - Accent6 2 5 13" xfId="1868"/>
    <cellStyle name="40% - Accent6 2 5 2" xfId="879"/>
    <cellStyle name="40% - Accent6 2 5 2 10" xfId="24254"/>
    <cellStyle name="40% - Accent6 2 5 2 11" xfId="28406"/>
    <cellStyle name="40% - Accent6 2 5 2 12" xfId="2198"/>
    <cellStyle name="40% - Accent6 2 5 2 2" xfId="1536"/>
    <cellStyle name="40% - Accent6 2 5 2 2 2" xfId="5567"/>
    <cellStyle name="40% - Accent6 2 5 2 2 2 2" xfId="10541"/>
    <cellStyle name="40% - Accent6 2 5 2 2 2 3" xfId="14818"/>
    <cellStyle name="40% - Accent6 2 5 2 2 2 4" xfId="19077"/>
    <cellStyle name="40% - Accent6 2 5 2 2 2 5" xfId="23296"/>
    <cellStyle name="40% - Accent6 2 5 2 2 2 6" xfId="27491"/>
    <cellStyle name="40% - Accent6 2 5 2 2 2 7" xfId="31387"/>
    <cellStyle name="40% - Accent6 2 5 2 2 3" xfId="8776"/>
    <cellStyle name="40% - Accent6 2 5 2 2 4" xfId="13061"/>
    <cellStyle name="40% - Accent6 2 5 2 2 5" xfId="17333"/>
    <cellStyle name="40% - Accent6 2 5 2 2 6" xfId="21568"/>
    <cellStyle name="40% - Accent6 2 5 2 2 7" xfId="25806"/>
    <cellStyle name="40% - Accent6 2 5 2 2 8" xfId="29884"/>
    <cellStyle name="40% - Accent6 2 5 2 2 9" xfId="3800"/>
    <cellStyle name="40% - Accent6 2 5 2 3" xfId="2954"/>
    <cellStyle name="40% - Accent6 2 5 2 3 2" xfId="7931"/>
    <cellStyle name="40% - Accent6 2 5 2 3 3" xfId="12220"/>
    <cellStyle name="40% - Accent6 2 5 2 3 4" xfId="16496"/>
    <cellStyle name="40% - Accent6 2 5 2 3 5" xfId="20735"/>
    <cellStyle name="40% - Accent6 2 5 2 3 6" xfId="24983"/>
    <cellStyle name="40% - Accent6 2 5 2 3 7" xfId="29077"/>
    <cellStyle name="40% - Accent6 2 5 2 4" xfId="4910"/>
    <cellStyle name="40% - Accent6 2 5 2 4 2" xfId="9884"/>
    <cellStyle name="40% - Accent6 2 5 2 4 3" xfId="14161"/>
    <cellStyle name="40% - Accent6 2 5 2 4 4" xfId="18420"/>
    <cellStyle name="40% - Accent6 2 5 2 4 5" xfId="22639"/>
    <cellStyle name="40% - Accent6 2 5 2 4 6" xfId="26834"/>
    <cellStyle name="40% - Accent6 2 5 2 4 7" xfId="30730"/>
    <cellStyle name="40% - Accent6 2 5 2 5" xfId="6258"/>
    <cellStyle name="40% - Accent6 2 5 2 5 2" xfId="11230"/>
    <cellStyle name="40% - Accent6 2 5 2 5 3" xfId="15508"/>
    <cellStyle name="40% - Accent6 2 5 2 5 4" xfId="19765"/>
    <cellStyle name="40% - Accent6 2 5 2 5 5" xfId="23982"/>
    <cellStyle name="40% - Accent6 2 5 2 5 6" xfId="28168"/>
    <cellStyle name="40% - Accent6 2 5 2 5 7" xfId="32047"/>
    <cellStyle name="40% - Accent6 2 5 2 6" xfId="7176"/>
    <cellStyle name="40% - Accent6 2 5 2 7" xfId="11468"/>
    <cellStyle name="40% - Accent6 2 5 2 8" xfId="15746"/>
    <cellStyle name="40% - Accent6 2 5 2 9" xfId="20003"/>
    <cellStyle name="40% - Accent6 2 5 3" xfId="1207"/>
    <cellStyle name="40% - Accent6 2 5 3 2" xfId="5238"/>
    <cellStyle name="40% - Accent6 2 5 3 2 2" xfId="10212"/>
    <cellStyle name="40% - Accent6 2 5 3 2 3" xfId="14489"/>
    <cellStyle name="40% - Accent6 2 5 3 2 4" xfId="18748"/>
    <cellStyle name="40% - Accent6 2 5 3 2 5" xfId="22967"/>
    <cellStyle name="40% - Accent6 2 5 3 2 6" xfId="27162"/>
    <cellStyle name="40% - Accent6 2 5 3 2 7" xfId="31058"/>
    <cellStyle name="40% - Accent6 2 5 3 3" xfId="8448"/>
    <cellStyle name="40% - Accent6 2 5 3 4" xfId="12733"/>
    <cellStyle name="40% - Accent6 2 5 3 5" xfId="17005"/>
    <cellStyle name="40% - Accent6 2 5 3 6" xfId="21240"/>
    <cellStyle name="40% - Accent6 2 5 3 7" xfId="25478"/>
    <cellStyle name="40% - Accent6 2 5 3 8" xfId="29556"/>
    <cellStyle name="40% - Accent6 2 5 3 9" xfId="3472"/>
    <cellStyle name="40% - Accent6 2 5 4" xfId="2614"/>
    <cellStyle name="40% - Accent6 2 5 4 2" xfId="7591"/>
    <cellStyle name="40% - Accent6 2 5 4 3" xfId="11880"/>
    <cellStyle name="40% - Accent6 2 5 4 4" xfId="16156"/>
    <cellStyle name="40% - Accent6 2 5 4 5" xfId="20399"/>
    <cellStyle name="40% - Accent6 2 5 4 6" xfId="24645"/>
    <cellStyle name="40% - Accent6 2 5 4 7" xfId="28749"/>
    <cellStyle name="40% - Accent6 2 5 5" xfId="4580"/>
    <cellStyle name="40% - Accent6 2 5 5 2" xfId="9554"/>
    <cellStyle name="40% - Accent6 2 5 5 3" xfId="13831"/>
    <cellStyle name="40% - Accent6 2 5 5 4" xfId="18091"/>
    <cellStyle name="40% - Accent6 2 5 5 5" xfId="22309"/>
    <cellStyle name="40% - Accent6 2 5 5 6" xfId="26505"/>
    <cellStyle name="40% - Accent6 2 5 5 7" xfId="30401"/>
    <cellStyle name="40% - Accent6 2 5 6" xfId="5929"/>
    <cellStyle name="40% - Accent6 2 5 6 2" xfId="10901"/>
    <cellStyle name="40% - Accent6 2 5 6 3" xfId="15179"/>
    <cellStyle name="40% - Accent6 2 5 6 4" xfId="19436"/>
    <cellStyle name="40% - Accent6 2 5 6 5" xfId="23653"/>
    <cellStyle name="40% - Accent6 2 5 6 6" xfId="27839"/>
    <cellStyle name="40% - Accent6 2 5 6 7" xfId="31718"/>
    <cellStyle name="40% - Accent6 2 5 7" xfId="6803"/>
    <cellStyle name="40% - Accent6 2 5 8" xfId="6441"/>
    <cellStyle name="40% - Accent6 2 5 9" xfId="6342"/>
    <cellStyle name="40% - Accent6 2 6" xfId="606"/>
    <cellStyle name="40% - Accent6 2 6 10" xfId="15983"/>
    <cellStyle name="40% - Accent6 2 6 11" xfId="16569"/>
    <cellStyle name="40% - Accent6 2 6 12" xfId="24473"/>
    <cellStyle name="40% - Accent6 2 6 13" xfId="1925"/>
    <cellStyle name="40% - Accent6 2 6 2" xfId="1263"/>
    <cellStyle name="40% - Accent6 2 6 2 10" xfId="2956"/>
    <cellStyle name="40% - Accent6 2 6 2 2" xfId="3802"/>
    <cellStyle name="40% - Accent6 2 6 2 2 2" xfId="8778"/>
    <cellStyle name="40% - Accent6 2 6 2 2 3" xfId="13063"/>
    <cellStyle name="40% - Accent6 2 6 2 2 4" xfId="17335"/>
    <cellStyle name="40% - Accent6 2 6 2 2 5" xfId="21570"/>
    <cellStyle name="40% - Accent6 2 6 2 2 6" xfId="25808"/>
    <cellStyle name="40% - Accent6 2 6 2 2 7" xfId="29886"/>
    <cellStyle name="40% - Accent6 2 6 2 3" xfId="5294"/>
    <cellStyle name="40% - Accent6 2 6 2 3 2" xfId="10268"/>
    <cellStyle name="40% - Accent6 2 6 2 3 3" xfId="14545"/>
    <cellStyle name="40% - Accent6 2 6 2 3 4" xfId="18804"/>
    <cellStyle name="40% - Accent6 2 6 2 3 5" xfId="23023"/>
    <cellStyle name="40% - Accent6 2 6 2 3 6" xfId="27218"/>
    <cellStyle name="40% - Accent6 2 6 2 3 7" xfId="31114"/>
    <cellStyle name="40% - Accent6 2 6 2 4" xfId="7933"/>
    <cellStyle name="40% - Accent6 2 6 2 5" xfId="12222"/>
    <cellStyle name="40% - Accent6 2 6 2 6" xfId="16498"/>
    <cellStyle name="40% - Accent6 2 6 2 7" xfId="20737"/>
    <cellStyle name="40% - Accent6 2 6 2 8" xfId="24985"/>
    <cellStyle name="40% - Accent6 2 6 2 9" xfId="29079"/>
    <cellStyle name="40% - Accent6 2 6 3" xfId="3801"/>
    <cellStyle name="40% - Accent6 2 6 3 2" xfId="8777"/>
    <cellStyle name="40% - Accent6 2 6 3 3" xfId="13062"/>
    <cellStyle name="40% - Accent6 2 6 3 4" xfId="17334"/>
    <cellStyle name="40% - Accent6 2 6 3 5" xfId="21569"/>
    <cellStyle name="40% - Accent6 2 6 3 6" xfId="25807"/>
    <cellStyle name="40% - Accent6 2 6 3 7" xfId="29885"/>
    <cellStyle name="40% - Accent6 2 6 4" xfId="2955"/>
    <cellStyle name="40% - Accent6 2 6 4 2" xfId="7932"/>
    <cellStyle name="40% - Accent6 2 6 4 3" xfId="12221"/>
    <cellStyle name="40% - Accent6 2 6 4 4" xfId="16497"/>
    <cellStyle name="40% - Accent6 2 6 4 5" xfId="20736"/>
    <cellStyle name="40% - Accent6 2 6 4 6" xfId="24984"/>
    <cellStyle name="40% - Accent6 2 6 4 7" xfId="29078"/>
    <cellStyle name="40% - Accent6 2 6 5" xfId="4637"/>
    <cellStyle name="40% - Accent6 2 6 5 2" xfId="9611"/>
    <cellStyle name="40% - Accent6 2 6 5 3" xfId="13888"/>
    <cellStyle name="40% - Accent6 2 6 5 4" xfId="18147"/>
    <cellStyle name="40% - Accent6 2 6 5 5" xfId="22366"/>
    <cellStyle name="40% - Accent6 2 6 5 6" xfId="26561"/>
    <cellStyle name="40% - Accent6 2 6 5 7" xfId="30457"/>
    <cellStyle name="40% - Accent6 2 6 6" xfId="5985"/>
    <cellStyle name="40% - Accent6 2 6 6 2" xfId="10957"/>
    <cellStyle name="40% - Accent6 2 6 6 3" xfId="15235"/>
    <cellStyle name="40% - Accent6 2 6 6 4" xfId="19492"/>
    <cellStyle name="40% - Accent6 2 6 6 5" xfId="23709"/>
    <cellStyle name="40% - Accent6 2 6 6 6" xfId="27895"/>
    <cellStyle name="40% - Accent6 2 6 6 7" xfId="31774"/>
    <cellStyle name="40% - Accent6 2 6 7" xfId="6903"/>
    <cellStyle name="40% - Accent6 2 6 8" xfId="7416"/>
    <cellStyle name="40% - Accent6 2 6 9" xfId="11704"/>
    <cellStyle name="40% - Accent6 2 7" xfId="934"/>
    <cellStyle name="40% - Accent6 2 7 10" xfId="2957"/>
    <cellStyle name="40% - Accent6 2 7 2" xfId="3803"/>
    <cellStyle name="40% - Accent6 2 7 2 2" xfId="8779"/>
    <cellStyle name="40% - Accent6 2 7 2 3" xfId="13064"/>
    <cellStyle name="40% - Accent6 2 7 2 4" xfId="17336"/>
    <cellStyle name="40% - Accent6 2 7 2 5" xfId="21571"/>
    <cellStyle name="40% - Accent6 2 7 2 6" xfId="25809"/>
    <cellStyle name="40% - Accent6 2 7 2 7" xfId="29887"/>
    <cellStyle name="40% - Accent6 2 7 3" xfId="4965"/>
    <cellStyle name="40% - Accent6 2 7 3 2" xfId="9939"/>
    <cellStyle name="40% - Accent6 2 7 3 3" xfId="14216"/>
    <cellStyle name="40% - Accent6 2 7 3 4" xfId="18475"/>
    <cellStyle name="40% - Accent6 2 7 3 5" xfId="22694"/>
    <cellStyle name="40% - Accent6 2 7 3 6" xfId="26889"/>
    <cellStyle name="40% - Accent6 2 7 3 7" xfId="30785"/>
    <cellStyle name="40% - Accent6 2 7 4" xfId="7934"/>
    <cellStyle name="40% - Accent6 2 7 5" xfId="12223"/>
    <cellStyle name="40% - Accent6 2 7 6" xfId="16499"/>
    <cellStyle name="40% - Accent6 2 7 7" xfId="20738"/>
    <cellStyle name="40% - Accent6 2 7 8" xfId="24986"/>
    <cellStyle name="40% - Accent6 2 7 9" xfId="29080"/>
    <cellStyle name="40% - Accent6 2 8" xfId="3177"/>
    <cellStyle name="40% - Accent6 2 8 2" xfId="8153"/>
    <cellStyle name="40% - Accent6 2 8 3" xfId="12439"/>
    <cellStyle name="40% - Accent6 2 8 4" xfId="16713"/>
    <cellStyle name="40% - Accent6 2 8 5" xfId="20949"/>
    <cellStyle name="40% - Accent6 2 8 6" xfId="25189"/>
    <cellStyle name="40% - Accent6 2 8 7" xfId="29270"/>
    <cellStyle name="40% - Accent6 2 9" xfId="2263"/>
    <cellStyle name="40% - Accent6 2 9 2" xfId="7241"/>
    <cellStyle name="40% - Accent6 2 9 3" xfId="11531"/>
    <cellStyle name="40% - Accent6 2 9 4" xfId="15810"/>
    <cellStyle name="40% - Accent6 2 9 5" xfId="20065"/>
    <cellStyle name="40% - Accent6 2 9 6" xfId="24315"/>
    <cellStyle name="40% - Accent6 2 9 7" xfId="28461"/>
    <cellStyle name="40% - Accent6 3" xfId="131"/>
    <cellStyle name="40% - Accent6 3 2" xfId="4100"/>
    <cellStyle name="40% - Accent6 3 3" xfId="2977"/>
    <cellStyle name="40% - Accent6 4" xfId="117"/>
    <cellStyle name="40% - Accent6 4 10" xfId="5676"/>
    <cellStyle name="40% - Accent6 4 10 2" xfId="10648"/>
    <cellStyle name="40% - Accent6 4 10 3" xfId="14926"/>
    <cellStyle name="40% - Accent6 4 10 4" xfId="19183"/>
    <cellStyle name="40% - Accent6 4 10 5" xfId="23400"/>
    <cellStyle name="40% - Accent6 4 10 6" xfId="27586"/>
    <cellStyle name="40% - Accent6 4 10 7" xfId="31465"/>
    <cellStyle name="40% - Accent6 4 11" xfId="6417"/>
    <cellStyle name="40% - Accent6 4 12" xfId="6499"/>
    <cellStyle name="40% - Accent6 4 13" xfId="6881"/>
    <cellStyle name="40% - Accent6 4 14" xfId="7894"/>
    <cellStyle name="40% - Accent6 4 15" xfId="21797"/>
    <cellStyle name="40% - Accent6 4 16" xfId="21960"/>
    <cellStyle name="40% - Accent6 4 17" xfId="1611"/>
    <cellStyle name="40% - Accent6 4 2" xfId="308"/>
    <cellStyle name="40% - Accent6 4 2 10" xfId="13454"/>
    <cellStyle name="40% - Accent6 4 2 11" xfId="17718"/>
    <cellStyle name="40% - Accent6 4 2 12" xfId="21756"/>
    <cellStyle name="40% - Accent6 4 2 13" xfId="26148"/>
    <cellStyle name="40% - Accent6 4 2 14" xfId="1680"/>
    <cellStyle name="40% - Accent6 4 2 2" xfId="472"/>
    <cellStyle name="40% - Accent6 4 2 2 10" xfId="8137"/>
    <cellStyle name="40% - Accent6 4 2 2 11" xfId="23350"/>
    <cellStyle name="40% - Accent6 4 2 2 12" xfId="23368"/>
    <cellStyle name="40% - Accent6 4 2 2 13" xfId="1835"/>
    <cellStyle name="40% - Accent6 4 2 2 2" xfId="846"/>
    <cellStyle name="40% - Accent6 4 2 2 2 10" xfId="24221"/>
    <cellStyle name="40% - Accent6 4 2 2 2 11" xfId="28373"/>
    <cellStyle name="40% - Accent6 4 2 2 2 12" xfId="2165"/>
    <cellStyle name="40% - Accent6 4 2 2 2 2" xfId="1503"/>
    <cellStyle name="40% - Accent6 4 2 2 2 2 2" xfId="5534"/>
    <cellStyle name="40% - Accent6 4 2 2 2 2 2 2" xfId="10508"/>
    <cellStyle name="40% - Accent6 4 2 2 2 2 2 3" xfId="14785"/>
    <cellStyle name="40% - Accent6 4 2 2 2 2 2 4" xfId="19044"/>
    <cellStyle name="40% - Accent6 4 2 2 2 2 2 5" xfId="23263"/>
    <cellStyle name="40% - Accent6 4 2 2 2 2 2 6" xfId="27458"/>
    <cellStyle name="40% - Accent6 4 2 2 2 2 2 7" xfId="31354"/>
    <cellStyle name="40% - Accent6 4 2 2 2 2 3" xfId="8780"/>
    <cellStyle name="40% - Accent6 4 2 2 2 2 4" xfId="13065"/>
    <cellStyle name="40% - Accent6 4 2 2 2 2 5" xfId="17337"/>
    <cellStyle name="40% - Accent6 4 2 2 2 2 6" xfId="21572"/>
    <cellStyle name="40% - Accent6 4 2 2 2 2 7" xfId="25810"/>
    <cellStyle name="40% - Accent6 4 2 2 2 2 8" xfId="29888"/>
    <cellStyle name="40% - Accent6 4 2 2 2 2 9" xfId="3804"/>
    <cellStyle name="40% - Accent6 4 2 2 2 3" xfId="2958"/>
    <cellStyle name="40% - Accent6 4 2 2 2 3 2" xfId="7935"/>
    <cellStyle name="40% - Accent6 4 2 2 2 3 3" xfId="12224"/>
    <cellStyle name="40% - Accent6 4 2 2 2 3 4" xfId="16500"/>
    <cellStyle name="40% - Accent6 4 2 2 2 3 5" xfId="20739"/>
    <cellStyle name="40% - Accent6 4 2 2 2 3 6" xfId="24987"/>
    <cellStyle name="40% - Accent6 4 2 2 2 3 7" xfId="29081"/>
    <cellStyle name="40% - Accent6 4 2 2 2 4" xfId="4877"/>
    <cellStyle name="40% - Accent6 4 2 2 2 4 2" xfId="9851"/>
    <cellStyle name="40% - Accent6 4 2 2 2 4 3" xfId="14128"/>
    <cellStyle name="40% - Accent6 4 2 2 2 4 4" xfId="18387"/>
    <cellStyle name="40% - Accent6 4 2 2 2 4 5" xfId="22606"/>
    <cellStyle name="40% - Accent6 4 2 2 2 4 6" xfId="26801"/>
    <cellStyle name="40% - Accent6 4 2 2 2 4 7" xfId="30697"/>
    <cellStyle name="40% - Accent6 4 2 2 2 5" xfId="6225"/>
    <cellStyle name="40% - Accent6 4 2 2 2 5 2" xfId="11197"/>
    <cellStyle name="40% - Accent6 4 2 2 2 5 3" xfId="15475"/>
    <cellStyle name="40% - Accent6 4 2 2 2 5 4" xfId="19732"/>
    <cellStyle name="40% - Accent6 4 2 2 2 5 5" xfId="23949"/>
    <cellStyle name="40% - Accent6 4 2 2 2 5 6" xfId="28135"/>
    <cellStyle name="40% - Accent6 4 2 2 2 5 7" xfId="32014"/>
    <cellStyle name="40% - Accent6 4 2 2 2 6" xfId="7143"/>
    <cellStyle name="40% - Accent6 4 2 2 2 7" xfId="11435"/>
    <cellStyle name="40% - Accent6 4 2 2 2 8" xfId="15713"/>
    <cellStyle name="40% - Accent6 4 2 2 2 9" xfId="19970"/>
    <cellStyle name="40% - Accent6 4 2 2 3" xfId="1174"/>
    <cellStyle name="40% - Accent6 4 2 2 3 2" xfId="5205"/>
    <cellStyle name="40% - Accent6 4 2 2 3 2 2" xfId="10179"/>
    <cellStyle name="40% - Accent6 4 2 2 3 2 3" xfId="14456"/>
    <cellStyle name="40% - Accent6 4 2 2 3 2 4" xfId="18715"/>
    <cellStyle name="40% - Accent6 4 2 2 3 2 5" xfId="22934"/>
    <cellStyle name="40% - Accent6 4 2 2 3 2 6" xfId="27129"/>
    <cellStyle name="40% - Accent6 4 2 2 3 2 7" xfId="31025"/>
    <cellStyle name="40% - Accent6 4 2 2 3 3" xfId="8400"/>
    <cellStyle name="40% - Accent6 4 2 2 3 4" xfId="12685"/>
    <cellStyle name="40% - Accent6 4 2 2 3 5" xfId="16957"/>
    <cellStyle name="40% - Accent6 4 2 2 3 6" xfId="21192"/>
    <cellStyle name="40% - Accent6 4 2 2 3 7" xfId="25430"/>
    <cellStyle name="40% - Accent6 4 2 2 3 8" xfId="29508"/>
    <cellStyle name="40% - Accent6 4 2 2 3 9" xfId="3424"/>
    <cellStyle name="40% - Accent6 4 2 2 4" xfId="2563"/>
    <cellStyle name="40% - Accent6 4 2 2 4 2" xfId="7540"/>
    <cellStyle name="40% - Accent6 4 2 2 4 3" xfId="11829"/>
    <cellStyle name="40% - Accent6 4 2 2 4 4" xfId="16107"/>
    <cellStyle name="40% - Accent6 4 2 2 4 5" xfId="20350"/>
    <cellStyle name="40% - Accent6 4 2 2 4 6" xfId="24596"/>
    <cellStyle name="40% - Accent6 4 2 2 4 7" xfId="28701"/>
    <cellStyle name="40% - Accent6 4 2 2 5" xfId="4547"/>
    <cellStyle name="40% - Accent6 4 2 2 5 2" xfId="9521"/>
    <cellStyle name="40% - Accent6 4 2 2 5 3" xfId="13798"/>
    <cellStyle name="40% - Accent6 4 2 2 5 4" xfId="18058"/>
    <cellStyle name="40% - Accent6 4 2 2 5 5" xfId="22276"/>
    <cellStyle name="40% - Accent6 4 2 2 5 6" xfId="26472"/>
    <cellStyle name="40% - Accent6 4 2 2 5 7" xfId="30368"/>
    <cellStyle name="40% - Accent6 4 2 2 6" xfId="5896"/>
    <cellStyle name="40% - Accent6 4 2 2 6 2" xfId="10868"/>
    <cellStyle name="40% - Accent6 4 2 2 6 3" xfId="15146"/>
    <cellStyle name="40% - Accent6 4 2 2 6 4" xfId="19403"/>
    <cellStyle name="40% - Accent6 4 2 2 6 5" xfId="23620"/>
    <cellStyle name="40% - Accent6 4 2 2 6 6" xfId="27806"/>
    <cellStyle name="40% - Accent6 4 2 2 6 7" xfId="31685"/>
    <cellStyle name="40% - Accent6 4 2 2 7" xfId="6770"/>
    <cellStyle name="40% - Accent6 4 2 2 8" xfId="6327"/>
    <cellStyle name="40% - Accent6 4 2 2 9" xfId="6372"/>
    <cellStyle name="40% - Accent6 4 2 3" xfId="691"/>
    <cellStyle name="40% - Accent6 4 2 3 10" xfId="24066"/>
    <cellStyle name="40% - Accent6 4 2 3 11" xfId="28218"/>
    <cellStyle name="40% - Accent6 4 2 3 12" xfId="2010"/>
    <cellStyle name="40% - Accent6 4 2 3 2" xfId="1348"/>
    <cellStyle name="40% - Accent6 4 2 3 2 2" xfId="5379"/>
    <cellStyle name="40% - Accent6 4 2 3 2 2 2" xfId="10353"/>
    <cellStyle name="40% - Accent6 4 2 3 2 2 3" xfId="14630"/>
    <cellStyle name="40% - Accent6 4 2 3 2 2 4" xfId="18889"/>
    <cellStyle name="40% - Accent6 4 2 3 2 2 5" xfId="23108"/>
    <cellStyle name="40% - Accent6 4 2 3 2 2 6" xfId="27303"/>
    <cellStyle name="40% - Accent6 4 2 3 2 2 7" xfId="31199"/>
    <cellStyle name="40% - Accent6 4 2 3 2 3" xfId="8781"/>
    <cellStyle name="40% - Accent6 4 2 3 2 4" xfId="13066"/>
    <cellStyle name="40% - Accent6 4 2 3 2 5" xfId="17338"/>
    <cellStyle name="40% - Accent6 4 2 3 2 6" xfId="21573"/>
    <cellStyle name="40% - Accent6 4 2 3 2 7" xfId="25811"/>
    <cellStyle name="40% - Accent6 4 2 3 2 8" xfId="29889"/>
    <cellStyle name="40% - Accent6 4 2 3 2 9" xfId="3805"/>
    <cellStyle name="40% - Accent6 4 2 3 3" xfId="2959"/>
    <cellStyle name="40% - Accent6 4 2 3 3 2" xfId="7936"/>
    <cellStyle name="40% - Accent6 4 2 3 3 3" xfId="12225"/>
    <cellStyle name="40% - Accent6 4 2 3 3 4" xfId="16501"/>
    <cellStyle name="40% - Accent6 4 2 3 3 5" xfId="20740"/>
    <cellStyle name="40% - Accent6 4 2 3 3 6" xfId="24988"/>
    <cellStyle name="40% - Accent6 4 2 3 3 7" xfId="29082"/>
    <cellStyle name="40% - Accent6 4 2 3 4" xfId="4722"/>
    <cellStyle name="40% - Accent6 4 2 3 4 2" xfId="9696"/>
    <cellStyle name="40% - Accent6 4 2 3 4 3" xfId="13973"/>
    <cellStyle name="40% - Accent6 4 2 3 4 4" xfId="18232"/>
    <cellStyle name="40% - Accent6 4 2 3 4 5" xfId="22451"/>
    <cellStyle name="40% - Accent6 4 2 3 4 6" xfId="26646"/>
    <cellStyle name="40% - Accent6 4 2 3 4 7" xfId="30542"/>
    <cellStyle name="40% - Accent6 4 2 3 5" xfId="6070"/>
    <cellStyle name="40% - Accent6 4 2 3 5 2" xfId="11042"/>
    <cellStyle name="40% - Accent6 4 2 3 5 3" xfId="15320"/>
    <cellStyle name="40% - Accent6 4 2 3 5 4" xfId="19577"/>
    <cellStyle name="40% - Accent6 4 2 3 5 5" xfId="23794"/>
    <cellStyle name="40% - Accent6 4 2 3 5 6" xfId="27980"/>
    <cellStyle name="40% - Accent6 4 2 3 5 7" xfId="31859"/>
    <cellStyle name="40% - Accent6 4 2 3 6" xfId="6988"/>
    <cellStyle name="40% - Accent6 4 2 3 7" xfId="11280"/>
    <cellStyle name="40% - Accent6 4 2 3 8" xfId="15558"/>
    <cellStyle name="40% - Accent6 4 2 3 9" xfId="19815"/>
    <cellStyle name="40% - Accent6 4 2 4" xfId="1019"/>
    <cellStyle name="40% - Accent6 4 2 4 2" xfId="5050"/>
    <cellStyle name="40% - Accent6 4 2 4 2 2" xfId="10024"/>
    <cellStyle name="40% - Accent6 4 2 4 2 3" xfId="14301"/>
    <cellStyle name="40% - Accent6 4 2 4 2 4" xfId="18560"/>
    <cellStyle name="40% - Accent6 4 2 4 2 5" xfId="22779"/>
    <cellStyle name="40% - Accent6 4 2 4 2 6" xfId="26974"/>
    <cellStyle name="40% - Accent6 4 2 4 2 7" xfId="30870"/>
    <cellStyle name="40% - Accent6 4 2 4 3" xfId="8247"/>
    <cellStyle name="40% - Accent6 4 2 4 4" xfId="12532"/>
    <cellStyle name="40% - Accent6 4 2 4 5" xfId="16805"/>
    <cellStyle name="40% - Accent6 4 2 4 6" xfId="21041"/>
    <cellStyle name="40% - Accent6 4 2 4 7" xfId="25279"/>
    <cellStyle name="40% - Accent6 4 2 4 8" xfId="29357"/>
    <cellStyle name="40% - Accent6 4 2 4 9" xfId="3271"/>
    <cellStyle name="40% - Accent6 4 2 5" xfId="2387"/>
    <cellStyle name="40% - Accent6 4 2 5 2" xfId="7365"/>
    <cellStyle name="40% - Accent6 4 2 5 3" xfId="11654"/>
    <cellStyle name="40% - Accent6 4 2 5 4" xfId="15932"/>
    <cellStyle name="40% - Accent6 4 2 5 5" xfId="20181"/>
    <cellStyle name="40% - Accent6 4 2 5 6" xfId="24429"/>
    <cellStyle name="40% - Accent6 4 2 5 7" xfId="28549"/>
    <cellStyle name="40% - Accent6 4 2 6" xfId="4392"/>
    <cellStyle name="40% - Accent6 4 2 6 2" xfId="9366"/>
    <cellStyle name="40% - Accent6 4 2 6 3" xfId="13643"/>
    <cellStyle name="40% - Accent6 4 2 6 4" xfId="17903"/>
    <cellStyle name="40% - Accent6 4 2 6 5" xfId="22121"/>
    <cellStyle name="40% - Accent6 4 2 6 6" xfId="26317"/>
    <cellStyle name="40% - Accent6 4 2 6 7" xfId="30213"/>
    <cellStyle name="40% - Accent6 4 2 7" xfId="5741"/>
    <cellStyle name="40% - Accent6 4 2 7 2" xfId="10713"/>
    <cellStyle name="40% - Accent6 4 2 7 3" xfId="14991"/>
    <cellStyle name="40% - Accent6 4 2 7 4" xfId="19248"/>
    <cellStyle name="40% - Accent6 4 2 7 5" xfId="23465"/>
    <cellStyle name="40% - Accent6 4 2 7 6" xfId="27651"/>
    <cellStyle name="40% - Accent6 4 2 7 7" xfId="31530"/>
    <cellStyle name="40% - Accent6 4 2 8" xfId="6606"/>
    <cellStyle name="40% - Accent6 4 2 9" xfId="9174"/>
    <cellStyle name="40% - Accent6 4 3" xfId="410"/>
    <cellStyle name="40% - Accent6 4 3 10" xfId="17569"/>
    <cellStyle name="40% - Accent6 4 3 11" xfId="20089"/>
    <cellStyle name="40% - Accent6 4 3 12" xfId="26028"/>
    <cellStyle name="40% - Accent6 4 3 13" xfId="1773"/>
    <cellStyle name="40% - Accent6 4 3 2" xfId="784"/>
    <cellStyle name="40% - Accent6 4 3 2 10" xfId="24159"/>
    <cellStyle name="40% - Accent6 4 3 2 11" xfId="28311"/>
    <cellStyle name="40% - Accent6 4 3 2 12" xfId="2103"/>
    <cellStyle name="40% - Accent6 4 3 2 2" xfId="1441"/>
    <cellStyle name="40% - Accent6 4 3 2 2 2" xfId="5472"/>
    <cellStyle name="40% - Accent6 4 3 2 2 2 2" xfId="10446"/>
    <cellStyle name="40% - Accent6 4 3 2 2 2 3" xfId="14723"/>
    <cellStyle name="40% - Accent6 4 3 2 2 2 4" xfId="18982"/>
    <cellStyle name="40% - Accent6 4 3 2 2 2 5" xfId="23201"/>
    <cellStyle name="40% - Accent6 4 3 2 2 2 6" xfId="27396"/>
    <cellStyle name="40% - Accent6 4 3 2 2 2 7" xfId="31292"/>
    <cellStyle name="40% - Accent6 4 3 2 2 3" xfId="8782"/>
    <cellStyle name="40% - Accent6 4 3 2 2 4" xfId="13067"/>
    <cellStyle name="40% - Accent6 4 3 2 2 5" xfId="17339"/>
    <cellStyle name="40% - Accent6 4 3 2 2 6" xfId="21574"/>
    <cellStyle name="40% - Accent6 4 3 2 2 7" xfId="25812"/>
    <cellStyle name="40% - Accent6 4 3 2 2 8" xfId="29890"/>
    <cellStyle name="40% - Accent6 4 3 2 2 9" xfId="3806"/>
    <cellStyle name="40% - Accent6 4 3 2 3" xfId="2960"/>
    <cellStyle name="40% - Accent6 4 3 2 3 2" xfId="7937"/>
    <cellStyle name="40% - Accent6 4 3 2 3 3" xfId="12226"/>
    <cellStyle name="40% - Accent6 4 3 2 3 4" xfId="16502"/>
    <cellStyle name="40% - Accent6 4 3 2 3 5" xfId="20741"/>
    <cellStyle name="40% - Accent6 4 3 2 3 6" xfId="24989"/>
    <cellStyle name="40% - Accent6 4 3 2 3 7" xfId="29083"/>
    <cellStyle name="40% - Accent6 4 3 2 4" xfId="4815"/>
    <cellStyle name="40% - Accent6 4 3 2 4 2" xfId="9789"/>
    <cellStyle name="40% - Accent6 4 3 2 4 3" xfId="14066"/>
    <cellStyle name="40% - Accent6 4 3 2 4 4" xfId="18325"/>
    <cellStyle name="40% - Accent6 4 3 2 4 5" xfId="22544"/>
    <cellStyle name="40% - Accent6 4 3 2 4 6" xfId="26739"/>
    <cellStyle name="40% - Accent6 4 3 2 4 7" xfId="30635"/>
    <cellStyle name="40% - Accent6 4 3 2 5" xfId="6163"/>
    <cellStyle name="40% - Accent6 4 3 2 5 2" xfId="11135"/>
    <cellStyle name="40% - Accent6 4 3 2 5 3" xfId="15413"/>
    <cellStyle name="40% - Accent6 4 3 2 5 4" xfId="19670"/>
    <cellStyle name="40% - Accent6 4 3 2 5 5" xfId="23887"/>
    <cellStyle name="40% - Accent6 4 3 2 5 6" xfId="28073"/>
    <cellStyle name="40% - Accent6 4 3 2 5 7" xfId="31952"/>
    <cellStyle name="40% - Accent6 4 3 2 6" xfId="7081"/>
    <cellStyle name="40% - Accent6 4 3 2 7" xfId="11373"/>
    <cellStyle name="40% - Accent6 4 3 2 8" xfId="15651"/>
    <cellStyle name="40% - Accent6 4 3 2 9" xfId="19908"/>
    <cellStyle name="40% - Accent6 4 3 3" xfId="1112"/>
    <cellStyle name="40% - Accent6 4 3 3 2" xfId="5143"/>
    <cellStyle name="40% - Accent6 4 3 3 2 2" xfId="10117"/>
    <cellStyle name="40% - Accent6 4 3 3 2 3" xfId="14394"/>
    <cellStyle name="40% - Accent6 4 3 3 2 4" xfId="18653"/>
    <cellStyle name="40% - Accent6 4 3 3 2 5" xfId="22872"/>
    <cellStyle name="40% - Accent6 4 3 3 2 6" xfId="27067"/>
    <cellStyle name="40% - Accent6 4 3 3 2 7" xfId="30963"/>
    <cellStyle name="40% - Accent6 4 3 3 3" xfId="8338"/>
    <cellStyle name="40% - Accent6 4 3 3 4" xfId="12623"/>
    <cellStyle name="40% - Accent6 4 3 3 5" xfId="16895"/>
    <cellStyle name="40% - Accent6 4 3 3 6" xfId="21130"/>
    <cellStyle name="40% - Accent6 4 3 3 7" xfId="25368"/>
    <cellStyle name="40% - Accent6 4 3 3 8" xfId="29446"/>
    <cellStyle name="40% - Accent6 4 3 3 9" xfId="3362"/>
    <cellStyle name="40% - Accent6 4 3 4" xfId="2501"/>
    <cellStyle name="40% - Accent6 4 3 4 2" xfId="7478"/>
    <cellStyle name="40% - Accent6 4 3 4 3" xfId="11767"/>
    <cellStyle name="40% - Accent6 4 3 4 4" xfId="16045"/>
    <cellStyle name="40% - Accent6 4 3 4 5" xfId="20288"/>
    <cellStyle name="40% - Accent6 4 3 4 6" xfId="24534"/>
    <cellStyle name="40% - Accent6 4 3 4 7" xfId="28639"/>
    <cellStyle name="40% - Accent6 4 3 5" xfId="4485"/>
    <cellStyle name="40% - Accent6 4 3 5 2" xfId="9459"/>
    <cellStyle name="40% - Accent6 4 3 5 3" xfId="13736"/>
    <cellStyle name="40% - Accent6 4 3 5 4" xfId="17996"/>
    <cellStyle name="40% - Accent6 4 3 5 5" xfId="22214"/>
    <cellStyle name="40% - Accent6 4 3 5 6" xfId="26410"/>
    <cellStyle name="40% - Accent6 4 3 5 7" xfId="30306"/>
    <cellStyle name="40% - Accent6 4 3 6" xfId="5834"/>
    <cellStyle name="40% - Accent6 4 3 6 2" xfId="10806"/>
    <cellStyle name="40% - Accent6 4 3 6 3" xfId="15084"/>
    <cellStyle name="40% - Accent6 4 3 6 4" xfId="19341"/>
    <cellStyle name="40% - Accent6 4 3 6 5" xfId="23558"/>
    <cellStyle name="40% - Accent6 4 3 6 6" xfId="27744"/>
    <cellStyle name="40% - Accent6 4 3 6 7" xfId="31623"/>
    <cellStyle name="40% - Accent6 4 3 7" xfId="6708"/>
    <cellStyle name="40% - Accent6 4 3 8" xfId="9013"/>
    <cellStyle name="40% - Accent6 4 3 9" xfId="13295"/>
    <cellStyle name="40% - Accent6 4 4" xfId="524"/>
    <cellStyle name="40% - Accent6 4 4 10" xfId="19134"/>
    <cellStyle name="40% - Accent6 4 4 11" xfId="17696"/>
    <cellStyle name="40% - Accent6 4 4 12" xfId="27545"/>
    <cellStyle name="40% - Accent6 4 4 13" xfId="1887"/>
    <cellStyle name="40% - Accent6 4 4 2" xfId="898"/>
    <cellStyle name="40% - Accent6 4 4 2 10" xfId="24273"/>
    <cellStyle name="40% - Accent6 4 4 2 11" xfId="28425"/>
    <cellStyle name="40% - Accent6 4 4 2 12" xfId="2217"/>
    <cellStyle name="40% - Accent6 4 4 2 2" xfId="1555"/>
    <cellStyle name="40% - Accent6 4 4 2 2 2" xfId="5586"/>
    <cellStyle name="40% - Accent6 4 4 2 2 2 2" xfId="10560"/>
    <cellStyle name="40% - Accent6 4 4 2 2 2 3" xfId="14837"/>
    <cellStyle name="40% - Accent6 4 4 2 2 2 4" xfId="19096"/>
    <cellStyle name="40% - Accent6 4 4 2 2 2 5" xfId="23315"/>
    <cellStyle name="40% - Accent6 4 4 2 2 2 6" xfId="27510"/>
    <cellStyle name="40% - Accent6 4 4 2 2 2 7" xfId="31406"/>
    <cellStyle name="40% - Accent6 4 4 2 2 3" xfId="8783"/>
    <cellStyle name="40% - Accent6 4 4 2 2 4" xfId="13068"/>
    <cellStyle name="40% - Accent6 4 4 2 2 5" xfId="17340"/>
    <cellStyle name="40% - Accent6 4 4 2 2 6" xfId="21575"/>
    <cellStyle name="40% - Accent6 4 4 2 2 7" xfId="25813"/>
    <cellStyle name="40% - Accent6 4 4 2 2 8" xfId="29891"/>
    <cellStyle name="40% - Accent6 4 4 2 2 9" xfId="3807"/>
    <cellStyle name="40% - Accent6 4 4 2 3" xfId="2961"/>
    <cellStyle name="40% - Accent6 4 4 2 3 2" xfId="7938"/>
    <cellStyle name="40% - Accent6 4 4 2 3 3" xfId="12227"/>
    <cellStyle name="40% - Accent6 4 4 2 3 4" xfId="16503"/>
    <cellStyle name="40% - Accent6 4 4 2 3 5" xfId="20742"/>
    <cellStyle name="40% - Accent6 4 4 2 3 6" xfId="24990"/>
    <cellStyle name="40% - Accent6 4 4 2 3 7" xfId="29084"/>
    <cellStyle name="40% - Accent6 4 4 2 4" xfId="4929"/>
    <cellStyle name="40% - Accent6 4 4 2 4 2" xfId="9903"/>
    <cellStyle name="40% - Accent6 4 4 2 4 3" xfId="14180"/>
    <cellStyle name="40% - Accent6 4 4 2 4 4" xfId="18439"/>
    <cellStyle name="40% - Accent6 4 4 2 4 5" xfId="22658"/>
    <cellStyle name="40% - Accent6 4 4 2 4 6" xfId="26853"/>
    <cellStyle name="40% - Accent6 4 4 2 4 7" xfId="30749"/>
    <cellStyle name="40% - Accent6 4 4 2 5" xfId="6277"/>
    <cellStyle name="40% - Accent6 4 4 2 5 2" xfId="11249"/>
    <cellStyle name="40% - Accent6 4 4 2 5 3" xfId="15527"/>
    <cellStyle name="40% - Accent6 4 4 2 5 4" xfId="19784"/>
    <cellStyle name="40% - Accent6 4 4 2 5 5" xfId="24001"/>
    <cellStyle name="40% - Accent6 4 4 2 5 6" xfId="28187"/>
    <cellStyle name="40% - Accent6 4 4 2 5 7" xfId="32066"/>
    <cellStyle name="40% - Accent6 4 4 2 6" xfId="7195"/>
    <cellStyle name="40% - Accent6 4 4 2 7" xfId="11487"/>
    <cellStyle name="40% - Accent6 4 4 2 8" xfId="15765"/>
    <cellStyle name="40% - Accent6 4 4 2 9" xfId="20022"/>
    <cellStyle name="40% - Accent6 4 4 3" xfId="1226"/>
    <cellStyle name="40% - Accent6 4 4 3 2" xfId="5257"/>
    <cellStyle name="40% - Accent6 4 4 3 2 2" xfId="10231"/>
    <cellStyle name="40% - Accent6 4 4 3 2 3" xfId="14508"/>
    <cellStyle name="40% - Accent6 4 4 3 2 4" xfId="18767"/>
    <cellStyle name="40% - Accent6 4 4 3 2 5" xfId="22986"/>
    <cellStyle name="40% - Accent6 4 4 3 2 6" xfId="27181"/>
    <cellStyle name="40% - Accent6 4 4 3 2 7" xfId="31077"/>
    <cellStyle name="40% - Accent6 4 4 3 3" xfId="8467"/>
    <cellStyle name="40% - Accent6 4 4 3 4" xfId="12752"/>
    <cellStyle name="40% - Accent6 4 4 3 5" xfId="17024"/>
    <cellStyle name="40% - Accent6 4 4 3 6" xfId="21259"/>
    <cellStyle name="40% - Accent6 4 4 3 7" xfId="25497"/>
    <cellStyle name="40% - Accent6 4 4 3 8" xfId="29575"/>
    <cellStyle name="40% - Accent6 4 4 3 9" xfId="3491"/>
    <cellStyle name="40% - Accent6 4 4 4" xfId="2634"/>
    <cellStyle name="40% - Accent6 4 4 4 2" xfId="7611"/>
    <cellStyle name="40% - Accent6 4 4 4 3" xfId="11900"/>
    <cellStyle name="40% - Accent6 4 4 4 4" xfId="16176"/>
    <cellStyle name="40% - Accent6 4 4 4 5" xfId="20418"/>
    <cellStyle name="40% - Accent6 4 4 4 6" xfId="24665"/>
    <cellStyle name="40% - Accent6 4 4 4 7" xfId="28768"/>
    <cellStyle name="40% - Accent6 4 4 5" xfId="4599"/>
    <cellStyle name="40% - Accent6 4 4 5 2" xfId="9573"/>
    <cellStyle name="40% - Accent6 4 4 5 3" xfId="13850"/>
    <cellStyle name="40% - Accent6 4 4 5 4" xfId="18110"/>
    <cellStyle name="40% - Accent6 4 4 5 5" xfId="22328"/>
    <cellStyle name="40% - Accent6 4 4 5 6" xfId="26524"/>
    <cellStyle name="40% - Accent6 4 4 5 7" xfId="30420"/>
    <cellStyle name="40% - Accent6 4 4 6" xfId="5948"/>
    <cellStyle name="40% - Accent6 4 4 6 2" xfId="10920"/>
    <cellStyle name="40% - Accent6 4 4 6 3" xfId="15198"/>
    <cellStyle name="40% - Accent6 4 4 6 4" xfId="19455"/>
    <cellStyle name="40% - Accent6 4 4 6 5" xfId="23672"/>
    <cellStyle name="40% - Accent6 4 4 6 6" xfId="27858"/>
    <cellStyle name="40% - Accent6 4 4 6 7" xfId="31737"/>
    <cellStyle name="40% - Accent6 4 4 7" xfId="6822"/>
    <cellStyle name="40% - Accent6 4 4 8" xfId="10598"/>
    <cellStyle name="40% - Accent6 4 4 9" xfId="14876"/>
    <cellStyle name="40% - Accent6 4 5" xfId="625"/>
    <cellStyle name="40% - Accent6 4 5 10" xfId="15912"/>
    <cellStyle name="40% - Accent6 4 5 11" xfId="20088"/>
    <cellStyle name="40% - Accent6 4 5 12" xfId="24409"/>
    <cellStyle name="40% - Accent6 4 5 13" xfId="1944"/>
    <cellStyle name="40% - Accent6 4 5 2" xfId="1282"/>
    <cellStyle name="40% - Accent6 4 5 2 10" xfId="2963"/>
    <cellStyle name="40% - Accent6 4 5 2 2" xfId="3809"/>
    <cellStyle name="40% - Accent6 4 5 2 2 2" xfId="8785"/>
    <cellStyle name="40% - Accent6 4 5 2 2 3" xfId="13070"/>
    <cellStyle name="40% - Accent6 4 5 2 2 4" xfId="17342"/>
    <cellStyle name="40% - Accent6 4 5 2 2 5" xfId="21577"/>
    <cellStyle name="40% - Accent6 4 5 2 2 6" xfId="25815"/>
    <cellStyle name="40% - Accent6 4 5 2 2 7" xfId="29893"/>
    <cellStyle name="40% - Accent6 4 5 2 3" xfId="5313"/>
    <cellStyle name="40% - Accent6 4 5 2 3 2" xfId="10287"/>
    <cellStyle name="40% - Accent6 4 5 2 3 3" xfId="14564"/>
    <cellStyle name="40% - Accent6 4 5 2 3 4" xfId="18823"/>
    <cellStyle name="40% - Accent6 4 5 2 3 5" xfId="23042"/>
    <cellStyle name="40% - Accent6 4 5 2 3 6" xfId="27237"/>
    <cellStyle name="40% - Accent6 4 5 2 3 7" xfId="31133"/>
    <cellStyle name="40% - Accent6 4 5 2 4" xfId="7940"/>
    <cellStyle name="40% - Accent6 4 5 2 5" xfId="12229"/>
    <cellStyle name="40% - Accent6 4 5 2 6" xfId="16505"/>
    <cellStyle name="40% - Accent6 4 5 2 7" xfId="20744"/>
    <cellStyle name="40% - Accent6 4 5 2 8" xfId="24992"/>
    <cellStyle name="40% - Accent6 4 5 2 9" xfId="29086"/>
    <cellStyle name="40% - Accent6 4 5 3" xfId="3808"/>
    <cellStyle name="40% - Accent6 4 5 3 2" xfId="8784"/>
    <cellStyle name="40% - Accent6 4 5 3 3" xfId="13069"/>
    <cellStyle name="40% - Accent6 4 5 3 4" xfId="17341"/>
    <cellStyle name="40% - Accent6 4 5 3 5" xfId="21576"/>
    <cellStyle name="40% - Accent6 4 5 3 6" xfId="25814"/>
    <cellStyle name="40% - Accent6 4 5 3 7" xfId="29892"/>
    <cellStyle name="40% - Accent6 4 5 4" xfId="2962"/>
    <cellStyle name="40% - Accent6 4 5 4 2" xfId="7939"/>
    <cellStyle name="40% - Accent6 4 5 4 3" xfId="12228"/>
    <cellStyle name="40% - Accent6 4 5 4 4" xfId="16504"/>
    <cellStyle name="40% - Accent6 4 5 4 5" xfId="20743"/>
    <cellStyle name="40% - Accent6 4 5 4 6" xfId="24991"/>
    <cellStyle name="40% - Accent6 4 5 4 7" xfId="29085"/>
    <cellStyle name="40% - Accent6 4 5 5" xfId="4656"/>
    <cellStyle name="40% - Accent6 4 5 5 2" xfId="9630"/>
    <cellStyle name="40% - Accent6 4 5 5 3" xfId="13907"/>
    <cellStyle name="40% - Accent6 4 5 5 4" xfId="18166"/>
    <cellStyle name="40% - Accent6 4 5 5 5" xfId="22385"/>
    <cellStyle name="40% - Accent6 4 5 5 6" xfId="26580"/>
    <cellStyle name="40% - Accent6 4 5 5 7" xfId="30476"/>
    <cellStyle name="40% - Accent6 4 5 6" xfId="6004"/>
    <cellStyle name="40% - Accent6 4 5 6 2" xfId="10976"/>
    <cellStyle name="40% - Accent6 4 5 6 3" xfId="15254"/>
    <cellStyle name="40% - Accent6 4 5 6 4" xfId="19511"/>
    <cellStyle name="40% - Accent6 4 5 6 5" xfId="23728"/>
    <cellStyle name="40% - Accent6 4 5 6 6" xfId="27914"/>
    <cellStyle name="40% - Accent6 4 5 6 7" xfId="31793"/>
    <cellStyle name="40% - Accent6 4 5 7" xfId="6922"/>
    <cellStyle name="40% - Accent6 4 5 8" xfId="7344"/>
    <cellStyle name="40% - Accent6 4 5 9" xfId="11633"/>
    <cellStyle name="40% - Accent6 4 6" xfId="953"/>
    <cellStyle name="40% - Accent6 4 6 10" xfId="2964"/>
    <cellStyle name="40% - Accent6 4 6 2" xfId="3810"/>
    <cellStyle name="40% - Accent6 4 6 2 2" xfId="8786"/>
    <cellStyle name="40% - Accent6 4 6 2 3" xfId="13071"/>
    <cellStyle name="40% - Accent6 4 6 2 4" xfId="17343"/>
    <cellStyle name="40% - Accent6 4 6 2 5" xfId="21578"/>
    <cellStyle name="40% - Accent6 4 6 2 6" xfId="25816"/>
    <cellStyle name="40% - Accent6 4 6 2 7" xfId="29894"/>
    <cellStyle name="40% - Accent6 4 6 3" xfId="4984"/>
    <cellStyle name="40% - Accent6 4 6 3 2" xfId="9958"/>
    <cellStyle name="40% - Accent6 4 6 3 3" xfId="14235"/>
    <cellStyle name="40% - Accent6 4 6 3 4" xfId="18494"/>
    <cellStyle name="40% - Accent6 4 6 3 5" xfId="22713"/>
    <cellStyle name="40% - Accent6 4 6 3 6" xfId="26908"/>
    <cellStyle name="40% - Accent6 4 6 3 7" xfId="30804"/>
    <cellStyle name="40% - Accent6 4 6 4" xfId="7941"/>
    <cellStyle name="40% - Accent6 4 6 5" xfId="12230"/>
    <cellStyle name="40% - Accent6 4 6 6" xfId="16506"/>
    <cellStyle name="40% - Accent6 4 6 7" xfId="20745"/>
    <cellStyle name="40% - Accent6 4 6 8" xfId="24993"/>
    <cellStyle name="40% - Accent6 4 6 9" xfId="29087"/>
    <cellStyle name="40% - Accent6 4 7" xfId="3196"/>
    <cellStyle name="40% - Accent6 4 7 2" xfId="8172"/>
    <cellStyle name="40% - Accent6 4 7 3" xfId="12458"/>
    <cellStyle name="40% - Accent6 4 7 4" xfId="16732"/>
    <cellStyle name="40% - Accent6 4 7 5" xfId="20968"/>
    <cellStyle name="40% - Accent6 4 7 6" xfId="25208"/>
    <cellStyle name="40% - Accent6 4 7 7" xfId="29289"/>
    <cellStyle name="40% - Accent6 4 8" xfId="2283"/>
    <cellStyle name="40% - Accent6 4 8 2" xfId="7261"/>
    <cellStyle name="40% - Accent6 4 8 3" xfId="11551"/>
    <cellStyle name="40% - Accent6 4 8 4" xfId="15830"/>
    <cellStyle name="40% - Accent6 4 8 5" xfId="20085"/>
    <cellStyle name="40% - Accent6 4 8 6" xfId="24335"/>
    <cellStyle name="40% - Accent6 4 8 7" xfId="28480"/>
    <cellStyle name="40% - Accent6 4 9" xfId="4321"/>
    <cellStyle name="40% - Accent6 4 9 2" xfId="9295"/>
    <cellStyle name="40% - Accent6 4 9 3" xfId="13572"/>
    <cellStyle name="40% - Accent6 4 9 4" xfId="17832"/>
    <cellStyle name="40% - Accent6 4 9 5" xfId="22051"/>
    <cellStyle name="40% - Accent6 4 9 6" xfId="26249"/>
    <cellStyle name="40% - Accent6 4 9 7" xfId="30146"/>
    <cellStyle name="40% - Accent6 5" xfId="273"/>
    <cellStyle name="40% - Accent6 5 2" xfId="441"/>
    <cellStyle name="40% - Accent6 5 2 10" xfId="21009"/>
    <cellStyle name="40% - Accent6 5 2 11" xfId="26184"/>
    <cellStyle name="40% - Accent6 5 2 12" xfId="1804"/>
    <cellStyle name="40% - Accent6 5 2 2" xfId="815"/>
    <cellStyle name="40% - Accent6 5 2 2 10" xfId="19939"/>
    <cellStyle name="40% - Accent6 5 2 2 11" xfId="24190"/>
    <cellStyle name="40% - Accent6 5 2 2 12" xfId="28342"/>
    <cellStyle name="40% - Accent6 5 2 2 13" xfId="2134"/>
    <cellStyle name="40% - Accent6 5 2 2 2" xfId="1472"/>
    <cellStyle name="40% - Accent6 5 2 2 2 10" xfId="2965"/>
    <cellStyle name="40% - Accent6 5 2 2 2 2" xfId="3811"/>
    <cellStyle name="40% - Accent6 5 2 2 2 2 2" xfId="8787"/>
    <cellStyle name="40% - Accent6 5 2 2 2 2 3" xfId="13072"/>
    <cellStyle name="40% - Accent6 5 2 2 2 2 4" xfId="17344"/>
    <cellStyle name="40% - Accent6 5 2 2 2 2 5" xfId="21579"/>
    <cellStyle name="40% - Accent6 5 2 2 2 2 6" xfId="25817"/>
    <cellStyle name="40% - Accent6 5 2 2 2 2 7" xfId="29895"/>
    <cellStyle name="40% - Accent6 5 2 2 2 3" xfId="5503"/>
    <cellStyle name="40% - Accent6 5 2 2 2 3 2" xfId="10477"/>
    <cellStyle name="40% - Accent6 5 2 2 2 3 3" xfId="14754"/>
    <cellStyle name="40% - Accent6 5 2 2 2 3 4" xfId="19013"/>
    <cellStyle name="40% - Accent6 5 2 2 2 3 5" xfId="23232"/>
    <cellStyle name="40% - Accent6 5 2 2 2 3 6" xfId="27427"/>
    <cellStyle name="40% - Accent6 5 2 2 2 3 7" xfId="31323"/>
    <cellStyle name="40% - Accent6 5 2 2 2 4" xfId="7942"/>
    <cellStyle name="40% - Accent6 5 2 2 2 5" xfId="12231"/>
    <cellStyle name="40% - Accent6 5 2 2 2 6" xfId="16507"/>
    <cellStyle name="40% - Accent6 5 2 2 2 7" xfId="20746"/>
    <cellStyle name="40% - Accent6 5 2 2 2 8" xfId="24994"/>
    <cellStyle name="40% - Accent6 5 2 2 2 9" xfId="29088"/>
    <cellStyle name="40% - Accent6 5 2 2 3" xfId="3393"/>
    <cellStyle name="40% - Accent6 5 2 2 3 2" xfId="8369"/>
    <cellStyle name="40% - Accent6 5 2 2 3 3" xfId="12654"/>
    <cellStyle name="40% - Accent6 5 2 2 3 4" xfId="16926"/>
    <cellStyle name="40% - Accent6 5 2 2 3 5" xfId="21161"/>
    <cellStyle name="40% - Accent6 5 2 2 3 6" xfId="25399"/>
    <cellStyle name="40% - Accent6 5 2 2 3 7" xfId="29477"/>
    <cellStyle name="40% - Accent6 5 2 2 4" xfId="2532"/>
    <cellStyle name="40% - Accent6 5 2 2 4 2" xfId="7509"/>
    <cellStyle name="40% - Accent6 5 2 2 4 3" xfId="11798"/>
    <cellStyle name="40% - Accent6 5 2 2 4 4" xfId="16076"/>
    <cellStyle name="40% - Accent6 5 2 2 4 5" xfId="20319"/>
    <cellStyle name="40% - Accent6 5 2 2 4 6" xfId="24565"/>
    <cellStyle name="40% - Accent6 5 2 2 4 7" xfId="28670"/>
    <cellStyle name="40% - Accent6 5 2 2 5" xfId="4846"/>
    <cellStyle name="40% - Accent6 5 2 2 5 2" xfId="9820"/>
    <cellStyle name="40% - Accent6 5 2 2 5 3" xfId="14097"/>
    <cellStyle name="40% - Accent6 5 2 2 5 4" xfId="18356"/>
    <cellStyle name="40% - Accent6 5 2 2 5 5" xfId="22575"/>
    <cellStyle name="40% - Accent6 5 2 2 5 6" xfId="26770"/>
    <cellStyle name="40% - Accent6 5 2 2 5 7" xfId="30666"/>
    <cellStyle name="40% - Accent6 5 2 2 6" xfId="6194"/>
    <cellStyle name="40% - Accent6 5 2 2 6 2" xfId="11166"/>
    <cellStyle name="40% - Accent6 5 2 2 6 3" xfId="15444"/>
    <cellStyle name="40% - Accent6 5 2 2 6 4" xfId="19701"/>
    <cellStyle name="40% - Accent6 5 2 2 6 5" xfId="23918"/>
    <cellStyle name="40% - Accent6 5 2 2 6 6" xfId="28104"/>
    <cellStyle name="40% - Accent6 5 2 2 6 7" xfId="31983"/>
    <cellStyle name="40% - Accent6 5 2 2 7" xfId="7112"/>
    <cellStyle name="40% - Accent6 5 2 2 8" xfId="11404"/>
    <cellStyle name="40% - Accent6 5 2 2 9" xfId="15682"/>
    <cellStyle name="40% - Accent6 5 2 3" xfId="1143"/>
    <cellStyle name="40% - Accent6 5 2 3 2" xfId="5174"/>
    <cellStyle name="40% - Accent6 5 2 3 2 2" xfId="10148"/>
    <cellStyle name="40% - Accent6 5 2 3 2 3" xfId="14425"/>
    <cellStyle name="40% - Accent6 5 2 3 2 4" xfId="18684"/>
    <cellStyle name="40% - Accent6 5 2 3 2 5" xfId="22903"/>
    <cellStyle name="40% - Accent6 5 2 3 2 6" xfId="27098"/>
    <cellStyle name="40% - Accent6 5 2 3 2 7" xfId="30994"/>
    <cellStyle name="40% - Accent6 5 2 3 3" xfId="2433"/>
    <cellStyle name="40% - Accent6 5 2 4" xfId="4516"/>
    <cellStyle name="40% - Accent6 5 2 4 2" xfId="9490"/>
    <cellStyle name="40% - Accent6 5 2 4 3" xfId="13767"/>
    <cellStyle name="40% - Accent6 5 2 4 4" xfId="18027"/>
    <cellStyle name="40% - Accent6 5 2 4 5" xfId="22245"/>
    <cellStyle name="40% - Accent6 5 2 4 6" xfId="26441"/>
    <cellStyle name="40% - Accent6 5 2 4 7" xfId="30337"/>
    <cellStyle name="40% - Accent6 5 2 5" xfId="5865"/>
    <cellStyle name="40% - Accent6 5 2 5 2" xfId="10837"/>
    <cellStyle name="40% - Accent6 5 2 5 3" xfId="15115"/>
    <cellStyle name="40% - Accent6 5 2 5 4" xfId="19372"/>
    <cellStyle name="40% - Accent6 5 2 5 5" xfId="23589"/>
    <cellStyle name="40% - Accent6 5 2 5 6" xfId="27775"/>
    <cellStyle name="40% - Accent6 5 2 5 7" xfId="31654"/>
    <cellStyle name="40% - Accent6 5 2 6" xfId="6739"/>
    <cellStyle name="40% - Accent6 5 2 7" xfId="9227"/>
    <cellStyle name="40% - Accent6 5 2 8" xfId="13505"/>
    <cellStyle name="40% - Accent6 5 2 9" xfId="17765"/>
    <cellStyle name="40% - Accent6 5 3" xfId="344"/>
    <cellStyle name="40% - Accent6 5 3 10" xfId="21872"/>
    <cellStyle name="40% - Accent6 5 3 11" xfId="26060"/>
    <cellStyle name="40% - Accent6 5 3 12" xfId="1713"/>
    <cellStyle name="40% - Accent6 5 3 2" xfId="724"/>
    <cellStyle name="40% - Accent6 5 3 2 10" xfId="28251"/>
    <cellStyle name="40% - Accent6 5 3 2 11" xfId="2043"/>
    <cellStyle name="40% - Accent6 5 3 2 2" xfId="1381"/>
    <cellStyle name="40% - Accent6 5 3 2 2 2" xfId="5412"/>
    <cellStyle name="40% - Accent6 5 3 2 2 2 2" xfId="10386"/>
    <cellStyle name="40% - Accent6 5 3 2 2 2 3" xfId="14663"/>
    <cellStyle name="40% - Accent6 5 3 2 2 2 4" xfId="18922"/>
    <cellStyle name="40% - Accent6 5 3 2 2 2 5" xfId="23141"/>
    <cellStyle name="40% - Accent6 5 3 2 2 2 6" xfId="27336"/>
    <cellStyle name="40% - Accent6 5 3 2 2 2 7" xfId="31232"/>
    <cellStyle name="40% - Accent6 5 3 2 2 3" xfId="8788"/>
    <cellStyle name="40% - Accent6 5 3 2 2 4" xfId="13073"/>
    <cellStyle name="40% - Accent6 5 3 2 2 5" xfId="17345"/>
    <cellStyle name="40% - Accent6 5 3 2 2 6" xfId="21580"/>
    <cellStyle name="40% - Accent6 5 3 2 2 7" xfId="25818"/>
    <cellStyle name="40% - Accent6 5 3 2 2 8" xfId="29896"/>
    <cellStyle name="40% - Accent6 5 3 2 2 9" xfId="3812"/>
    <cellStyle name="40% - Accent6 5 3 2 3" xfId="4755"/>
    <cellStyle name="40% - Accent6 5 3 2 3 2" xfId="9729"/>
    <cellStyle name="40% - Accent6 5 3 2 3 3" xfId="14006"/>
    <cellStyle name="40% - Accent6 5 3 2 3 4" xfId="18265"/>
    <cellStyle name="40% - Accent6 5 3 2 3 5" xfId="22484"/>
    <cellStyle name="40% - Accent6 5 3 2 3 6" xfId="26679"/>
    <cellStyle name="40% - Accent6 5 3 2 3 7" xfId="30575"/>
    <cellStyle name="40% - Accent6 5 3 2 4" xfId="6103"/>
    <cellStyle name="40% - Accent6 5 3 2 4 2" xfId="11075"/>
    <cellStyle name="40% - Accent6 5 3 2 4 3" xfId="15353"/>
    <cellStyle name="40% - Accent6 5 3 2 4 4" xfId="19610"/>
    <cellStyle name="40% - Accent6 5 3 2 4 5" xfId="23827"/>
    <cellStyle name="40% - Accent6 5 3 2 4 6" xfId="28013"/>
    <cellStyle name="40% - Accent6 5 3 2 4 7" xfId="31892"/>
    <cellStyle name="40% - Accent6 5 3 2 5" xfId="7021"/>
    <cellStyle name="40% - Accent6 5 3 2 6" xfId="11313"/>
    <cellStyle name="40% - Accent6 5 3 2 7" xfId="15591"/>
    <cellStyle name="40% - Accent6 5 3 2 8" xfId="19848"/>
    <cellStyle name="40% - Accent6 5 3 2 9" xfId="24099"/>
    <cellStyle name="40% - Accent6 5 3 3" xfId="1052"/>
    <cellStyle name="40% - Accent6 5 3 3 2" xfId="5083"/>
    <cellStyle name="40% - Accent6 5 3 3 2 2" xfId="10057"/>
    <cellStyle name="40% - Accent6 5 3 3 2 3" xfId="14334"/>
    <cellStyle name="40% - Accent6 5 3 3 2 4" xfId="18593"/>
    <cellStyle name="40% - Accent6 5 3 3 2 5" xfId="22812"/>
    <cellStyle name="40% - Accent6 5 3 3 2 6" xfId="27007"/>
    <cellStyle name="40% - Accent6 5 3 3 2 7" xfId="30903"/>
    <cellStyle name="40% - Accent6 5 3 3 3" xfId="7943"/>
    <cellStyle name="40% - Accent6 5 3 3 4" xfId="12232"/>
    <cellStyle name="40% - Accent6 5 3 3 5" xfId="16508"/>
    <cellStyle name="40% - Accent6 5 3 3 6" xfId="20747"/>
    <cellStyle name="40% - Accent6 5 3 3 7" xfId="24995"/>
    <cellStyle name="40% - Accent6 5 3 3 8" xfId="29089"/>
    <cellStyle name="40% - Accent6 5 3 3 9" xfId="2966"/>
    <cellStyle name="40% - Accent6 5 3 4" xfId="4425"/>
    <cellStyle name="40% - Accent6 5 3 4 2" xfId="9399"/>
    <cellStyle name="40% - Accent6 5 3 4 3" xfId="13676"/>
    <cellStyle name="40% - Accent6 5 3 4 4" xfId="17936"/>
    <cellStyle name="40% - Accent6 5 3 4 5" xfId="22154"/>
    <cellStyle name="40% - Accent6 5 3 4 6" xfId="26350"/>
    <cellStyle name="40% - Accent6 5 3 4 7" xfId="30246"/>
    <cellStyle name="40% - Accent6 5 3 5" xfId="5774"/>
    <cellStyle name="40% - Accent6 5 3 5 2" xfId="10746"/>
    <cellStyle name="40% - Accent6 5 3 5 3" xfId="15024"/>
    <cellStyle name="40% - Accent6 5 3 5 4" xfId="19281"/>
    <cellStyle name="40% - Accent6 5 3 5 5" xfId="23498"/>
    <cellStyle name="40% - Accent6 5 3 5 6" xfId="27684"/>
    <cellStyle name="40% - Accent6 5 3 5 7" xfId="31563"/>
    <cellStyle name="40% - Accent6 5 3 6" xfId="6642"/>
    <cellStyle name="40% - Accent6 5 3 7" xfId="9054"/>
    <cellStyle name="40% - Accent6 5 3 8" xfId="13337"/>
    <cellStyle name="40% - Accent6 5 3 9" xfId="17609"/>
    <cellStyle name="40% - Accent6 5 4" xfId="3232"/>
    <cellStyle name="40% - Accent6 5 4 2" xfId="8208"/>
    <cellStyle name="40% - Accent6 5 4 3" xfId="12494"/>
    <cellStyle name="40% - Accent6 5 4 4" xfId="16766"/>
    <cellStyle name="40% - Accent6 5 4 5" xfId="21004"/>
    <cellStyle name="40% - Accent6 5 4 6" xfId="25242"/>
    <cellStyle name="40% - Accent6 5 4 7" xfId="29323"/>
    <cellStyle name="40% - Accent6 5 5" xfId="2338"/>
    <cellStyle name="40% - Accent6 5 5 2" xfId="7316"/>
    <cellStyle name="40% - Accent6 5 5 3" xfId="11606"/>
    <cellStyle name="40% - Accent6 5 5 4" xfId="15884"/>
    <cellStyle name="40% - Accent6 5 5 5" xfId="20136"/>
    <cellStyle name="40% - Accent6 5 5 6" xfId="24385"/>
    <cellStyle name="40% - Accent6 5 5 7" xfId="28515"/>
    <cellStyle name="40% - Accent6 6" xfId="373"/>
    <cellStyle name="40% - Accent6 6 10" xfId="21992"/>
    <cellStyle name="40% - Accent6 6 11" xfId="26174"/>
    <cellStyle name="40% - Accent6 6 12" xfId="1736"/>
    <cellStyle name="40% - Accent6 6 2" xfId="747"/>
    <cellStyle name="40% - Accent6 6 2 10" xfId="19871"/>
    <cellStyle name="40% - Accent6 6 2 11" xfId="24122"/>
    <cellStyle name="40% - Accent6 6 2 12" xfId="28274"/>
    <cellStyle name="40% - Accent6 6 2 13" xfId="2066"/>
    <cellStyle name="40% - Accent6 6 2 2" xfId="1404"/>
    <cellStyle name="40% - Accent6 6 2 2 10" xfId="2967"/>
    <cellStyle name="40% - Accent6 6 2 2 2" xfId="3813"/>
    <cellStyle name="40% - Accent6 6 2 2 2 2" xfId="8789"/>
    <cellStyle name="40% - Accent6 6 2 2 2 3" xfId="13074"/>
    <cellStyle name="40% - Accent6 6 2 2 2 4" xfId="17346"/>
    <cellStyle name="40% - Accent6 6 2 2 2 5" xfId="21581"/>
    <cellStyle name="40% - Accent6 6 2 2 2 6" xfId="25819"/>
    <cellStyle name="40% - Accent6 6 2 2 2 7" xfId="29897"/>
    <cellStyle name="40% - Accent6 6 2 2 3" xfId="5435"/>
    <cellStyle name="40% - Accent6 6 2 2 3 2" xfId="10409"/>
    <cellStyle name="40% - Accent6 6 2 2 3 3" xfId="14686"/>
    <cellStyle name="40% - Accent6 6 2 2 3 4" xfId="18945"/>
    <cellStyle name="40% - Accent6 6 2 2 3 5" xfId="23164"/>
    <cellStyle name="40% - Accent6 6 2 2 3 6" xfId="27359"/>
    <cellStyle name="40% - Accent6 6 2 2 3 7" xfId="31255"/>
    <cellStyle name="40% - Accent6 6 2 2 4" xfId="7944"/>
    <cellStyle name="40% - Accent6 6 2 2 5" xfId="12233"/>
    <cellStyle name="40% - Accent6 6 2 2 6" xfId="16509"/>
    <cellStyle name="40% - Accent6 6 2 2 7" xfId="20748"/>
    <cellStyle name="40% - Accent6 6 2 2 8" xfId="24996"/>
    <cellStyle name="40% - Accent6 6 2 2 9" xfId="29090"/>
    <cellStyle name="40% - Accent6 6 2 3" xfId="3325"/>
    <cellStyle name="40% - Accent6 6 2 3 2" xfId="8301"/>
    <cellStyle name="40% - Accent6 6 2 3 3" xfId="12586"/>
    <cellStyle name="40% - Accent6 6 2 3 4" xfId="16858"/>
    <cellStyle name="40% - Accent6 6 2 3 5" xfId="21093"/>
    <cellStyle name="40% - Accent6 6 2 3 6" xfId="25331"/>
    <cellStyle name="40% - Accent6 6 2 3 7" xfId="29409"/>
    <cellStyle name="40% - Accent6 6 2 4" xfId="2464"/>
    <cellStyle name="40% - Accent6 6 2 4 2" xfId="7441"/>
    <cellStyle name="40% - Accent6 6 2 4 3" xfId="11730"/>
    <cellStyle name="40% - Accent6 6 2 4 4" xfId="16008"/>
    <cellStyle name="40% - Accent6 6 2 4 5" xfId="20251"/>
    <cellStyle name="40% - Accent6 6 2 4 6" xfId="24497"/>
    <cellStyle name="40% - Accent6 6 2 4 7" xfId="28602"/>
    <cellStyle name="40% - Accent6 6 2 5" xfId="4778"/>
    <cellStyle name="40% - Accent6 6 2 5 2" xfId="9752"/>
    <cellStyle name="40% - Accent6 6 2 5 3" xfId="14029"/>
    <cellStyle name="40% - Accent6 6 2 5 4" xfId="18288"/>
    <cellStyle name="40% - Accent6 6 2 5 5" xfId="22507"/>
    <cellStyle name="40% - Accent6 6 2 5 6" xfId="26702"/>
    <cellStyle name="40% - Accent6 6 2 5 7" xfId="30598"/>
    <cellStyle name="40% - Accent6 6 2 6" xfId="6126"/>
    <cellStyle name="40% - Accent6 6 2 6 2" xfId="11098"/>
    <cellStyle name="40% - Accent6 6 2 6 3" xfId="15376"/>
    <cellStyle name="40% - Accent6 6 2 6 4" xfId="19633"/>
    <cellStyle name="40% - Accent6 6 2 6 5" xfId="23850"/>
    <cellStyle name="40% - Accent6 6 2 6 6" xfId="28036"/>
    <cellStyle name="40% - Accent6 6 2 6 7" xfId="31915"/>
    <cellStyle name="40% - Accent6 6 2 7" xfId="7044"/>
    <cellStyle name="40% - Accent6 6 2 8" xfId="11336"/>
    <cellStyle name="40% - Accent6 6 2 9" xfId="15614"/>
    <cellStyle name="40% - Accent6 6 3" xfId="1075"/>
    <cellStyle name="40% - Accent6 6 3 2" xfId="5106"/>
    <cellStyle name="40% - Accent6 6 3 2 2" xfId="10080"/>
    <cellStyle name="40% - Accent6 6 3 2 3" xfId="14357"/>
    <cellStyle name="40% - Accent6 6 3 2 4" xfId="18616"/>
    <cellStyle name="40% - Accent6 6 3 2 5" xfId="22835"/>
    <cellStyle name="40% - Accent6 6 3 2 6" xfId="27030"/>
    <cellStyle name="40% - Accent6 6 3 2 7" xfId="30926"/>
    <cellStyle name="40% - Accent6 6 3 3" xfId="2339"/>
    <cellStyle name="40% - Accent6 6 4" xfId="4448"/>
    <cellStyle name="40% - Accent6 6 4 2" xfId="9422"/>
    <cellStyle name="40% - Accent6 6 4 3" xfId="13699"/>
    <cellStyle name="40% - Accent6 6 4 4" xfId="17959"/>
    <cellStyle name="40% - Accent6 6 4 5" xfId="22177"/>
    <cellStyle name="40% - Accent6 6 4 6" xfId="26373"/>
    <cellStyle name="40% - Accent6 6 4 7" xfId="30269"/>
    <cellStyle name="40% - Accent6 6 5" xfId="5797"/>
    <cellStyle name="40% - Accent6 6 5 2" xfId="10769"/>
    <cellStyle name="40% - Accent6 6 5 3" xfId="15047"/>
    <cellStyle name="40% - Accent6 6 5 4" xfId="19304"/>
    <cellStyle name="40% - Accent6 6 5 5" xfId="23521"/>
    <cellStyle name="40% - Accent6 6 5 6" xfId="27707"/>
    <cellStyle name="40% - Accent6 6 5 7" xfId="31586"/>
    <cellStyle name="40% - Accent6 6 6" xfId="6671"/>
    <cellStyle name="40% - Accent6 6 7" xfId="9215"/>
    <cellStyle name="40% - Accent6 6 8" xfId="13493"/>
    <cellStyle name="40% - Accent6 6 9" xfId="17754"/>
    <cellStyle name="40% - Accent6 7" xfId="560"/>
    <cellStyle name="40% - Accent6 7 2" xfId="2968"/>
    <cellStyle name="40% - Accent6 7 2 2" xfId="3814"/>
    <cellStyle name="40% - Accent6 7 2 2 2" xfId="8790"/>
    <cellStyle name="40% - Accent6 7 2 2 3" xfId="13075"/>
    <cellStyle name="40% - Accent6 7 2 2 4" xfId="17347"/>
    <cellStyle name="40% - Accent6 7 2 2 5" xfId="21582"/>
    <cellStyle name="40% - Accent6 7 2 2 6" xfId="25820"/>
    <cellStyle name="40% - Accent6 7 2 2 7" xfId="29898"/>
    <cellStyle name="40% - Accent6 7 2 3" xfId="7945"/>
    <cellStyle name="40% - Accent6 7 2 4" xfId="12234"/>
    <cellStyle name="40% - Accent6 7 2 5" xfId="16510"/>
    <cellStyle name="40% - Accent6 7 2 6" xfId="20749"/>
    <cellStyle name="40% - Accent6 7 2 7" xfId="24997"/>
    <cellStyle name="40% - Accent6 7 2 8" xfId="29091"/>
    <cellStyle name="40% - Accent6 7 3" xfId="3458"/>
    <cellStyle name="40% - Accent6 7 3 2" xfId="8434"/>
    <cellStyle name="40% - Accent6 7 3 3" xfId="12719"/>
    <cellStyle name="40% - Accent6 7 3 4" xfId="16991"/>
    <cellStyle name="40% - Accent6 7 3 5" xfId="21226"/>
    <cellStyle name="40% - Accent6 7 3 6" xfId="25464"/>
    <cellStyle name="40% - Accent6 7 3 7" xfId="29542"/>
    <cellStyle name="40% - Accent6 7 4" xfId="2599"/>
    <cellStyle name="40% - Accent6 7 4 2" xfId="7576"/>
    <cellStyle name="40% - Accent6 7 4 3" xfId="11865"/>
    <cellStyle name="40% - Accent6 7 4 4" xfId="16141"/>
    <cellStyle name="40% - Accent6 7 4 5" xfId="20384"/>
    <cellStyle name="40% - Accent6 7 4 6" xfId="24630"/>
    <cellStyle name="40% - Accent6 7 4 7" xfId="28735"/>
    <cellStyle name="40% - Accent6 8" xfId="2969"/>
    <cellStyle name="60% - Accent1" xfId="13" builtinId="32" customBuiltin="1"/>
    <cellStyle name="60% - Accent1 2" xfId="76"/>
    <cellStyle name="60% - Accent1 2 2" xfId="5631"/>
    <cellStyle name="60% - Accent1 3" xfId="132"/>
    <cellStyle name="60% - Accent1 4" xfId="272"/>
    <cellStyle name="60% - Accent1 5" xfId="561"/>
    <cellStyle name="60% - Accent2" xfId="14" builtinId="36" customBuiltin="1"/>
    <cellStyle name="60% - Accent2 2" xfId="80"/>
    <cellStyle name="60% - Accent2 2 2" xfId="5630"/>
    <cellStyle name="60% - Accent2 3" xfId="133"/>
    <cellStyle name="60% - Accent2 4" xfId="229"/>
    <cellStyle name="60% - Accent2 5" xfId="562"/>
    <cellStyle name="60% - Accent3" xfId="15" builtinId="40" customBuiltin="1"/>
    <cellStyle name="60% - Accent3 2" xfId="84"/>
    <cellStyle name="60% - Accent3 2 2" xfId="5629"/>
    <cellStyle name="60% - Accent3 3" xfId="134"/>
    <cellStyle name="60% - Accent3 4" xfId="226"/>
    <cellStyle name="60% - Accent3 5" xfId="563"/>
    <cellStyle name="60% - Accent4" xfId="16" builtinId="44" customBuiltin="1"/>
    <cellStyle name="60% - Accent4 2" xfId="88"/>
    <cellStyle name="60% - Accent4 2 2" xfId="5628"/>
    <cellStyle name="60% - Accent4 3" xfId="135"/>
    <cellStyle name="60% - Accent4 4" xfId="262"/>
    <cellStyle name="60% - Accent4 5" xfId="564"/>
    <cellStyle name="60% - Accent5" xfId="17" builtinId="48" customBuiltin="1"/>
    <cellStyle name="60% - Accent5 2" xfId="92"/>
    <cellStyle name="60% - Accent5 2 2" xfId="5627"/>
    <cellStyle name="60% - Accent5 3" xfId="136"/>
    <cellStyle name="60% - Accent5 4" xfId="265"/>
    <cellStyle name="60% - Accent5 5" xfId="565"/>
    <cellStyle name="60% - Accent6" xfId="18" builtinId="52" customBuiltin="1"/>
    <cellStyle name="60% - Accent6 2" xfId="96"/>
    <cellStyle name="60% - Accent6 2 2" xfId="5626"/>
    <cellStyle name="60% - Accent6 3" xfId="137"/>
    <cellStyle name="60% - Accent6 4" xfId="214"/>
    <cellStyle name="60% - Accent6 5" xfId="566"/>
    <cellStyle name="Accent1" xfId="19" builtinId="29" customBuiltin="1"/>
    <cellStyle name="Accent1 2" xfId="73"/>
    <cellStyle name="Accent1 2 2" xfId="5625"/>
    <cellStyle name="Accent1 3" xfId="138"/>
    <cellStyle name="Accent1 4" xfId="224"/>
    <cellStyle name="Accent1 5" xfId="567"/>
    <cellStyle name="Accent2" xfId="20" builtinId="33" customBuiltin="1"/>
    <cellStyle name="Accent2 2" xfId="77"/>
    <cellStyle name="Accent2 2 2" xfId="5624"/>
    <cellStyle name="Accent2 3" xfId="139"/>
    <cellStyle name="Accent2 4" xfId="255"/>
    <cellStyle name="Accent2 5" xfId="568"/>
    <cellStyle name="Accent3" xfId="21" builtinId="37" customBuiltin="1"/>
    <cellStyle name="Accent3 2" xfId="81"/>
    <cellStyle name="Accent3 2 2" xfId="5623"/>
    <cellStyle name="Accent3 3" xfId="140"/>
    <cellStyle name="Accent3 4" xfId="251"/>
    <cellStyle name="Accent3 5" xfId="569"/>
    <cellStyle name="Accent4" xfId="22" builtinId="41" customBuiltin="1"/>
    <cellStyle name="Accent4 2" xfId="85"/>
    <cellStyle name="Accent4 2 2" xfId="5622"/>
    <cellStyle name="Accent4 3" xfId="141"/>
    <cellStyle name="Accent4 4" xfId="269"/>
    <cellStyle name="Accent4 5" xfId="570"/>
    <cellStyle name="Accent5" xfId="23" builtinId="45" customBuiltin="1"/>
    <cellStyle name="Accent5 2" xfId="89"/>
    <cellStyle name="Accent5 2 2" xfId="5621"/>
    <cellStyle name="Accent5 3" xfId="142"/>
    <cellStyle name="Accent5 4" xfId="209"/>
    <cellStyle name="Accent5 5" xfId="571"/>
    <cellStyle name="Accent6" xfId="24" builtinId="49" customBuiltin="1"/>
    <cellStyle name="Accent6 2" xfId="93"/>
    <cellStyle name="Accent6 2 2" xfId="5620"/>
    <cellStyle name="Accent6 3" xfId="143"/>
    <cellStyle name="Accent6 4" xfId="267"/>
    <cellStyle name="Accent6 5" xfId="572"/>
    <cellStyle name="Bad" xfId="25" builtinId="27" customBuiltin="1"/>
    <cellStyle name="Bad 2" xfId="62"/>
    <cellStyle name="Bad 2 2" xfId="5619"/>
    <cellStyle name="Bad 3" xfId="144"/>
    <cellStyle name="Bad 4" xfId="222"/>
    <cellStyle name="Bad 5" xfId="573"/>
    <cellStyle name="Body: normal cell" xfId="4107"/>
    <cellStyle name="Calculation" xfId="26" builtinId="22" customBuiltin="1"/>
    <cellStyle name="Calculation 2" xfId="66"/>
    <cellStyle name="Calculation 2 2" xfId="5618"/>
    <cellStyle name="Calculation 3" xfId="145"/>
    <cellStyle name="Calculation 3 2" xfId="2976"/>
    <cellStyle name="Calculation 3 2 2" xfId="3815"/>
    <cellStyle name="Calculation 3 3" xfId="3159"/>
    <cellStyle name="Calculation 4" xfId="220"/>
    <cellStyle name="Calculation 4 2" xfId="3237"/>
    <cellStyle name="Calculation 5" xfId="574"/>
    <cellStyle name="Calculation 5 2" xfId="3816"/>
    <cellStyle name="Check Cell" xfId="27" builtinId="23" customBuiltin="1"/>
    <cellStyle name="Check Cell 2" xfId="68"/>
    <cellStyle name="Check Cell 2 2" xfId="5617"/>
    <cellStyle name="Check Cell 3" xfId="146"/>
    <cellStyle name="Check Cell 4" xfId="254"/>
    <cellStyle name="Check Cell 5" xfId="575"/>
    <cellStyle name="Comma" xfId="28" builtinId="3"/>
    <cellStyle name="Comma [0] 2" xfId="29"/>
    <cellStyle name="Comma 10" xfId="4254"/>
    <cellStyle name="Comma 100" xfId="2312"/>
    <cellStyle name="Comma 101" xfId="4252"/>
    <cellStyle name="Comma 102" xfId="3993"/>
    <cellStyle name="Comma 103" xfId="4123"/>
    <cellStyle name="Comma 104" xfId="4001"/>
    <cellStyle name="Comma 105" xfId="4239"/>
    <cellStyle name="Comma 106" xfId="4218"/>
    <cellStyle name="Comma 107" xfId="4057"/>
    <cellStyle name="Comma 108" xfId="4166"/>
    <cellStyle name="Comma 109" xfId="4066"/>
    <cellStyle name="Comma 11" xfId="4285"/>
    <cellStyle name="Comma 110" xfId="4061"/>
    <cellStyle name="Comma 111" xfId="4096"/>
    <cellStyle name="Comma 112" xfId="2357"/>
    <cellStyle name="Comma 113" xfId="4264"/>
    <cellStyle name="Comma 114" xfId="4139"/>
    <cellStyle name="Comma 115" xfId="4158"/>
    <cellStyle name="Comma 116" xfId="4226"/>
    <cellStyle name="Comma 117" xfId="4185"/>
    <cellStyle name="Comma 118" xfId="2289"/>
    <cellStyle name="Comma 119" xfId="4106"/>
    <cellStyle name="Comma 12" xfId="4258"/>
    <cellStyle name="Comma 120" xfId="4253"/>
    <cellStyle name="Comma 121" xfId="2255"/>
    <cellStyle name="Comma 122" xfId="4280"/>
    <cellStyle name="Comma 123" xfId="4260"/>
    <cellStyle name="Comma 124" xfId="4023"/>
    <cellStyle name="Comma 125" xfId="4025"/>
    <cellStyle name="Comma 126" xfId="4193"/>
    <cellStyle name="Comma 127" xfId="4234"/>
    <cellStyle name="Comma 128" xfId="4050"/>
    <cellStyle name="Comma 129" xfId="4148"/>
    <cellStyle name="Comma 13" xfId="4108"/>
    <cellStyle name="Comma 130" xfId="4128"/>
    <cellStyle name="Comma 131" xfId="4116"/>
    <cellStyle name="Comma 132" xfId="4085"/>
    <cellStyle name="Comma 133" xfId="4262"/>
    <cellStyle name="Comma 134" xfId="4209"/>
    <cellStyle name="Comma 135" xfId="4056"/>
    <cellStyle name="Comma 136" xfId="4103"/>
    <cellStyle name="Comma 137" xfId="4080"/>
    <cellStyle name="Comma 138" xfId="4261"/>
    <cellStyle name="Comma 139" xfId="4194"/>
    <cellStyle name="Comma 14" xfId="4127"/>
    <cellStyle name="Comma 140" xfId="4112"/>
    <cellStyle name="Comma 141" xfId="4153"/>
    <cellStyle name="Comma 142" xfId="4169"/>
    <cellStyle name="Comma 143" xfId="2351"/>
    <cellStyle name="Comma 144" xfId="4149"/>
    <cellStyle name="Comma 145" xfId="4129"/>
    <cellStyle name="Comma 146" xfId="4026"/>
    <cellStyle name="Comma 147" xfId="4091"/>
    <cellStyle name="Comma 148" xfId="2327"/>
    <cellStyle name="Comma 149" xfId="4037"/>
    <cellStyle name="Comma 15" xfId="4207"/>
    <cellStyle name="Comma 150" xfId="4071"/>
    <cellStyle name="Comma 151" xfId="4257"/>
    <cellStyle name="Comma 152" xfId="4179"/>
    <cellStyle name="Comma 153" xfId="3994"/>
    <cellStyle name="Comma 154" xfId="2411"/>
    <cellStyle name="Comma 155" xfId="4228"/>
    <cellStyle name="Comma 156" xfId="3997"/>
    <cellStyle name="Comma 157" xfId="4068"/>
    <cellStyle name="Comma 158" xfId="4242"/>
    <cellStyle name="Comma 159" xfId="2241"/>
    <cellStyle name="Comma 16" xfId="4152"/>
    <cellStyle name="Comma 160" xfId="4083"/>
    <cellStyle name="Comma 161" xfId="4216"/>
    <cellStyle name="Comma 162" xfId="4245"/>
    <cellStyle name="Comma 163" xfId="4217"/>
    <cellStyle name="Comma 164" xfId="4173"/>
    <cellStyle name="Comma 165" xfId="4109"/>
    <cellStyle name="Comma 166" xfId="2264"/>
    <cellStyle name="Comma 167" xfId="4074"/>
    <cellStyle name="Comma 168" xfId="4191"/>
    <cellStyle name="Comma 169" xfId="4063"/>
    <cellStyle name="Comma 17" xfId="4172"/>
    <cellStyle name="Comma 170" xfId="4124"/>
    <cellStyle name="Comma 171" xfId="4247"/>
    <cellStyle name="Comma 172" xfId="4275"/>
    <cellStyle name="Comma 173" xfId="4199"/>
    <cellStyle name="Comma 174" xfId="4052"/>
    <cellStyle name="Comma 175" xfId="4232"/>
    <cellStyle name="Comma 175 2" xfId="4213"/>
    <cellStyle name="Comma 175 2 2" xfId="4154"/>
    <cellStyle name="Comma 175 2 2 2" xfId="9129"/>
    <cellStyle name="Comma 175 2 2 3" xfId="13409"/>
    <cellStyle name="Comma 175 2 2 4" xfId="17676"/>
    <cellStyle name="Comma 175 2 2 5" xfId="21901"/>
    <cellStyle name="Comma 175 2 2 6" xfId="26117"/>
    <cellStyle name="Comma 175 2 2 7" xfId="30089"/>
    <cellStyle name="Comma 175 2 3" xfId="9187"/>
    <cellStyle name="Comma 175 2 4" xfId="13467"/>
    <cellStyle name="Comma 175 2 5" xfId="17729"/>
    <cellStyle name="Comma 175 2 6" xfId="21954"/>
    <cellStyle name="Comma 175 2 7" xfId="26157"/>
    <cellStyle name="Comma 175 2 8" xfId="30100"/>
    <cellStyle name="Comma 175 3" xfId="4187"/>
    <cellStyle name="Comma 175 3 2" xfId="9161"/>
    <cellStyle name="Comma 175 3 3" xfId="13441"/>
    <cellStyle name="Comma 175 3 4" xfId="17706"/>
    <cellStyle name="Comma 175 3 5" xfId="21932"/>
    <cellStyle name="Comma 175 3 6" xfId="26138"/>
    <cellStyle name="Comma 175 3 7" xfId="30095"/>
    <cellStyle name="Comma 175 4" xfId="9206"/>
    <cellStyle name="Comma 175 5" xfId="13484"/>
    <cellStyle name="Comma 175 6" xfId="17747"/>
    <cellStyle name="Comma 175 7" xfId="21972"/>
    <cellStyle name="Comma 175 8" xfId="26170"/>
    <cellStyle name="Comma 175 9" xfId="30103"/>
    <cellStyle name="Comma 176" xfId="2315"/>
    <cellStyle name="Comma 176 2" xfId="4256"/>
    <cellStyle name="Comma 176 2 2" xfId="4146"/>
    <cellStyle name="Comma 176 2 2 2" xfId="9121"/>
    <cellStyle name="Comma 176 2 2 3" xfId="13401"/>
    <cellStyle name="Comma 176 2 2 4" xfId="17669"/>
    <cellStyle name="Comma 176 2 2 5" xfId="21893"/>
    <cellStyle name="Comma 176 2 2 6" xfId="26111"/>
    <cellStyle name="Comma 176 2 2 7" xfId="30087"/>
    <cellStyle name="Comma 176 2 3" xfId="9230"/>
    <cellStyle name="Comma 176 2 4" xfId="13508"/>
    <cellStyle name="Comma 176 2 5" xfId="17768"/>
    <cellStyle name="Comma 176 2 6" xfId="21991"/>
    <cellStyle name="Comma 176 2 7" xfId="26187"/>
    <cellStyle name="Comma 176 2 8" xfId="30105"/>
    <cellStyle name="Comma 176 3" xfId="4212"/>
    <cellStyle name="Comma 176 3 2" xfId="9186"/>
    <cellStyle name="Comma 176 3 3" xfId="13466"/>
    <cellStyle name="Comma 176 3 4" xfId="17728"/>
    <cellStyle name="Comma 176 3 5" xfId="21953"/>
    <cellStyle name="Comma 176 3 6" xfId="26156"/>
    <cellStyle name="Comma 176 3 7" xfId="30099"/>
    <cellStyle name="Comma 176 4" xfId="7293"/>
    <cellStyle name="Comma 176 5" xfId="11583"/>
    <cellStyle name="Comma 176 6" xfId="15861"/>
    <cellStyle name="Comma 176 7" xfId="20114"/>
    <cellStyle name="Comma 176 8" xfId="24365"/>
    <cellStyle name="Comma 176 9" xfId="28499"/>
    <cellStyle name="Comma 177" xfId="2991"/>
    <cellStyle name="Comma 177 2" xfId="4114"/>
    <cellStyle name="Comma 177 2 2" xfId="2973"/>
    <cellStyle name="Comma 177 2 2 2" xfId="7950"/>
    <cellStyle name="Comma 177 2 2 3" xfId="12239"/>
    <cellStyle name="Comma 177 2 2 4" xfId="16515"/>
    <cellStyle name="Comma 177 2 2 5" xfId="20753"/>
    <cellStyle name="Comma 177 2 2 6" xfId="25001"/>
    <cellStyle name="Comma 177 2 2 7" xfId="29092"/>
    <cellStyle name="Comma 177 2 3" xfId="9089"/>
    <cellStyle name="Comma 177 2 4" xfId="13371"/>
    <cellStyle name="Comma 177 2 5" xfId="17640"/>
    <cellStyle name="Comma 177 2 6" xfId="21865"/>
    <cellStyle name="Comma 177 2 7" xfId="26086"/>
    <cellStyle name="Comma 177 2 8" xfId="30079"/>
    <cellStyle name="Comma 177 3" xfId="4010"/>
    <cellStyle name="Comma 177 3 2" xfId="8986"/>
    <cellStyle name="Comma 177 3 3" xfId="13268"/>
    <cellStyle name="Comma 177 3 4" xfId="17542"/>
    <cellStyle name="Comma 177 3 5" xfId="21771"/>
    <cellStyle name="Comma 177 3 6" xfId="26006"/>
    <cellStyle name="Comma 177 3 7" xfId="30062"/>
    <cellStyle name="Comma 177 4" xfId="7967"/>
    <cellStyle name="Comma 177 5" xfId="12255"/>
    <cellStyle name="Comma 177 6" xfId="16530"/>
    <cellStyle name="Comma 177 7" xfId="20768"/>
    <cellStyle name="Comma 177 8" xfId="25015"/>
    <cellStyle name="Comma 177 9" xfId="29101"/>
    <cellStyle name="Comma 178" xfId="4029"/>
    <cellStyle name="Comma 178 2" xfId="4167"/>
    <cellStyle name="Comma 178 2 2" xfId="4034"/>
    <cellStyle name="Comma 178 2 2 2" xfId="9010"/>
    <cellStyle name="Comma 178 2 2 3" xfId="13292"/>
    <cellStyle name="Comma 178 2 2 4" xfId="17566"/>
    <cellStyle name="Comma 178 2 2 5" xfId="21792"/>
    <cellStyle name="Comma 178 2 2 6" xfId="26025"/>
    <cellStyle name="Comma 178 2 2 7" xfId="30070"/>
    <cellStyle name="Comma 178 2 3" xfId="9142"/>
    <cellStyle name="Comma 178 2 4" xfId="13422"/>
    <cellStyle name="Comma 178 2 5" xfId="17688"/>
    <cellStyle name="Comma 178 2 6" xfId="21914"/>
    <cellStyle name="Comma 178 2 7" xfId="26127"/>
    <cellStyle name="Comma 178 2 8" xfId="30094"/>
    <cellStyle name="Comma 178 3" xfId="4159"/>
    <cellStyle name="Comma 178 3 2" xfId="9134"/>
    <cellStyle name="Comma 178 3 3" xfId="13414"/>
    <cellStyle name="Comma 178 3 4" xfId="17680"/>
    <cellStyle name="Comma 178 3 5" xfId="21906"/>
    <cellStyle name="Comma 178 3 6" xfId="26121"/>
    <cellStyle name="Comma 178 3 7" xfId="30091"/>
    <cellStyle name="Comma 178 4" xfId="9005"/>
    <cellStyle name="Comma 178 5" xfId="13287"/>
    <cellStyle name="Comma 178 6" xfId="17561"/>
    <cellStyle name="Comma 178 7" xfId="21788"/>
    <cellStyle name="Comma 178 8" xfId="26021"/>
    <cellStyle name="Comma 178 9" xfId="30067"/>
    <cellStyle name="Comma 179" xfId="4019"/>
    <cellStyle name="Comma 179 2" xfId="4140"/>
    <cellStyle name="Comma 179 2 2" xfId="4144"/>
    <cellStyle name="Comma 179 2 2 2" xfId="9119"/>
    <cellStyle name="Comma 179 2 2 3" xfId="13399"/>
    <cellStyle name="Comma 179 2 2 4" xfId="17667"/>
    <cellStyle name="Comma 179 2 2 5" xfId="21891"/>
    <cellStyle name="Comma 179 2 2 6" xfId="26109"/>
    <cellStyle name="Comma 179 2 2 7" xfId="30085"/>
    <cellStyle name="Comma 179 2 3" xfId="9115"/>
    <cellStyle name="Comma 179 2 4" xfId="13395"/>
    <cellStyle name="Comma 179 2 5" xfId="17663"/>
    <cellStyle name="Comma 179 2 6" xfId="21887"/>
    <cellStyle name="Comma 179 2 7" xfId="26106"/>
    <cellStyle name="Comma 179 2 8" xfId="30084"/>
    <cellStyle name="Comma 179 3" xfId="4118"/>
    <cellStyle name="Comma 179 3 2" xfId="9093"/>
    <cellStyle name="Comma 179 3 3" xfId="13375"/>
    <cellStyle name="Comma 179 3 4" xfId="17644"/>
    <cellStyle name="Comma 179 3 5" xfId="21869"/>
    <cellStyle name="Comma 179 3 6" xfId="26090"/>
    <cellStyle name="Comma 179 3 7" xfId="30082"/>
    <cellStyle name="Comma 179 4" xfId="8995"/>
    <cellStyle name="Comma 179 5" xfId="13277"/>
    <cellStyle name="Comma 179 6" xfId="17551"/>
    <cellStyle name="Comma 179 7" xfId="21778"/>
    <cellStyle name="Comma 179 8" xfId="26014"/>
    <cellStyle name="Comma 179 9" xfId="30066"/>
    <cellStyle name="Comma 18" xfId="2248"/>
    <cellStyle name="Comma 180" xfId="4189"/>
    <cellStyle name="Comma 180 2" xfId="4086"/>
    <cellStyle name="Comma 180 2 2" xfId="4161"/>
    <cellStyle name="Comma 180 2 2 2" xfId="9136"/>
    <cellStyle name="Comma 180 2 2 3" xfId="13416"/>
    <cellStyle name="Comma 180 2 2 4" xfId="17682"/>
    <cellStyle name="Comma 180 2 2 5" xfId="21908"/>
    <cellStyle name="Comma 180 2 2 6" xfId="26122"/>
    <cellStyle name="Comma 180 2 2 7" xfId="30092"/>
    <cellStyle name="Comma 180 2 3" xfId="9061"/>
    <cellStyle name="Comma 180 2 4" xfId="13343"/>
    <cellStyle name="Comma 180 2 5" xfId="17615"/>
    <cellStyle name="Comma 180 2 6" xfId="21838"/>
    <cellStyle name="Comma 180 2 7" xfId="26066"/>
    <cellStyle name="Comma 180 2 8" xfId="30077"/>
    <cellStyle name="Comma 180 3" xfId="4206"/>
    <cellStyle name="Comma 180 3 2" xfId="9180"/>
    <cellStyle name="Comma 180 3 3" xfId="13460"/>
    <cellStyle name="Comma 180 3 4" xfId="17723"/>
    <cellStyle name="Comma 180 3 5" xfId="21947"/>
    <cellStyle name="Comma 180 3 6" xfId="26152"/>
    <cellStyle name="Comma 180 3 7" xfId="30098"/>
    <cellStyle name="Comma 180 4" xfId="9163"/>
    <cellStyle name="Comma 180 5" xfId="13443"/>
    <cellStyle name="Comma 180 6" xfId="17708"/>
    <cellStyle name="Comma 180 7" xfId="21934"/>
    <cellStyle name="Comma 180 8" xfId="26140"/>
    <cellStyle name="Comma 180 9" xfId="30096"/>
    <cellStyle name="Comma 181" xfId="4165"/>
    <cellStyle name="Comma 181 2" xfId="4190"/>
    <cellStyle name="Comma 181 2 2" xfId="4227"/>
    <cellStyle name="Comma 181 2 2 2" xfId="9201"/>
    <cellStyle name="Comma 181 2 2 3" xfId="13479"/>
    <cellStyle name="Comma 181 2 2 4" xfId="17742"/>
    <cellStyle name="Comma 181 2 2 5" xfId="21967"/>
    <cellStyle name="Comma 181 2 2 6" xfId="26166"/>
    <cellStyle name="Comma 181 2 2 7" xfId="30101"/>
    <cellStyle name="Comma 181 2 3" xfId="9164"/>
    <cellStyle name="Comma 181 2 4" xfId="13444"/>
    <cellStyle name="Comma 181 2 5" xfId="17709"/>
    <cellStyle name="Comma 181 2 6" xfId="21935"/>
    <cellStyle name="Comma 181 2 7" xfId="26141"/>
    <cellStyle name="Comma 181 2 8" xfId="30097"/>
    <cellStyle name="Comma 181 3" xfId="4033"/>
    <cellStyle name="Comma 181 3 2" xfId="9009"/>
    <cellStyle name="Comma 181 3 3" xfId="13291"/>
    <cellStyle name="Comma 181 3 4" xfId="17565"/>
    <cellStyle name="Comma 181 3 5" xfId="21791"/>
    <cellStyle name="Comma 181 3 6" xfId="26024"/>
    <cellStyle name="Comma 181 3 7" xfId="30069"/>
    <cellStyle name="Comma 181 4" xfId="9140"/>
    <cellStyle name="Comma 181 5" xfId="13420"/>
    <cellStyle name="Comma 181 6" xfId="17686"/>
    <cellStyle name="Comma 181 7" xfId="21912"/>
    <cellStyle name="Comma 181 8" xfId="26125"/>
    <cellStyle name="Comma 181 9" xfId="30093"/>
    <cellStyle name="Comma 182" xfId="4240"/>
    <cellStyle name="Comma 182 2" xfId="4117"/>
    <cellStyle name="Comma 182 2 2" xfId="9092"/>
    <cellStyle name="Comma 182 2 3" xfId="13374"/>
    <cellStyle name="Comma 182 2 4" xfId="17643"/>
    <cellStyle name="Comma 182 2 5" xfId="21868"/>
    <cellStyle name="Comma 182 2 6" xfId="26089"/>
    <cellStyle name="Comma 182 2 7" xfId="30081"/>
    <cellStyle name="Comma 182 3" xfId="9214"/>
    <cellStyle name="Comma 182 4" xfId="13492"/>
    <cellStyle name="Comma 182 5" xfId="17753"/>
    <cellStyle name="Comma 182 6" xfId="21978"/>
    <cellStyle name="Comma 182 7" xfId="26173"/>
    <cellStyle name="Comma 182 8" xfId="30104"/>
    <cellStyle name="Comma 183" xfId="4027"/>
    <cellStyle name="Comma 184" xfId="4008"/>
    <cellStyle name="Comma 185" xfId="4121"/>
    <cellStyle name="Comma 186" xfId="4016"/>
    <cellStyle name="Comma 187" xfId="4162"/>
    <cellStyle name="Comma 188" xfId="4082"/>
    <cellStyle name="Comma 189" xfId="4022"/>
    <cellStyle name="Comma 19" xfId="4241"/>
    <cellStyle name="Comma 190" xfId="4005"/>
    <cellStyle name="Comma 191" xfId="3990"/>
    <cellStyle name="Comma 192" xfId="4135"/>
    <cellStyle name="Comma 193" xfId="4244"/>
    <cellStyle name="Comma 194" xfId="4044"/>
    <cellStyle name="Comma 195" xfId="2971"/>
    <cellStyle name="Comma 196" xfId="2291"/>
    <cellStyle name="Comma 197" xfId="4047"/>
    <cellStyle name="Comma 198" xfId="4269"/>
    <cellStyle name="Comma 199" xfId="2290"/>
    <cellStyle name="Comma 2" xfId="30"/>
    <cellStyle name="Comma 2 2" xfId="147"/>
    <cellStyle name="Comma 2 2 2" xfId="4054"/>
    <cellStyle name="Comma 2 3" xfId="4222"/>
    <cellStyle name="Comma 2 4" xfId="2245"/>
    <cellStyle name="Comma 20" xfId="4259"/>
    <cellStyle name="Comma 200" xfId="4178"/>
    <cellStyle name="Comma 201" xfId="4028"/>
    <cellStyle name="Comma 202" xfId="4058"/>
    <cellStyle name="Comma 203" xfId="4160"/>
    <cellStyle name="Comma 204" xfId="4020"/>
    <cellStyle name="Comma 205" xfId="4263"/>
    <cellStyle name="Comma 206" xfId="4246"/>
    <cellStyle name="Comma 207" xfId="4097"/>
    <cellStyle name="Comma 208" xfId="4069"/>
    <cellStyle name="Comma 209" xfId="4104"/>
    <cellStyle name="Comma 21" xfId="4105"/>
    <cellStyle name="Comma 210" xfId="4064"/>
    <cellStyle name="Comma 211" xfId="4271"/>
    <cellStyle name="Comma 211 2" xfId="9245"/>
    <cellStyle name="Comma 211 3" xfId="13522"/>
    <cellStyle name="Comma 211 4" xfId="17782"/>
    <cellStyle name="Comma 211 5" xfId="22004"/>
    <cellStyle name="Comma 211 6" xfId="26199"/>
    <cellStyle name="Comma 211 7" xfId="30107"/>
    <cellStyle name="Comma 212" xfId="4133"/>
    <cellStyle name="Comma 212 2" xfId="9108"/>
    <cellStyle name="Comma 212 3" xfId="13389"/>
    <cellStyle name="Comma 212 4" xfId="17657"/>
    <cellStyle name="Comma 212 5" xfId="21881"/>
    <cellStyle name="Comma 212 6" xfId="26101"/>
    <cellStyle name="Comma 212 7" xfId="30083"/>
    <cellStyle name="Comma 213" xfId="4012"/>
    <cellStyle name="Comma 213 2" xfId="8988"/>
    <cellStyle name="Comma 213 3" xfId="13270"/>
    <cellStyle name="Comma 213 4" xfId="17544"/>
    <cellStyle name="Comma 213 5" xfId="21773"/>
    <cellStyle name="Comma 213 6" xfId="26008"/>
    <cellStyle name="Comma 213 7" xfId="30064"/>
    <cellStyle name="Comma 214" xfId="4039"/>
    <cellStyle name="Comma 214 2" xfId="9015"/>
    <cellStyle name="Comma 214 3" xfId="13297"/>
    <cellStyle name="Comma 214 4" xfId="17571"/>
    <cellStyle name="Comma 214 5" xfId="21796"/>
    <cellStyle name="Comma 214 6" xfId="26030"/>
    <cellStyle name="Comma 214 7" xfId="30073"/>
    <cellStyle name="Comma 215" xfId="4031"/>
    <cellStyle name="Comma 215 2" xfId="9007"/>
    <cellStyle name="Comma 215 3" xfId="13289"/>
    <cellStyle name="Comma 215 4" xfId="17563"/>
    <cellStyle name="Comma 215 5" xfId="21789"/>
    <cellStyle name="Comma 215 6" xfId="26023"/>
    <cellStyle name="Comma 215 7" xfId="30068"/>
    <cellStyle name="Comma 216" xfId="4283"/>
    <cellStyle name="Comma 216 2" xfId="9257"/>
    <cellStyle name="Comma 216 3" xfId="13534"/>
    <cellStyle name="Comma 216 4" xfId="17794"/>
    <cellStyle name="Comma 216 5" xfId="22013"/>
    <cellStyle name="Comma 216 6" xfId="26211"/>
    <cellStyle name="Comma 216 7" xfId="30110"/>
    <cellStyle name="Comma 217" xfId="4011"/>
    <cellStyle name="Comma 217 2" xfId="8987"/>
    <cellStyle name="Comma 217 3" xfId="13269"/>
    <cellStyle name="Comma 217 4" xfId="17543"/>
    <cellStyle name="Comma 217 5" xfId="21772"/>
    <cellStyle name="Comma 217 6" xfId="26007"/>
    <cellStyle name="Comma 217 7" xfId="30063"/>
    <cellStyle name="Comma 218" xfId="4043"/>
    <cellStyle name="Comma 218 2" xfId="9019"/>
    <cellStyle name="Comma 218 3" xfId="13301"/>
    <cellStyle name="Comma 218 4" xfId="17574"/>
    <cellStyle name="Comma 218 5" xfId="21799"/>
    <cellStyle name="Comma 218 6" xfId="26031"/>
    <cellStyle name="Comma 218 7" xfId="30074"/>
    <cellStyle name="Comma 219" xfId="4287"/>
    <cellStyle name="Comma 219 2" xfId="9261"/>
    <cellStyle name="Comma 219 3" xfId="13538"/>
    <cellStyle name="Comma 219 4" xfId="17798"/>
    <cellStyle name="Comma 219 5" xfId="22017"/>
    <cellStyle name="Comma 219 6" xfId="26215"/>
    <cellStyle name="Comma 219 7" xfId="30112"/>
    <cellStyle name="Comma 22" xfId="4079"/>
    <cellStyle name="Comma 220" xfId="4288"/>
    <cellStyle name="Comma 220 2" xfId="9262"/>
    <cellStyle name="Comma 220 3" xfId="13539"/>
    <cellStyle name="Comma 220 4" xfId="17799"/>
    <cellStyle name="Comma 220 5" xfId="22018"/>
    <cellStyle name="Comma 220 6" xfId="26216"/>
    <cellStyle name="Comma 220 7" xfId="30113"/>
    <cellStyle name="Comma 221" xfId="4286"/>
    <cellStyle name="Comma 221 2" xfId="9260"/>
    <cellStyle name="Comma 221 3" xfId="13537"/>
    <cellStyle name="Comma 221 4" xfId="17797"/>
    <cellStyle name="Comma 221 5" xfId="22016"/>
    <cellStyle name="Comma 221 6" xfId="26214"/>
    <cellStyle name="Comma 221 7" xfId="30111"/>
    <cellStyle name="Comma 222" xfId="4036"/>
    <cellStyle name="Comma 222 2" xfId="9012"/>
    <cellStyle name="Comma 222 3" xfId="13294"/>
    <cellStyle name="Comma 222 4" xfId="17568"/>
    <cellStyle name="Comma 222 5" xfId="21794"/>
    <cellStyle name="Comma 222 6" xfId="26027"/>
    <cellStyle name="Comma 222 7" xfId="30072"/>
    <cellStyle name="Comma 223" xfId="5610"/>
    <cellStyle name="Comma 23" xfId="3991"/>
    <cellStyle name="Comma 24" xfId="4202"/>
    <cellStyle name="Comma 25" xfId="4087"/>
    <cellStyle name="Comma 26" xfId="4250"/>
    <cellStyle name="Comma 27" xfId="4188"/>
    <cellStyle name="Comma 28" xfId="4049"/>
    <cellStyle name="Comma 29" xfId="4201"/>
    <cellStyle name="Comma 3" xfId="103"/>
    <cellStyle name="Comma 3 10" xfId="5662"/>
    <cellStyle name="Comma 3 10 2" xfId="10634"/>
    <cellStyle name="Comma 3 10 3" xfId="14912"/>
    <cellStyle name="Comma 3 10 4" xfId="19169"/>
    <cellStyle name="Comma 3 10 5" xfId="23386"/>
    <cellStyle name="Comma 3 10 6" xfId="27572"/>
    <cellStyle name="Comma 3 10 7" xfId="31451"/>
    <cellStyle name="Comma 3 11" xfId="6403"/>
    <cellStyle name="Comma 3 12" xfId="8233"/>
    <cellStyle name="Comma 3 13" xfId="12518"/>
    <cellStyle name="Comma 3 14" xfId="16791"/>
    <cellStyle name="Comma 3 15" xfId="20794"/>
    <cellStyle name="Comma 3 16" xfId="25265"/>
    <cellStyle name="Comma 3 17" xfId="1597"/>
    <cellStyle name="Comma 3 2" xfId="191"/>
    <cellStyle name="Comma 3 3" xfId="294"/>
    <cellStyle name="Comma 3 3 10" xfId="15792"/>
    <cellStyle name="Comma 3 3 11" xfId="20092"/>
    <cellStyle name="Comma 3 3 12" xfId="24298"/>
    <cellStyle name="Comma 3 3 13" xfId="1666"/>
    <cellStyle name="Comma 3 3 2" xfId="677"/>
    <cellStyle name="Comma 3 3 2 10" xfId="24052"/>
    <cellStyle name="Comma 3 3 2 11" xfId="12477"/>
    <cellStyle name="Comma 3 3 2 12" xfId="1996"/>
    <cellStyle name="Comma 3 3 2 2" xfId="1334"/>
    <cellStyle name="Comma 3 3 2 2 2" xfId="5365"/>
    <cellStyle name="Comma 3 3 2 2 2 2" xfId="10339"/>
    <cellStyle name="Comma 3 3 2 2 2 3" xfId="14616"/>
    <cellStyle name="Comma 3 3 2 2 2 4" xfId="18875"/>
    <cellStyle name="Comma 3 3 2 2 2 5" xfId="23094"/>
    <cellStyle name="Comma 3 3 2 2 2 6" xfId="27289"/>
    <cellStyle name="Comma 3 3 2 2 2 7" xfId="31185"/>
    <cellStyle name="Comma 3 3 2 2 3" xfId="8793"/>
    <cellStyle name="Comma 3 3 2 2 4" xfId="13078"/>
    <cellStyle name="Comma 3 3 2 2 5" xfId="17350"/>
    <cellStyle name="Comma 3 3 2 2 6" xfId="21585"/>
    <cellStyle name="Comma 3 3 2 2 7" xfId="25823"/>
    <cellStyle name="Comma 3 3 2 2 8" xfId="29899"/>
    <cellStyle name="Comma 3 3 2 2 9" xfId="3817"/>
    <cellStyle name="Comma 3 3 2 3" xfId="2978"/>
    <cellStyle name="Comma 3 3 2 3 2" xfId="7955"/>
    <cellStyle name="Comma 3 3 2 3 3" xfId="12244"/>
    <cellStyle name="Comma 3 3 2 3 4" xfId="16520"/>
    <cellStyle name="Comma 3 3 2 3 5" xfId="20757"/>
    <cellStyle name="Comma 3 3 2 3 6" xfId="25004"/>
    <cellStyle name="Comma 3 3 2 3 7" xfId="29093"/>
    <cellStyle name="Comma 3 3 2 4" xfId="4708"/>
    <cellStyle name="Comma 3 3 2 4 2" xfId="9682"/>
    <cellStyle name="Comma 3 3 2 4 3" xfId="13959"/>
    <cellStyle name="Comma 3 3 2 4 4" xfId="18218"/>
    <cellStyle name="Comma 3 3 2 4 5" xfId="22437"/>
    <cellStyle name="Comma 3 3 2 4 6" xfId="26632"/>
    <cellStyle name="Comma 3 3 2 4 7" xfId="30528"/>
    <cellStyle name="Comma 3 3 2 5" xfId="6056"/>
    <cellStyle name="Comma 3 3 2 5 2" xfId="11028"/>
    <cellStyle name="Comma 3 3 2 5 3" xfId="15306"/>
    <cellStyle name="Comma 3 3 2 5 4" xfId="19563"/>
    <cellStyle name="Comma 3 3 2 5 5" xfId="23780"/>
    <cellStyle name="Comma 3 3 2 5 6" xfId="27966"/>
    <cellStyle name="Comma 3 3 2 5 7" xfId="31845"/>
    <cellStyle name="Comma 3 3 2 6" xfId="6974"/>
    <cellStyle name="Comma 3 3 2 7" xfId="6588"/>
    <cellStyle name="Comma 3 3 2 8" xfId="9117"/>
    <cellStyle name="Comma 3 3 2 9" xfId="13397"/>
    <cellStyle name="Comma 3 3 3" xfId="1005"/>
    <cellStyle name="Comma 3 3 3 2" xfId="5036"/>
    <cellStyle name="Comma 3 3 3 2 2" xfId="10010"/>
    <cellStyle name="Comma 3 3 3 2 3" xfId="14287"/>
    <cellStyle name="Comma 3 3 3 2 4" xfId="18546"/>
    <cellStyle name="Comma 3 3 3 2 5" xfId="22765"/>
    <cellStyle name="Comma 3 3 3 2 6" xfId="26960"/>
    <cellStyle name="Comma 3 3 3 2 7" xfId="30856"/>
    <cellStyle name="Comma 3 3 3 3" xfId="8266"/>
    <cellStyle name="Comma 3 3 3 4" xfId="12551"/>
    <cellStyle name="Comma 3 3 3 5" xfId="16824"/>
    <cellStyle name="Comma 3 3 3 6" xfId="21060"/>
    <cellStyle name="Comma 3 3 3 7" xfId="25298"/>
    <cellStyle name="Comma 3 3 3 8" xfId="29376"/>
    <cellStyle name="Comma 3 3 3 9" xfId="3290"/>
    <cellStyle name="Comma 3 3 4" xfId="2406"/>
    <cellStyle name="Comma 3 3 4 2" xfId="7384"/>
    <cellStyle name="Comma 3 3 4 3" xfId="11673"/>
    <cellStyle name="Comma 3 3 4 4" xfId="15951"/>
    <cellStyle name="Comma 3 3 4 5" xfId="20200"/>
    <cellStyle name="Comma 3 3 4 6" xfId="24448"/>
    <cellStyle name="Comma 3 3 4 7" xfId="28568"/>
    <cellStyle name="Comma 3 3 5" xfId="4378"/>
    <cellStyle name="Comma 3 3 5 2" xfId="9352"/>
    <cellStyle name="Comma 3 3 5 3" xfId="13629"/>
    <cellStyle name="Comma 3 3 5 4" xfId="17889"/>
    <cellStyle name="Comma 3 3 5 5" xfId="22107"/>
    <cellStyle name="Comma 3 3 5 6" xfId="26303"/>
    <cellStyle name="Comma 3 3 5 7" xfId="30199"/>
    <cellStyle name="Comma 3 3 6" xfId="5727"/>
    <cellStyle name="Comma 3 3 6 2" xfId="10699"/>
    <cellStyle name="Comma 3 3 6 3" xfId="14977"/>
    <cellStyle name="Comma 3 3 6 4" xfId="19234"/>
    <cellStyle name="Comma 3 3 6 5" xfId="23451"/>
    <cellStyle name="Comma 3 3 6 6" xfId="27637"/>
    <cellStyle name="Comma 3 3 6 7" xfId="31516"/>
    <cellStyle name="Comma 3 3 7" xfId="6592"/>
    <cellStyle name="Comma 3 3 8" xfId="7222"/>
    <cellStyle name="Comma 3 3 9" xfId="11514"/>
    <cellStyle name="Comma 3 4" xfId="510"/>
    <cellStyle name="Comma 3 4 10" xfId="13462"/>
    <cellStyle name="Comma 3 4 11" xfId="13224"/>
    <cellStyle name="Comma 3 4 12" xfId="21861"/>
    <cellStyle name="Comma 3 4 13" xfId="1873"/>
    <cellStyle name="Comma 3 4 2" xfId="884"/>
    <cellStyle name="Comma 3 4 2 10" xfId="24259"/>
    <cellStyle name="Comma 3 4 2 11" xfId="28411"/>
    <cellStyle name="Comma 3 4 2 12" xfId="2203"/>
    <cellStyle name="Comma 3 4 2 2" xfId="1541"/>
    <cellStyle name="Comma 3 4 2 2 2" xfId="5572"/>
    <cellStyle name="Comma 3 4 2 2 2 2" xfId="10546"/>
    <cellStyle name="Comma 3 4 2 2 2 3" xfId="14823"/>
    <cellStyle name="Comma 3 4 2 2 2 4" xfId="19082"/>
    <cellStyle name="Comma 3 4 2 2 2 5" xfId="23301"/>
    <cellStyle name="Comma 3 4 2 2 2 6" xfId="27496"/>
    <cellStyle name="Comma 3 4 2 2 2 7" xfId="31392"/>
    <cellStyle name="Comma 3 4 2 2 3" xfId="8794"/>
    <cellStyle name="Comma 3 4 2 2 4" xfId="13079"/>
    <cellStyle name="Comma 3 4 2 2 5" xfId="17351"/>
    <cellStyle name="Comma 3 4 2 2 6" xfId="21586"/>
    <cellStyle name="Comma 3 4 2 2 7" xfId="25824"/>
    <cellStyle name="Comma 3 4 2 2 8" xfId="29900"/>
    <cellStyle name="Comma 3 4 2 2 9" xfId="3818"/>
    <cellStyle name="Comma 3 4 2 3" xfId="2979"/>
    <cellStyle name="Comma 3 4 2 3 2" xfId="7956"/>
    <cellStyle name="Comma 3 4 2 3 3" xfId="12245"/>
    <cellStyle name="Comma 3 4 2 3 4" xfId="16521"/>
    <cellStyle name="Comma 3 4 2 3 5" xfId="20758"/>
    <cellStyle name="Comma 3 4 2 3 6" xfId="25005"/>
    <cellStyle name="Comma 3 4 2 3 7" xfId="29094"/>
    <cellStyle name="Comma 3 4 2 4" xfId="4915"/>
    <cellStyle name="Comma 3 4 2 4 2" xfId="9889"/>
    <cellStyle name="Comma 3 4 2 4 3" xfId="14166"/>
    <cellStyle name="Comma 3 4 2 4 4" xfId="18425"/>
    <cellStyle name="Comma 3 4 2 4 5" xfId="22644"/>
    <cellStyle name="Comma 3 4 2 4 6" xfId="26839"/>
    <cellStyle name="Comma 3 4 2 4 7" xfId="30735"/>
    <cellStyle name="Comma 3 4 2 5" xfId="6263"/>
    <cellStyle name="Comma 3 4 2 5 2" xfId="11235"/>
    <cellStyle name="Comma 3 4 2 5 3" xfId="15513"/>
    <cellStyle name="Comma 3 4 2 5 4" xfId="19770"/>
    <cellStyle name="Comma 3 4 2 5 5" xfId="23987"/>
    <cellStyle name="Comma 3 4 2 5 6" xfId="28173"/>
    <cellStyle name="Comma 3 4 2 5 7" xfId="32052"/>
    <cellStyle name="Comma 3 4 2 6" xfId="7181"/>
    <cellStyle name="Comma 3 4 2 7" xfId="11473"/>
    <cellStyle name="Comma 3 4 2 8" xfId="15751"/>
    <cellStyle name="Comma 3 4 2 9" xfId="20008"/>
    <cellStyle name="Comma 3 4 3" xfId="1212"/>
    <cellStyle name="Comma 3 4 3 2" xfId="5243"/>
    <cellStyle name="Comma 3 4 3 2 2" xfId="10217"/>
    <cellStyle name="Comma 3 4 3 2 3" xfId="14494"/>
    <cellStyle name="Comma 3 4 3 2 4" xfId="18753"/>
    <cellStyle name="Comma 3 4 3 2 5" xfId="22972"/>
    <cellStyle name="Comma 3 4 3 2 6" xfId="27167"/>
    <cellStyle name="Comma 3 4 3 2 7" xfId="31063"/>
    <cellStyle name="Comma 3 4 3 3" xfId="8453"/>
    <cellStyle name="Comma 3 4 3 4" xfId="12738"/>
    <cellStyle name="Comma 3 4 3 5" xfId="17010"/>
    <cellStyle name="Comma 3 4 3 6" xfId="21245"/>
    <cellStyle name="Comma 3 4 3 7" xfId="25483"/>
    <cellStyle name="Comma 3 4 3 8" xfId="29561"/>
    <cellStyle name="Comma 3 4 3 9" xfId="3477"/>
    <cellStyle name="Comma 3 4 4" xfId="2620"/>
    <cellStyle name="Comma 3 4 4 2" xfId="7597"/>
    <cellStyle name="Comma 3 4 4 3" xfId="11886"/>
    <cellStyle name="Comma 3 4 4 4" xfId="16162"/>
    <cellStyle name="Comma 3 4 4 5" xfId="20404"/>
    <cellStyle name="Comma 3 4 4 6" xfId="24651"/>
    <cellStyle name="Comma 3 4 4 7" xfId="28754"/>
    <cellStyle name="Comma 3 4 5" xfId="4585"/>
    <cellStyle name="Comma 3 4 5 2" xfId="9559"/>
    <cellStyle name="Comma 3 4 5 3" xfId="13836"/>
    <cellStyle name="Comma 3 4 5 4" xfId="18096"/>
    <cellStyle name="Comma 3 4 5 5" xfId="22314"/>
    <cellStyle name="Comma 3 4 5 6" xfId="26510"/>
    <cellStyle name="Comma 3 4 5 7" xfId="30406"/>
    <cellStyle name="Comma 3 4 6" xfId="5934"/>
    <cellStyle name="Comma 3 4 6 2" xfId="10906"/>
    <cellStyle name="Comma 3 4 6 3" xfId="15184"/>
    <cellStyle name="Comma 3 4 6 4" xfId="19441"/>
    <cellStyle name="Comma 3 4 6 5" xfId="23658"/>
    <cellStyle name="Comma 3 4 6 6" xfId="27844"/>
    <cellStyle name="Comma 3 4 6 7" xfId="31723"/>
    <cellStyle name="Comma 3 4 7" xfId="6808"/>
    <cellStyle name="Comma 3 4 8" xfId="6549"/>
    <cellStyle name="Comma 3 4 9" xfId="9182"/>
    <cellStyle name="Comma 3 5" xfId="611"/>
    <cellStyle name="Comma 3 5 10" xfId="17528"/>
    <cellStyle name="Comma 3 5 11" xfId="20143"/>
    <cellStyle name="Comma 3 5 12" xfId="25995"/>
    <cellStyle name="Comma 3 5 13" xfId="1930"/>
    <cellStyle name="Comma 3 5 2" xfId="1268"/>
    <cellStyle name="Comma 3 5 2 10" xfId="2981"/>
    <cellStyle name="Comma 3 5 2 2" xfId="3820"/>
    <cellStyle name="Comma 3 5 2 2 2" xfId="8796"/>
    <cellStyle name="Comma 3 5 2 2 3" xfId="13081"/>
    <cellStyle name="Comma 3 5 2 2 4" xfId="17353"/>
    <cellStyle name="Comma 3 5 2 2 5" xfId="21588"/>
    <cellStyle name="Comma 3 5 2 2 6" xfId="25826"/>
    <cellStyle name="Comma 3 5 2 2 7" xfId="29902"/>
    <cellStyle name="Comma 3 5 2 3" xfId="5299"/>
    <cellStyle name="Comma 3 5 2 3 2" xfId="10273"/>
    <cellStyle name="Comma 3 5 2 3 3" xfId="14550"/>
    <cellStyle name="Comma 3 5 2 3 4" xfId="18809"/>
    <cellStyle name="Comma 3 5 2 3 5" xfId="23028"/>
    <cellStyle name="Comma 3 5 2 3 6" xfId="27223"/>
    <cellStyle name="Comma 3 5 2 3 7" xfId="31119"/>
    <cellStyle name="Comma 3 5 2 4" xfId="7958"/>
    <cellStyle name="Comma 3 5 2 5" xfId="12247"/>
    <cellStyle name="Comma 3 5 2 6" xfId="16523"/>
    <cellStyle name="Comma 3 5 2 7" xfId="20760"/>
    <cellStyle name="Comma 3 5 2 8" xfId="25007"/>
    <cellStyle name="Comma 3 5 2 9" xfId="29096"/>
    <cellStyle name="Comma 3 5 3" xfId="3819"/>
    <cellStyle name="Comma 3 5 3 2" xfId="8795"/>
    <cellStyle name="Comma 3 5 3 3" xfId="13080"/>
    <cellStyle name="Comma 3 5 3 4" xfId="17352"/>
    <cellStyle name="Comma 3 5 3 5" xfId="21587"/>
    <cellStyle name="Comma 3 5 3 6" xfId="25825"/>
    <cellStyle name="Comma 3 5 3 7" xfId="29901"/>
    <cellStyle name="Comma 3 5 4" xfId="2980"/>
    <cellStyle name="Comma 3 5 4 2" xfId="7957"/>
    <cellStyle name="Comma 3 5 4 3" xfId="12246"/>
    <cellStyle name="Comma 3 5 4 4" xfId="16522"/>
    <cellStyle name="Comma 3 5 4 5" xfId="20759"/>
    <cellStyle name="Comma 3 5 4 6" xfId="25006"/>
    <cellStyle name="Comma 3 5 4 7" xfId="29095"/>
    <cellStyle name="Comma 3 5 5" xfId="4642"/>
    <cellStyle name="Comma 3 5 5 2" xfId="9616"/>
    <cellStyle name="Comma 3 5 5 3" xfId="13893"/>
    <cellStyle name="Comma 3 5 5 4" xfId="18152"/>
    <cellStyle name="Comma 3 5 5 5" xfId="22371"/>
    <cellStyle name="Comma 3 5 5 6" xfId="26566"/>
    <cellStyle name="Comma 3 5 5 7" xfId="30462"/>
    <cellStyle name="Comma 3 5 6" xfId="5990"/>
    <cellStyle name="Comma 3 5 6 2" xfId="10962"/>
    <cellStyle name="Comma 3 5 6 3" xfId="15240"/>
    <cellStyle name="Comma 3 5 6 4" xfId="19497"/>
    <cellStyle name="Comma 3 5 6 5" xfId="23714"/>
    <cellStyle name="Comma 3 5 6 6" xfId="27900"/>
    <cellStyle name="Comma 3 5 6 7" xfId="31779"/>
    <cellStyle name="Comma 3 5 7" xfId="6908"/>
    <cellStyle name="Comma 3 5 8" xfId="8972"/>
    <cellStyle name="Comma 3 5 9" xfId="13254"/>
    <cellStyle name="Comma 3 6" xfId="939"/>
    <cellStyle name="Comma 3 6 10" xfId="2982"/>
    <cellStyle name="Comma 3 6 2" xfId="3821"/>
    <cellStyle name="Comma 3 6 2 2" xfId="8797"/>
    <cellStyle name="Comma 3 6 2 3" xfId="13082"/>
    <cellStyle name="Comma 3 6 2 4" xfId="17354"/>
    <cellStyle name="Comma 3 6 2 5" xfId="21589"/>
    <cellStyle name="Comma 3 6 2 6" xfId="25827"/>
    <cellStyle name="Comma 3 6 2 7" xfId="29903"/>
    <cellStyle name="Comma 3 6 3" xfId="4970"/>
    <cellStyle name="Comma 3 6 3 2" xfId="9944"/>
    <cellStyle name="Comma 3 6 3 3" xfId="14221"/>
    <cellStyle name="Comma 3 6 3 4" xfId="18480"/>
    <cellStyle name="Comma 3 6 3 5" xfId="22699"/>
    <cellStyle name="Comma 3 6 3 6" xfId="26894"/>
    <cellStyle name="Comma 3 6 3 7" xfId="30790"/>
    <cellStyle name="Comma 3 6 4" xfId="7959"/>
    <cellStyle name="Comma 3 6 5" xfId="12248"/>
    <cellStyle name="Comma 3 6 6" xfId="16524"/>
    <cellStyle name="Comma 3 6 7" xfId="20761"/>
    <cellStyle name="Comma 3 6 8" xfId="25008"/>
    <cellStyle name="Comma 3 6 9" xfId="29097"/>
    <cellStyle name="Comma 3 7" xfId="3182"/>
    <cellStyle name="Comma 3 7 2" xfId="8158"/>
    <cellStyle name="Comma 3 7 3" xfId="12444"/>
    <cellStyle name="Comma 3 7 4" xfId="16718"/>
    <cellStyle name="Comma 3 7 5" xfId="20954"/>
    <cellStyle name="Comma 3 7 6" xfId="25194"/>
    <cellStyle name="Comma 3 7 7" xfId="29275"/>
    <cellStyle name="Comma 3 8" xfId="2269"/>
    <cellStyle name="Comma 3 8 2" xfId="7247"/>
    <cellStyle name="Comma 3 8 3" xfId="11537"/>
    <cellStyle name="Comma 3 8 4" xfId="15816"/>
    <cellStyle name="Comma 3 8 5" xfId="20071"/>
    <cellStyle name="Comma 3 8 6" xfId="24321"/>
    <cellStyle name="Comma 3 8 7" xfId="28466"/>
    <cellStyle name="Comma 3 9" xfId="4307"/>
    <cellStyle name="Comma 3 9 2" xfId="9281"/>
    <cellStyle name="Comma 3 9 3" xfId="13558"/>
    <cellStyle name="Comma 3 9 4" xfId="17818"/>
    <cellStyle name="Comma 3 9 5" xfId="22037"/>
    <cellStyle name="Comma 3 9 6" xfId="26235"/>
    <cellStyle name="Comma 3 9 7" xfId="30132"/>
    <cellStyle name="Comma 30" xfId="4134"/>
    <cellStyle name="Comma 31" xfId="4251"/>
    <cellStyle name="Comma 32" xfId="4182"/>
    <cellStyle name="Comma 33" xfId="2972"/>
    <cellStyle name="Comma 34" xfId="2284"/>
    <cellStyle name="Comma 35" xfId="4141"/>
    <cellStyle name="Comma 36" xfId="2293"/>
    <cellStyle name="Comma 37" xfId="4098"/>
    <cellStyle name="Comma 38" xfId="2313"/>
    <cellStyle name="Comma 39" xfId="4094"/>
    <cellStyle name="Comma 4" xfId="219"/>
    <cellStyle name="Comma 40" xfId="4102"/>
    <cellStyle name="Comma 41" xfId="4062"/>
    <cellStyle name="Comma 42" xfId="2987"/>
    <cellStyle name="Comma 43" xfId="4076"/>
    <cellStyle name="Comma 44" xfId="4196"/>
    <cellStyle name="Comma 45" xfId="4163"/>
    <cellStyle name="Comma 46" xfId="4157"/>
    <cellStyle name="Comma 47" xfId="4059"/>
    <cellStyle name="Comma 48" xfId="4013"/>
    <cellStyle name="Comma 49" xfId="4273"/>
    <cellStyle name="Comma 5" xfId="576"/>
    <cellStyle name="Comma 50" xfId="4017"/>
    <cellStyle name="Comma 51" xfId="4224"/>
    <cellStyle name="Comma 52" xfId="2311"/>
    <cellStyle name="Comma 53" xfId="4180"/>
    <cellStyle name="Comma 54" xfId="4200"/>
    <cellStyle name="Comma 55" xfId="2286"/>
    <cellStyle name="Comma 56" xfId="4000"/>
    <cellStyle name="Comma 57" xfId="4030"/>
    <cellStyle name="Comma 58" xfId="2354"/>
    <cellStyle name="Comma 59" xfId="2243"/>
    <cellStyle name="Comma 6" xfId="4115"/>
    <cellStyle name="Comma 6 2" xfId="4007"/>
    <cellStyle name="Comma 6 3" xfId="9090"/>
    <cellStyle name="Comma 6 4" xfId="13372"/>
    <cellStyle name="Comma 6 5" xfId="17641"/>
    <cellStyle name="Comma 6 6" xfId="21866"/>
    <cellStyle name="Comma 6 7" xfId="26087"/>
    <cellStyle name="Comma 6 8" xfId="30080"/>
    <cellStyle name="Comma 60" xfId="4281"/>
    <cellStyle name="Comma 61" xfId="4045"/>
    <cellStyle name="Comma 62" xfId="4174"/>
    <cellStyle name="Comma 63" xfId="4255"/>
    <cellStyle name="Comma 64" xfId="4072"/>
    <cellStyle name="Comma 65" xfId="4014"/>
    <cellStyle name="Comma 66" xfId="4038"/>
    <cellStyle name="Comma 67" xfId="2244"/>
    <cellStyle name="Comma 68" xfId="2970"/>
    <cellStyle name="Comma 69" xfId="2324"/>
    <cellStyle name="Comma 7" xfId="4101"/>
    <cellStyle name="Comma 7 2" xfId="2320"/>
    <cellStyle name="Comma 7 3" xfId="9076"/>
    <cellStyle name="Comma 7 4" xfId="13358"/>
    <cellStyle name="Comma 7 5" xfId="17627"/>
    <cellStyle name="Comma 7 6" xfId="21852"/>
    <cellStyle name="Comma 7 7" xfId="26074"/>
    <cellStyle name="Comma 7 8" xfId="30078"/>
    <cellStyle name="Comma 70" xfId="4142"/>
    <cellStyle name="Comma 71" xfId="2974"/>
    <cellStyle name="Comma 72" xfId="4192"/>
    <cellStyle name="Comma 73" xfId="4203"/>
    <cellStyle name="Comma 74" xfId="4183"/>
    <cellStyle name="Comma 75" xfId="4110"/>
    <cellStyle name="Comma 76" xfId="4220"/>
    <cellStyle name="Comma 77" xfId="4279"/>
    <cellStyle name="Comma 78" xfId="4143"/>
    <cellStyle name="Comma 79" xfId="2246"/>
    <cellStyle name="Comma 8" xfId="2412"/>
    <cellStyle name="Comma 8 2" xfId="4122"/>
    <cellStyle name="Comma 8 3" xfId="7390"/>
    <cellStyle name="Comma 8 4" xfId="11679"/>
    <cellStyle name="Comma 8 5" xfId="15957"/>
    <cellStyle name="Comma 8 6" xfId="20205"/>
    <cellStyle name="Comma 8 7" xfId="24453"/>
    <cellStyle name="Comma 8 8" xfId="28570"/>
    <cellStyle name="Comma 80" xfId="4090"/>
    <cellStyle name="Comma 81" xfId="4032"/>
    <cellStyle name="Comma 82" xfId="3988"/>
    <cellStyle name="Comma 83" xfId="4215"/>
    <cellStyle name="Comma 84" xfId="4119"/>
    <cellStyle name="Comma 85" xfId="4221"/>
    <cellStyle name="Comma 86" xfId="4214"/>
    <cellStyle name="Comma 87" xfId="4176"/>
    <cellStyle name="Comma 88" xfId="4223"/>
    <cellStyle name="Comma 89" xfId="4024"/>
    <cellStyle name="Comma 9" xfId="2287"/>
    <cellStyle name="Comma 90" xfId="4197"/>
    <cellStyle name="Comma 91" xfId="4231"/>
    <cellStyle name="Comma 92" xfId="4081"/>
    <cellStyle name="Comma 93" xfId="4150"/>
    <cellStyle name="Comma 94" xfId="2584"/>
    <cellStyle name="Comma 95" xfId="4243"/>
    <cellStyle name="Comma 96" xfId="4018"/>
    <cellStyle name="Comma 97" xfId="4238"/>
    <cellStyle name="Comma 98" xfId="4186"/>
    <cellStyle name="Comma 99" xfId="4233"/>
    <cellStyle name="Comma0" xfId="3999"/>
    <cellStyle name="Currency" xfId="31" builtinId="4"/>
    <cellStyle name="Currency 2" xfId="32"/>
    <cellStyle name="Currency 2 2" xfId="192"/>
    <cellStyle name="Currency 2 2 2" xfId="2983"/>
    <cellStyle name="Currency 2 2 2 2" xfId="3822"/>
    <cellStyle name="Currency 2 2 2 2 2" xfId="8798"/>
    <cellStyle name="Currency 2 2 2 2 3" xfId="13083"/>
    <cellStyle name="Currency 2 2 2 2 4" xfId="17355"/>
    <cellStyle name="Currency 2 2 2 2 5" xfId="21590"/>
    <cellStyle name="Currency 2 2 2 2 6" xfId="25828"/>
    <cellStyle name="Currency 2 2 2 2 7" xfId="29904"/>
    <cellStyle name="Currency 2 2 2 3" xfId="4088"/>
    <cellStyle name="Currency 2 2 2 4" xfId="7960"/>
    <cellStyle name="Currency 2 2 2 5" xfId="12249"/>
    <cellStyle name="Currency 2 2 2 6" xfId="16525"/>
    <cellStyle name="Currency 2 2 2 7" xfId="20762"/>
    <cellStyle name="Currency 2 2 2 8" xfId="25009"/>
    <cellStyle name="Currency 2 2 2 9" xfId="29098"/>
    <cellStyle name="Currency 2 2 3" xfId="3291"/>
    <cellStyle name="Currency 2 2 3 2" xfId="8267"/>
    <cellStyle name="Currency 2 2 3 3" xfId="12552"/>
    <cellStyle name="Currency 2 2 3 4" xfId="16825"/>
    <cellStyle name="Currency 2 2 3 5" xfId="21061"/>
    <cellStyle name="Currency 2 2 3 6" xfId="25299"/>
    <cellStyle name="Currency 2 2 3 7" xfId="29377"/>
    <cellStyle name="Currency 2 2 4" xfId="2407"/>
    <cellStyle name="Currency 2 2 4 2" xfId="7385"/>
    <cellStyle name="Currency 2 2 4 3" xfId="11674"/>
    <cellStyle name="Currency 2 2 4 4" xfId="15952"/>
    <cellStyle name="Currency 2 2 4 5" xfId="20201"/>
    <cellStyle name="Currency 2 2 4 6" xfId="24449"/>
    <cellStyle name="Currency 2 2 4 7" xfId="28569"/>
    <cellStyle name="Currency 2 3" xfId="4138"/>
    <cellStyle name="Currency 2 4" xfId="4113"/>
    <cellStyle name="Currency 2 5" xfId="4342"/>
    <cellStyle name="Currency 2 5 2" xfId="9316"/>
    <cellStyle name="Currency 2 5 3" xfId="13593"/>
    <cellStyle name="Currency 2 5 4" xfId="17853"/>
    <cellStyle name="Currency 2 5 5" xfId="22072"/>
    <cellStyle name="Currency 2 5 6" xfId="26268"/>
    <cellStyle name="Currency 2 5 7" xfId="30164"/>
    <cellStyle name="Currency 3" xfId="334"/>
    <cellStyle name="Currency 3 10" xfId="13390"/>
    <cellStyle name="Currency 3 11" xfId="17658"/>
    <cellStyle name="Currency 3 12" xfId="21800"/>
    <cellStyle name="Currency 3 13" xfId="26102"/>
    <cellStyle name="Currency 3 14" xfId="1703"/>
    <cellStyle name="Currency 3 2" xfId="714"/>
    <cellStyle name="Currency 3 2 10" xfId="24089"/>
    <cellStyle name="Currency 3 2 11" xfId="28241"/>
    <cellStyle name="Currency 3 2 12" xfId="2033"/>
    <cellStyle name="Currency 3 2 2" xfId="1371"/>
    <cellStyle name="Currency 3 2 2 2" xfId="5402"/>
    <cellStyle name="Currency 3 2 2 2 2" xfId="10376"/>
    <cellStyle name="Currency 3 2 2 2 3" xfId="14653"/>
    <cellStyle name="Currency 3 2 2 2 4" xfId="18912"/>
    <cellStyle name="Currency 3 2 2 2 5" xfId="23131"/>
    <cellStyle name="Currency 3 2 2 2 6" xfId="27326"/>
    <cellStyle name="Currency 3 2 2 2 7" xfId="31222"/>
    <cellStyle name="Currency 3 2 2 3" xfId="8799"/>
    <cellStyle name="Currency 3 2 2 4" xfId="13084"/>
    <cellStyle name="Currency 3 2 2 5" xfId="17356"/>
    <cellStyle name="Currency 3 2 2 6" xfId="21591"/>
    <cellStyle name="Currency 3 2 2 7" xfId="25829"/>
    <cellStyle name="Currency 3 2 2 8" xfId="29905"/>
    <cellStyle name="Currency 3 2 2 9" xfId="3823"/>
    <cellStyle name="Currency 3 2 3" xfId="2984"/>
    <cellStyle name="Currency 3 2 3 2" xfId="7961"/>
    <cellStyle name="Currency 3 2 3 3" xfId="12250"/>
    <cellStyle name="Currency 3 2 3 4" xfId="16526"/>
    <cellStyle name="Currency 3 2 3 5" xfId="20763"/>
    <cellStyle name="Currency 3 2 3 6" xfId="25010"/>
    <cellStyle name="Currency 3 2 3 7" xfId="29099"/>
    <cellStyle name="Currency 3 2 4" xfId="4745"/>
    <cellStyle name="Currency 3 2 4 2" xfId="9719"/>
    <cellStyle name="Currency 3 2 4 3" xfId="13996"/>
    <cellStyle name="Currency 3 2 4 4" xfId="18255"/>
    <cellStyle name="Currency 3 2 4 5" xfId="22474"/>
    <cellStyle name="Currency 3 2 4 6" xfId="26669"/>
    <cellStyle name="Currency 3 2 4 7" xfId="30565"/>
    <cellStyle name="Currency 3 2 5" xfId="6093"/>
    <cellStyle name="Currency 3 2 5 2" xfId="11065"/>
    <cellStyle name="Currency 3 2 5 3" xfId="15343"/>
    <cellStyle name="Currency 3 2 5 4" xfId="19600"/>
    <cellStyle name="Currency 3 2 5 5" xfId="23817"/>
    <cellStyle name="Currency 3 2 5 6" xfId="28003"/>
    <cellStyle name="Currency 3 2 5 7" xfId="31882"/>
    <cellStyle name="Currency 3 2 6" xfId="7011"/>
    <cellStyle name="Currency 3 2 7" xfId="11303"/>
    <cellStyle name="Currency 3 2 8" xfId="15581"/>
    <cellStyle name="Currency 3 2 9" xfId="19838"/>
    <cellStyle name="Currency 3 3" xfId="1042"/>
    <cellStyle name="Currency 3 3 2" xfId="5073"/>
    <cellStyle name="Currency 3 3 2 2" xfId="10047"/>
    <cellStyle name="Currency 3 3 2 3" xfId="14324"/>
    <cellStyle name="Currency 3 3 2 4" xfId="18583"/>
    <cellStyle name="Currency 3 3 2 5" xfId="22802"/>
    <cellStyle name="Currency 3 3 2 6" xfId="26997"/>
    <cellStyle name="Currency 3 3 2 7" xfId="30893"/>
    <cellStyle name="Currency 3 3 3" xfId="8285"/>
    <cellStyle name="Currency 3 3 4" xfId="12570"/>
    <cellStyle name="Currency 3 3 5" xfId="16842"/>
    <cellStyle name="Currency 3 3 6" xfId="21077"/>
    <cellStyle name="Currency 3 3 7" xfId="25315"/>
    <cellStyle name="Currency 3 3 8" xfId="29393"/>
    <cellStyle name="Currency 3 3 9" xfId="3309"/>
    <cellStyle name="Currency 3 4" xfId="2448"/>
    <cellStyle name="Currency 3 4 2" xfId="7425"/>
    <cellStyle name="Currency 3 4 3" xfId="11714"/>
    <cellStyle name="Currency 3 4 4" xfId="15992"/>
    <cellStyle name="Currency 3 4 5" xfId="20235"/>
    <cellStyle name="Currency 3 4 6" xfId="24481"/>
    <cellStyle name="Currency 3 4 7" xfId="28586"/>
    <cellStyle name="Currency 3 5" xfId="4208"/>
    <cellStyle name="Currency 3 6" xfId="4415"/>
    <cellStyle name="Currency 3 6 2" xfId="9389"/>
    <cellStyle name="Currency 3 6 3" xfId="13666"/>
    <cellStyle name="Currency 3 6 4" xfId="17926"/>
    <cellStyle name="Currency 3 6 5" xfId="22144"/>
    <cellStyle name="Currency 3 6 6" xfId="26340"/>
    <cellStyle name="Currency 3 6 7" xfId="30236"/>
    <cellStyle name="Currency 3 7" xfId="5764"/>
    <cellStyle name="Currency 3 7 2" xfId="10736"/>
    <cellStyle name="Currency 3 7 3" xfId="15014"/>
    <cellStyle name="Currency 3 7 4" xfId="19271"/>
    <cellStyle name="Currency 3 7 5" xfId="23488"/>
    <cellStyle name="Currency 3 7 6" xfId="27674"/>
    <cellStyle name="Currency 3 7 7" xfId="31553"/>
    <cellStyle name="Currency 3 8" xfId="6632"/>
    <cellStyle name="Currency 3 9" xfId="9109"/>
    <cellStyle name="Currency 4" xfId="577"/>
    <cellStyle name="Currency 4 2" xfId="2985"/>
    <cellStyle name="Currency 4 2 2" xfId="3824"/>
    <cellStyle name="Currency 4 2 2 2" xfId="8800"/>
    <cellStyle name="Currency 4 2 2 3" xfId="13085"/>
    <cellStyle name="Currency 4 2 2 4" xfId="17357"/>
    <cellStyle name="Currency 4 2 2 5" xfId="21592"/>
    <cellStyle name="Currency 4 2 2 6" xfId="25830"/>
    <cellStyle name="Currency 4 2 2 7" xfId="29906"/>
    <cellStyle name="Currency 4 2 3" xfId="7962"/>
    <cellStyle name="Currency 4 2 4" xfId="12251"/>
    <cellStyle name="Currency 4 2 5" xfId="16527"/>
    <cellStyle name="Currency 4 2 6" xfId="20764"/>
    <cellStyle name="Currency 4 2 7" xfId="25011"/>
    <cellStyle name="Currency 4 2 8" xfId="29100"/>
    <cellStyle name="Currency 4 3" xfId="3512"/>
    <cellStyle name="Currency 4 3 2" xfId="8488"/>
    <cellStyle name="Currency 4 3 3" xfId="12773"/>
    <cellStyle name="Currency 4 3 4" xfId="17045"/>
    <cellStyle name="Currency 4 3 5" xfId="21280"/>
    <cellStyle name="Currency 4 3 6" xfId="25518"/>
    <cellStyle name="Currency 4 3 7" xfId="29596"/>
    <cellStyle name="Currency 4 4" xfId="2655"/>
    <cellStyle name="Currency 4 4 2" xfId="7632"/>
    <cellStyle name="Currency 4 4 3" xfId="11921"/>
    <cellStyle name="Currency 4 4 4" xfId="16197"/>
    <cellStyle name="Currency 4 4 5" xfId="20439"/>
    <cellStyle name="Currency 4 4 6" xfId="24686"/>
    <cellStyle name="Currency 4 4 7" xfId="28789"/>
    <cellStyle name="Currency 5" xfId="2986"/>
    <cellStyle name="Currency 5 2" xfId="4075"/>
    <cellStyle name="Currency 5 2 2" xfId="9050"/>
    <cellStyle name="Currency 5 2 3" xfId="13333"/>
    <cellStyle name="Currency 5 2 4" xfId="17605"/>
    <cellStyle name="Currency 5 2 5" xfId="21827"/>
    <cellStyle name="Currency 5 2 6" xfId="26057"/>
    <cellStyle name="Currency 5 2 7" xfId="30076"/>
    <cellStyle name="Currency 5 3" xfId="4282"/>
    <cellStyle name="Currency 5 3 2" xfId="9256"/>
    <cellStyle name="Currency 5 3 3" xfId="13533"/>
    <cellStyle name="Currency 5 3 4" xfId="17793"/>
    <cellStyle name="Currency 5 3 5" xfId="22012"/>
    <cellStyle name="Currency 5 3 6" xfId="26210"/>
    <cellStyle name="Currency 5 3 7" xfId="30109"/>
    <cellStyle name="Currency 6" xfId="4276"/>
    <cellStyle name="Currency 6 2" xfId="4015"/>
    <cellStyle name="Currency 6 2 2" xfId="8991"/>
    <cellStyle name="Currency 6 2 3" xfId="13273"/>
    <cellStyle name="Currency 6 2 4" xfId="17547"/>
    <cellStyle name="Currency 6 2 5" xfId="21775"/>
    <cellStyle name="Currency 6 2 6" xfId="26011"/>
    <cellStyle name="Currency 6 2 7" xfId="30065"/>
    <cellStyle name="Currency 6 3" xfId="9250"/>
    <cellStyle name="Currency 6 4" xfId="13527"/>
    <cellStyle name="Currency 6 5" xfId="17787"/>
    <cellStyle name="Currency 6 6" xfId="22008"/>
    <cellStyle name="Currency 6 7" xfId="26204"/>
    <cellStyle name="Currency 6 8" xfId="30108"/>
    <cellStyle name="Currency 7" xfId="4073"/>
    <cellStyle name="Currency 8" xfId="4340"/>
    <cellStyle name="Currency0" xfId="2975"/>
    <cellStyle name="Date" xfId="2285"/>
    <cellStyle name="Explanatory Text" xfId="33" builtinId="53" customBuiltin="1"/>
    <cellStyle name="Explanatory Text 2" xfId="71"/>
    <cellStyle name="Explanatory Text 2 2" xfId="5616"/>
    <cellStyle name="Explanatory Text 3" xfId="148"/>
    <cellStyle name="Explanatory Text 4" xfId="206"/>
    <cellStyle name="Explanatory Text 5" xfId="578"/>
    <cellStyle name="Fixed" xfId="4092"/>
    <cellStyle name="Font: Calibri, 9pt regular" xfId="3995"/>
    <cellStyle name="Footnotes: all except top row" xfId="4181"/>
    <cellStyle name="Footnotes: top row" xfId="4219"/>
    <cellStyle name="Good" xfId="34" builtinId="26" customBuiltin="1"/>
    <cellStyle name="Good 2" xfId="61"/>
    <cellStyle name="Good 2 2" xfId="5615"/>
    <cellStyle name="Good 3" xfId="149"/>
    <cellStyle name="Good 4" xfId="210"/>
    <cellStyle name="Good 5" xfId="579"/>
    <cellStyle name="Header: bottom row" xfId="4053"/>
    <cellStyle name="Header: top rows" xfId="2250"/>
    <cellStyle name="Heading 1" xfId="35" builtinId="16" customBuiltin="1"/>
    <cellStyle name="Heading 1 2" xfId="57"/>
    <cellStyle name="Heading 1 2 2" xfId="5614"/>
    <cellStyle name="Heading 1 3" xfId="150"/>
    <cellStyle name="Heading 1 4" xfId="207"/>
    <cellStyle name="Heading 1 5" xfId="580"/>
    <cellStyle name="Heading 1 5 2" xfId="2242"/>
    <cellStyle name="Heading 2" xfId="36" builtinId="17" customBuiltin="1"/>
    <cellStyle name="Heading 2 2" xfId="58"/>
    <cellStyle name="Heading 2 2 2" xfId="5613"/>
    <cellStyle name="Heading 2 3" xfId="151"/>
    <cellStyle name="Heading 2 4" xfId="266"/>
    <cellStyle name="Heading 2 5" xfId="581"/>
    <cellStyle name="Heading 2 5 2" xfId="4225"/>
    <cellStyle name="Heading 3" xfId="37" builtinId="18" customBuiltin="1"/>
    <cellStyle name="Heading 3 2" xfId="59"/>
    <cellStyle name="Heading 3 2 2" xfId="5612"/>
    <cellStyle name="Heading 3 3" xfId="152"/>
    <cellStyle name="Heading 3 4" xfId="243"/>
    <cellStyle name="Heading 3 5" xfId="582"/>
    <cellStyle name="Heading 4" xfId="38" builtinId="19" customBuiltin="1"/>
    <cellStyle name="Heading 4 2" xfId="60"/>
    <cellStyle name="Heading 4 2 2" xfId="5611"/>
    <cellStyle name="Heading 4 3" xfId="153"/>
    <cellStyle name="Heading 4 4" xfId="235"/>
    <cellStyle name="Heading 4 5" xfId="583"/>
    <cellStyle name="Hyperlink" xfId="39" builtinId="8"/>
    <cellStyle name="Hyperlink 2" xfId="99"/>
    <cellStyle name="Hyperlink 2 2" xfId="259"/>
    <cellStyle name="Hyperlink 2 2 2" xfId="4046"/>
    <cellStyle name="Hyperlink 2 2 3" xfId="4126"/>
    <cellStyle name="Hyperlink 2 3" xfId="330"/>
    <cellStyle name="Hyperlink 2 3 2" xfId="4171"/>
    <cellStyle name="Hyperlink 2 4" xfId="4278"/>
    <cellStyle name="Hyperlink 3" xfId="154"/>
    <cellStyle name="Hyperlink 3 2" xfId="249"/>
    <cellStyle name="Hyperlink 4" xfId="188"/>
    <cellStyle name="Hyperlink 4 2" xfId="278"/>
    <cellStyle name="Hyperlink 4 2 2" xfId="351"/>
    <cellStyle name="Hyperlink 4 2 3" xfId="2583"/>
    <cellStyle name="Hyperlink 4 2 4" xfId="2373"/>
    <cellStyle name="Hyperlink 4 2 5" xfId="1659"/>
    <cellStyle name="Hyperlink 4 3" xfId="281"/>
    <cellStyle name="Hyperlink 4 4" xfId="2988"/>
    <cellStyle name="Hyperlink 5" xfId="54"/>
    <cellStyle name="Hyperlink 5 2" xfId="332"/>
    <cellStyle name="Hyperlink 6" xfId="2989"/>
    <cellStyle name="Hyperlink 6 2" xfId="3989"/>
    <cellStyle name="Hyperlink 6 3" xfId="4111"/>
    <cellStyle name="Hyperlink 7" xfId="3157"/>
    <cellStyle name="Hyperlink 7 2" xfId="2292"/>
    <cellStyle name="Input" xfId="40" builtinId="20" customBuiltin="1"/>
    <cellStyle name="Input 2" xfId="64"/>
    <cellStyle name="Input 2 2" xfId="5635"/>
    <cellStyle name="Input 3" xfId="155"/>
    <cellStyle name="Input 3 2" xfId="2990"/>
    <cellStyle name="Input 3 2 2" xfId="3825"/>
    <cellStyle name="Input 3 3" xfId="3160"/>
    <cellStyle name="Input 4" xfId="270"/>
    <cellStyle name="Input 4 2" xfId="3235"/>
    <cellStyle name="Input 5" xfId="584"/>
    <cellStyle name="Input 5 2" xfId="3826"/>
    <cellStyle name="Linked Cell" xfId="41" builtinId="24" customBuiltin="1"/>
    <cellStyle name="Linked Cell 2" xfId="67"/>
    <cellStyle name="Linked Cell 2 2" xfId="5636"/>
    <cellStyle name="Linked Cell 3" xfId="156"/>
    <cellStyle name="Linked Cell 4" xfId="227"/>
    <cellStyle name="Linked Cell 5" xfId="585"/>
    <cellStyle name="Neutral" xfId="42" builtinId="28" customBuiltin="1"/>
    <cellStyle name="Neutral 2" xfId="63"/>
    <cellStyle name="Neutral 2 2" xfId="5637"/>
    <cellStyle name="Neutral 3" xfId="157"/>
    <cellStyle name="Neutral 4" xfId="230"/>
    <cellStyle name="Neutral 5" xfId="586"/>
    <cellStyle name="Normal" xfId="0" builtinId="0"/>
    <cellStyle name="Normal 10" xfId="286"/>
    <cellStyle name="Normal 10 10" xfId="17703"/>
    <cellStyle name="Normal 10 11" xfId="21828"/>
    <cellStyle name="Normal 10 12" xfId="26136"/>
    <cellStyle name="Normal 10 13" xfId="1664"/>
    <cellStyle name="Normal 10 2" xfId="427"/>
    <cellStyle name="Normal 10 2 10" xfId="17774"/>
    <cellStyle name="Normal 10 2 11" xfId="21758"/>
    <cellStyle name="Normal 10 2 12" xfId="26193"/>
    <cellStyle name="Normal 10 2 13" xfId="1790"/>
    <cellStyle name="Normal 10 2 2" xfId="801"/>
    <cellStyle name="Normal 10 2 2 10" xfId="24176"/>
    <cellStyle name="Normal 10 2 2 11" xfId="28328"/>
    <cellStyle name="Normal 10 2 2 12" xfId="2120"/>
    <cellStyle name="Normal 10 2 2 2" xfId="1458"/>
    <cellStyle name="Normal 10 2 2 2 2" xfId="5489"/>
    <cellStyle name="Normal 10 2 2 2 2 2" xfId="10463"/>
    <cellStyle name="Normal 10 2 2 2 2 3" xfId="14740"/>
    <cellStyle name="Normal 10 2 2 2 2 4" xfId="18999"/>
    <cellStyle name="Normal 10 2 2 2 2 5" xfId="23218"/>
    <cellStyle name="Normal 10 2 2 2 2 6" xfId="27413"/>
    <cellStyle name="Normal 10 2 2 2 2 7" xfId="31309"/>
    <cellStyle name="Normal 10 2 2 2 3" xfId="8803"/>
    <cellStyle name="Normal 10 2 2 2 4" xfId="13088"/>
    <cellStyle name="Normal 10 2 2 2 5" xfId="17360"/>
    <cellStyle name="Normal 10 2 2 2 6" xfId="21594"/>
    <cellStyle name="Normal 10 2 2 2 7" xfId="25833"/>
    <cellStyle name="Normal 10 2 2 2 8" xfId="29907"/>
    <cellStyle name="Normal 10 2 2 2 9" xfId="3827"/>
    <cellStyle name="Normal 10 2 2 3" xfId="2992"/>
    <cellStyle name="Normal 10 2 2 3 2" xfId="7968"/>
    <cellStyle name="Normal 10 2 2 3 3" xfId="12256"/>
    <cellStyle name="Normal 10 2 2 3 4" xfId="16531"/>
    <cellStyle name="Normal 10 2 2 3 5" xfId="20769"/>
    <cellStyle name="Normal 10 2 2 3 6" xfId="25016"/>
    <cellStyle name="Normal 10 2 2 3 7" xfId="29102"/>
    <cellStyle name="Normal 10 2 2 4" xfId="4832"/>
    <cellStyle name="Normal 10 2 2 4 2" xfId="9806"/>
    <cellStyle name="Normal 10 2 2 4 3" xfId="14083"/>
    <cellStyle name="Normal 10 2 2 4 4" xfId="18342"/>
    <cellStyle name="Normal 10 2 2 4 5" xfId="22561"/>
    <cellStyle name="Normal 10 2 2 4 6" xfId="26756"/>
    <cellStyle name="Normal 10 2 2 4 7" xfId="30652"/>
    <cellStyle name="Normal 10 2 2 5" xfId="6180"/>
    <cellStyle name="Normal 10 2 2 5 2" xfId="11152"/>
    <cellStyle name="Normal 10 2 2 5 3" xfId="15430"/>
    <cellStyle name="Normal 10 2 2 5 4" xfId="19687"/>
    <cellStyle name="Normal 10 2 2 5 5" xfId="23904"/>
    <cellStyle name="Normal 10 2 2 5 6" xfId="28090"/>
    <cellStyle name="Normal 10 2 2 5 7" xfId="31969"/>
    <cellStyle name="Normal 10 2 2 6" xfId="7098"/>
    <cellStyle name="Normal 10 2 2 7" xfId="11390"/>
    <cellStyle name="Normal 10 2 2 8" xfId="15668"/>
    <cellStyle name="Normal 10 2 2 9" xfId="19925"/>
    <cellStyle name="Normal 10 2 3" xfId="1129"/>
    <cellStyle name="Normal 10 2 3 2" xfId="5160"/>
    <cellStyle name="Normal 10 2 3 2 2" xfId="10134"/>
    <cellStyle name="Normal 10 2 3 2 3" xfId="14411"/>
    <cellStyle name="Normal 10 2 3 2 4" xfId="18670"/>
    <cellStyle name="Normal 10 2 3 2 5" xfId="22889"/>
    <cellStyle name="Normal 10 2 3 2 6" xfId="27084"/>
    <cellStyle name="Normal 10 2 3 2 7" xfId="30980"/>
    <cellStyle name="Normal 10 2 3 3" xfId="8355"/>
    <cellStyle name="Normal 10 2 3 4" xfId="12640"/>
    <cellStyle name="Normal 10 2 3 5" xfId="16912"/>
    <cellStyle name="Normal 10 2 3 6" xfId="21147"/>
    <cellStyle name="Normal 10 2 3 7" xfId="25385"/>
    <cellStyle name="Normal 10 2 3 8" xfId="29463"/>
    <cellStyle name="Normal 10 2 3 9" xfId="3379"/>
    <cellStyle name="Normal 10 2 4" xfId="2518"/>
    <cellStyle name="Normal 10 2 4 2" xfId="7495"/>
    <cellStyle name="Normal 10 2 4 3" xfId="11784"/>
    <cellStyle name="Normal 10 2 4 4" xfId="16062"/>
    <cellStyle name="Normal 10 2 4 5" xfId="20305"/>
    <cellStyle name="Normal 10 2 4 6" xfId="24551"/>
    <cellStyle name="Normal 10 2 4 7" xfId="28656"/>
    <cellStyle name="Normal 10 2 5" xfId="4502"/>
    <cellStyle name="Normal 10 2 5 2" xfId="9476"/>
    <cellStyle name="Normal 10 2 5 3" xfId="13753"/>
    <cellStyle name="Normal 10 2 5 4" xfId="18013"/>
    <cellStyle name="Normal 10 2 5 5" xfId="22231"/>
    <cellStyle name="Normal 10 2 5 6" xfId="26427"/>
    <cellStyle name="Normal 10 2 5 7" xfId="30323"/>
    <cellStyle name="Normal 10 2 6" xfId="5851"/>
    <cellStyle name="Normal 10 2 6 2" xfId="10823"/>
    <cellStyle name="Normal 10 2 6 3" xfId="15101"/>
    <cellStyle name="Normal 10 2 6 4" xfId="19358"/>
    <cellStyle name="Normal 10 2 6 5" xfId="23575"/>
    <cellStyle name="Normal 10 2 6 6" xfId="27761"/>
    <cellStyle name="Normal 10 2 6 7" xfId="31640"/>
    <cellStyle name="Normal 10 2 7" xfId="6725"/>
    <cellStyle name="Normal 10 2 8" xfId="9236"/>
    <cellStyle name="Normal 10 2 9" xfId="13514"/>
    <cellStyle name="Normal 10 3" xfId="675"/>
    <cellStyle name="Normal 10 3 10" xfId="15890"/>
    <cellStyle name="Normal 10 3 11" xfId="24050"/>
    <cellStyle name="Normal 10 3 12" xfId="24388"/>
    <cellStyle name="Normal 10 3 13" xfId="1994"/>
    <cellStyle name="Normal 10 3 2" xfId="1332"/>
    <cellStyle name="Normal 10 3 2 10" xfId="2993"/>
    <cellStyle name="Normal 10 3 2 2" xfId="3828"/>
    <cellStyle name="Normal 10 3 2 2 2" xfId="8804"/>
    <cellStyle name="Normal 10 3 2 2 3" xfId="13089"/>
    <cellStyle name="Normal 10 3 2 2 4" xfId="17361"/>
    <cellStyle name="Normal 10 3 2 2 5" xfId="21595"/>
    <cellStyle name="Normal 10 3 2 2 6" xfId="25834"/>
    <cellStyle name="Normal 10 3 2 2 7" xfId="29908"/>
    <cellStyle name="Normal 10 3 2 3" xfId="5363"/>
    <cellStyle name="Normal 10 3 2 3 2" xfId="10337"/>
    <cellStyle name="Normal 10 3 2 3 3" xfId="14614"/>
    <cellStyle name="Normal 10 3 2 3 4" xfId="18873"/>
    <cellStyle name="Normal 10 3 2 3 5" xfId="23092"/>
    <cellStyle name="Normal 10 3 2 3 6" xfId="27287"/>
    <cellStyle name="Normal 10 3 2 3 7" xfId="31183"/>
    <cellStyle name="Normal 10 3 2 4" xfId="7969"/>
    <cellStyle name="Normal 10 3 2 5" xfId="12257"/>
    <cellStyle name="Normal 10 3 2 6" xfId="16532"/>
    <cellStyle name="Normal 10 3 2 7" xfId="20770"/>
    <cellStyle name="Normal 10 3 2 8" xfId="25017"/>
    <cellStyle name="Normal 10 3 2 9" xfId="29103"/>
    <cellStyle name="Normal 10 3 3" xfId="3295"/>
    <cellStyle name="Normal 10 3 3 2" xfId="8271"/>
    <cellStyle name="Normal 10 3 3 3" xfId="12556"/>
    <cellStyle name="Normal 10 3 3 4" xfId="16829"/>
    <cellStyle name="Normal 10 3 3 5" xfId="21065"/>
    <cellStyle name="Normal 10 3 3 6" xfId="25303"/>
    <cellStyle name="Normal 10 3 3 7" xfId="29381"/>
    <cellStyle name="Normal 10 3 4" xfId="2417"/>
    <cellStyle name="Normal 10 3 4 2" xfId="7395"/>
    <cellStyle name="Normal 10 3 4 3" xfId="11684"/>
    <cellStyle name="Normal 10 3 4 4" xfId="15962"/>
    <cellStyle name="Normal 10 3 4 5" xfId="20210"/>
    <cellStyle name="Normal 10 3 4 6" xfId="24458"/>
    <cellStyle name="Normal 10 3 4 7" xfId="28574"/>
    <cellStyle name="Normal 10 3 5" xfId="4706"/>
    <cellStyle name="Normal 10 3 5 2" xfId="9680"/>
    <cellStyle name="Normal 10 3 5 3" xfId="13957"/>
    <cellStyle name="Normal 10 3 5 4" xfId="18216"/>
    <cellStyle name="Normal 10 3 5 5" xfId="22435"/>
    <cellStyle name="Normal 10 3 5 6" xfId="26630"/>
    <cellStyle name="Normal 10 3 5 7" xfId="30526"/>
    <cellStyle name="Normal 10 3 6" xfId="6054"/>
    <cellStyle name="Normal 10 3 6 2" xfId="11026"/>
    <cellStyle name="Normal 10 3 6 3" xfId="15304"/>
    <cellStyle name="Normal 10 3 6 4" xfId="19561"/>
    <cellStyle name="Normal 10 3 6 5" xfId="23778"/>
    <cellStyle name="Normal 10 3 6 6" xfId="27964"/>
    <cellStyle name="Normal 10 3 6 7" xfId="31843"/>
    <cellStyle name="Normal 10 3 7" xfId="6972"/>
    <cellStyle name="Normal 10 3 8" xfId="7322"/>
    <cellStyle name="Normal 10 3 9" xfId="11611"/>
    <cellStyle name="Normal 10 4" xfId="1003"/>
    <cellStyle name="Normal 10 4 2" xfId="5034"/>
    <cellStyle name="Normal 10 4 2 2" xfId="10008"/>
    <cellStyle name="Normal 10 4 2 3" xfId="14285"/>
    <cellStyle name="Normal 10 4 2 4" xfId="18544"/>
    <cellStyle name="Normal 10 4 2 5" xfId="22763"/>
    <cellStyle name="Normal 10 4 2 6" xfId="26958"/>
    <cellStyle name="Normal 10 4 2 7" xfId="30854"/>
    <cellStyle name="Normal 10 4 3" xfId="2431"/>
    <cellStyle name="Normal 10 5" xfId="4376"/>
    <cellStyle name="Normal 10 5 2" xfId="9350"/>
    <cellStyle name="Normal 10 5 3" xfId="13627"/>
    <cellStyle name="Normal 10 5 4" xfId="17887"/>
    <cellStyle name="Normal 10 5 5" xfId="22105"/>
    <cellStyle name="Normal 10 5 6" xfId="26301"/>
    <cellStyle name="Normal 10 5 7" xfId="30197"/>
    <cellStyle name="Normal 10 6" xfId="5725"/>
    <cellStyle name="Normal 10 6 2" xfId="10697"/>
    <cellStyle name="Normal 10 6 3" xfId="14975"/>
    <cellStyle name="Normal 10 6 4" xfId="19232"/>
    <cellStyle name="Normal 10 6 5" xfId="23449"/>
    <cellStyle name="Normal 10 6 6" xfId="27635"/>
    <cellStyle name="Normal 10 6 7" xfId="31514"/>
    <cellStyle name="Normal 10 7" xfId="6584"/>
    <cellStyle name="Normal 10 8" xfId="9157"/>
    <cellStyle name="Normal 10 9" xfId="13437"/>
    <cellStyle name="Normal 11" xfId="208"/>
    <cellStyle name="Normal 11 10" xfId="6541"/>
    <cellStyle name="Normal 11 11" xfId="6371"/>
    <cellStyle name="Normal 11 12" xfId="9158"/>
    <cellStyle name="Normal 11 13" xfId="23344"/>
    <cellStyle name="Normal 11 14" xfId="21753"/>
    <cellStyle name="Normal 11 15" xfId="1635"/>
    <cellStyle name="Normal 11 2" xfId="428"/>
    <cellStyle name="Normal 11 2 10" xfId="17614"/>
    <cellStyle name="Normal 11 2 11" xfId="21988"/>
    <cellStyle name="Normal 11 2 12" xfId="26065"/>
    <cellStyle name="Normal 11 2 13" xfId="1791"/>
    <cellStyle name="Normal 11 2 2" xfId="802"/>
    <cellStyle name="Normal 11 2 2 10" xfId="24177"/>
    <cellStyle name="Normal 11 2 2 11" xfId="28329"/>
    <cellStyle name="Normal 11 2 2 12" xfId="2121"/>
    <cellStyle name="Normal 11 2 2 2" xfId="1459"/>
    <cellStyle name="Normal 11 2 2 2 2" xfId="5490"/>
    <cellStyle name="Normal 11 2 2 2 2 2" xfId="10464"/>
    <cellStyle name="Normal 11 2 2 2 2 3" xfId="14741"/>
    <cellStyle name="Normal 11 2 2 2 2 4" xfId="19000"/>
    <cellStyle name="Normal 11 2 2 2 2 5" xfId="23219"/>
    <cellStyle name="Normal 11 2 2 2 2 6" xfId="27414"/>
    <cellStyle name="Normal 11 2 2 2 2 7" xfId="31310"/>
    <cellStyle name="Normal 11 2 2 2 3" xfId="8805"/>
    <cellStyle name="Normal 11 2 2 2 4" xfId="13090"/>
    <cellStyle name="Normal 11 2 2 2 5" xfId="17362"/>
    <cellStyle name="Normal 11 2 2 2 6" xfId="21596"/>
    <cellStyle name="Normal 11 2 2 2 7" xfId="25835"/>
    <cellStyle name="Normal 11 2 2 2 8" xfId="29909"/>
    <cellStyle name="Normal 11 2 2 2 9" xfId="3829"/>
    <cellStyle name="Normal 11 2 2 3" xfId="2994"/>
    <cellStyle name="Normal 11 2 2 3 2" xfId="7970"/>
    <cellStyle name="Normal 11 2 2 3 3" xfId="12258"/>
    <cellStyle name="Normal 11 2 2 3 4" xfId="16533"/>
    <cellStyle name="Normal 11 2 2 3 5" xfId="20771"/>
    <cellStyle name="Normal 11 2 2 3 6" xfId="25018"/>
    <cellStyle name="Normal 11 2 2 3 7" xfId="29104"/>
    <cellStyle name="Normal 11 2 2 4" xfId="4833"/>
    <cellStyle name="Normal 11 2 2 4 2" xfId="9807"/>
    <cellStyle name="Normal 11 2 2 4 3" xfId="14084"/>
    <cellStyle name="Normal 11 2 2 4 4" xfId="18343"/>
    <cellStyle name="Normal 11 2 2 4 5" xfId="22562"/>
    <cellStyle name="Normal 11 2 2 4 6" xfId="26757"/>
    <cellStyle name="Normal 11 2 2 4 7" xfId="30653"/>
    <cellStyle name="Normal 11 2 2 5" xfId="6181"/>
    <cellStyle name="Normal 11 2 2 5 2" xfId="11153"/>
    <cellStyle name="Normal 11 2 2 5 3" xfId="15431"/>
    <cellStyle name="Normal 11 2 2 5 4" xfId="19688"/>
    <cellStyle name="Normal 11 2 2 5 5" xfId="23905"/>
    <cellStyle name="Normal 11 2 2 5 6" xfId="28091"/>
    <cellStyle name="Normal 11 2 2 5 7" xfId="31970"/>
    <cellStyle name="Normal 11 2 2 6" xfId="7099"/>
    <cellStyle name="Normal 11 2 2 7" xfId="11391"/>
    <cellStyle name="Normal 11 2 2 8" xfId="15669"/>
    <cellStyle name="Normal 11 2 2 9" xfId="19926"/>
    <cellStyle name="Normal 11 2 3" xfId="1130"/>
    <cellStyle name="Normal 11 2 3 2" xfId="5161"/>
    <cellStyle name="Normal 11 2 3 2 2" xfId="10135"/>
    <cellStyle name="Normal 11 2 3 2 3" xfId="14412"/>
    <cellStyle name="Normal 11 2 3 2 4" xfId="18671"/>
    <cellStyle name="Normal 11 2 3 2 5" xfId="22890"/>
    <cellStyle name="Normal 11 2 3 2 6" xfId="27085"/>
    <cellStyle name="Normal 11 2 3 2 7" xfId="30981"/>
    <cellStyle name="Normal 11 2 3 3" xfId="8356"/>
    <cellStyle name="Normal 11 2 3 4" xfId="12641"/>
    <cellStyle name="Normal 11 2 3 5" xfId="16913"/>
    <cellStyle name="Normal 11 2 3 6" xfId="21148"/>
    <cellStyle name="Normal 11 2 3 7" xfId="25386"/>
    <cellStyle name="Normal 11 2 3 8" xfId="29464"/>
    <cellStyle name="Normal 11 2 3 9" xfId="3380"/>
    <cellStyle name="Normal 11 2 4" xfId="2519"/>
    <cellStyle name="Normal 11 2 4 2" xfId="7496"/>
    <cellStyle name="Normal 11 2 4 3" xfId="11785"/>
    <cellStyle name="Normal 11 2 4 4" xfId="16063"/>
    <cellStyle name="Normal 11 2 4 5" xfId="20306"/>
    <cellStyle name="Normal 11 2 4 6" xfId="24552"/>
    <cellStyle name="Normal 11 2 4 7" xfId="28657"/>
    <cellStyle name="Normal 11 2 5" xfId="4503"/>
    <cellStyle name="Normal 11 2 5 2" xfId="9477"/>
    <cellStyle name="Normal 11 2 5 3" xfId="13754"/>
    <cellStyle name="Normal 11 2 5 4" xfId="18014"/>
    <cellStyle name="Normal 11 2 5 5" xfId="22232"/>
    <cellStyle name="Normal 11 2 5 6" xfId="26428"/>
    <cellStyle name="Normal 11 2 5 7" xfId="30324"/>
    <cellStyle name="Normal 11 2 6" xfId="5852"/>
    <cellStyle name="Normal 11 2 6 2" xfId="10824"/>
    <cellStyle name="Normal 11 2 6 3" xfId="15102"/>
    <cellStyle name="Normal 11 2 6 4" xfId="19359"/>
    <cellStyle name="Normal 11 2 6 5" xfId="23576"/>
    <cellStyle name="Normal 11 2 6 6" xfId="27762"/>
    <cellStyle name="Normal 11 2 6 7" xfId="31641"/>
    <cellStyle name="Normal 11 2 7" xfId="6726"/>
    <cellStyle name="Normal 11 2 8" xfId="9060"/>
    <cellStyle name="Normal 11 2 9" xfId="13342"/>
    <cellStyle name="Normal 11 3" xfId="649"/>
    <cellStyle name="Normal 11 3 10" xfId="17591"/>
    <cellStyle name="Normal 11 3 11" xfId="24024"/>
    <cellStyle name="Normal 11 3 12" xfId="26044"/>
    <cellStyle name="Normal 11 3 13" xfId="1968"/>
    <cellStyle name="Normal 11 3 2" xfId="1306"/>
    <cellStyle name="Normal 11 3 2 10" xfId="2995"/>
    <cellStyle name="Normal 11 3 2 2" xfId="3830"/>
    <cellStyle name="Normal 11 3 2 2 2" xfId="8806"/>
    <cellStyle name="Normal 11 3 2 2 3" xfId="13091"/>
    <cellStyle name="Normal 11 3 2 2 4" xfId="17363"/>
    <cellStyle name="Normal 11 3 2 2 5" xfId="21597"/>
    <cellStyle name="Normal 11 3 2 2 6" xfId="25836"/>
    <cellStyle name="Normal 11 3 2 2 7" xfId="29910"/>
    <cellStyle name="Normal 11 3 2 3" xfId="5337"/>
    <cellStyle name="Normal 11 3 2 3 2" xfId="10311"/>
    <cellStyle name="Normal 11 3 2 3 3" xfId="14588"/>
    <cellStyle name="Normal 11 3 2 3 4" xfId="18847"/>
    <cellStyle name="Normal 11 3 2 3 5" xfId="23066"/>
    <cellStyle name="Normal 11 3 2 3 6" xfId="27261"/>
    <cellStyle name="Normal 11 3 2 3 7" xfId="31157"/>
    <cellStyle name="Normal 11 3 2 4" xfId="7971"/>
    <cellStyle name="Normal 11 3 2 5" xfId="12259"/>
    <cellStyle name="Normal 11 3 2 6" xfId="16534"/>
    <cellStyle name="Normal 11 3 2 7" xfId="20772"/>
    <cellStyle name="Normal 11 3 2 8" xfId="25019"/>
    <cellStyle name="Normal 11 3 2 9" xfId="29105"/>
    <cellStyle name="Normal 11 3 3" xfId="3513"/>
    <cellStyle name="Normal 11 3 3 2" xfId="8489"/>
    <cellStyle name="Normal 11 3 3 3" xfId="12774"/>
    <cellStyle name="Normal 11 3 3 4" xfId="17046"/>
    <cellStyle name="Normal 11 3 3 5" xfId="21281"/>
    <cellStyle name="Normal 11 3 3 6" xfId="25519"/>
    <cellStyle name="Normal 11 3 3 7" xfId="29597"/>
    <cellStyle name="Normal 11 3 4" xfId="2656"/>
    <cellStyle name="Normal 11 3 4 2" xfId="7633"/>
    <cellStyle name="Normal 11 3 4 3" xfId="11922"/>
    <cellStyle name="Normal 11 3 4 4" xfId="16198"/>
    <cellStyle name="Normal 11 3 4 5" xfId="20440"/>
    <cellStyle name="Normal 11 3 4 6" xfId="24687"/>
    <cellStyle name="Normal 11 3 4 7" xfId="28790"/>
    <cellStyle name="Normal 11 3 5" xfId="4680"/>
    <cellStyle name="Normal 11 3 5 2" xfId="9654"/>
    <cellStyle name="Normal 11 3 5 3" xfId="13931"/>
    <cellStyle name="Normal 11 3 5 4" xfId="18190"/>
    <cellStyle name="Normal 11 3 5 5" xfId="22409"/>
    <cellStyle name="Normal 11 3 5 6" xfId="26604"/>
    <cellStyle name="Normal 11 3 5 7" xfId="30500"/>
    <cellStyle name="Normal 11 3 6" xfId="6028"/>
    <cellStyle name="Normal 11 3 6 2" xfId="11000"/>
    <cellStyle name="Normal 11 3 6 3" xfId="15278"/>
    <cellStyle name="Normal 11 3 6 4" xfId="19535"/>
    <cellStyle name="Normal 11 3 6 5" xfId="23752"/>
    <cellStyle name="Normal 11 3 6 6" xfId="27938"/>
    <cellStyle name="Normal 11 3 6 7" xfId="31817"/>
    <cellStyle name="Normal 11 3 7" xfId="6946"/>
    <cellStyle name="Normal 11 3 8" xfId="9035"/>
    <cellStyle name="Normal 11 3 9" xfId="13318"/>
    <cellStyle name="Normal 11 4" xfId="977"/>
    <cellStyle name="Normal 11 4 10" xfId="2996"/>
    <cellStyle name="Normal 11 4 2" xfId="3831"/>
    <cellStyle name="Normal 11 4 2 2" xfId="8807"/>
    <cellStyle name="Normal 11 4 2 3" xfId="13092"/>
    <cellStyle name="Normal 11 4 2 4" xfId="17364"/>
    <cellStyle name="Normal 11 4 2 5" xfId="21598"/>
    <cellStyle name="Normal 11 4 2 6" xfId="25837"/>
    <cellStyle name="Normal 11 4 2 7" xfId="29911"/>
    <cellStyle name="Normal 11 4 3" xfId="5008"/>
    <cellStyle name="Normal 11 4 3 2" xfId="9982"/>
    <cellStyle name="Normal 11 4 3 3" xfId="14259"/>
    <cellStyle name="Normal 11 4 3 4" xfId="18518"/>
    <cellStyle name="Normal 11 4 3 5" xfId="22737"/>
    <cellStyle name="Normal 11 4 3 6" xfId="26932"/>
    <cellStyle name="Normal 11 4 3 7" xfId="30828"/>
    <cellStyle name="Normal 11 4 4" xfId="7972"/>
    <cellStyle name="Normal 11 4 5" xfId="12260"/>
    <cellStyle name="Normal 11 4 6" xfId="16535"/>
    <cellStyle name="Normal 11 4 7" xfId="20773"/>
    <cellStyle name="Normal 11 4 8" xfId="25020"/>
    <cellStyle name="Normal 11 4 9" xfId="29106"/>
    <cellStyle name="Normal 11 5" xfId="3303"/>
    <cellStyle name="Normal 11 5 2" xfId="8279"/>
    <cellStyle name="Normal 11 5 3" xfId="12564"/>
    <cellStyle name="Normal 11 5 4" xfId="16836"/>
    <cellStyle name="Normal 11 5 5" xfId="21071"/>
    <cellStyle name="Normal 11 5 6" xfId="25309"/>
    <cellStyle name="Normal 11 5 7" xfId="29387"/>
    <cellStyle name="Normal 11 6" xfId="2441"/>
    <cellStyle name="Normal 11 6 2" xfId="7419"/>
    <cellStyle name="Normal 11 6 3" xfId="11707"/>
    <cellStyle name="Normal 11 6 4" xfId="15986"/>
    <cellStyle name="Normal 11 6 5" xfId="20228"/>
    <cellStyle name="Normal 11 6 6" xfId="24475"/>
    <cellStyle name="Normal 11 6 7" xfId="28580"/>
    <cellStyle name="Normal 11 7" xfId="4349"/>
    <cellStyle name="Normal 11 7 2" xfId="9323"/>
    <cellStyle name="Normal 11 7 3" xfId="13600"/>
    <cellStyle name="Normal 11 7 4" xfId="17860"/>
    <cellStyle name="Normal 11 7 5" xfId="22079"/>
    <cellStyle name="Normal 11 7 6" xfId="26275"/>
    <cellStyle name="Normal 11 7 7" xfId="30171"/>
    <cellStyle name="Normal 11 8" xfId="5699"/>
    <cellStyle name="Normal 11 8 2" xfId="10671"/>
    <cellStyle name="Normal 11 8 3" xfId="14949"/>
    <cellStyle name="Normal 11 8 4" xfId="19206"/>
    <cellStyle name="Normal 11 8 5" xfId="23423"/>
    <cellStyle name="Normal 11 8 6" xfId="27609"/>
    <cellStyle name="Normal 11 8 7" xfId="31488"/>
    <cellStyle name="Normal 11 9" xfId="6506"/>
    <cellStyle name="Normal 12" xfId="357"/>
    <cellStyle name="Normal 12 10" xfId="13511"/>
    <cellStyle name="Normal 12 11" xfId="17771"/>
    <cellStyle name="Normal 12 12" xfId="20066"/>
    <cellStyle name="Normal 12 13" xfId="26190"/>
    <cellStyle name="Normal 12 14" xfId="1720"/>
    <cellStyle name="Normal 12 2" xfId="731"/>
    <cellStyle name="Normal 12 2 10" xfId="24106"/>
    <cellStyle name="Normal 12 2 11" xfId="28258"/>
    <cellStyle name="Normal 12 2 12" xfId="2050"/>
    <cellStyle name="Normal 12 2 2" xfId="1388"/>
    <cellStyle name="Normal 12 2 2 2" xfId="5419"/>
    <cellStyle name="Normal 12 2 2 2 2" xfId="10393"/>
    <cellStyle name="Normal 12 2 2 2 3" xfId="14670"/>
    <cellStyle name="Normal 12 2 2 2 4" xfId="18929"/>
    <cellStyle name="Normal 12 2 2 2 5" xfId="23148"/>
    <cellStyle name="Normal 12 2 2 2 6" xfId="27343"/>
    <cellStyle name="Normal 12 2 2 2 7" xfId="31239"/>
    <cellStyle name="Normal 12 2 2 3" xfId="8808"/>
    <cellStyle name="Normal 12 2 2 4" xfId="13093"/>
    <cellStyle name="Normal 12 2 2 5" xfId="17365"/>
    <cellStyle name="Normal 12 2 2 6" xfId="21599"/>
    <cellStyle name="Normal 12 2 2 7" xfId="25838"/>
    <cellStyle name="Normal 12 2 2 8" xfId="29912"/>
    <cellStyle name="Normal 12 2 2 9" xfId="3832"/>
    <cellStyle name="Normal 12 2 3" xfId="2997"/>
    <cellStyle name="Normal 12 2 3 2" xfId="7973"/>
    <cellStyle name="Normal 12 2 3 3" xfId="12261"/>
    <cellStyle name="Normal 12 2 3 4" xfId="16536"/>
    <cellStyle name="Normal 12 2 3 5" xfId="20774"/>
    <cellStyle name="Normal 12 2 3 6" xfId="25021"/>
    <cellStyle name="Normal 12 2 3 7" xfId="29107"/>
    <cellStyle name="Normal 12 2 4" xfId="4762"/>
    <cellStyle name="Normal 12 2 4 2" xfId="9736"/>
    <cellStyle name="Normal 12 2 4 3" xfId="14013"/>
    <cellStyle name="Normal 12 2 4 4" xfId="18272"/>
    <cellStyle name="Normal 12 2 4 5" xfId="22491"/>
    <cellStyle name="Normal 12 2 4 6" xfId="26686"/>
    <cellStyle name="Normal 12 2 4 7" xfId="30582"/>
    <cellStyle name="Normal 12 2 5" xfId="6110"/>
    <cellStyle name="Normal 12 2 5 2" xfId="11082"/>
    <cellStyle name="Normal 12 2 5 3" xfId="15360"/>
    <cellStyle name="Normal 12 2 5 4" xfId="19617"/>
    <cellStyle name="Normal 12 2 5 5" xfId="23834"/>
    <cellStyle name="Normal 12 2 5 6" xfId="28020"/>
    <cellStyle name="Normal 12 2 5 7" xfId="31899"/>
    <cellStyle name="Normal 12 2 6" xfId="7028"/>
    <cellStyle name="Normal 12 2 7" xfId="11320"/>
    <cellStyle name="Normal 12 2 8" xfId="15598"/>
    <cellStyle name="Normal 12 2 9" xfId="19855"/>
    <cellStyle name="Normal 12 3" xfId="1059"/>
    <cellStyle name="Normal 12 3 2" xfId="5090"/>
    <cellStyle name="Normal 12 3 2 2" xfId="10064"/>
    <cellStyle name="Normal 12 3 2 3" xfId="14341"/>
    <cellStyle name="Normal 12 3 2 4" xfId="18600"/>
    <cellStyle name="Normal 12 3 2 5" xfId="22819"/>
    <cellStyle name="Normal 12 3 2 6" xfId="27014"/>
    <cellStyle name="Normal 12 3 2 7" xfId="30910"/>
    <cellStyle name="Normal 12 3 3" xfId="8284"/>
    <cellStyle name="Normal 12 3 4" xfId="12569"/>
    <cellStyle name="Normal 12 3 5" xfId="16841"/>
    <cellStyle name="Normal 12 3 6" xfId="21076"/>
    <cellStyle name="Normal 12 3 7" xfId="25314"/>
    <cellStyle name="Normal 12 3 8" xfId="29392"/>
    <cellStyle name="Normal 12 3 9" xfId="3308"/>
    <cellStyle name="Normal 12 4" xfId="2447"/>
    <cellStyle name="Normal 12 4 2" xfId="7424"/>
    <cellStyle name="Normal 12 4 3" xfId="11713"/>
    <cellStyle name="Normal 12 4 4" xfId="15991"/>
    <cellStyle name="Normal 12 4 5" xfId="20234"/>
    <cellStyle name="Normal 12 4 6" xfId="24480"/>
    <cellStyle name="Normal 12 4 7" xfId="28585"/>
    <cellStyle name="Normal 12 5" xfId="4041"/>
    <cellStyle name="Normal 12 6" xfId="4432"/>
    <cellStyle name="Normal 12 6 2" xfId="9406"/>
    <cellStyle name="Normal 12 6 3" xfId="13683"/>
    <cellStyle name="Normal 12 6 4" xfId="17943"/>
    <cellStyle name="Normal 12 6 5" xfId="22161"/>
    <cellStyle name="Normal 12 6 6" xfId="26357"/>
    <cellStyle name="Normal 12 6 7" xfId="30253"/>
    <cellStyle name="Normal 12 7" xfId="5781"/>
    <cellStyle name="Normal 12 7 2" xfId="10753"/>
    <cellStyle name="Normal 12 7 3" xfId="15031"/>
    <cellStyle name="Normal 12 7 4" xfId="19288"/>
    <cellStyle name="Normal 12 7 5" xfId="23505"/>
    <cellStyle name="Normal 12 7 6" xfId="27691"/>
    <cellStyle name="Normal 12 7 7" xfId="31570"/>
    <cellStyle name="Normal 12 8" xfId="6655"/>
    <cellStyle name="Normal 12 9" xfId="9233"/>
    <cellStyle name="Normal 13" xfId="548"/>
    <cellStyle name="Normal 13 2" xfId="2998"/>
    <cellStyle name="Normal 13 2 2" xfId="3833"/>
    <cellStyle name="Normal 13 2 2 2" xfId="8809"/>
    <cellStyle name="Normal 13 2 2 3" xfId="13094"/>
    <cellStyle name="Normal 13 2 2 4" xfId="17366"/>
    <cellStyle name="Normal 13 2 2 5" xfId="21600"/>
    <cellStyle name="Normal 13 2 2 6" xfId="25839"/>
    <cellStyle name="Normal 13 2 2 7" xfId="29913"/>
    <cellStyle name="Normal 13 2 3" xfId="7974"/>
    <cellStyle name="Normal 13 2 4" xfId="12262"/>
    <cellStyle name="Normal 13 2 5" xfId="16537"/>
    <cellStyle name="Normal 13 2 6" xfId="20775"/>
    <cellStyle name="Normal 13 2 7" xfId="25022"/>
    <cellStyle name="Normal 13 2 8" xfId="29108"/>
    <cellStyle name="Normal 13 3" xfId="3444"/>
    <cellStyle name="Normal 13 3 2" xfId="8420"/>
    <cellStyle name="Normal 13 3 3" xfId="12705"/>
    <cellStyle name="Normal 13 3 4" xfId="16977"/>
    <cellStyle name="Normal 13 3 5" xfId="21212"/>
    <cellStyle name="Normal 13 3 6" xfId="25450"/>
    <cellStyle name="Normal 13 3 7" xfId="29528"/>
    <cellStyle name="Normal 13 4" xfId="2585"/>
    <cellStyle name="Normal 13 4 2" xfId="7562"/>
    <cellStyle name="Normal 13 4 3" xfId="11851"/>
    <cellStyle name="Normal 13 4 4" xfId="16127"/>
    <cellStyle name="Normal 13 4 5" xfId="20370"/>
    <cellStyle name="Normal 13 4 6" xfId="24616"/>
    <cellStyle name="Normal 13 4 7" xfId="28721"/>
    <cellStyle name="Normal 13 5" xfId="4095"/>
    <cellStyle name="Normal 13 6" xfId="4623"/>
    <cellStyle name="Normal 13 7" xfId="1911"/>
    <cellStyle name="Normal 14" xfId="547"/>
    <cellStyle name="Normal 14 10" xfId="21923"/>
    <cellStyle name="Normal 14 11" xfId="21007"/>
    <cellStyle name="Normal 14 12" xfId="1910"/>
    <cellStyle name="Normal 14 2" xfId="1249"/>
    <cellStyle name="Normal 14 2 2" xfId="5280"/>
    <cellStyle name="Normal 14 2 2 2" xfId="10254"/>
    <cellStyle name="Normal 14 2 2 3" xfId="14531"/>
    <cellStyle name="Normal 14 2 2 4" xfId="18790"/>
    <cellStyle name="Normal 14 2 2 5" xfId="23009"/>
    <cellStyle name="Normal 14 2 2 6" xfId="27204"/>
    <cellStyle name="Normal 14 2 2 7" xfId="31100"/>
    <cellStyle name="Normal 14 2 3" xfId="2999"/>
    <cellStyle name="Normal 14 3" xfId="4078"/>
    <cellStyle name="Normal 14 4" xfId="4622"/>
    <cellStyle name="Normal 14 4 2" xfId="9596"/>
    <cellStyle name="Normal 14 4 3" xfId="13873"/>
    <cellStyle name="Normal 14 4 4" xfId="18133"/>
    <cellStyle name="Normal 14 4 5" xfId="22351"/>
    <cellStyle name="Normal 14 4 6" xfId="26547"/>
    <cellStyle name="Normal 14 4 7" xfId="30443"/>
    <cellStyle name="Normal 14 5" xfId="5971"/>
    <cellStyle name="Normal 14 5 2" xfId="10943"/>
    <cellStyle name="Normal 14 5 3" xfId="15221"/>
    <cellStyle name="Normal 14 5 4" xfId="19478"/>
    <cellStyle name="Normal 14 5 5" xfId="23695"/>
    <cellStyle name="Normal 14 5 6" xfId="27881"/>
    <cellStyle name="Normal 14 5 7" xfId="31760"/>
    <cellStyle name="Normal 14 6" xfId="6845"/>
    <cellStyle name="Normal 14 7" xfId="6434"/>
    <cellStyle name="Normal 14 8" xfId="8982"/>
    <cellStyle name="Normal 14 9" xfId="13264"/>
    <cellStyle name="Normal 15" xfId="3000"/>
    <cellStyle name="Normal 15 2" xfId="4267"/>
    <cellStyle name="Normal 15 3" xfId="4248"/>
    <cellStyle name="Normal 16" xfId="3001"/>
    <cellStyle name="Normal 16 2" xfId="3834"/>
    <cellStyle name="Normal 16 2 2" xfId="8810"/>
    <cellStyle name="Normal 16 2 3" xfId="13095"/>
    <cellStyle name="Normal 16 2 4" xfId="17367"/>
    <cellStyle name="Normal 16 2 5" xfId="21601"/>
    <cellStyle name="Normal 16 2 6" xfId="25840"/>
    <cellStyle name="Normal 16 2 7" xfId="29914"/>
    <cellStyle name="Normal 16 3" xfId="7977"/>
    <cellStyle name="Normal 16 4" xfId="12265"/>
    <cellStyle name="Normal 16 5" xfId="16540"/>
    <cellStyle name="Normal 16 6" xfId="20778"/>
    <cellStyle name="Normal 16 7" xfId="25023"/>
    <cellStyle name="Normal 16 8" xfId="29109"/>
    <cellStyle name="Normal 17" xfId="3158"/>
    <cellStyle name="Normal 17 2" xfId="8134"/>
    <cellStyle name="Normal 17 3" xfId="12421"/>
    <cellStyle name="Normal 17 4" xfId="16696"/>
    <cellStyle name="Normal 17 5" xfId="20931"/>
    <cellStyle name="Normal 17 6" xfId="25173"/>
    <cellStyle name="Normal 17 7" xfId="29256"/>
    <cellStyle name="Normal 18" xfId="4339"/>
    <cellStyle name="Normal 19" xfId="5609"/>
    <cellStyle name="Normal 19 2" xfId="10583"/>
    <cellStyle name="Normal 19 3" xfId="14860"/>
    <cellStyle name="Normal 19 4" xfId="19119"/>
    <cellStyle name="Normal 19 5" xfId="23338"/>
    <cellStyle name="Normal 19 6" xfId="27533"/>
    <cellStyle name="Normal 19 7" xfId="31429"/>
    <cellStyle name="Normal 2" xfId="43"/>
    <cellStyle name="Normal 2 10" xfId="2247"/>
    <cellStyle name="Normal 2 10 2" xfId="7225"/>
    <cellStyle name="Normal 2 10 3" xfId="11516"/>
    <cellStyle name="Normal 2 10 4" xfId="15794"/>
    <cellStyle name="Normal 2 10 5" xfId="20049"/>
    <cellStyle name="Normal 2 10 6" xfId="24300"/>
    <cellStyle name="Normal 2 10 7" xfId="28448"/>
    <cellStyle name="Normal 2 2" xfId="164"/>
    <cellStyle name="Normal 2 2 10" xfId="3197"/>
    <cellStyle name="Normal 2 2 10 2" xfId="8173"/>
    <cellStyle name="Normal 2 2 10 3" xfId="12459"/>
    <cellStyle name="Normal 2 2 10 4" xfId="16733"/>
    <cellStyle name="Normal 2 2 10 5" xfId="20969"/>
    <cellStyle name="Normal 2 2 10 6" xfId="25209"/>
    <cellStyle name="Normal 2 2 10 7" xfId="29290"/>
    <cellStyle name="Normal 2 2 11" xfId="2294"/>
    <cellStyle name="Normal 2 2 11 2" xfId="7272"/>
    <cellStyle name="Normal 2 2 11 3" xfId="11562"/>
    <cellStyle name="Normal 2 2 11 4" xfId="15840"/>
    <cellStyle name="Normal 2 2 11 5" xfId="20093"/>
    <cellStyle name="Normal 2 2 11 6" xfId="24344"/>
    <cellStyle name="Normal 2 2 11 7" xfId="28481"/>
    <cellStyle name="Normal 2 2 12" xfId="4048"/>
    <cellStyle name="Normal 2 2 13" xfId="4322"/>
    <cellStyle name="Normal 2 2 13 2" xfId="9296"/>
    <cellStyle name="Normal 2 2 13 3" xfId="13573"/>
    <cellStyle name="Normal 2 2 13 4" xfId="17833"/>
    <cellStyle name="Normal 2 2 13 5" xfId="22052"/>
    <cellStyle name="Normal 2 2 13 6" xfId="26250"/>
    <cellStyle name="Normal 2 2 13 7" xfId="30147"/>
    <cellStyle name="Normal 2 2 14" xfId="5677"/>
    <cellStyle name="Normal 2 2 14 2" xfId="10649"/>
    <cellStyle name="Normal 2 2 14 3" xfId="14927"/>
    <cellStyle name="Normal 2 2 14 4" xfId="19184"/>
    <cellStyle name="Normal 2 2 14 5" xfId="23401"/>
    <cellStyle name="Normal 2 2 14 6" xfId="27587"/>
    <cellStyle name="Normal 2 2 14 7" xfId="31466"/>
    <cellStyle name="Normal 2 2 15" xfId="6463"/>
    <cellStyle name="Normal 2 2 16" xfId="6367"/>
    <cellStyle name="Normal 2 2 17" xfId="8196"/>
    <cellStyle name="Normal 2 2 18" xfId="12482"/>
    <cellStyle name="Normal 2 2 19" xfId="17748"/>
    <cellStyle name="Normal 2 2 2" xfId="257"/>
    <cellStyle name="Normal 2 2 2 10" xfId="6555"/>
    <cellStyle name="Normal 2 2 2 11" xfId="6331"/>
    <cellStyle name="Normal 2 2 2 12" xfId="6460"/>
    <cellStyle name="Normal 2 2 2 13" xfId="6525"/>
    <cellStyle name="Normal 2 2 2 14" xfId="20119"/>
    <cellStyle name="Normal 2 2 2 15" xfId="20907"/>
    <cellStyle name="Normal 2 2 2 16" xfId="1654"/>
    <cellStyle name="Normal 2 2 2 2" xfId="335"/>
    <cellStyle name="Normal 2 2 2 2 10" xfId="6489"/>
    <cellStyle name="Normal 2 2 2 2 11" xfId="6547"/>
    <cellStyle name="Normal 2 2 2 2 12" xfId="7963"/>
    <cellStyle name="Normal 2 2 2 2 13" xfId="21981"/>
    <cellStyle name="Normal 2 2 2 2 14" xfId="17497"/>
    <cellStyle name="Normal 2 2 2 2 15" xfId="1704"/>
    <cellStyle name="Normal 2 2 2 2 2" xfId="411"/>
    <cellStyle name="Normal 2 2 2 2 2 10" xfId="15873"/>
    <cellStyle name="Normal 2 2 2 2 2 11" xfId="21930"/>
    <cellStyle name="Normal 2 2 2 2 2 12" xfId="24374"/>
    <cellStyle name="Normal 2 2 2 2 2 13" xfId="1774"/>
    <cellStyle name="Normal 2 2 2 2 2 2" xfId="785"/>
    <cellStyle name="Normal 2 2 2 2 2 2 10" xfId="24160"/>
    <cellStyle name="Normal 2 2 2 2 2 2 11" xfId="28312"/>
    <cellStyle name="Normal 2 2 2 2 2 2 12" xfId="2104"/>
    <cellStyle name="Normal 2 2 2 2 2 2 2" xfId="1442"/>
    <cellStyle name="Normal 2 2 2 2 2 2 2 2" xfId="5473"/>
    <cellStyle name="Normal 2 2 2 2 2 2 2 2 2" xfId="10447"/>
    <cellStyle name="Normal 2 2 2 2 2 2 2 2 3" xfId="14724"/>
    <cellStyle name="Normal 2 2 2 2 2 2 2 2 4" xfId="18983"/>
    <cellStyle name="Normal 2 2 2 2 2 2 2 2 5" xfId="23202"/>
    <cellStyle name="Normal 2 2 2 2 2 2 2 2 6" xfId="27397"/>
    <cellStyle name="Normal 2 2 2 2 2 2 2 2 7" xfId="31293"/>
    <cellStyle name="Normal 2 2 2 2 2 2 2 3" xfId="8811"/>
    <cellStyle name="Normal 2 2 2 2 2 2 2 4" xfId="13096"/>
    <cellStyle name="Normal 2 2 2 2 2 2 2 5" xfId="17368"/>
    <cellStyle name="Normal 2 2 2 2 2 2 2 6" xfId="21602"/>
    <cellStyle name="Normal 2 2 2 2 2 2 2 7" xfId="25841"/>
    <cellStyle name="Normal 2 2 2 2 2 2 2 8" xfId="29915"/>
    <cellStyle name="Normal 2 2 2 2 2 2 2 9" xfId="3835"/>
    <cellStyle name="Normal 2 2 2 2 2 2 3" xfId="3002"/>
    <cellStyle name="Normal 2 2 2 2 2 2 3 2" xfId="7978"/>
    <cellStyle name="Normal 2 2 2 2 2 2 3 3" xfId="12266"/>
    <cellStyle name="Normal 2 2 2 2 2 2 3 4" xfId="16541"/>
    <cellStyle name="Normal 2 2 2 2 2 2 3 5" xfId="20779"/>
    <cellStyle name="Normal 2 2 2 2 2 2 3 6" xfId="25024"/>
    <cellStyle name="Normal 2 2 2 2 2 2 3 7" xfId="29110"/>
    <cellStyle name="Normal 2 2 2 2 2 2 4" xfId="4816"/>
    <cellStyle name="Normal 2 2 2 2 2 2 4 2" xfId="9790"/>
    <cellStyle name="Normal 2 2 2 2 2 2 4 3" xfId="14067"/>
    <cellStyle name="Normal 2 2 2 2 2 2 4 4" xfId="18326"/>
    <cellStyle name="Normal 2 2 2 2 2 2 4 5" xfId="22545"/>
    <cellStyle name="Normal 2 2 2 2 2 2 4 6" xfId="26740"/>
    <cellStyle name="Normal 2 2 2 2 2 2 4 7" xfId="30636"/>
    <cellStyle name="Normal 2 2 2 2 2 2 5" xfId="6164"/>
    <cellStyle name="Normal 2 2 2 2 2 2 5 2" xfId="11136"/>
    <cellStyle name="Normal 2 2 2 2 2 2 5 3" xfId="15414"/>
    <cellStyle name="Normal 2 2 2 2 2 2 5 4" xfId="19671"/>
    <cellStyle name="Normal 2 2 2 2 2 2 5 5" xfId="23888"/>
    <cellStyle name="Normal 2 2 2 2 2 2 5 6" xfId="28074"/>
    <cellStyle name="Normal 2 2 2 2 2 2 5 7" xfId="31953"/>
    <cellStyle name="Normal 2 2 2 2 2 2 6" xfId="7082"/>
    <cellStyle name="Normal 2 2 2 2 2 2 7" xfId="11374"/>
    <cellStyle name="Normal 2 2 2 2 2 2 8" xfId="15652"/>
    <cellStyle name="Normal 2 2 2 2 2 2 9" xfId="19909"/>
    <cellStyle name="Normal 2 2 2 2 2 3" xfId="1113"/>
    <cellStyle name="Normal 2 2 2 2 2 3 2" xfId="5144"/>
    <cellStyle name="Normal 2 2 2 2 2 3 2 2" xfId="10118"/>
    <cellStyle name="Normal 2 2 2 2 2 3 2 3" xfId="14395"/>
    <cellStyle name="Normal 2 2 2 2 2 3 2 4" xfId="18654"/>
    <cellStyle name="Normal 2 2 2 2 2 3 2 5" xfId="22873"/>
    <cellStyle name="Normal 2 2 2 2 2 3 2 6" xfId="27068"/>
    <cellStyle name="Normal 2 2 2 2 2 3 2 7" xfId="30964"/>
    <cellStyle name="Normal 2 2 2 2 2 3 3" xfId="8339"/>
    <cellStyle name="Normal 2 2 2 2 2 3 4" xfId="12624"/>
    <cellStyle name="Normal 2 2 2 2 2 3 5" xfId="16896"/>
    <cellStyle name="Normal 2 2 2 2 2 3 6" xfId="21131"/>
    <cellStyle name="Normal 2 2 2 2 2 3 7" xfId="25369"/>
    <cellStyle name="Normal 2 2 2 2 2 3 8" xfId="29447"/>
    <cellStyle name="Normal 2 2 2 2 2 3 9" xfId="3363"/>
    <cellStyle name="Normal 2 2 2 2 2 4" xfId="2502"/>
    <cellStyle name="Normal 2 2 2 2 2 4 2" xfId="7479"/>
    <cellStyle name="Normal 2 2 2 2 2 4 3" xfId="11768"/>
    <cellStyle name="Normal 2 2 2 2 2 4 4" xfId="16046"/>
    <cellStyle name="Normal 2 2 2 2 2 4 5" xfId="20289"/>
    <cellStyle name="Normal 2 2 2 2 2 4 6" xfId="24535"/>
    <cellStyle name="Normal 2 2 2 2 2 4 7" xfId="28640"/>
    <cellStyle name="Normal 2 2 2 2 2 5" xfId="4486"/>
    <cellStyle name="Normal 2 2 2 2 2 5 2" xfId="9460"/>
    <cellStyle name="Normal 2 2 2 2 2 5 3" xfId="13737"/>
    <cellStyle name="Normal 2 2 2 2 2 5 4" xfId="17997"/>
    <cellStyle name="Normal 2 2 2 2 2 5 5" xfId="22215"/>
    <cellStyle name="Normal 2 2 2 2 2 5 6" xfId="26411"/>
    <cellStyle name="Normal 2 2 2 2 2 5 7" xfId="30307"/>
    <cellStyle name="Normal 2 2 2 2 2 6" xfId="5835"/>
    <cellStyle name="Normal 2 2 2 2 2 6 2" xfId="10807"/>
    <cellStyle name="Normal 2 2 2 2 2 6 3" xfId="15085"/>
    <cellStyle name="Normal 2 2 2 2 2 6 4" xfId="19342"/>
    <cellStyle name="Normal 2 2 2 2 2 6 5" xfId="23559"/>
    <cellStyle name="Normal 2 2 2 2 2 6 6" xfId="27745"/>
    <cellStyle name="Normal 2 2 2 2 2 6 7" xfId="31624"/>
    <cellStyle name="Normal 2 2 2 2 2 7" xfId="6709"/>
    <cellStyle name="Normal 2 2 2 2 2 8" xfId="7305"/>
    <cellStyle name="Normal 2 2 2 2 2 9" xfId="11595"/>
    <cellStyle name="Normal 2 2 2 2 3" xfId="715"/>
    <cellStyle name="Normal 2 2 2 2 3 10" xfId="19839"/>
    <cellStyle name="Normal 2 2 2 2 3 11" xfId="24090"/>
    <cellStyle name="Normal 2 2 2 2 3 12" xfId="28242"/>
    <cellStyle name="Normal 2 2 2 2 3 13" xfId="2034"/>
    <cellStyle name="Normal 2 2 2 2 3 2" xfId="1372"/>
    <cellStyle name="Normal 2 2 2 2 3 2 10" xfId="3004"/>
    <cellStyle name="Normal 2 2 2 2 3 2 2" xfId="3837"/>
    <cellStyle name="Normal 2 2 2 2 3 2 2 2" xfId="8813"/>
    <cellStyle name="Normal 2 2 2 2 3 2 2 3" xfId="13098"/>
    <cellStyle name="Normal 2 2 2 2 3 2 2 4" xfId="17370"/>
    <cellStyle name="Normal 2 2 2 2 3 2 2 5" xfId="21604"/>
    <cellStyle name="Normal 2 2 2 2 3 2 2 6" xfId="25843"/>
    <cellStyle name="Normal 2 2 2 2 3 2 2 7" xfId="29917"/>
    <cellStyle name="Normal 2 2 2 2 3 2 3" xfId="5403"/>
    <cellStyle name="Normal 2 2 2 2 3 2 3 2" xfId="10377"/>
    <cellStyle name="Normal 2 2 2 2 3 2 3 3" xfId="14654"/>
    <cellStyle name="Normal 2 2 2 2 3 2 3 4" xfId="18913"/>
    <cellStyle name="Normal 2 2 2 2 3 2 3 5" xfId="23132"/>
    <cellStyle name="Normal 2 2 2 2 3 2 3 6" xfId="27327"/>
    <cellStyle name="Normal 2 2 2 2 3 2 3 7" xfId="31223"/>
    <cellStyle name="Normal 2 2 2 2 3 2 4" xfId="7980"/>
    <cellStyle name="Normal 2 2 2 2 3 2 5" xfId="12268"/>
    <cellStyle name="Normal 2 2 2 2 3 2 6" xfId="16543"/>
    <cellStyle name="Normal 2 2 2 2 3 2 7" xfId="20781"/>
    <cellStyle name="Normal 2 2 2 2 3 2 8" xfId="25026"/>
    <cellStyle name="Normal 2 2 2 2 3 2 9" xfId="29112"/>
    <cellStyle name="Normal 2 2 2 2 3 3" xfId="3836"/>
    <cellStyle name="Normal 2 2 2 2 3 3 2" xfId="8812"/>
    <cellStyle name="Normal 2 2 2 2 3 3 3" xfId="13097"/>
    <cellStyle name="Normal 2 2 2 2 3 3 4" xfId="17369"/>
    <cellStyle name="Normal 2 2 2 2 3 3 5" xfId="21603"/>
    <cellStyle name="Normal 2 2 2 2 3 3 6" xfId="25842"/>
    <cellStyle name="Normal 2 2 2 2 3 3 7" xfId="29916"/>
    <cellStyle name="Normal 2 2 2 2 3 4" xfId="3003"/>
    <cellStyle name="Normal 2 2 2 2 3 4 2" xfId="7979"/>
    <cellStyle name="Normal 2 2 2 2 3 4 3" xfId="12267"/>
    <cellStyle name="Normal 2 2 2 2 3 4 4" xfId="16542"/>
    <cellStyle name="Normal 2 2 2 2 3 4 5" xfId="20780"/>
    <cellStyle name="Normal 2 2 2 2 3 4 6" xfId="25025"/>
    <cellStyle name="Normal 2 2 2 2 3 4 7" xfId="29111"/>
    <cellStyle name="Normal 2 2 2 2 3 5" xfId="4746"/>
    <cellStyle name="Normal 2 2 2 2 3 5 2" xfId="9720"/>
    <cellStyle name="Normal 2 2 2 2 3 5 3" xfId="13997"/>
    <cellStyle name="Normal 2 2 2 2 3 5 4" xfId="18256"/>
    <cellStyle name="Normal 2 2 2 2 3 5 5" xfId="22475"/>
    <cellStyle name="Normal 2 2 2 2 3 5 6" xfId="26670"/>
    <cellStyle name="Normal 2 2 2 2 3 5 7" xfId="30566"/>
    <cellStyle name="Normal 2 2 2 2 3 6" xfId="6094"/>
    <cellStyle name="Normal 2 2 2 2 3 6 2" xfId="11066"/>
    <cellStyle name="Normal 2 2 2 2 3 6 3" xfId="15344"/>
    <cellStyle name="Normal 2 2 2 2 3 6 4" xfId="19601"/>
    <cellStyle name="Normal 2 2 2 2 3 6 5" xfId="23818"/>
    <cellStyle name="Normal 2 2 2 2 3 6 6" xfId="28004"/>
    <cellStyle name="Normal 2 2 2 2 3 6 7" xfId="31883"/>
    <cellStyle name="Normal 2 2 2 2 3 7" xfId="7012"/>
    <cellStyle name="Normal 2 2 2 2 3 8" xfId="11304"/>
    <cellStyle name="Normal 2 2 2 2 3 9" xfId="15582"/>
    <cellStyle name="Normal 2 2 2 2 4" xfId="1043"/>
    <cellStyle name="Normal 2 2 2 2 4 10" xfId="3005"/>
    <cellStyle name="Normal 2 2 2 2 4 2" xfId="3838"/>
    <cellStyle name="Normal 2 2 2 2 4 2 2" xfId="8814"/>
    <cellStyle name="Normal 2 2 2 2 4 2 3" xfId="13099"/>
    <cellStyle name="Normal 2 2 2 2 4 2 4" xfId="17371"/>
    <cellStyle name="Normal 2 2 2 2 4 2 5" xfId="21605"/>
    <cellStyle name="Normal 2 2 2 2 4 2 6" xfId="25844"/>
    <cellStyle name="Normal 2 2 2 2 4 2 7" xfId="29918"/>
    <cellStyle name="Normal 2 2 2 2 4 3" xfId="5074"/>
    <cellStyle name="Normal 2 2 2 2 4 3 2" xfId="10048"/>
    <cellStyle name="Normal 2 2 2 2 4 3 3" xfId="14325"/>
    <cellStyle name="Normal 2 2 2 2 4 3 4" xfId="18584"/>
    <cellStyle name="Normal 2 2 2 2 4 3 5" xfId="22803"/>
    <cellStyle name="Normal 2 2 2 2 4 3 6" xfId="26998"/>
    <cellStyle name="Normal 2 2 2 2 4 3 7" xfId="30894"/>
    <cellStyle name="Normal 2 2 2 2 4 4" xfId="7981"/>
    <cellStyle name="Normal 2 2 2 2 4 5" xfId="12269"/>
    <cellStyle name="Normal 2 2 2 2 4 6" xfId="16544"/>
    <cellStyle name="Normal 2 2 2 2 4 7" xfId="20782"/>
    <cellStyle name="Normal 2 2 2 2 4 8" xfId="25027"/>
    <cellStyle name="Normal 2 2 2 2 4 9" xfId="29113"/>
    <cellStyle name="Normal 2 2 2 2 5" xfId="3304"/>
    <cellStyle name="Normal 2 2 2 2 5 2" xfId="8280"/>
    <cellStyle name="Normal 2 2 2 2 5 3" xfId="12565"/>
    <cellStyle name="Normal 2 2 2 2 5 4" xfId="16837"/>
    <cellStyle name="Normal 2 2 2 2 5 5" xfId="21072"/>
    <cellStyle name="Normal 2 2 2 2 5 6" xfId="25310"/>
    <cellStyle name="Normal 2 2 2 2 5 7" xfId="29388"/>
    <cellStyle name="Normal 2 2 2 2 6" xfId="2442"/>
    <cellStyle name="Normal 2 2 2 2 6 2" xfId="7420"/>
    <cellStyle name="Normal 2 2 2 2 6 3" xfId="11708"/>
    <cellStyle name="Normal 2 2 2 2 6 4" xfId="15987"/>
    <cellStyle name="Normal 2 2 2 2 6 5" xfId="20229"/>
    <cellStyle name="Normal 2 2 2 2 6 6" xfId="24476"/>
    <cellStyle name="Normal 2 2 2 2 6 7" xfId="28581"/>
    <cellStyle name="Normal 2 2 2 2 7" xfId="4416"/>
    <cellStyle name="Normal 2 2 2 2 7 2" xfId="9390"/>
    <cellStyle name="Normal 2 2 2 2 7 3" xfId="13667"/>
    <cellStyle name="Normal 2 2 2 2 7 4" xfId="17927"/>
    <cellStyle name="Normal 2 2 2 2 7 5" xfId="22145"/>
    <cellStyle name="Normal 2 2 2 2 7 6" xfId="26341"/>
    <cellStyle name="Normal 2 2 2 2 7 7" xfId="30237"/>
    <cellStyle name="Normal 2 2 2 2 8" xfId="5765"/>
    <cellStyle name="Normal 2 2 2 2 8 2" xfId="10737"/>
    <cellStyle name="Normal 2 2 2 2 8 3" xfId="15015"/>
    <cellStyle name="Normal 2 2 2 2 8 4" xfId="19272"/>
    <cellStyle name="Normal 2 2 2 2 8 5" xfId="23489"/>
    <cellStyle name="Normal 2 2 2 2 8 6" xfId="27675"/>
    <cellStyle name="Normal 2 2 2 2 8 7" xfId="31554"/>
    <cellStyle name="Normal 2 2 2 2 9" xfId="6633"/>
    <cellStyle name="Normal 2 2 2 3" xfId="377"/>
    <cellStyle name="Normal 2 2 2 3 10" xfId="17548"/>
    <cellStyle name="Normal 2 2 2 3 11" xfId="20125"/>
    <cellStyle name="Normal 2 2 2 3 12" xfId="26012"/>
    <cellStyle name="Normal 2 2 2 3 13" xfId="1740"/>
    <cellStyle name="Normal 2 2 2 3 2" xfId="751"/>
    <cellStyle name="Normal 2 2 2 3 2 10" xfId="24126"/>
    <cellStyle name="Normal 2 2 2 3 2 11" xfId="28278"/>
    <cellStyle name="Normal 2 2 2 3 2 12" xfId="2070"/>
    <cellStyle name="Normal 2 2 2 3 2 2" xfId="1408"/>
    <cellStyle name="Normal 2 2 2 3 2 2 2" xfId="5439"/>
    <cellStyle name="Normal 2 2 2 3 2 2 2 2" xfId="10413"/>
    <cellStyle name="Normal 2 2 2 3 2 2 2 3" xfId="14690"/>
    <cellStyle name="Normal 2 2 2 3 2 2 2 4" xfId="18949"/>
    <cellStyle name="Normal 2 2 2 3 2 2 2 5" xfId="23168"/>
    <cellStyle name="Normal 2 2 2 3 2 2 2 6" xfId="27363"/>
    <cellStyle name="Normal 2 2 2 3 2 2 2 7" xfId="31259"/>
    <cellStyle name="Normal 2 2 2 3 2 2 3" xfId="8815"/>
    <cellStyle name="Normal 2 2 2 3 2 2 4" xfId="13100"/>
    <cellStyle name="Normal 2 2 2 3 2 2 5" xfId="17372"/>
    <cellStyle name="Normal 2 2 2 3 2 2 6" xfId="21606"/>
    <cellStyle name="Normal 2 2 2 3 2 2 7" xfId="25845"/>
    <cellStyle name="Normal 2 2 2 3 2 2 8" xfId="29919"/>
    <cellStyle name="Normal 2 2 2 3 2 2 9" xfId="3839"/>
    <cellStyle name="Normal 2 2 2 3 2 3" xfId="3006"/>
    <cellStyle name="Normal 2 2 2 3 2 3 2" xfId="7982"/>
    <cellStyle name="Normal 2 2 2 3 2 3 3" xfId="12270"/>
    <cellStyle name="Normal 2 2 2 3 2 3 4" xfId="16545"/>
    <cellStyle name="Normal 2 2 2 3 2 3 5" xfId="20783"/>
    <cellStyle name="Normal 2 2 2 3 2 3 6" xfId="25028"/>
    <cellStyle name="Normal 2 2 2 3 2 3 7" xfId="29114"/>
    <cellStyle name="Normal 2 2 2 3 2 4" xfId="4782"/>
    <cellStyle name="Normal 2 2 2 3 2 4 2" xfId="9756"/>
    <cellStyle name="Normal 2 2 2 3 2 4 3" xfId="14033"/>
    <cellStyle name="Normal 2 2 2 3 2 4 4" xfId="18292"/>
    <cellStyle name="Normal 2 2 2 3 2 4 5" xfId="22511"/>
    <cellStyle name="Normal 2 2 2 3 2 4 6" xfId="26706"/>
    <cellStyle name="Normal 2 2 2 3 2 4 7" xfId="30602"/>
    <cellStyle name="Normal 2 2 2 3 2 5" xfId="6130"/>
    <cellStyle name="Normal 2 2 2 3 2 5 2" xfId="11102"/>
    <cellStyle name="Normal 2 2 2 3 2 5 3" xfId="15380"/>
    <cellStyle name="Normal 2 2 2 3 2 5 4" xfId="19637"/>
    <cellStyle name="Normal 2 2 2 3 2 5 5" xfId="23854"/>
    <cellStyle name="Normal 2 2 2 3 2 5 6" xfId="28040"/>
    <cellStyle name="Normal 2 2 2 3 2 5 7" xfId="31919"/>
    <cellStyle name="Normal 2 2 2 3 2 6" xfId="7048"/>
    <cellStyle name="Normal 2 2 2 3 2 7" xfId="11340"/>
    <cellStyle name="Normal 2 2 2 3 2 8" xfId="15618"/>
    <cellStyle name="Normal 2 2 2 3 2 9" xfId="19875"/>
    <cellStyle name="Normal 2 2 2 3 3" xfId="1079"/>
    <cellStyle name="Normal 2 2 2 3 3 2" xfId="5110"/>
    <cellStyle name="Normal 2 2 2 3 3 2 2" xfId="10084"/>
    <cellStyle name="Normal 2 2 2 3 3 2 3" xfId="14361"/>
    <cellStyle name="Normal 2 2 2 3 3 2 4" xfId="18620"/>
    <cellStyle name="Normal 2 2 2 3 3 2 5" xfId="22839"/>
    <cellStyle name="Normal 2 2 2 3 3 2 6" xfId="27034"/>
    <cellStyle name="Normal 2 2 2 3 3 2 7" xfId="30930"/>
    <cellStyle name="Normal 2 2 2 3 3 3" xfId="8305"/>
    <cellStyle name="Normal 2 2 2 3 3 4" xfId="12590"/>
    <cellStyle name="Normal 2 2 2 3 3 5" xfId="16862"/>
    <cellStyle name="Normal 2 2 2 3 3 6" xfId="21097"/>
    <cellStyle name="Normal 2 2 2 3 3 7" xfId="25335"/>
    <cellStyle name="Normal 2 2 2 3 3 8" xfId="29413"/>
    <cellStyle name="Normal 2 2 2 3 3 9" xfId="3329"/>
    <cellStyle name="Normal 2 2 2 3 4" xfId="2468"/>
    <cellStyle name="Normal 2 2 2 3 4 2" xfId="7445"/>
    <cellStyle name="Normal 2 2 2 3 4 3" xfId="11734"/>
    <cellStyle name="Normal 2 2 2 3 4 4" xfId="16012"/>
    <cellStyle name="Normal 2 2 2 3 4 5" xfId="20255"/>
    <cellStyle name="Normal 2 2 2 3 4 6" xfId="24501"/>
    <cellStyle name="Normal 2 2 2 3 4 7" xfId="28606"/>
    <cellStyle name="Normal 2 2 2 3 5" xfId="4452"/>
    <cellStyle name="Normal 2 2 2 3 5 2" xfId="9426"/>
    <cellStyle name="Normal 2 2 2 3 5 3" xfId="13703"/>
    <cellStyle name="Normal 2 2 2 3 5 4" xfId="17963"/>
    <cellStyle name="Normal 2 2 2 3 5 5" xfId="22181"/>
    <cellStyle name="Normal 2 2 2 3 5 6" xfId="26377"/>
    <cellStyle name="Normal 2 2 2 3 5 7" xfId="30273"/>
    <cellStyle name="Normal 2 2 2 3 6" xfId="5801"/>
    <cellStyle name="Normal 2 2 2 3 6 2" xfId="10773"/>
    <cellStyle name="Normal 2 2 2 3 6 3" xfId="15051"/>
    <cellStyle name="Normal 2 2 2 3 6 4" xfId="19308"/>
    <cellStyle name="Normal 2 2 2 3 6 5" xfId="23525"/>
    <cellStyle name="Normal 2 2 2 3 6 6" xfId="27711"/>
    <cellStyle name="Normal 2 2 2 3 6 7" xfId="31590"/>
    <cellStyle name="Normal 2 2 2 3 7" xfId="6675"/>
    <cellStyle name="Normal 2 2 2 3 8" xfId="8992"/>
    <cellStyle name="Normal 2 2 2 3 9" xfId="13274"/>
    <cellStyle name="Normal 2 2 2 4" xfId="668"/>
    <cellStyle name="Normal 2 2 2 4 10" xfId="17553"/>
    <cellStyle name="Normal 2 2 2 4 11" xfId="24043"/>
    <cellStyle name="Normal 2 2 2 4 12" xfId="26015"/>
    <cellStyle name="Normal 2 2 2 4 13" xfId="1987"/>
    <cellStyle name="Normal 2 2 2 4 2" xfId="1325"/>
    <cellStyle name="Normal 2 2 2 4 2 10" xfId="3008"/>
    <cellStyle name="Normal 2 2 2 4 2 2" xfId="3841"/>
    <cellStyle name="Normal 2 2 2 4 2 2 2" xfId="8817"/>
    <cellStyle name="Normal 2 2 2 4 2 2 3" xfId="13102"/>
    <cellStyle name="Normal 2 2 2 4 2 2 4" xfId="17374"/>
    <cellStyle name="Normal 2 2 2 4 2 2 5" xfId="21608"/>
    <cellStyle name="Normal 2 2 2 4 2 2 6" xfId="25847"/>
    <cellStyle name="Normal 2 2 2 4 2 2 7" xfId="29921"/>
    <cellStyle name="Normal 2 2 2 4 2 3" xfId="5356"/>
    <cellStyle name="Normal 2 2 2 4 2 3 2" xfId="10330"/>
    <cellStyle name="Normal 2 2 2 4 2 3 3" xfId="14607"/>
    <cellStyle name="Normal 2 2 2 4 2 3 4" xfId="18866"/>
    <cellStyle name="Normal 2 2 2 4 2 3 5" xfId="23085"/>
    <cellStyle name="Normal 2 2 2 4 2 3 6" xfId="27280"/>
    <cellStyle name="Normal 2 2 2 4 2 3 7" xfId="31176"/>
    <cellStyle name="Normal 2 2 2 4 2 4" xfId="7984"/>
    <cellStyle name="Normal 2 2 2 4 2 5" xfId="12272"/>
    <cellStyle name="Normal 2 2 2 4 2 6" xfId="16547"/>
    <cellStyle name="Normal 2 2 2 4 2 7" xfId="20785"/>
    <cellStyle name="Normal 2 2 2 4 2 8" xfId="25030"/>
    <cellStyle name="Normal 2 2 2 4 2 9" xfId="29116"/>
    <cellStyle name="Normal 2 2 2 4 3" xfId="3840"/>
    <cellStyle name="Normal 2 2 2 4 3 2" xfId="8816"/>
    <cellStyle name="Normal 2 2 2 4 3 3" xfId="13101"/>
    <cellStyle name="Normal 2 2 2 4 3 4" xfId="17373"/>
    <cellStyle name="Normal 2 2 2 4 3 5" xfId="21607"/>
    <cellStyle name="Normal 2 2 2 4 3 6" xfId="25846"/>
    <cellStyle name="Normal 2 2 2 4 3 7" xfId="29920"/>
    <cellStyle name="Normal 2 2 2 4 4" xfId="3007"/>
    <cellStyle name="Normal 2 2 2 4 4 2" xfId="7983"/>
    <cellStyle name="Normal 2 2 2 4 4 3" xfId="12271"/>
    <cellStyle name="Normal 2 2 2 4 4 4" xfId="16546"/>
    <cellStyle name="Normal 2 2 2 4 4 5" xfId="20784"/>
    <cellStyle name="Normal 2 2 2 4 4 6" xfId="25029"/>
    <cellStyle name="Normal 2 2 2 4 4 7" xfId="29115"/>
    <cellStyle name="Normal 2 2 2 4 5" xfId="4699"/>
    <cellStyle name="Normal 2 2 2 4 5 2" xfId="9673"/>
    <cellStyle name="Normal 2 2 2 4 5 3" xfId="13950"/>
    <cellStyle name="Normal 2 2 2 4 5 4" xfId="18209"/>
    <cellStyle name="Normal 2 2 2 4 5 5" xfId="22428"/>
    <cellStyle name="Normal 2 2 2 4 5 6" xfId="26623"/>
    <cellStyle name="Normal 2 2 2 4 5 7" xfId="30519"/>
    <cellStyle name="Normal 2 2 2 4 6" xfId="6047"/>
    <cellStyle name="Normal 2 2 2 4 6 2" xfId="11019"/>
    <cellStyle name="Normal 2 2 2 4 6 3" xfId="15297"/>
    <cellStyle name="Normal 2 2 2 4 6 4" xfId="19554"/>
    <cellStyle name="Normal 2 2 2 4 6 5" xfId="23771"/>
    <cellStyle name="Normal 2 2 2 4 6 6" xfId="27957"/>
    <cellStyle name="Normal 2 2 2 4 6 7" xfId="31836"/>
    <cellStyle name="Normal 2 2 2 4 7" xfId="6965"/>
    <cellStyle name="Normal 2 2 2 4 8" xfId="8997"/>
    <cellStyle name="Normal 2 2 2 4 9" xfId="13279"/>
    <cellStyle name="Normal 2 2 2 5" xfId="996"/>
    <cellStyle name="Normal 2 2 2 5 10" xfId="3009"/>
    <cellStyle name="Normal 2 2 2 5 2" xfId="3842"/>
    <cellStyle name="Normal 2 2 2 5 2 2" xfId="8818"/>
    <cellStyle name="Normal 2 2 2 5 2 3" xfId="13103"/>
    <cellStyle name="Normal 2 2 2 5 2 4" xfId="17375"/>
    <cellStyle name="Normal 2 2 2 5 2 5" xfId="21609"/>
    <cellStyle name="Normal 2 2 2 5 2 6" xfId="25848"/>
    <cellStyle name="Normal 2 2 2 5 2 7" xfId="29922"/>
    <cellStyle name="Normal 2 2 2 5 3" xfId="5027"/>
    <cellStyle name="Normal 2 2 2 5 3 2" xfId="10001"/>
    <cellStyle name="Normal 2 2 2 5 3 3" xfId="14278"/>
    <cellStyle name="Normal 2 2 2 5 3 4" xfId="18537"/>
    <cellStyle name="Normal 2 2 2 5 3 5" xfId="22756"/>
    <cellStyle name="Normal 2 2 2 5 3 6" xfId="26951"/>
    <cellStyle name="Normal 2 2 2 5 3 7" xfId="30847"/>
    <cellStyle name="Normal 2 2 2 5 4" xfId="7985"/>
    <cellStyle name="Normal 2 2 2 5 5" xfId="12273"/>
    <cellStyle name="Normal 2 2 2 5 6" xfId="16548"/>
    <cellStyle name="Normal 2 2 2 5 7" xfId="20786"/>
    <cellStyle name="Normal 2 2 2 5 8" xfId="25031"/>
    <cellStyle name="Normal 2 2 2 5 9" xfId="29117"/>
    <cellStyle name="Normal 2 2 2 6" xfId="3272"/>
    <cellStyle name="Normal 2 2 2 6 2" xfId="8248"/>
    <cellStyle name="Normal 2 2 2 6 3" xfId="12533"/>
    <cellStyle name="Normal 2 2 2 6 4" xfId="16806"/>
    <cellStyle name="Normal 2 2 2 6 5" xfId="21042"/>
    <cellStyle name="Normal 2 2 2 6 6" xfId="25280"/>
    <cellStyle name="Normal 2 2 2 6 7" xfId="29358"/>
    <cellStyle name="Normal 2 2 2 7" xfId="2388"/>
    <cellStyle name="Normal 2 2 2 7 2" xfId="7366"/>
    <cellStyle name="Normal 2 2 2 7 3" xfId="11655"/>
    <cellStyle name="Normal 2 2 2 7 4" xfId="15933"/>
    <cellStyle name="Normal 2 2 2 7 5" xfId="20182"/>
    <cellStyle name="Normal 2 2 2 7 6" xfId="24430"/>
    <cellStyle name="Normal 2 2 2 7 7" xfId="28550"/>
    <cellStyle name="Normal 2 2 2 8" xfId="4368"/>
    <cellStyle name="Normal 2 2 2 8 2" xfId="9342"/>
    <cellStyle name="Normal 2 2 2 8 3" xfId="13619"/>
    <cellStyle name="Normal 2 2 2 8 4" xfId="17879"/>
    <cellStyle name="Normal 2 2 2 8 5" xfId="22098"/>
    <cellStyle name="Normal 2 2 2 8 6" xfId="26294"/>
    <cellStyle name="Normal 2 2 2 8 7" xfId="30190"/>
    <cellStyle name="Normal 2 2 2 9" xfId="5718"/>
    <cellStyle name="Normal 2 2 2 9 2" xfId="10690"/>
    <cellStyle name="Normal 2 2 2 9 3" xfId="14968"/>
    <cellStyle name="Normal 2 2 2 9 4" xfId="19225"/>
    <cellStyle name="Normal 2 2 2 9 5" xfId="23442"/>
    <cellStyle name="Normal 2 2 2 9 6" xfId="27628"/>
    <cellStyle name="Normal 2 2 2 9 7" xfId="31507"/>
    <cellStyle name="Normal 2 2 20" xfId="21952"/>
    <cellStyle name="Normal 2 2 21" xfId="1612"/>
    <cellStyle name="Normal 2 2 3" xfId="345"/>
    <cellStyle name="Normal 2 2 3 10" xfId="9039"/>
    <cellStyle name="Normal 2 2 3 11" xfId="13322"/>
    <cellStyle name="Normal 2 2 3 12" xfId="17595"/>
    <cellStyle name="Normal 2 2 3 13" xfId="21769"/>
    <cellStyle name="Normal 2 2 3 14" xfId="26048"/>
    <cellStyle name="Normal 2 2 3 15" xfId="1714"/>
    <cellStyle name="Normal 2 2 3 2" xfId="443"/>
    <cellStyle name="Normal 2 2 3 2 10" xfId="17632"/>
    <cellStyle name="Normal 2 2 3 2 11" xfId="20932"/>
    <cellStyle name="Normal 2 2 3 2 12" xfId="26079"/>
    <cellStyle name="Normal 2 2 3 2 13" xfId="1806"/>
    <cellStyle name="Normal 2 2 3 2 2" xfId="817"/>
    <cellStyle name="Normal 2 2 3 2 2 10" xfId="24192"/>
    <cellStyle name="Normal 2 2 3 2 2 11" xfId="28344"/>
    <cellStyle name="Normal 2 2 3 2 2 12" xfId="2136"/>
    <cellStyle name="Normal 2 2 3 2 2 2" xfId="1474"/>
    <cellStyle name="Normal 2 2 3 2 2 2 2" xfId="5505"/>
    <cellStyle name="Normal 2 2 3 2 2 2 2 2" xfId="10479"/>
    <cellStyle name="Normal 2 2 3 2 2 2 2 3" xfId="14756"/>
    <cellStyle name="Normal 2 2 3 2 2 2 2 4" xfId="19015"/>
    <cellStyle name="Normal 2 2 3 2 2 2 2 5" xfId="23234"/>
    <cellStyle name="Normal 2 2 3 2 2 2 2 6" xfId="27429"/>
    <cellStyle name="Normal 2 2 3 2 2 2 2 7" xfId="31325"/>
    <cellStyle name="Normal 2 2 3 2 2 2 3" xfId="8819"/>
    <cellStyle name="Normal 2 2 3 2 2 2 4" xfId="13104"/>
    <cellStyle name="Normal 2 2 3 2 2 2 5" xfId="17376"/>
    <cellStyle name="Normal 2 2 3 2 2 2 6" xfId="21610"/>
    <cellStyle name="Normal 2 2 3 2 2 2 7" xfId="25849"/>
    <cellStyle name="Normal 2 2 3 2 2 2 8" xfId="29923"/>
    <cellStyle name="Normal 2 2 3 2 2 2 9" xfId="3843"/>
    <cellStyle name="Normal 2 2 3 2 2 3" xfId="3010"/>
    <cellStyle name="Normal 2 2 3 2 2 3 2" xfId="7986"/>
    <cellStyle name="Normal 2 2 3 2 2 3 3" xfId="12274"/>
    <cellStyle name="Normal 2 2 3 2 2 3 4" xfId="16549"/>
    <cellStyle name="Normal 2 2 3 2 2 3 5" xfId="20787"/>
    <cellStyle name="Normal 2 2 3 2 2 3 6" xfId="25032"/>
    <cellStyle name="Normal 2 2 3 2 2 3 7" xfId="29118"/>
    <cellStyle name="Normal 2 2 3 2 2 4" xfId="4848"/>
    <cellStyle name="Normal 2 2 3 2 2 4 2" xfId="9822"/>
    <cellStyle name="Normal 2 2 3 2 2 4 3" xfId="14099"/>
    <cellStyle name="Normal 2 2 3 2 2 4 4" xfId="18358"/>
    <cellStyle name="Normal 2 2 3 2 2 4 5" xfId="22577"/>
    <cellStyle name="Normal 2 2 3 2 2 4 6" xfId="26772"/>
    <cellStyle name="Normal 2 2 3 2 2 4 7" xfId="30668"/>
    <cellStyle name="Normal 2 2 3 2 2 5" xfId="6196"/>
    <cellStyle name="Normal 2 2 3 2 2 5 2" xfId="11168"/>
    <cellStyle name="Normal 2 2 3 2 2 5 3" xfId="15446"/>
    <cellStyle name="Normal 2 2 3 2 2 5 4" xfId="19703"/>
    <cellStyle name="Normal 2 2 3 2 2 5 5" xfId="23920"/>
    <cellStyle name="Normal 2 2 3 2 2 5 6" xfId="28106"/>
    <cellStyle name="Normal 2 2 3 2 2 5 7" xfId="31985"/>
    <cellStyle name="Normal 2 2 3 2 2 6" xfId="7114"/>
    <cellStyle name="Normal 2 2 3 2 2 7" xfId="11406"/>
    <cellStyle name="Normal 2 2 3 2 2 8" xfId="15684"/>
    <cellStyle name="Normal 2 2 3 2 2 9" xfId="19941"/>
    <cellStyle name="Normal 2 2 3 2 3" xfId="1145"/>
    <cellStyle name="Normal 2 2 3 2 3 2" xfId="5176"/>
    <cellStyle name="Normal 2 2 3 2 3 2 2" xfId="10150"/>
    <cellStyle name="Normal 2 2 3 2 3 2 3" xfId="14427"/>
    <cellStyle name="Normal 2 2 3 2 3 2 4" xfId="18686"/>
    <cellStyle name="Normal 2 2 3 2 3 2 5" xfId="22905"/>
    <cellStyle name="Normal 2 2 3 2 3 2 6" xfId="27100"/>
    <cellStyle name="Normal 2 2 3 2 3 2 7" xfId="30996"/>
    <cellStyle name="Normal 2 2 3 2 3 3" xfId="8371"/>
    <cellStyle name="Normal 2 2 3 2 3 4" xfId="12656"/>
    <cellStyle name="Normal 2 2 3 2 3 5" xfId="16928"/>
    <cellStyle name="Normal 2 2 3 2 3 6" xfId="21163"/>
    <cellStyle name="Normal 2 2 3 2 3 7" xfId="25401"/>
    <cellStyle name="Normal 2 2 3 2 3 8" xfId="29479"/>
    <cellStyle name="Normal 2 2 3 2 3 9" xfId="3395"/>
    <cellStyle name="Normal 2 2 3 2 4" xfId="2534"/>
    <cellStyle name="Normal 2 2 3 2 4 2" xfId="7511"/>
    <cellStyle name="Normal 2 2 3 2 4 3" xfId="11800"/>
    <cellStyle name="Normal 2 2 3 2 4 4" xfId="16078"/>
    <cellStyle name="Normal 2 2 3 2 4 5" xfId="20321"/>
    <cellStyle name="Normal 2 2 3 2 4 6" xfId="24567"/>
    <cellStyle name="Normal 2 2 3 2 4 7" xfId="28672"/>
    <cellStyle name="Normal 2 2 3 2 5" xfId="4518"/>
    <cellStyle name="Normal 2 2 3 2 5 2" xfId="9492"/>
    <cellStyle name="Normal 2 2 3 2 5 3" xfId="13769"/>
    <cellStyle name="Normal 2 2 3 2 5 4" xfId="18029"/>
    <cellStyle name="Normal 2 2 3 2 5 5" xfId="22247"/>
    <cellStyle name="Normal 2 2 3 2 5 6" xfId="26443"/>
    <cellStyle name="Normal 2 2 3 2 5 7" xfId="30339"/>
    <cellStyle name="Normal 2 2 3 2 6" xfId="5867"/>
    <cellStyle name="Normal 2 2 3 2 6 2" xfId="10839"/>
    <cellStyle name="Normal 2 2 3 2 6 3" xfId="15117"/>
    <cellStyle name="Normal 2 2 3 2 6 4" xfId="19374"/>
    <cellStyle name="Normal 2 2 3 2 6 5" xfId="23591"/>
    <cellStyle name="Normal 2 2 3 2 6 6" xfId="27777"/>
    <cellStyle name="Normal 2 2 3 2 6 7" xfId="31656"/>
    <cellStyle name="Normal 2 2 3 2 7" xfId="6741"/>
    <cellStyle name="Normal 2 2 3 2 8" xfId="9081"/>
    <cellStyle name="Normal 2 2 3 2 9" xfId="13363"/>
    <cellStyle name="Normal 2 2 3 3" xfId="725"/>
    <cellStyle name="Normal 2 2 3 3 10" xfId="24100"/>
    <cellStyle name="Normal 2 2 3 3 11" xfId="28252"/>
    <cellStyle name="Normal 2 2 3 3 12" xfId="2044"/>
    <cellStyle name="Normal 2 2 3 3 2" xfId="1382"/>
    <cellStyle name="Normal 2 2 3 3 2 2" xfId="5413"/>
    <cellStyle name="Normal 2 2 3 3 2 2 2" xfId="10387"/>
    <cellStyle name="Normal 2 2 3 3 2 2 3" xfId="14664"/>
    <cellStyle name="Normal 2 2 3 3 2 2 4" xfId="18923"/>
    <cellStyle name="Normal 2 2 3 3 2 2 5" xfId="23142"/>
    <cellStyle name="Normal 2 2 3 3 2 2 6" xfId="27337"/>
    <cellStyle name="Normal 2 2 3 3 2 2 7" xfId="31233"/>
    <cellStyle name="Normal 2 2 3 3 2 3" xfId="8820"/>
    <cellStyle name="Normal 2 2 3 3 2 4" xfId="13105"/>
    <cellStyle name="Normal 2 2 3 3 2 5" xfId="17377"/>
    <cellStyle name="Normal 2 2 3 3 2 6" xfId="21611"/>
    <cellStyle name="Normal 2 2 3 3 2 7" xfId="25850"/>
    <cellStyle name="Normal 2 2 3 3 2 8" xfId="29924"/>
    <cellStyle name="Normal 2 2 3 3 2 9" xfId="3844"/>
    <cellStyle name="Normal 2 2 3 3 3" xfId="3011"/>
    <cellStyle name="Normal 2 2 3 3 3 2" xfId="7987"/>
    <cellStyle name="Normal 2 2 3 3 3 3" xfId="12275"/>
    <cellStyle name="Normal 2 2 3 3 3 4" xfId="16550"/>
    <cellStyle name="Normal 2 2 3 3 3 5" xfId="20788"/>
    <cellStyle name="Normal 2 2 3 3 3 6" xfId="25033"/>
    <cellStyle name="Normal 2 2 3 3 3 7" xfId="29119"/>
    <cellStyle name="Normal 2 2 3 3 4" xfId="4756"/>
    <cellStyle name="Normal 2 2 3 3 4 2" xfId="9730"/>
    <cellStyle name="Normal 2 2 3 3 4 3" xfId="14007"/>
    <cellStyle name="Normal 2 2 3 3 4 4" xfId="18266"/>
    <cellStyle name="Normal 2 2 3 3 4 5" xfId="22485"/>
    <cellStyle name="Normal 2 2 3 3 4 6" xfId="26680"/>
    <cellStyle name="Normal 2 2 3 3 4 7" xfId="30576"/>
    <cellStyle name="Normal 2 2 3 3 5" xfId="6104"/>
    <cellStyle name="Normal 2 2 3 3 5 2" xfId="11076"/>
    <cellStyle name="Normal 2 2 3 3 5 3" xfId="15354"/>
    <cellStyle name="Normal 2 2 3 3 5 4" xfId="19611"/>
    <cellStyle name="Normal 2 2 3 3 5 5" xfId="23828"/>
    <cellStyle name="Normal 2 2 3 3 5 6" xfId="28014"/>
    <cellStyle name="Normal 2 2 3 3 5 7" xfId="31893"/>
    <cellStyle name="Normal 2 2 3 3 6" xfId="7022"/>
    <cellStyle name="Normal 2 2 3 3 7" xfId="11314"/>
    <cellStyle name="Normal 2 2 3 3 8" xfId="15592"/>
    <cellStyle name="Normal 2 2 3 3 9" xfId="19849"/>
    <cellStyle name="Normal 2 2 3 4" xfId="1053"/>
    <cellStyle name="Normal 2 2 3 4 2" xfId="5084"/>
    <cellStyle name="Normal 2 2 3 4 2 2" xfId="10058"/>
    <cellStyle name="Normal 2 2 3 4 2 3" xfId="14335"/>
    <cellStyle name="Normal 2 2 3 4 2 4" xfId="18594"/>
    <cellStyle name="Normal 2 2 3 4 2 5" xfId="22813"/>
    <cellStyle name="Normal 2 2 3 4 2 6" xfId="27008"/>
    <cellStyle name="Normal 2 2 3 4 2 7" xfId="30904"/>
    <cellStyle name="Normal 2 2 3 4 3" xfId="8214"/>
    <cellStyle name="Normal 2 2 3 4 4" xfId="12500"/>
    <cellStyle name="Normal 2 2 3 4 5" xfId="16772"/>
    <cellStyle name="Normal 2 2 3 4 6" xfId="21010"/>
    <cellStyle name="Normal 2 2 3 4 7" xfId="25248"/>
    <cellStyle name="Normal 2 2 3 4 8" xfId="29327"/>
    <cellStyle name="Normal 2 2 3 4 9" xfId="3238"/>
    <cellStyle name="Normal 2 2 3 5" xfId="2350"/>
    <cellStyle name="Normal 2 2 3 5 2" xfId="7328"/>
    <cellStyle name="Normal 2 2 3 5 3" xfId="11617"/>
    <cellStyle name="Normal 2 2 3 5 4" xfId="15896"/>
    <cellStyle name="Normal 2 2 3 5 5" xfId="20146"/>
    <cellStyle name="Normal 2 2 3 5 6" xfId="24393"/>
    <cellStyle name="Normal 2 2 3 5 7" xfId="28519"/>
    <cellStyle name="Normal 2 2 3 6" xfId="4195"/>
    <cellStyle name="Normal 2 2 3 7" xfId="4426"/>
    <cellStyle name="Normal 2 2 3 7 2" xfId="9400"/>
    <cellStyle name="Normal 2 2 3 7 3" xfId="13677"/>
    <cellStyle name="Normal 2 2 3 7 4" xfId="17937"/>
    <cellStyle name="Normal 2 2 3 7 5" xfId="22155"/>
    <cellStyle name="Normal 2 2 3 7 6" xfId="26351"/>
    <cellStyle name="Normal 2 2 3 7 7" xfId="30247"/>
    <cellStyle name="Normal 2 2 3 8" xfId="5775"/>
    <cellStyle name="Normal 2 2 3 8 2" xfId="10747"/>
    <cellStyle name="Normal 2 2 3 8 3" xfId="15025"/>
    <cellStyle name="Normal 2 2 3 8 4" xfId="19282"/>
    <cellStyle name="Normal 2 2 3 8 5" xfId="23499"/>
    <cellStyle name="Normal 2 2 3 8 6" xfId="27685"/>
    <cellStyle name="Normal 2 2 3 8 7" xfId="31564"/>
    <cellStyle name="Normal 2 2 3 9" xfId="6643"/>
    <cellStyle name="Normal 2 2 4" xfId="285"/>
    <cellStyle name="Normal 2 2 5" xfId="525"/>
    <cellStyle name="Normal 2 2 5 10" xfId="13425"/>
    <cellStyle name="Normal 2 2 5 11" xfId="15888"/>
    <cellStyle name="Normal 2 2 5 12" xfId="17698"/>
    <cellStyle name="Normal 2 2 5 13" xfId="1888"/>
    <cellStyle name="Normal 2 2 5 2" xfId="899"/>
    <cellStyle name="Normal 2 2 5 2 10" xfId="24274"/>
    <cellStyle name="Normal 2 2 5 2 11" xfId="28426"/>
    <cellStyle name="Normal 2 2 5 2 12" xfId="2218"/>
    <cellStyle name="Normal 2 2 5 2 2" xfId="1556"/>
    <cellStyle name="Normal 2 2 5 2 2 2" xfId="5587"/>
    <cellStyle name="Normal 2 2 5 2 2 2 2" xfId="10561"/>
    <cellStyle name="Normal 2 2 5 2 2 2 3" xfId="14838"/>
    <cellStyle name="Normal 2 2 5 2 2 2 4" xfId="19097"/>
    <cellStyle name="Normal 2 2 5 2 2 2 5" xfId="23316"/>
    <cellStyle name="Normal 2 2 5 2 2 2 6" xfId="27511"/>
    <cellStyle name="Normal 2 2 5 2 2 2 7" xfId="31407"/>
    <cellStyle name="Normal 2 2 5 2 2 3" xfId="8821"/>
    <cellStyle name="Normal 2 2 5 2 2 4" xfId="13106"/>
    <cellStyle name="Normal 2 2 5 2 2 5" xfId="17378"/>
    <cellStyle name="Normal 2 2 5 2 2 6" xfId="21612"/>
    <cellStyle name="Normal 2 2 5 2 2 7" xfId="25851"/>
    <cellStyle name="Normal 2 2 5 2 2 8" xfId="29925"/>
    <cellStyle name="Normal 2 2 5 2 2 9" xfId="3845"/>
    <cellStyle name="Normal 2 2 5 2 3" xfId="3012"/>
    <cellStyle name="Normal 2 2 5 2 3 2" xfId="7988"/>
    <cellStyle name="Normal 2 2 5 2 3 3" xfId="12276"/>
    <cellStyle name="Normal 2 2 5 2 3 4" xfId="16551"/>
    <cellStyle name="Normal 2 2 5 2 3 5" xfId="20789"/>
    <cellStyle name="Normal 2 2 5 2 3 6" xfId="25034"/>
    <cellStyle name="Normal 2 2 5 2 3 7" xfId="29120"/>
    <cellStyle name="Normal 2 2 5 2 4" xfId="4930"/>
    <cellStyle name="Normal 2 2 5 2 4 2" xfId="9904"/>
    <cellStyle name="Normal 2 2 5 2 4 3" xfId="14181"/>
    <cellStyle name="Normal 2 2 5 2 4 4" xfId="18440"/>
    <cellStyle name="Normal 2 2 5 2 4 5" xfId="22659"/>
    <cellStyle name="Normal 2 2 5 2 4 6" xfId="26854"/>
    <cellStyle name="Normal 2 2 5 2 4 7" xfId="30750"/>
    <cellStyle name="Normal 2 2 5 2 5" xfId="6278"/>
    <cellStyle name="Normal 2 2 5 2 5 2" xfId="11250"/>
    <cellStyle name="Normal 2 2 5 2 5 3" xfId="15528"/>
    <cellStyle name="Normal 2 2 5 2 5 4" xfId="19785"/>
    <cellStyle name="Normal 2 2 5 2 5 5" xfId="24002"/>
    <cellStyle name="Normal 2 2 5 2 5 6" xfId="28188"/>
    <cellStyle name="Normal 2 2 5 2 5 7" xfId="32067"/>
    <cellStyle name="Normal 2 2 5 2 6" xfId="7196"/>
    <cellStyle name="Normal 2 2 5 2 7" xfId="11488"/>
    <cellStyle name="Normal 2 2 5 2 8" xfId="15766"/>
    <cellStyle name="Normal 2 2 5 2 9" xfId="20023"/>
    <cellStyle name="Normal 2 2 5 3" xfId="1227"/>
    <cellStyle name="Normal 2 2 5 3 2" xfId="5258"/>
    <cellStyle name="Normal 2 2 5 3 2 2" xfId="10232"/>
    <cellStyle name="Normal 2 2 5 3 2 3" xfId="14509"/>
    <cellStyle name="Normal 2 2 5 3 2 4" xfId="18768"/>
    <cellStyle name="Normal 2 2 5 3 2 5" xfId="22987"/>
    <cellStyle name="Normal 2 2 5 3 2 6" xfId="27182"/>
    <cellStyle name="Normal 2 2 5 3 2 7" xfId="31078"/>
    <cellStyle name="Normal 2 2 5 3 3" xfId="8435"/>
    <cellStyle name="Normal 2 2 5 3 4" xfId="12720"/>
    <cellStyle name="Normal 2 2 5 3 5" xfId="16992"/>
    <cellStyle name="Normal 2 2 5 3 6" xfId="21227"/>
    <cellStyle name="Normal 2 2 5 3 7" xfId="25465"/>
    <cellStyle name="Normal 2 2 5 3 8" xfId="29543"/>
    <cellStyle name="Normal 2 2 5 3 9" xfId="3459"/>
    <cellStyle name="Normal 2 2 5 4" xfId="2601"/>
    <cellStyle name="Normal 2 2 5 4 2" xfId="7578"/>
    <cellStyle name="Normal 2 2 5 4 3" xfId="11867"/>
    <cellStyle name="Normal 2 2 5 4 4" xfId="16143"/>
    <cellStyle name="Normal 2 2 5 4 5" xfId="20386"/>
    <cellStyle name="Normal 2 2 5 4 6" xfId="24632"/>
    <cellStyle name="Normal 2 2 5 4 7" xfId="28736"/>
    <cellStyle name="Normal 2 2 5 5" xfId="4600"/>
    <cellStyle name="Normal 2 2 5 5 2" xfId="9574"/>
    <cellStyle name="Normal 2 2 5 5 3" xfId="13851"/>
    <cellStyle name="Normal 2 2 5 5 4" xfId="18111"/>
    <cellStyle name="Normal 2 2 5 5 5" xfId="22329"/>
    <cellStyle name="Normal 2 2 5 5 6" xfId="26525"/>
    <cellStyle name="Normal 2 2 5 5 7" xfId="30421"/>
    <cellStyle name="Normal 2 2 5 6" xfId="5949"/>
    <cellStyle name="Normal 2 2 5 6 2" xfId="10921"/>
    <cellStyle name="Normal 2 2 5 6 3" xfId="15199"/>
    <cellStyle name="Normal 2 2 5 6 4" xfId="19456"/>
    <cellStyle name="Normal 2 2 5 6 5" xfId="23673"/>
    <cellStyle name="Normal 2 2 5 6 6" xfId="27859"/>
    <cellStyle name="Normal 2 2 5 6 7" xfId="31738"/>
    <cellStyle name="Normal 2 2 5 7" xfId="6823"/>
    <cellStyle name="Normal 2 2 5 8" xfId="6373"/>
    <cellStyle name="Normal 2 2 5 9" xfId="9145"/>
    <cellStyle name="Normal 2 2 6" xfId="626"/>
    <cellStyle name="Normal 2 2 6 10" xfId="15977"/>
    <cellStyle name="Normal 2 2 6 11" xfId="19145"/>
    <cellStyle name="Normal 2 2 6 12" xfId="24469"/>
    <cellStyle name="Normal 2 2 6 13" xfId="1945"/>
    <cellStyle name="Normal 2 2 6 2" xfId="1283"/>
    <cellStyle name="Normal 2 2 6 2 10" xfId="3014"/>
    <cellStyle name="Normal 2 2 6 2 2" xfId="3847"/>
    <cellStyle name="Normal 2 2 6 2 2 2" xfId="8823"/>
    <cellStyle name="Normal 2 2 6 2 2 3" xfId="13108"/>
    <cellStyle name="Normal 2 2 6 2 2 4" xfId="17380"/>
    <cellStyle name="Normal 2 2 6 2 2 5" xfId="21614"/>
    <cellStyle name="Normal 2 2 6 2 2 6" xfId="25853"/>
    <cellStyle name="Normal 2 2 6 2 2 7" xfId="29927"/>
    <cellStyle name="Normal 2 2 6 2 3" xfId="5314"/>
    <cellStyle name="Normal 2 2 6 2 3 2" xfId="10288"/>
    <cellStyle name="Normal 2 2 6 2 3 3" xfId="14565"/>
    <cellStyle name="Normal 2 2 6 2 3 4" xfId="18824"/>
    <cellStyle name="Normal 2 2 6 2 3 5" xfId="23043"/>
    <cellStyle name="Normal 2 2 6 2 3 6" xfId="27238"/>
    <cellStyle name="Normal 2 2 6 2 3 7" xfId="31134"/>
    <cellStyle name="Normal 2 2 6 2 4" xfId="7990"/>
    <cellStyle name="Normal 2 2 6 2 5" xfId="12278"/>
    <cellStyle name="Normal 2 2 6 2 6" xfId="16553"/>
    <cellStyle name="Normal 2 2 6 2 7" xfId="20791"/>
    <cellStyle name="Normal 2 2 6 2 8" xfId="25036"/>
    <cellStyle name="Normal 2 2 6 2 9" xfId="29122"/>
    <cellStyle name="Normal 2 2 6 3" xfId="3846"/>
    <cellStyle name="Normal 2 2 6 3 2" xfId="8822"/>
    <cellStyle name="Normal 2 2 6 3 3" xfId="13107"/>
    <cellStyle name="Normal 2 2 6 3 4" xfId="17379"/>
    <cellStyle name="Normal 2 2 6 3 5" xfId="21613"/>
    <cellStyle name="Normal 2 2 6 3 6" xfId="25852"/>
    <cellStyle name="Normal 2 2 6 3 7" xfId="29926"/>
    <cellStyle name="Normal 2 2 6 4" xfId="3013"/>
    <cellStyle name="Normal 2 2 6 4 2" xfId="7989"/>
    <cellStyle name="Normal 2 2 6 4 3" xfId="12277"/>
    <cellStyle name="Normal 2 2 6 4 4" xfId="16552"/>
    <cellStyle name="Normal 2 2 6 4 5" xfId="20790"/>
    <cellStyle name="Normal 2 2 6 4 6" xfId="25035"/>
    <cellStyle name="Normal 2 2 6 4 7" xfId="29121"/>
    <cellStyle name="Normal 2 2 6 5" xfId="4657"/>
    <cellStyle name="Normal 2 2 6 5 2" xfId="9631"/>
    <cellStyle name="Normal 2 2 6 5 3" xfId="13908"/>
    <cellStyle name="Normal 2 2 6 5 4" xfId="18167"/>
    <cellStyle name="Normal 2 2 6 5 5" xfId="22386"/>
    <cellStyle name="Normal 2 2 6 5 6" xfId="26581"/>
    <cellStyle name="Normal 2 2 6 5 7" xfId="30477"/>
    <cellStyle name="Normal 2 2 6 6" xfId="6005"/>
    <cellStyle name="Normal 2 2 6 6 2" xfId="10977"/>
    <cellStyle name="Normal 2 2 6 6 3" xfId="15255"/>
    <cellStyle name="Normal 2 2 6 6 4" xfId="19512"/>
    <cellStyle name="Normal 2 2 6 6 5" xfId="23729"/>
    <cellStyle name="Normal 2 2 6 6 6" xfId="27915"/>
    <cellStyle name="Normal 2 2 6 6 7" xfId="31794"/>
    <cellStyle name="Normal 2 2 6 7" xfId="6923"/>
    <cellStyle name="Normal 2 2 6 8" xfId="7410"/>
    <cellStyle name="Normal 2 2 6 9" xfId="11698"/>
    <cellStyle name="Normal 2 2 7" xfId="954"/>
    <cellStyle name="Normal 2 2 7 10" xfId="29123"/>
    <cellStyle name="Normal 2 2 7 11" xfId="3015"/>
    <cellStyle name="Normal 2 2 7 2" xfId="3016"/>
    <cellStyle name="Normal 2 2 7 2 2" xfId="3849"/>
    <cellStyle name="Normal 2 2 7 2 2 2" xfId="8825"/>
    <cellStyle name="Normal 2 2 7 2 2 3" xfId="13110"/>
    <cellStyle name="Normal 2 2 7 2 2 4" xfId="17382"/>
    <cellStyle name="Normal 2 2 7 2 2 5" xfId="21616"/>
    <cellStyle name="Normal 2 2 7 2 2 6" xfId="25855"/>
    <cellStyle name="Normal 2 2 7 2 2 7" xfId="29929"/>
    <cellStyle name="Normal 2 2 7 2 3" xfId="7992"/>
    <cellStyle name="Normal 2 2 7 2 4" xfId="12280"/>
    <cellStyle name="Normal 2 2 7 2 5" xfId="16555"/>
    <cellStyle name="Normal 2 2 7 2 6" xfId="20793"/>
    <cellStyle name="Normal 2 2 7 2 7" xfId="25038"/>
    <cellStyle name="Normal 2 2 7 2 8" xfId="29124"/>
    <cellStyle name="Normal 2 2 7 3" xfId="3848"/>
    <cellStyle name="Normal 2 2 7 3 2" xfId="8824"/>
    <cellStyle name="Normal 2 2 7 3 3" xfId="13109"/>
    <cellStyle name="Normal 2 2 7 3 4" xfId="17381"/>
    <cellStyle name="Normal 2 2 7 3 5" xfId="21615"/>
    <cellStyle name="Normal 2 2 7 3 6" xfId="25854"/>
    <cellStyle name="Normal 2 2 7 3 7" xfId="29928"/>
    <cellStyle name="Normal 2 2 7 4" xfId="4985"/>
    <cellStyle name="Normal 2 2 7 4 2" xfId="9959"/>
    <cellStyle name="Normal 2 2 7 4 3" xfId="14236"/>
    <cellStyle name="Normal 2 2 7 4 4" xfId="18495"/>
    <cellStyle name="Normal 2 2 7 4 5" xfId="22714"/>
    <cellStyle name="Normal 2 2 7 4 6" xfId="26909"/>
    <cellStyle name="Normal 2 2 7 4 7" xfId="30805"/>
    <cellStyle name="Normal 2 2 7 5" xfId="7991"/>
    <cellStyle name="Normal 2 2 7 6" xfId="12279"/>
    <cellStyle name="Normal 2 2 7 7" xfId="16554"/>
    <cellStyle name="Normal 2 2 7 8" xfId="20792"/>
    <cellStyle name="Normal 2 2 7 9" xfId="25037"/>
    <cellStyle name="Normal 2 2 8" xfId="3017"/>
    <cellStyle name="Normal 2 2 9" xfId="3018"/>
    <cellStyle name="Normal 2 2 9 2" xfId="3850"/>
    <cellStyle name="Normal 2 2 9 2 2" xfId="8826"/>
    <cellStyle name="Normal 2 2 9 2 3" xfId="13111"/>
    <cellStyle name="Normal 2 2 9 2 4" xfId="17383"/>
    <cellStyle name="Normal 2 2 9 2 5" xfId="21617"/>
    <cellStyle name="Normal 2 2 9 2 6" xfId="25856"/>
    <cellStyle name="Normal 2 2 9 2 7" xfId="29930"/>
    <cellStyle name="Normal 2 2 9 3" xfId="7994"/>
    <cellStyle name="Normal 2 2 9 4" xfId="12282"/>
    <cellStyle name="Normal 2 2 9 5" xfId="16557"/>
    <cellStyle name="Normal 2 2 9 6" xfId="20795"/>
    <cellStyle name="Normal 2 2 9 7" xfId="25039"/>
    <cellStyle name="Normal 2 2 9 8" xfId="29125"/>
    <cellStyle name="Normal 2 3" xfId="118"/>
    <cellStyle name="Normal 2 3 2" xfId="193"/>
    <cellStyle name="Normal 2 3 2 10" xfId="6491"/>
    <cellStyle name="Normal 2 3 2 11" xfId="9252"/>
    <cellStyle name="Normal 2 3 2 12" xfId="13529"/>
    <cellStyle name="Normal 2 3 2 13" xfId="17789"/>
    <cellStyle name="Normal 2 3 2 14" xfId="20052"/>
    <cellStyle name="Normal 2 3 2 15" xfId="26206"/>
    <cellStyle name="Normal 2 3 2 16" xfId="1629"/>
    <cellStyle name="Normal 2 3 2 2" xfId="324"/>
    <cellStyle name="Normal 2 3 2 2 10" xfId="8191"/>
    <cellStyle name="Normal 2 3 2 2 11" xfId="20047"/>
    <cellStyle name="Normal 2 3 2 2 12" xfId="21885"/>
    <cellStyle name="Normal 2 3 2 2 13" xfId="1696"/>
    <cellStyle name="Normal 2 3 2 2 2" xfId="707"/>
    <cellStyle name="Normal 2 3 2 2 2 10" xfId="24082"/>
    <cellStyle name="Normal 2 3 2 2 2 11" xfId="28234"/>
    <cellStyle name="Normal 2 3 2 2 2 12" xfId="2026"/>
    <cellStyle name="Normal 2 3 2 2 2 2" xfId="1364"/>
    <cellStyle name="Normal 2 3 2 2 2 2 2" xfId="5395"/>
    <cellStyle name="Normal 2 3 2 2 2 2 2 2" xfId="10369"/>
    <cellStyle name="Normal 2 3 2 2 2 2 2 3" xfId="14646"/>
    <cellStyle name="Normal 2 3 2 2 2 2 2 4" xfId="18905"/>
    <cellStyle name="Normal 2 3 2 2 2 2 2 5" xfId="23124"/>
    <cellStyle name="Normal 2 3 2 2 2 2 2 6" xfId="27319"/>
    <cellStyle name="Normal 2 3 2 2 2 2 2 7" xfId="31215"/>
    <cellStyle name="Normal 2 3 2 2 2 2 3" xfId="8827"/>
    <cellStyle name="Normal 2 3 2 2 2 2 4" xfId="13112"/>
    <cellStyle name="Normal 2 3 2 2 2 2 5" xfId="17384"/>
    <cellStyle name="Normal 2 3 2 2 2 2 6" xfId="21618"/>
    <cellStyle name="Normal 2 3 2 2 2 2 7" xfId="25857"/>
    <cellStyle name="Normal 2 3 2 2 2 2 8" xfId="29931"/>
    <cellStyle name="Normal 2 3 2 2 2 2 9" xfId="3851"/>
    <cellStyle name="Normal 2 3 2 2 2 3" xfId="3019"/>
    <cellStyle name="Normal 2 3 2 2 2 3 2" xfId="7995"/>
    <cellStyle name="Normal 2 3 2 2 2 3 3" xfId="12283"/>
    <cellStyle name="Normal 2 3 2 2 2 3 4" xfId="16558"/>
    <cellStyle name="Normal 2 3 2 2 2 3 5" xfId="20796"/>
    <cellStyle name="Normal 2 3 2 2 2 3 6" xfId="25040"/>
    <cellStyle name="Normal 2 3 2 2 2 3 7" xfId="29126"/>
    <cellStyle name="Normal 2 3 2 2 2 4" xfId="4738"/>
    <cellStyle name="Normal 2 3 2 2 2 4 2" xfId="9712"/>
    <cellStyle name="Normal 2 3 2 2 2 4 3" xfId="13989"/>
    <cellStyle name="Normal 2 3 2 2 2 4 4" xfId="18248"/>
    <cellStyle name="Normal 2 3 2 2 2 4 5" xfId="22467"/>
    <cellStyle name="Normal 2 3 2 2 2 4 6" xfId="26662"/>
    <cellStyle name="Normal 2 3 2 2 2 4 7" xfId="30558"/>
    <cellStyle name="Normal 2 3 2 2 2 5" xfId="6086"/>
    <cellStyle name="Normal 2 3 2 2 2 5 2" xfId="11058"/>
    <cellStyle name="Normal 2 3 2 2 2 5 3" xfId="15336"/>
    <cellStyle name="Normal 2 3 2 2 2 5 4" xfId="19593"/>
    <cellStyle name="Normal 2 3 2 2 2 5 5" xfId="23810"/>
    <cellStyle name="Normal 2 3 2 2 2 5 6" xfId="27996"/>
    <cellStyle name="Normal 2 3 2 2 2 5 7" xfId="31875"/>
    <cellStyle name="Normal 2 3 2 2 2 6" xfId="7004"/>
    <cellStyle name="Normal 2 3 2 2 2 7" xfId="11296"/>
    <cellStyle name="Normal 2 3 2 2 2 8" xfId="15574"/>
    <cellStyle name="Normal 2 3 2 2 2 9" xfId="19831"/>
    <cellStyle name="Normal 2 3 2 2 3" xfId="1035"/>
    <cellStyle name="Normal 2 3 2 2 3 2" xfId="5066"/>
    <cellStyle name="Normal 2 3 2 2 3 2 2" xfId="10040"/>
    <cellStyle name="Normal 2 3 2 2 3 2 3" xfId="14317"/>
    <cellStyle name="Normal 2 3 2 2 3 2 4" xfId="18576"/>
    <cellStyle name="Normal 2 3 2 2 3 2 5" xfId="22795"/>
    <cellStyle name="Normal 2 3 2 2 3 2 6" xfId="26990"/>
    <cellStyle name="Normal 2 3 2 2 3 2 7" xfId="30886"/>
    <cellStyle name="Normal 2 3 2 2 3 3" xfId="8273"/>
    <cellStyle name="Normal 2 3 2 2 3 4" xfId="12558"/>
    <cellStyle name="Normal 2 3 2 2 3 5" xfId="16831"/>
    <cellStyle name="Normal 2 3 2 2 3 6" xfId="21067"/>
    <cellStyle name="Normal 2 3 2 2 3 7" xfId="25305"/>
    <cellStyle name="Normal 2 3 2 2 3 8" xfId="29383"/>
    <cellStyle name="Normal 2 3 2 2 3 9" xfId="3297"/>
    <cellStyle name="Normal 2 3 2 2 4" xfId="2420"/>
    <cellStyle name="Normal 2 3 2 2 4 2" xfId="7398"/>
    <cellStyle name="Normal 2 3 2 2 4 3" xfId="11687"/>
    <cellStyle name="Normal 2 3 2 2 4 4" xfId="15965"/>
    <cellStyle name="Normal 2 3 2 2 4 5" xfId="20213"/>
    <cellStyle name="Normal 2 3 2 2 4 6" xfId="24460"/>
    <cellStyle name="Normal 2 3 2 2 4 7" xfId="28576"/>
    <cellStyle name="Normal 2 3 2 2 5" xfId="4408"/>
    <cellStyle name="Normal 2 3 2 2 5 2" xfId="9382"/>
    <cellStyle name="Normal 2 3 2 2 5 3" xfId="13659"/>
    <cellStyle name="Normal 2 3 2 2 5 4" xfId="17919"/>
    <cellStyle name="Normal 2 3 2 2 5 5" xfId="22137"/>
    <cellStyle name="Normal 2 3 2 2 5 6" xfId="26333"/>
    <cellStyle name="Normal 2 3 2 2 5 7" xfId="30229"/>
    <cellStyle name="Normal 2 3 2 2 6" xfId="5757"/>
    <cellStyle name="Normal 2 3 2 2 6 2" xfId="10729"/>
    <cellStyle name="Normal 2 3 2 2 6 3" xfId="15007"/>
    <cellStyle name="Normal 2 3 2 2 6 4" xfId="19264"/>
    <cellStyle name="Normal 2 3 2 2 6 5" xfId="23481"/>
    <cellStyle name="Normal 2 3 2 2 6 6" xfId="27667"/>
    <cellStyle name="Normal 2 3 2 2 6 7" xfId="31546"/>
    <cellStyle name="Normal 2 3 2 2 7" xfId="6622"/>
    <cellStyle name="Normal 2 3 2 2 8" xfId="6517"/>
    <cellStyle name="Normal 2 3 2 2 9" xfId="6336"/>
    <cellStyle name="Normal 2 3 2 3" xfId="542"/>
    <cellStyle name="Normal 2 3 2 3 10" xfId="19137"/>
    <cellStyle name="Normal 2 3 2 3 11" xfId="20220"/>
    <cellStyle name="Normal 2 3 2 3 12" xfId="27548"/>
    <cellStyle name="Normal 2 3 2 3 13" xfId="1905"/>
    <cellStyle name="Normal 2 3 2 3 2" xfId="916"/>
    <cellStyle name="Normal 2 3 2 3 2 10" xfId="24291"/>
    <cellStyle name="Normal 2 3 2 3 2 11" xfId="28443"/>
    <cellStyle name="Normal 2 3 2 3 2 12" xfId="2235"/>
    <cellStyle name="Normal 2 3 2 3 2 2" xfId="1573"/>
    <cellStyle name="Normal 2 3 2 3 2 2 2" xfId="5604"/>
    <cellStyle name="Normal 2 3 2 3 2 2 2 2" xfId="10578"/>
    <cellStyle name="Normal 2 3 2 3 2 2 2 3" xfId="14855"/>
    <cellStyle name="Normal 2 3 2 3 2 2 2 4" xfId="19114"/>
    <cellStyle name="Normal 2 3 2 3 2 2 2 5" xfId="23333"/>
    <cellStyle name="Normal 2 3 2 3 2 2 2 6" xfId="27528"/>
    <cellStyle name="Normal 2 3 2 3 2 2 2 7" xfId="31424"/>
    <cellStyle name="Normal 2 3 2 3 2 2 3" xfId="8828"/>
    <cellStyle name="Normal 2 3 2 3 2 2 4" xfId="13113"/>
    <cellStyle name="Normal 2 3 2 3 2 2 5" xfId="17385"/>
    <cellStyle name="Normal 2 3 2 3 2 2 6" xfId="21619"/>
    <cellStyle name="Normal 2 3 2 3 2 2 7" xfId="25858"/>
    <cellStyle name="Normal 2 3 2 3 2 2 8" xfId="29932"/>
    <cellStyle name="Normal 2 3 2 3 2 2 9" xfId="3852"/>
    <cellStyle name="Normal 2 3 2 3 2 3" xfId="3020"/>
    <cellStyle name="Normal 2 3 2 3 2 3 2" xfId="7996"/>
    <cellStyle name="Normal 2 3 2 3 2 3 3" xfId="12284"/>
    <cellStyle name="Normal 2 3 2 3 2 3 4" xfId="16559"/>
    <cellStyle name="Normal 2 3 2 3 2 3 5" xfId="20797"/>
    <cellStyle name="Normal 2 3 2 3 2 3 6" xfId="25041"/>
    <cellStyle name="Normal 2 3 2 3 2 3 7" xfId="29127"/>
    <cellStyle name="Normal 2 3 2 3 2 4" xfId="4947"/>
    <cellStyle name="Normal 2 3 2 3 2 4 2" xfId="9921"/>
    <cellStyle name="Normal 2 3 2 3 2 4 3" xfId="14198"/>
    <cellStyle name="Normal 2 3 2 3 2 4 4" xfId="18457"/>
    <cellStyle name="Normal 2 3 2 3 2 4 5" xfId="22676"/>
    <cellStyle name="Normal 2 3 2 3 2 4 6" xfId="26871"/>
    <cellStyle name="Normal 2 3 2 3 2 4 7" xfId="30767"/>
    <cellStyle name="Normal 2 3 2 3 2 5" xfId="6295"/>
    <cellStyle name="Normal 2 3 2 3 2 5 2" xfId="11267"/>
    <cellStyle name="Normal 2 3 2 3 2 5 3" xfId="15545"/>
    <cellStyle name="Normal 2 3 2 3 2 5 4" xfId="19802"/>
    <cellStyle name="Normal 2 3 2 3 2 5 5" xfId="24019"/>
    <cellStyle name="Normal 2 3 2 3 2 5 6" xfId="28205"/>
    <cellStyle name="Normal 2 3 2 3 2 5 7" xfId="32084"/>
    <cellStyle name="Normal 2 3 2 3 2 6" xfId="7213"/>
    <cellStyle name="Normal 2 3 2 3 2 7" xfId="11505"/>
    <cellStyle name="Normal 2 3 2 3 2 8" xfId="15783"/>
    <cellStyle name="Normal 2 3 2 3 2 9" xfId="20040"/>
    <cellStyle name="Normal 2 3 2 3 3" xfId="1244"/>
    <cellStyle name="Normal 2 3 2 3 3 2" xfId="5275"/>
    <cellStyle name="Normal 2 3 2 3 3 2 2" xfId="10249"/>
    <cellStyle name="Normal 2 3 2 3 3 2 3" xfId="14526"/>
    <cellStyle name="Normal 2 3 2 3 3 2 4" xfId="18785"/>
    <cellStyle name="Normal 2 3 2 3 3 2 5" xfId="23004"/>
    <cellStyle name="Normal 2 3 2 3 3 2 6" xfId="27199"/>
    <cellStyle name="Normal 2 3 2 3 3 2 7" xfId="31095"/>
    <cellStyle name="Normal 2 3 2 3 3 3" xfId="8483"/>
    <cellStyle name="Normal 2 3 2 3 3 4" xfId="12768"/>
    <cellStyle name="Normal 2 3 2 3 3 5" xfId="17040"/>
    <cellStyle name="Normal 2 3 2 3 3 6" xfId="21275"/>
    <cellStyle name="Normal 2 3 2 3 3 7" xfId="25513"/>
    <cellStyle name="Normal 2 3 2 3 3 8" xfId="29591"/>
    <cellStyle name="Normal 2 3 2 3 3 9" xfId="3507"/>
    <cellStyle name="Normal 2 3 2 3 4" xfId="2650"/>
    <cellStyle name="Normal 2 3 2 3 4 2" xfId="7627"/>
    <cellStyle name="Normal 2 3 2 3 4 3" xfId="11916"/>
    <cellStyle name="Normal 2 3 2 3 4 4" xfId="16192"/>
    <cellStyle name="Normal 2 3 2 3 4 5" xfId="20434"/>
    <cellStyle name="Normal 2 3 2 3 4 6" xfId="24681"/>
    <cellStyle name="Normal 2 3 2 3 4 7" xfId="28784"/>
    <cellStyle name="Normal 2 3 2 3 5" xfId="4617"/>
    <cellStyle name="Normal 2 3 2 3 5 2" xfId="9591"/>
    <cellStyle name="Normal 2 3 2 3 5 3" xfId="13868"/>
    <cellStyle name="Normal 2 3 2 3 5 4" xfId="18128"/>
    <cellStyle name="Normal 2 3 2 3 5 5" xfId="22346"/>
    <cellStyle name="Normal 2 3 2 3 5 6" xfId="26542"/>
    <cellStyle name="Normal 2 3 2 3 5 7" xfId="30438"/>
    <cellStyle name="Normal 2 3 2 3 6" xfId="5966"/>
    <cellStyle name="Normal 2 3 2 3 6 2" xfId="10938"/>
    <cellStyle name="Normal 2 3 2 3 6 3" xfId="15216"/>
    <cellStyle name="Normal 2 3 2 3 6 4" xfId="19473"/>
    <cellStyle name="Normal 2 3 2 3 6 5" xfId="23690"/>
    <cellStyle name="Normal 2 3 2 3 6 6" xfId="27876"/>
    <cellStyle name="Normal 2 3 2 3 6 7" xfId="31755"/>
    <cellStyle name="Normal 2 3 2 3 7" xfId="6840"/>
    <cellStyle name="Normal 2 3 2 3 8" xfId="10601"/>
    <cellStyle name="Normal 2 3 2 3 9" xfId="14879"/>
    <cellStyle name="Normal 2 3 2 4" xfId="643"/>
    <cellStyle name="Normal 2 3 2 4 10" xfId="16303"/>
    <cellStyle name="Normal 2 3 2 4 11" xfId="17665"/>
    <cellStyle name="Normal 2 3 2 4 12" xfId="24792"/>
    <cellStyle name="Normal 2 3 2 4 13" xfId="1962"/>
    <cellStyle name="Normal 2 3 2 4 2" xfId="1300"/>
    <cellStyle name="Normal 2 3 2 4 2 10" xfId="3022"/>
    <cellStyle name="Normal 2 3 2 4 2 2" xfId="3854"/>
    <cellStyle name="Normal 2 3 2 4 2 2 2" xfId="8830"/>
    <cellStyle name="Normal 2 3 2 4 2 2 3" xfId="13115"/>
    <cellStyle name="Normal 2 3 2 4 2 2 4" xfId="17387"/>
    <cellStyle name="Normal 2 3 2 4 2 2 5" xfId="21621"/>
    <cellStyle name="Normal 2 3 2 4 2 2 6" xfId="25860"/>
    <cellStyle name="Normal 2 3 2 4 2 2 7" xfId="29934"/>
    <cellStyle name="Normal 2 3 2 4 2 3" xfId="5331"/>
    <cellStyle name="Normal 2 3 2 4 2 3 2" xfId="10305"/>
    <cellStyle name="Normal 2 3 2 4 2 3 3" xfId="14582"/>
    <cellStyle name="Normal 2 3 2 4 2 3 4" xfId="18841"/>
    <cellStyle name="Normal 2 3 2 4 2 3 5" xfId="23060"/>
    <cellStyle name="Normal 2 3 2 4 2 3 6" xfId="27255"/>
    <cellStyle name="Normal 2 3 2 4 2 3 7" xfId="31151"/>
    <cellStyle name="Normal 2 3 2 4 2 4" xfId="7998"/>
    <cellStyle name="Normal 2 3 2 4 2 5" xfId="12286"/>
    <cellStyle name="Normal 2 3 2 4 2 6" xfId="16561"/>
    <cellStyle name="Normal 2 3 2 4 2 7" xfId="20799"/>
    <cellStyle name="Normal 2 3 2 4 2 8" xfId="25043"/>
    <cellStyle name="Normal 2 3 2 4 2 9" xfId="29129"/>
    <cellStyle name="Normal 2 3 2 4 3" xfId="3853"/>
    <cellStyle name="Normal 2 3 2 4 3 2" xfId="8829"/>
    <cellStyle name="Normal 2 3 2 4 3 3" xfId="13114"/>
    <cellStyle name="Normal 2 3 2 4 3 4" xfId="17386"/>
    <cellStyle name="Normal 2 3 2 4 3 5" xfId="21620"/>
    <cellStyle name="Normal 2 3 2 4 3 6" xfId="25859"/>
    <cellStyle name="Normal 2 3 2 4 3 7" xfId="29933"/>
    <cellStyle name="Normal 2 3 2 4 4" xfId="3021"/>
    <cellStyle name="Normal 2 3 2 4 4 2" xfId="7997"/>
    <cellStyle name="Normal 2 3 2 4 4 3" xfId="12285"/>
    <cellStyle name="Normal 2 3 2 4 4 4" xfId="16560"/>
    <cellStyle name="Normal 2 3 2 4 4 5" xfId="20798"/>
    <cellStyle name="Normal 2 3 2 4 4 6" xfId="25042"/>
    <cellStyle name="Normal 2 3 2 4 4 7" xfId="29128"/>
    <cellStyle name="Normal 2 3 2 4 5" xfId="4674"/>
    <cellStyle name="Normal 2 3 2 4 5 2" xfId="9648"/>
    <cellStyle name="Normal 2 3 2 4 5 3" xfId="13925"/>
    <cellStyle name="Normal 2 3 2 4 5 4" xfId="18184"/>
    <cellStyle name="Normal 2 3 2 4 5 5" xfId="22403"/>
    <cellStyle name="Normal 2 3 2 4 5 6" xfId="26598"/>
    <cellStyle name="Normal 2 3 2 4 5 7" xfId="30494"/>
    <cellStyle name="Normal 2 3 2 4 6" xfId="6022"/>
    <cellStyle name="Normal 2 3 2 4 6 2" xfId="10994"/>
    <cellStyle name="Normal 2 3 2 4 6 3" xfId="15272"/>
    <cellStyle name="Normal 2 3 2 4 6 4" xfId="19529"/>
    <cellStyle name="Normal 2 3 2 4 6 5" xfId="23746"/>
    <cellStyle name="Normal 2 3 2 4 6 6" xfId="27932"/>
    <cellStyle name="Normal 2 3 2 4 6 7" xfId="31811"/>
    <cellStyle name="Normal 2 3 2 4 7" xfId="6940"/>
    <cellStyle name="Normal 2 3 2 4 8" xfId="7738"/>
    <cellStyle name="Normal 2 3 2 4 9" xfId="12027"/>
    <cellStyle name="Normal 2 3 2 5" xfId="971"/>
    <cellStyle name="Normal 2 3 2 5 10" xfId="3023"/>
    <cellStyle name="Normal 2 3 2 5 2" xfId="3855"/>
    <cellStyle name="Normal 2 3 2 5 2 2" xfId="8831"/>
    <cellStyle name="Normal 2 3 2 5 2 3" xfId="13116"/>
    <cellStyle name="Normal 2 3 2 5 2 4" xfId="17388"/>
    <cellStyle name="Normal 2 3 2 5 2 5" xfId="21622"/>
    <cellStyle name="Normal 2 3 2 5 2 6" xfId="25861"/>
    <cellStyle name="Normal 2 3 2 5 2 7" xfId="29935"/>
    <cellStyle name="Normal 2 3 2 5 3" xfId="5002"/>
    <cellStyle name="Normal 2 3 2 5 3 2" xfId="9976"/>
    <cellStyle name="Normal 2 3 2 5 3 3" xfId="14253"/>
    <cellStyle name="Normal 2 3 2 5 3 4" xfId="18512"/>
    <cellStyle name="Normal 2 3 2 5 3 5" xfId="22731"/>
    <cellStyle name="Normal 2 3 2 5 3 6" xfId="26926"/>
    <cellStyle name="Normal 2 3 2 5 3 7" xfId="30822"/>
    <cellStyle name="Normal 2 3 2 5 4" xfId="7999"/>
    <cellStyle name="Normal 2 3 2 5 5" xfId="12287"/>
    <cellStyle name="Normal 2 3 2 5 6" xfId="16562"/>
    <cellStyle name="Normal 2 3 2 5 7" xfId="20800"/>
    <cellStyle name="Normal 2 3 2 5 8" xfId="25044"/>
    <cellStyle name="Normal 2 3 2 5 9" xfId="29130"/>
    <cellStyle name="Normal 2 3 2 6" xfId="3214"/>
    <cellStyle name="Normal 2 3 2 6 2" xfId="8190"/>
    <cellStyle name="Normal 2 3 2 6 3" xfId="12476"/>
    <cellStyle name="Normal 2 3 2 6 4" xfId="16750"/>
    <cellStyle name="Normal 2 3 2 6 5" xfId="20986"/>
    <cellStyle name="Normal 2 3 2 6 6" xfId="25226"/>
    <cellStyle name="Normal 2 3 2 6 7" xfId="29307"/>
    <cellStyle name="Normal 2 3 2 7" xfId="2314"/>
    <cellStyle name="Normal 2 3 2 7 2" xfId="7292"/>
    <cellStyle name="Normal 2 3 2 7 3" xfId="11582"/>
    <cellStyle name="Normal 2 3 2 7 4" xfId="15860"/>
    <cellStyle name="Normal 2 3 2 7 5" xfId="20113"/>
    <cellStyle name="Normal 2 3 2 7 6" xfId="24364"/>
    <cellStyle name="Normal 2 3 2 7 7" xfId="28498"/>
    <cellStyle name="Normal 2 3 2 8" xfId="4343"/>
    <cellStyle name="Normal 2 3 2 8 2" xfId="9317"/>
    <cellStyle name="Normal 2 3 2 8 3" xfId="13594"/>
    <cellStyle name="Normal 2 3 2 8 4" xfId="17854"/>
    <cellStyle name="Normal 2 3 2 8 5" xfId="22073"/>
    <cellStyle name="Normal 2 3 2 8 6" xfId="26269"/>
    <cellStyle name="Normal 2 3 2 8 7" xfId="30165"/>
    <cellStyle name="Normal 2 3 2 9" xfId="5694"/>
    <cellStyle name="Normal 2 3 2 9 2" xfId="10666"/>
    <cellStyle name="Normal 2 3 2 9 3" xfId="14944"/>
    <cellStyle name="Normal 2 3 2 9 4" xfId="19201"/>
    <cellStyle name="Normal 2 3 2 9 5" xfId="23418"/>
    <cellStyle name="Normal 2 3 2 9 6" xfId="27604"/>
    <cellStyle name="Normal 2 3 2 9 7" xfId="31483"/>
    <cellStyle name="Normal 2 3 3" xfId="349"/>
    <cellStyle name="Normal 2 3 4" xfId="395"/>
    <cellStyle name="Normal 2 3 4 10" xfId="13497"/>
    <cellStyle name="Normal 2 3 4 11" xfId="17758"/>
    <cellStyle name="Normal 2 3 4 12" xfId="21867"/>
    <cellStyle name="Normal 2 3 4 13" xfId="26178"/>
    <cellStyle name="Normal 2 3 4 14" xfId="1758"/>
    <cellStyle name="Normal 2 3 4 2" xfId="769"/>
    <cellStyle name="Normal 2 3 4 2 10" xfId="24144"/>
    <cellStyle name="Normal 2 3 4 2 11" xfId="28296"/>
    <cellStyle name="Normal 2 3 4 2 12" xfId="2088"/>
    <cellStyle name="Normal 2 3 4 2 2" xfId="1426"/>
    <cellStyle name="Normal 2 3 4 2 2 2" xfId="5457"/>
    <cellStyle name="Normal 2 3 4 2 2 2 2" xfId="10431"/>
    <cellStyle name="Normal 2 3 4 2 2 2 3" xfId="14708"/>
    <cellStyle name="Normal 2 3 4 2 2 2 4" xfId="18967"/>
    <cellStyle name="Normal 2 3 4 2 2 2 5" xfId="23186"/>
    <cellStyle name="Normal 2 3 4 2 2 2 6" xfId="27381"/>
    <cellStyle name="Normal 2 3 4 2 2 2 7" xfId="31277"/>
    <cellStyle name="Normal 2 3 4 2 2 3" xfId="8832"/>
    <cellStyle name="Normal 2 3 4 2 2 4" xfId="13117"/>
    <cellStyle name="Normal 2 3 4 2 2 5" xfId="17389"/>
    <cellStyle name="Normal 2 3 4 2 2 6" xfId="21623"/>
    <cellStyle name="Normal 2 3 4 2 2 7" xfId="25862"/>
    <cellStyle name="Normal 2 3 4 2 2 8" xfId="29936"/>
    <cellStyle name="Normal 2 3 4 2 2 9" xfId="3856"/>
    <cellStyle name="Normal 2 3 4 2 3" xfId="3024"/>
    <cellStyle name="Normal 2 3 4 2 3 2" xfId="8000"/>
    <cellStyle name="Normal 2 3 4 2 3 3" xfId="12288"/>
    <cellStyle name="Normal 2 3 4 2 3 4" xfId="16563"/>
    <cellStyle name="Normal 2 3 4 2 3 5" xfId="20801"/>
    <cellStyle name="Normal 2 3 4 2 3 6" xfId="25045"/>
    <cellStyle name="Normal 2 3 4 2 3 7" xfId="29131"/>
    <cellStyle name="Normal 2 3 4 2 4" xfId="4800"/>
    <cellStyle name="Normal 2 3 4 2 4 2" xfId="9774"/>
    <cellStyle name="Normal 2 3 4 2 4 3" xfId="14051"/>
    <cellStyle name="Normal 2 3 4 2 4 4" xfId="18310"/>
    <cellStyle name="Normal 2 3 4 2 4 5" xfId="22529"/>
    <cellStyle name="Normal 2 3 4 2 4 6" xfId="26724"/>
    <cellStyle name="Normal 2 3 4 2 4 7" xfId="30620"/>
    <cellStyle name="Normal 2 3 4 2 5" xfId="6148"/>
    <cellStyle name="Normal 2 3 4 2 5 2" xfId="11120"/>
    <cellStyle name="Normal 2 3 4 2 5 3" xfId="15398"/>
    <cellStyle name="Normal 2 3 4 2 5 4" xfId="19655"/>
    <cellStyle name="Normal 2 3 4 2 5 5" xfId="23872"/>
    <cellStyle name="Normal 2 3 4 2 5 6" xfId="28058"/>
    <cellStyle name="Normal 2 3 4 2 5 7" xfId="31937"/>
    <cellStyle name="Normal 2 3 4 2 6" xfId="7066"/>
    <cellStyle name="Normal 2 3 4 2 7" xfId="11358"/>
    <cellStyle name="Normal 2 3 4 2 8" xfId="15636"/>
    <cellStyle name="Normal 2 3 4 2 9" xfId="19893"/>
    <cellStyle name="Normal 2 3 4 3" xfId="1097"/>
    <cellStyle name="Normal 2 3 4 3 2" xfId="5128"/>
    <cellStyle name="Normal 2 3 4 3 2 2" xfId="10102"/>
    <cellStyle name="Normal 2 3 4 3 2 3" xfId="14379"/>
    <cellStyle name="Normal 2 3 4 3 2 4" xfId="18638"/>
    <cellStyle name="Normal 2 3 4 3 2 5" xfId="22857"/>
    <cellStyle name="Normal 2 3 4 3 2 6" xfId="27052"/>
    <cellStyle name="Normal 2 3 4 3 2 7" xfId="30948"/>
    <cellStyle name="Normal 2 3 4 3 3" xfId="8323"/>
    <cellStyle name="Normal 2 3 4 3 4" xfId="12608"/>
    <cellStyle name="Normal 2 3 4 3 5" xfId="16880"/>
    <cellStyle name="Normal 2 3 4 3 6" xfId="21115"/>
    <cellStyle name="Normal 2 3 4 3 7" xfId="25353"/>
    <cellStyle name="Normal 2 3 4 3 8" xfId="29431"/>
    <cellStyle name="Normal 2 3 4 3 9" xfId="3347"/>
    <cellStyle name="Normal 2 3 4 4" xfId="2486"/>
    <cellStyle name="Normal 2 3 4 4 2" xfId="7463"/>
    <cellStyle name="Normal 2 3 4 4 3" xfId="11752"/>
    <cellStyle name="Normal 2 3 4 4 4" xfId="16030"/>
    <cellStyle name="Normal 2 3 4 4 5" xfId="20273"/>
    <cellStyle name="Normal 2 3 4 4 6" xfId="24519"/>
    <cellStyle name="Normal 2 3 4 4 7" xfId="28624"/>
    <cellStyle name="Normal 2 3 4 5" xfId="4006"/>
    <cellStyle name="Normal 2 3 4 6" xfId="4470"/>
    <cellStyle name="Normal 2 3 4 6 2" xfId="9444"/>
    <cellStyle name="Normal 2 3 4 6 3" xfId="13721"/>
    <cellStyle name="Normal 2 3 4 6 4" xfId="17981"/>
    <cellStyle name="Normal 2 3 4 6 5" xfId="22199"/>
    <cellStyle name="Normal 2 3 4 6 6" xfId="26395"/>
    <cellStyle name="Normal 2 3 4 6 7" xfId="30291"/>
    <cellStyle name="Normal 2 3 4 7" xfId="5819"/>
    <cellStyle name="Normal 2 3 4 7 2" xfId="10791"/>
    <cellStyle name="Normal 2 3 4 7 3" xfId="15069"/>
    <cellStyle name="Normal 2 3 4 7 4" xfId="19326"/>
    <cellStyle name="Normal 2 3 4 7 5" xfId="23543"/>
    <cellStyle name="Normal 2 3 4 7 6" xfId="27729"/>
    <cellStyle name="Normal 2 3 4 7 7" xfId="31608"/>
    <cellStyle name="Normal 2 3 4 8" xfId="6693"/>
    <cellStyle name="Normal 2 3 4 9" xfId="9219"/>
    <cellStyle name="Normal 2 4" xfId="194"/>
    <cellStyle name="Normal 2 4 2" xfId="2342"/>
    <cellStyle name="Normal 2 4 3" xfId="4042"/>
    <cellStyle name="Normal 2 4 4" xfId="4035"/>
    <cellStyle name="Normal 2 4 4 2" xfId="9011"/>
    <cellStyle name="Normal 2 4 4 3" xfId="13293"/>
    <cellStyle name="Normal 2 4 4 4" xfId="17567"/>
    <cellStyle name="Normal 2 4 4 5" xfId="21793"/>
    <cellStyle name="Normal 2 4 4 6" xfId="26026"/>
    <cellStyle name="Normal 2 4 4 7" xfId="30071"/>
    <cellStyle name="Normal 2 5" xfId="197"/>
    <cellStyle name="Normal 2 6" xfId="204"/>
    <cellStyle name="Normal 2 7" xfId="55"/>
    <cellStyle name="Normal 2 7 10" xfId="6451"/>
    <cellStyle name="Normal 2 7 11" xfId="9017"/>
    <cellStyle name="Normal 2 7 12" xfId="20227"/>
    <cellStyle name="Normal 2 7 13" xfId="6548"/>
    <cellStyle name="Normal 2 7 14" xfId="1579"/>
    <cellStyle name="Normal 2 7 2" xfId="359"/>
    <cellStyle name="Normal 2 7 2 10" xfId="21919"/>
    <cellStyle name="Normal 2 7 2 11" xfId="26163"/>
    <cellStyle name="Normal 2 7 2 12" xfId="1722"/>
    <cellStyle name="Normal 2 7 2 2" xfId="733"/>
    <cellStyle name="Normal 2 7 2 2 10" xfId="28260"/>
    <cellStyle name="Normal 2 7 2 2 11" xfId="2052"/>
    <cellStyle name="Normal 2 7 2 2 2" xfId="1390"/>
    <cellStyle name="Normal 2 7 2 2 2 2" xfId="5421"/>
    <cellStyle name="Normal 2 7 2 2 2 2 2" xfId="10395"/>
    <cellStyle name="Normal 2 7 2 2 2 2 3" xfId="14672"/>
    <cellStyle name="Normal 2 7 2 2 2 2 4" xfId="18931"/>
    <cellStyle name="Normal 2 7 2 2 2 2 5" xfId="23150"/>
    <cellStyle name="Normal 2 7 2 2 2 2 6" xfId="27345"/>
    <cellStyle name="Normal 2 7 2 2 2 2 7" xfId="31241"/>
    <cellStyle name="Normal 2 7 2 2 2 3" xfId="8833"/>
    <cellStyle name="Normal 2 7 2 2 2 4" xfId="13118"/>
    <cellStyle name="Normal 2 7 2 2 2 5" xfId="17390"/>
    <cellStyle name="Normal 2 7 2 2 2 6" xfId="21624"/>
    <cellStyle name="Normal 2 7 2 2 2 7" xfId="25863"/>
    <cellStyle name="Normal 2 7 2 2 2 8" xfId="29937"/>
    <cellStyle name="Normal 2 7 2 2 2 9" xfId="3857"/>
    <cellStyle name="Normal 2 7 2 2 3" xfId="4764"/>
    <cellStyle name="Normal 2 7 2 2 3 2" xfId="9738"/>
    <cellStyle name="Normal 2 7 2 2 3 3" xfId="14015"/>
    <cellStyle name="Normal 2 7 2 2 3 4" xfId="18274"/>
    <cellStyle name="Normal 2 7 2 2 3 5" xfId="22493"/>
    <cellStyle name="Normal 2 7 2 2 3 6" xfId="26688"/>
    <cellStyle name="Normal 2 7 2 2 3 7" xfId="30584"/>
    <cellStyle name="Normal 2 7 2 2 4" xfId="6112"/>
    <cellStyle name="Normal 2 7 2 2 4 2" xfId="11084"/>
    <cellStyle name="Normal 2 7 2 2 4 3" xfId="15362"/>
    <cellStyle name="Normal 2 7 2 2 4 4" xfId="19619"/>
    <cellStyle name="Normal 2 7 2 2 4 5" xfId="23836"/>
    <cellStyle name="Normal 2 7 2 2 4 6" xfId="28022"/>
    <cellStyle name="Normal 2 7 2 2 4 7" xfId="31901"/>
    <cellStyle name="Normal 2 7 2 2 5" xfId="7030"/>
    <cellStyle name="Normal 2 7 2 2 6" xfId="11322"/>
    <cellStyle name="Normal 2 7 2 2 7" xfId="15600"/>
    <cellStyle name="Normal 2 7 2 2 8" xfId="19857"/>
    <cellStyle name="Normal 2 7 2 2 9" xfId="24108"/>
    <cellStyle name="Normal 2 7 2 3" xfId="1061"/>
    <cellStyle name="Normal 2 7 2 3 2" xfId="5092"/>
    <cellStyle name="Normal 2 7 2 3 2 2" xfId="10066"/>
    <cellStyle name="Normal 2 7 2 3 2 3" xfId="14343"/>
    <cellStyle name="Normal 2 7 2 3 2 4" xfId="18602"/>
    <cellStyle name="Normal 2 7 2 3 2 5" xfId="22821"/>
    <cellStyle name="Normal 2 7 2 3 2 6" xfId="27016"/>
    <cellStyle name="Normal 2 7 2 3 2 7" xfId="30912"/>
    <cellStyle name="Normal 2 7 2 3 3" xfId="8001"/>
    <cellStyle name="Normal 2 7 2 3 4" xfId="12289"/>
    <cellStyle name="Normal 2 7 2 3 5" xfId="16564"/>
    <cellStyle name="Normal 2 7 2 3 6" xfId="20802"/>
    <cellStyle name="Normal 2 7 2 3 7" xfId="25046"/>
    <cellStyle name="Normal 2 7 2 3 8" xfId="29132"/>
    <cellStyle name="Normal 2 7 2 3 9" xfId="3025"/>
    <cellStyle name="Normal 2 7 2 4" xfId="4434"/>
    <cellStyle name="Normal 2 7 2 4 2" xfId="9408"/>
    <cellStyle name="Normal 2 7 2 4 3" xfId="13685"/>
    <cellStyle name="Normal 2 7 2 4 4" xfId="17945"/>
    <cellStyle name="Normal 2 7 2 4 5" xfId="22163"/>
    <cellStyle name="Normal 2 7 2 4 6" xfId="26359"/>
    <cellStyle name="Normal 2 7 2 4 7" xfId="30255"/>
    <cellStyle name="Normal 2 7 2 5" xfId="5783"/>
    <cellStyle name="Normal 2 7 2 5 2" xfId="10755"/>
    <cellStyle name="Normal 2 7 2 5 3" xfId="15033"/>
    <cellStyle name="Normal 2 7 2 5 4" xfId="19290"/>
    <cellStyle name="Normal 2 7 2 5 5" xfId="23507"/>
    <cellStyle name="Normal 2 7 2 5 6" xfId="27693"/>
    <cellStyle name="Normal 2 7 2 5 7" xfId="31572"/>
    <cellStyle name="Normal 2 7 2 6" xfId="6657"/>
    <cellStyle name="Normal 2 7 2 7" xfId="9196"/>
    <cellStyle name="Normal 2 7 2 8" xfId="13475"/>
    <cellStyle name="Normal 2 7 2 9" xfId="17737"/>
    <cellStyle name="Normal 2 7 3" xfId="492"/>
    <cellStyle name="Normal 2 7 3 10" xfId="13423"/>
    <cellStyle name="Normal 2 7 3 11" xfId="22011"/>
    <cellStyle name="Normal 2 7 3 12" xfId="1855"/>
    <cellStyle name="Normal 2 7 3 2" xfId="866"/>
    <cellStyle name="Normal 2 7 3 2 10" xfId="28393"/>
    <cellStyle name="Normal 2 7 3 2 11" xfId="2185"/>
    <cellStyle name="Normal 2 7 3 2 2" xfId="1523"/>
    <cellStyle name="Normal 2 7 3 2 2 2" xfId="10528"/>
    <cellStyle name="Normal 2 7 3 2 2 3" xfId="14805"/>
    <cellStyle name="Normal 2 7 3 2 2 4" xfId="19064"/>
    <cellStyle name="Normal 2 7 3 2 2 5" xfId="23283"/>
    <cellStyle name="Normal 2 7 3 2 2 6" xfId="27478"/>
    <cellStyle name="Normal 2 7 3 2 2 7" xfId="31374"/>
    <cellStyle name="Normal 2 7 3 2 2 8" xfId="5554"/>
    <cellStyle name="Normal 2 7 3 2 3" xfId="4897"/>
    <cellStyle name="Normal 2 7 3 2 3 2" xfId="9871"/>
    <cellStyle name="Normal 2 7 3 2 3 3" xfId="14148"/>
    <cellStyle name="Normal 2 7 3 2 3 4" xfId="18407"/>
    <cellStyle name="Normal 2 7 3 2 3 5" xfId="22626"/>
    <cellStyle name="Normal 2 7 3 2 3 6" xfId="26821"/>
    <cellStyle name="Normal 2 7 3 2 3 7" xfId="30717"/>
    <cellStyle name="Normal 2 7 3 2 4" xfId="6245"/>
    <cellStyle name="Normal 2 7 3 2 4 2" xfId="11217"/>
    <cellStyle name="Normal 2 7 3 2 4 3" xfId="15495"/>
    <cellStyle name="Normal 2 7 3 2 4 4" xfId="19752"/>
    <cellStyle name="Normal 2 7 3 2 4 5" xfId="23969"/>
    <cellStyle name="Normal 2 7 3 2 4 6" xfId="28155"/>
    <cellStyle name="Normal 2 7 3 2 4 7" xfId="32034"/>
    <cellStyle name="Normal 2 7 3 2 5" xfId="7163"/>
    <cellStyle name="Normal 2 7 3 2 6" xfId="11455"/>
    <cellStyle name="Normal 2 7 3 2 7" xfId="15733"/>
    <cellStyle name="Normal 2 7 3 2 8" xfId="19990"/>
    <cellStyle name="Normal 2 7 3 2 9" xfId="24241"/>
    <cellStyle name="Normal 2 7 3 3" xfId="1194"/>
    <cellStyle name="Normal 2 7 3 3 2" xfId="5225"/>
    <cellStyle name="Normal 2 7 3 3 2 2" xfId="10199"/>
    <cellStyle name="Normal 2 7 3 3 2 3" xfId="14476"/>
    <cellStyle name="Normal 2 7 3 3 2 4" xfId="18735"/>
    <cellStyle name="Normal 2 7 3 3 2 5" xfId="22954"/>
    <cellStyle name="Normal 2 7 3 3 2 6" xfId="27149"/>
    <cellStyle name="Normal 2 7 3 3 2 7" xfId="31045"/>
    <cellStyle name="Normal 2 7 3 3 3" xfId="8287"/>
    <cellStyle name="Normal 2 7 3 3 4" xfId="12572"/>
    <cellStyle name="Normal 2 7 3 3 5" xfId="16844"/>
    <cellStyle name="Normal 2 7 3 3 6" xfId="21079"/>
    <cellStyle name="Normal 2 7 3 3 7" xfId="25317"/>
    <cellStyle name="Normal 2 7 3 3 8" xfId="29395"/>
    <cellStyle name="Normal 2 7 3 3 9" xfId="3311"/>
    <cellStyle name="Normal 2 7 3 4" xfId="4567"/>
    <cellStyle name="Normal 2 7 3 4 2" xfId="9541"/>
    <cellStyle name="Normal 2 7 3 4 3" xfId="13818"/>
    <cellStyle name="Normal 2 7 3 4 4" xfId="18078"/>
    <cellStyle name="Normal 2 7 3 4 5" xfId="22296"/>
    <cellStyle name="Normal 2 7 3 4 6" xfId="26492"/>
    <cellStyle name="Normal 2 7 3 4 7" xfId="30388"/>
    <cellStyle name="Normal 2 7 3 5" xfId="5916"/>
    <cellStyle name="Normal 2 7 3 5 2" xfId="10888"/>
    <cellStyle name="Normal 2 7 3 5 3" xfId="15166"/>
    <cellStyle name="Normal 2 7 3 5 4" xfId="19423"/>
    <cellStyle name="Normal 2 7 3 5 5" xfId="23640"/>
    <cellStyle name="Normal 2 7 3 5 6" xfId="27826"/>
    <cellStyle name="Normal 2 7 3 5 7" xfId="31705"/>
    <cellStyle name="Normal 2 7 3 6" xfId="6790"/>
    <cellStyle name="Normal 2 7 3 7" xfId="6565"/>
    <cellStyle name="Normal 2 7 3 8" xfId="9205"/>
    <cellStyle name="Normal 2 7 3 9" xfId="13483"/>
    <cellStyle name="Normal 2 7 4" xfId="593"/>
    <cellStyle name="Normal 2 7 4 10" xfId="24922"/>
    <cellStyle name="Normal 2 7 4 11" xfId="1912"/>
    <cellStyle name="Normal 2 7 4 2" xfId="1250"/>
    <cellStyle name="Normal 2 7 4 2 2" xfId="10255"/>
    <cellStyle name="Normal 2 7 4 2 3" xfId="14532"/>
    <cellStyle name="Normal 2 7 4 2 4" xfId="18791"/>
    <cellStyle name="Normal 2 7 4 2 5" xfId="23010"/>
    <cellStyle name="Normal 2 7 4 2 6" xfId="27205"/>
    <cellStyle name="Normal 2 7 4 2 7" xfId="31101"/>
    <cellStyle name="Normal 2 7 4 2 8" xfId="5281"/>
    <cellStyle name="Normal 2 7 4 3" xfId="4624"/>
    <cellStyle name="Normal 2 7 4 3 2" xfId="9598"/>
    <cellStyle name="Normal 2 7 4 3 3" xfId="13875"/>
    <cellStyle name="Normal 2 7 4 3 4" xfId="18134"/>
    <cellStyle name="Normal 2 7 4 3 5" xfId="22353"/>
    <cellStyle name="Normal 2 7 4 3 6" xfId="26548"/>
    <cellStyle name="Normal 2 7 4 3 7" xfId="30444"/>
    <cellStyle name="Normal 2 7 4 4" xfId="5972"/>
    <cellStyle name="Normal 2 7 4 4 2" xfId="10944"/>
    <cellStyle name="Normal 2 7 4 4 3" xfId="15222"/>
    <cellStyle name="Normal 2 7 4 4 4" xfId="19479"/>
    <cellStyle name="Normal 2 7 4 4 5" xfId="23696"/>
    <cellStyle name="Normal 2 7 4 4 6" xfId="27882"/>
    <cellStyle name="Normal 2 7 4 4 7" xfId="31761"/>
    <cellStyle name="Normal 2 7 4 5" xfId="6890"/>
    <cellStyle name="Normal 2 7 4 6" xfId="7868"/>
    <cellStyle name="Normal 2 7 4 7" xfId="12157"/>
    <cellStyle name="Normal 2 7 4 8" xfId="16433"/>
    <cellStyle name="Normal 2 7 4 9" xfId="14892"/>
    <cellStyle name="Normal 2 7 5" xfId="921"/>
    <cellStyle name="Normal 2 7 5 2" xfId="4952"/>
    <cellStyle name="Normal 2 7 5 2 2" xfId="9926"/>
    <cellStyle name="Normal 2 7 5 2 3" xfId="14203"/>
    <cellStyle name="Normal 2 7 5 2 4" xfId="18462"/>
    <cellStyle name="Normal 2 7 5 2 5" xfId="22681"/>
    <cellStyle name="Normal 2 7 5 2 6" xfId="26876"/>
    <cellStyle name="Normal 2 7 5 2 7" xfId="30772"/>
    <cellStyle name="Normal 2 7 5 3" xfId="7427"/>
    <cellStyle name="Normal 2 7 5 4" xfId="11716"/>
    <cellStyle name="Normal 2 7 5 5" xfId="15994"/>
    <cellStyle name="Normal 2 7 5 6" xfId="20237"/>
    <cellStyle name="Normal 2 7 5 7" xfId="24483"/>
    <cellStyle name="Normal 2 7 5 8" xfId="28588"/>
    <cellStyle name="Normal 2 7 5 9" xfId="2450"/>
    <cellStyle name="Normal 2 7 6" xfId="4289"/>
    <cellStyle name="Normal 2 7 6 2" xfId="9263"/>
    <cellStyle name="Normal 2 7 6 3" xfId="13540"/>
    <cellStyle name="Normal 2 7 6 4" xfId="17800"/>
    <cellStyle name="Normal 2 7 6 5" xfId="22019"/>
    <cellStyle name="Normal 2 7 6 6" xfId="26217"/>
    <cellStyle name="Normal 2 7 6 7" xfId="30114"/>
    <cellStyle name="Normal 2 7 7" xfId="5645"/>
    <cellStyle name="Normal 2 7 7 2" xfId="10617"/>
    <cellStyle name="Normal 2 7 7 3" xfId="14895"/>
    <cellStyle name="Normal 2 7 7 4" xfId="19152"/>
    <cellStyle name="Normal 2 7 7 5" xfId="23369"/>
    <cellStyle name="Normal 2 7 7 6" xfId="27555"/>
    <cellStyle name="Normal 2 7 7 7" xfId="31434"/>
    <cellStyle name="Normal 2 7 8" xfId="6355"/>
    <cellStyle name="Normal 2 7 9" xfId="6514"/>
    <cellStyle name="Normal 2 8" xfId="221"/>
    <cellStyle name="Normal 2 8 10" xfId="6430"/>
    <cellStyle name="Normal 2 8 11" xfId="6495"/>
    <cellStyle name="Normal 2 8 12" xfId="7405"/>
    <cellStyle name="Normal 2 8 13" xfId="6566"/>
    <cellStyle name="Normal 2 8 14" xfId="1636"/>
    <cellStyle name="Normal 2 8 2" xfId="650"/>
    <cellStyle name="Normal 2 8 2 10" xfId="24025"/>
    <cellStyle name="Normal 2 8 2 11" xfId="23364"/>
    <cellStyle name="Normal 2 8 2 12" xfId="1969"/>
    <cellStyle name="Normal 2 8 2 2" xfId="1307"/>
    <cellStyle name="Normal 2 8 2 2 2" xfId="5338"/>
    <cellStyle name="Normal 2 8 2 2 2 2" xfId="10312"/>
    <cellStyle name="Normal 2 8 2 2 2 3" xfId="14589"/>
    <cellStyle name="Normal 2 8 2 2 2 4" xfId="18848"/>
    <cellStyle name="Normal 2 8 2 2 2 5" xfId="23067"/>
    <cellStyle name="Normal 2 8 2 2 2 6" xfId="27262"/>
    <cellStyle name="Normal 2 8 2 2 2 7" xfId="31158"/>
    <cellStyle name="Normal 2 8 2 2 3" xfId="8835"/>
    <cellStyle name="Normal 2 8 2 2 4" xfId="13120"/>
    <cellStyle name="Normal 2 8 2 2 5" xfId="17392"/>
    <cellStyle name="Normal 2 8 2 2 6" xfId="21626"/>
    <cellStyle name="Normal 2 8 2 2 7" xfId="25865"/>
    <cellStyle name="Normal 2 8 2 2 8" xfId="29939"/>
    <cellStyle name="Normal 2 8 2 2 9" xfId="3859"/>
    <cellStyle name="Normal 2 8 2 3" xfId="3027"/>
    <cellStyle name="Normal 2 8 2 3 2" xfId="8003"/>
    <cellStyle name="Normal 2 8 2 3 3" xfId="12291"/>
    <cellStyle name="Normal 2 8 2 3 4" xfId="16566"/>
    <cellStyle name="Normal 2 8 2 3 5" xfId="20804"/>
    <cellStyle name="Normal 2 8 2 3 6" xfId="25048"/>
    <cellStyle name="Normal 2 8 2 3 7" xfId="29134"/>
    <cellStyle name="Normal 2 8 2 4" xfId="4681"/>
    <cellStyle name="Normal 2 8 2 4 2" xfId="9655"/>
    <cellStyle name="Normal 2 8 2 4 3" xfId="13932"/>
    <cellStyle name="Normal 2 8 2 4 4" xfId="18191"/>
    <cellStyle name="Normal 2 8 2 4 5" xfId="22410"/>
    <cellStyle name="Normal 2 8 2 4 6" xfId="26605"/>
    <cellStyle name="Normal 2 8 2 4 7" xfId="30501"/>
    <cellStyle name="Normal 2 8 2 5" xfId="6029"/>
    <cellStyle name="Normal 2 8 2 5 2" xfId="11001"/>
    <cellStyle name="Normal 2 8 2 5 3" xfId="15279"/>
    <cellStyle name="Normal 2 8 2 5 4" xfId="19536"/>
    <cellStyle name="Normal 2 8 2 5 5" xfId="23753"/>
    <cellStyle name="Normal 2 8 2 5 6" xfId="27939"/>
    <cellStyle name="Normal 2 8 2 5 7" xfId="31818"/>
    <cellStyle name="Normal 2 8 2 6" xfId="6947"/>
    <cellStyle name="Normal 2 8 2 7" xfId="6423"/>
    <cellStyle name="Normal 2 8 2 8" xfId="8974"/>
    <cellStyle name="Normal 2 8 2 9" xfId="13256"/>
    <cellStyle name="Normal 2 8 3" xfId="978"/>
    <cellStyle name="Normal 2 8 3 2" xfId="5009"/>
    <cellStyle name="Normal 2 8 3 2 2" xfId="9983"/>
    <cellStyle name="Normal 2 8 3 2 3" xfId="14260"/>
    <cellStyle name="Normal 2 8 3 2 4" xfId="18519"/>
    <cellStyle name="Normal 2 8 3 2 5" xfId="22738"/>
    <cellStyle name="Normal 2 8 3 2 6" xfId="26933"/>
    <cellStyle name="Normal 2 8 3 2 7" xfId="30829"/>
    <cellStyle name="Normal 2 8 3 3" xfId="8834"/>
    <cellStyle name="Normal 2 8 3 4" xfId="13119"/>
    <cellStyle name="Normal 2 8 3 5" xfId="17391"/>
    <cellStyle name="Normal 2 8 3 6" xfId="21625"/>
    <cellStyle name="Normal 2 8 3 7" xfId="25864"/>
    <cellStyle name="Normal 2 8 3 8" xfId="29938"/>
    <cellStyle name="Normal 2 8 3 9" xfId="3858"/>
    <cellStyle name="Normal 2 8 4" xfId="3026"/>
    <cellStyle name="Normal 2 8 4 2" xfId="8002"/>
    <cellStyle name="Normal 2 8 4 3" xfId="12290"/>
    <cellStyle name="Normal 2 8 4 4" xfId="16565"/>
    <cellStyle name="Normal 2 8 4 5" xfId="20803"/>
    <cellStyle name="Normal 2 8 4 6" xfId="25047"/>
    <cellStyle name="Normal 2 8 4 7" xfId="29133"/>
    <cellStyle name="Normal 2 8 5" xfId="4237"/>
    <cellStyle name="Normal 2 8 6" xfId="4350"/>
    <cellStyle name="Normal 2 8 6 2" xfId="9324"/>
    <cellStyle name="Normal 2 8 6 3" xfId="13601"/>
    <cellStyle name="Normal 2 8 6 4" xfId="17861"/>
    <cellStyle name="Normal 2 8 6 5" xfId="22080"/>
    <cellStyle name="Normal 2 8 6 6" xfId="26276"/>
    <cellStyle name="Normal 2 8 6 7" xfId="30172"/>
    <cellStyle name="Normal 2 8 7" xfId="5700"/>
    <cellStyle name="Normal 2 8 7 2" xfId="10672"/>
    <cellStyle name="Normal 2 8 7 3" xfId="14950"/>
    <cellStyle name="Normal 2 8 7 4" xfId="19207"/>
    <cellStyle name="Normal 2 8 7 5" xfId="23424"/>
    <cellStyle name="Normal 2 8 7 6" xfId="27610"/>
    <cellStyle name="Normal 2 8 7 7" xfId="31489"/>
    <cellStyle name="Normal 2 8 8" xfId="6519"/>
    <cellStyle name="Normal 2 8 9" xfId="6878"/>
    <cellStyle name="Normal 2 9" xfId="3164"/>
    <cellStyle name="Normal 2 9 2" xfId="4067"/>
    <cellStyle name="Normal 2 9 3" xfId="4151"/>
    <cellStyle name="Normal 2 9 4" xfId="8140"/>
    <cellStyle name="Normal 2 9 5" xfId="12426"/>
    <cellStyle name="Normal 2 9 6" xfId="16700"/>
    <cellStyle name="Normal 2 9 7" xfId="20936"/>
    <cellStyle name="Normal 2 9 8" xfId="25176"/>
    <cellStyle name="Normal 2 9 9" xfId="29257"/>
    <cellStyle name="Normal 20" xfId="25013"/>
    <cellStyle name="Normal 3" xfId="44"/>
    <cellStyle name="Normal 3 10" xfId="3028"/>
    <cellStyle name="Normal 3 10 2" xfId="3029"/>
    <cellStyle name="Normal 3 10 2 2" xfId="3861"/>
    <cellStyle name="Normal 3 10 2 2 2" xfId="8837"/>
    <cellStyle name="Normal 3 10 2 2 3" xfId="13122"/>
    <cellStyle name="Normal 3 10 2 2 4" xfId="17394"/>
    <cellStyle name="Normal 3 10 2 2 5" xfId="21628"/>
    <cellStyle name="Normal 3 10 2 2 6" xfId="25867"/>
    <cellStyle name="Normal 3 10 2 2 7" xfId="29941"/>
    <cellStyle name="Normal 3 10 2 3" xfId="8005"/>
    <cellStyle name="Normal 3 10 2 4" xfId="12293"/>
    <cellStyle name="Normal 3 10 2 5" xfId="16568"/>
    <cellStyle name="Normal 3 10 2 6" xfId="20806"/>
    <cellStyle name="Normal 3 10 2 7" xfId="25050"/>
    <cellStyle name="Normal 3 10 2 8" xfId="29136"/>
    <cellStyle name="Normal 3 10 3" xfId="3860"/>
    <cellStyle name="Normal 3 10 3 2" xfId="8836"/>
    <cellStyle name="Normal 3 10 3 3" xfId="13121"/>
    <cellStyle name="Normal 3 10 3 4" xfId="17393"/>
    <cellStyle name="Normal 3 10 3 5" xfId="21627"/>
    <cellStyle name="Normal 3 10 3 6" xfId="25866"/>
    <cellStyle name="Normal 3 10 3 7" xfId="29940"/>
    <cellStyle name="Normal 3 10 4" xfId="8004"/>
    <cellStyle name="Normal 3 10 5" xfId="12292"/>
    <cellStyle name="Normal 3 10 6" xfId="16567"/>
    <cellStyle name="Normal 3 10 7" xfId="20805"/>
    <cellStyle name="Normal 3 10 8" xfId="25049"/>
    <cellStyle name="Normal 3 10 9" xfId="29135"/>
    <cellStyle name="Normal 3 11" xfId="3030"/>
    <cellStyle name="Normal 3 12" xfId="3031"/>
    <cellStyle name="Normal 3 12 2" xfId="3862"/>
    <cellStyle name="Normal 3 12 2 2" xfId="8838"/>
    <cellStyle name="Normal 3 12 2 3" xfId="13123"/>
    <cellStyle name="Normal 3 12 2 4" xfId="17395"/>
    <cellStyle name="Normal 3 12 2 5" xfId="21629"/>
    <cellStyle name="Normal 3 12 2 6" xfId="25868"/>
    <cellStyle name="Normal 3 12 2 7" xfId="29942"/>
    <cellStyle name="Normal 3 12 3" xfId="8007"/>
    <cellStyle name="Normal 3 12 4" xfId="12295"/>
    <cellStyle name="Normal 3 12 5" xfId="16570"/>
    <cellStyle name="Normal 3 12 6" xfId="20808"/>
    <cellStyle name="Normal 3 12 7" xfId="25051"/>
    <cellStyle name="Normal 3 12 8" xfId="29137"/>
    <cellStyle name="Normal 3 13" xfId="3179"/>
    <cellStyle name="Normal 3 13 2" xfId="8155"/>
    <cellStyle name="Normal 3 13 3" xfId="12441"/>
    <cellStyle name="Normal 3 13 4" xfId="16715"/>
    <cellStyle name="Normal 3 13 5" xfId="20951"/>
    <cellStyle name="Normal 3 13 6" xfId="25191"/>
    <cellStyle name="Normal 3 13 7" xfId="29272"/>
    <cellStyle name="Normal 3 14" xfId="2266"/>
    <cellStyle name="Normal 3 14 2" xfId="7244"/>
    <cellStyle name="Normal 3 14 3" xfId="11534"/>
    <cellStyle name="Normal 3 14 4" xfId="15813"/>
    <cellStyle name="Normal 3 14 5" xfId="20068"/>
    <cellStyle name="Normal 3 14 6" xfId="24318"/>
    <cellStyle name="Normal 3 14 7" xfId="28463"/>
    <cellStyle name="Normal 3 2" xfId="179"/>
    <cellStyle name="Normal 3 2 10" xfId="2309"/>
    <cellStyle name="Normal 3 2 10 2" xfId="7287"/>
    <cellStyle name="Normal 3 2 10 3" xfId="11577"/>
    <cellStyle name="Normal 3 2 10 4" xfId="15855"/>
    <cellStyle name="Normal 3 2 10 5" xfId="20108"/>
    <cellStyle name="Normal 3 2 10 6" xfId="24359"/>
    <cellStyle name="Normal 3 2 10 7" xfId="28496"/>
    <cellStyle name="Normal 3 2 11" xfId="3998"/>
    <cellStyle name="Normal 3 2 12" xfId="4337"/>
    <cellStyle name="Normal 3 2 12 2" xfId="9311"/>
    <cellStyle name="Normal 3 2 12 3" xfId="13588"/>
    <cellStyle name="Normal 3 2 12 4" xfId="17848"/>
    <cellStyle name="Normal 3 2 12 5" xfId="22067"/>
    <cellStyle name="Normal 3 2 12 6" xfId="26265"/>
    <cellStyle name="Normal 3 2 12 7" xfId="30162"/>
    <cellStyle name="Normal 3 2 13" xfId="5638"/>
    <cellStyle name="Normal 3 2 14" xfId="5692"/>
    <cellStyle name="Normal 3 2 14 2" xfId="10664"/>
    <cellStyle name="Normal 3 2 14 3" xfId="14942"/>
    <cellStyle name="Normal 3 2 14 4" xfId="19199"/>
    <cellStyle name="Normal 3 2 14 5" xfId="23416"/>
    <cellStyle name="Normal 3 2 14 6" xfId="27602"/>
    <cellStyle name="Normal 3 2 14 7" xfId="31481"/>
    <cellStyle name="Normal 3 2 15" xfId="6478"/>
    <cellStyle name="Normal 3 2 16" xfId="9086"/>
    <cellStyle name="Normal 3 2 17" xfId="13368"/>
    <cellStyle name="Normal 3 2 18" xfId="17637"/>
    <cellStyle name="Normal 3 2 19" xfId="21965"/>
    <cellStyle name="Normal 3 2 2" xfId="200"/>
    <cellStyle name="Normal 3 2 2 10" xfId="5696"/>
    <cellStyle name="Normal 3 2 2 10 2" xfId="10668"/>
    <cellStyle name="Normal 3 2 2 10 3" xfId="14946"/>
    <cellStyle name="Normal 3 2 2 10 4" xfId="19203"/>
    <cellStyle name="Normal 3 2 2 10 5" xfId="23420"/>
    <cellStyle name="Normal 3 2 2 10 6" xfId="27606"/>
    <cellStyle name="Normal 3 2 2 10 7" xfId="31485"/>
    <cellStyle name="Normal 3 2 2 11" xfId="6498"/>
    <cellStyle name="Normal 3 2 2 12" xfId="6339"/>
    <cellStyle name="Normal 3 2 2 13" xfId="6493"/>
    <cellStyle name="Normal 3 2 2 14" xfId="6628"/>
    <cellStyle name="Normal 3 2 2 15" xfId="6419"/>
    <cellStyle name="Normal 3 2 2 16" xfId="20934"/>
    <cellStyle name="Normal 3 2 2 17" xfId="1632"/>
    <cellStyle name="Normal 3 2 2 2" xfId="327"/>
    <cellStyle name="Normal 3 2 2 2 10" xfId="13355"/>
    <cellStyle name="Normal 3 2 2 2 11" xfId="17625"/>
    <cellStyle name="Normal 3 2 2 2 12" xfId="16538"/>
    <cellStyle name="Normal 3 2 2 2 13" xfId="26073"/>
    <cellStyle name="Normal 3 2 2 2 14" xfId="1699"/>
    <cellStyle name="Normal 3 2 2 2 2" xfId="490"/>
    <cellStyle name="Normal 3 2 2 2 2 10" xfId="6456"/>
    <cellStyle name="Normal 3 2 2 2 2 11" xfId="23353"/>
    <cellStyle name="Normal 3 2 2 2 2 12" xfId="20909"/>
    <cellStyle name="Normal 3 2 2 2 2 13" xfId="1853"/>
    <cellStyle name="Normal 3 2 2 2 2 2" xfId="864"/>
    <cellStyle name="Normal 3 2 2 2 2 2 10" xfId="24239"/>
    <cellStyle name="Normal 3 2 2 2 2 2 11" xfId="28391"/>
    <cellStyle name="Normal 3 2 2 2 2 2 12" xfId="2183"/>
    <cellStyle name="Normal 3 2 2 2 2 2 2" xfId="1521"/>
    <cellStyle name="Normal 3 2 2 2 2 2 2 2" xfId="5552"/>
    <cellStyle name="Normal 3 2 2 2 2 2 2 2 2" xfId="10526"/>
    <cellStyle name="Normal 3 2 2 2 2 2 2 2 3" xfId="14803"/>
    <cellStyle name="Normal 3 2 2 2 2 2 2 2 4" xfId="19062"/>
    <cellStyle name="Normal 3 2 2 2 2 2 2 2 5" xfId="23281"/>
    <cellStyle name="Normal 3 2 2 2 2 2 2 2 6" xfId="27476"/>
    <cellStyle name="Normal 3 2 2 2 2 2 2 2 7" xfId="31372"/>
    <cellStyle name="Normal 3 2 2 2 2 2 2 3" xfId="8839"/>
    <cellStyle name="Normal 3 2 2 2 2 2 2 4" xfId="13124"/>
    <cellStyle name="Normal 3 2 2 2 2 2 2 5" xfId="17396"/>
    <cellStyle name="Normal 3 2 2 2 2 2 2 6" xfId="21630"/>
    <cellStyle name="Normal 3 2 2 2 2 2 2 7" xfId="25869"/>
    <cellStyle name="Normal 3 2 2 2 2 2 2 8" xfId="29943"/>
    <cellStyle name="Normal 3 2 2 2 2 2 2 9" xfId="3863"/>
    <cellStyle name="Normal 3 2 2 2 2 2 3" xfId="3032"/>
    <cellStyle name="Normal 3 2 2 2 2 2 3 2" xfId="8008"/>
    <cellStyle name="Normal 3 2 2 2 2 2 3 3" xfId="12296"/>
    <cellStyle name="Normal 3 2 2 2 2 2 3 4" xfId="16571"/>
    <cellStyle name="Normal 3 2 2 2 2 2 3 5" xfId="20809"/>
    <cellStyle name="Normal 3 2 2 2 2 2 3 6" xfId="25052"/>
    <cellStyle name="Normal 3 2 2 2 2 2 3 7" xfId="29138"/>
    <cellStyle name="Normal 3 2 2 2 2 2 4" xfId="4895"/>
    <cellStyle name="Normal 3 2 2 2 2 2 4 2" xfId="9869"/>
    <cellStyle name="Normal 3 2 2 2 2 2 4 3" xfId="14146"/>
    <cellStyle name="Normal 3 2 2 2 2 2 4 4" xfId="18405"/>
    <cellStyle name="Normal 3 2 2 2 2 2 4 5" xfId="22624"/>
    <cellStyle name="Normal 3 2 2 2 2 2 4 6" xfId="26819"/>
    <cellStyle name="Normal 3 2 2 2 2 2 4 7" xfId="30715"/>
    <cellStyle name="Normal 3 2 2 2 2 2 5" xfId="6243"/>
    <cellStyle name="Normal 3 2 2 2 2 2 5 2" xfId="11215"/>
    <cellStyle name="Normal 3 2 2 2 2 2 5 3" xfId="15493"/>
    <cellStyle name="Normal 3 2 2 2 2 2 5 4" xfId="19750"/>
    <cellStyle name="Normal 3 2 2 2 2 2 5 5" xfId="23967"/>
    <cellStyle name="Normal 3 2 2 2 2 2 5 6" xfId="28153"/>
    <cellStyle name="Normal 3 2 2 2 2 2 5 7" xfId="32032"/>
    <cellStyle name="Normal 3 2 2 2 2 2 6" xfId="7161"/>
    <cellStyle name="Normal 3 2 2 2 2 2 7" xfId="11453"/>
    <cellStyle name="Normal 3 2 2 2 2 2 8" xfId="15731"/>
    <cellStyle name="Normal 3 2 2 2 2 2 9" xfId="19988"/>
    <cellStyle name="Normal 3 2 2 2 2 3" xfId="1192"/>
    <cellStyle name="Normal 3 2 2 2 2 3 2" xfId="5223"/>
    <cellStyle name="Normal 3 2 2 2 2 3 2 2" xfId="10197"/>
    <cellStyle name="Normal 3 2 2 2 2 3 2 3" xfId="14474"/>
    <cellStyle name="Normal 3 2 2 2 2 3 2 4" xfId="18733"/>
    <cellStyle name="Normal 3 2 2 2 2 3 2 5" xfId="22952"/>
    <cellStyle name="Normal 3 2 2 2 2 3 2 6" xfId="27147"/>
    <cellStyle name="Normal 3 2 2 2 2 3 2 7" xfId="31043"/>
    <cellStyle name="Normal 3 2 2 2 2 3 3" xfId="8418"/>
    <cellStyle name="Normal 3 2 2 2 2 3 4" xfId="12703"/>
    <cellStyle name="Normal 3 2 2 2 2 3 5" xfId="16975"/>
    <cellStyle name="Normal 3 2 2 2 2 3 6" xfId="21210"/>
    <cellStyle name="Normal 3 2 2 2 2 3 7" xfId="25448"/>
    <cellStyle name="Normal 3 2 2 2 2 3 8" xfId="29526"/>
    <cellStyle name="Normal 3 2 2 2 2 3 9" xfId="3442"/>
    <cellStyle name="Normal 3 2 2 2 2 4" xfId="2581"/>
    <cellStyle name="Normal 3 2 2 2 2 4 2" xfId="7558"/>
    <cellStyle name="Normal 3 2 2 2 2 4 3" xfId="11847"/>
    <cellStyle name="Normal 3 2 2 2 2 4 4" xfId="16125"/>
    <cellStyle name="Normal 3 2 2 2 2 4 5" xfId="20368"/>
    <cellStyle name="Normal 3 2 2 2 2 4 6" xfId="24614"/>
    <cellStyle name="Normal 3 2 2 2 2 4 7" xfId="28719"/>
    <cellStyle name="Normal 3 2 2 2 2 5" xfId="4565"/>
    <cellStyle name="Normal 3 2 2 2 2 5 2" xfId="9539"/>
    <cellStyle name="Normal 3 2 2 2 2 5 3" xfId="13816"/>
    <cellStyle name="Normal 3 2 2 2 2 5 4" xfId="18076"/>
    <cellStyle name="Normal 3 2 2 2 2 5 5" xfId="22294"/>
    <cellStyle name="Normal 3 2 2 2 2 5 6" xfId="26490"/>
    <cellStyle name="Normal 3 2 2 2 2 5 7" xfId="30386"/>
    <cellStyle name="Normal 3 2 2 2 2 6" xfId="5914"/>
    <cellStyle name="Normal 3 2 2 2 2 6 2" xfId="10886"/>
    <cellStyle name="Normal 3 2 2 2 2 6 3" xfId="15164"/>
    <cellStyle name="Normal 3 2 2 2 2 6 4" xfId="19421"/>
    <cellStyle name="Normal 3 2 2 2 2 6 5" xfId="23638"/>
    <cellStyle name="Normal 3 2 2 2 2 6 6" xfId="27824"/>
    <cellStyle name="Normal 3 2 2 2 2 6 7" xfId="31703"/>
    <cellStyle name="Normal 3 2 2 2 2 7" xfId="6788"/>
    <cellStyle name="Normal 3 2 2 2 2 8" xfId="6325"/>
    <cellStyle name="Normal 3 2 2 2 2 9" xfId="6461"/>
    <cellStyle name="Normal 3 2 2 2 3" xfId="710"/>
    <cellStyle name="Normal 3 2 2 2 3 10" xfId="24085"/>
    <cellStyle name="Normal 3 2 2 2 3 11" xfId="28237"/>
    <cellStyle name="Normal 3 2 2 2 3 12" xfId="2029"/>
    <cellStyle name="Normal 3 2 2 2 3 2" xfId="1367"/>
    <cellStyle name="Normal 3 2 2 2 3 2 2" xfId="5398"/>
    <cellStyle name="Normal 3 2 2 2 3 2 2 2" xfId="10372"/>
    <cellStyle name="Normal 3 2 2 2 3 2 2 3" xfId="14649"/>
    <cellStyle name="Normal 3 2 2 2 3 2 2 4" xfId="18908"/>
    <cellStyle name="Normal 3 2 2 2 3 2 2 5" xfId="23127"/>
    <cellStyle name="Normal 3 2 2 2 3 2 2 6" xfId="27322"/>
    <cellStyle name="Normal 3 2 2 2 3 2 2 7" xfId="31218"/>
    <cellStyle name="Normal 3 2 2 2 3 2 3" xfId="8840"/>
    <cellStyle name="Normal 3 2 2 2 3 2 4" xfId="13125"/>
    <cellStyle name="Normal 3 2 2 2 3 2 5" xfId="17397"/>
    <cellStyle name="Normal 3 2 2 2 3 2 6" xfId="21631"/>
    <cellStyle name="Normal 3 2 2 2 3 2 7" xfId="25870"/>
    <cellStyle name="Normal 3 2 2 2 3 2 8" xfId="29944"/>
    <cellStyle name="Normal 3 2 2 2 3 2 9" xfId="3864"/>
    <cellStyle name="Normal 3 2 2 2 3 3" xfId="3033"/>
    <cellStyle name="Normal 3 2 2 2 3 3 2" xfId="8009"/>
    <cellStyle name="Normal 3 2 2 2 3 3 3" xfId="12297"/>
    <cellStyle name="Normal 3 2 2 2 3 3 4" xfId="16572"/>
    <cellStyle name="Normal 3 2 2 2 3 3 5" xfId="20810"/>
    <cellStyle name="Normal 3 2 2 2 3 3 6" xfId="25053"/>
    <cellStyle name="Normal 3 2 2 2 3 3 7" xfId="29139"/>
    <cellStyle name="Normal 3 2 2 2 3 4" xfId="4741"/>
    <cellStyle name="Normal 3 2 2 2 3 4 2" xfId="9715"/>
    <cellStyle name="Normal 3 2 2 2 3 4 3" xfId="13992"/>
    <cellStyle name="Normal 3 2 2 2 3 4 4" xfId="18251"/>
    <cellStyle name="Normal 3 2 2 2 3 4 5" xfId="22470"/>
    <cellStyle name="Normal 3 2 2 2 3 4 6" xfId="26665"/>
    <cellStyle name="Normal 3 2 2 2 3 4 7" xfId="30561"/>
    <cellStyle name="Normal 3 2 2 2 3 5" xfId="6089"/>
    <cellStyle name="Normal 3 2 2 2 3 5 2" xfId="11061"/>
    <cellStyle name="Normal 3 2 2 2 3 5 3" xfId="15339"/>
    <cellStyle name="Normal 3 2 2 2 3 5 4" xfId="19596"/>
    <cellStyle name="Normal 3 2 2 2 3 5 5" xfId="23813"/>
    <cellStyle name="Normal 3 2 2 2 3 5 6" xfId="27999"/>
    <cellStyle name="Normal 3 2 2 2 3 5 7" xfId="31878"/>
    <cellStyle name="Normal 3 2 2 2 3 6" xfId="7007"/>
    <cellStyle name="Normal 3 2 2 2 3 7" xfId="11299"/>
    <cellStyle name="Normal 3 2 2 2 3 8" xfId="15577"/>
    <cellStyle name="Normal 3 2 2 2 3 9" xfId="19834"/>
    <cellStyle name="Normal 3 2 2 2 4" xfId="1038"/>
    <cellStyle name="Normal 3 2 2 2 4 2" xfId="5069"/>
    <cellStyle name="Normal 3 2 2 2 4 2 2" xfId="10043"/>
    <cellStyle name="Normal 3 2 2 2 4 2 3" xfId="14320"/>
    <cellStyle name="Normal 3 2 2 2 4 2 4" xfId="18579"/>
    <cellStyle name="Normal 3 2 2 2 4 2 5" xfId="22798"/>
    <cellStyle name="Normal 3 2 2 2 4 2 6" xfId="26993"/>
    <cellStyle name="Normal 3 2 2 2 4 2 7" xfId="30889"/>
    <cellStyle name="Normal 3 2 2 2 4 3" xfId="8275"/>
    <cellStyle name="Normal 3 2 2 2 4 4" xfId="12560"/>
    <cellStyle name="Normal 3 2 2 2 4 5" xfId="16833"/>
    <cellStyle name="Normal 3 2 2 2 4 6" xfId="21069"/>
    <cellStyle name="Normal 3 2 2 2 4 7" xfId="25307"/>
    <cellStyle name="Normal 3 2 2 2 4 8" xfId="29385"/>
    <cellStyle name="Normal 3 2 2 2 4 9" xfId="3299"/>
    <cellStyle name="Normal 3 2 2 2 5" xfId="2422"/>
    <cellStyle name="Normal 3 2 2 2 5 2" xfId="7400"/>
    <cellStyle name="Normal 3 2 2 2 5 3" xfId="11689"/>
    <cellStyle name="Normal 3 2 2 2 5 4" xfId="15967"/>
    <cellStyle name="Normal 3 2 2 2 5 5" xfId="20215"/>
    <cellStyle name="Normal 3 2 2 2 5 6" xfId="24462"/>
    <cellStyle name="Normal 3 2 2 2 5 7" xfId="28578"/>
    <cellStyle name="Normal 3 2 2 2 6" xfId="4411"/>
    <cellStyle name="Normal 3 2 2 2 6 2" xfId="9385"/>
    <cellStyle name="Normal 3 2 2 2 6 3" xfId="13662"/>
    <cellStyle name="Normal 3 2 2 2 6 4" xfId="17922"/>
    <cellStyle name="Normal 3 2 2 2 6 5" xfId="22140"/>
    <cellStyle name="Normal 3 2 2 2 6 6" xfId="26336"/>
    <cellStyle name="Normal 3 2 2 2 6 7" xfId="30232"/>
    <cellStyle name="Normal 3 2 2 2 7" xfId="5760"/>
    <cellStyle name="Normal 3 2 2 2 7 2" xfId="10732"/>
    <cellStyle name="Normal 3 2 2 2 7 3" xfId="15010"/>
    <cellStyle name="Normal 3 2 2 2 7 4" xfId="19267"/>
    <cellStyle name="Normal 3 2 2 2 7 5" xfId="23484"/>
    <cellStyle name="Normal 3 2 2 2 7 6" xfId="27670"/>
    <cellStyle name="Normal 3 2 2 2 7 7" xfId="31549"/>
    <cellStyle name="Normal 3 2 2 2 8" xfId="6625"/>
    <cellStyle name="Normal 3 2 2 2 9" xfId="9073"/>
    <cellStyle name="Normal 3 2 2 3" xfId="376"/>
    <cellStyle name="Normal 3 2 2 3 10" xfId="17683"/>
    <cellStyle name="Normal 3 2 2 3 11" xfId="21795"/>
    <cellStyle name="Normal 3 2 2 3 12" xfId="26123"/>
    <cellStyle name="Normal 3 2 2 3 13" xfId="1739"/>
    <cellStyle name="Normal 3 2 2 3 2" xfId="750"/>
    <cellStyle name="Normal 3 2 2 3 2 10" xfId="24125"/>
    <cellStyle name="Normal 3 2 2 3 2 11" xfId="28277"/>
    <cellStyle name="Normal 3 2 2 3 2 12" xfId="2069"/>
    <cellStyle name="Normal 3 2 2 3 2 2" xfId="1407"/>
    <cellStyle name="Normal 3 2 2 3 2 2 2" xfId="5438"/>
    <cellStyle name="Normal 3 2 2 3 2 2 2 2" xfId="10412"/>
    <cellStyle name="Normal 3 2 2 3 2 2 2 3" xfId="14689"/>
    <cellStyle name="Normal 3 2 2 3 2 2 2 4" xfId="18948"/>
    <cellStyle name="Normal 3 2 2 3 2 2 2 5" xfId="23167"/>
    <cellStyle name="Normal 3 2 2 3 2 2 2 6" xfId="27362"/>
    <cellStyle name="Normal 3 2 2 3 2 2 2 7" xfId="31258"/>
    <cellStyle name="Normal 3 2 2 3 2 2 3" xfId="8841"/>
    <cellStyle name="Normal 3 2 2 3 2 2 4" xfId="13126"/>
    <cellStyle name="Normal 3 2 2 3 2 2 5" xfId="17398"/>
    <cellStyle name="Normal 3 2 2 3 2 2 6" xfId="21632"/>
    <cellStyle name="Normal 3 2 2 3 2 2 7" xfId="25871"/>
    <cellStyle name="Normal 3 2 2 3 2 2 8" xfId="29945"/>
    <cellStyle name="Normal 3 2 2 3 2 2 9" xfId="3865"/>
    <cellStyle name="Normal 3 2 2 3 2 3" xfId="3034"/>
    <cellStyle name="Normal 3 2 2 3 2 3 2" xfId="8010"/>
    <cellStyle name="Normal 3 2 2 3 2 3 3" xfId="12298"/>
    <cellStyle name="Normal 3 2 2 3 2 3 4" xfId="16573"/>
    <cellStyle name="Normal 3 2 2 3 2 3 5" xfId="20811"/>
    <cellStyle name="Normal 3 2 2 3 2 3 6" xfId="25054"/>
    <cellStyle name="Normal 3 2 2 3 2 3 7" xfId="29140"/>
    <cellStyle name="Normal 3 2 2 3 2 4" xfId="4781"/>
    <cellStyle name="Normal 3 2 2 3 2 4 2" xfId="9755"/>
    <cellStyle name="Normal 3 2 2 3 2 4 3" xfId="14032"/>
    <cellStyle name="Normal 3 2 2 3 2 4 4" xfId="18291"/>
    <cellStyle name="Normal 3 2 2 3 2 4 5" xfId="22510"/>
    <cellStyle name="Normal 3 2 2 3 2 4 6" xfId="26705"/>
    <cellStyle name="Normal 3 2 2 3 2 4 7" xfId="30601"/>
    <cellStyle name="Normal 3 2 2 3 2 5" xfId="6129"/>
    <cellStyle name="Normal 3 2 2 3 2 5 2" xfId="11101"/>
    <cellStyle name="Normal 3 2 2 3 2 5 3" xfId="15379"/>
    <cellStyle name="Normal 3 2 2 3 2 5 4" xfId="19636"/>
    <cellStyle name="Normal 3 2 2 3 2 5 5" xfId="23853"/>
    <cellStyle name="Normal 3 2 2 3 2 5 6" xfId="28039"/>
    <cellStyle name="Normal 3 2 2 3 2 5 7" xfId="31918"/>
    <cellStyle name="Normal 3 2 2 3 2 6" xfId="7047"/>
    <cellStyle name="Normal 3 2 2 3 2 7" xfId="11339"/>
    <cellStyle name="Normal 3 2 2 3 2 8" xfId="15617"/>
    <cellStyle name="Normal 3 2 2 3 2 9" xfId="19874"/>
    <cellStyle name="Normal 3 2 2 3 3" xfId="1078"/>
    <cellStyle name="Normal 3 2 2 3 3 2" xfId="5109"/>
    <cellStyle name="Normal 3 2 2 3 3 2 2" xfId="10083"/>
    <cellStyle name="Normal 3 2 2 3 3 2 3" xfId="14360"/>
    <cellStyle name="Normal 3 2 2 3 3 2 4" xfId="18619"/>
    <cellStyle name="Normal 3 2 2 3 3 2 5" xfId="22838"/>
    <cellStyle name="Normal 3 2 2 3 3 2 6" xfId="27033"/>
    <cellStyle name="Normal 3 2 2 3 3 2 7" xfId="30929"/>
    <cellStyle name="Normal 3 2 2 3 3 3" xfId="8304"/>
    <cellStyle name="Normal 3 2 2 3 3 4" xfId="12589"/>
    <cellStyle name="Normal 3 2 2 3 3 5" xfId="16861"/>
    <cellStyle name="Normal 3 2 2 3 3 6" xfId="21096"/>
    <cellStyle name="Normal 3 2 2 3 3 7" xfId="25334"/>
    <cellStyle name="Normal 3 2 2 3 3 8" xfId="29412"/>
    <cellStyle name="Normal 3 2 2 3 3 9" xfId="3328"/>
    <cellStyle name="Normal 3 2 2 3 4" xfId="2467"/>
    <cellStyle name="Normal 3 2 2 3 4 2" xfId="7444"/>
    <cellStyle name="Normal 3 2 2 3 4 3" xfId="11733"/>
    <cellStyle name="Normal 3 2 2 3 4 4" xfId="16011"/>
    <cellStyle name="Normal 3 2 2 3 4 5" xfId="20254"/>
    <cellStyle name="Normal 3 2 2 3 4 6" xfId="24500"/>
    <cellStyle name="Normal 3 2 2 3 4 7" xfId="28605"/>
    <cellStyle name="Normal 3 2 2 3 5" xfId="4451"/>
    <cellStyle name="Normal 3 2 2 3 5 2" xfId="9425"/>
    <cellStyle name="Normal 3 2 2 3 5 3" xfId="13702"/>
    <cellStyle name="Normal 3 2 2 3 5 4" xfId="17962"/>
    <cellStyle name="Normal 3 2 2 3 5 5" xfId="22180"/>
    <cellStyle name="Normal 3 2 2 3 5 6" xfId="26376"/>
    <cellStyle name="Normal 3 2 2 3 5 7" xfId="30272"/>
    <cellStyle name="Normal 3 2 2 3 6" xfId="5800"/>
    <cellStyle name="Normal 3 2 2 3 6 2" xfId="10772"/>
    <cellStyle name="Normal 3 2 2 3 6 3" xfId="15050"/>
    <cellStyle name="Normal 3 2 2 3 6 4" xfId="19307"/>
    <cellStyle name="Normal 3 2 2 3 6 5" xfId="23524"/>
    <cellStyle name="Normal 3 2 2 3 6 6" xfId="27710"/>
    <cellStyle name="Normal 3 2 2 3 6 7" xfId="31589"/>
    <cellStyle name="Normal 3 2 2 3 7" xfId="6674"/>
    <cellStyle name="Normal 3 2 2 3 8" xfId="9137"/>
    <cellStyle name="Normal 3 2 2 3 9" xfId="13417"/>
    <cellStyle name="Normal 3 2 2 4" xfId="545"/>
    <cellStyle name="Normal 3 2 2 4 10" xfId="12235"/>
    <cellStyle name="Normal 3 2 2 4 11" xfId="21902"/>
    <cellStyle name="Normal 3 2 2 4 12" xfId="17740"/>
    <cellStyle name="Normal 3 2 2 4 13" xfId="1908"/>
    <cellStyle name="Normal 3 2 2 4 2" xfId="919"/>
    <cellStyle name="Normal 3 2 2 4 2 10" xfId="24294"/>
    <cellStyle name="Normal 3 2 2 4 2 11" xfId="28446"/>
    <cellStyle name="Normal 3 2 2 4 2 12" xfId="2238"/>
    <cellStyle name="Normal 3 2 2 4 2 2" xfId="1576"/>
    <cellStyle name="Normal 3 2 2 4 2 2 2" xfId="5607"/>
    <cellStyle name="Normal 3 2 2 4 2 2 2 2" xfId="10581"/>
    <cellStyle name="Normal 3 2 2 4 2 2 2 3" xfId="14858"/>
    <cellStyle name="Normal 3 2 2 4 2 2 2 4" xfId="19117"/>
    <cellStyle name="Normal 3 2 2 4 2 2 2 5" xfId="23336"/>
    <cellStyle name="Normal 3 2 2 4 2 2 2 6" xfId="27531"/>
    <cellStyle name="Normal 3 2 2 4 2 2 2 7" xfId="31427"/>
    <cellStyle name="Normal 3 2 2 4 2 2 3" xfId="8842"/>
    <cellStyle name="Normal 3 2 2 4 2 2 4" xfId="13127"/>
    <cellStyle name="Normal 3 2 2 4 2 2 5" xfId="17399"/>
    <cellStyle name="Normal 3 2 2 4 2 2 6" xfId="21633"/>
    <cellStyle name="Normal 3 2 2 4 2 2 7" xfId="25872"/>
    <cellStyle name="Normal 3 2 2 4 2 2 8" xfId="29946"/>
    <cellStyle name="Normal 3 2 2 4 2 2 9" xfId="3866"/>
    <cellStyle name="Normal 3 2 2 4 2 3" xfId="3035"/>
    <cellStyle name="Normal 3 2 2 4 2 3 2" xfId="8011"/>
    <cellStyle name="Normal 3 2 2 4 2 3 3" xfId="12299"/>
    <cellStyle name="Normal 3 2 2 4 2 3 4" xfId="16574"/>
    <cellStyle name="Normal 3 2 2 4 2 3 5" xfId="20812"/>
    <cellStyle name="Normal 3 2 2 4 2 3 6" xfId="25055"/>
    <cellStyle name="Normal 3 2 2 4 2 3 7" xfId="29141"/>
    <cellStyle name="Normal 3 2 2 4 2 4" xfId="4950"/>
    <cellStyle name="Normal 3 2 2 4 2 4 2" xfId="9924"/>
    <cellStyle name="Normal 3 2 2 4 2 4 3" xfId="14201"/>
    <cellStyle name="Normal 3 2 2 4 2 4 4" xfId="18460"/>
    <cellStyle name="Normal 3 2 2 4 2 4 5" xfId="22679"/>
    <cellStyle name="Normal 3 2 2 4 2 4 6" xfId="26874"/>
    <cellStyle name="Normal 3 2 2 4 2 4 7" xfId="30770"/>
    <cellStyle name="Normal 3 2 2 4 2 5" xfId="6298"/>
    <cellStyle name="Normal 3 2 2 4 2 5 2" xfId="11270"/>
    <cellStyle name="Normal 3 2 2 4 2 5 3" xfId="15548"/>
    <cellStyle name="Normal 3 2 2 4 2 5 4" xfId="19805"/>
    <cellStyle name="Normal 3 2 2 4 2 5 5" xfId="24022"/>
    <cellStyle name="Normal 3 2 2 4 2 5 6" xfId="28208"/>
    <cellStyle name="Normal 3 2 2 4 2 5 7" xfId="32087"/>
    <cellStyle name="Normal 3 2 2 4 2 6" xfId="7216"/>
    <cellStyle name="Normal 3 2 2 4 2 7" xfId="11508"/>
    <cellStyle name="Normal 3 2 2 4 2 8" xfId="15786"/>
    <cellStyle name="Normal 3 2 2 4 2 9" xfId="20043"/>
    <cellStyle name="Normal 3 2 2 4 3" xfId="1247"/>
    <cellStyle name="Normal 3 2 2 4 3 2" xfId="5278"/>
    <cellStyle name="Normal 3 2 2 4 3 2 2" xfId="10252"/>
    <cellStyle name="Normal 3 2 2 4 3 2 3" xfId="14529"/>
    <cellStyle name="Normal 3 2 2 4 3 2 4" xfId="18788"/>
    <cellStyle name="Normal 3 2 2 4 3 2 5" xfId="23007"/>
    <cellStyle name="Normal 3 2 2 4 3 2 6" xfId="27202"/>
    <cellStyle name="Normal 3 2 2 4 3 2 7" xfId="31098"/>
    <cellStyle name="Normal 3 2 2 4 3 3" xfId="8486"/>
    <cellStyle name="Normal 3 2 2 4 3 4" xfId="12771"/>
    <cellStyle name="Normal 3 2 2 4 3 5" xfId="17043"/>
    <cellStyle name="Normal 3 2 2 4 3 6" xfId="21278"/>
    <cellStyle name="Normal 3 2 2 4 3 7" xfId="25516"/>
    <cellStyle name="Normal 3 2 2 4 3 8" xfId="29594"/>
    <cellStyle name="Normal 3 2 2 4 3 9" xfId="3510"/>
    <cellStyle name="Normal 3 2 2 4 4" xfId="2653"/>
    <cellStyle name="Normal 3 2 2 4 4 2" xfId="7630"/>
    <cellStyle name="Normal 3 2 2 4 4 3" xfId="11919"/>
    <cellStyle name="Normal 3 2 2 4 4 4" xfId="16195"/>
    <cellStyle name="Normal 3 2 2 4 4 5" xfId="20437"/>
    <cellStyle name="Normal 3 2 2 4 4 6" xfId="24684"/>
    <cellStyle name="Normal 3 2 2 4 4 7" xfId="28787"/>
    <cellStyle name="Normal 3 2 2 4 5" xfId="4620"/>
    <cellStyle name="Normal 3 2 2 4 5 2" xfId="9594"/>
    <cellStyle name="Normal 3 2 2 4 5 3" xfId="13871"/>
    <cellStyle name="Normal 3 2 2 4 5 4" xfId="18131"/>
    <cellStyle name="Normal 3 2 2 4 5 5" xfId="22349"/>
    <cellStyle name="Normal 3 2 2 4 5 6" xfId="26545"/>
    <cellStyle name="Normal 3 2 2 4 5 7" xfId="30441"/>
    <cellStyle name="Normal 3 2 2 4 6" xfId="5969"/>
    <cellStyle name="Normal 3 2 2 4 6 2" xfId="10941"/>
    <cellStyle name="Normal 3 2 2 4 6 3" xfId="15219"/>
    <cellStyle name="Normal 3 2 2 4 6 4" xfId="19476"/>
    <cellStyle name="Normal 3 2 2 4 6 5" xfId="23693"/>
    <cellStyle name="Normal 3 2 2 4 6 6" xfId="27879"/>
    <cellStyle name="Normal 3 2 2 4 6 7" xfId="31758"/>
    <cellStyle name="Normal 3 2 2 4 7" xfId="6843"/>
    <cellStyle name="Normal 3 2 2 4 8" xfId="6861"/>
    <cellStyle name="Normal 3 2 2 4 9" xfId="7946"/>
    <cellStyle name="Normal 3 2 2 5" xfId="646"/>
    <cellStyle name="Normal 3 2 2 5 10" xfId="15971"/>
    <cellStyle name="Normal 3 2 2 5 11" xfId="13278"/>
    <cellStyle name="Normal 3 2 2 5 12" xfId="24466"/>
    <cellStyle name="Normal 3 2 2 5 13" xfId="1965"/>
    <cellStyle name="Normal 3 2 2 5 2" xfId="1303"/>
    <cellStyle name="Normal 3 2 2 5 2 10" xfId="3037"/>
    <cellStyle name="Normal 3 2 2 5 2 2" xfId="3868"/>
    <cellStyle name="Normal 3 2 2 5 2 2 2" xfId="8844"/>
    <cellStyle name="Normal 3 2 2 5 2 2 3" xfId="13129"/>
    <cellStyle name="Normal 3 2 2 5 2 2 4" xfId="17401"/>
    <cellStyle name="Normal 3 2 2 5 2 2 5" xfId="21635"/>
    <cellStyle name="Normal 3 2 2 5 2 2 6" xfId="25874"/>
    <cellStyle name="Normal 3 2 2 5 2 2 7" xfId="29948"/>
    <cellStyle name="Normal 3 2 2 5 2 3" xfId="5334"/>
    <cellStyle name="Normal 3 2 2 5 2 3 2" xfId="10308"/>
    <cellStyle name="Normal 3 2 2 5 2 3 3" xfId="14585"/>
    <cellStyle name="Normal 3 2 2 5 2 3 4" xfId="18844"/>
    <cellStyle name="Normal 3 2 2 5 2 3 5" xfId="23063"/>
    <cellStyle name="Normal 3 2 2 5 2 3 6" xfId="27258"/>
    <cellStyle name="Normal 3 2 2 5 2 3 7" xfId="31154"/>
    <cellStyle name="Normal 3 2 2 5 2 4" xfId="8013"/>
    <cellStyle name="Normal 3 2 2 5 2 5" xfId="12301"/>
    <cellStyle name="Normal 3 2 2 5 2 6" xfId="16576"/>
    <cellStyle name="Normal 3 2 2 5 2 7" xfId="20814"/>
    <cellStyle name="Normal 3 2 2 5 2 8" xfId="25057"/>
    <cellStyle name="Normal 3 2 2 5 2 9" xfId="29143"/>
    <cellStyle name="Normal 3 2 2 5 3" xfId="3867"/>
    <cellStyle name="Normal 3 2 2 5 3 2" xfId="8843"/>
    <cellStyle name="Normal 3 2 2 5 3 3" xfId="13128"/>
    <cellStyle name="Normal 3 2 2 5 3 4" xfId="17400"/>
    <cellStyle name="Normal 3 2 2 5 3 5" xfId="21634"/>
    <cellStyle name="Normal 3 2 2 5 3 6" xfId="25873"/>
    <cellStyle name="Normal 3 2 2 5 3 7" xfId="29947"/>
    <cellStyle name="Normal 3 2 2 5 4" xfId="3036"/>
    <cellStyle name="Normal 3 2 2 5 4 2" xfId="8012"/>
    <cellStyle name="Normal 3 2 2 5 4 3" xfId="12300"/>
    <cellStyle name="Normal 3 2 2 5 4 4" xfId="16575"/>
    <cellStyle name="Normal 3 2 2 5 4 5" xfId="20813"/>
    <cellStyle name="Normal 3 2 2 5 4 6" xfId="25056"/>
    <cellStyle name="Normal 3 2 2 5 4 7" xfId="29142"/>
    <cellStyle name="Normal 3 2 2 5 5" xfId="4677"/>
    <cellStyle name="Normal 3 2 2 5 5 2" xfId="9651"/>
    <cellStyle name="Normal 3 2 2 5 5 3" xfId="13928"/>
    <cellStyle name="Normal 3 2 2 5 5 4" xfId="18187"/>
    <cellStyle name="Normal 3 2 2 5 5 5" xfId="22406"/>
    <cellStyle name="Normal 3 2 2 5 5 6" xfId="26601"/>
    <cellStyle name="Normal 3 2 2 5 5 7" xfId="30497"/>
    <cellStyle name="Normal 3 2 2 5 6" xfId="6025"/>
    <cellStyle name="Normal 3 2 2 5 6 2" xfId="10997"/>
    <cellStyle name="Normal 3 2 2 5 6 3" xfId="15275"/>
    <cellStyle name="Normal 3 2 2 5 6 4" xfId="19532"/>
    <cellStyle name="Normal 3 2 2 5 6 5" xfId="23749"/>
    <cellStyle name="Normal 3 2 2 5 6 6" xfId="27935"/>
    <cellStyle name="Normal 3 2 2 5 6 7" xfId="31814"/>
    <cellStyle name="Normal 3 2 2 5 7" xfId="6943"/>
    <cellStyle name="Normal 3 2 2 5 8" xfId="7404"/>
    <cellStyle name="Normal 3 2 2 5 9" xfId="11693"/>
    <cellStyle name="Normal 3 2 2 6" xfId="974"/>
    <cellStyle name="Normal 3 2 2 6 10" xfId="3038"/>
    <cellStyle name="Normal 3 2 2 6 2" xfId="3869"/>
    <cellStyle name="Normal 3 2 2 6 2 2" xfId="8845"/>
    <cellStyle name="Normal 3 2 2 6 2 3" xfId="13130"/>
    <cellStyle name="Normal 3 2 2 6 2 4" xfId="17402"/>
    <cellStyle name="Normal 3 2 2 6 2 5" xfId="21636"/>
    <cellStyle name="Normal 3 2 2 6 2 6" xfId="25875"/>
    <cellStyle name="Normal 3 2 2 6 2 7" xfId="29949"/>
    <cellStyle name="Normal 3 2 2 6 3" xfId="5005"/>
    <cellStyle name="Normal 3 2 2 6 3 2" xfId="9979"/>
    <cellStyle name="Normal 3 2 2 6 3 3" xfId="14256"/>
    <cellStyle name="Normal 3 2 2 6 3 4" xfId="18515"/>
    <cellStyle name="Normal 3 2 2 6 3 5" xfId="22734"/>
    <cellStyle name="Normal 3 2 2 6 3 6" xfId="26929"/>
    <cellStyle name="Normal 3 2 2 6 3 7" xfId="30825"/>
    <cellStyle name="Normal 3 2 2 6 4" xfId="8014"/>
    <cellStyle name="Normal 3 2 2 6 5" xfId="12302"/>
    <cellStyle name="Normal 3 2 2 6 6" xfId="16577"/>
    <cellStyle name="Normal 3 2 2 6 7" xfId="20815"/>
    <cellStyle name="Normal 3 2 2 6 8" xfId="25058"/>
    <cellStyle name="Normal 3 2 2 6 9" xfId="29144"/>
    <cellStyle name="Normal 3 2 2 7" xfId="3218"/>
    <cellStyle name="Normal 3 2 2 7 2" xfId="8194"/>
    <cellStyle name="Normal 3 2 2 7 3" xfId="12480"/>
    <cellStyle name="Normal 3 2 2 7 4" xfId="16753"/>
    <cellStyle name="Normal 3 2 2 7 5" xfId="20990"/>
    <cellStyle name="Normal 3 2 2 7 6" xfId="25229"/>
    <cellStyle name="Normal 3 2 2 7 7" xfId="29310"/>
    <cellStyle name="Normal 3 2 2 8" xfId="2318"/>
    <cellStyle name="Normal 3 2 2 8 2" xfId="7296"/>
    <cellStyle name="Normal 3 2 2 8 3" xfId="11586"/>
    <cellStyle name="Normal 3 2 2 8 4" xfId="15864"/>
    <cellStyle name="Normal 3 2 2 8 5" xfId="20117"/>
    <cellStyle name="Normal 3 2 2 8 6" xfId="24368"/>
    <cellStyle name="Normal 3 2 2 8 7" xfId="28502"/>
    <cellStyle name="Normal 3 2 2 9" xfId="4346"/>
    <cellStyle name="Normal 3 2 2 9 2" xfId="9320"/>
    <cellStyle name="Normal 3 2 2 9 3" xfId="13597"/>
    <cellStyle name="Normal 3 2 2 9 4" xfId="17857"/>
    <cellStyle name="Normal 3 2 2 9 5" xfId="22076"/>
    <cellStyle name="Normal 3 2 2 9 6" xfId="26272"/>
    <cellStyle name="Normal 3 2 2 9 7" xfId="30168"/>
    <cellStyle name="Normal 3 2 20" xfId="26083"/>
    <cellStyle name="Normal 3 2 21" xfId="1627"/>
    <cellStyle name="Normal 3 2 3" xfId="323"/>
    <cellStyle name="Normal 3 2 3 10" xfId="13359"/>
    <cellStyle name="Normal 3 2 3 11" xfId="17628"/>
    <cellStyle name="Normal 3 2 3 12" xfId="21994"/>
    <cellStyle name="Normal 3 2 3 13" xfId="26075"/>
    <cellStyle name="Normal 3 2 3 14" xfId="1695"/>
    <cellStyle name="Normal 3 2 3 2" xfId="397"/>
    <cellStyle name="Normal 3 2 3 2 10" xfId="17612"/>
    <cellStyle name="Normal 3 2 3 2 11" xfId="21859"/>
    <cellStyle name="Normal 3 2 3 2 12" xfId="26063"/>
    <cellStyle name="Normal 3 2 3 2 13" xfId="1760"/>
    <cellStyle name="Normal 3 2 3 2 2" xfId="771"/>
    <cellStyle name="Normal 3 2 3 2 2 10" xfId="24146"/>
    <cellStyle name="Normal 3 2 3 2 2 11" xfId="28298"/>
    <cellStyle name="Normal 3 2 3 2 2 12" xfId="2090"/>
    <cellStyle name="Normal 3 2 3 2 2 2" xfId="1428"/>
    <cellStyle name="Normal 3 2 3 2 2 2 2" xfId="5459"/>
    <cellStyle name="Normal 3 2 3 2 2 2 2 2" xfId="10433"/>
    <cellStyle name="Normal 3 2 3 2 2 2 2 3" xfId="14710"/>
    <cellStyle name="Normal 3 2 3 2 2 2 2 4" xfId="18969"/>
    <cellStyle name="Normal 3 2 3 2 2 2 2 5" xfId="23188"/>
    <cellStyle name="Normal 3 2 3 2 2 2 2 6" xfId="27383"/>
    <cellStyle name="Normal 3 2 3 2 2 2 2 7" xfId="31279"/>
    <cellStyle name="Normal 3 2 3 2 2 2 3" xfId="8846"/>
    <cellStyle name="Normal 3 2 3 2 2 2 4" xfId="13131"/>
    <cellStyle name="Normal 3 2 3 2 2 2 5" xfId="17403"/>
    <cellStyle name="Normal 3 2 3 2 2 2 6" xfId="21637"/>
    <cellStyle name="Normal 3 2 3 2 2 2 7" xfId="25876"/>
    <cellStyle name="Normal 3 2 3 2 2 2 8" xfId="29950"/>
    <cellStyle name="Normal 3 2 3 2 2 2 9" xfId="3870"/>
    <cellStyle name="Normal 3 2 3 2 2 3" xfId="3039"/>
    <cellStyle name="Normal 3 2 3 2 2 3 2" xfId="8015"/>
    <cellStyle name="Normal 3 2 3 2 2 3 3" xfId="12303"/>
    <cellStyle name="Normal 3 2 3 2 2 3 4" xfId="16578"/>
    <cellStyle name="Normal 3 2 3 2 2 3 5" xfId="20816"/>
    <cellStyle name="Normal 3 2 3 2 2 3 6" xfId="25059"/>
    <cellStyle name="Normal 3 2 3 2 2 3 7" xfId="29145"/>
    <cellStyle name="Normal 3 2 3 2 2 4" xfId="4802"/>
    <cellStyle name="Normal 3 2 3 2 2 4 2" xfId="9776"/>
    <cellStyle name="Normal 3 2 3 2 2 4 3" xfId="14053"/>
    <cellStyle name="Normal 3 2 3 2 2 4 4" xfId="18312"/>
    <cellStyle name="Normal 3 2 3 2 2 4 5" xfId="22531"/>
    <cellStyle name="Normal 3 2 3 2 2 4 6" xfId="26726"/>
    <cellStyle name="Normal 3 2 3 2 2 4 7" xfId="30622"/>
    <cellStyle name="Normal 3 2 3 2 2 5" xfId="6150"/>
    <cellStyle name="Normal 3 2 3 2 2 5 2" xfId="11122"/>
    <cellStyle name="Normal 3 2 3 2 2 5 3" xfId="15400"/>
    <cellStyle name="Normal 3 2 3 2 2 5 4" xfId="19657"/>
    <cellStyle name="Normal 3 2 3 2 2 5 5" xfId="23874"/>
    <cellStyle name="Normal 3 2 3 2 2 5 6" xfId="28060"/>
    <cellStyle name="Normal 3 2 3 2 2 5 7" xfId="31939"/>
    <cellStyle name="Normal 3 2 3 2 2 6" xfId="7068"/>
    <cellStyle name="Normal 3 2 3 2 2 7" xfId="11360"/>
    <cellStyle name="Normal 3 2 3 2 2 8" xfId="15638"/>
    <cellStyle name="Normal 3 2 3 2 2 9" xfId="19895"/>
    <cellStyle name="Normal 3 2 3 2 3" xfId="1099"/>
    <cellStyle name="Normal 3 2 3 2 3 2" xfId="5130"/>
    <cellStyle name="Normal 3 2 3 2 3 2 2" xfId="10104"/>
    <cellStyle name="Normal 3 2 3 2 3 2 3" xfId="14381"/>
    <cellStyle name="Normal 3 2 3 2 3 2 4" xfId="18640"/>
    <cellStyle name="Normal 3 2 3 2 3 2 5" xfId="22859"/>
    <cellStyle name="Normal 3 2 3 2 3 2 6" xfId="27054"/>
    <cellStyle name="Normal 3 2 3 2 3 2 7" xfId="30950"/>
    <cellStyle name="Normal 3 2 3 2 3 3" xfId="8325"/>
    <cellStyle name="Normal 3 2 3 2 3 4" xfId="12610"/>
    <cellStyle name="Normal 3 2 3 2 3 5" xfId="16882"/>
    <cellStyle name="Normal 3 2 3 2 3 6" xfId="21117"/>
    <cellStyle name="Normal 3 2 3 2 3 7" xfId="25355"/>
    <cellStyle name="Normal 3 2 3 2 3 8" xfId="29433"/>
    <cellStyle name="Normal 3 2 3 2 3 9" xfId="3349"/>
    <cellStyle name="Normal 3 2 3 2 4" xfId="2488"/>
    <cellStyle name="Normal 3 2 3 2 4 2" xfId="7465"/>
    <cellStyle name="Normal 3 2 3 2 4 3" xfId="11754"/>
    <cellStyle name="Normal 3 2 3 2 4 4" xfId="16032"/>
    <cellStyle name="Normal 3 2 3 2 4 5" xfId="20275"/>
    <cellStyle name="Normal 3 2 3 2 4 6" xfId="24521"/>
    <cellStyle name="Normal 3 2 3 2 4 7" xfId="28626"/>
    <cellStyle name="Normal 3 2 3 2 5" xfId="4472"/>
    <cellStyle name="Normal 3 2 3 2 5 2" xfId="9446"/>
    <cellStyle name="Normal 3 2 3 2 5 3" xfId="13723"/>
    <cellStyle name="Normal 3 2 3 2 5 4" xfId="17983"/>
    <cellStyle name="Normal 3 2 3 2 5 5" xfId="22201"/>
    <cellStyle name="Normal 3 2 3 2 5 6" xfId="26397"/>
    <cellStyle name="Normal 3 2 3 2 5 7" xfId="30293"/>
    <cellStyle name="Normal 3 2 3 2 6" xfId="5821"/>
    <cellStyle name="Normal 3 2 3 2 6 2" xfId="10793"/>
    <cellStyle name="Normal 3 2 3 2 6 3" xfId="15071"/>
    <cellStyle name="Normal 3 2 3 2 6 4" xfId="19328"/>
    <cellStyle name="Normal 3 2 3 2 6 5" xfId="23545"/>
    <cellStyle name="Normal 3 2 3 2 6 6" xfId="27731"/>
    <cellStyle name="Normal 3 2 3 2 6 7" xfId="31610"/>
    <cellStyle name="Normal 3 2 3 2 7" xfId="6695"/>
    <cellStyle name="Normal 3 2 3 2 8" xfId="9058"/>
    <cellStyle name="Normal 3 2 3 2 9" xfId="13340"/>
    <cellStyle name="Normal 3 2 3 3" xfId="706"/>
    <cellStyle name="Normal 3 2 3 3 10" xfId="24081"/>
    <cellStyle name="Normal 3 2 3 3 11" xfId="28233"/>
    <cellStyle name="Normal 3 2 3 3 12" xfId="2025"/>
    <cellStyle name="Normal 3 2 3 3 2" xfId="1363"/>
    <cellStyle name="Normal 3 2 3 3 2 2" xfId="5394"/>
    <cellStyle name="Normal 3 2 3 3 2 2 2" xfId="10368"/>
    <cellStyle name="Normal 3 2 3 3 2 2 3" xfId="14645"/>
    <cellStyle name="Normal 3 2 3 3 2 2 4" xfId="18904"/>
    <cellStyle name="Normal 3 2 3 3 2 2 5" xfId="23123"/>
    <cellStyle name="Normal 3 2 3 3 2 2 6" xfId="27318"/>
    <cellStyle name="Normal 3 2 3 3 2 2 7" xfId="31214"/>
    <cellStyle name="Normal 3 2 3 3 2 3" xfId="8847"/>
    <cellStyle name="Normal 3 2 3 3 2 4" xfId="13132"/>
    <cellStyle name="Normal 3 2 3 3 2 5" xfId="17404"/>
    <cellStyle name="Normal 3 2 3 3 2 6" xfId="21638"/>
    <cellStyle name="Normal 3 2 3 3 2 7" xfId="25877"/>
    <cellStyle name="Normal 3 2 3 3 2 8" xfId="29951"/>
    <cellStyle name="Normal 3 2 3 3 2 9" xfId="3871"/>
    <cellStyle name="Normal 3 2 3 3 3" xfId="3040"/>
    <cellStyle name="Normal 3 2 3 3 3 2" xfId="8016"/>
    <cellStyle name="Normal 3 2 3 3 3 3" xfId="12304"/>
    <cellStyle name="Normal 3 2 3 3 3 4" xfId="16579"/>
    <cellStyle name="Normal 3 2 3 3 3 5" xfId="20817"/>
    <cellStyle name="Normal 3 2 3 3 3 6" xfId="25060"/>
    <cellStyle name="Normal 3 2 3 3 3 7" xfId="29146"/>
    <cellStyle name="Normal 3 2 3 3 4" xfId="4737"/>
    <cellStyle name="Normal 3 2 3 3 4 2" xfId="9711"/>
    <cellStyle name="Normal 3 2 3 3 4 3" xfId="13988"/>
    <cellStyle name="Normal 3 2 3 3 4 4" xfId="18247"/>
    <cellStyle name="Normal 3 2 3 3 4 5" xfId="22466"/>
    <cellStyle name="Normal 3 2 3 3 4 6" xfId="26661"/>
    <cellStyle name="Normal 3 2 3 3 4 7" xfId="30557"/>
    <cellStyle name="Normal 3 2 3 3 5" xfId="6085"/>
    <cellStyle name="Normal 3 2 3 3 5 2" xfId="11057"/>
    <cellStyle name="Normal 3 2 3 3 5 3" xfId="15335"/>
    <cellStyle name="Normal 3 2 3 3 5 4" xfId="19592"/>
    <cellStyle name="Normal 3 2 3 3 5 5" xfId="23809"/>
    <cellStyle name="Normal 3 2 3 3 5 6" xfId="27995"/>
    <cellStyle name="Normal 3 2 3 3 5 7" xfId="31874"/>
    <cellStyle name="Normal 3 2 3 3 6" xfId="7003"/>
    <cellStyle name="Normal 3 2 3 3 7" xfId="11295"/>
    <cellStyle name="Normal 3 2 3 3 8" xfId="15573"/>
    <cellStyle name="Normal 3 2 3 3 9" xfId="19830"/>
    <cellStyle name="Normal 3 2 3 4" xfId="1034"/>
    <cellStyle name="Normal 3 2 3 4 2" xfId="5065"/>
    <cellStyle name="Normal 3 2 3 4 2 2" xfId="10039"/>
    <cellStyle name="Normal 3 2 3 4 2 3" xfId="14316"/>
    <cellStyle name="Normal 3 2 3 4 2 4" xfId="18575"/>
    <cellStyle name="Normal 3 2 3 4 2 5" xfId="22794"/>
    <cellStyle name="Normal 3 2 3 4 2 6" xfId="26989"/>
    <cellStyle name="Normal 3 2 3 4 2 7" xfId="30885"/>
    <cellStyle name="Normal 3 2 3 4 3" xfId="8263"/>
    <cellStyle name="Normal 3 2 3 4 4" xfId="12548"/>
    <cellStyle name="Normal 3 2 3 4 5" xfId="16821"/>
    <cellStyle name="Normal 3 2 3 4 6" xfId="21057"/>
    <cellStyle name="Normal 3 2 3 4 7" xfId="25295"/>
    <cellStyle name="Normal 3 2 3 4 8" xfId="29373"/>
    <cellStyle name="Normal 3 2 3 4 9" xfId="3287"/>
    <cellStyle name="Normal 3 2 3 5" xfId="2403"/>
    <cellStyle name="Normal 3 2 3 5 2" xfId="7381"/>
    <cellStyle name="Normal 3 2 3 5 3" xfId="11670"/>
    <cellStyle name="Normal 3 2 3 5 4" xfId="15948"/>
    <cellStyle name="Normal 3 2 3 5 5" xfId="20197"/>
    <cellStyle name="Normal 3 2 3 5 6" xfId="24445"/>
    <cellStyle name="Normal 3 2 3 5 7" xfId="28565"/>
    <cellStyle name="Normal 3 2 3 6" xfId="4407"/>
    <cellStyle name="Normal 3 2 3 6 2" xfId="9381"/>
    <cellStyle name="Normal 3 2 3 6 3" xfId="13658"/>
    <cellStyle name="Normal 3 2 3 6 4" xfId="17918"/>
    <cellStyle name="Normal 3 2 3 6 5" xfId="22136"/>
    <cellStyle name="Normal 3 2 3 6 6" xfId="26332"/>
    <cellStyle name="Normal 3 2 3 6 7" xfId="30228"/>
    <cellStyle name="Normal 3 2 3 7" xfId="5756"/>
    <cellStyle name="Normal 3 2 3 7 2" xfId="10728"/>
    <cellStyle name="Normal 3 2 3 7 3" xfId="15006"/>
    <cellStyle name="Normal 3 2 3 7 4" xfId="19263"/>
    <cellStyle name="Normal 3 2 3 7 5" xfId="23480"/>
    <cellStyle name="Normal 3 2 3 7 6" xfId="27666"/>
    <cellStyle name="Normal 3 2 3 7 7" xfId="31545"/>
    <cellStyle name="Normal 3 2 3 8" xfId="6621"/>
    <cellStyle name="Normal 3 2 3 9" xfId="9077"/>
    <cellStyle name="Normal 3 2 4" xfId="350"/>
    <cellStyle name="Normal 3 2 4 10" xfId="13498"/>
    <cellStyle name="Normal 3 2 4 11" xfId="17759"/>
    <cellStyle name="Normal 3 2 4 12" xfId="22007"/>
    <cellStyle name="Normal 3 2 4 13" xfId="26179"/>
    <cellStyle name="Normal 3 2 4 14" xfId="1718"/>
    <cellStyle name="Normal 3 2 4 2" xfId="487"/>
    <cellStyle name="Normal 3 2 4 2 10" xfId="13518"/>
    <cellStyle name="Normal 3 2 4 2 11" xfId="13468"/>
    <cellStyle name="Normal 3 2 4 2 12" xfId="20930"/>
    <cellStyle name="Normal 3 2 4 2 13" xfId="1850"/>
    <cellStyle name="Normal 3 2 4 2 2" xfId="861"/>
    <cellStyle name="Normal 3 2 4 2 2 10" xfId="24236"/>
    <cellStyle name="Normal 3 2 4 2 2 11" xfId="28388"/>
    <cellStyle name="Normal 3 2 4 2 2 12" xfId="2180"/>
    <cellStyle name="Normal 3 2 4 2 2 2" xfId="1518"/>
    <cellStyle name="Normal 3 2 4 2 2 2 2" xfId="5549"/>
    <cellStyle name="Normal 3 2 4 2 2 2 2 2" xfId="10523"/>
    <cellStyle name="Normal 3 2 4 2 2 2 2 3" xfId="14800"/>
    <cellStyle name="Normal 3 2 4 2 2 2 2 4" xfId="19059"/>
    <cellStyle name="Normal 3 2 4 2 2 2 2 5" xfId="23278"/>
    <cellStyle name="Normal 3 2 4 2 2 2 2 6" xfId="27473"/>
    <cellStyle name="Normal 3 2 4 2 2 2 2 7" xfId="31369"/>
    <cellStyle name="Normal 3 2 4 2 2 2 3" xfId="8848"/>
    <cellStyle name="Normal 3 2 4 2 2 2 4" xfId="13133"/>
    <cellStyle name="Normal 3 2 4 2 2 2 5" xfId="17405"/>
    <cellStyle name="Normal 3 2 4 2 2 2 6" xfId="21639"/>
    <cellStyle name="Normal 3 2 4 2 2 2 7" xfId="25878"/>
    <cellStyle name="Normal 3 2 4 2 2 2 8" xfId="29952"/>
    <cellStyle name="Normal 3 2 4 2 2 2 9" xfId="3872"/>
    <cellStyle name="Normal 3 2 4 2 2 3" xfId="3041"/>
    <cellStyle name="Normal 3 2 4 2 2 3 2" xfId="8017"/>
    <cellStyle name="Normal 3 2 4 2 2 3 3" xfId="12305"/>
    <cellStyle name="Normal 3 2 4 2 2 3 4" xfId="16580"/>
    <cellStyle name="Normal 3 2 4 2 2 3 5" xfId="20818"/>
    <cellStyle name="Normal 3 2 4 2 2 3 6" xfId="25061"/>
    <cellStyle name="Normal 3 2 4 2 2 3 7" xfId="29147"/>
    <cellStyle name="Normal 3 2 4 2 2 4" xfId="4892"/>
    <cellStyle name="Normal 3 2 4 2 2 4 2" xfId="9866"/>
    <cellStyle name="Normal 3 2 4 2 2 4 3" xfId="14143"/>
    <cellStyle name="Normal 3 2 4 2 2 4 4" xfId="18402"/>
    <cellStyle name="Normal 3 2 4 2 2 4 5" xfId="22621"/>
    <cellStyle name="Normal 3 2 4 2 2 4 6" xfId="26816"/>
    <cellStyle name="Normal 3 2 4 2 2 4 7" xfId="30712"/>
    <cellStyle name="Normal 3 2 4 2 2 5" xfId="6240"/>
    <cellStyle name="Normal 3 2 4 2 2 5 2" xfId="11212"/>
    <cellStyle name="Normal 3 2 4 2 2 5 3" xfId="15490"/>
    <cellStyle name="Normal 3 2 4 2 2 5 4" xfId="19747"/>
    <cellStyle name="Normal 3 2 4 2 2 5 5" xfId="23964"/>
    <cellStyle name="Normal 3 2 4 2 2 5 6" xfId="28150"/>
    <cellStyle name="Normal 3 2 4 2 2 5 7" xfId="32029"/>
    <cellStyle name="Normal 3 2 4 2 2 6" xfId="7158"/>
    <cellStyle name="Normal 3 2 4 2 2 7" xfId="11450"/>
    <cellStyle name="Normal 3 2 4 2 2 8" xfId="15728"/>
    <cellStyle name="Normal 3 2 4 2 2 9" xfId="19985"/>
    <cellStyle name="Normal 3 2 4 2 3" xfId="1189"/>
    <cellStyle name="Normal 3 2 4 2 3 2" xfId="5220"/>
    <cellStyle name="Normal 3 2 4 2 3 2 2" xfId="10194"/>
    <cellStyle name="Normal 3 2 4 2 3 2 3" xfId="14471"/>
    <cellStyle name="Normal 3 2 4 2 3 2 4" xfId="18730"/>
    <cellStyle name="Normal 3 2 4 2 3 2 5" xfId="22949"/>
    <cellStyle name="Normal 3 2 4 2 3 2 6" xfId="27144"/>
    <cellStyle name="Normal 3 2 4 2 3 2 7" xfId="31040"/>
    <cellStyle name="Normal 3 2 4 2 3 3" xfId="8415"/>
    <cellStyle name="Normal 3 2 4 2 3 4" xfId="12700"/>
    <cellStyle name="Normal 3 2 4 2 3 5" xfId="16972"/>
    <cellStyle name="Normal 3 2 4 2 3 6" xfId="21207"/>
    <cellStyle name="Normal 3 2 4 2 3 7" xfId="25445"/>
    <cellStyle name="Normal 3 2 4 2 3 8" xfId="29523"/>
    <cellStyle name="Normal 3 2 4 2 3 9" xfId="3439"/>
    <cellStyle name="Normal 3 2 4 2 4" xfId="2578"/>
    <cellStyle name="Normal 3 2 4 2 4 2" xfId="7555"/>
    <cellStyle name="Normal 3 2 4 2 4 3" xfId="11844"/>
    <cellStyle name="Normal 3 2 4 2 4 4" xfId="16122"/>
    <cellStyle name="Normal 3 2 4 2 4 5" xfId="20365"/>
    <cellStyle name="Normal 3 2 4 2 4 6" xfId="24611"/>
    <cellStyle name="Normal 3 2 4 2 4 7" xfId="28716"/>
    <cellStyle name="Normal 3 2 4 2 5" xfId="4562"/>
    <cellStyle name="Normal 3 2 4 2 5 2" xfId="9536"/>
    <cellStyle name="Normal 3 2 4 2 5 3" xfId="13813"/>
    <cellStyle name="Normal 3 2 4 2 5 4" xfId="18073"/>
    <cellStyle name="Normal 3 2 4 2 5 5" xfId="22291"/>
    <cellStyle name="Normal 3 2 4 2 5 6" xfId="26487"/>
    <cellStyle name="Normal 3 2 4 2 5 7" xfId="30383"/>
    <cellStyle name="Normal 3 2 4 2 6" xfId="5911"/>
    <cellStyle name="Normal 3 2 4 2 6 2" xfId="10883"/>
    <cellStyle name="Normal 3 2 4 2 6 3" xfId="15161"/>
    <cellStyle name="Normal 3 2 4 2 6 4" xfId="19418"/>
    <cellStyle name="Normal 3 2 4 2 6 5" xfId="23635"/>
    <cellStyle name="Normal 3 2 4 2 6 6" xfId="27821"/>
    <cellStyle name="Normal 3 2 4 2 6 7" xfId="31700"/>
    <cellStyle name="Normal 3 2 4 2 7" xfId="6785"/>
    <cellStyle name="Normal 3 2 4 2 8" xfId="6444"/>
    <cellStyle name="Normal 3 2 4 2 9" xfId="9241"/>
    <cellStyle name="Normal 3 2 4 3" xfId="729"/>
    <cellStyle name="Normal 3 2 4 3 10" xfId="24104"/>
    <cellStyle name="Normal 3 2 4 3 11" xfId="28256"/>
    <cellStyle name="Normal 3 2 4 3 12" xfId="2048"/>
    <cellStyle name="Normal 3 2 4 3 2" xfId="1386"/>
    <cellStyle name="Normal 3 2 4 3 2 2" xfId="5417"/>
    <cellStyle name="Normal 3 2 4 3 2 2 2" xfId="10391"/>
    <cellStyle name="Normal 3 2 4 3 2 2 3" xfId="14668"/>
    <cellStyle name="Normal 3 2 4 3 2 2 4" xfId="18927"/>
    <cellStyle name="Normal 3 2 4 3 2 2 5" xfId="23146"/>
    <cellStyle name="Normal 3 2 4 3 2 2 6" xfId="27341"/>
    <cellStyle name="Normal 3 2 4 3 2 2 7" xfId="31237"/>
    <cellStyle name="Normal 3 2 4 3 2 3" xfId="8849"/>
    <cellStyle name="Normal 3 2 4 3 2 4" xfId="13134"/>
    <cellStyle name="Normal 3 2 4 3 2 5" xfId="17406"/>
    <cellStyle name="Normal 3 2 4 3 2 6" xfId="21640"/>
    <cellStyle name="Normal 3 2 4 3 2 7" xfId="25879"/>
    <cellStyle name="Normal 3 2 4 3 2 8" xfId="29953"/>
    <cellStyle name="Normal 3 2 4 3 2 9" xfId="3873"/>
    <cellStyle name="Normal 3 2 4 3 3" xfId="3042"/>
    <cellStyle name="Normal 3 2 4 3 3 2" xfId="8018"/>
    <cellStyle name="Normal 3 2 4 3 3 3" xfId="12306"/>
    <cellStyle name="Normal 3 2 4 3 3 4" xfId="16581"/>
    <cellStyle name="Normal 3 2 4 3 3 5" xfId="20819"/>
    <cellStyle name="Normal 3 2 4 3 3 6" xfId="25062"/>
    <cellStyle name="Normal 3 2 4 3 3 7" xfId="29148"/>
    <cellStyle name="Normal 3 2 4 3 4" xfId="4760"/>
    <cellStyle name="Normal 3 2 4 3 4 2" xfId="9734"/>
    <cellStyle name="Normal 3 2 4 3 4 3" xfId="14011"/>
    <cellStyle name="Normal 3 2 4 3 4 4" xfId="18270"/>
    <cellStyle name="Normal 3 2 4 3 4 5" xfId="22489"/>
    <cellStyle name="Normal 3 2 4 3 4 6" xfId="26684"/>
    <cellStyle name="Normal 3 2 4 3 4 7" xfId="30580"/>
    <cellStyle name="Normal 3 2 4 3 5" xfId="6108"/>
    <cellStyle name="Normal 3 2 4 3 5 2" xfId="11080"/>
    <cellStyle name="Normal 3 2 4 3 5 3" xfId="15358"/>
    <cellStyle name="Normal 3 2 4 3 5 4" xfId="19615"/>
    <cellStyle name="Normal 3 2 4 3 5 5" xfId="23832"/>
    <cellStyle name="Normal 3 2 4 3 5 6" xfId="28018"/>
    <cellStyle name="Normal 3 2 4 3 5 7" xfId="31897"/>
    <cellStyle name="Normal 3 2 4 3 6" xfId="7026"/>
    <cellStyle name="Normal 3 2 4 3 7" xfId="11318"/>
    <cellStyle name="Normal 3 2 4 3 8" xfId="15596"/>
    <cellStyle name="Normal 3 2 4 3 9" xfId="19853"/>
    <cellStyle name="Normal 3 2 4 4" xfId="1057"/>
    <cellStyle name="Normal 3 2 4 4 2" xfId="5088"/>
    <cellStyle name="Normal 3 2 4 4 2 2" xfId="10062"/>
    <cellStyle name="Normal 3 2 4 4 2 3" xfId="14339"/>
    <cellStyle name="Normal 3 2 4 4 2 4" xfId="18598"/>
    <cellStyle name="Normal 3 2 4 4 2 5" xfId="22817"/>
    <cellStyle name="Normal 3 2 4 4 2 6" xfId="27012"/>
    <cellStyle name="Normal 3 2 4 4 2 7" xfId="30908"/>
    <cellStyle name="Normal 3 2 4 4 3" xfId="8282"/>
    <cellStyle name="Normal 3 2 4 4 4" xfId="12567"/>
    <cellStyle name="Normal 3 2 4 4 5" xfId="16839"/>
    <cellStyle name="Normal 3 2 4 4 6" xfId="21074"/>
    <cellStyle name="Normal 3 2 4 4 7" xfId="25312"/>
    <cellStyle name="Normal 3 2 4 4 8" xfId="29390"/>
    <cellStyle name="Normal 3 2 4 4 9" xfId="3306"/>
    <cellStyle name="Normal 3 2 4 5" xfId="2444"/>
    <cellStyle name="Normal 3 2 4 5 2" xfId="7422"/>
    <cellStyle name="Normal 3 2 4 5 3" xfId="11710"/>
    <cellStyle name="Normal 3 2 4 5 4" xfId="15989"/>
    <cellStyle name="Normal 3 2 4 5 5" xfId="20231"/>
    <cellStyle name="Normal 3 2 4 5 6" xfId="24478"/>
    <cellStyle name="Normal 3 2 4 5 7" xfId="28583"/>
    <cellStyle name="Normal 3 2 4 6" xfId="4430"/>
    <cellStyle name="Normal 3 2 4 6 2" xfId="9404"/>
    <cellStyle name="Normal 3 2 4 6 3" xfId="13681"/>
    <cellStyle name="Normal 3 2 4 6 4" xfId="17941"/>
    <cellStyle name="Normal 3 2 4 6 5" xfId="22159"/>
    <cellStyle name="Normal 3 2 4 6 6" xfId="26355"/>
    <cellStyle name="Normal 3 2 4 6 7" xfId="30251"/>
    <cellStyle name="Normal 3 2 4 7" xfId="5779"/>
    <cellStyle name="Normal 3 2 4 7 2" xfId="10751"/>
    <cellStyle name="Normal 3 2 4 7 3" xfId="15029"/>
    <cellStyle name="Normal 3 2 4 7 4" xfId="19286"/>
    <cellStyle name="Normal 3 2 4 7 5" xfId="23503"/>
    <cellStyle name="Normal 3 2 4 7 6" xfId="27689"/>
    <cellStyle name="Normal 3 2 4 7 7" xfId="31568"/>
    <cellStyle name="Normal 3 2 4 8" xfId="6648"/>
    <cellStyle name="Normal 3 2 4 9" xfId="9220"/>
    <cellStyle name="Normal 3 2 5" xfId="361"/>
    <cellStyle name="Normal 3 2 5 10" xfId="12263"/>
    <cellStyle name="Normal 3 2 5 11" xfId="21982"/>
    <cellStyle name="Normal 3 2 5 12" xfId="20766"/>
    <cellStyle name="Normal 3 2 5 13" xfId="1724"/>
    <cellStyle name="Normal 3 2 5 2" xfId="735"/>
    <cellStyle name="Normal 3 2 5 2 10" xfId="24110"/>
    <cellStyle name="Normal 3 2 5 2 11" xfId="28262"/>
    <cellStyle name="Normal 3 2 5 2 12" xfId="2054"/>
    <cellStyle name="Normal 3 2 5 2 2" xfId="1392"/>
    <cellStyle name="Normal 3 2 5 2 2 2" xfId="5423"/>
    <cellStyle name="Normal 3 2 5 2 2 2 2" xfId="10397"/>
    <cellStyle name="Normal 3 2 5 2 2 2 3" xfId="14674"/>
    <cellStyle name="Normal 3 2 5 2 2 2 4" xfId="18933"/>
    <cellStyle name="Normal 3 2 5 2 2 2 5" xfId="23152"/>
    <cellStyle name="Normal 3 2 5 2 2 2 6" xfId="27347"/>
    <cellStyle name="Normal 3 2 5 2 2 2 7" xfId="31243"/>
    <cellStyle name="Normal 3 2 5 2 2 3" xfId="8850"/>
    <cellStyle name="Normal 3 2 5 2 2 4" xfId="13135"/>
    <cellStyle name="Normal 3 2 5 2 2 5" xfId="17407"/>
    <cellStyle name="Normal 3 2 5 2 2 6" xfId="21641"/>
    <cellStyle name="Normal 3 2 5 2 2 7" xfId="25880"/>
    <cellStyle name="Normal 3 2 5 2 2 8" xfId="29954"/>
    <cellStyle name="Normal 3 2 5 2 2 9" xfId="3874"/>
    <cellStyle name="Normal 3 2 5 2 3" xfId="3043"/>
    <cellStyle name="Normal 3 2 5 2 3 2" xfId="8019"/>
    <cellStyle name="Normal 3 2 5 2 3 3" xfId="12307"/>
    <cellStyle name="Normal 3 2 5 2 3 4" xfId="16582"/>
    <cellStyle name="Normal 3 2 5 2 3 5" xfId="20820"/>
    <cellStyle name="Normal 3 2 5 2 3 6" xfId="25063"/>
    <cellStyle name="Normal 3 2 5 2 3 7" xfId="29149"/>
    <cellStyle name="Normal 3 2 5 2 4" xfId="4766"/>
    <cellStyle name="Normal 3 2 5 2 4 2" xfId="9740"/>
    <cellStyle name="Normal 3 2 5 2 4 3" xfId="14017"/>
    <cellStyle name="Normal 3 2 5 2 4 4" xfId="18276"/>
    <cellStyle name="Normal 3 2 5 2 4 5" xfId="22495"/>
    <cellStyle name="Normal 3 2 5 2 4 6" xfId="26690"/>
    <cellStyle name="Normal 3 2 5 2 4 7" xfId="30586"/>
    <cellStyle name="Normal 3 2 5 2 5" xfId="6114"/>
    <cellStyle name="Normal 3 2 5 2 5 2" xfId="11086"/>
    <cellStyle name="Normal 3 2 5 2 5 3" xfId="15364"/>
    <cellStyle name="Normal 3 2 5 2 5 4" xfId="19621"/>
    <cellStyle name="Normal 3 2 5 2 5 5" xfId="23838"/>
    <cellStyle name="Normal 3 2 5 2 5 6" xfId="28024"/>
    <cellStyle name="Normal 3 2 5 2 5 7" xfId="31903"/>
    <cellStyle name="Normal 3 2 5 2 6" xfId="7032"/>
    <cellStyle name="Normal 3 2 5 2 7" xfId="11324"/>
    <cellStyle name="Normal 3 2 5 2 8" xfId="15602"/>
    <cellStyle name="Normal 3 2 5 2 9" xfId="19859"/>
    <cellStyle name="Normal 3 2 5 3" xfId="1063"/>
    <cellStyle name="Normal 3 2 5 3 2" xfId="5094"/>
    <cellStyle name="Normal 3 2 5 3 2 2" xfId="10068"/>
    <cellStyle name="Normal 3 2 5 3 2 3" xfId="14345"/>
    <cellStyle name="Normal 3 2 5 3 2 4" xfId="18604"/>
    <cellStyle name="Normal 3 2 5 3 2 5" xfId="22823"/>
    <cellStyle name="Normal 3 2 5 3 2 6" xfId="27018"/>
    <cellStyle name="Normal 3 2 5 3 2 7" xfId="30914"/>
    <cellStyle name="Normal 3 2 5 3 3" xfId="8289"/>
    <cellStyle name="Normal 3 2 5 3 4" xfId="12574"/>
    <cellStyle name="Normal 3 2 5 3 5" xfId="16846"/>
    <cellStyle name="Normal 3 2 5 3 6" xfId="21081"/>
    <cellStyle name="Normal 3 2 5 3 7" xfId="25319"/>
    <cellStyle name="Normal 3 2 5 3 8" xfId="29397"/>
    <cellStyle name="Normal 3 2 5 3 9" xfId="3313"/>
    <cellStyle name="Normal 3 2 5 4" xfId="2452"/>
    <cellStyle name="Normal 3 2 5 4 2" xfId="7429"/>
    <cellStyle name="Normal 3 2 5 4 3" xfId="11718"/>
    <cellStyle name="Normal 3 2 5 4 4" xfId="15996"/>
    <cellStyle name="Normal 3 2 5 4 5" xfId="20239"/>
    <cellStyle name="Normal 3 2 5 4 6" xfId="24485"/>
    <cellStyle name="Normal 3 2 5 4 7" xfId="28590"/>
    <cellStyle name="Normal 3 2 5 5" xfId="4436"/>
    <cellStyle name="Normal 3 2 5 5 2" xfId="9410"/>
    <cellStyle name="Normal 3 2 5 5 3" xfId="13687"/>
    <cellStyle name="Normal 3 2 5 5 4" xfId="17947"/>
    <cellStyle name="Normal 3 2 5 5 5" xfId="22165"/>
    <cellStyle name="Normal 3 2 5 5 6" xfId="26361"/>
    <cellStyle name="Normal 3 2 5 5 7" xfId="30257"/>
    <cellStyle name="Normal 3 2 5 6" xfId="5785"/>
    <cellStyle name="Normal 3 2 5 6 2" xfId="10757"/>
    <cellStyle name="Normal 3 2 5 6 3" xfId="15035"/>
    <cellStyle name="Normal 3 2 5 6 4" xfId="19292"/>
    <cellStyle name="Normal 3 2 5 6 5" xfId="23509"/>
    <cellStyle name="Normal 3 2 5 6 6" xfId="27695"/>
    <cellStyle name="Normal 3 2 5 6 7" xfId="31574"/>
    <cellStyle name="Normal 3 2 5 7" xfId="6659"/>
    <cellStyle name="Normal 3 2 5 8" xfId="6447"/>
    <cellStyle name="Normal 3 2 5 9" xfId="7975"/>
    <cellStyle name="Normal 3 2 6" xfId="540"/>
    <cellStyle name="Normal 3 2 6 10" xfId="13276"/>
    <cellStyle name="Normal 3 2 6 11" xfId="11610"/>
    <cellStyle name="Normal 3 2 6 12" xfId="21774"/>
    <cellStyle name="Normal 3 2 6 13" xfId="1903"/>
    <cellStyle name="Normal 3 2 6 2" xfId="914"/>
    <cellStyle name="Normal 3 2 6 2 10" xfId="24289"/>
    <cellStyle name="Normal 3 2 6 2 11" xfId="28441"/>
    <cellStyle name="Normal 3 2 6 2 12" xfId="2233"/>
    <cellStyle name="Normal 3 2 6 2 2" xfId="1571"/>
    <cellStyle name="Normal 3 2 6 2 2 2" xfId="5602"/>
    <cellStyle name="Normal 3 2 6 2 2 2 2" xfId="10576"/>
    <cellStyle name="Normal 3 2 6 2 2 2 3" xfId="14853"/>
    <cellStyle name="Normal 3 2 6 2 2 2 4" xfId="19112"/>
    <cellStyle name="Normal 3 2 6 2 2 2 5" xfId="23331"/>
    <cellStyle name="Normal 3 2 6 2 2 2 6" xfId="27526"/>
    <cellStyle name="Normal 3 2 6 2 2 2 7" xfId="31422"/>
    <cellStyle name="Normal 3 2 6 2 2 3" xfId="8851"/>
    <cellStyle name="Normal 3 2 6 2 2 4" xfId="13136"/>
    <cellStyle name="Normal 3 2 6 2 2 5" xfId="17408"/>
    <cellStyle name="Normal 3 2 6 2 2 6" xfId="21642"/>
    <cellStyle name="Normal 3 2 6 2 2 7" xfId="25881"/>
    <cellStyle name="Normal 3 2 6 2 2 8" xfId="29955"/>
    <cellStyle name="Normal 3 2 6 2 2 9" xfId="3875"/>
    <cellStyle name="Normal 3 2 6 2 3" xfId="3044"/>
    <cellStyle name="Normal 3 2 6 2 3 2" xfId="8020"/>
    <cellStyle name="Normal 3 2 6 2 3 3" xfId="12308"/>
    <cellStyle name="Normal 3 2 6 2 3 4" xfId="16583"/>
    <cellStyle name="Normal 3 2 6 2 3 5" xfId="20821"/>
    <cellStyle name="Normal 3 2 6 2 3 6" xfId="25064"/>
    <cellStyle name="Normal 3 2 6 2 3 7" xfId="29150"/>
    <cellStyle name="Normal 3 2 6 2 4" xfId="4945"/>
    <cellStyle name="Normal 3 2 6 2 4 2" xfId="9919"/>
    <cellStyle name="Normal 3 2 6 2 4 3" xfId="14196"/>
    <cellStyle name="Normal 3 2 6 2 4 4" xfId="18455"/>
    <cellStyle name="Normal 3 2 6 2 4 5" xfId="22674"/>
    <cellStyle name="Normal 3 2 6 2 4 6" xfId="26869"/>
    <cellStyle name="Normal 3 2 6 2 4 7" xfId="30765"/>
    <cellStyle name="Normal 3 2 6 2 5" xfId="6293"/>
    <cellStyle name="Normal 3 2 6 2 5 2" xfId="11265"/>
    <cellStyle name="Normal 3 2 6 2 5 3" xfId="15543"/>
    <cellStyle name="Normal 3 2 6 2 5 4" xfId="19800"/>
    <cellStyle name="Normal 3 2 6 2 5 5" xfId="24017"/>
    <cellStyle name="Normal 3 2 6 2 5 6" xfId="28203"/>
    <cellStyle name="Normal 3 2 6 2 5 7" xfId="32082"/>
    <cellStyle name="Normal 3 2 6 2 6" xfId="7211"/>
    <cellStyle name="Normal 3 2 6 2 7" xfId="11503"/>
    <cellStyle name="Normal 3 2 6 2 8" xfId="15781"/>
    <cellStyle name="Normal 3 2 6 2 9" xfId="20038"/>
    <cellStyle name="Normal 3 2 6 3" xfId="1242"/>
    <cellStyle name="Normal 3 2 6 3 2" xfId="5273"/>
    <cellStyle name="Normal 3 2 6 3 2 2" xfId="10247"/>
    <cellStyle name="Normal 3 2 6 3 2 3" xfId="14524"/>
    <cellStyle name="Normal 3 2 6 3 2 4" xfId="18783"/>
    <cellStyle name="Normal 3 2 6 3 2 5" xfId="23002"/>
    <cellStyle name="Normal 3 2 6 3 2 6" xfId="27197"/>
    <cellStyle name="Normal 3 2 6 3 2 7" xfId="31093"/>
    <cellStyle name="Normal 3 2 6 3 3" xfId="8482"/>
    <cellStyle name="Normal 3 2 6 3 4" xfId="12767"/>
    <cellStyle name="Normal 3 2 6 3 5" xfId="17039"/>
    <cellStyle name="Normal 3 2 6 3 6" xfId="21274"/>
    <cellStyle name="Normal 3 2 6 3 7" xfId="25512"/>
    <cellStyle name="Normal 3 2 6 3 8" xfId="29590"/>
    <cellStyle name="Normal 3 2 6 3 9" xfId="3506"/>
    <cellStyle name="Normal 3 2 6 4" xfId="2649"/>
    <cellStyle name="Normal 3 2 6 4 2" xfId="7626"/>
    <cellStyle name="Normal 3 2 6 4 3" xfId="11915"/>
    <cellStyle name="Normal 3 2 6 4 4" xfId="16191"/>
    <cellStyle name="Normal 3 2 6 4 5" xfId="20433"/>
    <cellStyle name="Normal 3 2 6 4 6" xfId="24680"/>
    <cellStyle name="Normal 3 2 6 4 7" xfId="28783"/>
    <cellStyle name="Normal 3 2 6 5" xfId="4615"/>
    <cellStyle name="Normal 3 2 6 5 2" xfId="9589"/>
    <cellStyle name="Normal 3 2 6 5 3" xfId="13866"/>
    <cellStyle name="Normal 3 2 6 5 4" xfId="18126"/>
    <cellStyle name="Normal 3 2 6 5 5" xfId="22344"/>
    <cellStyle name="Normal 3 2 6 5 6" xfId="26540"/>
    <cellStyle name="Normal 3 2 6 5 7" xfId="30436"/>
    <cellStyle name="Normal 3 2 6 6" xfId="5964"/>
    <cellStyle name="Normal 3 2 6 6 2" xfId="10936"/>
    <cellStyle name="Normal 3 2 6 6 3" xfId="15214"/>
    <cellStyle name="Normal 3 2 6 6 4" xfId="19471"/>
    <cellStyle name="Normal 3 2 6 6 5" xfId="23688"/>
    <cellStyle name="Normal 3 2 6 6 6" xfId="27874"/>
    <cellStyle name="Normal 3 2 6 6 7" xfId="31753"/>
    <cellStyle name="Normal 3 2 6 7" xfId="6838"/>
    <cellStyle name="Normal 3 2 6 8" xfId="6560"/>
    <cellStyle name="Normal 3 2 6 9" xfId="8994"/>
    <cellStyle name="Normal 3 2 7" xfId="641"/>
    <cellStyle name="Normal 3 2 7 10" xfId="17779"/>
    <cellStyle name="Normal 3 2 7 11" xfId="20142"/>
    <cellStyle name="Normal 3 2 7 12" xfId="26196"/>
    <cellStyle name="Normal 3 2 7 13" xfId="1960"/>
    <cellStyle name="Normal 3 2 7 2" xfId="1298"/>
    <cellStyle name="Normal 3 2 7 2 10" xfId="3046"/>
    <cellStyle name="Normal 3 2 7 2 2" xfId="3877"/>
    <cellStyle name="Normal 3 2 7 2 2 2" xfId="8853"/>
    <cellStyle name="Normal 3 2 7 2 2 3" xfId="13138"/>
    <cellStyle name="Normal 3 2 7 2 2 4" xfId="17410"/>
    <cellStyle name="Normal 3 2 7 2 2 5" xfId="21644"/>
    <cellStyle name="Normal 3 2 7 2 2 6" xfId="25883"/>
    <cellStyle name="Normal 3 2 7 2 2 7" xfId="29957"/>
    <cellStyle name="Normal 3 2 7 2 3" xfId="5329"/>
    <cellStyle name="Normal 3 2 7 2 3 2" xfId="10303"/>
    <cellStyle name="Normal 3 2 7 2 3 3" xfId="14580"/>
    <cellStyle name="Normal 3 2 7 2 3 4" xfId="18839"/>
    <cellStyle name="Normal 3 2 7 2 3 5" xfId="23058"/>
    <cellStyle name="Normal 3 2 7 2 3 6" xfId="27253"/>
    <cellStyle name="Normal 3 2 7 2 3 7" xfId="31149"/>
    <cellStyle name="Normal 3 2 7 2 4" xfId="8022"/>
    <cellStyle name="Normal 3 2 7 2 5" xfId="12310"/>
    <cellStyle name="Normal 3 2 7 2 6" xfId="16585"/>
    <cellStyle name="Normal 3 2 7 2 7" xfId="20823"/>
    <cellStyle name="Normal 3 2 7 2 8" xfId="25066"/>
    <cellStyle name="Normal 3 2 7 2 9" xfId="29152"/>
    <cellStyle name="Normal 3 2 7 3" xfId="3876"/>
    <cellStyle name="Normal 3 2 7 3 2" xfId="8852"/>
    <cellStyle name="Normal 3 2 7 3 3" xfId="13137"/>
    <cellStyle name="Normal 3 2 7 3 4" xfId="17409"/>
    <cellStyle name="Normal 3 2 7 3 5" xfId="21643"/>
    <cellStyle name="Normal 3 2 7 3 6" xfId="25882"/>
    <cellStyle name="Normal 3 2 7 3 7" xfId="29956"/>
    <cellStyle name="Normal 3 2 7 4" xfId="3045"/>
    <cellStyle name="Normal 3 2 7 4 2" xfId="8021"/>
    <cellStyle name="Normal 3 2 7 4 3" xfId="12309"/>
    <cellStyle name="Normal 3 2 7 4 4" xfId="16584"/>
    <cellStyle name="Normal 3 2 7 4 5" xfId="20822"/>
    <cellStyle name="Normal 3 2 7 4 6" xfId="25065"/>
    <cellStyle name="Normal 3 2 7 4 7" xfId="29151"/>
    <cellStyle name="Normal 3 2 7 5" xfId="4672"/>
    <cellStyle name="Normal 3 2 7 5 2" xfId="9646"/>
    <cellStyle name="Normal 3 2 7 5 3" xfId="13923"/>
    <cellStyle name="Normal 3 2 7 5 4" xfId="18182"/>
    <cellStyle name="Normal 3 2 7 5 5" xfId="22401"/>
    <cellStyle name="Normal 3 2 7 5 6" xfId="26596"/>
    <cellStyle name="Normal 3 2 7 5 7" xfId="30492"/>
    <cellStyle name="Normal 3 2 7 6" xfId="6020"/>
    <cellStyle name="Normal 3 2 7 6 2" xfId="10992"/>
    <cellStyle name="Normal 3 2 7 6 3" xfId="15270"/>
    <cellStyle name="Normal 3 2 7 6 4" xfId="19527"/>
    <cellStyle name="Normal 3 2 7 6 5" xfId="23744"/>
    <cellStyle name="Normal 3 2 7 6 6" xfId="27930"/>
    <cellStyle name="Normal 3 2 7 6 7" xfId="31809"/>
    <cellStyle name="Normal 3 2 7 7" xfId="6938"/>
    <cellStyle name="Normal 3 2 7 8" xfId="9242"/>
    <cellStyle name="Normal 3 2 7 9" xfId="13519"/>
    <cellStyle name="Normal 3 2 8" xfId="969"/>
    <cellStyle name="Normal 3 2 8 10" xfId="3047"/>
    <cellStyle name="Normal 3 2 8 2" xfId="3878"/>
    <cellStyle name="Normal 3 2 8 2 2" xfId="8854"/>
    <cellStyle name="Normal 3 2 8 2 3" xfId="13139"/>
    <cellStyle name="Normal 3 2 8 2 4" xfId="17411"/>
    <cellStyle name="Normal 3 2 8 2 5" xfId="21645"/>
    <cellStyle name="Normal 3 2 8 2 6" xfId="25884"/>
    <cellStyle name="Normal 3 2 8 2 7" xfId="29958"/>
    <cellStyle name="Normal 3 2 8 3" xfId="5000"/>
    <cellStyle name="Normal 3 2 8 3 2" xfId="9974"/>
    <cellStyle name="Normal 3 2 8 3 3" xfId="14251"/>
    <cellStyle name="Normal 3 2 8 3 4" xfId="18510"/>
    <cellStyle name="Normal 3 2 8 3 5" xfId="22729"/>
    <cellStyle name="Normal 3 2 8 3 6" xfId="26924"/>
    <cellStyle name="Normal 3 2 8 3 7" xfId="30820"/>
    <cellStyle name="Normal 3 2 8 4" xfId="8023"/>
    <cellStyle name="Normal 3 2 8 5" xfId="12311"/>
    <cellStyle name="Normal 3 2 8 6" xfId="16586"/>
    <cellStyle name="Normal 3 2 8 7" xfId="20824"/>
    <cellStyle name="Normal 3 2 8 8" xfId="25067"/>
    <cellStyle name="Normal 3 2 8 9" xfId="29153"/>
    <cellStyle name="Normal 3 2 9" xfId="3212"/>
    <cellStyle name="Normal 3 2 9 2" xfId="8188"/>
    <cellStyle name="Normal 3 2 9 3" xfId="12474"/>
    <cellStyle name="Normal 3 2 9 4" xfId="16748"/>
    <cellStyle name="Normal 3 2 9 5" xfId="20984"/>
    <cellStyle name="Normal 3 2 9 6" xfId="25224"/>
    <cellStyle name="Normal 3 2 9 7" xfId="29305"/>
    <cellStyle name="Normal 3 3" xfId="189"/>
    <cellStyle name="Normal 3 3 2" xfId="352"/>
    <cellStyle name="Normal 3 3 2 2" xfId="2445"/>
    <cellStyle name="Normal 3 3 2 3" xfId="2408"/>
    <cellStyle name="Normal 3 3 3" xfId="360"/>
    <cellStyle name="Normal 3 3 3 10" xfId="17585"/>
    <cellStyle name="Normal 3 3 3 11" xfId="21958"/>
    <cellStyle name="Normal 3 3 3 12" xfId="26039"/>
    <cellStyle name="Normal 3 3 3 13" xfId="1723"/>
    <cellStyle name="Normal 3 3 3 2" xfId="734"/>
    <cellStyle name="Normal 3 3 3 2 10" xfId="24109"/>
    <cellStyle name="Normal 3 3 3 2 11" xfId="28261"/>
    <cellStyle name="Normal 3 3 3 2 12" xfId="2053"/>
    <cellStyle name="Normal 3 3 3 2 2" xfId="1391"/>
    <cellStyle name="Normal 3 3 3 2 2 2" xfId="5422"/>
    <cellStyle name="Normal 3 3 3 2 2 2 2" xfId="10396"/>
    <cellStyle name="Normal 3 3 3 2 2 2 3" xfId="14673"/>
    <cellStyle name="Normal 3 3 3 2 2 2 4" xfId="18932"/>
    <cellStyle name="Normal 3 3 3 2 2 2 5" xfId="23151"/>
    <cellStyle name="Normal 3 3 3 2 2 2 6" xfId="27346"/>
    <cellStyle name="Normal 3 3 3 2 2 2 7" xfId="31242"/>
    <cellStyle name="Normal 3 3 3 2 2 3" xfId="8855"/>
    <cellStyle name="Normal 3 3 3 2 2 4" xfId="13140"/>
    <cellStyle name="Normal 3 3 3 2 2 5" xfId="17412"/>
    <cellStyle name="Normal 3 3 3 2 2 6" xfId="21646"/>
    <cellStyle name="Normal 3 3 3 2 2 7" xfId="25885"/>
    <cellStyle name="Normal 3 3 3 2 2 8" xfId="29959"/>
    <cellStyle name="Normal 3 3 3 2 2 9" xfId="3879"/>
    <cellStyle name="Normal 3 3 3 2 3" xfId="3048"/>
    <cellStyle name="Normal 3 3 3 2 3 2" xfId="8024"/>
    <cellStyle name="Normal 3 3 3 2 3 3" xfId="12312"/>
    <cellStyle name="Normal 3 3 3 2 3 4" xfId="16587"/>
    <cellStyle name="Normal 3 3 3 2 3 5" xfId="20825"/>
    <cellStyle name="Normal 3 3 3 2 3 6" xfId="25068"/>
    <cellStyle name="Normal 3 3 3 2 3 7" xfId="29154"/>
    <cellStyle name="Normal 3 3 3 2 4" xfId="4765"/>
    <cellStyle name="Normal 3 3 3 2 4 2" xfId="9739"/>
    <cellStyle name="Normal 3 3 3 2 4 3" xfId="14016"/>
    <cellStyle name="Normal 3 3 3 2 4 4" xfId="18275"/>
    <cellStyle name="Normal 3 3 3 2 4 5" xfId="22494"/>
    <cellStyle name="Normal 3 3 3 2 4 6" xfId="26689"/>
    <cellStyle name="Normal 3 3 3 2 4 7" xfId="30585"/>
    <cellStyle name="Normal 3 3 3 2 5" xfId="6113"/>
    <cellStyle name="Normal 3 3 3 2 5 2" xfId="11085"/>
    <cellStyle name="Normal 3 3 3 2 5 3" xfId="15363"/>
    <cellStyle name="Normal 3 3 3 2 5 4" xfId="19620"/>
    <cellStyle name="Normal 3 3 3 2 5 5" xfId="23837"/>
    <cellStyle name="Normal 3 3 3 2 5 6" xfId="28023"/>
    <cellStyle name="Normal 3 3 3 2 5 7" xfId="31902"/>
    <cellStyle name="Normal 3 3 3 2 6" xfId="7031"/>
    <cellStyle name="Normal 3 3 3 2 7" xfId="11323"/>
    <cellStyle name="Normal 3 3 3 2 8" xfId="15601"/>
    <cellStyle name="Normal 3 3 3 2 9" xfId="19858"/>
    <cellStyle name="Normal 3 3 3 3" xfId="1062"/>
    <cellStyle name="Normal 3 3 3 3 2" xfId="5093"/>
    <cellStyle name="Normal 3 3 3 3 2 2" xfId="10067"/>
    <cellStyle name="Normal 3 3 3 3 2 3" xfId="14344"/>
    <cellStyle name="Normal 3 3 3 3 2 4" xfId="18603"/>
    <cellStyle name="Normal 3 3 3 3 2 5" xfId="22822"/>
    <cellStyle name="Normal 3 3 3 3 2 6" xfId="27017"/>
    <cellStyle name="Normal 3 3 3 3 2 7" xfId="30913"/>
    <cellStyle name="Normal 3 3 3 3 3" xfId="8288"/>
    <cellStyle name="Normal 3 3 3 3 4" xfId="12573"/>
    <cellStyle name="Normal 3 3 3 3 5" xfId="16845"/>
    <cellStyle name="Normal 3 3 3 3 6" xfId="21080"/>
    <cellStyle name="Normal 3 3 3 3 7" xfId="25318"/>
    <cellStyle name="Normal 3 3 3 3 8" xfId="29396"/>
    <cellStyle name="Normal 3 3 3 3 9" xfId="3312"/>
    <cellStyle name="Normal 3 3 3 4" xfId="2451"/>
    <cellStyle name="Normal 3 3 3 4 2" xfId="7428"/>
    <cellStyle name="Normal 3 3 3 4 3" xfId="11717"/>
    <cellStyle name="Normal 3 3 3 4 4" xfId="15995"/>
    <cellStyle name="Normal 3 3 3 4 5" xfId="20238"/>
    <cellStyle name="Normal 3 3 3 4 6" xfId="24484"/>
    <cellStyle name="Normal 3 3 3 4 7" xfId="28589"/>
    <cellStyle name="Normal 3 3 3 5" xfId="4435"/>
    <cellStyle name="Normal 3 3 3 5 2" xfId="9409"/>
    <cellStyle name="Normal 3 3 3 5 3" xfId="13686"/>
    <cellStyle name="Normal 3 3 3 5 4" xfId="17946"/>
    <cellStyle name="Normal 3 3 3 5 5" xfId="22164"/>
    <cellStyle name="Normal 3 3 3 5 6" xfId="26360"/>
    <cellStyle name="Normal 3 3 3 5 7" xfId="30256"/>
    <cellStyle name="Normal 3 3 3 6" xfId="5784"/>
    <cellStyle name="Normal 3 3 3 6 2" xfId="10756"/>
    <cellStyle name="Normal 3 3 3 6 3" xfId="15034"/>
    <cellStyle name="Normal 3 3 3 6 4" xfId="19291"/>
    <cellStyle name="Normal 3 3 3 6 5" xfId="23508"/>
    <cellStyle name="Normal 3 3 3 6 6" xfId="27694"/>
    <cellStyle name="Normal 3 3 3 6 7" xfId="31573"/>
    <cellStyle name="Normal 3 3 3 7" xfId="6658"/>
    <cellStyle name="Normal 3 3 3 8" xfId="9029"/>
    <cellStyle name="Normal 3 3 3 9" xfId="13312"/>
    <cellStyle name="Normal 3 3 4" xfId="336"/>
    <cellStyle name="Normal 3 3 4 10" xfId="17719"/>
    <cellStyle name="Normal 3 3 4 11" xfId="21883"/>
    <cellStyle name="Normal 3 3 4 12" xfId="26149"/>
    <cellStyle name="Normal 3 3 4 13" xfId="1705"/>
    <cellStyle name="Normal 3 3 4 2" xfId="716"/>
    <cellStyle name="Normal 3 3 4 2 10" xfId="24091"/>
    <cellStyle name="Normal 3 3 4 2 11" xfId="28243"/>
    <cellStyle name="Normal 3 3 4 2 12" xfId="2035"/>
    <cellStyle name="Normal 3 3 4 2 2" xfId="1373"/>
    <cellStyle name="Normal 3 3 4 2 2 2" xfId="5404"/>
    <cellStyle name="Normal 3 3 4 2 2 2 2" xfId="10378"/>
    <cellStyle name="Normal 3 3 4 2 2 2 3" xfId="14655"/>
    <cellStyle name="Normal 3 3 4 2 2 2 4" xfId="18914"/>
    <cellStyle name="Normal 3 3 4 2 2 2 5" xfId="23133"/>
    <cellStyle name="Normal 3 3 4 2 2 2 6" xfId="27328"/>
    <cellStyle name="Normal 3 3 4 2 2 2 7" xfId="31224"/>
    <cellStyle name="Normal 3 3 4 2 2 3" xfId="8856"/>
    <cellStyle name="Normal 3 3 4 2 2 4" xfId="13141"/>
    <cellStyle name="Normal 3 3 4 2 2 5" xfId="17413"/>
    <cellStyle name="Normal 3 3 4 2 2 6" xfId="21647"/>
    <cellStyle name="Normal 3 3 4 2 2 7" xfId="25886"/>
    <cellStyle name="Normal 3 3 4 2 2 8" xfId="29960"/>
    <cellStyle name="Normal 3 3 4 2 2 9" xfId="3880"/>
    <cellStyle name="Normal 3 3 4 2 3" xfId="3049"/>
    <cellStyle name="Normal 3 3 4 2 3 2" xfId="8025"/>
    <cellStyle name="Normal 3 3 4 2 3 3" xfId="12313"/>
    <cellStyle name="Normal 3 3 4 2 3 4" xfId="16588"/>
    <cellStyle name="Normal 3 3 4 2 3 5" xfId="20826"/>
    <cellStyle name="Normal 3 3 4 2 3 6" xfId="25069"/>
    <cellStyle name="Normal 3 3 4 2 3 7" xfId="29155"/>
    <cellStyle name="Normal 3 3 4 2 4" xfId="4747"/>
    <cellStyle name="Normal 3 3 4 2 4 2" xfId="9721"/>
    <cellStyle name="Normal 3 3 4 2 4 3" xfId="13998"/>
    <cellStyle name="Normal 3 3 4 2 4 4" xfId="18257"/>
    <cellStyle name="Normal 3 3 4 2 4 5" xfId="22476"/>
    <cellStyle name="Normal 3 3 4 2 4 6" xfId="26671"/>
    <cellStyle name="Normal 3 3 4 2 4 7" xfId="30567"/>
    <cellStyle name="Normal 3 3 4 2 5" xfId="6095"/>
    <cellStyle name="Normal 3 3 4 2 5 2" xfId="11067"/>
    <cellStyle name="Normal 3 3 4 2 5 3" xfId="15345"/>
    <cellStyle name="Normal 3 3 4 2 5 4" xfId="19602"/>
    <cellStyle name="Normal 3 3 4 2 5 5" xfId="23819"/>
    <cellStyle name="Normal 3 3 4 2 5 6" xfId="28005"/>
    <cellStyle name="Normal 3 3 4 2 5 7" xfId="31884"/>
    <cellStyle name="Normal 3 3 4 2 6" xfId="7013"/>
    <cellStyle name="Normal 3 3 4 2 7" xfId="11305"/>
    <cellStyle name="Normal 3 3 4 2 8" xfId="15583"/>
    <cellStyle name="Normal 3 3 4 2 9" xfId="19840"/>
    <cellStyle name="Normal 3 3 4 3" xfId="1044"/>
    <cellStyle name="Normal 3 3 4 3 2" xfId="5075"/>
    <cellStyle name="Normal 3 3 4 3 2 2" xfId="10049"/>
    <cellStyle name="Normal 3 3 4 3 2 3" xfId="14326"/>
    <cellStyle name="Normal 3 3 4 3 2 4" xfId="18585"/>
    <cellStyle name="Normal 3 3 4 3 2 5" xfId="22804"/>
    <cellStyle name="Normal 3 3 4 3 2 6" xfId="26999"/>
    <cellStyle name="Normal 3 3 4 3 2 7" xfId="30895"/>
    <cellStyle name="Normal 3 3 4 3 3" xfId="8270"/>
    <cellStyle name="Normal 3 3 4 3 4" xfId="12555"/>
    <cellStyle name="Normal 3 3 4 3 5" xfId="16828"/>
    <cellStyle name="Normal 3 3 4 3 6" xfId="21064"/>
    <cellStyle name="Normal 3 3 4 3 7" xfId="25302"/>
    <cellStyle name="Normal 3 3 4 3 8" xfId="29380"/>
    <cellStyle name="Normal 3 3 4 3 9" xfId="3294"/>
    <cellStyle name="Normal 3 3 4 4" xfId="2416"/>
    <cellStyle name="Normal 3 3 4 4 2" xfId="7394"/>
    <cellStyle name="Normal 3 3 4 4 3" xfId="11683"/>
    <cellStyle name="Normal 3 3 4 4 4" xfId="15961"/>
    <cellStyle name="Normal 3 3 4 4 5" xfId="20209"/>
    <cellStyle name="Normal 3 3 4 4 6" xfId="24457"/>
    <cellStyle name="Normal 3 3 4 4 7" xfId="28573"/>
    <cellStyle name="Normal 3 3 4 5" xfId="4417"/>
    <cellStyle name="Normal 3 3 4 5 2" xfId="9391"/>
    <cellStyle name="Normal 3 3 4 5 3" xfId="13668"/>
    <cellStyle name="Normal 3 3 4 5 4" xfId="17928"/>
    <cellStyle name="Normal 3 3 4 5 5" xfId="22146"/>
    <cellStyle name="Normal 3 3 4 5 6" xfId="26342"/>
    <cellStyle name="Normal 3 3 4 5 7" xfId="30238"/>
    <cellStyle name="Normal 3 3 4 6" xfId="5766"/>
    <cellStyle name="Normal 3 3 4 6 2" xfId="10738"/>
    <cellStyle name="Normal 3 3 4 6 3" xfId="15016"/>
    <cellStyle name="Normal 3 3 4 6 4" xfId="19273"/>
    <cellStyle name="Normal 3 3 4 6 5" xfId="23490"/>
    <cellStyle name="Normal 3 3 4 6 6" xfId="27676"/>
    <cellStyle name="Normal 3 3 4 6 7" xfId="31555"/>
    <cellStyle name="Normal 3 3 4 7" xfId="6634"/>
    <cellStyle name="Normal 3 3 4 8" xfId="9175"/>
    <cellStyle name="Normal 3 3 4 9" xfId="13455"/>
    <cellStyle name="Normal 3 4" xfId="199"/>
    <cellStyle name="Normal 3 4 10" xfId="5695"/>
    <cellStyle name="Normal 3 4 10 2" xfId="10667"/>
    <cellStyle name="Normal 3 4 10 3" xfId="14945"/>
    <cellStyle name="Normal 3 4 10 4" xfId="19202"/>
    <cellStyle name="Normal 3 4 10 5" xfId="23419"/>
    <cellStyle name="Normal 3 4 10 6" xfId="27605"/>
    <cellStyle name="Normal 3 4 10 7" xfId="31484"/>
    <cellStyle name="Normal 3 4 11" xfId="6497"/>
    <cellStyle name="Normal 3 4 12" xfId="6399"/>
    <cellStyle name="Normal 3 4 13" xfId="9016"/>
    <cellStyle name="Normal 3 4 14" xfId="13298"/>
    <cellStyle name="Normal 3 4 15" xfId="6569"/>
    <cellStyle name="Normal 3 4 16" xfId="17691"/>
    <cellStyle name="Normal 3 4 17" xfId="1631"/>
    <cellStyle name="Normal 3 4 2" xfId="326"/>
    <cellStyle name="Normal 3 4 2 10" xfId="11581"/>
    <cellStyle name="Normal 3 4 2 11" xfId="15859"/>
    <cellStyle name="Normal 3 4 2 12" xfId="21806"/>
    <cellStyle name="Normal 3 4 2 13" xfId="24363"/>
    <cellStyle name="Normal 3 4 2 14" xfId="1698"/>
    <cellStyle name="Normal 3 4 2 2" xfId="489"/>
    <cellStyle name="Normal 3 4 2 2 10" xfId="6459"/>
    <cellStyle name="Normal 3 4 2 2 11" xfId="13367"/>
    <cellStyle name="Normal 3 4 2 2 12" xfId="21880"/>
    <cellStyle name="Normal 3 4 2 2 13" xfId="1852"/>
    <cellStyle name="Normal 3 4 2 2 2" xfId="863"/>
    <cellStyle name="Normal 3 4 2 2 2 10" xfId="24238"/>
    <cellStyle name="Normal 3 4 2 2 2 11" xfId="28390"/>
    <cellStyle name="Normal 3 4 2 2 2 12" xfId="2182"/>
    <cellStyle name="Normal 3 4 2 2 2 2" xfId="1520"/>
    <cellStyle name="Normal 3 4 2 2 2 2 2" xfId="5551"/>
    <cellStyle name="Normal 3 4 2 2 2 2 2 2" xfId="10525"/>
    <cellStyle name="Normal 3 4 2 2 2 2 2 3" xfId="14802"/>
    <cellStyle name="Normal 3 4 2 2 2 2 2 4" xfId="19061"/>
    <cellStyle name="Normal 3 4 2 2 2 2 2 5" xfId="23280"/>
    <cellStyle name="Normal 3 4 2 2 2 2 2 6" xfId="27475"/>
    <cellStyle name="Normal 3 4 2 2 2 2 2 7" xfId="31371"/>
    <cellStyle name="Normal 3 4 2 2 2 2 3" xfId="8857"/>
    <cellStyle name="Normal 3 4 2 2 2 2 4" xfId="13142"/>
    <cellStyle name="Normal 3 4 2 2 2 2 5" xfId="17414"/>
    <cellStyle name="Normal 3 4 2 2 2 2 6" xfId="21648"/>
    <cellStyle name="Normal 3 4 2 2 2 2 7" xfId="25887"/>
    <cellStyle name="Normal 3 4 2 2 2 2 8" xfId="29961"/>
    <cellStyle name="Normal 3 4 2 2 2 2 9" xfId="3881"/>
    <cellStyle name="Normal 3 4 2 2 2 3" xfId="3050"/>
    <cellStyle name="Normal 3 4 2 2 2 3 2" xfId="8026"/>
    <cellStyle name="Normal 3 4 2 2 2 3 3" xfId="12314"/>
    <cellStyle name="Normal 3 4 2 2 2 3 4" xfId="16589"/>
    <cellStyle name="Normal 3 4 2 2 2 3 5" xfId="20827"/>
    <cellStyle name="Normal 3 4 2 2 2 3 6" xfId="25070"/>
    <cellStyle name="Normal 3 4 2 2 2 3 7" xfId="29156"/>
    <cellStyle name="Normal 3 4 2 2 2 4" xfId="4894"/>
    <cellStyle name="Normal 3 4 2 2 2 4 2" xfId="9868"/>
    <cellStyle name="Normal 3 4 2 2 2 4 3" xfId="14145"/>
    <cellStyle name="Normal 3 4 2 2 2 4 4" xfId="18404"/>
    <cellStyle name="Normal 3 4 2 2 2 4 5" xfId="22623"/>
    <cellStyle name="Normal 3 4 2 2 2 4 6" xfId="26818"/>
    <cellStyle name="Normal 3 4 2 2 2 4 7" xfId="30714"/>
    <cellStyle name="Normal 3 4 2 2 2 5" xfId="6242"/>
    <cellStyle name="Normal 3 4 2 2 2 5 2" xfId="11214"/>
    <cellStyle name="Normal 3 4 2 2 2 5 3" xfId="15492"/>
    <cellStyle name="Normal 3 4 2 2 2 5 4" xfId="19749"/>
    <cellStyle name="Normal 3 4 2 2 2 5 5" xfId="23966"/>
    <cellStyle name="Normal 3 4 2 2 2 5 6" xfId="28152"/>
    <cellStyle name="Normal 3 4 2 2 2 5 7" xfId="32031"/>
    <cellStyle name="Normal 3 4 2 2 2 6" xfId="7160"/>
    <cellStyle name="Normal 3 4 2 2 2 7" xfId="11452"/>
    <cellStyle name="Normal 3 4 2 2 2 8" xfId="15730"/>
    <cellStyle name="Normal 3 4 2 2 2 9" xfId="19987"/>
    <cellStyle name="Normal 3 4 2 2 3" xfId="1191"/>
    <cellStyle name="Normal 3 4 2 2 3 2" xfId="5222"/>
    <cellStyle name="Normal 3 4 2 2 3 2 2" xfId="10196"/>
    <cellStyle name="Normal 3 4 2 2 3 2 3" xfId="14473"/>
    <cellStyle name="Normal 3 4 2 2 3 2 4" xfId="18732"/>
    <cellStyle name="Normal 3 4 2 2 3 2 5" xfId="22951"/>
    <cellStyle name="Normal 3 4 2 2 3 2 6" xfId="27146"/>
    <cellStyle name="Normal 3 4 2 2 3 2 7" xfId="31042"/>
    <cellStyle name="Normal 3 4 2 2 3 3" xfId="8417"/>
    <cellStyle name="Normal 3 4 2 2 3 4" xfId="12702"/>
    <cellStyle name="Normal 3 4 2 2 3 5" xfId="16974"/>
    <cellStyle name="Normal 3 4 2 2 3 6" xfId="21209"/>
    <cellStyle name="Normal 3 4 2 2 3 7" xfId="25447"/>
    <cellStyle name="Normal 3 4 2 2 3 8" xfId="29525"/>
    <cellStyle name="Normal 3 4 2 2 3 9" xfId="3441"/>
    <cellStyle name="Normal 3 4 2 2 4" xfId="2580"/>
    <cellStyle name="Normal 3 4 2 2 4 2" xfId="7557"/>
    <cellStyle name="Normal 3 4 2 2 4 3" xfId="11846"/>
    <cellStyle name="Normal 3 4 2 2 4 4" xfId="16124"/>
    <cellStyle name="Normal 3 4 2 2 4 5" xfId="20367"/>
    <cellStyle name="Normal 3 4 2 2 4 6" xfId="24613"/>
    <cellStyle name="Normal 3 4 2 2 4 7" xfId="28718"/>
    <cellStyle name="Normal 3 4 2 2 5" xfId="4564"/>
    <cellStyle name="Normal 3 4 2 2 5 2" xfId="9538"/>
    <cellStyle name="Normal 3 4 2 2 5 3" xfId="13815"/>
    <cellStyle name="Normal 3 4 2 2 5 4" xfId="18075"/>
    <cellStyle name="Normal 3 4 2 2 5 5" xfId="22293"/>
    <cellStyle name="Normal 3 4 2 2 5 6" xfId="26489"/>
    <cellStyle name="Normal 3 4 2 2 5 7" xfId="30385"/>
    <cellStyle name="Normal 3 4 2 2 6" xfId="5913"/>
    <cellStyle name="Normal 3 4 2 2 6 2" xfId="10885"/>
    <cellStyle name="Normal 3 4 2 2 6 3" xfId="15163"/>
    <cellStyle name="Normal 3 4 2 2 6 4" xfId="19420"/>
    <cellStyle name="Normal 3 4 2 2 6 5" xfId="23637"/>
    <cellStyle name="Normal 3 4 2 2 6 6" xfId="27823"/>
    <cellStyle name="Normal 3 4 2 2 6 7" xfId="31702"/>
    <cellStyle name="Normal 3 4 2 2 7" xfId="6787"/>
    <cellStyle name="Normal 3 4 2 2 8" xfId="6362"/>
    <cellStyle name="Normal 3 4 2 2 9" xfId="6347"/>
    <cellStyle name="Normal 3 4 2 3" xfId="709"/>
    <cellStyle name="Normal 3 4 2 3 10" xfId="24084"/>
    <cellStyle name="Normal 3 4 2 3 11" xfId="28236"/>
    <cellStyle name="Normal 3 4 2 3 12" xfId="2028"/>
    <cellStyle name="Normal 3 4 2 3 2" xfId="1366"/>
    <cellStyle name="Normal 3 4 2 3 2 2" xfId="5397"/>
    <cellStyle name="Normal 3 4 2 3 2 2 2" xfId="10371"/>
    <cellStyle name="Normal 3 4 2 3 2 2 3" xfId="14648"/>
    <cellStyle name="Normal 3 4 2 3 2 2 4" xfId="18907"/>
    <cellStyle name="Normal 3 4 2 3 2 2 5" xfId="23126"/>
    <cellStyle name="Normal 3 4 2 3 2 2 6" xfId="27321"/>
    <cellStyle name="Normal 3 4 2 3 2 2 7" xfId="31217"/>
    <cellStyle name="Normal 3 4 2 3 2 3" xfId="8858"/>
    <cellStyle name="Normal 3 4 2 3 2 4" xfId="13143"/>
    <cellStyle name="Normal 3 4 2 3 2 5" xfId="17415"/>
    <cellStyle name="Normal 3 4 2 3 2 6" xfId="21649"/>
    <cellStyle name="Normal 3 4 2 3 2 7" xfId="25888"/>
    <cellStyle name="Normal 3 4 2 3 2 8" xfId="29962"/>
    <cellStyle name="Normal 3 4 2 3 2 9" xfId="3882"/>
    <cellStyle name="Normal 3 4 2 3 3" xfId="3051"/>
    <cellStyle name="Normal 3 4 2 3 3 2" xfId="8027"/>
    <cellStyle name="Normal 3 4 2 3 3 3" xfId="12315"/>
    <cellStyle name="Normal 3 4 2 3 3 4" xfId="16590"/>
    <cellStyle name="Normal 3 4 2 3 3 5" xfId="20828"/>
    <cellStyle name="Normal 3 4 2 3 3 6" xfId="25071"/>
    <cellStyle name="Normal 3 4 2 3 3 7" xfId="29157"/>
    <cellStyle name="Normal 3 4 2 3 4" xfId="4740"/>
    <cellStyle name="Normal 3 4 2 3 4 2" xfId="9714"/>
    <cellStyle name="Normal 3 4 2 3 4 3" xfId="13991"/>
    <cellStyle name="Normal 3 4 2 3 4 4" xfId="18250"/>
    <cellStyle name="Normal 3 4 2 3 4 5" xfId="22469"/>
    <cellStyle name="Normal 3 4 2 3 4 6" xfId="26664"/>
    <cellStyle name="Normal 3 4 2 3 4 7" xfId="30560"/>
    <cellStyle name="Normal 3 4 2 3 5" xfId="6088"/>
    <cellStyle name="Normal 3 4 2 3 5 2" xfId="11060"/>
    <cellStyle name="Normal 3 4 2 3 5 3" xfId="15338"/>
    <cellStyle name="Normal 3 4 2 3 5 4" xfId="19595"/>
    <cellStyle name="Normal 3 4 2 3 5 5" xfId="23812"/>
    <cellStyle name="Normal 3 4 2 3 5 6" xfId="27998"/>
    <cellStyle name="Normal 3 4 2 3 5 7" xfId="31877"/>
    <cellStyle name="Normal 3 4 2 3 6" xfId="7006"/>
    <cellStyle name="Normal 3 4 2 3 7" xfId="11298"/>
    <cellStyle name="Normal 3 4 2 3 8" xfId="15576"/>
    <cellStyle name="Normal 3 4 2 3 9" xfId="19833"/>
    <cellStyle name="Normal 3 4 2 4" xfId="1037"/>
    <cellStyle name="Normal 3 4 2 4 2" xfId="5068"/>
    <cellStyle name="Normal 3 4 2 4 2 2" xfId="10042"/>
    <cellStyle name="Normal 3 4 2 4 2 3" xfId="14319"/>
    <cellStyle name="Normal 3 4 2 4 2 4" xfId="18578"/>
    <cellStyle name="Normal 3 4 2 4 2 5" xfId="22797"/>
    <cellStyle name="Normal 3 4 2 4 2 6" xfId="26992"/>
    <cellStyle name="Normal 3 4 2 4 2 7" xfId="30888"/>
    <cellStyle name="Normal 3 4 2 4 3" xfId="8274"/>
    <cellStyle name="Normal 3 4 2 4 4" xfId="12559"/>
    <cellStyle name="Normal 3 4 2 4 5" xfId="16832"/>
    <cellStyle name="Normal 3 4 2 4 6" xfId="21068"/>
    <cellStyle name="Normal 3 4 2 4 7" xfId="25306"/>
    <cellStyle name="Normal 3 4 2 4 8" xfId="29384"/>
    <cellStyle name="Normal 3 4 2 4 9" xfId="3298"/>
    <cellStyle name="Normal 3 4 2 5" xfId="2421"/>
    <cellStyle name="Normal 3 4 2 5 2" xfId="7399"/>
    <cellStyle name="Normal 3 4 2 5 3" xfId="11688"/>
    <cellStyle name="Normal 3 4 2 5 4" xfId="15966"/>
    <cellStyle name="Normal 3 4 2 5 5" xfId="20214"/>
    <cellStyle name="Normal 3 4 2 5 6" xfId="24461"/>
    <cellStyle name="Normal 3 4 2 5 7" xfId="28577"/>
    <cellStyle name="Normal 3 4 2 6" xfId="4410"/>
    <cellStyle name="Normal 3 4 2 6 2" xfId="9384"/>
    <cellStyle name="Normal 3 4 2 6 3" xfId="13661"/>
    <cellStyle name="Normal 3 4 2 6 4" xfId="17921"/>
    <cellStyle name="Normal 3 4 2 6 5" xfId="22139"/>
    <cellStyle name="Normal 3 4 2 6 6" xfId="26335"/>
    <cellStyle name="Normal 3 4 2 6 7" xfId="30231"/>
    <cellStyle name="Normal 3 4 2 7" xfId="5759"/>
    <cellStyle name="Normal 3 4 2 7 2" xfId="10731"/>
    <cellStyle name="Normal 3 4 2 7 3" xfId="15009"/>
    <cellStyle name="Normal 3 4 2 7 4" xfId="19266"/>
    <cellStyle name="Normal 3 4 2 7 5" xfId="23483"/>
    <cellStyle name="Normal 3 4 2 7 6" xfId="27669"/>
    <cellStyle name="Normal 3 4 2 7 7" xfId="31548"/>
    <cellStyle name="Normal 3 4 2 8" xfId="6624"/>
    <cellStyle name="Normal 3 4 2 9" xfId="7291"/>
    <cellStyle name="Normal 3 4 3" xfId="392"/>
    <cellStyle name="Normal 3 4 3 10" xfId="17635"/>
    <cellStyle name="Normal 3 4 3 11" xfId="21950"/>
    <cellStyle name="Normal 3 4 3 12" xfId="26082"/>
    <cellStyle name="Normal 3 4 3 13" xfId="1755"/>
    <cellStyle name="Normal 3 4 3 2" xfId="766"/>
    <cellStyle name="Normal 3 4 3 2 10" xfId="24141"/>
    <cellStyle name="Normal 3 4 3 2 11" xfId="28293"/>
    <cellStyle name="Normal 3 4 3 2 12" xfId="2085"/>
    <cellStyle name="Normal 3 4 3 2 2" xfId="1423"/>
    <cellStyle name="Normal 3 4 3 2 2 2" xfId="5454"/>
    <cellStyle name="Normal 3 4 3 2 2 2 2" xfId="10428"/>
    <cellStyle name="Normal 3 4 3 2 2 2 3" xfId="14705"/>
    <cellStyle name="Normal 3 4 3 2 2 2 4" xfId="18964"/>
    <cellStyle name="Normal 3 4 3 2 2 2 5" xfId="23183"/>
    <cellStyle name="Normal 3 4 3 2 2 2 6" xfId="27378"/>
    <cellStyle name="Normal 3 4 3 2 2 2 7" xfId="31274"/>
    <cellStyle name="Normal 3 4 3 2 2 3" xfId="8859"/>
    <cellStyle name="Normal 3 4 3 2 2 4" xfId="13144"/>
    <cellStyle name="Normal 3 4 3 2 2 5" xfId="17416"/>
    <cellStyle name="Normal 3 4 3 2 2 6" xfId="21650"/>
    <cellStyle name="Normal 3 4 3 2 2 7" xfId="25889"/>
    <cellStyle name="Normal 3 4 3 2 2 8" xfId="29963"/>
    <cellStyle name="Normal 3 4 3 2 2 9" xfId="3883"/>
    <cellStyle name="Normal 3 4 3 2 3" xfId="3052"/>
    <cellStyle name="Normal 3 4 3 2 3 2" xfId="8028"/>
    <cellStyle name="Normal 3 4 3 2 3 3" xfId="12316"/>
    <cellStyle name="Normal 3 4 3 2 3 4" xfId="16591"/>
    <cellStyle name="Normal 3 4 3 2 3 5" xfId="20829"/>
    <cellStyle name="Normal 3 4 3 2 3 6" xfId="25072"/>
    <cellStyle name="Normal 3 4 3 2 3 7" xfId="29158"/>
    <cellStyle name="Normal 3 4 3 2 4" xfId="4797"/>
    <cellStyle name="Normal 3 4 3 2 4 2" xfId="9771"/>
    <cellStyle name="Normal 3 4 3 2 4 3" xfId="14048"/>
    <cellStyle name="Normal 3 4 3 2 4 4" xfId="18307"/>
    <cellStyle name="Normal 3 4 3 2 4 5" xfId="22526"/>
    <cellStyle name="Normal 3 4 3 2 4 6" xfId="26721"/>
    <cellStyle name="Normal 3 4 3 2 4 7" xfId="30617"/>
    <cellStyle name="Normal 3 4 3 2 5" xfId="6145"/>
    <cellStyle name="Normal 3 4 3 2 5 2" xfId="11117"/>
    <cellStyle name="Normal 3 4 3 2 5 3" xfId="15395"/>
    <cellStyle name="Normal 3 4 3 2 5 4" xfId="19652"/>
    <cellStyle name="Normal 3 4 3 2 5 5" xfId="23869"/>
    <cellStyle name="Normal 3 4 3 2 5 6" xfId="28055"/>
    <cellStyle name="Normal 3 4 3 2 5 7" xfId="31934"/>
    <cellStyle name="Normal 3 4 3 2 6" xfId="7063"/>
    <cellStyle name="Normal 3 4 3 2 7" xfId="11355"/>
    <cellStyle name="Normal 3 4 3 2 8" xfId="15633"/>
    <cellStyle name="Normal 3 4 3 2 9" xfId="19890"/>
    <cellStyle name="Normal 3 4 3 3" xfId="1094"/>
    <cellStyle name="Normal 3 4 3 3 2" xfId="5125"/>
    <cellStyle name="Normal 3 4 3 3 2 2" xfId="10099"/>
    <cellStyle name="Normal 3 4 3 3 2 3" xfId="14376"/>
    <cellStyle name="Normal 3 4 3 3 2 4" xfId="18635"/>
    <cellStyle name="Normal 3 4 3 3 2 5" xfId="22854"/>
    <cellStyle name="Normal 3 4 3 3 2 6" xfId="27049"/>
    <cellStyle name="Normal 3 4 3 3 2 7" xfId="30945"/>
    <cellStyle name="Normal 3 4 3 3 3" xfId="8320"/>
    <cellStyle name="Normal 3 4 3 3 4" xfId="12605"/>
    <cellStyle name="Normal 3 4 3 3 5" xfId="16877"/>
    <cellStyle name="Normal 3 4 3 3 6" xfId="21112"/>
    <cellStyle name="Normal 3 4 3 3 7" xfId="25350"/>
    <cellStyle name="Normal 3 4 3 3 8" xfId="29428"/>
    <cellStyle name="Normal 3 4 3 3 9" xfId="3344"/>
    <cellStyle name="Normal 3 4 3 4" xfId="2483"/>
    <cellStyle name="Normal 3 4 3 4 2" xfId="7460"/>
    <cellStyle name="Normal 3 4 3 4 3" xfId="11749"/>
    <cellStyle name="Normal 3 4 3 4 4" xfId="16027"/>
    <cellStyle name="Normal 3 4 3 4 5" xfId="20270"/>
    <cellStyle name="Normal 3 4 3 4 6" xfId="24516"/>
    <cellStyle name="Normal 3 4 3 4 7" xfId="28621"/>
    <cellStyle name="Normal 3 4 3 5" xfId="4467"/>
    <cellStyle name="Normal 3 4 3 5 2" xfId="9441"/>
    <cellStyle name="Normal 3 4 3 5 3" xfId="13718"/>
    <cellStyle name="Normal 3 4 3 5 4" xfId="17978"/>
    <cellStyle name="Normal 3 4 3 5 5" xfId="22196"/>
    <cellStyle name="Normal 3 4 3 5 6" xfId="26392"/>
    <cellStyle name="Normal 3 4 3 5 7" xfId="30288"/>
    <cellStyle name="Normal 3 4 3 6" xfId="5816"/>
    <cellStyle name="Normal 3 4 3 6 2" xfId="10788"/>
    <cellStyle name="Normal 3 4 3 6 3" xfId="15066"/>
    <cellStyle name="Normal 3 4 3 6 4" xfId="19323"/>
    <cellStyle name="Normal 3 4 3 6 5" xfId="23540"/>
    <cellStyle name="Normal 3 4 3 6 6" xfId="27726"/>
    <cellStyle name="Normal 3 4 3 6 7" xfId="31605"/>
    <cellStyle name="Normal 3 4 3 7" xfId="6690"/>
    <cellStyle name="Normal 3 4 3 8" xfId="9084"/>
    <cellStyle name="Normal 3 4 3 9" xfId="13366"/>
    <cellStyle name="Normal 3 4 4" xfId="544"/>
    <cellStyle name="Normal 3 4 4 10" xfId="8941"/>
    <cellStyle name="Normal 3 4 4 11" xfId="21945"/>
    <cellStyle name="Normal 3 4 4 12" xfId="6349"/>
    <cellStyle name="Normal 3 4 4 13" xfId="1907"/>
    <cellStyle name="Normal 3 4 4 2" xfId="918"/>
    <cellStyle name="Normal 3 4 4 2 10" xfId="24293"/>
    <cellStyle name="Normal 3 4 4 2 11" xfId="28445"/>
    <cellStyle name="Normal 3 4 4 2 12" xfId="2237"/>
    <cellStyle name="Normal 3 4 4 2 2" xfId="1575"/>
    <cellStyle name="Normal 3 4 4 2 2 2" xfId="5606"/>
    <cellStyle name="Normal 3 4 4 2 2 2 2" xfId="10580"/>
    <cellStyle name="Normal 3 4 4 2 2 2 3" xfId="14857"/>
    <cellStyle name="Normal 3 4 4 2 2 2 4" xfId="19116"/>
    <cellStyle name="Normal 3 4 4 2 2 2 5" xfId="23335"/>
    <cellStyle name="Normal 3 4 4 2 2 2 6" xfId="27530"/>
    <cellStyle name="Normal 3 4 4 2 2 2 7" xfId="31426"/>
    <cellStyle name="Normal 3 4 4 2 2 3" xfId="8860"/>
    <cellStyle name="Normal 3 4 4 2 2 4" xfId="13145"/>
    <cellStyle name="Normal 3 4 4 2 2 5" xfId="17417"/>
    <cellStyle name="Normal 3 4 4 2 2 6" xfId="21651"/>
    <cellStyle name="Normal 3 4 4 2 2 7" xfId="25890"/>
    <cellStyle name="Normal 3 4 4 2 2 8" xfId="29964"/>
    <cellStyle name="Normal 3 4 4 2 2 9" xfId="3884"/>
    <cellStyle name="Normal 3 4 4 2 3" xfId="3053"/>
    <cellStyle name="Normal 3 4 4 2 3 2" xfId="8029"/>
    <cellStyle name="Normal 3 4 4 2 3 3" xfId="12317"/>
    <cellStyle name="Normal 3 4 4 2 3 4" xfId="16592"/>
    <cellStyle name="Normal 3 4 4 2 3 5" xfId="20830"/>
    <cellStyle name="Normal 3 4 4 2 3 6" xfId="25073"/>
    <cellStyle name="Normal 3 4 4 2 3 7" xfId="29159"/>
    <cellStyle name="Normal 3 4 4 2 4" xfId="4949"/>
    <cellStyle name="Normal 3 4 4 2 4 2" xfId="9923"/>
    <cellStyle name="Normal 3 4 4 2 4 3" xfId="14200"/>
    <cellStyle name="Normal 3 4 4 2 4 4" xfId="18459"/>
    <cellStyle name="Normal 3 4 4 2 4 5" xfId="22678"/>
    <cellStyle name="Normal 3 4 4 2 4 6" xfId="26873"/>
    <cellStyle name="Normal 3 4 4 2 4 7" xfId="30769"/>
    <cellStyle name="Normal 3 4 4 2 5" xfId="6297"/>
    <cellStyle name="Normal 3 4 4 2 5 2" xfId="11269"/>
    <cellStyle name="Normal 3 4 4 2 5 3" xfId="15547"/>
    <cellStyle name="Normal 3 4 4 2 5 4" xfId="19804"/>
    <cellStyle name="Normal 3 4 4 2 5 5" xfId="24021"/>
    <cellStyle name="Normal 3 4 4 2 5 6" xfId="28207"/>
    <cellStyle name="Normal 3 4 4 2 5 7" xfId="32086"/>
    <cellStyle name="Normal 3 4 4 2 6" xfId="7215"/>
    <cellStyle name="Normal 3 4 4 2 7" xfId="11507"/>
    <cellStyle name="Normal 3 4 4 2 8" xfId="15785"/>
    <cellStyle name="Normal 3 4 4 2 9" xfId="20042"/>
    <cellStyle name="Normal 3 4 4 3" xfId="1246"/>
    <cellStyle name="Normal 3 4 4 3 2" xfId="5277"/>
    <cellStyle name="Normal 3 4 4 3 2 2" xfId="10251"/>
    <cellStyle name="Normal 3 4 4 3 2 3" xfId="14528"/>
    <cellStyle name="Normal 3 4 4 3 2 4" xfId="18787"/>
    <cellStyle name="Normal 3 4 4 3 2 5" xfId="23006"/>
    <cellStyle name="Normal 3 4 4 3 2 6" xfId="27201"/>
    <cellStyle name="Normal 3 4 4 3 2 7" xfId="31097"/>
    <cellStyle name="Normal 3 4 4 3 3" xfId="8485"/>
    <cellStyle name="Normal 3 4 4 3 4" xfId="12770"/>
    <cellStyle name="Normal 3 4 4 3 5" xfId="17042"/>
    <cellStyle name="Normal 3 4 4 3 6" xfId="21277"/>
    <cellStyle name="Normal 3 4 4 3 7" xfId="25515"/>
    <cellStyle name="Normal 3 4 4 3 8" xfId="29593"/>
    <cellStyle name="Normal 3 4 4 3 9" xfId="3509"/>
    <cellStyle name="Normal 3 4 4 4" xfId="2652"/>
    <cellStyle name="Normal 3 4 4 4 2" xfId="7629"/>
    <cellStyle name="Normal 3 4 4 4 3" xfId="11918"/>
    <cellStyle name="Normal 3 4 4 4 4" xfId="16194"/>
    <cellStyle name="Normal 3 4 4 4 5" xfId="20436"/>
    <cellStyle name="Normal 3 4 4 4 6" xfId="24683"/>
    <cellStyle name="Normal 3 4 4 4 7" xfId="28786"/>
    <cellStyle name="Normal 3 4 4 5" xfId="4619"/>
    <cellStyle name="Normal 3 4 4 5 2" xfId="9593"/>
    <cellStyle name="Normal 3 4 4 5 3" xfId="13870"/>
    <cellStyle name="Normal 3 4 4 5 4" xfId="18130"/>
    <cellStyle name="Normal 3 4 4 5 5" xfId="22348"/>
    <cellStyle name="Normal 3 4 4 5 6" xfId="26544"/>
    <cellStyle name="Normal 3 4 4 5 7" xfId="30440"/>
    <cellStyle name="Normal 3 4 4 6" xfId="5968"/>
    <cellStyle name="Normal 3 4 4 6 2" xfId="10940"/>
    <cellStyle name="Normal 3 4 4 6 3" xfId="15218"/>
    <cellStyle name="Normal 3 4 4 6 4" xfId="19475"/>
    <cellStyle name="Normal 3 4 4 6 5" xfId="23692"/>
    <cellStyle name="Normal 3 4 4 6 6" xfId="27878"/>
    <cellStyle name="Normal 3 4 4 6 7" xfId="31757"/>
    <cellStyle name="Normal 3 4 4 7" xfId="6842"/>
    <cellStyle name="Normal 3 4 4 8" xfId="6316"/>
    <cellStyle name="Normal 3 4 4 9" xfId="6352"/>
    <cellStyle name="Normal 3 4 5" xfId="645"/>
    <cellStyle name="Normal 3 4 5 10" xfId="15892"/>
    <cellStyle name="Normal 3 4 5 11" xfId="21970"/>
    <cellStyle name="Normal 3 4 5 12" xfId="24390"/>
    <cellStyle name="Normal 3 4 5 13" xfId="1964"/>
    <cellStyle name="Normal 3 4 5 2" xfId="1302"/>
    <cellStyle name="Normal 3 4 5 2 10" xfId="3055"/>
    <cellStyle name="Normal 3 4 5 2 2" xfId="3886"/>
    <cellStyle name="Normal 3 4 5 2 2 2" xfId="8862"/>
    <cellStyle name="Normal 3 4 5 2 2 3" xfId="13147"/>
    <cellStyle name="Normal 3 4 5 2 2 4" xfId="17419"/>
    <cellStyle name="Normal 3 4 5 2 2 5" xfId="21653"/>
    <cellStyle name="Normal 3 4 5 2 2 6" xfId="25892"/>
    <cellStyle name="Normal 3 4 5 2 2 7" xfId="29966"/>
    <cellStyle name="Normal 3 4 5 2 3" xfId="5333"/>
    <cellStyle name="Normal 3 4 5 2 3 2" xfId="10307"/>
    <cellStyle name="Normal 3 4 5 2 3 3" xfId="14584"/>
    <cellStyle name="Normal 3 4 5 2 3 4" xfId="18843"/>
    <cellStyle name="Normal 3 4 5 2 3 5" xfId="23062"/>
    <cellStyle name="Normal 3 4 5 2 3 6" xfId="27257"/>
    <cellStyle name="Normal 3 4 5 2 3 7" xfId="31153"/>
    <cellStyle name="Normal 3 4 5 2 4" xfId="8031"/>
    <cellStyle name="Normal 3 4 5 2 5" xfId="12319"/>
    <cellStyle name="Normal 3 4 5 2 6" xfId="16594"/>
    <cellStyle name="Normal 3 4 5 2 7" xfId="20832"/>
    <cellStyle name="Normal 3 4 5 2 8" xfId="25075"/>
    <cellStyle name="Normal 3 4 5 2 9" xfId="29161"/>
    <cellStyle name="Normal 3 4 5 3" xfId="3885"/>
    <cellStyle name="Normal 3 4 5 3 2" xfId="8861"/>
    <cellStyle name="Normal 3 4 5 3 3" xfId="13146"/>
    <cellStyle name="Normal 3 4 5 3 4" xfId="17418"/>
    <cellStyle name="Normal 3 4 5 3 5" xfId="21652"/>
    <cellStyle name="Normal 3 4 5 3 6" xfId="25891"/>
    <cellStyle name="Normal 3 4 5 3 7" xfId="29965"/>
    <cellStyle name="Normal 3 4 5 4" xfId="3054"/>
    <cellStyle name="Normal 3 4 5 4 2" xfId="8030"/>
    <cellStyle name="Normal 3 4 5 4 3" xfId="12318"/>
    <cellStyle name="Normal 3 4 5 4 4" xfId="16593"/>
    <cellStyle name="Normal 3 4 5 4 5" xfId="20831"/>
    <cellStyle name="Normal 3 4 5 4 6" xfId="25074"/>
    <cellStyle name="Normal 3 4 5 4 7" xfId="29160"/>
    <cellStyle name="Normal 3 4 5 5" xfId="4676"/>
    <cellStyle name="Normal 3 4 5 5 2" xfId="9650"/>
    <cellStyle name="Normal 3 4 5 5 3" xfId="13927"/>
    <cellStyle name="Normal 3 4 5 5 4" xfId="18186"/>
    <cellStyle name="Normal 3 4 5 5 5" xfId="22405"/>
    <cellStyle name="Normal 3 4 5 5 6" xfId="26600"/>
    <cellStyle name="Normal 3 4 5 5 7" xfId="30496"/>
    <cellStyle name="Normal 3 4 5 6" xfId="6024"/>
    <cellStyle name="Normal 3 4 5 6 2" xfId="10996"/>
    <cellStyle name="Normal 3 4 5 6 3" xfId="15274"/>
    <cellStyle name="Normal 3 4 5 6 4" xfId="19531"/>
    <cellStyle name="Normal 3 4 5 6 5" xfId="23748"/>
    <cellStyle name="Normal 3 4 5 6 6" xfId="27934"/>
    <cellStyle name="Normal 3 4 5 6 7" xfId="31813"/>
    <cellStyle name="Normal 3 4 5 7" xfId="6942"/>
    <cellStyle name="Normal 3 4 5 8" xfId="7324"/>
    <cellStyle name="Normal 3 4 5 9" xfId="11613"/>
    <cellStyle name="Normal 3 4 6" xfId="973"/>
    <cellStyle name="Normal 3 4 6 10" xfId="3056"/>
    <cellStyle name="Normal 3 4 6 2" xfId="3887"/>
    <cellStyle name="Normal 3 4 6 2 2" xfId="8863"/>
    <cellStyle name="Normal 3 4 6 2 3" xfId="13148"/>
    <cellStyle name="Normal 3 4 6 2 4" xfId="17420"/>
    <cellStyle name="Normal 3 4 6 2 5" xfId="21654"/>
    <cellStyle name="Normal 3 4 6 2 6" xfId="25893"/>
    <cellStyle name="Normal 3 4 6 2 7" xfId="29967"/>
    <cellStyle name="Normal 3 4 6 3" xfId="5004"/>
    <cellStyle name="Normal 3 4 6 3 2" xfId="9978"/>
    <cellStyle name="Normal 3 4 6 3 3" xfId="14255"/>
    <cellStyle name="Normal 3 4 6 3 4" xfId="18514"/>
    <cellStyle name="Normal 3 4 6 3 5" xfId="22733"/>
    <cellStyle name="Normal 3 4 6 3 6" xfId="26928"/>
    <cellStyle name="Normal 3 4 6 3 7" xfId="30824"/>
    <cellStyle name="Normal 3 4 6 4" xfId="8032"/>
    <cellStyle name="Normal 3 4 6 5" xfId="12320"/>
    <cellStyle name="Normal 3 4 6 6" xfId="16595"/>
    <cellStyle name="Normal 3 4 6 7" xfId="20833"/>
    <cellStyle name="Normal 3 4 6 8" xfId="25076"/>
    <cellStyle name="Normal 3 4 6 9" xfId="29162"/>
    <cellStyle name="Normal 3 4 7" xfId="3217"/>
    <cellStyle name="Normal 3 4 7 2" xfId="8193"/>
    <cellStyle name="Normal 3 4 7 3" xfId="12479"/>
    <cellStyle name="Normal 3 4 7 4" xfId="16752"/>
    <cellStyle name="Normal 3 4 7 5" xfId="20989"/>
    <cellStyle name="Normal 3 4 7 6" xfId="25228"/>
    <cellStyle name="Normal 3 4 7 7" xfId="29309"/>
    <cellStyle name="Normal 3 4 8" xfId="2317"/>
    <cellStyle name="Normal 3 4 8 2" xfId="7295"/>
    <cellStyle name="Normal 3 4 8 3" xfId="11585"/>
    <cellStyle name="Normal 3 4 8 4" xfId="15863"/>
    <cellStyle name="Normal 3 4 8 5" xfId="20116"/>
    <cellStyle name="Normal 3 4 8 6" xfId="24367"/>
    <cellStyle name="Normal 3 4 8 7" xfId="28501"/>
    <cellStyle name="Normal 3 4 9" xfId="4345"/>
    <cellStyle name="Normal 3 4 9 2" xfId="9319"/>
    <cellStyle name="Normal 3 4 9 3" xfId="13596"/>
    <cellStyle name="Normal 3 4 9 4" xfId="17856"/>
    <cellStyle name="Normal 3 4 9 5" xfId="22075"/>
    <cellStyle name="Normal 3 4 9 6" xfId="26271"/>
    <cellStyle name="Normal 3 4 9 7" xfId="30167"/>
    <cellStyle name="Normal 3 5" xfId="201"/>
    <cellStyle name="Normal 3 5 2" xfId="355"/>
    <cellStyle name="Normal 3 5 3" xfId="396"/>
    <cellStyle name="Normal 3 5 3 10" xfId="17732"/>
    <cellStyle name="Normal 3 5 3 11" xfId="21877"/>
    <cellStyle name="Normal 3 5 3 12" xfId="26159"/>
    <cellStyle name="Normal 3 5 3 13" xfId="1759"/>
    <cellStyle name="Normal 3 5 3 2" xfId="770"/>
    <cellStyle name="Normal 3 5 3 2 10" xfId="24145"/>
    <cellStyle name="Normal 3 5 3 2 11" xfId="28297"/>
    <cellStyle name="Normal 3 5 3 2 12" xfId="2089"/>
    <cellStyle name="Normal 3 5 3 2 2" xfId="1427"/>
    <cellStyle name="Normal 3 5 3 2 2 2" xfId="5458"/>
    <cellStyle name="Normal 3 5 3 2 2 2 2" xfId="10432"/>
    <cellStyle name="Normal 3 5 3 2 2 2 3" xfId="14709"/>
    <cellStyle name="Normal 3 5 3 2 2 2 4" xfId="18968"/>
    <cellStyle name="Normal 3 5 3 2 2 2 5" xfId="23187"/>
    <cellStyle name="Normal 3 5 3 2 2 2 6" xfId="27382"/>
    <cellStyle name="Normal 3 5 3 2 2 2 7" xfId="31278"/>
    <cellStyle name="Normal 3 5 3 2 2 3" xfId="8864"/>
    <cellStyle name="Normal 3 5 3 2 2 4" xfId="13149"/>
    <cellStyle name="Normal 3 5 3 2 2 5" xfId="17421"/>
    <cellStyle name="Normal 3 5 3 2 2 6" xfId="21655"/>
    <cellStyle name="Normal 3 5 3 2 2 7" xfId="25894"/>
    <cellStyle name="Normal 3 5 3 2 2 8" xfId="29968"/>
    <cellStyle name="Normal 3 5 3 2 2 9" xfId="3888"/>
    <cellStyle name="Normal 3 5 3 2 3" xfId="3057"/>
    <cellStyle name="Normal 3 5 3 2 3 2" xfId="8033"/>
    <cellStyle name="Normal 3 5 3 2 3 3" xfId="12321"/>
    <cellStyle name="Normal 3 5 3 2 3 4" xfId="16596"/>
    <cellStyle name="Normal 3 5 3 2 3 5" xfId="20834"/>
    <cellStyle name="Normal 3 5 3 2 3 6" xfId="25077"/>
    <cellStyle name="Normal 3 5 3 2 3 7" xfId="29163"/>
    <cellStyle name="Normal 3 5 3 2 4" xfId="4801"/>
    <cellStyle name="Normal 3 5 3 2 4 2" xfId="9775"/>
    <cellStyle name="Normal 3 5 3 2 4 3" xfId="14052"/>
    <cellStyle name="Normal 3 5 3 2 4 4" xfId="18311"/>
    <cellStyle name="Normal 3 5 3 2 4 5" xfId="22530"/>
    <cellStyle name="Normal 3 5 3 2 4 6" xfId="26725"/>
    <cellStyle name="Normal 3 5 3 2 4 7" xfId="30621"/>
    <cellStyle name="Normal 3 5 3 2 5" xfId="6149"/>
    <cellStyle name="Normal 3 5 3 2 5 2" xfId="11121"/>
    <cellStyle name="Normal 3 5 3 2 5 3" xfId="15399"/>
    <cellStyle name="Normal 3 5 3 2 5 4" xfId="19656"/>
    <cellStyle name="Normal 3 5 3 2 5 5" xfId="23873"/>
    <cellStyle name="Normal 3 5 3 2 5 6" xfId="28059"/>
    <cellStyle name="Normal 3 5 3 2 5 7" xfId="31938"/>
    <cellStyle name="Normal 3 5 3 2 6" xfId="7067"/>
    <cellStyle name="Normal 3 5 3 2 7" xfId="11359"/>
    <cellStyle name="Normal 3 5 3 2 8" xfId="15637"/>
    <cellStyle name="Normal 3 5 3 2 9" xfId="19894"/>
    <cellStyle name="Normal 3 5 3 3" xfId="1098"/>
    <cellStyle name="Normal 3 5 3 3 2" xfId="5129"/>
    <cellStyle name="Normal 3 5 3 3 2 2" xfId="10103"/>
    <cellStyle name="Normal 3 5 3 3 2 3" xfId="14380"/>
    <cellStyle name="Normal 3 5 3 3 2 4" xfId="18639"/>
    <cellStyle name="Normal 3 5 3 3 2 5" xfId="22858"/>
    <cellStyle name="Normal 3 5 3 3 2 6" xfId="27053"/>
    <cellStyle name="Normal 3 5 3 3 2 7" xfId="30949"/>
    <cellStyle name="Normal 3 5 3 3 3" xfId="8324"/>
    <cellStyle name="Normal 3 5 3 3 4" xfId="12609"/>
    <cellStyle name="Normal 3 5 3 3 5" xfId="16881"/>
    <cellStyle name="Normal 3 5 3 3 6" xfId="21116"/>
    <cellStyle name="Normal 3 5 3 3 7" xfId="25354"/>
    <cellStyle name="Normal 3 5 3 3 8" xfId="29432"/>
    <cellStyle name="Normal 3 5 3 3 9" xfId="3348"/>
    <cellStyle name="Normal 3 5 3 4" xfId="2487"/>
    <cellStyle name="Normal 3 5 3 4 2" xfId="7464"/>
    <cellStyle name="Normal 3 5 3 4 3" xfId="11753"/>
    <cellStyle name="Normal 3 5 3 4 4" xfId="16031"/>
    <cellStyle name="Normal 3 5 3 4 5" xfId="20274"/>
    <cellStyle name="Normal 3 5 3 4 6" xfId="24520"/>
    <cellStyle name="Normal 3 5 3 4 7" xfId="28625"/>
    <cellStyle name="Normal 3 5 3 5" xfId="4471"/>
    <cellStyle name="Normal 3 5 3 5 2" xfId="9445"/>
    <cellStyle name="Normal 3 5 3 5 3" xfId="13722"/>
    <cellStyle name="Normal 3 5 3 5 4" xfId="17982"/>
    <cellStyle name="Normal 3 5 3 5 5" xfId="22200"/>
    <cellStyle name="Normal 3 5 3 5 6" xfId="26396"/>
    <cellStyle name="Normal 3 5 3 5 7" xfId="30292"/>
    <cellStyle name="Normal 3 5 3 6" xfId="5820"/>
    <cellStyle name="Normal 3 5 3 6 2" xfId="10792"/>
    <cellStyle name="Normal 3 5 3 6 3" xfId="15070"/>
    <cellStyle name="Normal 3 5 3 6 4" xfId="19327"/>
    <cellStyle name="Normal 3 5 3 6 5" xfId="23544"/>
    <cellStyle name="Normal 3 5 3 6 6" xfId="27730"/>
    <cellStyle name="Normal 3 5 3 6 7" xfId="31609"/>
    <cellStyle name="Normal 3 5 3 7" xfId="6694"/>
    <cellStyle name="Normal 3 5 3 8" xfId="9190"/>
    <cellStyle name="Normal 3 5 3 9" xfId="13470"/>
    <cellStyle name="Normal 3 5 4" xfId="337"/>
    <cellStyle name="Normal 3 5 4 10" xfId="17580"/>
    <cellStyle name="Normal 3 5 4 11" xfId="21755"/>
    <cellStyle name="Normal 3 5 4 12" xfId="26035"/>
    <cellStyle name="Normal 3 5 4 13" xfId="1706"/>
    <cellStyle name="Normal 3 5 4 2" xfId="717"/>
    <cellStyle name="Normal 3 5 4 2 10" xfId="24092"/>
    <cellStyle name="Normal 3 5 4 2 11" xfId="28244"/>
    <cellStyle name="Normal 3 5 4 2 12" xfId="2036"/>
    <cellStyle name="Normal 3 5 4 2 2" xfId="1374"/>
    <cellStyle name="Normal 3 5 4 2 2 2" xfId="5405"/>
    <cellStyle name="Normal 3 5 4 2 2 2 2" xfId="10379"/>
    <cellStyle name="Normal 3 5 4 2 2 2 3" xfId="14656"/>
    <cellStyle name="Normal 3 5 4 2 2 2 4" xfId="18915"/>
    <cellStyle name="Normal 3 5 4 2 2 2 5" xfId="23134"/>
    <cellStyle name="Normal 3 5 4 2 2 2 6" xfId="27329"/>
    <cellStyle name="Normal 3 5 4 2 2 2 7" xfId="31225"/>
    <cellStyle name="Normal 3 5 4 2 2 3" xfId="8865"/>
    <cellStyle name="Normal 3 5 4 2 2 4" xfId="13150"/>
    <cellStyle name="Normal 3 5 4 2 2 5" xfId="17422"/>
    <cellStyle name="Normal 3 5 4 2 2 6" xfId="21656"/>
    <cellStyle name="Normal 3 5 4 2 2 7" xfId="25895"/>
    <cellStyle name="Normal 3 5 4 2 2 8" xfId="29969"/>
    <cellStyle name="Normal 3 5 4 2 2 9" xfId="3889"/>
    <cellStyle name="Normal 3 5 4 2 3" xfId="3058"/>
    <cellStyle name="Normal 3 5 4 2 3 2" xfId="8034"/>
    <cellStyle name="Normal 3 5 4 2 3 3" xfId="12322"/>
    <cellStyle name="Normal 3 5 4 2 3 4" xfId="16597"/>
    <cellStyle name="Normal 3 5 4 2 3 5" xfId="20835"/>
    <cellStyle name="Normal 3 5 4 2 3 6" xfId="25078"/>
    <cellStyle name="Normal 3 5 4 2 3 7" xfId="29164"/>
    <cellStyle name="Normal 3 5 4 2 4" xfId="4748"/>
    <cellStyle name="Normal 3 5 4 2 4 2" xfId="9722"/>
    <cellStyle name="Normal 3 5 4 2 4 3" xfId="13999"/>
    <cellStyle name="Normal 3 5 4 2 4 4" xfId="18258"/>
    <cellStyle name="Normal 3 5 4 2 4 5" xfId="22477"/>
    <cellStyle name="Normal 3 5 4 2 4 6" xfId="26672"/>
    <cellStyle name="Normal 3 5 4 2 4 7" xfId="30568"/>
    <cellStyle name="Normal 3 5 4 2 5" xfId="6096"/>
    <cellStyle name="Normal 3 5 4 2 5 2" xfId="11068"/>
    <cellStyle name="Normal 3 5 4 2 5 3" xfId="15346"/>
    <cellStyle name="Normal 3 5 4 2 5 4" xfId="19603"/>
    <cellStyle name="Normal 3 5 4 2 5 5" xfId="23820"/>
    <cellStyle name="Normal 3 5 4 2 5 6" xfId="28006"/>
    <cellStyle name="Normal 3 5 4 2 5 7" xfId="31885"/>
    <cellStyle name="Normal 3 5 4 2 6" xfId="7014"/>
    <cellStyle name="Normal 3 5 4 2 7" xfId="11306"/>
    <cellStyle name="Normal 3 5 4 2 8" xfId="15584"/>
    <cellStyle name="Normal 3 5 4 2 9" xfId="19841"/>
    <cellStyle name="Normal 3 5 4 3" xfId="1045"/>
    <cellStyle name="Normal 3 5 4 3 2" xfId="5076"/>
    <cellStyle name="Normal 3 5 4 3 2 2" xfId="10050"/>
    <cellStyle name="Normal 3 5 4 3 2 3" xfId="14327"/>
    <cellStyle name="Normal 3 5 4 3 2 4" xfId="18586"/>
    <cellStyle name="Normal 3 5 4 3 2 5" xfId="22805"/>
    <cellStyle name="Normal 3 5 4 3 2 6" xfId="27000"/>
    <cellStyle name="Normal 3 5 4 3 2 7" xfId="30896"/>
    <cellStyle name="Normal 3 5 4 3 3" xfId="8268"/>
    <cellStyle name="Normal 3 5 4 3 4" xfId="12553"/>
    <cellStyle name="Normal 3 5 4 3 5" xfId="16826"/>
    <cellStyle name="Normal 3 5 4 3 6" xfId="21062"/>
    <cellStyle name="Normal 3 5 4 3 7" xfId="25300"/>
    <cellStyle name="Normal 3 5 4 3 8" xfId="29378"/>
    <cellStyle name="Normal 3 5 4 3 9" xfId="3292"/>
    <cellStyle name="Normal 3 5 4 4" xfId="2414"/>
    <cellStyle name="Normal 3 5 4 4 2" xfId="7392"/>
    <cellStyle name="Normal 3 5 4 4 3" xfId="11681"/>
    <cellStyle name="Normal 3 5 4 4 4" xfId="15959"/>
    <cellStyle name="Normal 3 5 4 4 5" xfId="20207"/>
    <cellStyle name="Normal 3 5 4 4 6" xfId="24455"/>
    <cellStyle name="Normal 3 5 4 4 7" xfId="28571"/>
    <cellStyle name="Normal 3 5 4 5" xfId="4418"/>
    <cellStyle name="Normal 3 5 4 5 2" xfId="9392"/>
    <cellStyle name="Normal 3 5 4 5 3" xfId="13669"/>
    <cellStyle name="Normal 3 5 4 5 4" xfId="17929"/>
    <cellStyle name="Normal 3 5 4 5 5" xfId="22147"/>
    <cellStyle name="Normal 3 5 4 5 6" xfId="26343"/>
    <cellStyle name="Normal 3 5 4 5 7" xfId="30239"/>
    <cellStyle name="Normal 3 5 4 6" xfId="5767"/>
    <cellStyle name="Normal 3 5 4 6 2" xfId="10739"/>
    <cellStyle name="Normal 3 5 4 6 3" xfId="15017"/>
    <cellStyle name="Normal 3 5 4 6 4" xfId="19274"/>
    <cellStyle name="Normal 3 5 4 6 5" xfId="23491"/>
    <cellStyle name="Normal 3 5 4 6 6" xfId="27677"/>
    <cellStyle name="Normal 3 5 4 6 7" xfId="31556"/>
    <cellStyle name="Normal 3 5 4 7" xfId="6635"/>
    <cellStyle name="Normal 3 5 4 8" xfId="9024"/>
    <cellStyle name="Normal 3 5 4 9" xfId="13307"/>
    <cellStyle name="Normal 3 6" xfId="98"/>
    <cellStyle name="Normal 3 6 10" xfId="6494"/>
    <cellStyle name="Normal 3 6 11" xfId="9101"/>
    <cellStyle name="Normal 3 6 12" xfId="13382"/>
    <cellStyle name="Normal 3 6 13" xfId="20140"/>
    <cellStyle name="Normal 3 6 14" xfId="19122"/>
    <cellStyle name="Normal 3 6 15" xfId="1594"/>
    <cellStyle name="Normal 3 6 2" xfId="458"/>
    <cellStyle name="Normal 3 6 2 10" xfId="17752"/>
    <cellStyle name="Normal 3 6 2 11" xfId="17746"/>
    <cellStyle name="Normal 3 6 2 12" xfId="26172"/>
    <cellStyle name="Normal 3 6 2 13" xfId="1821"/>
    <cellStyle name="Normal 3 6 2 2" xfId="832"/>
    <cellStyle name="Normal 3 6 2 2 10" xfId="24207"/>
    <cellStyle name="Normal 3 6 2 2 11" xfId="28359"/>
    <cellStyle name="Normal 3 6 2 2 12" xfId="2151"/>
    <cellStyle name="Normal 3 6 2 2 2" xfId="1489"/>
    <cellStyle name="Normal 3 6 2 2 2 2" xfId="5520"/>
    <cellStyle name="Normal 3 6 2 2 2 2 2" xfId="10494"/>
    <cellStyle name="Normal 3 6 2 2 2 2 3" xfId="14771"/>
    <cellStyle name="Normal 3 6 2 2 2 2 4" xfId="19030"/>
    <cellStyle name="Normal 3 6 2 2 2 2 5" xfId="23249"/>
    <cellStyle name="Normal 3 6 2 2 2 2 6" xfId="27444"/>
    <cellStyle name="Normal 3 6 2 2 2 2 7" xfId="31340"/>
    <cellStyle name="Normal 3 6 2 2 2 3" xfId="8866"/>
    <cellStyle name="Normal 3 6 2 2 2 4" xfId="13151"/>
    <cellStyle name="Normal 3 6 2 2 2 5" xfId="17423"/>
    <cellStyle name="Normal 3 6 2 2 2 6" xfId="21657"/>
    <cellStyle name="Normal 3 6 2 2 2 7" xfId="25896"/>
    <cellStyle name="Normal 3 6 2 2 2 8" xfId="29970"/>
    <cellStyle name="Normal 3 6 2 2 2 9" xfId="3890"/>
    <cellStyle name="Normal 3 6 2 2 3" xfId="3059"/>
    <cellStyle name="Normal 3 6 2 2 3 2" xfId="8035"/>
    <cellStyle name="Normal 3 6 2 2 3 3" xfId="12323"/>
    <cellStyle name="Normal 3 6 2 2 3 4" xfId="16598"/>
    <cellStyle name="Normal 3 6 2 2 3 5" xfId="20836"/>
    <cellStyle name="Normal 3 6 2 2 3 6" xfId="25079"/>
    <cellStyle name="Normal 3 6 2 2 3 7" xfId="29165"/>
    <cellStyle name="Normal 3 6 2 2 4" xfId="4863"/>
    <cellStyle name="Normal 3 6 2 2 4 2" xfId="9837"/>
    <cellStyle name="Normal 3 6 2 2 4 3" xfId="14114"/>
    <cellStyle name="Normal 3 6 2 2 4 4" xfId="18373"/>
    <cellStyle name="Normal 3 6 2 2 4 5" xfId="22592"/>
    <cellStyle name="Normal 3 6 2 2 4 6" xfId="26787"/>
    <cellStyle name="Normal 3 6 2 2 4 7" xfId="30683"/>
    <cellStyle name="Normal 3 6 2 2 5" xfId="6211"/>
    <cellStyle name="Normal 3 6 2 2 5 2" xfId="11183"/>
    <cellStyle name="Normal 3 6 2 2 5 3" xfId="15461"/>
    <cellStyle name="Normal 3 6 2 2 5 4" xfId="19718"/>
    <cellStyle name="Normal 3 6 2 2 5 5" xfId="23935"/>
    <cellStyle name="Normal 3 6 2 2 5 6" xfId="28121"/>
    <cellStyle name="Normal 3 6 2 2 5 7" xfId="32000"/>
    <cellStyle name="Normal 3 6 2 2 6" xfId="7129"/>
    <cellStyle name="Normal 3 6 2 2 7" xfId="11421"/>
    <cellStyle name="Normal 3 6 2 2 8" xfId="15699"/>
    <cellStyle name="Normal 3 6 2 2 9" xfId="19956"/>
    <cellStyle name="Normal 3 6 2 3" xfId="1160"/>
    <cellStyle name="Normal 3 6 2 3 2" xfId="5191"/>
    <cellStyle name="Normal 3 6 2 3 2 2" xfId="10165"/>
    <cellStyle name="Normal 3 6 2 3 2 3" xfId="14442"/>
    <cellStyle name="Normal 3 6 2 3 2 4" xfId="18701"/>
    <cellStyle name="Normal 3 6 2 3 2 5" xfId="22920"/>
    <cellStyle name="Normal 3 6 2 3 2 6" xfId="27115"/>
    <cellStyle name="Normal 3 6 2 3 2 7" xfId="31011"/>
    <cellStyle name="Normal 3 6 2 3 3" xfId="8386"/>
    <cellStyle name="Normal 3 6 2 3 4" xfId="12671"/>
    <cellStyle name="Normal 3 6 2 3 5" xfId="16943"/>
    <cellStyle name="Normal 3 6 2 3 6" xfId="21178"/>
    <cellStyle name="Normal 3 6 2 3 7" xfId="25416"/>
    <cellStyle name="Normal 3 6 2 3 8" xfId="29494"/>
    <cellStyle name="Normal 3 6 2 3 9" xfId="3410"/>
    <cellStyle name="Normal 3 6 2 4" xfId="2549"/>
    <cellStyle name="Normal 3 6 2 4 2" xfId="7526"/>
    <cellStyle name="Normal 3 6 2 4 3" xfId="11815"/>
    <cellStyle name="Normal 3 6 2 4 4" xfId="16093"/>
    <cellStyle name="Normal 3 6 2 4 5" xfId="20336"/>
    <cellStyle name="Normal 3 6 2 4 6" xfId="24582"/>
    <cellStyle name="Normal 3 6 2 4 7" xfId="28687"/>
    <cellStyle name="Normal 3 6 2 5" xfId="4533"/>
    <cellStyle name="Normal 3 6 2 5 2" xfId="9507"/>
    <cellStyle name="Normal 3 6 2 5 3" xfId="13784"/>
    <cellStyle name="Normal 3 6 2 5 4" xfId="18044"/>
    <cellStyle name="Normal 3 6 2 5 5" xfId="22262"/>
    <cellStyle name="Normal 3 6 2 5 6" xfId="26458"/>
    <cellStyle name="Normal 3 6 2 5 7" xfId="30354"/>
    <cellStyle name="Normal 3 6 2 6" xfId="5882"/>
    <cellStyle name="Normal 3 6 2 6 2" xfId="10854"/>
    <cellStyle name="Normal 3 6 2 6 3" xfId="15132"/>
    <cellStyle name="Normal 3 6 2 6 4" xfId="19389"/>
    <cellStyle name="Normal 3 6 2 6 5" xfId="23606"/>
    <cellStyle name="Normal 3 6 2 6 6" xfId="27792"/>
    <cellStyle name="Normal 3 6 2 6 7" xfId="31671"/>
    <cellStyle name="Normal 3 6 2 7" xfId="6756"/>
    <cellStyle name="Normal 3 6 2 8" xfId="9213"/>
    <cellStyle name="Normal 3 6 2 9" xfId="13491"/>
    <cellStyle name="Normal 3 6 3" xfId="347"/>
    <cellStyle name="Normal 3 6 3 10" xfId="20050"/>
    <cellStyle name="Normal 3 6 3 11" xfId="26077"/>
    <cellStyle name="Normal 3 6 3 12" xfId="1716"/>
    <cellStyle name="Normal 3 6 3 2" xfId="727"/>
    <cellStyle name="Normal 3 6 3 2 10" xfId="28254"/>
    <cellStyle name="Normal 3 6 3 2 11" xfId="2046"/>
    <cellStyle name="Normal 3 6 3 2 2" xfId="1384"/>
    <cellStyle name="Normal 3 6 3 2 2 2" xfId="5415"/>
    <cellStyle name="Normal 3 6 3 2 2 2 2" xfId="10389"/>
    <cellStyle name="Normal 3 6 3 2 2 2 3" xfId="14666"/>
    <cellStyle name="Normal 3 6 3 2 2 2 4" xfId="18925"/>
    <cellStyle name="Normal 3 6 3 2 2 2 5" xfId="23144"/>
    <cellStyle name="Normal 3 6 3 2 2 2 6" xfId="27339"/>
    <cellStyle name="Normal 3 6 3 2 2 2 7" xfId="31235"/>
    <cellStyle name="Normal 3 6 3 2 2 3" xfId="8867"/>
    <cellStyle name="Normal 3 6 3 2 2 4" xfId="13152"/>
    <cellStyle name="Normal 3 6 3 2 2 5" xfId="17424"/>
    <cellStyle name="Normal 3 6 3 2 2 6" xfId="21658"/>
    <cellStyle name="Normal 3 6 3 2 2 7" xfId="25897"/>
    <cellStyle name="Normal 3 6 3 2 2 8" xfId="29971"/>
    <cellStyle name="Normal 3 6 3 2 2 9" xfId="3891"/>
    <cellStyle name="Normal 3 6 3 2 3" xfId="4758"/>
    <cellStyle name="Normal 3 6 3 2 3 2" xfId="9732"/>
    <cellStyle name="Normal 3 6 3 2 3 3" xfId="14009"/>
    <cellStyle name="Normal 3 6 3 2 3 4" xfId="18268"/>
    <cellStyle name="Normal 3 6 3 2 3 5" xfId="22487"/>
    <cellStyle name="Normal 3 6 3 2 3 6" xfId="26682"/>
    <cellStyle name="Normal 3 6 3 2 3 7" xfId="30578"/>
    <cellStyle name="Normal 3 6 3 2 4" xfId="6106"/>
    <cellStyle name="Normal 3 6 3 2 4 2" xfId="11078"/>
    <cellStyle name="Normal 3 6 3 2 4 3" xfId="15356"/>
    <cellStyle name="Normal 3 6 3 2 4 4" xfId="19613"/>
    <cellStyle name="Normal 3 6 3 2 4 5" xfId="23830"/>
    <cellStyle name="Normal 3 6 3 2 4 6" xfId="28016"/>
    <cellStyle name="Normal 3 6 3 2 4 7" xfId="31895"/>
    <cellStyle name="Normal 3 6 3 2 5" xfId="7024"/>
    <cellStyle name="Normal 3 6 3 2 6" xfId="11316"/>
    <cellStyle name="Normal 3 6 3 2 7" xfId="15594"/>
    <cellStyle name="Normal 3 6 3 2 8" xfId="19851"/>
    <cellStyle name="Normal 3 6 3 2 9" xfId="24102"/>
    <cellStyle name="Normal 3 6 3 3" xfId="1055"/>
    <cellStyle name="Normal 3 6 3 3 2" xfId="5086"/>
    <cellStyle name="Normal 3 6 3 3 2 2" xfId="10060"/>
    <cellStyle name="Normal 3 6 3 3 2 3" xfId="14337"/>
    <cellStyle name="Normal 3 6 3 3 2 4" xfId="18596"/>
    <cellStyle name="Normal 3 6 3 3 2 5" xfId="22815"/>
    <cellStyle name="Normal 3 6 3 3 2 6" xfId="27010"/>
    <cellStyle name="Normal 3 6 3 3 2 7" xfId="30906"/>
    <cellStyle name="Normal 3 6 3 3 3" xfId="8036"/>
    <cellStyle name="Normal 3 6 3 3 4" xfId="12324"/>
    <cellStyle name="Normal 3 6 3 3 5" xfId="16599"/>
    <cellStyle name="Normal 3 6 3 3 6" xfId="20837"/>
    <cellStyle name="Normal 3 6 3 3 7" xfId="25080"/>
    <cellStyle name="Normal 3 6 3 3 8" xfId="29166"/>
    <cellStyle name="Normal 3 6 3 3 9" xfId="3060"/>
    <cellStyle name="Normal 3 6 3 4" xfId="4428"/>
    <cellStyle name="Normal 3 6 3 4 2" xfId="9402"/>
    <cellStyle name="Normal 3 6 3 4 3" xfId="13679"/>
    <cellStyle name="Normal 3 6 3 4 4" xfId="17939"/>
    <cellStyle name="Normal 3 6 3 4 5" xfId="22157"/>
    <cellStyle name="Normal 3 6 3 4 6" xfId="26353"/>
    <cellStyle name="Normal 3 6 3 4 7" xfId="30249"/>
    <cellStyle name="Normal 3 6 3 5" xfId="5777"/>
    <cellStyle name="Normal 3 6 3 5 2" xfId="10749"/>
    <cellStyle name="Normal 3 6 3 5 3" xfId="15027"/>
    <cellStyle name="Normal 3 6 3 5 4" xfId="19284"/>
    <cellStyle name="Normal 3 6 3 5 5" xfId="23501"/>
    <cellStyle name="Normal 3 6 3 5 6" xfId="27687"/>
    <cellStyle name="Normal 3 6 3 5 7" xfId="31566"/>
    <cellStyle name="Normal 3 6 3 6" xfId="6645"/>
    <cellStyle name="Normal 3 6 3 7" xfId="9079"/>
    <cellStyle name="Normal 3 6 3 8" xfId="13361"/>
    <cellStyle name="Normal 3 6 3 9" xfId="17630"/>
    <cellStyle name="Normal 3 6 4" xfId="507"/>
    <cellStyle name="Normal 3 6 4 10" xfId="13354"/>
    <cellStyle name="Normal 3 6 4 11" xfId="20232"/>
    <cellStyle name="Normal 3 6 4 12" xfId="1870"/>
    <cellStyle name="Normal 3 6 4 2" xfId="881"/>
    <cellStyle name="Normal 3 6 4 2 10" xfId="28408"/>
    <cellStyle name="Normal 3 6 4 2 11" xfId="2200"/>
    <cellStyle name="Normal 3 6 4 2 2" xfId="1538"/>
    <cellStyle name="Normal 3 6 4 2 2 2" xfId="10543"/>
    <cellStyle name="Normal 3 6 4 2 2 3" xfId="14820"/>
    <cellStyle name="Normal 3 6 4 2 2 4" xfId="19079"/>
    <cellStyle name="Normal 3 6 4 2 2 5" xfId="23298"/>
    <cellStyle name="Normal 3 6 4 2 2 6" xfId="27493"/>
    <cellStyle name="Normal 3 6 4 2 2 7" xfId="31389"/>
    <cellStyle name="Normal 3 6 4 2 2 8" xfId="5569"/>
    <cellStyle name="Normal 3 6 4 2 3" xfId="4912"/>
    <cellStyle name="Normal 3 6 4 2 3 2" xfId="9886"/>
    <cellStyle name="Normal 3 6 4 2 3 3" xfId="14163"/>
    <cellStyle name="Normal 3 6 4 2 3 4" xfId="18422"/>
    <cellStyle name="Normal 3 6 4 2 3 5" xfId="22641"/>
    <cellStyle name="Normal 3 6 4 2 3 6" xfId="26836"/>
    <cellStyle name="Normal 3 6 4 2 3 7" xfId="30732"/>
    <cellStyle name="Normal 3 6 4 2 4" xfId="6260"/>
    <cellStyle name="Normal 3 6 4 2 4 2" xfId="11232"/>
    <cellStyle name="Normal 3 6 4 2 4 3" xfId="15510"/>
    <cellStyle name="Normal 3 6 4 2 4 4" xfId="19767"/>
    <cellStyle name="Normal 3 6 4 2 4 5" xfId="23984"/>
    <cellStyle name="Normal 3 6 4 2 4 6" xfId="28170"/>
    <cellStyle name="Normal 3 6 4 2 4 7" xfId="32049"/>
    <cellStyle name="Normal 3 6 4 2 5" xfId="7178"/>
    <cellStyle name="Normal 3 6 4 2 6" xfId="11470"/>
    <cellStyle name="Normal 3 6 4 2 7" xfId="15748"/>
    <cellStyle name="Normal 3 6 4 2 8" xfId="20005"/>
    <cellStyle name="Normal 3 6 4 2 9" xfId="24256"/>
    <cellStyle name="Normal 3 6 4 3" xfId="1209"/>
    <cellStyle name="Normal 3 6 4 3 2" xfId="5240"/>
    <cellStyle name="Normal 3 6 4 3 2 2" xfId="10214"/>
    <cellStyle name="Normal 3 6 4 3 2 3" xfId="14491"/>
    <cellStyle name="Normal 3 6 4 3 2 4" xfId="18750"/>
    <cellStyle name="Normal 3 6 4 3 2 5" xfId="22969"/>
    <cellStyle name="Normal 3 6 4 3 2 6" xfId="27164"/>
    <cellStyle name="Normal 3 6 4 3 2 7" xfId="31060"/>
    <cellStyle name="Normal 3 6 4 3 3" xfId="8231"/>
    <cellStyle name="Normal 3 6 4 3 4" xfId="12516"/>
    <cellStyle name="Normal 3 6 4 3 5" xfId="16789"/>
    <cellStyle name="Normal 3 6 4 3 6" xfId="21026"/>
    <cellStyle name="Normal 3 6 4 3 7" xfId="25263"/>
    <cellStyle name="Normal 3 6 4 3 8" xfId="29342"/>
    <cellStyle name="Normal 3 6 4 3 9" xfId="3255"/>
    <cellStyle name="Normal 3 6 4 4" xfId="4582"/>
    <cellStyle name="Normal 3 6 4 4 2" xfId="9556"/>
    <cellStyle name="Normal 3 6 4 4 3" xfId="13833"/>
    <cellStyle name="Normal 3 6 4 4 4" xfId="18093"/>
    <cellStyle name="Normal 3 6 4 4 5" xfId="22311"/>
    <cellStyle name="Normal 3 6 4 4 6" xfId="26507"/>
    <cellStyle name="Normal 3 6 4 4 7" xfId="30403"/>
    <cellStyle name="Normal 3 6 4 5" xfId="5931"/>
    <cellStyle name="Normal 3 6 4 5 2" xfId="10903"/>
    <cellStyle name="Normal 3 6 4 5 3" xfId="15181"/>
    <cellStyle name="Normal 3 6 4 5 4" xfId="19438"/>
    <cellStyle name="Normal 3 6 4 5 5" xfId="23655"/>
    <cellStyle name="Normal 3 6 4 5 6" xfId="27841"/>
    <cellStyle name="Normal 3 6 4 5 7" xfId="31720"/>
    <cellStyle name="Normal 3 6 4 6" xfId="6805"/>
    <cellStyle name="Normal 3 6 4 7" xfId="6385"/>
    <cellStyle name="Normal 3 6 4 8" xfId="8076"/>
    <cellStyle name="Normal 3 6 4 9" xfId="12364"/>
    <cellStyle name="Normal 3 6 5" xfId="608"/>
    <cellStyle name="Normal 3 6 5 10" xfId="26092"/>
    <cellStyle name="Normal 3 6 5 11" xfId="1927"/>
    <cellStyle name="Normal 3 6 5 2" xfId="1265"/>
    <cellStyle name="Normal 3 6 5 2 2" xfId="10270"/>
    <cellStyle name="Normal 3 6 5 2 3" xfId="14547"/>
    <cellStyle name="Normal 3 6 5 2 4" xfId="18806"/>
    <cellStyle name="Normal 3 6 5 2 5" xfId="23025"/>
    <cellStyle name="Normal 3 6 5 2 6" xfId="27220"/>
    <cellStyle name="Normal 3 6 5 2 7" xfId="31116"/>
    <cellStyle name="Normal 3 6 5 2 8" xfId="5296"/>
    <cellStyle name="Normal 3 6 5 3" xfId="4639"/>
    <cellStyle name="Normal 3 6 5 3 2" xfId="9613"/>
    <cellStyle name="Normal 3 6 5 3 3" xfId="13890"/>
    <cellStyle name="Normal 3 6 5 3 4" xfId="18149"/>
    <cellStyle name="Normal 3 6 5 3 5" xfId="22368"/>
    <cellStyle name="Normal 3 6 5 3 6" xfId="26563"/>
    <cellStyle name="Normal 3 6 5 3 7" xfId="30459"/>
    <cellStyle name="Normal 3 6 5 4" xfId="5987"/>
    <cellStyle name="Normal 3 6 5 4 2" xfId="10959"/>
    <cellStyle name="Normal 3 6 5 4 3" xfId="15237"/>
    <cellStyle name="Normal 3 6 5 4 4" xfId="19494"/>
    <cellStyle name="Normal 3 6 5 4 5" xfId="23711"/>
    <cellStyle name="Normal 3 6 5 4 6" xfId="27897"/>
    <cellStyle name="Normal 3 6 5 4 7" xfId="31776"/>
    <cellStyle name="Normal 3 6 5 5" xfId="6905"/>
    <cellStyle name="Normal 3 6 5 6" xfId="9095"/>
    <cellStyle name="Normal 3 6 5 7" xfId="13377"/>
    <cellStyle name="Normal 3 6 5 8" xfId="17646"/>
    <cellStyle name="Normal 3 6 5 9" xfId="13440"/>
    <cellStyle name="Normal 3 6 6" xfId="936"/>
    <cellStyle name="Normal 3 6 6 2" xfId="4967"/>
    <cellStyle name="Normal 3 6 6 2 2" xfId="9941"/>
    <cellStyle name="Normal 3 6 6 2 3" xfId="14218"/>
    <cellStyle name="Normal 3 6 6 2 4" xfId="18477"/>
    <cellStyle name="Normal 3 6 6 2 5" xfId="22696"/>
    <cellStyle name="Normal 3 6 6 2 6" xfId="26891"/>
    <cellStyle name="Normal 3 6 6 2 7" xfId="30787"/>
    <cellStyle name="Normal 3 6 6 3" xfId="7348"/>
    <cellStyle name="Normal 3 6 6 4" xfId="11637"/>
    <cellStyle name="Normal 3 6 6 5" xfId="15916"/>
    <cellStyle name="Normal 3 6 6 6" xfId="20165"/>
    <cellStyle name="Normal 3 6 6 7" xfId="24413"/>
    <cellStyle name="Normal 3 6 6 8" xfId="28534"/>
    <cellStyle name="Normal 3 6 6 9" xfId="2370"/>
    <cellStyle name="Normal 3 6 7" xfId="4304"/>
    <cellStyle name="Normal 3 6 7 2" xfId="9278"/>
    <cellStyle name="Normal 3 6 7 3" xfId="13555"/>
    <cellStyle name="Normal 3 6 7 4" xfId="17815"/>
    <cellStyle name="Normal 3 6 7 5" xfId="22034"/>
    <cellStyle name="Normal 3 6 7 6" xfId="26232"/>
    <cellStyle name="Normal 3 6 7 7" xfId="30129"/>
    <cellStyle name="Normal 3 6 8" xfId="5660"/>
    <cellStyle name="Normal 3 6 8 2" xfId="10632"/>
    <cellStyle name="Normal 3 6 8 3" xfId="14910"/>
    <cellStyle name="Normal 3 6 8 4" xfId="19167"/>
    <cellStyle name="Normal 3 6 8 5" xfId="23384"/>
    <cellStyle name="Normal 3 6 8 6" xfId="27570"/>
    <cellStyle name="Normal 3 6 8 7" xfId="31449"/>
    <cellStyle name="Normal 3 6 9" xfId="6398"/>
    <cellStyle name="Normal 3 7" xfId="247"/>
    <cellStyle name="Normal 3 7 10" xfId="20048"/>
    <cellStyle name="Normal 3 7 11" xfId="26267"/>
    <cellStyle name="Normal 3 7 12" xfId="1651"/>
    <cellStyle name="Normal 3 7 2" xfId="665"/>
    <cellStyle name="Normal 3 7 2 10" xfId="24454"/>
    <cellStyle name="Normal 3 7 2 11" xfId="1984"/>
    <cellStyle name="Normal 3 7 2 2" xfId="1322"/>
    <cellStyle name="Normal 3 7 2 2 2" xfId="10327"/>
    <cellStyle name="Normal 3 7 2 2 3" xfId="14604"/>
    <cellStyle name="Normal 3 7 2 2 4" xfId="18863"/>
    <cellStyle name="Normal 3 7 2 2 5" xfId="23082"/>
    <cellStyle name="Normal 3 7 2 2 6" xfId="27277"/>
    <cellStyle name="Normal 3 7 2 2 7" xfId="31173"/>
    <cellStyle name="Normal 3 7 2 2 8" xfId="5353"/>
    <cellStyle name="Normal 3 7 2 3" xfId="4696"/>
    <cellStyle name="Normal 3 7 2 3 2" xfId="9670"/>
    <cellStyle name="Normal 3 7 2 3 3" xfId="13947"/>
    <cellStyle name="Normal 3 7 2 3 4" xfId="18206"/>
    <cellStyle name="Normal 3 7 2 3 5" xfId="22425"/>
    <cellStyle name="Normal 3 7 2 3 6" xfId="26620"/>
    <cellStyle name="Normal 3 7 2 3 7" xfId="30516"/>
    <cellStyle name="Normal 3 7 2 4" xfId="6044"/>
    <cellStyle name="Normal 3 7 2 4 2" xfId="11016"/>
    <cellStyle name="Normal 3 7 2 4 3" xfId="15294"/>
    <cellStyle name="Normal 3 7 2 4 4" xfId="19551"/>
    <cellStyle name="Normal 3 7 2 4 5" xfId="23768"/>
    <cellStyle name="Normal 3 7 2 4 6" xfId="27954"/>
    <cellStyle name="Normal 3 7 2 4 7" xfId="31833"/>
    <cellStyle name="Normal 3 7 2 5" xfId="6962"/>
    <cellStyle name="Normal 3 7 2 6" xfId="7391"/>
    <cellStyle name="Normal 3 7 2 7" xfId="11680"/>
    <cellStyle name="Normal 3 7 2 8" xfId="15958"/>
    <cellStyle name="Normal 3 7 2 9" xfId="24040"/>
    <cellStyle name="Normal 3 7 3" xfId="993"/>
    <cellStyle name="Normal 3 7 3 2" xfId="5024"/>
    <cellStyle name="Normal 3 7 3 2 2" xfId="9998"/>
    <cellStyle name="Normal 3 7 3 2 3" xfId="14275"/>
    <cellStyle name="Normal 3 7 3 2 4" xfId="18534"/>
    <cellStyle name="Normal 3 7 3 2 5" xfId="22753"/>
    <cellStyle name="Normal 3 7 3 2 6" xfId="26948"/>
    <cellStyle name="Normal 3 7 3 2 7" xfId="30844"/>
    <cellStyle name="Normal 3 7 3 3" xfId="2410"/>
    <cellStyle name="Normal 3 7 4" xfId="4365"/>
    <cellStyle name="Normal 3 7 4 2" xfId="9339"/>
    <cellStyle name="Normal 3 7 4 3" xfId="13616"/>
    <cellStyle name="Normal 3 7 4 4" xfId="17876"/>
    <cellStyle name="Normal 3 7 4 5" xfId="22095"/>
    <cellStyle name="Normal 3 7 4 6" xfId="26291"/>
    <cellStyle name="Normal 3 7 4 7" xfId="30187"/>
    <cellStyle name="Normal 3 7 5" xfId="5715"/>
    <cellStyle name="Normal 3 7 5 2" xfId="10687"/>
    <cellStyle name="Normal 3 7 5 3" xfId="14965"/>
    <cellStyle name="Normal 3 7 5 4" xfId="19222"/>
    <cellStyle name="Normal 3 7 5 5" xfId="23439"/>
    <cellStyle name="Normal 3 7 5 6" xfId="27625"/>
    <cellStyle name="Normal 3 7 5 7" xfId="31504"/>
    <cellStyle name="Normal 3 7 6" xfId="6545"/>
    <cellStyle name="Normal 3 7 7" xfId="9314"/>
    <cellStyle name="Normal 3 7 8" xfId="13591"/>
    <cellStyle name="Normal 3 7 9" xfId="17851"/>
    <cellStyle name="Normal 3 8" xfId="218"/>
    <cellStyle name="Normal 3 8 2" xfId="3061"/>
    <cellStyle name="Normal 3 8 2 2" xfId="3892"/>
    <cellStyle name="Normal 3 8 2 2 2" xfId="8868"/>
    <cellStyle name="Normal 3 8 2 2 3" xfId="13153"/>
    <cellStyle name="Normal 3 8 2 2 4" xfId="17425"/>
    <cellStyle name="Normal 3 8 2 2 5" xfId="21659"/>
    <cellStyle name="Normal 3 8 2 2 6" xfId="25898"/>
    <cellStyle name="Normal 3 8 2 2 7" xfId="29972"/>
    <cellStyle name="Normal 3 8 2 3" xfId="8037"/>
    <cellStyle name="Normal 3 8 2 4" xfId="12325"/>
    <cellStyle name="Normal 3 8 2 5" xfId="16600"/>
    <cellStyle name="Normal 3 8 2 6" xfId="20838"/>
    <cellStyle name="Normal 3 8 2 7" xfId="25081"/>
    <cellStyle name="Normal 3 8 2 8" xfId="29167"/>
    <cellStyle name="Normal 3 8 3" xfId="3474"/>
    <cellStyle name="Normal 3 8 3 2" xfId="8450"/>
    <cellStyle name="Normal 3 8 3 3" xfId="12735"/>
    <cellStyle name="Normal 3 8 3 4" xfId="17007"/>
    <cellStyle name="Normal 3 8 3 5" xfId="21242"/>
    <cellStyle name="Normal 3 8 3 6" xfId="25480"/>
    <cellStyle name="Normal 3 8 3 7" xfId="29558"/>
    <cellStyle name="Normal 3 8 4" xfId="2616"/>
    <cellStyle name="Normal 3 8 4 2" xfId="7593"/>
    <cellStyle name="Normal 3 8 4 3" xfId="11882"/>
    <cellStyle name="Normal 3 8 4 4" xfId="16158"/>
    <cellStyle name="Normal 3 8 4 5" xfId="20401"/>
    <cellStyle name="Normal 3 8 4 6" xfId="24647"/>
    <cellStyle name="Normal 3 8 4 7" xfId="28751"/>
    <cellStyle name="Normal 3 9" xfId="3062"/>
    <cellStyle name="Normal 3 9 2" xfId="3063"/>
    <cellStyle name="Normal 3 9 2 2" xfId="3894"/>
    <cellStyle name="Normal 3 9 2 2 2" xfId="8870"/>
    <cellStyle name="Normal 3 9 2 2 3" xfId="13155"/>
    <cellStyle name="Normal 3 9 2 2 4" xfId="17427"/>
    <cellStyle name="Normal 3 9 2 2 5" xfId="21661"/>
    <cellStyle name="Normal 3 9 2 2 6" xfId="25900"/>
    <cellStyle name="Normal 3 9 2 2 7" xfId="29974"/>
    <cellStyle name="Normal 3 9 2 3" xfId="8039"/>
    <cellStyle name="Normal 3 9 2 4" xfId="12327"/>
    <cellStyle name="Normal 3 9 2 5" xfId="16602"/>
    <cellStyle name="Normal 3 9 2 6" xfId="20840"/>
    <cellStyle name="Normal 3 9 2 7" xfId="25083"/>
    <cellStyle name="Normal 3 9 2 8" xfId="29169"/>
    <cellStyle name="Normal 3 9 3" xfId="3893"/>
    <cellStyle name="Normal 3 9 3 2" xfId="8869"/>
    <cellStyle name="Normal 3 9 3 3" xfId="13154"/>
    <cellStyle name="Normal 3 9 3 4" xfId="17426"/>
    <cellStyle name="Normal 3 9 3 5" xfId="21660"/>
    <cellStyle name="Normal 3 9 3 6" xfId="25899"/>
    <cellStyle name="Normal 3 9 3 7" xfId="29973"/>
    <cellStyle name="Normal 3 9 4" xfId="8038"/>
    <cellStyle name="Normal 3 9 5" xfId="12326"/>
    <cellStyle name="Normal 3 9 6" xfId="16601"/>
    <cellStyle name="Normal 3 9 7" xfId="20839"/>
    <cellStyle name="Normal 3 9 8" xfId="25082"/>
    <cellStyle name="Normal 3 9 9" xfId="29168"/>
    <cellStyle name="Normal 4" xfId="97"/>
    <cellStyle name="Normal 4 10" xfId="4303"/>
    <cellStyle name="Normal 4 10 2" xfId="9277"/>
    <cellStyle name="Normal 4 10 3" xfId="13554"/>
    <cellStyle name="Normal 4 10 4" xfId="17814"/>
    <cellStyle name="Normal 4 10 5" xfId="22033"/>
    <cellStyle name="Normal 4 10 6" xfId="26231"/>
    <cellStyle name="Normal 4 10 7" xfId="30128"/>
    <cellStyle name="Normal 4 11" xfId="5659"/>
    <cellStyle name="Normal 4 11 2" xfId="10631"/>
    <cellStyle name="Normal 4 11 3" xfId="14909"/>
    <cellStyle name="Normal 4 11 4" xfId="19166"/>
    <cellStyle name="Normal 4 11 5" xfId="23383"/>
    <cellStyle name="Normal 4 11 6" xfId="27569"/>
    <cellStyle name="Normal 4 11 7" xfId="31448"/>
    <cellStyle name="Normal 4 12" xfId="6397"/>
    <cellStyle name="Normal 4 13" xfId="6515"/>
    <cellStyle name="Normal 4 14" xfId="10586"/>
    <cellStyle name="Normal 4 15" xfId="14864"/>
    <cellStyle name="Normal 4 16" xfId="21798"/>
    <cellStyle name="Normal 4 17" xfId="21949"/>
    <cellStyle name="Normal 4 18" xfId="1593"/>
    <cellStyle name="Normal 4 2" xfId="178"/>
    <cellStyle name="Normal 4 2 10" xfId="4336"/>
    <cellStyle name="Normal 4 2 10 2" xfId="9310"/>
    <cellStyle name="Normal 4 2 10 3" xfId="13587"/>
    <cellStyle name="Normal 4 2 10 4" xfId="17847"/>
    <cellStyle name="Normal 4 2 10 5" xfId="22066"/>
    <cellStyle name="Normal 4 2 10 6" xfId="26264"/>
    <cellStyle name="Normal 4 2 10 7" xfId="30161"/>
    <cellStyle name="Normal 4 2 11" xfId="5691"/>
    <cellStyle name="Normal 4 2 11 2" xfId="10663"/>
    <cellStyle name="Normal 4 2 11 3" xfId="14941"/>
    <cellStyle name="Normal 4 2 11 4" xfId="19198"/>
    <cellStyle name="Normal 4 2 11 5" xfId="23415"/>
    <cellStyle name="Normal 4 2 11 6" xfId="27601"/>
    <cellStyle name="Normal 4 2 11 7" xfId="31480"/>
    <cellStyle name="Normal 4 2 12" xfId="6477"/>
    <cellStyle name="Normal 4 2 13" xfId="8133"/>
    <cellStyle name="Normal 4 2 14" xfId="12420"/>
    <cellStyle name="Normal 4 2 15" xfId="16695"/>
    <cellStyle name="Normal 4 2 16" xfId="17517"/>
    <cellStyle name="Normal 4 2 17" xfId="25172"/>
    <cellStyle name="Normal 4 2 18" xfId="1626"/>
    <cellStyle name="Normal 4 2 2" xfId="202"/>
    <cellStyle name="Normal 4 2 2 10" xfId="5697"/>
    <cellStyle name="Normal 4 2 2 10 2" xfId="10669"/>
    <cellStyle name="Normal 4 2 2 10 3" xfId="14947"/>
    <cellStyle name="Normal 4 2 2 10 4" xfId="19204"/>
    <cellStyle name="Normal 4 2 2 10 5" xfId="23421"/>
    <cellStyle name="Normal 4 2 2 10 6" xfId="27607"/>
    <cellStyle name="Normal 4 2 2 10 7" xfId="31486"/>
    <cellStyle name="Normal 4 2 2 11" xfId="6500"/>
    <cellStyle name="Normal 4 2 2 12" xfId="6533"/>
    <cellStyle name="Normal 4 2 2 13" xfId="9193"/>
    <cellStyle name="Normal 4 2 2 14" xfId="13473"/>
    <cellStyle name="Normal 4 2 2 15" xfId="21927"/>
    <cellStyle name="Normal 4 2 2 16" xfId="20087"/>
    <cellStyle name="Normal 4 2 2 17" xfId="1633"/>
    <cellStyle name="Normal 4 2 2 2" xfId="329"/>
    <cellStyle name="Normal 4 2 2 2 10" xfId="13396"/>
    <cellStyle name="Normal 4 2 2 2 11" xfId="17664"/>
    <cellStyle name="Normal 4 2 2 2 12" xfId="20090"/>
    <cellStyle name="Normal 4 2 2 2 13" xfId="26107"/>
    <cellStyle name="Normal 4 2 2 2 14" xfId="1701"/>
    <cellStyle name="Normal 4 2 2 2 2" xfId="491"/>
    <cellStyle name="Normal 4 2 2 2 2 10" xfId="6562"/>
    <cellStyle name="Normal 4 2 2 2 2 11" xfId="17690"/>
    <cellStyle name="Normal 4 2 2 2 2 12" xfId="20226"/>
    <cellStyle name="Normal 4 2 2 2 2 13" xfId="1854"/>
    <cellStyle name="Normal 4 2 2 2 2 2" xfId="865"/>
    <cellStyle name="Normal 4 2 2 2 2 2 10" xfId="24240"/>
    <cellStyle name="Normal 4 2 2 2 2 2 11" xfId="28392"/>
    <cellStyle name="Normal 4 2 2 2 2 2 12" xfId="2184"/>
    <cellStyle name="Normal 4 2 2 2 2 2 2" xfId="1522"/>
    <cellStyle name="Normal 4 2 2 2 2 2 2 2" xfId="5553"/>
    <cellStyle name="Normal 4 2 2 2 2 2 2 2 2" xfId="10527"/>
    <cellStyle name="Normal 4 2 2 2 2 2 2 2 3" xfId="14804"/>
    <cellStyle name="Normal 4 2 2 2 2 2 2 2 4" xfId="19063"/>
    <cellStyle name="Normal 4 2 2 2 2 2 2 2 5" xfId="23282"/>
    <cellStyle name="Normal 4 2 2 2 2 2 2 2 6" xfId="27477"/>
    <cellStyle name="Normal 4 2 2 2 2 2 2 2 7" xfId="31373"/>
    <cellStyle name="Normal 4 2 2 2 2 2 2 3" xfId="8871"/>
    <cellStyle name="Normal 4 2 2 2 2 2 2 4" xfId="13156"/>
    <cellStyle name="Normal 4 2 2 2 2 2 2 5" xfId="17428"/>
    <cellStyle name="Normal 4 2 2 2 2 2 2 6" xfId="21662"/>
    <cellStyle name="Normal 4 2 2 2 2 2 2 7" xfId="25901"/>
    <cellStyle name="Normal 4 2 2 2 2 2 2 8" xfId="29975"/>
    <cellStyle name="Normal 4 2 2 2 2 2 2 9" xfId="3895"/>
    <cellStyle name="Normal 4 2 2 2 2 2 3" xfId="3064"/>
    <cellStyle name="Normal 4 2 2 2 2 2 3 2" xfId="8040"/>
    <cellStyle name="Normal 4 2 2 2 2 2 3 3" xfId="12328"/>
    <cellStyle name="Normal 4 2 2 2 2 2 3 4" xfId="16603"/>
    <cellStyle name="Normal 4 2 2 2 2 2 3 5" xfId="20841"/>
    <cellStyle name="Normal 4 2 2 2 2 2 3 6" xfId="25084"/>
    <cellStyle name="Normal 4 2 2 2 2 2 3 7" xfId="29170"/>
    <cellStyle name="Normal 4 2 2 2 2 2 4" xfId="4896"/>
    <cellStyle name="Normal 4 2 2 2 2 2 4 2" xfId="9870"/>
    <cellStyle name="Normal 4 2 2 2 2 2 4 3" xfId="14147"/>
    <cellStyle name="Normal 4 2 2 2 2 2 4 4" xfId="18406"/>
    <cellStyle name="Normal 4 2 2 2 2 2 4 5" xfId="22625"/>
    <cellStyle name="Normal 4 2 2 2 2 2 4 6" xfId="26820"/>
    <cellStyle name="Normal 4 2 2 2 2 2 4 7" xfId="30716"/>
    <cellStyle name="Normal 4 2 2 2 2 2 5" xfId="6244"/>
    <cellStyle name="Normal 4 2 2 2 2 2 5 2" xfId="11216"/>
    <cellStyle name="Normal 4 2 2 2 2 2 5 3" xfId="15494"/>
    <cellStyle name="Normal 4 2 2 2 2 2 5 4" xfId="19751"/>
    <cellStyle name="Normal 4 2 2 2 2 2 5 5" xfId="23968"/>
    <cellStyle name="Normal 4 2 2 2 2 2 5 6" xfId="28154"/>
    <cellStyle name="Normal 4 2 2 2 2 2 5 7" xfId="32033"/>
    <cellStyle name="Normal 4 2 2 2 2 2 6" xfId="7162"/>
    <cellStyle name="Normal 4 2 2 2 2 2 7" xfId="11454"/>
    <cellStyle name="Normal 4 2 2 2 2 2 8" xfId="15732"/>
    <cellStyle name="Normal 4 2 2 2 2 2 9" xfId="19989"/>
    <cellStyle name="Normal 4 2 2 2 2 3" xfId="1193"/>
    <cellStyle name="Normal 4 2 2 2 2 3 2" xfId="5224"/>
    <cellStyle name="Normal 4 2 2 2 2 3 2 2" xfId="10198"/>
    <cellStyle name="Normal 4 2 2 2 2 3 2 3" xfId="14475"/>
    <cellStyle name="Normal 4 2 2 2 2 3 2 4" xfId="18734"/>
    <cellStyle name="Normal 4 2 2 2 2 3 2 5" xfId="22953"/>
    <cellStyle name="Normal 4 2 2 2 2 3 2 6" xfId="27148"/>
    <cellStyle name="Normal 4 2 2 2 2 3 2 7" xfId="31044"/>
    <cellStyle name="Normal 4 2 2 2 2 3 3" xfId="8419"/>
    <cellStyle name="Normal 4 2 2 2 2 3 4" xfId="12704"/>
    <cellStyle name="Normal 4 2 2 2 2 3 5" xfId="16976"/>
    <cellStyle name="Normal 4 2 2 2 2 3 6" xfId="21211"/>
    <cellStyle name="Normal 4 2 2 2 2 3 7" xfId="25449"/>
    <cellStyle name="Normal 4 2 2 2 2 3 8" xfId="29527"/>
    <cellStyle name="Normal 4 2 2 2 2 3 9" xfId="3443"/>
    <cellStyle name="Normal 4 2 2 2 2 4" xfId="2582"/>
    <cellStyle name="Normal 4 2 2 2 2 4 2" xfId="7559"/>
    <cellStyle name="Normal 4 2 2 2 2 4 3" xfId="11848"/>
    <cellStyle name="Normal 4 2 2 2 2 4 4" xfId="16126"/>
    <cellStyle name="Normal 4 2 2 2 2 4 5" xfId="20369"/>
    <cellStyle name="Normal 4 2 2 2 2 4 6" xfId="24615"/>
    <cellStyle name="Normal 4 2 2 2 2 4 7" xfId="28720"/>
    <cellStyle name="Normal 4 2 2 2 2 5" xfId="4566"/>
    <cellStyle name="Normal 4 2 2 2 2 5 2" xfId="9540"/>
    <cellStyle name="Normal 4 2 2 2 2 5 3" xfId="13817"/>
    <cellStyle name="Normal 4 2 2 2 2 5 4" xfId="18077"/>
    <cellStyle name="Normal 4 2 2 2 2 5 5" xfId="22295"/>
    <cellStyle name="Normal 4 2 2 2 2 5 6" xfId="26491"/>
    <cellStyle name="Normal 4 2 2 2 2 5 7" xfId="30387"/>
    <cellStyle name="Normal 4 2 2 2 2 6" xfId="5915"/>
    <cellStyle name="Normal 4 2 2 2 2 6 2" xfId="10887"/>
    <cellStyle name="Normal 4 2 2 2 2 6 3" xfId="15165"/>
    <cellStyle name="Normal 4 2 2 2 2 6 4" xfId="19422"/>
    <cellStyle name="Normal 4 2 2 2 2 6 5" xfId="23639"/>
    <cellStyle name="Normal 4 2 2 2 2 6 6" xfId="27825"/>
    <cellStyle name="Normal 4 2 2 2 2 6 7" xfId="31704"/>
    <cellStyle name="Normal 4 2 2 2 2 7" xfId="6789"/>
    <cellStyle name="Normal 4 2 2 2 2 8" xfId="6870"/>
    <cellStyle name="Normal 4 2 2 2 2 9" xfId="6312"/>
    <cellStyle name="Normal 4 2 2 2 3" xfId="712"/>
    <cellStyle name="Normal 4 2 2 2 3 10" xfId="24087"/>
    <cellStyle name="Normal 4 2 2 2 3 11" xfId="28239"/>
    <cellStyle name="Normal 4 2 2 2 3 12" xfId="2031"/>
    <cellStyle name="Normal 4 2 2 2 3 2" xfId="1369"/>
    <cellStyle name="Normal 4 2 2 2 3 2 2" xfId="5400"/>
    <cellStyle name="Normal 4 2 2 2 3 2 2 2" xfId="10374"/>
    <cellStyle name="Normal 4 2 2 2 3 2 2 3" xfId="14651"/>
    <cellStyle name="Normal 4 2 2 2 3 2 2 4" xfId="18910"/>
    <cellStyle name="Normal 4 2 2 2 3 2 2 5" xfId="23129"/>
    <cellStyle name="Normal 4 2 2 2 3 2 2 6" xfId="27324"/>
    <cellStyle name="Normal 4 2 2 2 3 2 2 7" xfId="31220"/>
    <cellStyle name="Normal 4 2 2 2 3 2 3" xfId="8872"/>
    <cellStyle name="Normal 4 2 2 2 3 2 4" xfId="13157"/>
    <cellStyle name="Normal 4 2 2 2 3 2 5" xfId="17429"/>
    <cellStyle name="Normal 4 2 2 2 3 2 6" xfId="21663"/>
    <cellStyle name="Normal 4 2 2 2 3 2 7" xfId="25902"/>
    <cellStyle name="Normal 4 2 2 2 3 2 8" xfId="29976"/>
    <cellStyle name="Normal 4 2 2 2 3 2 9" xfId="3896"/>
    <cellStyle name="Normal 4 2 2 2 3 3" xfId="3065"/>
    <cellStyle name="Normal 4 2 2 2 3 3 2" xfId="8041"/>
    <cellStyle name="Normal 4 2 2 2 3 3 3" xfId="12329"/>
    <cellStyle name="Normal 4 2 2 2 3 3 4" xfId="16604"/>
    <cellStyle name="Normal 4 2 2 2 3 3 5" xfId="20842"/>
    <cellStyle name="Normal 4 2 2 2 3 3 6" xfId="25085"/>
    <cellStyle name="Normal 4 2 2 2 3 3 7" xfId="29171"/>
    <cellStyle name="Normal 4 2 2 2 3 4" xfId="4743"/>
    <cellStyle name="Normal 4 2 2 2 3 4 2" xfId="9717"/>
    <cellStyle name="Normal 4 2 2 2 3 4 3" xfId="13994"/>
    <cellStyle name="Normal 4 2 2 2 3 4 4" xfId="18253"/>
    <cellStyle name="Normal 4 2 2 2 3 4 5" xfId="22472"/>
    <cellStyle name="Normal 4 2 2 2 3 4 6" xfId="26667"/>
    <cellStyle name="Normal 4 2 2 2 3 4 7" xfId="30563"/>
    <cellStyle name="Normal 4 2 2 2 3 5" xfId="6091"/>
    <cellStyle name="Normal 4 2 2 2 3 5 2" xfId="11063"/>
    <cellStyle name="Normal 4 2 2 2 3 5 3" xfId="15341"/>
    <cellStyle name="Normal 4 2 2 2 3 5 4" xfId="19598"/>
    <cellStyle name="Normal 4 2 2 2 3 5 5" xfId="23815"/>
    <cellStyle name="Normal 4 2 2 2 3 5 6" xfId="28001"/>
    <cellStyle name="Normal 4 2 2 2 3 5 7" xfId="31880"/>
    <cellStyle name="Normal 4 2 2 2 3 6" xfId="7009"/>
    <cellStyle name="Normal 4 2 2 2 3 7" xfId="11301"/>
    <cellStyle name="Normal 4 2 2 2 3 8" xfId="15579"/>
    <cellStyle name="Normal 4 2 2 2 3 9" xfId="19836"/>
    <cellStyle name="Normal 4 2 2 2 4" xfId="1040"/>
    <cellStyle name="Normal 4 2 2 2 4 2" xfId="5071"/>
    <cellStyle name="Normal 4 2 2 2 4 2 2" xfId="10045"/>
    <cellStyle name="Normal 4 2 2 2 4 2 3" xfId="14322"/>
    <cellStyle name="Normal 4 2 2 2 4 2 4" xfId="18581"/>
    <cellStyle name="Normal 4 2 2 2 4 2 5" xfId="22800"/>
    <cellStyle name="Normal 4 2 2 2 4 2 6" xfId="26995"/>
    <cellStyle name="Normal 4 2 2 2 4 2 7" xfId="30891"/>
    <cellStyle name="Normal 4 2 2 2 4 3" xfId="8276"/>
    <cellStyle name="Normal 4 2 2 2 4 4" xfId="12561"/>
    <cellStyle name="Normal 4 2 2 2 4 5" xfId="16834"/>
    <cellStyle name="Normal 4 2 2 2 4 6" xfId="21070"/>
    <cellStyle name="Normal 4 2 2 2 4 7" xfId="25308"/>
    <cellStyle name="Normal 4 2 2 2 4 8" xfId="29386"/>
    <cellStyle name="Normal 4 2 2 2 4 9" xfId="3300"/>
    <cellStyle name="Normal 4 2 2 2 5" xfId="2423"/>
    <cellStyle name="Normal 4 2 2 2 5 2" xfId="7401"/>
    <cellStyle name="Normal 4 2 2 2 5 3" xfId="11690"/>
    <cellStyle name="Normal 4 2 2 2 5 4" xfId="15968"/>
    <cellStyle name="Normal 4 2 2 2 5 5" xfId="20216"/>
    <cellStyle name="Normal 4 2 2 2 5 6" xfId="24463"/>
    <cellStyle name="Normal 4 2 2 2 5 7" xfId="28579"/>
    <cellStyle name="Normal 4 2 2 2 6" xfId="4413"/>
    <cellStyle name="Normal 4 2 2 2 6 2" xfId="9387"/>
    <cellStyle name="Normal 4 2 2 2 6 3" xfId="13664"/>
    <cellStyle name="Normal 4 2 2 2 6 4" xfId="17924"/>
    <cellStyle name="Normal 4 2 2 2 6 5" xfId="22142"/>
    <cellStyle name="Normal 4 2 2 2 6 6" xfId="26338"/>
    <cellStyle name="Normal 4 2 2 2 6 7" xfId="30234"/>
    <cellStyle name="Normal 4 2 2 2 7" xfId="5762"/>
    <cellStyle name="Normal 4 2 2 2 7 2" xfId="10734"/>
    <cellStyle name="Normal 4 2 2 2 7 3" xfId="15012"/>
    <cellStyle name="Normal 4 2 2 2 7 4" xfId="19269"/>
    <cellStyle name="Normal 4 2 2 2 7 5" xfId="23486"/>
    <cellStyle name="Normal 4 2 2 2 7 6" xfId="27672"/>
    <cellStyle name="Normal 4 2 2 2 7 7" xfId="31551"/>
    <cellStyle name="Normal 4 2 2 2 8" xfId="6627"/>
    <cellStyle name="Normal 4 2 2 2 9" xfId="9116"/>
    <cellStyle name="Normal 4 2 2 3" xfId="425"/>
    <cellStyle name="Normal 4 2 2 3 10" xfId="17587"/>
    <cellStyle name="Normal 4 2 2 3 11" xfId="21764"/>
    <cellStyle name="Normal 4 2 2 3 12" xfId="26040"/>
    <cellStyle name="Normal 4 2 2 3 13" xfId="1788"/>
    <cellStyle name="Normal 4 2 2 3 2" xfId="799"/>
    <cellStyle name="Normal 4 2 2 3 2 10" xfId="24174"/>
    <cellStyle name="Normal 4 2 2 3 2 11" xfId="28326"/>
    <cellStyle name="Normal 4 2 2 3 2 12" xfId="2118"/>
    <cellStyle name="Normal 4 2 2 3 2 2" xfId="1456"/>
    <cellStyle name="Normal 4 2 2 3 2 2 2" xfId="5487"/>
    <cellStyle name="Normal 4 2 2 3 2 2 2 2" xfId="10461"/>
    <cellStyle name="Normal 4 2 2 3 2 2 2 3" xfId="14738"/>
    <cellStyle name="Normal 4 2 2 3 2 2 2 4" xfId="18997"/>
    <cellStyle name="Normal 4 2 2 3 2 2 2 5" xfId="23216"/>
    <cellStyle name="Normal 4 2 2 3 2 2 2 6" xfId="27411"/>
    <cellStyle name="Normal 4 2 2 3 2 2 2 7" xfId="31307"/>
    <cellStyle name="Normal 4 2 2 3 2 2 3" xfId="8873"/>
    <cellStyle name="Normal 4 2 2 3 2 2 4" xfId="13158"/>
    <cellStyle name="Normal 4 2 2 3 2 2 5" xfId="17430"/>
    <cellStyle name="Normal 4 2 2 3 2 2 6" xfId="21664"/>
    <cellStyle name="Normal 4 2 2 3 2 2 7" xfId="25903"/>
    <cellStyle name="Normal 4 2 2 3 2 2 8" xfId="29977"/>
    <cellStyle name="Normal 4 2 2 3 2 2 9" xfId="3897"/>
    <cellStyle name="Normal 4 2 2 3 2 3" xfId="3066"/>
    <cellStyle name="Normal 4 2 2 3 2 3 2" xfId="8042"/>
    <cellStyle name="Normal 4 2 2 3 2 3 3" xfId="12330"/>
    <cellStyle name="Normal 4 2 2 3 2 3 4" xfId="16605"/>
    <cellStyle name="Normal 4 2 2 3 2 3 5" xfId="20843"/>
    <cellStyle name="Normal 4 2 2 3 2 3 6" xfId="25086"/>
    <cellStyle name="Normal 4 2 2 3 2 3 7" xfId="29172"/>
    <cellStyle name="Normal 4 2 2 3 2 4" xfId="4830"/>
    <cellStyle name="Normal 4 2 2 3 2 4 2" xfId="9804"/>
    <cellStyle name="Normal 4 2 2 3 2 4 3" xfId="14081"/>
    <cellStyle name="Normal 4 2 2 3 2 4 4" xfId="18340"/>
    <cellStyle name="Normal 4 2 2 3 2 4 5" xfId="22559"/>
    <cellStyle name="Normal 4 2 2 3 2 4 6" xfId="26754"/>
    <cellStyle name="Normal 4 2 2 3 2 4 7" xfId="30650"/>
    <cellStyle name="Normal 4 2 2 3 2 5" xfId="6178"/>
    <cellStyle name="Normal 4 2 2 3 2 5 2" xfId="11150"/>
    <cellStyle name="Normal 4 2 2 3 2 5 3" xfId="15428"/>
    <cellStyle name="Normal 4 2 2 3 2 5 4" xfId="19685"/>
    <cellStyle name="Normal 4 2 2 3 2 5 5" xfId="23902"/>
    <cellStyle name="Normal 4 2 2 3 2 5 6" xfId="28088"/>
    <cellStyle name="Normal 4 2 2 3 2 5 7" xfId="31967"/>
    <cellStyle name="Normal 4 2 2 3 2 6" xfId="7096"/>
    <cellStyle name="Normal 4 2 2 3 2 7" xfId="11388"/>
    <cellStyle name="Normal 4 2 2 3 2 8" xfId="15666"/>
    <cellStyle name="Normal 4 2 2 3 2 9" xfId="19923"/>
    <cellStyle name="Normal 4 2 2 3 3" xfId="1127"/>
    <cellStyle name="Normal 4 2 2 3 3 2" xfId="5158"/>
    <cellStyle name="Normal 4 2 2 3 3 2 2" xfId="10132"/>
    <cellStyle name="Normal 4 2 2 3 3 2 3" xfId="14409"/>
    <cellStyle name="Normal 4 2 2 3 3 2 4" xfId="18668"/>
    <cellStyle name="Normal 4 2 2 3 3 2 5" xfId="22887"/>
    <cellStyle name="Normal 4 2 2 3 3 2 6" xfId="27082"/>
    <cellStyle name="Normal 4 2 2 3 3 2 7" xfId="30978"/>
    <cellStyle name="Normal 4 2 2 3 3 3" xfId="8353"/>
    <cellStyle name="Normal 4 2 2 3 3 4" xfId="12638"/>
    <cellStyle name="Normal 4 2 2 3 3 5" xfId="16910"/>
    <cellStyle name="Normal 4 2 2 3 3 6" xfId="21145"/>
    <cellStyle name="Normal 4 2 2 3 3 7" xfId="25383"/>
    <cellStyle name="Normal 4 2 2 3 3 8" xfId="29461"/>
    <cellStyle name="Normal 4 2 2 3 3 9" xfId="3377"/>
    <cellStyle name="Normal 4 2 2 3 4" xfId="2516"/>
    <cellStyle name="Normal 4 2 2 3 4 2" xfId="7493"/>
    <cellStyle name="Normal 4 2 2 3 4 3" xfId="11782"/>
    <cellStyle name="Normal 4 2 2 3 4 4" xfId="16060"/>
    <cellStyle name="Normal 4 2 2 3 4 5" xfId="20303"/>
    <cellStyle name="Normal 4 2 2 3 4 6" xfId="24549"/>
    <cellStyle name="Normal 4 2 2 3 4 7" xfId="28654"/>
    <cellStyle name="Normal 4 2 2 3 5" xfId="4500"/>
    <cellStyle name="Normal 4 2 2 3 5 2" xfId="9474"/>
    <cellStyle name="Normal 4 2 2 3 5 3" xfId="13751"/>
    <cellStyle name="Normal 4 2 2 3 5 4" xfId="18011"/>
    <cellStyle name="Normal 4 2 2 3 5 5" xfId="22229"/>
    <cellStyle name="Normal 4 2 2 3 5 6" xfId="26425"/>
    <cellStyle name="Normal 4 2 2 3 5 7" xfId="30321"/>
    <cellStyle name="Normal 4 2 2 3 6" xfId="5849"/>
    <cellStyle name="Normal 4 2 2 3 6 2" xfId="10821"/>
    <cellStyle name="Normal 4 2 2 3 6 3" xfId="15099"/>
    <cellStyle name="Normal 4 2 2 3 6 4" xfId="19356"/>
    <cellStyle name="Normal 4 2 2 3 6 5" xfId="23573"/>
    <cellStyle name="Normal 4 2 2 3 6 6" xfId="27759"/>
    <cellStyle name="Normal 4 2 2 3 6 7" xfId="31638"/>
    <cellStyle name="Normal 4 2 2 3 7" xfId="6723"/>
    <cellStyle name="Normal 4 2 2 3 8" xfId="9031"/>
    <cellStyle name="Normal 4 2 2 3 9" xfId="13314"/>
    <cellStyle name="Normal 4 2 2 4" xfId="546"/>
    <cellStyle name="Normal 4 2 2 4 10" xfId="9074"/>
    <cellStyle name="Normal 4 2 2 4 11" xfId="13304"/>
    <cellStyle name="Normal 4 2 2 4 12" xfId="21931"/>
    <cellStyle name="Normal 4 2 2 4 13" xfId="1909"/>
    <cellStyle name="Normal 4 2 2 4 2" xfId="920"/>
    <cellStyle name="Normal 4 2 2 4 2 10" xfId="24295"/>
    <cellStyle name="Normal 4 2 2 4 2 11" xfId="28447"/>
    <cellStyle name="Normal 4 2 2 4 2 12" xfId="2239"/>
    <cellStyle name="Normal 4 2 2 4 2 2" xfId="1577"/>
    <cellStyle name="Normal 4 2 2 4 2 2 2" xfId="5608"/>
    <cellStyle name="Normal 4 2 2 4 2 2 2 2" xfId="10582"/>
    <cellStyle name="Normal 4 2 2 4 2 2 2 3" xfId="14859"/>
    <cellStyle name="Normal 4 2 2 4 2 2 2 4" xfId="19118"/>
    <cellStyle name="Normal 4 2 2 4 2 2 2 5" xfId="23337"/>
    <cellStyle name="Normal 4 2 2 4 2 2 2 6" xfId="27532"/>
    <cellStyle name="Normal 4 2 2 4 2 2 2 7" xfId="31428"/>
    <cellStyle name="Normal 4 2 2 4 2 2 3" xfId="8874"/>
    <cellStyle name="Normal 4 2 2 4 2 2 4" xfId="13159"/>
    <cellStyle name="Normal 4 2 2 4 2 2 5" xfId="17431"/>
    <cellStyle name="Normal 4 2 2 4 2 2 6" xfId="21665"/>
    <cellStyle name="Normal 4 2 2 4 2 2 7" xfId="25904"/>
    <cellStyle name="Normal 4 2 2 4 2 2 8" xfId="29978"/>
    <cellStyle name="Normal 4 2 2 4 2 2 9" xfId="3898"/>
    <cellStyle name="Normal 4 2 2 4 2 3" xfId="3067"/>
    <cellStyle name="Normal 4 2 2 4 2 3 2" xfId="8043"/>
    <cellStyle name="Normal 4 2 2 4 2 3 3" xfId="12331"/>
    <cellStyle name="Normal 4 2 2 4 2 3 4" xfId="16606"/>
    <cellStyle name="Normal 4 2 2 4 2 3 5" xfId="20844"/>
    <cellStyle name="Normal 4 2 2 4 2 3 6" xfId="25087"/>
    <cellStyle name="Normal 4 2 2 4 2 3 7" xfId="29173"/>
    <cellStyle name="Normal 4 2 2 4 2 4" xfId="4951"/>
    <cellStyle name="Normal 4 2 2 4 2 4 2" xfId="9925"/>
    <cellStyle name="Normal 4 2 2 4 2 4 3" xfId="14202"/>
    <cellStyle name="Normal 4 2 2 4 2 4 4" xfId="18461"/>
    <cellStyle name="Normal 4 2 2 4 2 4 5" xfId="22680"/>
    <cellStyle name="Normal 4 2 2 4 2 4 6" xfId="26875"/>
    <cellStyle name="Normal 4 2 2 4 2 4 7" xfId="30771"/>
    <cellStyle name="Normal 4 2 2 4 2 5" xfId="6299"/>
    <cellStyle name="Normal 4 2 2 4 2 5 2" xfId="11271"/>
    <cellStyle name="Normal 4 2 2 4 2 5 3" xfId="15549"/>
    <cellStyle name="Normal 4 2 2 4 2 5 4" xfId="19806"/>
    <cellStyle name="Normal 4 2 2 4 2 5 5" xfId="24023"/>
    <cellStyle name="Normal 4 2 2 4 2 5 6" xfId="28209"/>
    <cellStyle name="Normal 4 2 2 4 2 5 7" xfId="32088"/>
    <cellStyle name="Normal 4 2 2 4 2 6" xfId="7217"/>
    <cellStyle name="Normal 4 2 2 4 2 7" xfId="11509"/>
    <cellStyle name="Normal 4 2 2 4 2 8" xfId="15787"/>
    <cellStyle name="Normal 4 2 2 4 2 9" xfId="20044"/>
    <cellStyle name="Normal 4 2 2 4 3" xfId="1248"/>
    <cellStyle name="Normal 4 2 2 4 3 2" xfId="5279"/>
    <cellStyle name="Normal 4 2 2 4 3 2 2" xfId="10253"/>
    <cellStyle name="Normal 4 2 2 4 3 2 3" xfId="14530"/>
    <cellStyle name="Normal 4 2 2 4 3 2 4" xfId="18789"/>
    <cellStyle name="Normal 4 2 2 4 3 2 5" xfId="23008"/>
    <cellStyle name="Normal 4 2 2 4 3 2 6" xfId="27203"/>
    <cellStyle name="Normal 4 2 2 4 3 2 7" xfId="31099"/>
    <cellStyle name="Normal 4 2 2 4 3 3" xfId="8487"/>
    <cellStyle name="Normal 4 2 2 4 3 4" xfId="12772"/>
    <cellStyle name="Normal 4 2 2 4 3 5" xfId="17044"/>
    <cellStyle name="Normal 4 2 2 4 3 6" xfId="21279"/>
    <cellStyle name="Normal 4 2 2 4 3 7" xfId="25517"/>
    <cellStyle name="Normal 4 2 2 4 3 8" xfId="29595"/>
    <cellStyle name="Normal 4 2 2 4 3 9" xfId="3511"/>
    <cellStyle name="Normal 4 2 2 4 4" xfId="2654"/>
    <cellStyle name="Normal 4 2 2 4 4 2" xfId="7631"/>
    <cellStyle name="Normal 4 2 2 4 4 3" xfId="11920"/>
    <cellStyle name="Normal 4 2 2 4 4 4" xfId="16196"/>
    <cellStyle name="Normal 4 2 2 4 4 5" xfId="20438"/>
    <cellStyle name="Normal 4 2 2 4 4 6" xfId="24685"/>
    <cellStyle name="Normal 4 2 2 4 4 7" xfId="28788"/>
    <cellStyle name="Normal 4 2 2 4 5" xfId="4621"/>
    <cellStyle name="Normal 4 2 2 4 5 2" xfId="9595"/>
    <cellStyle name="Normal 4 2 2 4 5 3" xfId="13872"/>
    <cellStyle name="Normal 4 2 2 4 5 4" xfId="18132"/>
    <cellStyle name="Normal 4 2 2 4 5 5" xfId="22350"/>
    <cellStyle name="Normal 4 2 2 4 5 6" xfId="26546"/>
    <cellStyle name="Normal 4 2 2 4 5 7" xfId="30442"/>
    <cellStyle name="Normal 4 2 2 4 6" xfId="5970"/>
    <cellStyle name="Normal 4 2 2 4 6 2" xfId="10942"/>
    <cellStyle name="Normal 4 2 2 4 6 3" xfId="15220"/>
    <cellStyle name="Normal 4 2 2 4 6 4" xfId="19477"/>
    <cellStyle name="Normal 4 2 2 4 6 5" xfId="23694"/>
    <cellStyle name="Normal 4 2 2 4 6 6" xfId="27880"/>
    <cellStyle name="Normal 4 2 2 4 6 7" xfId="31759"/>
    <cellStyle name="Normal 4 2 2 4 7" xfId="6844"/>
    <cellStyle name="Normal 4 2 2 4 8" xfId="6524"/>
    <cellStyle name="Normal 4 2 2 4 9" xfId="6335"/>
    <cellStyle name="Normal 4 2 2 5" xfId="647"/>
    <cellStyle name="Normal 4 2 2 5 10" xfId="11592"/>
    <cellStyle name="Normal 4 2 2 5 11" xfId="21841"/>
    <cellStyle name="Normal 4 2 2 5 12" xfId="20112"/>
    <cellStyle name="Normal 4 2 2 5 13" xfId="1966"/>
    <cellStyle name="Normal 4 2 2 5 2" xfId="1304"/>
    <cellStyle name="Normal 4 2 2 5 2 10" xfId="3069"/>
    <cellStyle name="Normal 4 2 2 5 2 2" xfId="3900"/>
    <cellStyle name="Normal 4 2 2 5 2 2 2" xfId="8876"/>
    <cellStyle name="Normal 4 2 2 5 2 2 3" xfId="13161"/>
    <cellStyle name="Normal 4 2 2 5 2 2 4" xfId="17433"/>
    <cellStyle name="Normal 4 2 2 5 2 2 5" xfId="21667"/>
    <cellStyle name="Normal 4 2 2 5 2 2 6" xfId="25906"/>
    <cellStyle name="Normal 4 2 2 5 2 2 7" xfId="29980"/>
    <cellStyle name="Normal 4 2 2 5 2 3" xfId="5335"/>
    <cellStyle name="Normal 4 2 2 5 2 3 2" xfId="10309"/>
    <cellStyle name="Normal 4 2 2 5 2 3 3" xfId="14586"/>
    <cellStyle name="Normal 4 2 2 5 2 3 4" xfId="18845"/>
    <cellStyle name="Normal 4 2 2 5 2 3 5" xfId="23064"/>
    <cellStyle name="Normal 4 2 2 5 2 3 6" xfId="27259"/>
    <cellStyle name="Normal 4 2 2 5 2 3 7" xfId="31155"/>
    <cellStyle name="Normal 4 2 2 5 2 4" xfId="8045"/>
    <cellStyle name="Normal 4 2 2 5 2 5" xfId="12333"/>
    <cellStyle name="Normal 4 2 2 5 2 6" xfId="16608"/>
    <cellStyle name="Normal 4 2 2 5 2 7" xfId="20846"/>
    <cellStyle name="Normal 4 2 2 5 2 8" xfId="25089"/>
    <cellStyle name="Normal 4 2 2 5 2 9" xfId="29175"/>
    <cellStyle name="Normal 4 2 2 5 3" xfId="3899"/>
    <cellStyle name="Normal 4 2 2 5 3 2" xfId="8875"/>
    <cellStyle name="Normal 4 2 2 5 3 3" xfId="13160"/>
    <cellStyle name="Normal 4 2 2 5 3 4" xfId="17432"/>
    <cellStyle name="Normal 4 2 2 5 3 5" xfId="21666"/>
    <cellStyle name="Normal 4 2 2 5 3 6" xfId="25905"/>
    <cellStyle name="Normal 4 2 2 5 3 7" xfId="29979"/>
    <cellStyle name="Normal 4 2 2 5 4" xfId="3068"/>
    <cellStyle name="Normal 4 2 2 5 4 2" xfId="8044"/>
    <cellStyle name="Normal 4 2 2 5 4 3" xfId="12332"/>
    <cellStyle name="Normal 4 2 2 5 4 4" xfId="16607"/>
    <cellStyle name="Normal 4 2 2 5 4 5" xfId="20845"/>
    <cellStyle name="Normal 4 2 2 5 4 6" xfId="25088"/>
    <cellStyle name="Normal 4 2 2 5 4 7" xfId="29174"/>
    <cellStyle name="Normal 4 2 2 5 5" xfId="4678"/>
    <cellStyle name="Normal 4 2 2 5 5 2" xfId="9652"/>
    <cellStyle name="Normal 4 2 2 5 5 3" xfId="13929"/>
    <cellStyle name="Normal 4 2 2 5 5 4" xfId="18188"/>
    <cellStyle name="Normal 4 2 2 5 5 5" xfId="22407"/>
    <cellStyle name="Normal 4 2 2 5 5 6" xfId="26602"/>
    <cellStyle name="Normal 4 2 2 5 5 7" xfId="30498"/>
    <cellStyle name="Normal 4 2 2 5 6" xfId="6026"/>
    <cellStyle name="Normal 4 2 2 5 6 2" xfId="10998"/>
    <cellStyle name="Normal 4 2 2 5 6 3" xfId="15276"/>
    <cellStyle name="Normal 4 2 2 5 6 4" xfId="19533"/>
    <cellStyle name="Normal 4 2 2 5 6 5" xfId="23750"/>
    <cellStyle name="Normal 4 2 2 5 6 6" xfId="27936"/>
    <cellStyle name="Normal 4 2 2 5 6 7" xfId="31815"/>
    <cellStyle name="Normal 4 2 2 5 7" xfId="6944"/>
    <cellStyle name="Normal 4 2 2 5 8" xfId="6590"/>
    <cellStyle name="Normal 4 2 2 5 9" xfId="7302"/>
    <cellStyle name="Normal 4 2 2 6" xfId="975"/>
    <cellStyle name="Normal 4 2 2 6 10" xfId="3070"/>
    <cellStyle name="Normal 4 2 2 6 2" xfId="3901"/>
    <cellStyle name="Normal 4 2 2 6 2 2" xfId="8877"/>
    <cellStyle name="Normal 4 2 2 6 2 3" xfId="13162"/>
    <cellStyle name="Normal 4 2 2 6 2 4" xfId="17434"/>
    <cellStyle name="Normal 4 2 2 6 2 5" xfId="21668"/>
    <cellStyle name="Normal 4 2 2 6 2 6" xfId="25907"/>
    <cellStyle name="Normal 4 2 2 6 2 7" xfId="29981"/>
    <cellStyle name="Normal 4 2 2 6 3" xfId="5006"/>
    <cellStyle name="Normal 4 2 2 6 3 2" xfId="9980"/>
    <cellStyle name="Normal 4 2 2 6 3 3" xfId="14257"/>
    <cellStyle name="Normal 4 2 2 6 3 4" xfId="18516"/>
    <cellStyle name="Normal 4 2 2 6 3 5" xfId="22735"/>
    <cellStyle name="Normal 4 2 2 6 3 6" xfId="26930"/>
    <cellStyle name="Normal 4 2 2 6 3 7" xfId="30826"/>
    <cellStyle name="Normal 4 2 2 6 4" xfId="8046"/>
    <cellStyle name="Normal 4 2 2 6 5" xfId="12334"/>
    <cellStyle name="Normal 4 2 2 6 6" xfId="16609"/>
    <cellStyle name="Normal 4 2 2 6 7" xfId="20847"/>
    <cellStyle name="Normal 4 2 2 6 8" xfId="25090"/>
    <cellStyle name="Normal 4 2 2 6 9" xfId="29176"/>
    <cellStyle name="Normal 4 2 2 7" xfId="3219"/>
    <cellStyle name="Normal 4 2 2 7 2" xfId="8195"/>
    <cellStyle name="Normal 4 2 2 7 3" xfId="12481"/>
    <cellStyle name="Normal 4 2 2 7 4" xfId="16754"/>
    <cellStyle name="Normal 4 2 2 7 5" xfId="20991"/>
    <cellStyle name="Normal 4 2 2 7 6" xfId="25230"/>
    <cellStyle name="Normal 4 2 2 7 7" xfId="29311"/>
    <cellStyle name="Normal 4 2 2 8" xfId="2319"/>
    <cellStyle name="Normal 4 2 2 8 2" xfId="7297"/>
    <cellStyle name="Normal 4 2 2 8 3" xfId="11587"/>
    <cellStyle name="Normal 4 2 2 8 4" xfId="15865"/>
    <cellStyle name="Normal 4 2 2 8 5" xfId="20118"/>
    <cellStyle name="Normal 4 2 2 8 6" xfId="24369"/>
    <cellStyle name="Normal 4 2 2 8 7" xfId="28503"/>
    <cellStyle name="Normal 4 2 2 9" xfId="4347"/>
    <cellStyle name="Normal 4 2 2 9 2" xfId="9321"/>
    <cellStyle name="Normal 4 2 2 9 3" xfId="13598"/>
    <cellStyle name="Normal 4 2 2 9 4" xfId="17858"/>
    <cellStyle name="Normal 4 2 2 9 5" xfId="22077"/>
    <cellStyle name="Normal 4 2 2 9 6" xfId="26273"/>
    <cellStyle name="Normal 4 2 2 9 7" xfId="30169"/>
    <cellStyle name="Normal 4 2 3" xfId="322"/>
    <cellStyle name="Normal 4 2 3 10" xfId="13320"/>
    <cellStyle name="Normal 4 2 3 11" xfId="17593"/>
    <cellStyle name="Normal 4 2 3 12" xfId="21924"/>
    <cellStyle name="Normal 4 2 3 13" xfId="26046"/>
    <cellStyle name="Normal 4 2 3 14" xfId="1694"/>
    <cellStyle name="Normal 4 2 3 2" xfId="486"/>
    <cellStyle name="Normal 4 2 3 2 10" xfId="6880"/>
    <cellStyle name="Normal 4 2 3 2 11" xfId="16781"/>
    <cellStyle name="Normal 4 2 3 2 12" xfId="19149"/>
    <cellStyle name="Normal 4 2 3 2 13" xfId="1849"/>
    <cellStyle name="Normal 4 2 3 2 2" xfId="860"/>
    <cellStyle name="Normal 4 2 3 2 2 10" xfId="24235"/>
    <cellStyle name="Normal 4 2 3 2 2 11" xfId="28387"/>
    <cellStyle name="Normal 4 2 3 2 2 12" xfId="2179"/>
    <cellStyle name="Normal 4 2 3 2 2 2" xfId="1517"/>
    <cellStyle name="Normal 4 2 3 2 2 2 2" xfId="5548"/>
    <cellStyle name="Normal 4 2 3 2 2 2 2 2" xfId="10522"/>
    <cellStyle name="Normal 4 2 3 2 2 2 2 3" xfId="14799"/>
    <cellStyle name="Normal 4 2 3 2 2 2 2 4" xfId="19058"/>
    <cellStyle name="Normal 4 2 3 2 2 2 2 5" xfId="23277"/>
    <cellStyle name="Normal 4 2 3 2 2 2 2 6" xfId="27472"/>
    <cellStyle name="Normal 4 2 3 2 2 2 2 7" xfId="31368"/>
    <cellStyle name="Normal 4 2 3 2 2 2 3" xfId="8878"/>
    <cellStyle name="Normal 4 2 3 2 2 2 4" xfId="13163"/>
    <cellStyle name="Normal 4 2 3 2 2 2 5" xfId="17435"/>
    <cellStyle name="Normal 4 2 3 2 2 2 6" xfId="21669"/>
    <cellStyle name="Normal 4 2 3 2 2 2 7" xfId="25908"/>
    <cellStyle name="Normal 4 2 3 2 2 2 8" xfId="29982"/>
    <cellStyle name="Normal 4 2 3 2 2 2 9" xfId="3902"/>
    <cellStyle name="Normal 4 2 3 2 2 3" xfId="3071"/>
    <cellStyle name="Normal 4 2 3 2 2 3 2" xfId="8047"/>
    <cellStyle name="Normal 4 2 3 2 2 3 3" xfId="12335"/>
    <cellStyle name="Normal 4 2 3 2 2 3 4" xfId="16610"/>
    <cellStyle name="Normal 4 2 3 2 2 3 5" xfId="20848"/>
    <cellStyle name="Normal 4 2 3 2 2 3 6" xfId="25091"/>
    <cellStyle name="Normal 4 2 3 2 2 3 7" xfId="29177"/>
    <cellStyle name="Normal 4 2 3 2 2 4" xfId="4891"/>
    <cellStyle name="Normal 4 2 3 2 2 4 2" xfId="9865"/>
    <cellStyle name="Normal 4 2 3 2 2 4 3" xfId="14142"/>
    <cellStyle name="Normal 4 2 3 2 2 4 4" xfId="18401"/>
    <cellStyle name="Normal 4 2 3 2 2 4 5" xfId="22620"/>
    <cellStyle name="Normal 4 2 3 2 2 4 6" xfId="26815"/>
    <cellStyle name="Normal 4 2 3 2 2 4 7" xfId="30711"/>
    <cellStyle name="Normal 4 2 3 2 2 5" xfId="6239"/>
    <cellStyle name="Normal 4 2 3 2 2 5 2" xfId="11211"/>
    <cellStyle name="Normal 4 2 3 2 2 5 3" xfId="15489"/>
    <cellStyle name="Normal 4 2 3 2 2 5 4" xfId="19746"/>
    <cellStyle name="Normal 4 2 3 2 2 5 5" xfId="23963"/>
    <cellStyle name="Normal 4 2 3 2 2 5 6" xfId="28149"/>
    <cellStyle name="Normal 4 2 3 2 2 5 7" xfId="32028"/>
    <cellStyle name="Normal 4 2 3 2 2 6" xfId="7157"/>
    <cellStyle name="Normal 4 2 3 2 2 7" xfId="11449"/>
    <cellStyle name="Normal 4 2 3 2 2 8" xfId="15727"/>
    <cellStyle name="Normal 4 2 3 2 2 9" xfId="19984"/>
    <cellStyle name="Normal 4 2 3 2 3" xfId="1188"/>
    <cellStyle name="Normal 4 2 3 2 3 2" xfId="5219"/>
    <cellStyle name="Normal 4 2 3 2 3 2 2" xfId="10193"/>
    <cellStyle name="Normal 4 2 3 2 3 2 3" xfId="14470"/>
    <cellStyle name="Normal 4 2 3 2 3 2 4" xfId="18729"/>
    <cellStyle name="Normal 4 2 3 2 3 2 5" xfId="22948"/>
    <cellStyle name="Normal 4 2 3 2 3 2 6" xfId="27143"/>
    <cellStyle name="Normal 4 2 3 2 3 2 7" xfId="31039"/>
    <cellStyle name="Normal 4 2 3 2 3 3" xfId="8414"/>
    <cellStyle name="Normal 4 2 3 2 3 4" xfId="12699"/>
    <cellStyle name="Normal 4 2 3 2 3 5" xfId="16971"/>
    <cellStyle name="Normal 4 2 3 2 3 6" xfId="21206"/>
    <cellStyle name="Normal 4 2 3 2 3 7" xfId="25444"/>
    <cellStyle name="Normal 4 2 3 2 3 8" xfId="29522"/>
    <cellStyle name="Normal 4 2 3 2 3 9" xfId="3438"/>
    <cellStyle name="Normal 4 2 3 2 4" xfId="2577"/>
    <cellStyle name="Normal 4 2 3 2 4 2" xfId="7554"/>
    <cellStyle name="Normal 4 2 3 2 4 3" xfId="11843"/>
    <cellStyle name="Normal 4 2 3 2 4 4" xfId="16121"/>
    <cellStyle name="Normal 4 2 3 2 4 5" xfId="20364"/>
    <cellStyle name="Normal 4 2 3 2 4 6" xfId="24610"/>
    <cellStyle name="Normal 4 2 3 2 4 7" xfId="28715"/>
    <cellStyle name="Normal 4 2 3 2 5" xfId="4561"/>
    <cellStyle name="Normal 4 2 3 2 5 2" xfId="9535"/>
    <cellStyle name="Normal 4 2 3 2 5 3" xfId="13812"/>
    <cellStyle name="Normal 4 2 3 2 5 4" xfId="18072"/>
    <cellStyle name="Normal 4 2 3 2 5 5" xfId="22290"/>
    <cellStyle name="Normal 4 2 3 2 5 6" xfId="26486"/>
    <cellStyle name="Normal 4 2 3 2 5 7" xfId="30382"/>
    <cellStyle name="Normal 4 2 3 2 6" xfId="5910"/>
    <cellStyle name="Normal 4 2 3 2 6 2" xfId="10882"/>
    <cellStyle name="Normal 4 2 3 2 6 3" xfId="15160"/>
    <cellStyle name="Normal 4 2 3 2 6 4" xfId="19417"/>
    <cellStyle name="Normal 4 2 3 2 6 5" xfId="23634"/>
    <cellStyle name="Normal 4 2 3 2 6 6" xfId="27820"/>
    <cellStyle name="Normal 4 2 3 2 6 7" xfId="31699"/>
    <cellStyle name="Normal 4 2 3 2 7" xfId="6784"/>
    <cellStyle name="Normal 4 2 3 2 8" xfId="6520"/>
    <cellStyle name="Normal 4 2 3 2 9" xfId="6505"/>
    <cellStyle name="Normal 4 2 3 3" xfId="705"/>
    <cellStyle name="Normal 4 2 3 3 10" xfId="24080"/>
    <cellStyle name="Normal 4 2 3 3 11" xfId="28232"/>
    <cellStyle name="Normal 4 2 3 3 12" xfId="2024"/>
    <cellStyle name="Normal 4 2 3 3 2" xfId="1362"/>
    <cellStyle name="Normal 4 2 3 3 2 2" xfId="5393"/>
    <cellStyle name="Normal 4 2 3 3 2 2 2" xfId="10367"/>
    <cellStyle name="Normal 4 2 3 3 2 2 3" xfId="14644"/>
    <cellStyle name="Normal 4 2 3 3 2 2 4" xfId="18903"/>
    <cellStyle name="Normal 4 2 3 3 2 2 5" xfId="23122"/>
    <cellStyle name="Normal 4 2 3 3 2 2 6" xfId="27317"/>
    <cellStyle name="Normal 4 2 3 3 2 2 7" xfId="31213"/>
    <cellStyle name="Normal 4 2 3 3 2 3" xfId="8879"/>
    <cellStyle name="Normal 4 2 3 3 2 4" xfId="13164"/>
    <cellStyle name="Normal 4 2 3 3 2 5" xfId="17436"/>
    <cellStyle name="Normal 4 2 3 3 2 6" xfId="21670"/>
    <cellStyle name="Normal 4 2 3 3 2 7" xfId="25909"/>
    <cellStyle name="Normal 4 2 3 3 2 8" xfId="29983"/>
    <cellStyle name="Normal 4 2 3 3 2 9" xfId="3903"/>
    <cellStyle name="Normal 4 2 3 3 3" xfId="3072"/>
    <cellStyle name="Normal 4 2 3 3 3 2" xfId="8048"/>
    <cellStyle name="Normal 4 2 3 3 3 3" xfId="12336"/>
    <cellStyle name="Normal 4 2 3 3 3 4" xfId="16611"/>
    <cellStyle name="Normal 4 2 3 3 3 5" xfId="20849"/>
    <cellStyle name="Normal 4 2 3 3 3 6" xfId="25092"/>
    <cellStyle name="Normal 4 2 3 3 3 7" xfId="29178"/>
    <cellStyle name="Normal 4 2 3 3 4" xfId="4736"/>
    <cellStyle name="Normal 4 2 3 3 4 2" xfId="9710"/>
    <cellStyle name="Normal 4 2 3 3 4 3" xfId="13987"/>
    <cellStyle name="Normal 4 2 3 3 4 4" xfId="18246"/>
    <cellStyle name="Normal 4 2 3 3 4 5" xfId="22465"/>
    <cellStyle name="Normal 4 2 3 3 4 6" xfId="26660"/>
    <cellStyle name="Normal 4 2 3 3 4 7" xfId="30556"/>
    <cellStyle name="Normal 4 2 3 3 5" xfId="6084"/>
    <cellStyle name="Normal 4 2 3 3 5 2" xfId="11056"/>
    <cellStyle name="Normal 4 2 3 3 5 3" xfId="15334"/>
    <cellStyle name="Normal 4 2 3 3 5 4" xfId="19591"/>
    <cellStyle name="Normal 4 2 3 3 5 5" xfId="23808"/>
    <cellStyle name="Normal 4 2 3 3 5 6" xfId="27994"/>
    <cellStyle name="Normal 4 2 3 3 5 7" xfId="31873"/>
    <cellStyle name="Normal 4 2 3 3 6" xfId="7002"/>
    <cellStyle name="Normal 4 2 3 3 7" xfId="11294"/>
    <cellStyle name="Normal 4 2 3 3 8" xfId="15572"/>
    <cellStyle name="Normal 4 2 3 3 9" xfId="19829"/>
    <cellStyle name="Normal 4 2 3 4" xfId="1033"/>
    <cellStyle name="Normal 4 2 3 4 2" xfId="5064"/>
    <cellStyle name="Normal 4 2 3 4 2 2" xfId="10038"/>
    <cellStyle name="Normal 4 2 3 4 2 3" xfId="14315"/>
    <cellStyle name="Normal 4 2 3 4 2 4" xfId="18574"/>
    <cellStyle name="Normal 4 2 3 4 2 5" xfId="22793"/>
    <cellStyle name="Normal 4 2 3 4 2 6" xfId="26988"/>
    <cellStyle name="Normal 4 2 3 4 2 7" xfId="30884"/>
    <cellStyle name="Normal 4 2 3 4 3" xfId="8262"/>
    <cellStyle name="Normal 4 2 3 4 4" xfId="12547"/>
    <cellStyle name="Normal 4 2 3 4 5" xfId="16820"/>
    <cellStyle name="Normal 4 2 3 4 6" xfId="21056"/>
    <cellStyle name="Normal 4 2 3 4 7" xfId="25294"/>
    <cellStyle name="Normal 4 2 3 4 8" xfId="29372"/>
    <cellStyle name="Normal 4 2 3 4 9" xfId="3286"/>
    <cellStyle name="Normal 4 2 3 5" xfId="2402"/>
    <cellStyle name="Normal 4 2 3 5 2" xfId="7380"/>
    <cellStyle name="Normal 4 2 3 5 3" xfId="11669"/>
    <cellStyle name="Normal 4 2 3 5 4" xfId="15947"/>
    <cellStyle name="Normal 4 2 3 5 5" xfId="20196"/>
    <cellStyle name="Normal 4 2 3 5 6" xfId="24444"/>
    <cellStyle name="Normal 4 2 3 5 7" xfId="28564"/>
    <cellStyle name="Normal 4 2 3 6" xfId="4406"/>
    <cellStyle name="Normal 4 2 3 6 2" xfId="9380"/>
    <cellStyle name="Normal 4 2 3 6 3" xfId="13657"/>
    <cellStyle name="Normal 4 2 3 6 4" xfId="17917"/>
    <cellStyle name="Normal 4 2 3 6 5" xfId="22135"/>
    <cellStyle name="Normal 4 2 3 6 6" xfId="26331"/>
    <cellStyle name="Normal 4 2 3 6 7" xfId="30227"/>
    <cellStyle name="Normal 4 2 3 7" xfId="5755"/>
    <cellStyle name="Normal 4 2 3 7 2" xfId="10727"/>
    <cellStyle name="Normal 4 2 3 7 3" xfId="15005"/>
    <cellStyle name="Normal 4 2 3 7 4" xfId="19262"/>
    <cellStyle name="Normal 4 2 3 7 5" xfId="23479"/>
    <cellStyle name="Normal 4 2 3 7 6" xfId="27665"/>
    <cellStyle name="Normal 4 2 3 7 7" xfId="31544"/>
    <cellStyle name="Normal 4 2 3 8" xfId="6620"/>
    <cellStyle name="Normal 4 2 3 9" xfId="9037"/>
    <cellStyle name="Normal 4 2 4" xfId="391"/>
    <cellStyle name="Normal 4 2 4 10" xfId="11532"/>
    <cellStyle name="Normal 4 2 4 11" xfId="15811"/>
    <cellStyle name="Normal 4 2 4 12" xfId="21808"/>
    <cellStyle name="Normal 4 2 4 13" xfId="24316"/>
    <cellStyle name="Normal 4 2 4 14" xfId="1754"/>
    <cellStyle name="Normal 4 2 4 2" xfId="765"/>
    <cellStyle name="Normal 4 2 4 2 10" xfId="24140"/>
    <cellStyle name="Normal 4 2 4 2 11" xfId="28292"/>
    <cellStyle name="Normal 4 2 4 2 12" xfId="2084"/>
    <cellStyle name="Normal 4 2 4 2 2" xfId="1422"/>
    <cellStyle name="Normal 4 2 4 2 2 2" xfId="5453"/>
    <cellStyle name="Normal 4 2 4 2 2 2 2" xfId="10427"/>
    <cellStyle name="Normal 4 2 4 2 2 2 3" xfId="14704"/>
    <cellStyle name="Normal 4 2 4 2 2 2 4" xfId="18963"/>
    <cellStyle name="Normal 4 2 4 2 2 2 5" xfId="23182"/>
    <cellStyle name="Normal 4 2 4 2 2 2 6" xfId="27377"/>
    <cellStyle name="Normal 4 2 4 2 2 2 7" xfId="31273"/>
    <cellStyle name="Normal 4 2 4 2 2 3" xfId="8880"/>
    <cellStyle name="Normal 4 2 4 2 2 4" xfId="13165"/>
    <cellStyle name="Normal 4 2 4 2 2 5" xfId="17437"/>
    <cellStyle name="Normal 4 2 4 2 2 6" xfId="21671"/>
    <cellStyle name="Normal 4 2 4 2 2 7" xfId="25910"/>
    <cellStyle name="Normal 4 2 4 2 2 8" xfId="29984"/>
    <cellStyle name="Normal 4 2 4 2 2 9" xfId="3904"/>
    <cellStyle name="Normal 4 2 4 2 3" xfId="3073"/>
    <cellStyle name="Normal 4 2 4 2 3 2" xfId="8049"/>
    <cellStyle name="Normal 4 2 4 2 3 3" xfId="12337"/>
    <cellStyle name="Normal 4 2 4 2 3 4" xfId="16612"/>
    <cellStyle name="Normal 4 2 4 2 3 5" xfId="20850"/>
    <cellStyle name="Normal 4 2 4 2 3 6" xfId="25093"/>
    <cellStyle name="Normal 4 2 4 2 3 7" xfId="29179"/>
    <cellStyle name="Normal 4 2 4 2 4" xfId="4796"/>
    <cellStyle name="Normal 4 2 4 2 4 2" xfId="9770"/>
    <cellStyle name="Normal 4 2 4 2 4 3" xfId="14047"/>
    <cellStyle name="Normal 4 2 4 2 4 4" xfId="18306"/>
    <cellStyle name="Normal 4 2 4 2 4 5" xfId="22525"/>
    <cellStyle name="Normal 4 2 4 2 4 6" xfId="26720"/>
    <cellStyle name="Normal 4 2 4 2 4 7" xfId="30616"/>
    <cellStyle name="Normal 4 2 4 2 5" xfId="6144"/>
    <cellStyle name="Normal 4 2 4 2 5 2" xfId="11116"/>
    <cellStyle name="Normal 4 2 4 2 5 3" xfId="15394"/>
    <cellStyle name="Normal 4 2 4 2 5 4" xfId="19651"/>
    <cellStyle name="Normal 4 2 4 2 5 5" xfId="23868"/>
    <cellStyle name="Normal 4 2 4 2 5 6" xfId="28054"/>
    <cellStyle name="Normal 4 2 4 2 5 7" xfId="31933"/>
    <cellStyle name="Normal 4 2 4 2 6" xfId="7062"/>
    <cellStyle name="Normal 4 2 4 2 7" xfId="11354"/>
    <cellStyle name="Normal 4 2 4 2 8" xfId="15632"/>
    <cellStyle name="Normal 4 2 4 2 9" xfId="19889"/>
    <cellStyle name="Normal 4 2 4 3" xfId="1093"/>
    <cellStyle name="Normal 4 2 4 3 2" xfId="5124"/>
    <cellStyle name="Normal 4 2 4 3 2 2" xfId="10098"/>
    <cellStyle name="Normal 4 2 4 3 2 3" xfId="14375"/>
    <cellStyle name="Normal 4 2 4 3 2 4" xfId="18634"/>
    <cellStyle name="Normal 4 2 4 3 2 5" xfId="22853"/>
    <cellStyle name="Normal 4 2 4 3 2 6" xfId="27048"/>
    <cellStyle name="Normal 4 2 4 3 2 7" xfId="30944"/>
    <cellStyle name="Normal 4 2 4 3 3" xfId="8319"/>
    <cellStyle name="Normal 4 2 4 3 4" xfId="12604"/>
    <cellStyle name="Normal 4 2 4 3 5" xfId="16876"/>
    <cellStyle name="Normal 4 2 4 3 6" xfId="21111"/>
    <cellStyle name="Normal 4 2 4 3 7" xfId="25349"/>
    <cellStyle name="Normal 4 2 4 3 8" xfId="29427"/>
    <cellStyle name="Normal 4 2 4 3 9" xfId="3343"/>
    <cellStyle name="Normal 4 2 4 4" xfId="2482"/>
    <cellStyle name="Normal 4 2 4 4 2" xfId="7459"/>
    <cellStyle name="Normal 4 2 4 4 3" xfId="11748"/>
    <cellStyle name="Normal 4 2 4 4 4" xfId="16026"/>
    <cellStyle name="Normal 4 2 4 4 5" xfId="20269"/>
    <cellStyle name="Normal 4 2 4 4 6" xfId="24515"/>
    <cellStyle name="Normal 4 2 4 4 7" xfId="28620"/>
    <cellStyle name="Normal 4 2 4 5" xfId="4210"/>
    <cellStyle name="Normal 4 2 4 6" xfId="4466"/>
    <cellStyle name="Normal 4 2 4 6 2" xfId="9440"/>
    <cellStyle name="Normal 4 2 4 6 3" xfId="13717"/>
    <cellStyle name="Normal 4 2 4 6 4" xfId="17977"/>
    <cellStyle name="Normal 4 2 4 6 5" xfId="22195"/>
    <cellStyle name="Normal 4 2 4 6 6" xfId="26391"/>
    <cellStyle name="Normal 4 2 4 6 7" xfId="30287"/>
    <cellStyle name="Normal 4 2 4 7" xfId="5815"/>
    <cellStyle name="Normal 4 2 4 7 2" xfId="10787"/>
    <cellStyle name="Normal 4 2 4 7 3" xfId="15065"/>
    <cellStyle name="Normal 4 2 4 7 4" xfId="19322"/>
    <cellStyle name="Normal 4 2 4 7 5" xfId="23539"/>
    <cellStyle name="Normal 4 2 4 7 6" xfId="27725"/>
    <cellStyle name="Normal 4 2 4 7 7" xfId="31604"/>
    <cellStyle name="Normal 4 2 4 8" xfId="6689"/>
    <cellStyle name="Normal 4 2 4 9" xfId="7242"/>
    <cellStyle name="Normal 4 2 5" xfId="539"/>
    <cellStyle name="Normal 4 2 5 10" xfId="10604"/>
    <cellStyle name="Normal 4 2 5 11" xfId="20724"/>
    <cellStyle name="Normal 4 2 5 12" xfId="21844"/>
    <cellStyle name="Normal 4 2 5 13" xfId="1902"/>
    <cellStyle name="Normal 4 2 5 2" xfId="913"/>
    <cellStyle name="Normal 4 2 5 2 10" xfId="24288"/>
    <cellStyle name="Normal 4 2 5 2 11" xfId="28440"/>
    <cellStyle name="Normal 4 2 5 2 12" xfId="2232"/>
    <cellStyle name="Normal 4 2 5 2 2" xfId="1570"/>
    <cellStyle name="Normal 4 2 5 2 2 2" xfId="5601"/>
    <cellStyle name="Normal 4 2 5 2 2 2 2" xfId="10575"/>
    <cellStyle name="Normal 4 2 5 2 2 2 3" xfId="14852"/>
    <cellStyle name="Normal 4 2 5 2 2 2 4" xfId="19111"/>
    <cellStyle name="Normal 4 2 5 2 2 2 5" xfId="23330"/>
    <cellStyle name="Normal 4 2 5 2 2 2 6" xfId="27525"/>
    <cellStyle name="Normal 4 2 5 2 2 2 7" xfId="31421"/>
    <cellStyle name="Normal 4 2 5 2 2 3" xfId="8881"/>
    <cellStyle name="Normal 4 2 5 2 2 4" xfId="13166"/>
    <cellStyle name="Normal 4 2 5 2 2 5" xfId="17438"/>
    <cellStyle name="Normal 4 2 5 2 2 6" xfId="21672"/>
    <cellStyle name="Normal 4 2 5 2 2 7" xfId="25911"/>
    <cellStyle name="Normal 4 2 5 2 2 8" xfId="29985"/>
    <cellStyle name="Normal 4 2 5 2 2 9" xfId="3905"/>
    <cellStyle name="Normal 4 2 5 2 3" xfId="3074"/>
    <cellStyle name="Normal 4 2 5 2 3 2" xfId="8050"/>
    <cellStyle name="Normal 4 2 5 2 3 3" xfId="12338"/>
    <cellStyle name="Normal 4 2 5 2 3 4" xfId="16613"/>
    <cellStyle name="Normal 4 2 5 2 3 5" xfId="20851"/>
    <cellStyle name="Normal 4 2 5 2 3 6" xfId="25094"/>
    <cellStyle name="Normal 4 2 5 2 3 7" xfId="29180"/>
    <cellStyle name="Normal 4 2 5 2 4" xfId="4944"/>
    <cellStyle name="Normal 4 2 5 2 4 2" xfId="9918"/>
    <cellStyle name="Normal 4 2 5 2 4 3" xfId="14195"/>
    <cellStyle name="Normal 4 2 5 2 4 4" xfId="18454"/>
    <cellStyle name="Normal 4 2 5 2 4 5" xfId="22673"/>
    <cellStyle name="Normal 4 2 5 2 4 6" xfId="26868"/>
    <cellStyle name="Normal 4 2 5 2 4 7" xfId="30764"/>
    <cellStyle name="Normal 4 2 5 2 5" xfId="6292"/>
    <cellStyle name="Normal 4 2 5 2 5 2" xfId="11264"/>
    <cellStyle name="Normal 4 2 5 2 5 3" xfId="15542"/>
    <cellStyle name="Normal 4 2 5 2 5 4" xfId="19799"/>
    <cellStyle name="Normal 4 2 5 2 5 5" xfId="24016"/>
    <cellStyle name="Normal 4 2 5 2 5 6" xfId="28202"/>
    <cellStyle name="Normal 4 2 5 2 5 7" xfId="32081"/>
    <cellStyle name="Normal 4 2 5 2 6" xfId="7210"/>
    <cellStyle name="Normal 4 2 5 2 7" xfId="11502"/>
    <cellStyle name="Normal 4 2 5 2 8" xfId="15780"/>
    <cellStyle name="Normal 4 2 5 2 9" xfId="20037"/>
    <cellStyle name="Normal 4 2 5 3" xfId="1241"/>
    <cellStyle name="Normal 4 2 5 3 2" xfId="5272"/>
    <cellStyle name="Normal 4 2 5 3 2 2" xfId="10246"/>
    <cellStyle name="Normal 4 2 5 3 2 3" xfId="14523"/>
    <cellStyle name="Normal 4 2 5 3 2 4" xfId="18782"/>
    <cellStyle name="Normal 4 2 5 3 2 5" xfId="23001"/>
    <cellStyle name="Normal 4 2 5 3 2 6" xfId="27196"/>
    <cellStyle name="Normal 4 2 5 3 2 7" xfId="31092"/>
    <cellStyle name="Normal 4 2 5 3 3" xfId="8481"/>
    <cellStyle name="Normal 4 2 5 3 4" xfId="12766"/>
    <cellStyle name="Normal 4 2 5 3 5" xfId="17038"/>
    <cellStyle name="Normal 4 2 5 3 6" xfId="21273"/>
    <cellStyle name="Normal 4 2 5 3 7" xfId="25511"/>
    <cellStyle name="Normal 4 2 5 3 8" xfId="29589"/>
    <cellStyle name="Normal 4 2 5 3 9" xfId="3505"/>
    <cellStyle name="Normal 4 2 5 4" xfId="2648"/>
    <cellStyle name="Normal 4 2 5 4 2" xfId="7625"/>
    <cellStyle name="Normal 4 2 5 4 3" xfId="11914"/>
    <cellStyle name="Normal 4 2 5 4 4" xfId="16190"/>
    <cellStyle name="Normal 4 2 5 4 5" xfId="20432"/>
    <cellStyle name="Normal 4 2 5 4 6" xfId="24679"/>
    <cellStyle name="Normal 4 2 5 4 7" xfId="28782"/>
    <cellStyle name="Normal 4 2 5 5" xfId="4614"/>
    <cellStyle name="Normal 4 2 5 5 2" xfId="9588"/>
    <cellStyle name="Normal 4 2 5 5 3" xfId="13865"/>
    <cellStyle name="Normal 4 2 5 5 4" xfId="18125"/>
    <cellStyle name="Normal 4 2 5 5 5" xfId="22343"/>
    <cellStyle name="Normal 4 2 5 5 6" xfId="26539"/>
    <cellStyle name="Normal 4 2 5 5 7" xfId="30435"/>
    <cellStyle name="Normal 4 2 5 6" xfId="5963"/>
    <cellStyle name="Normal 4 2 5 6 2" xfId="10935"/>
    <cellStyle name="Normal 4 2 5 6 3" xfId="15213"/>
    <cellStyle name="Normal 4 2 5 6 4" xfId="19470"/>
    <cellStyle name="Normal 4 2 5 6 5" xfId="23687"/>
    <cellStyle name="Normal 4 2 5 6 6" xfId="27873"/>
    <cellStyle name="Normal 4 2 5 6 7" xfId="31752"/>
    <cellStyle name="Normal 4 2 5 7" xfId="6837"/>
    <cellStyle name="Normal 4 2 5 8" xfId="6862"/>
    <cellStyle name="Normal 4 2 5 9" xfId="6858"/>
    <cellStyle name="Normal 4 2 6" xfId="640"/>
    <cellStyle name="Normal 4 2 6 10" xfId="12294"/>
    <cellStyle name="Normal 4 2 6 11" xfId="9225"/>
    <cellStyle name="Normal 4 2 6 12" xfId="17495"/>
    <cellStyle name="Normal 4 2 6 13" xfId="1959"/>
    <cellStyle name="Normal 4 2 6 2" xfId="1297"/>
    <cellStyle name="Normal 4 2 6 2 10" xfId="3076"/>
    <cellStyle name="Normal 4 2 6 2 2" xfId="3907"/>
    <cellStyle name="Normal 4 2 6 2 2 2" xfId="8883"/>
    <cellStyle name="Normal 4 2 6 2 2 3" xfId="13168"/>
    <cellStyle name="Normal 4 2 6 2 2 4" xfId="17440"/>
    <cellStyle name="Normal 4 2 6 2 2 5" xfId="21674"/>
    <cellStyle name="Normal 4 2 6 2 2 6" xfId="25913"/>
    <cellStyle name="Normal 4 2 6 2 2 7" xfId="29987"/>
    <cellStyle name="Normal 4 2 6 2 3" xfId="5328"/>
    <cellStyle name="Normal 4 2 6 2 3 2" xfId="10302"/>
    <cellStyle name="Normal 4 2 6 2 3 3" xfId="14579"/>
    <cellStyle name="Normal 4 2 6 2 3 4" xfId="18838"/>
    <cellStyle name="Normal 4 2 6 2 3 5" xfId="23057"/>
    <cellStyle name="Normal 4 2 6 2 3 6" xfId="27252"/>
    <cellStyle name="Normal 4 2 6 2 3 7" xfId="31148"/>
    <cellStyle name="Normal 4 2 6 2 4" xfId="8052"/>
    <cellStyle name="Normal 4 2 6 2 5" xfId="12340"/>
    <cellStyle name="Normal 4 2 6 2 6" xfId="16615"/>
    <cellStyle name="Normal 4 2 6 2 7" xfId="20853"/>
    <cellStyle name="Normal 4 2 6 2 8" xfId="25096"/>
    <cellStyle name="Normal 4 2 6 2 9" xfId="29182"/>
    <cellStyle name="Normal 4 2 6 3" xfId="3906"/>
    <cellStyle name="Normal 4 2 6 3 2" xfId="8882"/>
    <cellStyle name="Normal 4 2 6 3 3" xfId="13167"/>
    <cellStyle name="Normal 4 2 6 3 4" xfId="17439"/>
    <cellStyle name="Normal 4 2 6 3 5" xfId="21673"/>
    <cellStyle name="Normal 4 2 6 3 6" xfId="25912"/>
    <cellStyle name="Normal 4 2 6 3 7" xfId="29986"/>
    <cellStyle name="Normal 4 2 6 4" xfId="3075"/>
    <cellStyle name="Normal 4 2 6 4 2" xfId="8051"/>
    <cellStyle name="Normal 4 2 6 4 3" xfId="12339"/>
    <cellStyle name="Normal 4 2 6 4 4" xfId="16614"/>
    <cellStyle name="Normal 4 2 6 4 5" xfId="20852"/>
    <cellStyle name="Normal 4 2 6 4 6" xfId="25095"/>
    <cellStyle name="Normal 4 2 6 4 7" xfId="29181"/>
    <cellStyle name="Normal 4 2 6 5" xfId="4671"/>
    <cellStyle name="Normal 4 2 6 5 2" xfId="9645"/>
    <cellStyle name="Normal 4 2 6 5 3" xfId="13922"/>
    <cellStyle name="Normal 4 2 6 5 4" xfId="18181"/>
    <cellStyle name="Normal 4 2 6 5 5" xfId="22400"/>
    <cellStyle name="Normal 4 2 6 5 6" xfId="26595"/>
    <cellStyle name="Normal 4 2 6 5 7" xfId="30491"/>
    <cellStyle name="Normal 4 2 6 6" xfId="6019"/>
    <cellStyle name="Normal 4 2 6 6 2" xfId="10991"/>
    <cellStyle name="Normal 4 2 6 6 3" xfId="15269"/>
    <cellStyle name="Normal 4 2 6 6 4" xfId="19526"/>
    <cellStyle name="Normal 4 2 6 6 5" xfId="23743"/>
    <cellStyle name="Normal 4 2 6 6 6" xfId="27929"/>
    <cellStyle name="Normal 4 2 6 6 7" xfId="31808"/>
    <cellStyle name="Normal 4 2 6 7" xfId="6937"/>
    <cellStyle name="Normal 4 2 6 8" xfId="6424"/>
    <cellStyle name="Normal 4 2 6 9" xfId="8006"/>
    <cellStyle name="Normal 4 2 7" xfId="968"/>
    <cellStyle name="Normal 4 2 7 10" xfId="3077"/>
    <cellStyle name="Normal 4 2 7 2" xfId="3908"/>
    <cellStyle name="Normal 4 2 7 2 2" xfId="8884"/>
    <cellStyle name="Normal 4 2 7 2 3" xfId="13169"/>
    <cellStyle name="Normal 4 2 7 2 4" xfId="17441"/>
    <cellStyle name="Normal 4 2 7 2 5" xfId="21675"/>
    <cellStyle name="Normal 4 2 7 2 6" xfId="25914"/>
    <cellStyle name="Normal 4 2 7 2 7" xfId="29988"/>
    <cellStyle name="Normal 4 2 7 3" xfId="4999"/>
    <cellStyle name="Normal 4 2 7 3 2" xfId="9973"/>
    <cellStyle name="Normal 4 2 7 3 3" xfId="14250"/>
    <cellStyle name="Normal 4 2 7 3 4" xfId="18509"/>
    <cellStyle name="Normal 4 2 7 3 5" xfId="22728"/>
    <cellStyle name="Normal 4 2 7 3 6" xfId="26923"/>
    <cellStyle name="Normal 4 2 7 3 7" xfId="30819"/>
    <cellStyle name="Normal 4 2 7 4" xfId="8053"/>
    <cellStyle name="Normal 4 2 7 5" xfId="12341"/>
    <cellStyle name="Normal 4 2 7 6" xfId="16616"/>
    <cellStyle name="Normal 4 2 7 7" xfId="20854"/>
    <cellStyle name="Normal 4 2 7 8" xfId="25097"/>
    <cellStyle name="Normal 4 2 7 9" xfId="29183"/>
    <cellStyle name="Normal 4 2 8" xfId="3211"/>
    <cellStyle name="Normal 4 2 8 2" xfId="8187"/>
    <cellStyle name="Normal 4 2 8 3" xfId="12473"/>
    <cellStyle name="Normal 4 2 8 4" xfId="16747"/>
    <cellStyle name="Normal 4 2 8 5" xfId="20983"/>
    <cellStyle name="Normal 4 2 8 6" xfId="25223"/>
    <cellStyle name="Normal 4 2 8 7" xfId="29304"/>
    <cellStyle name="Normal 4 2 9" xfId="2308"/>
    <cellStyle name="Normal 4 2 9 2" xfId="7286"/>
    <cellStyle name="Normal 4 2 9 3" xfId="11576"/>
    <cellStyle name="Normal 4 2 9 4" xfId="15854"/>
    <cellStyle name="Normal 4 2 9 5" xfId="20107"/>
    <cellStyle name="Normal 4 2 9 6" xfId="24358"/>
    <cellStyle name="Normal 4 2 9 7" xfId="28495"/>
    <cellStyle name="Normal 4 3" xfId="190"/>
    <cellStyle name="Normal 4 3 2" xfId="353"/>
    <cellStyle name="Normal 4 3 3" xfId="457"/>
    <cellStyle name="Normal 4 3 3 10" xfId="17734"/>
    <cellStyle name="Normal 4 3 3 11" xfId="7561"/>
    <cellStyle name="Normal 4 3 3 12" xfId="26161"/>
    <cellStyle name="Normal 4 3 3 13" xfId="1820"/>
    <cellStyle name="Normal 4 3 3 2" xfId="831"/>
    <cellStyle name="Normal 4 3 3 2 10" xfId="24206"/>
    <cellStyle name="Normal 4 3 3 2 11" xfId="28358"/>
    <cellStyle name="Normal 4 3 3 2 12" xfId="2150"/>
    <cellStyle name="Normal 4 3 3 2 2" xfId="1488"/>
    <cellStyle name="Normal 4 3 3 2 2 2" xfId="5519"/>
    <cellStyle name="Normal 4 3 3 2 2 2 2" xfId="10493"/>
    <cellStyle name="Normal 4 3 3 2 2 2 3" xfId="14770"/>
    <cellStyle name="Normal 4 3 3 2 2 2 4" xfId="19029"/>
    <cellStyle name="Normal 4 3 3 2 2 2 5" xfId="23248"/>
    <cellStyle name="Normal 4 3 3 2 2 2 6" xfId="27443"/>
    <cellStyle name="Normal 4 3 3 2 2 2 7" xfId="31339"/>
    <cellStyle name="Normal 4 3 3 2 2 3" xfId="8885"/>
    <cellStyle name="Normal 4 3 3 2 2 4" xfId="13170"/>
    <cellStyle name="Normal 4 3 3 2 2 5" xfId="17442"/>
    <cellStyle name="Normal 4 3 3 2 2 6" xfId="21676"/>
    <cellStyle name="Normal 4 3 3 2 2 7" xfId="25915"/>
    <cellStyle name="Normal 4 3 3 2 2 8" xfId="29989"/>
    <cellStyle name="Normal 4 3 3 2 2 9" xfId="3909"/>
    <cellStyle name="Normal 4 3 3 2 3" xfId="3078"/>
    <cellStyle name="Normal 4 3 3 2 3 2" xfId="8054"/>
    <cellStyle name="Normal 4 3 3 2 3 3" xfId="12342"/>
    <cellStyle name="Normal 4 3 3 2 3 4" xfId="16617"/>
    <cellStyle name="Normal 4 3 3 2 3 5" xfId="20855"/>
    <cellStyle name="Normal 4 3 3 2 3 6" xfId="25098"/>
    <cellStyle name="Normal 4 3 3 2 3 7" xfId="29184"/>
    <cellStyle name="Normal 4 3 3 2 4" xfId="4862"/>
    <cellStyle name="Normal 4 3 3 2 4 2" xfId="9836"/>
    <cellStyle name="Normal 4 3 3 2 4 3" xfId="14113"/>
    <cellStyle name="Normal 4 3 3 2 4 4" xfId="18372"/>
    <cellStyle name="Normal 4 3 3 2 4 5" xfId="22591"/>
    <cellStyle name="Normal 4 3 3 2 4 6" xfId="26786"/>
    <cellStyle name="Normal 4 3 3 2 4 7" xfId="30682"/>
    <cellStyle name="Normal 4 3 3 2 5" xfId="6210"/>
    <cellStyle name="Normal 4 3 3 2 5 2" xfId="11182"/>
    <cellStyle name="Normal 4 3 3 2 5 3" xfId="15460"/>
    <cellStyle name="Normal 4 3 3 2 5 4" xfId="19717"/>
    <cellStyle name="Normal 4 3 3 2 5 5" xfId="23934"/>
    <cellStyle name="Normal 4 3 3 2 5 6" xfId="28120"/>
    <cellStyle name="Normal 4 3 3 2 5 7" xfId="31999"/>
    <cellStyle name="Normal 4 3 3 2 6" xfId="7128"/>
    <cellStyle name="Normal 4 3 3 2 7" xfId="11420"/>
    <cellStyle name="Normal 4 3 3 2 8" xfId="15698"/>
    <cellStyle name="Normal 4 3 3 2 9" xfId="19955"/>
    <cellStyle name="Normal 4 3 3 3" xfId="1159"/>
    <cellStyle name="Normal 4 3 3 3 2" xfId="5190"/>
    <cellStyle name="Normal 4 3 3 3 2 2" xfId="10164"/>
    <cellStyle name="Normal 4 3 3 3 2 3" xfId="14441"/>
    <cellStyle name="Normal 4 3 3 3 2 4" xfId="18700"/>
    <cellStyle name="Normal 4 3 3 3 2 5" xfId="22919"/>
    <cellStyle name="Normal 4 3 3 3 2 6" xfId="27114"/>
    <cellStyle name="Normal 4 3 3 3 2 7" xfId="31010"/>
    <cellStyle name="Normal 4 3 3 3 3" xfId="8385"/>
    <cellStyle name="Normal 4 3 3 3 4" xfId="12670"/>
    <cellStyle name="Normal 4 3 3 3 5" xfId="16942"/>
    <cellStyle name="Normal 4 3 3 3 6" xfId="21177"/>
    <cellStyle name="Normal 4 3 3 3 7" xfId="25415"/>
    <cellStyle name="Normal 4 3 3 3 8" xfId="29493"/>
    <cellStyle name="Normal 4 3 3 3 9" xfId="3409"/>
    <cellStyle name="Normal 4 3 3 4" xfId="2548"/>
    <cellStyle name="Normal 4 3 3 4 2" xfId="7525"/>
    <cellStyle name="Normal 4 3 3 4 3" xfId="11814"/>
    <cellStyle name="Normal 4 3 3 4 4" xfId="16092"/>
    <cellStyle name="Normal 4 3 3 4 5" xfId="20335"/>
    <cellStyle name="Normal 4 3 3 4 6" xfId="24581"/>
    <cellStyle name="Normal 4 3 3 4 7" xfId="28686"/>
    <cellStyle name="Normal 4 3 3 5" xfId="4532"/>
    <cellStyle name="Normal 4 3 3 5 2" xfId="9506"/>
    <cellStyle name="Normal 4 3 3 5 3" xfId="13783"/>
    <cellStyle name="Normal 4 3 3 5 4" xfId="18043"/>
    <cellStyle name="Normal 4 3 3 5 5" xfId="22261"/>
    <cellStyle name="Normal 4 3 3 5 6" xfId="26457"/>
    <cellStyle name="Normal 4 3 3 5 7" xfId="30353"/>
    <cellStyle name="Normal 4 3 3 6" xfId="5881"/>
    <cellStyle name="Normal 4 3 3 6 2" xfId="10853"/>
    <cellStyle name="Normal 4 3 3 6 3" xfId="15131"/>
    <cellStyle name="Normal 4 3 3 6 4" xfId="19388"/>
    <cellStyle name="Normal 4 3 3 6 5" xfId="23605"/>
    <cellStyle name="Normal 4 3 3 6 6" xfId="27791"/>
    <cellStyle name="Normal 4 3 3 6 7" xfId="31670"/>
    <cellStyle name="Normal 4 3 3 7" xfId="6755"/>
    <cellStyle name="Normal 4 3 3 8" xfId="9192"/>
    <cellStyle name="Normal 4 3 3 9" xfId="13472"/>
    <cellStyle name="Normal 4 3 4" xfId="346"/>
    <cellStyle name="Normal 4 3 4 10" xfId="17631"/>
    <cellStyle name="Normal 4 3 4 11" xfId="21786"/>
    <cellStyle name="Normal 4 3 4 12" xfId="26078"/>
    <cellStyle name="Normal 4 3 4 13" xfId="1715"/>
    <cellStyle name="Normal 4 3 4 2" xfId="726"/>
    <cellStyle name="Normal 4 3 4 2 10" xfId="24101"/>
    <cellStyle name="Normal 4 3 4 2 11" xfId="28253"/>
    <cellStyle name="Normal 4 3 4 2 12" xfId="2045"/>
    <cellStyle name="Normal 4 3 4 2 2" xfId="1383"/>
    <cellStyle name="Normal 4 3 4 2 2 2" xfId="5414"/>
    <cellStyle name="Normal 4 3 4 2 2 2 2" xfId="10388"/>
    <cellStyle name="Normal 4 3 4 2 2 2 3" xfId="14665"/>
    <cellStyle name="Normal 4 3 4 2 2 2 4" xfId="18924"/>
    <cellStyle name="Normal 4 3 4 2 2 2 5" xfId="23143"/>
    <cellStyle name="Normal 4 3 4 2 2 2 6" xfId="27338"/>
    <cellStyle name="Normal 4 3 4 2 2 2 7" xfId="31234"/>
    <cellStyle name="Normal 4 3 4 2 2 3" xfId="8886"/>
    <cellStyle name="Normal 4 3 4 2 2 4" xfId="13171"/>
    <cellStyle name="Normal 4 3 4 2 2 5" xfId="17443"/>
    <cellStyle name="Normal 4 3 4 2 2 6" xfId="21677"/>
    <cellStyle name="Normal 4 3 4 2 2 7" xfId="25916"/>
    <cellStyle name="Normal 4 3 4 2 2 8" xfId="29990"/>
    <cellStyle name="Normal 4 3 4 2 2 9" xfId="3910"/>
    <cellStyle name="Normal 4 3 4 2 3" xfId="3079"/>
    <cellStyle name="Normal 4 3 4 2 3 2" xfId="8055"/>
    <cellStyle name="Normal 4 3 4 2 3 3" xfId="12343"/>
    <cellStyle name="Normal 4 3 4 2 3 4" xfId="16618"/>
    <cellStyle name="Normal 4 3 4 2 3 5" xfId="20856"/>
    <cellStyle name="Normal 4 3 4 2 3 6" xfId="25099"/>
    <cellStyle name="Normal 4 3 4 2 3 7" xfId="29185"/>
    <cellStyle name="Normal 4 3 4 2 4" xfId="4757"/>
    <cellStyle name="Normal 4 3 4 2 4 2" xfId="9731"/>
    <cellStyle name="Normal 4 3 4 2 4 3" xfId="14008"/>
    <cellStyle name="Normal 4 3 4 2 4 4" xfId="18267"/>
    <cellStyle name="Normal 4 3 4 2 4 5" xfId="22486"/>
    <cellStyle name="Normal 4 3 4 2 4 6" xfId="26681"/>
    <cellStyle name="Normal 4 3 4 2 4 7" xfId="30577"/>
    <cellStyle name="Normal 4 3 4 2 5" xfId="6105"/>
    <cellStyle name="Normal 4 3 4 2 5 2" xfId="11077"/>
    <cellStyle name="Normal 4 3 4 2 5 3" xfId="15355"/>
    <cellStyle name="Normal 4 3 4 2 5 4" xfId="19612"/>
    <cellStyle name="Normal 4 3 4 2 5 5" xfId="23829"/>
    <cellStyle name="Normal 4 3 4 2 5 6" xfId="28015"/>
    <cellStyle name="Normal 4 3 4 2 5 7" xfId="31894"/>
    <cellStyle name="Normal 4 3 4 2 6" xfId="7023"/>
    <cellStyle name="Normal 4 3 4 2 7" xfId="11315"/>
    <cellStyle name="Normal 4 3 4 2 8" xfId="15593"/>
    <cellStyle name="Normal 4 3 4 2 9" xfId="19850"/>
    <cellStyle name="Normal 4 3 4 3" xfId="1054"/>
    <cellStyle name="Normal 4 3 4 3 2" xfId="5085"/>
    <cellStyle name="Normal 4 3 4 3 2 2" xfId="10059"/>
    <cellStyle name="Normal 4 3 4 3 2 3" xfId="14336"/>
    <cellStyle name="Normal 4 3 4 3 2 4" xfId="18595"/>
    <cellStyle name="Normal 4 3 4 3 2 5" xfId="22814"/>
    <cellStyle name="Normal 4 3 4 3 2 6" xfId="27009"/>
    <cellStyle name="Normal 4 3 4 3 2 7" xfId="30905"/>
    <cellStyle name="Normal 4 3 4 3 3" xfId="8281"/>
    <cellStyle name="Normal 4 3 4 3 4" xfId="12566"/>
    <cellStyle name="Normal 4 3 4 3 5" xfId="16838"/>
    <cellStyle name="Normal 4 3 4 3 6" xfId="21073"/>
    <cellStyle name="Normal 4 3 4 3 7" xfId="25311"/>
    <cellStyle name="Normal 4 3 4 3 8" xfId="29389"/>
    <cellStyle name="Normal 4 3 4 3 9" xfId="3305"/>
    <cellStyle name="Normal 4 3 4 4" xfId="2443"/>
    <cellStyle name="Normal 4 3 4 4 2" xfId="7421"/>
    <cellStyle name="Normal 4 3 4 4 3" xfId="11709"/>
    <cellStyle name="Normal 4 3 4 4 4" xfId="15988"/>
    <cellStyle name="Normal 4 3 4 4 5" xfId="20230"/>
    <cellStyle name="Normal 4 3 4 4 6" xfId="24477"/>
    <cellStyle name="Normal 4 3 4 4 7" xfId="28582"/>
    <cellStyle name="Normal 4 3 4 5" xfId="4427"/>
    <cellStyle name="Normal 4 3 4 5 2" xfId="9401"/>
    <cellStyle name="Normal 4 3 4 5 3" xfId="13678"/>
    <cellStyle name="Normal 4 3 4 5 4" xfId="17938"/>
    <cellStyle name="Normal 4 3 4 5 5" xfId="22156"/>
    <cellStyle name="Normal 4 3 4 5 6" xfId="26352"/>
    <cellStyle name="Normal 4 3 4 5 7" xfId="30248"/>
    <cellStyle name="Normal 4 3 4 6" xfId="5776"/>
    <cellStyle name="Normal 4 3 4 6 2" xfId="10748"/>
    <cellStyle name="Normal 4 3 4 6 3" xfId="15026"/>
    <cellStyle name="Normal 4 3 4 6 4" xfId="19283"/>
    <cellStyle name="Normal 4 3 4 6 5" xfId="23500"/>
    <cellStyle name="Normal 4 3 4 6 6" xfId="27686"/>
    <cellStyle name="Normal 4 3 4 6 7" xfId="31565"/>
    <cellStyle name="Normal 4 3 4 7" xfId="6644"/>
    <cellStyle name="Normal 4 3 4 8" xfId="9080"/>
    <cellStyle name="Normal 4 3 4 9" xfId="13362"/>
    <cellStyle name="Normal 4 4" xfId="246"/>
    <cellStyle name="Normal 4 4 10" xfId="16517"/>
    <cellStyle name="Normal 4 4 11" xfId="21873"/>
    <cellStyle name="Normal 4 4 12" xfId="25002"/>
    <cellStyle name="Normal 4 4 13" xfId="1650"/>
    <cellStyle name="Normal 4 4 2" xfId="664"/>
    <cellStyle name="Normal 4 4 2 10" xfId="24039"/>
    <cellStyle name="Normal 4 4 2 11" xfId="13431"/>
    <cellStyle name="Normal 4 4 2 12" xfId="1983"/>
    <cellStyle name="Normal 4 4 2 2" xfId="1321"/>
    <cellStyle name="Normal 4 4 2 2 2" xfId="5352"/>
    <cellStyle name="Normal 4 4 2 2 2 2" xfId="10326"/>
    <cellStyle name="Normal 4 4 2 2 2 3" xfId="14603"/>
    <cellStyle name="Normal 4 4 2 2 2 4" xfId="18862"/>
    <cellStyle name="Normal 4 4 2 2 2 5" xfId="23081"/>
    <cellStyle name="Normal 4 4 2 2 2 6" xfId="27276"/>
    <cellStyle name="Normal 4 4 2 2 2 7" xfId="31172"/>
    <cellStyle name="Normal 4 4 2 2 3" xfId="8887"/>
    <cellStyle name="Normal 4 4 2 2 4" xfId="13172"/>
    <cellStyle name="Normal 4 4 2 2 5" xfId="17444"/>
    <cellStyle name="Normal 4 4 2 2 6" xfId="21678"/>
    <cellStyle name="Normal 4 4 2 2 7" xfId="25917"/>
    <cellStyle name="Normal 4 4 2 2 8" xfId="29991"/>
    <cellStyle name="Normal 4 4 2 2 9" xfId="3911"/>
    <cellStyle name="Normal 4 4 2 3" xfId="3080"/>
    <cellStyle name="Normal 4 4 2 3 2" xfId="8056"/>
    <cellStyle name="Normal 4 4 2 3 3" xfId="12344"/>
    <cellStyle name="Normal 4 4 2 3 4" xfId="16619"/>
    <cellStyle name="Normal 4 4 2 3 5" xfId="20857"/>
    <cellStyle name="Normal 4 4 2 3 6" xfId="25100"/>
    <cellStyle name="Normal 4 4 2 3 7" xfId="29186"/>
    <cellStyle name="Normal 4 4 2 4" xfId="4695"/>
    <cellStyle name="Normal 4 4 2 4 2" xfId="9669"/>
    <cellStyle name="Normal 4 4 2 4 3" xfId="13946"/>
    <cellStyle name="Normal 4 4 2 4 4" xfId="18205"/>
    <cellStyle name="Normal 4 4 2 4 5" xfId="22424"/>
    <cellStyle name="Normal 4 4 2 4 6" xfId="26619"/>
    <cellStyle name="Normal 4 4 2 4 7" xfId="30515"/>
    <cellStyle name="Normal 4 4 2 5" xfId="6043"/>
    <cellStyle name="Normal 4 4 2 5 2" xfId="11015"/>
    <cellStyle name="Normal 4 4 2 5 3" xfId="15293"/>
    <cellStyle name="Normal 4 4 2 5 4" xfId="19550"/>
    <cellStyle name="Normal 4 4 2 5 5" xfId="23767"/>
    <cellStyle name="Normal 4 4 2 5 6" xfId="27953"/>
    <cellStyle name="Normal 4 4 2 5 7" xfId="31832"/>
    <cellStyle name="Normal 4 4 2 6" xfId="6961"/>
    <cellStyle name="Normal 4 4 2 7" xfId="6848"/>
    <cellStyle name="Normal 4 4 2 8" xfId="6315"/>
    <cellStyle name="Normal 4 4 2 9" xfId="6369"/>
    <cellStyle name="Normal 4 4 3" xfId="992"/>
    <cellStyle name="Normal 4 4 3 2" xfId="5023"/>
    <cellStyle name="Normal 4 4 3 2 2" xfId="9997"/>
    <cellStyle name="Normal 4 4 3 2 3" xfId="14274"/>
    <cellStyle name="Normal 4 4 3 2 4" xfId="18533"/>
    <cellStyle name="Normal 4 4 3 2 5" xfId="22752"/>
    <cellStyle name="Normal 4 4 3 2 6" xfId="26947"/>
    <cellStyle name="Normal 4 4 3 2 7" xfId="30843"/>
    <cellStyle name="Normal 4 4 3 3" xfId="8230"/>
    <cellStyle name="Normal 4 4 3 4" xfId="12515"/>
    <cellStyle name="Normal 4 4 3 5" xfId="16788"/>
    <cellStyle name="Normal 4 4 3 6" xfId="21025"/>
    <cellStyle name="Normal 4 4 3 7" xfId="25262"/>
    <cellStyle name="Normal 4 4 3 8" xfId="29341"/>
    <cellStyle name="Normal 4 4 3 9" xfId="3254"/>
    <cellStyle name="Normal 4 4 4" xfId="2369"/>
    <cellStyle name="Normal 4 4 4 2" xfId="7347"/>
    <cellStyle name="Normal 4 4 4 3" xfId="11636"/>
    <cellStyle name="Normal 4 4 4 4" xfId="15915"/>
    <cellStyle name="Normal 4 4 4 5" xfId="20164"/>
    <cellStyle name="Normal 4 4 4 6" xfId="24412"/>
    <cellStyle name="Normal 4 4 4 7" xfId="28533"/>
    <cellStyle name="Normal 4 4 5" xfId="4364"/>
    <cellStyle name="Normal 4 4 5 2" xfId="9338"/>
    <cellStyle name="Normal 4 4 5 3" xfId="13615"/>
    <cellStyle name="Normal 4 4 5 4" xfId="17875"/>
    <cellStyle name="Normal 4 4 5 5" xfId="22094"/>
    <cellStyle name="Normal 4 4 5 6" xfId="26290"/>
    <cellStyle name="Normal 4 4 5 7" xfId="30186"/>
    <cellStyle name="Normal 4 4 6" xfId="5714"/>
    <cellStyle name="Normal 4 4 6 2" xfId="10686"/>
    <cellStyle name="Normal 4 4 6 3" xfId="14964"/>
    <cellStyle name="Normal 4 4 6 4" xfId="19221"/>
    <cellStyle name="Normal 4 4 6 5" xfId="23438"/>
    <cellStyle name="Normal 4 4 6 6" xfId="27624"/>
    <cellStyle name="Normal 4 4 6 7" xfId="31503"/>
    <cellStyle name="Normal 4 4 7" xfId="6544"/>
    <cellStyle name="Normal 4 4 8" xfId="7952"/>
    <cellStyle name="Normal 4 4 9" xfId="12241"/>
    <cellStyle name="Normal 4 5" xfId="506"/>
    <cellStyle name="Normal 4 5 10" xfId="19131"/>
    <cellStyle name="Normal 4 5 11" xfId="17550"/>
    <cellStyle name="Normal 4 5 12" xfId="27542"/>
    <cellStyle name="Normal 4 5 13" xfId="1869"/>
    <cellStyle name="Normal 4 5 2" xfId="880"/>
    <cellStyle name="Normal 4 5 2 10" xfId="24255"/>
    <cellStyle name="Normal 4 5 2 11" xfId="28407"/>
    <cellStyle name="Normal 4 5 2 12" xfId="2199"/>
    <cellStyle name="Normal 4 5 2 2" xfId="1537"/>
    <cellStyle name="Normal 4 5 2 2 2" xfId="5568"/>
    <cellStyle name="Normal 4 5 2 2 2 2" xfId="10542"/>
    <cellStyle name="Normal 4 5 2 2 2 3" xfId="14819"/>
    <cellStyle name="Normal 4 5 2 2 2 4" xfId="19078"/>
    <cellStyle name="Normal 4 5 2 2 2 5" xfId="23297"/>
    <cellStyle name="Normal 4 5 2 2 2 6" xfId="27492"/>
    <cellStyle name="Normal 4 5 2 2 2 7" xfId="31388"/>
    <cellStyle name="Normal 4 5 2 2 3" xfId="8888"/>
    <cellStyle name="Normal 4 5 2 2 4" xfId="13173"/>
    <cellStyle name="Normal 4 5 2 2 5" xfId="17445"/>
    <cellStyle name="Normal 4 5 2 2 6" xfId="21679"/>
    <cellStyle name="Normal 4 5 2 2 7" xfId="25918"/>
    <cellStyle name="Normal 4 5 2 2 8" xfId="29992"/>
    <cellStyle name="Normal 4 5 2 2 9" xfId="3912"/>
    <cellStyle name="Normal 4 5 2 3" xfId="3081"/>
    <cellStyle name="Normal 4 5 2 3 2" xfId="8057"/>
    <cellStyle name="Normal 4 5 2 3 3" xfId="12345"/>
    <cellStyle name="Normal 4 5 2 3 4" xfId="16620"/>
    <cellStyle name="Normal 4 5 2 3 5" xfId="20858"/>
    <cellStyle name="Normal 4 5 2 3 6" xfId="25101"/>
    <cellStyle name="Normal 4 5 2 3 7" xfId="29187"/>
    <cellStyle name="Normal 4 5 2 4" xfId="4911"/>
    <cellStyle name="Normal 4 5 2 4 2" xfId="9885"/>
    <cellStyle name="Normal 4 5 2 4 3" xfId="14162"/>
    <cellStyle name="Normal 4 5 2 4 4" xfId="18421"/>
    <cellStyle name="Normal 4 5 2 4 5" xfId="22640"/>
    <cellStyle name="Normal 4 5 2 4 6" xfId="26835"/>
    <cellStyle name="Normal 4 5 2 4 7" xfId="30731"/>
    <cellStyle name="Normal 4 5 2 5" xfId="6259"/>
    <cellStyle name="Normal 4 5 2 5 2" xfId="11231"/>
    <cellStyle name="Normal 4 5 2 5 3" xfId="15509"/>
    <cellStyle name="Normal 4 5 2 5 4" xfId="19766"/>
    <cellStyle name="Normal 4 5 2 5 5" xfId="23983"/>
    <cellStyle name="Normal 4 5 2 5 6" xfId="28169"/>
    <cellStyle name="Normal 4 5 2 5 7" xfId="32048"/>
    <cellStyle name="Normal 4 5 2 6" xfId="7177"/>
    <cellStyle name="Normal 4 5 2 7" xfId="11469"/>
    <cellStyle name="Normal 4 5 2 8" xfId="15747"/>
    <cellStyle name="Normal 4 5 2 9" xfId="20004"/>
    <cellStyle name="Normal 4 5 3" xfId="1208"/>
    <cellStyle name="Normal 4 5 3 2" xfId="5239"/>
    <cellStyle name="Normal 4 5 3 2 2" xfId="10213"/>
    <cellStyle name="Normal 4 5 3 2 3" xfId="14490"/>
    <cellStyle name="Normal 4 5 3 2 4" xfId="18749"/>
    <cellStyle name="Normal 4 5 3 2 5" xfId="22968"/>
    <cellStyle name="Normal 4 5 3 2 6" xfId="27163"/>
    <cellStyle name="Normal 4 5 3 2 7" xfId="31059"/>
    <cellStyle name="Normal 4 5 3 3" xfId="8449"/>
    <cellStyle name="Normal 4 5 3 4" xfId="12734"/>
    <cellStyle name="Normal 4 5 3 5" xfId="17006"/>
    <cellStyle name="Normal 4 5 3 6" xfId="21241"/>
    <cellStyle name="Normal 4 5 3 7" xfId="25479"/>
    <cellStyle name="Normal 4 5 3 8" xfId="29557"/>
    <cellStyle name="Normal 4 5 3 9" xfId="3473"/>
    <cellStyle name="Normal 4 5 4" xfId="2615"/>
    <cellStyle name="Normal 4 5 4 2" xfId="7592"/>
    <cellStyle name="Normal 4 5 4 3" xfId="11881"/>
    <cellStyle name="Normal 4 5 4 4" xfId="16157"/>
    <cellStyle name="Normal 4 5 4 5" xfId="20400"/>
    <cellStyle name="Normal 4 5 4 6" xfId="24646"/>
    <cellStyle name="Normal 4 5 4 7" xfId="28750"/>
    <cellStyle name="Normal 4 5 5" xfId="4581"/>
    <cellStyle name="Normal 4 5 5 2" xfId="9555"/>
    <cellStyle name="Normal 4 5 5 3" xfId="13832"/>
    <cellStyle name="Normal 4 5 5 4" xfId="18092"/>
    <cellStyle name="Normal 4 5 5 5" xfId="22310"/>
    <cellStyle name="Normal 4 5 5 6" xfId="26506"/>
    <cellStyle name="Normal 4 5 5 7" xfId="30402"/>
    <cellStyle name="Normal 4 5 6" xfId="5930"/>
    <cellStyle name="Normal 4 5 6 2" xfId="10902"/>
    <cellStyle name="Normal 4 5 6 3" xfId="15180"/>
    <cellStyle name="Normal 4 5 6 4" xfId="19437"/>
    <cellStyle name="Normal 4 5 6 5" xfId="23654"/>
    <cellStyle name="Normal 4 5 6 6" xfId="27840"/>
    <cellStyle name="Normal 4 5 6 7" xfId="31719"/>
    <cellStyle name="Normal 4 5 7" xfId="6804"/>
    <cellStyle name="Normal 4 5 8" xfId="10595"/>
    <cellStyle name="Normal 4 5 9" xfId="14873"/>
    <cellStyle name="Normal 4 6" xfId="607"/>
    <cellStyle name="Normal 4 6 10" xfId="6846"/>
    <cellStyle name="Normal 4 6 11" xfId="22002"/>
    <cellStyle name="Normal 4 6 12" xfId="7228"/>
    <cellStyle name="Normal 4 6 13" xfId="1926"/>
    <cellStyle name="Normal 4 6 2" xfId="1264"/>
    <cellStyle name="Normal 4 6 2 10" xfId="3083"/>
    <cellStyle name="Normal 4 6 2 2" xfId="3914"/>
    <cellStyle name="Normal 4 6 2 2 2" xfId="8890"/>
    <cellStyle name="Normal 4 6 2 2 3" xfId="13175"/>
    <cellStyle name="Normal 4 6 2 2 4" xfId="17447"/>
    <cellStyle name="Normal 4 6 2 2 5" xfId="21681"/>
    <cellStyle name="Normal 4 6 2 2 6" xfId="25920"/>
    <cellStyle name="Normal 4 6 2 2 7" xfId="29994"/>
    <cellStyle name="Normal 4 6 2 3" xfId="5295"/>
    <cellStyle name="Normal 4 6 2 3 2" xfId="10269"/>
    <cellStyle name="Normal 4 6 2 3 3" xfId="14546"/>
    <cellStyle name="Normal 4 6 2 3 4" xfId="18805"/>
    <cellStyle name="Normal 4 6 2 3 5" xfId="23024"/>
    <cellStyle name="Normal 4 6 2 3 6" xfId="27219"/>
    <cellStyle name="Normal 4 6 2 3 7" xfId="31115"/>
    <cellStyle name="Normal 4 6 2 4" xfId="8059"/>
    <cellStyle name="Normal 4 6 2 5" xfId="12347"/>
    <cellStyle name="Normal 4 6 2 6" xfId="16622"/>
    <cellStyle name="Normal 4 6 2 7" xfId="20860"/>
    <cellStyle name="Normal 4 6 2 8" xfId="25103"/>
    <cellStyle name="Normal 4 6 2 9" xfId="29189"/>
    <cellStyle name="Normal 4 6 3" xfId="3913"/>
    <cellStyle name="Normal 4 6 3 2" xfId="8889"/>
    <cellStyle name="Normal 4 6 3 3" xfId="13174"/>
    <cellStyle name="Normal 4 6 3 4" xfId="17446"/>
    <cellStyle name="Normal 4 6 3 5" xfId="21680"/>
    <cellStyle name="Normal 4 6 3 6" xfId="25919"/>
    <cellStyle name="Normal 4 6 3 7" xfId="29993"/>
    <cellStyle name="Normal 4 6 4" xfId="3082"/>
    <cellStyle name="Normal 4 6 4 2" xfId="8058"/>
    <cellStyle name="Normal 4 6 4 3" xfId="12346"/>
    <cellStyle name="Normal 4 6 4 4" xfId="16621"/>
    <cellStyle name="Normal 4 6 4 5" xfId="20859"/>
    <cellStyle name="Normal 4 6 4 6" xfId="25102"/>
    <cellStyle name="Normal 4 6 4 7" xfId="29188"/>
    <cellStyle name="Normal 4 6 5" xfId="4638"/>
    <cellStyle name="Normal 4 6 5 2" xfId="9612"/>
    <cellStyle name="Normal 4 6 5 3" xfId="13889"/>
    <cellStyle name="Normal 4 6 5 4" xfId="18148"/>
    <cellStyle name="Normal 4 6 5 5" xfId="22367"/>
    <cellStyle name="Normal 4 6 5 6" xfId="26562"/>
    <cellStyle name="Normal 4 6 5 7" xfId="30458"/>
    <cellStyle name="Normal 4 6 6" xfId="5986"/>
    <cellStyle name="Normal 4 6 6 2" xfId="10958"/>
    <cellStyle name="Normal 4 6 6 3" xfId="15236"/>
    <cellStyle name="Normal 4 6 6 4" xfId="19493"/>
    <cellStyle name="Normal 4 6 6 5" xfId="23710"/>
    <cellStyle name="Normal 4 6 6 6" xfId="27896"/>
    <cellStyle name="Normal 4 6 6 7" xfId="31775"/>
    <cellStyle name="Normal 4 6 7" xfId="6904"/>
    <cellStyle name="Normal 4 6 8" xfId="6521"/>
    <cellStyle name="Normal 4 6 9" xfId="6450"/>
    <cellStyle name="Normal 4 7" xfId="935"/>
    <cellStyle name="Normal 4 7 10" xfId="3084"/>
    <cellStyle name="Normal 4 7 2" xfId="3915"/>
    <cellStyle name="Normal 4 7 2 2" xfId="8891"/>
    <cellStyle name="Normal 4 7 2 3" xfId="13176"/>
    <cellStyle name="Normal 4 7 2 4" xfId="17448"/>
    <cellStyle name="Normal 4 7 2 5" xfId="21682"/>
    <cellStyle name="Normal 4 7 2 6" xfId="25921"/>
    <cellStyle name="Normal 4 7 2 7" xfId="29995"/>
    <cellStyle name="Normal 4 7 3" xfId="4966"/>
    <cellStyle name="Normal 4 7 3 2" xfId="9940"/>
    <cellStyle name="Normal 4 7 3 3" xfId="14217"/>
    <cellStyle name="Normal 4 7 3 4" xfId="18476"/>
    <cellStyle name="Normal 4 7 3 5" xfId="22695"/>
    <cellStyle name="Normal 4 7 3 6" xfId="26890"/>
    <cellStyle name="Normal 4 7 3 7" xfId="30786"/>
    <cellStyle name="Normal 4 7 4" xfId="8060"/>
    <cellStyle name="Normal 4 7 5" xfId="12348"/>
    <cellStyle name="Normal 4 7 6" xfId="16623"/>
    <cellStyle name="Normal 4 7 7" xfId="20861"/>
    <cellStyle name="Normal 4 7 8" xfId="25104"/>
    <cellStyle name="Normal 4 7 9" xfId="29190"/>
    <cellStyle name="Normal 4 8" xfId="3178"/>
    <cellStyle name="Normal 4 8 2" xfId="8154"/>
    <cellStyle name="Normal 4 8 3" xfId="12440"/>
    <cellStyle name="Normal 4 8 4" xfId="16714"/>
    <cellStyle name="Normal 4 8 5" xfId="20950"/>
    <cellStyle name="Normal 4 8 6" xfId="25190"/>
    <cellStyle name="Normal 4 8 7" xfId="29271"/>
    <cellStyle name="Normal 4 9" xfId="2265"/>
    <cellStyle name="Normal 4 9 2" xfId="7243"/>
    <cellStyle name="Normal 4 9 3" xfId="11533"/>
    <cellStyle name="Normal 4 9 4" xfId="15812"/>
    <cellStyle name="Normal 4 9 5" xfId="20067"/>
    <cellStyle name="Normal 4 9 6" xfId="24317"/>
    <cellStyle name="Normal 4 9 7" xfId="28462"/>
    <cellStyle name="Normal 5" xfId="101"/>
    <cellStyle name="Normal 5 2" xfId="203"/>
    <cellStyle name="Normal 5 2 2" xfId="279"/>
    <cellStyle name="Normal 5 2 2 2" xfId="356"/>
    <cellStyle name="Normal 5 2 3" xfId="3085"/>
    <cellStyle name="Normal 5 2 3 2" xfId="4132"/>
    <cellStyle name="Normal 5 3" xfId="277"/>
    <cellStyle name="Normal 5 3 2" xfId="3257"/>
    <cellStyle name="Normal 5 3 3" xfId="2372"/>
    <cellStyle name="Normal 5 3 4" xfId="4070"/>
    <cellStyle name="Normal 5 3 4 2" xfId="9045"/>
    <cellStyle name="Normal 5 3 4 3" xfId="13328"/>
    <cellStyle name="Normal 5 3 4 4" xfId="17600"/>
    <cellStyle name="Normal 5 3 4 5" xfId="21822"/>
    <cellStyle name="Normal 5 3 4 6" xfId="26052"/>
    <cellStyle name="Normal 5 3 4 7" xfId="30075"/>
    <cellStyle name="Normal 5 3 5" xfId="1658"/>
    <cellStyle name="Normal 5 4" xfId="4211"/>
    <cellStyle name="Normal 5 5" xfId="4270"/>
    <cellStyle name="Normal 5 5 2" xfId="9244"/>
    <cellStyle name="Normal 5 5 3" xfId="13521"/>
    <cellStyle name="Normal 5 5 4" xfId="17781"/>
    <cellStyle name="Normal 5 5 5" xfId="22003"/>
    <cellStyle name="Normal 5 5 6" xfId="26198"/>
    <cellStyle name="Normal 5 5 7" xfId="30106"/>
    <cellStyle name="Normal 5 6" xfId="4077"/>
    <cellStyle name="Normal 5 7" xfId="4147"/>
    <cellStyle name="Normal 5 7 2" xfId="9122"/>
    <cellStyle name="Normal 5 7 3" xfId="13402"/>
    <cellStyle name="Normal 5 7 4" xfId="17670"/>
    <cellStyle name="Normal 5 7 5" xfId="21894"/>
    <cellStyle name="Normal 5 7 6" xfId="26112"/>
    <cellStyle name="Normal 5 7 7" xfId="30088"/>
    <cellStyle name="Normal 5 8" xfId="4040"/>
    <cellStyle name="Normal 5 9" xfId="5634"/>
    <cellStyle name="Normal 5 9 2" xfId="10607"/>
    <cellStyle name="Normal 5 9 3" xfId="14884"/>
    <cellStyle name="Normal 5 9 4" xfId="19142"/>
    <cellStyle name="Normal 5 9 5" xfId="23362"/>
    <cellStyle name="Normal 5 9 6" xfId="27551"/>
    <cellStyle name="Normal 5 9 7" xfId="31432"/>
    <cellStyle name="Normal 6" xfId="102"/>
    <cellStyle name="Normal 6 10" xfId="4306"/>
    <cellStyle name="Normal 6 10 2" xfId="9280"/>
    <cellStyle name="Normal 6 10 3" xfId="13557"/>
    <cellStyle name="Normal 6 10 4" xfId="17817"/>
    <cellStyle name="Normal 6 10 5" xfId="22036"/>
    <cellStyle name="Normal 6 10 6" xfId="26234"/>
    <cellStyle name="Normal 6 10 7" xfId="30131"/>
    <cellStyle name="Normal 6 11" xfId="5632"/>
    <cellStyle name="Normal 6 11 2" xfId="10605"/>
    <cellStyle name="Normal 6 11 3" xfId="14882"/>
    <cellStyle name="Normal 6 11 4" xfId="19140"/>
    <cellStyle name="Normal 6 11 5" xfId="23360"/>
    <cellStyle name="Normal 6 11 6" xfId="27549"/>
    <cellStyle name="Normal 6 11 7" xfId="31430"/>
    <cellStyle name="Normal 6 12" xfId="6402"/>
    <cellStyle name="Normal 6 13" xfId="7350"/>
    <cellStyle name="Normal 6 14" xfId="11639"/>
    <cellStyle name="Normal 6 15" xfId="15918"/>
    <cellStyle name="Normal 6 16" xfId="15953"/>
    <cellStyle name="Normal 6 17" xfId="24415"/>
    <cellStyle name="Normal 6 18" xfId="1596"/>
    <cellStyle name="Normal 6 2" xfId="196"/>
    <cellStyle name="Normal 6 2 2" xfId="4229"/>
    <cellStyle name="Normal 6 2 2 2" xfId="9203"/>
    <cellStyle name="Normal 6 2 2 3" xfId="13481"/>
    <cellStyle name="Normal 6 2 2 4" xfId="17744"/>
    <cellStyle name="Normal 6 2 2 5" xfId="21969"/>
    <cellStyle name="Normal 6 2 2 6" xfId="26168"/>
    <cellStyle name="Normal 6 2 2 7" xfId="30102"/>
    <cellStyle name="Normal 6 3" xfId="293"/>
    <cellStyle name="Normal 6 3 10" xfId="12236"/>
    <cellStyle name="Normal 6 3 11" xfId="16512"/>
    <cellStyle name="Normal 6 3 12" xfId="21849"/>
    <cellStyle name="Normal 6 3 13" xfId="24998"/>
    <cellStyle name="Normal 6 3 14" xfId="1665"/>
    <cellStyle name="Normal 6 3 2" xfId="442"/>
    <cellStyle name="Normal 6 3 2 10" xfId="17770"/>
    <cellStyle name="Normal 6 3 2 11" xfId="15790"/>
    <cellStyle name="Normal 6 3 2 12" xfId="26189"/>
    <cellStyle name="Normal 6 3 2 13" xfId="1805"/>
    <cellStyle name="Normal 6 3 2 2" xfId="816"/>
    <cellStyle name="Normal 6 3 2 2 10" xfId="24191"/>
    <cellStyle name="Normal 6 3 2 2 11" xfId="28343"/>
    <cellStyle name="Normal 6 3 2 2 12" xfId="2135"/>
    <cellStyle name="Normal 6 3 2 2 2" xfId="1473"/>
    <cellStyle name="Normal 6 3 2 2 2 2" xfId="5504"/>
    <cellStyle name="Normal 6 3 2 2 2 2 2" xfId="10478"/>
    <cellStyle name="Normal 6 3 2 2 2 2 3" xfId="14755"/>
    <cellStyle name="Normal 6 3 2 2 2 2 4" xfId="19014"/>
    <cellStyle name="Normal 6 3 2 2 2 2 5" xfId="23233"/>
    <cellStyle name="Normal 6 3 2 2 2 2 6" xfId="27428"/>
    <cellStyle name="Normal 6 3 2 2 2 2 7" xfId="31324"/>
    <cellStyle name="Normal 6 3 2 2 2 3" xfId="8892"/>
    <cellStyle name="Normal 6 3 2 2 2 4" xfId="13177"/>
    <cellStyle name="Normal 6 3 2 2 2 5" xfId="17449"/>
    <cellStyle name="Normal 6 3 2 2 2 6" xfId="21683"/>
    <cellStyle name="Normal 6 3 2 2 2 7" xfId="25922"/>
    <cellStyle name="Normal 6 3 2 2 2 8" xfId="29996"/>
    <cellStyle name="Normal 6 3 2 2 2 9" xfId="3916"/>
    <cellStyle name="Normal 6 3 2 2 3" xfId="3086"/>
    <cellStyle name="Normal 6 3 2 2 3 2" xfId="8062"/>
    <cellStyle name="Normal 6 3 2 2 3 3" xfId="12350"/>
    <cellStyle name="Normal 6 3 2 2 3 4" xfId="16625"/>
    <cellStyle name="Normal 6 3 2 2 3 5" xfId="20862"/>
    <cellStyle name="Normal 6 3 2 2 3 6" xfId="25106"/>
    <cellStyle name="Normal 6 3 2 2 3 7" xfId="29191"/>
    <cellStyle name="Normal 6 3 2 2 4" xfId="4847"/>
    <cellStyle name="Normal 6 3 2 2 4 2" xfId="9821"/>
    <cellStyle name="Normal 6 3 2 2 4 3" xfId="14098"/>
    <cellStyle name="Normal 6 3 2 2 4 4" xfId="18357"/>
    <cellStyle name="Normal 6 3 2 2 4 5" xfId="22576"/>
    <cellStyle name="Normal 6 3 2 2 4 6" xfId="26771"/>
    <cellStyle name="Normal 6 3 2 2 4 7" xfId="30667"/>
    <cellStyle name="Normal 6 3 2 2 5" xfId="6195"/>
    <cellStyle name="Normal 6 3 2 2 5 2" xfId="11167"/>
    <cellStyle name="Normal 6 3 2 2 5 3" xfId="15445"/>
    <cellStyle name="Normal 6 3 2 2 5 4" xfId="19702"/>
    <cellStyle name="Normal 6 3 2 2 5 5" xfId="23919"/>
    <cellStyle name="Normal 6 3 2 2 5 6" xfId="28105"/>
    <cellStyle name="Normal 6 3 2 2 5 7" xfId="31984"/>
    <cellStyle name="Normal 6 3 2 2 6" xfId="7113"/>
    <cellStyle name="Normal 6 3 2 2 7" xfId="11405"/>
    <cellStyle name="Normal 6 3 2 2 8" xfId="15683"/>
    <cellStyle name="Normal 6 3 2 2 9" xfId="19940"/>
    <cellStyle name="Normal 6 3 2 3" xfId="1144"/>
    <cellStyle name="Normal 6 3 2 3 2" xfId="5175"/>
    <cellStyle name="Normal 6 3 2 3 2 2" xfId="10149"/>
    <cellStyle name="Normal 6 3 2 3 2 3" xfId="14426"/>
    <cellStyle name="Normal 6 3 2 3 2 4" xfId="18685"/>
    <cellStyle name="Normal 6 3 2 3 2 5" xfId="22904"/>
    <cellStyle name="Normal 6 3 2 3 2 6" xfId="27099"/>
    <cellStyle name="Normal 6 3 2 3 2 7" xfId="30995"/>
    <cellStyle name="Normal 6 3 2 3 3" xfId="8370"/>
    <cellStyle name="Normal 6 3 2 3 4" xfId="12655"/>
    <cellStyle name="Normal 6 3 2 3 5" xfId="16927"/>
    <cellStyle name="Normal 6 3 2 3 6" xfId="21162"/>
    <cellStyle name="Normal 6 3 2 3 7" xfId="25400"/>
    <cellStyle name="Normal 6 3 2 3 8" xfId="29478"/>
    <cellStyle name="Normal 6 3 2 3 9" xfId="3394"/>
    <cellStyle name="Normal 6 3 2 4" xfId="2533"/>
    <cellStyle name="Normal 6 3 2 4 2" xfId="7510"/>
    <cellStyle name="Normal 6 3 2 4 3" xfId="11799"/>
    <cellStyle name="Normal 6 3 2 4 4" xfId="16077"/>
    <cellStyle name="Normal 6 3 2 4 5" xfId="20320"/>
    <cellStyle name="Normal 6 3 2 4 6" xfId="24566"/>
    <cellStyle name="Normal 6 3 2 4 7" xfId="28671"/>
    <cellStyle name="Normal 6 3 2 5" xfId="4517"/>
    <cellStyle name="Normal 6 3 2 5 2" xfId="9491"/>
    <cellStyle name="Normal 6 3 2 5 3" xfId="13768"/>
    <cellStyle name="Normal 6 3 2 5 4" xfId="18028"/>
    <cellStyle name="Normal 6 3 2 5 5" xfId="22246"/>
    <cellStyle name="Normal 6 3 2 5 6" xfId="26442"/>
    <cellStyle name="Normal 6 3 2 5 7" xfId="30338"/>
    <cellStyle name="Normal 6 3 2 6" xfId="5866"/>
    <cellStyle name="Normal 6 3 2 6 2" xfId="10838"/>
    <cellStyle name="Normal 6 3 2 6 3" xfId="15116"/>
    <cellStyle name="Normal 6 3 2 6 4" xfId="19373"/>
    <cellStyle name="Normal 6 3 2 6 5" xfId="23590"/>
    <cellStyle name="Normal 6 3 2 6 6" xfId="27776"/>
    <cellStyle name="Normal 6 3 2 6 7" xfId="31655"/>
    <cellStyle name="Normal 6 3 2 7" xfId="6740"/>
    <cellStyle name="Normal 6 3 2 8" xfId="9232"/>
    <cellStyle name="Normal 6 3 2 9" xfId="13510"/>
    <cellStyle name="Normal 6 3 3" xfId="676"/>
    <cellStyle name="Normal 6 3 3 10" xfId="24051"/>
    <cellStyle name="Normal 6 3 3 11" xfId="24465"/>
    <cellStyle name="Normal 6 3 3 12" xfId="1995"/>
    <cellStyle name="Normal 6 3 3 2" xfId="1333"/>
    <cellStyle name="Normal 6 3 3 2 2" xfId="5364"/>
    <cellStyle name="Normal 6 3 3 2 2 2" xfId="10338"/>
    <cellStyle name="Normal 6 3 3 2 2 3" xfId="14615"/>
    <cellStyle name="Normal 6 3 3 2 2 4" xfId="18874"/>
    <cellStyle name="Normal 6 3 3 2 2 5" xfId="23093"/>
    <cellStyle name="Normal 6 3 3 2 2 6" xfId="27288"/>
    <cellStyle name="Normal 6 3 3 2 2 7" xfId="31184"/>
    <cellStyle name="Normal 6 3 3 2 3" xfId="8893"/>
    <cellStyle name="Normal 6 3 3 2 4" xfId="13178"/>
    <cellStyle name="Normal 6 3 3 2 5" xfId="17450"/>
    <cellStyle name="Normal 6 3 3 2 6" xfId="21684"/>
    <cellStyle name="Normal 6 3 3 2 7" xfId="25923"/>
    <cellStyle name="Normal 6 3 3 2 8" xfId="29997"/>
    <cellStyle name="Normal 6 3 3 2 9" xfId="3917"/>
    <cellStyle name="Normal 6 3 3 3" xfId="3087"/>
    <cellStyle name="Normal 6 3 3 3 2" xfId="8063"/>
    <cellStyle name="Normal 6 3 3 3 3" xfId="12351"/>
    <cellStyle name="Normal 6 3 3 3 4" xfId="16626"/>
    <cellStyle name="Normal 6 3 3 3 5" xfId="20863"/>
    <cellStyle name="Normal 6 3 3 3 6" xfId="25107"/>
    <cellStyle name="Normal 6 3 3 3 7" xfId="29192"/>
    <cellStyle name="Normal 6 3 3 4" xfId="4707"/>
    <cellStyle name="Normal 6 3 3 4 2" xfId="9681"/>
    <cellStyle name="Normal 6 3 3 4 3" xfId="13958"/>
    <cellStyle name="Normal 6 3 3 4 4" xfId="18217"/>
    <cellStyle name="Normal 6 3 3 4 5" xfId="22436"/>
    <cellStyle name="Normal 6 3 3 4 6" xfId="26631"/>
    <cellStyle name="Normal 6 3 3 4 7" xfId="30527"/>
    <cellStyle name="Normal 6 3 3 5" xfId="6055"/>
    <cellStyle name="Normal 6 3 3 5 2" xfId="11027"/>
    <cellStyle name="Normal 6 3 3 5 3" xfId="15305"/>
    <cellStyle name="Normal 6 3 3 5 4" xfId="19562"/>
    <cellStyle name="Normal 6 3 3 5 5" xfId="23779"/>
    <cellStyle name="Normal 6 3 3 5 6" xfId="27965"/>
    <cellStyle name="Normal 6 3 3 5 7" xfId="31844"/>
    <cellStyle name="Normal 6 3 3 6" xfId="6973"/>
    <cellStyle name="Normal 6 3 3 7" xfId="7403"/>
    <cellStyle name="Normal 6 3 3 8" xfId="11692"/>
    <cellStyle name="Normal 6 3 3 9" xfId="15970"/>
    <cellStyle name="Normal 6 3 4" xfId="1004"/>
    <cellStyle name="Normal 6 3 4 2" xfId="5035"/>
    <cellStyle name="Normal 6 3 4 2 2" xfId="10009"/>
    <cellStyle name="Normal 6 3 4 2 3" xfId="14286"/>
    <cellStyle name="Normal 6 3 4 2 4" xfId="18545"/>
    <cellStyle name="Normal 6 3 4 2 5" xfId="22764"/>
    <cellStyle name="Normal 6 3 4 2 6" xfId="26959"/>
    <cellStyle name="Normal 6 3 4 2 7" xfId="30855"/>
    <cellStyle name="Normal 6 3 4 3" xfId="8209"/>
    <cellStyle name="Normal 6 3 4 4" xfId="12495"/>
    <cellStyle name="Normal 6 3 4 5" xfId="16767"/>
    <cellStyle name="Normal 6 3 4 6" xfId="21005"/>
    <cellStyle name="Normal 6 3 4 7" xfId="25243"/>
    <cellStyle name="Normal 6 3 4 8" xfId="29324"/>
    <cellStyle name="Normal 6 3 4 9" xfId="3233"/>
    <cellStyle name="Normal 6 3 5" xfId="2340"/>
    <cellStyle name="Normal 6 3 5 2" xfId="7318"/>
    <cellStyle name="Normal 6 3 5 3" xfId="11608"/>
    <cellStyle name="Normal 6 3 5 4" xfId="15886"/>
    <cellStyle name="Normal 6 3 5 5" xfId="20138"/>
    <cellStyle name="Normal 6 3 5 6" xfId="24386"/>
    <cellStyle name="Normal 6 3 5 7" xfId="28516"/>
    <cellStyle name="Normal 6 3 6" xfId="4377"/>
    <cellStyle name="Normal 6 3 6 2" xfId="9351"/>
    <cellStyle name="Normal 6 3 6 3" xfId="13628"/>
    <cellStyle name="Normal 6 3 6 4" xfId="17888"/>
    <cellStyle name="Normal 6 3 6 5" xfId="22106"/>
    <cellStyle name="Normal 6 3 6 6" xfId="26302"/>
    <cellStyle name="Normal 6 3 6 7" xfId="30198"/>
    <cellStyle name="Normal 6 3 7" xfId="5726"/>
    <cellStyle name="Normal 6 3 7 2" xfId="10698"/>
    <cellStyle name="Normal 6 3 7 3" xfId="14976"/>
    <cellStyle name="Normal 6 3 7 4" xfId="19233"/>
    <cellStyle name="Normal 6 3 7 5" xfId="23450"/>
    <cellStyle name="Normal 6 3 7 6" xfId="27636"/>
    <cellStyle name="Normal 6 3 7 7" xfId="31515"/>
    <cellStyle name="Normal 6 3 8" xfId="6591"/>
    <cellStyle name="Normal 6 3 9" xfId="7947"/>
    <cellStyle name="Normal 6 4" xfId="217"/>
    <cellStyle name="Normal 6 4 2" xfId="4131"/>
    <cellStyle name="Normal 6 5" xfId="509"/>
    <cellStyle name="Normal 6 5 10" xfId="13357"/>
    <cellStyle name="Normal 6 5 11" xfId="16835"/>
    <cellStyle name="Normal 6 5 12" xfId="20647"/>
    <cellStyle name="Normal 6 5 13" xfId="1872"/>
    <cellStyle name="Normal 6 5 2" xfId="883"/>
    <cellStyle name="Normal 6 5 2 10" xfId="24258"/>
    <cellStyle name="Normal 6 5 2 11" xfId="28410"/>
    <cellStyle name="Normal 6 5 2 12" xfId="2202"/>
    <cellStyle name="Normal 6 5 2 2" xfId="1540"/>
    <cellStyle name="Normal 6 5 2 2 2" xfId="5571"/>
    <cellStyle name="Normal 6 5 2 2 2 2" xfId="10545"/>
    <cellStyle name="Normal 6 5 2 2 2 3" xfId="14822"/>
    <cellStyle name="Normal 6 5 2 2 2 4" xfId="19081"/>
    <cellStyle name="Normal 6 5 2 2 2 5" xfId="23300"/>
    <cellStyle name="Normal 6 5 2 2 2 6" xfId="27495"/>
    <cellStyle name="Normal 6 5 2 2 2 7" xfId="31391"/>
    <cellStyle name="Normal 6 5 2 2 3" xfId="8894"/>
    <cellStyle name="Normal 6 5 2 2 4" xfId="13179"/>
    <cellStyle name="Normal 6 5 2 2 5" xfId="17451"/>
    <cellStyle name="Normal 6 5 2 2 6" xfId="21685"/>
    <cellStyle name="Normal 6 5 2 2 7" xfId="25924"/>
    <cellStyle name="Normal 6 5 2 2 8" xfId="29998"/>
    <cellStyle name="Normal 6 5 2 2 9" xfId="3918"/>
    <cellStyle name="Normal 6 5 2 3" xfId="3088"/>
    <cellStyle name="Normal 6 5 2 3 2" xfId="8064"/>
    <cellStyle name="Normal 6 5 2 3 3" xfId="12352"/>
    <cellStyle name="Normal 6 5 2 3 4" xfId="16627"/>
    <cellStyle name="Normal 6 5 2 3 5" xfId="20864"/>
    <cellStyle name="Normal 6 5 2 3 6" xfId="25108"/>
    <cellStyle name="Normal 6 5 2 3 7" xfId="29193"/>
    <cellStyle name="Normal 6 5 2 4" xfId="4914"/>
    <cellStyle name="Normal 6 5 2 4 2" xfId="9888"/>
    <cellStyle name="Normal 6 5 2 4 3" xfId="14165"/>
    <cellStyle name="Normal 6 5 2 4 4" xfId="18424"/>
    <cellStyle name="Normal 6 5 2 4 5" xfId="22643"/>
    <cellStyle name="Normal 6 5 2 4 6" xfId="26838"/>
    <cellStyle name="Normal 6 5 2 4 7" xfId="30734"/>
    <cellStyle name="Normal 6 5 2 5" xfId="6262"/>
    <cellStyle name="Normal 6 5 2 5 2" xfId="11234"/>
    <cellStyle name="Normal 6 5 2 5 3" xfId="15512"/>
    <cellStyle name="Normal 6 5 2 5 4" xfId="19769"/>
    <cellStyle name="Normal 6 5 2 5 5" xfId="23986"/>
    <cellStyle name="Normal 6 5 2 5 6" xfId="28172"/>
    <cellStyle name="Normal 6 5 2 5 7" xfId="32051"/>
    <cellStyle name="Normal 6 5 2 6" xfId="7180"/>
    <cellStyle name="Normal 6 5 2 7" xfId="11472"/>
    <cellStyle name="Normal 6 5 2 8" xfId="15750"/>
    <cellStyle name="Normal 6 5 2 9" xfId="20007"/>
    <cellStyle name="Normal 6 5 3" xfId="1211"/>
    <cellStyle name="Normal 6 5 3 2" xfId="5242"/>
    <cellStyle name="Normal 6 5 3 2 2" xfId="10216"/>
    <cellStyle name="Normal 6 5 3 2 3" xfId="14493"/>
    <cellStyle name="Normal 6 5 3 2 4" xfId="18752"/>
    <cellStyle name="Normal 6 5 3 2 5" xfId="22971"/>
    <cellStyle name="Normal 6 5 3 2 6" xfId="27166"/>
    <cellStyle name="Normal 6 5 3 2 7" xfId="31062"/>
    <cellStyle name="Normal 6 5 3 3" xfId="8452"/>
    <cellStyle name="Normal 6 5 3 4" xfId="12737"/>
    <cellStyle name="Normal 6 5 3 5" xfId="17009"/>
    <cellStyle name="Normal 6 5 3 6" xfId="21244"/>
    <cellStyle name="Normal 6 5 3 7" xfId="25482"/>
    <cellStyle name="Normal 6 5 3 8" xfId="29560"/>
    <cellStyle name="Normal 6 5 3 9" xfId="3476"/>
    <cellStyle name="Normal 6 5 4" xfId="2619"/>
    <cellStyle name="Normal 6 5 4 2" xfId="7596"/>
    <cellStyle name="Normal 6 5 4 3" xfId="11885"/>
    <cellStyle name="Normal 6 5 4 4" xfId="16161"/>
    <cellStyle name="Normal 6 5 4 5" xfId="20403"/>
    <cellStyle name="Normal 6 5 4 6" xfId="24650"/>
    <cellStyle name="Normal 6 5 4 7" xfId="28753"/>
    <cellStyle name="Normal 6 5 5" xfId="4584"/>
    <cellStyle name="Normal 6 5 5 2" xfId="9558"/>
    <cellStyle name="Normal 6 5 5 3" xfId="13835"/>
    <cellStyle name="Normal 6 5 5 4" xfId="18095"/>
    <cellStyle name="Normal 6 5 5 5" xfId="22313"/>
    <cellStyle name="Normal 6 5 5 6" xfId="26509"/>
    <cellStyle name="Normal 6 5 5 7" xfId="30405"/>
    <cellStyle name="Normal 6 5 6" xfId="5933"/>
    <cellStyle name="Normal 6 5 6 2" xfId="10905"/>
    <cellStyle name="Normal 6 5 6 3" xfId="15183"/>
    <cellStyle name="Normal 6 5 6 4" xfId="19440"/>
    <cellStyle name="Normal 6 5 6 5" xfId="23657"/>
    <cellStyle name="Normal 6 5 6 6" xfId="27843"/>
    <cellStyle name="Normal 6 5 6 7" xfId="31722"/>
    <cellStyle name="Normal 6 5 7" xfId="6807"/>
    <cellStyle name="Normal 6 5 8" xfId="6867"/>
    <cellStyle name="Normal 6 5 9" xfId="9075"/>
    <cellStyle name="Normal 6 6" xfId="610"/>
    <cellStyle name="Normal 6 6 10" xfId="13325"/>
    <cellStyle name="Normal 6 6 11" xfId="9130"/>
    <cellStyle name="Normal 6 6 12" xfId="15797"/>
    <cellStyle name="Normal 6 6 13" xfId="1929"/>
    <cellStyle name="Normal 6 6 2" xfId="1267"/>
    <cellStyle name="Normal 6 6 2 10" xfId="3090"/>
    <cellStyle name="Normal 6 6 2 2" xfId="3920"/>
    <cellStyle name="Normal 6 6 2 2 2" xfId="8896"/>
    <cellStyle name="Normal 6 6 2 2 3" xfId="13181"/>
    <cellStyle name="Normal 6 6 2 2 4" xfId="17453"/>
    <cellStyle name="Normal 6 6 2 2 5" xfId="21687"/>
    <cellStyle name="Normal 6 6 2 2 6" xfId="25926"/>
    <cellStyle name="Normal 6 6 2 2 7" xfId="30000"/>
    <cellStyle name="Normal 6 6 2 3" xfId="5298"/>
    <cellStyle name="Normal 6 6 2 3 2" xfId="10272"/>
    <cellStyle name="Normal 6 6 2 3 3" xfId="14549"/>
    <cellStyle name="Normal 6 6 2 3 4" xfId="18808"/>
    <cellStyle name="Normal 6 6 2 3 5" xfId="23027"/>
    <cellStyle name="Normal 6 6 2 3 6" xfId="27222"/>
    <cellStyle name="Normal 6 6 2 3 7" xfId="31118"/>
    <cellStyle name="Normal 6 6 2 4" xfId="8066"/>
    <cellStyle name="Normal 6 6 2 5" xfId="12354"/>
    <cellStyle name="Normal 6 6 2 6" xfId="16629"/>
    <cellStyle name="Normal 6 6 2 7" xfId="20866"/>
    <cellStyle name="Normal 6 6 2 8" xfId="25110"/>
    <cellStyle name="Normal 6 6 2 9" xfId="29195"/>
    <cellStyle name="Normal 6 6 3" xfId="3919"/>
    <cellStyle name="Normal 6 6 3 2" xfId="8895"/>
    <cellStyle name="Normal 6 6 3 3" xfId="13180"/>
    <cellStyle name="Normal 6 6 3 4" xfId="17452"/>
    <cellStyle name="Normal 6 6 3 5" xfId="21686"/>
    <cellStyle name="Normal 6 6 3 6" xfId="25925"/>
    <cellStyle name="Normal 6 6 3 7" xfId="29999"/>
    <cellStyle name="Normal 6 6 4" xfId="3089"/>
    <cellStyle name="Normal 6 6 4 2" xfId="8065"/>
    <cellStyle name="Normal 6 6 4 3" xfId="12353"/>
    <cellStyle name="Normal 6 6 4 4" xfId="16628"/>
    <cellStyle name="Normal 6 6 4 5" xfId="20865"/>
    <cellStyle name="Normal 6 6 4 6" xfId="25109"/>
    <cellStyle name="Normal 6 6 4 7" xfId="29194"/>
    <cellStyle name="Normal 6 6 5" xfId="4641"/>
    <cellStyle name="Normal 6 6 5 2" xfId="9615"/>
    <cellStyle name="Normal 6 6 5 3" xfId="13892"/>
    <cellStyle name="Normal 6 6 5 4" xfId="18151"/>
    <cellStyle name="Normal 6 6 5 5" xfId="22370"/>
    <cellStyle name="Normal 6 6 5 6" xfId="26565"/>
    <cellStyle name="Normal 6 6 5 7" xfId="30461"/>
    <cellStyle name="Normal 6 6 6" xfId="5989"/>
    <cellStyle name="Normal 6 6 6 2" xfId="10961"/>
    <cellStyle name="Normal 6 6 6 3" xfId="15239"/>
    <cellStyle name="Normal 6 6 6 4" xfId="19496"/>
    <cellStyle name="Normal 6 6 6 5" xfId="23713"/>
    <cellStyle name="Normal 6 6 6 6" xfId="27899"/>
    <cellStyle name="Normal 6 6 6 7" xfId="31778"/>
    <cellStyle name="Normal 6 6 7" xfId="6907"/>
    <cellStyle name="Normal 6 6 8" xfId="6427"/>
    <cellStyle name="Normal 6 6 9" xfId="9042"/>
    <cellStyle name="Normal 6 7" xfId="938"/>
    <cellStyle name="Normal 6 7 10" xfId="3091"/>
    <cellStyle name="Normal 6 7 2" xfId="3921"/>
    <cellStyle name="Normal 6 7 2 2" xfId="8897"/>
    <cellStyle name="Normal 6 7 2 3" xfId="13182"/>
    <cellStyle name="Normal 6 7 2 4" xfId="17454"/>
    <cellStyle name="Normal 6 7 2 5" xfId="21688"/>
    <cellStyle name="Normal 6 7 2 6" xfId="25927"/>
    <cellStyle name="Normal 6 7 2 7" xfId="30001"/>
    <cellStyle name="Normal 6 7 3" xfId="4969"/>
    <cellStyle name="Normal 6 7 3 2" xfId="9943"/>
    <cellStyle name="Normal 6 7 3 3" xfId="14220"/>
    <cellStyle name="Normal 6 7 3 4" xfId="18479"/>
    <cellStyle name="Normal 6 7 3 5" xfId="22698"/>
    <cellStyle name="Normal 6 7 3 6" xfId="26893"/>
    <cellStyle name="Normal 6 7 3 7" xfId="30789"/>
    <cellStyle name="Normal 6 7 4" xfId="8067"/>
    <cellStyle name="Normal 6 7 5" xfId="12355"/>
    <cellStyle name="Normal 6 7 6" xfId="16630"/>
    <cellStyle name="Normal 6 7 7" xfId="20867"/>
    <cellStyle name="Normal 6 7 8" xfId="25111"/>
    <cellStyle name="Normal 6 7 9" xfId="29196"/>
    <cellStyle name="Normal 6 8" xfId="3181"/>
    <cellStyle name="Normal 6 8 2" xfId="8157"/>
    <cellStyle name="Normal 6 8 3" xfId="12443"/>
    <cellStyle name="Normal 6 8 4" xfId="16717"/>
    <cellStyle name="Normal 6 8 5" xfId="20953"/>
    <cellStyle name="Normal 6 8 6" xfId="25193"/>
    <cellStyle name="Normal 6 8 7" xfId="29274"/>
    <cellStyle name="Normal 6 9" xfId="2268"/>
    <cellStyle name="Normal 6 9 2" xfId="7246"/>
    <cellStyle name="Normal 6 9 3" xfId="11536"/>
    <cellStyle name="Normal 6 9 4" xfId="15815"/>
    <cellStyle name="Normal 6 9 5" xfId="20070"/>
    <cellStyle name="Normal 6 9 6" xfId="24320"/>
    <cellStyle name="Normal 6 9 7" xfId="28465"/>
    <cellStyle name="Normal 7" xfId="198"/>
    <cellStyle name="Normal 7 10" xfId="4344"/>
    <cellStyle name="Normal 7 10 2" xfId="9318"/>
    <cellStyle name="Normal 7 10 3" xfId="13595"/>
    <cellStyle name="Normal 7 10 4" xfId="17855"/>
    <cellStyle name="Normal 7 10 5" xfId="22074"/>
    <cellStyle name="Normal 7 10 6" xfId="26270"/>
    <cellStyle name="Normal 7 10 7" xfId="30166"/>
    <cellStyle name="Normal 7 11" xfId="5633"/>
    <cellStyle name="Normal 7 11 2" xfId="10606"/>
    <cellStyle name="Normal 7 11 3" xfId="14883"/>
    <cellStyle name="Normal 7 11 4" xfId="19141"/>
    <cellStyle name="Normal 7 11 5" xfId="23361"/>
    <cellStyle name="Normal 7 11 6" xfId="27550"/>
    <cellStyle name="Normal 7 11 7" xfId="31431"/>
    <cellStyle name="Normal 7 12" xfId="6496"/>
    <cellStyle name="Normal 7 13" xfId="6557"/>
    <cellStyle name="Normal 7 14" xfId="9207"/>
    <cellStyle name="Normal 7 15" xfId="13485"/>
    <cellStyle name="Normal 7 16" xfId="23343"/>
    <cellStyle name="Normal 7 17" xfId="20751"/>
    <cellStyle name="Normal 7 18" xfId="1630"/>
    <cellStyle name="Normal 7 2" xfId="325"/>
    <cellStyle name="Normal 7 2 10" xfId="9069"/>
    <cellStyle name="Normal 7 2 11" xfId="13351"/>
    <cellStyle name="Normal 7 2 12" xfId="17622"/>
    <cellStyle name="Normal 7 2 13" xfId="21962"/>
    <cellStyle name="Normal 7 2 14" xfId="26071"/>
    <cellStyle name="Normal 7 2 15" xfId="1697"/>
    <cellStyle name="Normal 7 2 2" xfId="258"/>
    <cellStyle name="Normal 7 2 3" xfId="708"/>
    <cellStyle name="Normal 7 2 3 10" xfId="24083"/>
    <cellStyle name="Normal 7 2 3 11" xfId="28235"/>
    <cellStyle name="Normal 7 2 3 12" xfId="2027"/>
    <cellStyle name="Normal 7 2 3 2" xfId="1365"/>
    <cellStyle name="Normal 7 2 3 2 2" xfId="5396"/>
    <cellStyle name="Normal 7 2 3 2 2 2" xfId="10370"/>
    <cellStyle name="Normal 7 2 3 2 2 3" xfId="14647"/>
    <cellStyle name="Normal 7 2 3 2 2 4" xfId="18906"/>
    <cellStyle name="Normal 7 2 3 2 2 5" xfId="23125"/>
    <cellStyle name="Normal 7 2 3 2 2 6" xfId="27320"/>
    <cellStyle name="Normal 7 2 3 2 2 7" xfId="31216"/>
    <cellStyle name="Normal 7 2 3 2 3" xfId="8898"/>
    <cellStyle name="Normal 7 2 3 2 4" xfId="13183"/>
    <cellStyle name="Normal 7 2 3 2 5" xfId="17455"/>
    <cellStyle name="Normal 7 2 3 2 6" xfId="21689"/>
    <cellStyle name="Normal 7 2 3 2 7" xfId="25928"/>
    <cellStyle name="Normal 7 2 3 2 8" xfId="30002"/>
    <cellStyle name="Normal 7 2 3 2 9" xfId="3922"/>
    <cellStyle name="Normal 7 2 3 3" xfId="3092"/>
    <cellStyle name="Normal 7 2 3 3 2" xfId="8068"/>
    <cellStyle name="Normal 7 2 3 3 3" xfId="12356"/>
    <cellStyle name="Normal 7 2 3 3 4" xfId="16631"/>
    <cellStyle name="Normal 7 2 3 3 5" xfId="20868"/>
    <cellStyle name="Normal 7 2 3 3 6" xfId="25112"/>
    <cellStyle name="Normal 7 2 3 3 7" xfId="29197"/>
    <cellStyle name="Normal 7 2 3 4" xfId="4739"/>
    <cellStyle name="Normal 7 2 3 4 2" xfId="9713"/>
    <cellStyle name="Normal 7 2 3 4 3" xfId="13990"/>
    <cellStyle name="Normal 7 2 3 4 4" xfId="18249"/>
    <cellStyle name="Normal 7 2 3 4 5" xfId="22468"/>
    <cellStyle name="Normal 7 2 3 4 6" xfId="26663"/>
    <cellStyle name="Normal 7 2 3 4 7" xfId="30559"/>
    <cellStyle name="Normal 7 2 3 5" xfId="6087"/>
    <cellStyle name="Normal 7 2 3 5 2" xfId="11059"/>
    <cellStyle name="Normal 7 2 3 5 3" xfId="15337"/>
    <cellStyle name="Normal 7 2 3 5 4" xfId="19594"/>
    <cellStyle name="Normal 7 2 3 5 5" xfId="23811"/>
    <cellStyle name="Normal 7 2 3 5 6" xfId="27997"/>
    <cellStyle name="Normal 7 2 3 5 7" xfId="31876"/>
    <cellStyle name="Normal 7 2 3 6" xfId="7005"/>
    <cellStyle name="Normal 7 2 3 7" xfId="11297"/>
    <cellStyle name="Normal 7 2 3 8" xfId="15575"/>
    <cellStyle name="Normal 7 2 3 9" xfId="19832"/>
    <cellStyle name="Normal 7 2 4" xfId="1036"/>
    <cellStyle name="Normal 7 2 4 2" xfId="5067"/>
    <cellStyle name="Normal 7 2 4 2 2" xfId="10041"/>
    <cellStyle name="Normal 7 2 4 2 3" xfId="14318"/>
    <cellStyle name="Normal 7 2 4 2 4" xfId="18577"/>
    <cellStyle name="Normal 7 2 4 2 5" xfId="22796"/>
    <cellStyle name="Normal 7 2 4 2 6" xfId="26991"/>
    <cellStyle name="Normal 7 2 4 2 7" xfId="30887"/>
    <cellStyle name="Normal 7 2 4 3" xfId="8234"/>
    <cellStyle name="Normal 7 2 4 4" xfId="12519"/>
    <cellStyle name="Normal 7 2 4 5" xfId="16792"/>
    <cellStyle name="Normal 7 2 4 6" xfId="21028"/>
    <cellStyle name="Normal 7 2 4 7" xfId="25266"/>
    <cellStyle name="Normal 7 2 4 8" xfId="29344"/>
    <cellStyle name="Normal 7 2 4 9" xfId="3258"/>
    <cellStyle name="Normal 7 2 5" xfId="2374"/>
    <cellStyle name="Normal 7 2 5 2" xfId="7352"/>
    <cellStyle name="Normal 7 2 5 3" xfId="11641"/>
    <cellStyle name="Normal 7 2 5 4" xfId="15919"/>
    <cellStyle name="Normal 7 2 5 5" xfId="20168"/>
    <cellStyle name="Normal 7 2 5 6" xfId="24416"/>
    <cellStyle name="Normal 7 2 5 7" xfId="28536"/>
    <cellStyle name="Normal 7 2 6" xfId="4409"/>
    <cellStyle name="Normal 7 2 6 2" xfId="9383"/>
    <cellStyle name="Normal 7 2 6 3" xfId="13660"/>
    <cellStyle name="Normal 7 2 6 4" xfId="17920"/>
    <cellStyle name="Normal 7 2 6 5" xfId="22138"/>
    <cellStyle name="Normal 7 2 6 6" xfId="26334"/>
    <cellStyle name="Normal 7 2 6 7" xfId="30230"/>
    <cellStyle name="Normal 7 2 7" xfId="5639"/>
    <cellStyle name="Normal 7 2 8" xfId="5758"/>
    <cellStyle name="Normal 7 2 8 2" xfId="10730"/>
    <cellStyle name="Normal 7 2 8 3" xfId="15008"/>
    <cellStyle name="Normal 7 2 8 4" xfId="19265"/>
    <cellStyle name="Normal 7 2 8 5" xfId="23482"/>
    <cellStyle name="Normal 7 2 8 6" xfId="27668"/>
    <cellStyle name="Normal 7 2 8 7" xfId="31547"/>
    <cellStyle name="Normal 7 2 9" xfId="6623"/>
    <cellStyle name="Normal 7 3" xfId="354"/>
    <cellStyle name="Normal 7 3 10" xfId="9033"/>
    <cellStyle name="Normal 7 3 11" xfId="13316"/>
    <cellStyle name="Normal 7 3 12" xfId="17589"/>
    <cellStyle name="Normal 7 3 13" xfId="21815"/>
    <cellStyle name="Normal 7 3 14" xfId="26042"/>
    <cellStyle name="Normal 7 3 15" xfId="1719"/>
    <cellStyle name="Normal 7 3 2" xfId="488"/>
    <cellStyle name="Normal 7 3 2 10" xfId="19128"/>
    <cellStyle name="Normal 7 3 2 11" xfId="19123"/>
    <cellStyle name="Normal 7 3 2 12" xfId="27539"/>
    <cellStyle name="Normal 7 3 2 13" xfId="1851"/>
    <cellStyle name="Normal 7 3 2 2" xfId="862"/>
    <cellStyle name="Normal 7 3 2 2 10" xfId="24237"/>
    <cellStyle name="Normal 7 3 2 2 11" xfId="28389"/>
    <cellStyle name="Normal 7 3 2 2 12" xfId="2181"/>
    <cellStyle name="Normal 7 3 2 2 2" xfId="1519"/>
    <cellStyle name="Normal 7 3 2 2 2 2" xfId="5550"/>
    <cellStyle name="Normal 7 3 2 2 2 2 2" xfId="10524"/>
    <cellStyle name="Normal 7 3 2 2 2 2 3" xfId="14801"/>
    <cellStyle name="Normal 7 3 2 2 2 2 4" xfId="19060"/>
    <cellStyle name="Normal 7 3 2 2 2 2 5" xfId="23279"/>
    <cellStyle name="Normal 7 3 2 2 2 2 6" xfId="27474"/>
    <cellStyle name="Normal 7 3 2 2 2 2 7" xfId="31370"/>
    <cellStyle name="Normal 7 3 2 2 2 3" xfId="8899"/>
    <cellStyle name="Normal 7 3 2 2 2 4" xfId="13184"/>
    <cellStyle name="Normal 7 3 2 2 2 5" xfId="17456"/>
    <cellStyle name="Normal 7 3 2 2 2 6" xfId="21690"/>
    <cellStyle name="Normal 7 3 2 2 2 7" xfId="25929"/>
    <cellStyle name="Normal 7 3 2 2 2 8" xfId="30003"/>
    <cellStyle name="Normal 7 3 2 2 2 9" xfId="3923"/>
    <cellStyle name="Normal 7 3 2 2 3" xfId="3093"/>
    <cellStyle name="Normal 7 3 2 2 3 2" xfId="8069"/>
    <cellStyle name="Normal 7 3 2 2 3 3" xfId="12357"/>
    <cellStyle name="Normal 7 3 2 2 3 4" xfId="16632"/>
    <cellStyle name="Normal 7 3 2 2 3 5" xfId="20869"/>
    <cellStyle name="Normal 7 3 2 2 3 6" xfId="25113"/>
    <cellStyle name="Normal 7 3 2 2 3 7" xfId="29198"/>
    <cellStyle name="Normal 7 3 2 2 4" xfId="4893"/>
    <cellStyle name="Normal 7 3 2 2 4 2" xfId="9867"/>
    <cellStyle name="Normal 7 3 2 2 4 3" xfId="14144"/>
    <cellStyle name="Normal 7 3 2 2 4 4" xfId="18403"/>
    <cellStyle name="Normal 7 3 2 2 4 5" xfId="22622"/>
    <cellStyle name="Normal 7 3 2 2 4 6" xfId="26817"/>
    <cellStyle name="Normal 7 3 2 2 4 7" xfId="30713"/>
    <cellStyle name="Normal 7 3 2 2 5" xfId="6241"/>
    <cellStyle name="Normal 7 3 2 2 5 2" xfId="11213"/>
    <cellStyle name="Normal 7 3 2 2 5 3" xfId="15491"/>
    <cellStyle name="Normal 7 3 2 2 5 4" xfId="19748"/>
    <cellStyle name="Normal 7 3 2 2 5 5" xfId="23965"/>
    <cellStyle name="Normal 7 3 2 2 5 6" xfId="28151"/>
    <cellStyle name="Normal 7 3 2 2 5 7" xfId="32030"/>
    <cellStyle name="Normal 7 3 2 2 6" xfId="7159"/>
    <cellStyle name="Normal 7 3 2 2 7" xfId="11451"/>
    <cellStyle name="Normal 7 3 2 2 8" xfId="15729"/>
    <cellStyle name="Normal 7 3 2 2 9" xfId="19986"/>
    <cellStyle name="Normal 7 3 2 3" xfId="1190"/>
    <cellStyle name="Normal 7 3 2 3 2" xfId="5221"/>
    <cellStyle name="Normal 7 3 2 3 2 2" xfId="10195"/>
    <cellStyle name="Normal 7 3 2 3 2 3" xfId="14472"/>
    <cellStyle name="Normal 7 3 2 3 2 4" xfId="18731"/>
    <cellStyle name="Normal 7 3 2 3 2 5" xfId="22950"/>
    <cellStyle name="Normal 7 3 2 3 2 6" xfId="27145"/>
    <cellStyle name="Normal 7 3 2 3 2 7" xfId="31041"/>
    <cellStyle name="Normal 7 3 2 3 3" xfId="8416"/>
    <cellStyle name="Normal 7 3 2 3 4" xfId="12701"/>
    <cellStyle name="Normal 7 3 2 3 5" xfId="16973"/>
    <cellStyle name="Normal 7 3 2 3 6" xfId="21208"/>
    <cellStyle name="Normal 7 3 2 3 7" xfId="25446"/>
    <cellStyle name="Normal 7 3 2 3 8" xfId="29524"/>
    <cellStyle name="Normal 7 3 2 3 9" xfId="3440"/>
    <cellStyle name="Normal 7 3 2 4" xfId="2579"/>
    <cellStyle name="Normal 7 3 2 4 2" xfId="7556"/>
    <cellStyle name="Normal 7 3 2 4 3" xfId="11845"/>
    <cellStyle name="Normal 7 3 2 4 4" xfId="16123"/>
    <cellStyle name="Normal 7 3 2 4 5" xfId="20366"/>
    <cellStyle name="Normal 7 3 2 4 6" xfId="24612"/>
    <cellStyle name="Normal 7 3 2 4 7" xfId="28717"/>
    <cellStyle name="Normal 7 3 2 5" xfId="4563"/>
    <cellStyle name="Normal 7 3 2 5 2" xfId="9537"/>
    <cellStyle name="Normal 7 3 2 5 3" xfId="13814"/>
    <cellStyle name="Normal 7 3 2 5 4" xfId="18074"/>
    <cellStyle name="Normal 7 3 2 5 5" xfId="22292"/>
    <cellStyle name="Normal 7 3 2 5 6" xfId="26488"/>
    <cellStyle name="Normal 7 3 2 5 7" xfId="30384"/>
    <cellStyle name="Normal 7 3 2 6" xfId="5912"/>
    <cellStyle name="Normal 7 3 2 6 2" xfId="10884"/>
    <cellStyle name="Normal 7 3 2 6 3" xfId="15162"/>
    <cellStyle name="Normal 7 3 2 6 4" xfId="19419"/>
    <cellStyle name="Normal 7 3 2 6 5" xfId="23636"/>
    <cellStyle name="Normal 7 3 2 6 6" xfId="27822"/>
    <cellStyle name="Normal 7 3 2 6 7" xfId="31701"/>
    <cellStyle name="Normal 7 3 2 7" xfId="6786"/>
    <cellStyle name="Normal 7 3 2 8" xfId="10592"/>
    <cellStyle name="Normal 7 3 2 9" xfId="14870"/>
    <cellStyle name="Normal 7 3 3" xfId="730"/>
    <cellStyle name="Normal 7 3 3 10" xfId="24105"/>
    <cellStyle name="Normal 7 3 3 11" xfId="28257"/>
    <cellStyle name="Normal 7 3 3 12" xfId="2049"/>
    <cellStyle name="Normal 7 3 3 2" xfId="1387"/>
    <cellStyle name="Normal 7 3 3 2 2" xfId="5418"/>
    <cellStyle name="Normal 7 3 3 2 2 2" xfId="10392"/>
    <cellStyle name="Normal 7 3 3 2 2 3" xfId="14669"/>
    <cellStyle name="Normal 7 3 3 2 2 4" xfId="18928"/>
    <cellStyle name="Normal 7 3 3 2 2 5" xfId="23147"/>
    <cellStyle name="Normal 7 3 3 2 2 6" xfId="27342"/>
    <cellStyle name="Normal 7 3 3 2 2 7" xfId="31238"/>
    <cellStyle name="Normal 7 3 3 2 3" xfId="8900"/>
    <cellStyle name="Normal 7 3 3 2 4" xfId="13185"/>
    <cellStyle name="Normal 7 3 3 2 5" xfId="17457"/>
    <cellStyle name="Normal 7 3 3 2 6" xfId="21691"/>
    <cellStyle name="Normal 7 3 3 2 7" xfId="25930"/>
    <cellStyle name="Normal 7 3 3 2 8" xfId="30004"/>
    <cellStyle name="Normal 7 3 3 2 9" xfId="3924"/>
    <cellStyle name="Normal 7 3 3 3" xfId="3094"/>
    <cellStyle name="Normal 7 3 3 3 2" xfId="8070"/>
    <cellStyle name="Normal 7 3 3 3 3" xfId="12358"/>
    <cellStyle name="Normal 7 3 3 3 4" xfId="16633"/>
    <cellStyle name="Normal 7 3 3 3 5" xfId="20870"/>
    <cellStyle name="Normal 7 3 3 3 6" xfId="25114"/>
    <cellStyle name="Normal 7 3 3 3 7" xfId="29199"/>
    <cellStyle name="Normal 7 3 3 4" xfId="4761"/>
    <cellStyle name="Normal 7 3 3 4 2" xfId="9735"/>
    <cellStyle name="Normal 7 3 3 4 3" xfId="14012"/>
    <cellStyle name="Normal 7 3 3 4 4" xfId="18271"/>
    <cellStyle name="Normal 7 3 3 4 5" xfId="22490"/>
    <cellStyle name="Normal 7 3 3 4 6" xfId="26685"/>
    <cellStyle name="Normal 7 3 3 4 7" xfId="30581"/>
    <cellStyle name="Normal 7 3 3 5" xfId="6109"/>
    <cellStyle name="Normal 7 3 3 5 2" xfId="11081"/>
    <cellStyle name="Normal 7 3 3 5 3" xfId="15359"/>
    <cellStyle name="Normal 7 3 3 5 4" xfId="19616"/>
    <cellStyle name="Normal 7 3 3 5 5" xfId="23833"/>
    <cellStyle name="Normal 7 3 3 5 6" xfId="28019"/>
    <cellStyle name="Normal 7 3 3 5 7" xfId="31898"/>
    <cellStyle name="Normal 7 3 3 6" xfId="7027"/>
    <cellStyle name="Normal 7 3 3 7" xfId="11319"/>
    <cellStyle name="Normal 7 3 3 8" xfId="15597"/>
    <cellStyle name="Normal 7 3 3 9" xfId="19854"/>
    <cellStyle name="Normal 7 3 4" xfId="1058"/>
    <cellStyle name="Normal 7 3 4 2" xfId="5089"/>
    <cellStyle name="Normal 7 3 4 2 2" xfId="10063"/>
    <cellStyle name="Normal 7 3 4 2 3" xfId="14340"/>
    <cellStyle name="Normal 7 3 4 2 4" xfId="18599"/>
    <cellStyle name="Normal 7 3 4 2 5" xfId="22818"/>
    <cellStyle name="Normal 7 3 4 2 6" xfId="27013"/>
    <cellStyle name="Normal 7 3 4 2 7" xfId="30909"/>
    <cellStyle name="Normal 7 3 4 3" xfId="8283"/>
    <cellStyle name="Normal 7 3 4 4" xfId="12568"/>
    <cellStyle name="Normal 7 3 4 5" xfId="16840"/>
    <cellStyle name="Normal 7 3 4 6" xfId="21075"/>
    <cellStyle name="Normal 7 3 4 7" xfId="25313"/>
    <cellStyle name="Normal 7 3 4 8" xfId="29391"/>
    <cellStyle name="Normal 7 3 4 9" xfId="3307"/>
    <cellStyle name="Normal 7 3 5" xfId="2446"/>
    <cellStyle name="Normal 7 3 5 2" xfId="7423"/>
    <cellStyle name="Normal 7 3 5 3" xfId="11712"/>
    <cellStyle name="Normal 7 3 5 4" xfId="15990"/>
    <cellStyle name="Normal 7 3 5 5" xfId="20233"/>
    <cellStyle name="Normal 7 3 5 6" xfId="24479"/>
    <cellStyle name="Normal 7 3 5 7" xfId="28584"/>
    <cellStyle name="Normal 7 3 6" xfId="2240"/>
    <cellStyle name="Normal 7 3 7" xfId="4431"/>
    <cellStyle name="Normal 7 3 7 2" xfId="9405"/>
    <cellStyle name="Normal 7 3 7 3" xfId="13682"/>
    <cellStyle name="Normal 7 3 7 4" xfId="17942"/>
    <cellStyle name="Normal 7 3 7 5" xfId="22160"/>
    <cellStyle name="Normal 7 3 7 6" xfId="26356"/>
    <cellStyle name="Normal 7 3 7 7" xfId="30252"/>
    <cellStyle name="Normal 7 3 8" xfId="5780"/>
    <cellStyle name="Normal 7 3 8 2" xfId="10752"/>
    <cellStyle name="Normal 7 3 8 3" xfId="15030"/>
    <cellStyle name="Normal 7 3 8 4" xfId="19287"/>
    <cellStyle name="Normal 7 3 8 5" xfId="23504"/>
    <cellStyle name="Normal 7 3 8 6" xfId="27690"/>
    <cellStyle name="Normal 7 3 8 7" xfId="31569"/>
    <cellStyle name="Normal 7 3 9" xfId="6652"/>
    <cellStyle name="Normal 7 4" xfId="287"/>
    <cellStyle name="Normal 7 4 2" xfId="4145"/>
    <cellStyle name="Normal 7 4 2 2" xfId="9120"/>
    <cellStyle name="Normal 7 4 2 3" xfId="13400"/>
    <cellStyle name="Normal 7 4 2 4" xfId="17668"/>
    <cellStyle name="Normal 7 4 2 5" xfId="21892"/>
    <cellStyle name="Normal 7 4 2 6" xfId="26110"/>
    <cellStyle name="Normal 7 4 2 7" xfId="30086"/>
    <cellStyle name="Normal 7 5" xfId="543"/>
    <cellStyle name="Normal 7 5 10" xfId="12563"/>
    <cellStyle name="Normal 7 5 11" xfId="6875"/>
    <cellStyle name="Normal 7 5 12" xfId="23365"/>
    <cellStyle name="Normal 7 5 13" xfId="1906"/>
    <cellStyle name="Normal 7 5 2" xfId="917"/>
    <cellStyle name="Normal 7 5 2 10" xfId="24292"/>
    <cellStyle name="Normal 7 5 2 11" xfId="28444"/>
    <cellStyle name="Normal 7 5 2 12" xfId="2236"/>
    <cellStyle name="Normal 7 5 2 2" xfId="1574"/>
    <cellStyle name="Normal 7 5 2 2 2" xfId="5605"/>
    <cellStyle name="Normal 7 5 2 2 2 2" xfId="10579"/>
    <cellStyle name="Normal 7 5 2 2 2 3" xfId="14856"/>
    <cellStyle name="Normal 7 5 2 2 2 4" xfId="19115"/>
    <cellStyle name="Normal 7 5 2 2 2 5" xfId="23334"/>
    <cellStyle name="Normal 7 5 2 2 2 6" xfId="27529"/>
    <cellStyle name="Normal 7 5 2 2 2 7" xfId="31425"/>
    <cellStyle name="Normal 7 5 2 2 3" xfId="8901"/>
    <cellStyle name="Normal 7 5 2 2 4" xfId="13186"/>
    <cellStyle name="Normal 7 5 2 2 5" xfId="17458"/>
    <cellStyle name="Normal 7 5 2 2 6" xfId="21692"/>
    <cellStyle name="Normal 7 5 2 2 7" xfId="25931"/>
    <cellStyle name="Normal 7 5 2 2 8" xfId="30005"/>
    <cellStyle name="Normal 7 5 2 2 9" xfId="3925"/>
    <cellStyle name="Normal 7 5 2 3" xfId="3095"/>
    <cellStyle name="Normal 7 5 2 3 2" xfId="8071"/>
    <cellStyle name="Normal 7 5 2 3 3" xfId="12359"/>
    <cellStyle name="Normal 7 5 2 3 4" xfId="16634"/>
    <cellStyle name="Normal 7 5 2 3 5" xfId="20871"/>
    <cellStyle name="Normal 7 5 2 3 6" xfId="25115"/>
    <cellStyle name="Normal 7 5 2 3 7" xfId="29200"/>
    <cellStyle name="Normal 7 5 2 4" xfId="4948"/>
    <cellStyle name="Normal 7 5 2 4 2" xfId="9922"/>
    <cellStyle name="Normal 7 5 2 4 3" xfId="14199"/>
    <cellStyle name="Normal 7 5 2 4 4" xfId="18458"/>
    <cellStyle name="Normal 7 5 2 4 5" xfId="22677"/>
    <cellStyle name="Normal 7 5 2 4 6" xfId="26872"/>
    <cellStyle name="Normal 7 5 2 4 7" xfId="30768"/>
    <cellStyle name="Normal 7 5 2 5" xfId="6296"/>
    <cellStyle name="Normal 7 5 2 5 2" xfId="11268"/>
    <cellStyle name="Normal 7 5 2 5 3" xfId="15546"/>
    <cellStyle name="Normal 7 5 2 5 4" xfId="19803"/>
    <cellStyle name="Normal 7 5 2 5 5" xfId="24020"/>
    <cellStyle name="Normal 7 5 2 5 6" xfId="28206"/>
    <cellStyle name="Normal 7 5 2 5 7" xfId="32085"/>
    <cellStyle name="Normal 7 5 2 6" xfId="7214"/>
    <cellStyle name="Normal 7 5 2 7" xfId="11506"/>
    <cellStyle name="Normal 7 5 2 8" xfId="15784"/>
    <cellStyle name="Normal 7 5 2 9" xfId="20041"/>
    <cellStyle name="Normal 7 5 3" xfId="1245"/>
    <cellStyle name="Normal 7 5 3 2" xfId="5276"/>
    <cellStyle name="Normal 7 5 3 2 2" xfId="10250"/>
    <cellStyle name="Normal 7 5 3 2 3" xfId="14527"/>
    <cellStyle name="Normal 7 5 3 2 4" xfId="18786"/>
    <cellStyle name="Normal 7 5 3 2 5" xfId="23005"/>
    <cellStyle name="Normal 7 5 3 2 6" xfId="27200"/>
    <cellStyle name="Normal 7 5 3 2 7" xfId="31096"/>
    <cellStyle name="Normal 7 5 3 3" xfId="8484"/>
    <cellStyle name="Normal 7 5 3 4" xfId="12769"/>
    <cellStyle name="Normal 7 5 3 5" xfId="17041"/>
    <cellStyle name="Normal 7 5 3 6" xfId="21276"/>
    <cellStyle name="Normal 7 5 3 7" xfId="25514"/>
    <cellStyle name="Normal 7 5 3 8" xfId="29592"/>
    <cellStyle name="Normal 7 5 3 9" xfId="3508"/>
    <cellStyle name="Normal 7 5 4" xfId="2651"/>
    <cellStyle name="Normal 7 5 4 2" xfId="7628"/>
    <cellStyle name="Normal 7 5 4 3" xfId="11917"/>
    <cellStyle name="Normal 7 5 4 4" xfId="16193"/>
    <cellStyle name="Normal 7 5 4 5" xfId="20435"/>
    <cellStyle name="Normal 7 5 4 6" xfId="24682"/>
    <cellStyle name="Normal 7 5 4 7" xfId="28785"/>
    <cellStyle name="Normal 7 5 5" xfId="4618"/>
    <cellStyle name="Normal 7 5 5 2" xfId="9592"/>
    <cellStyle name="Normal 7 5 5 3" xfId="13869"/>
    <cellStyle name="Normal 7 5 5 4" xfId="18129"/>
    <cellStyle name="Normal 7 5 5 5" xfId="22347"/>
    <cellStyle name="Normal 7 5 5 6" xfId="26543"/>
    <cellStyle name="Normal 7 5 5 7" xfId="30439"/>
    <cellStyle name="Normal 7 5 6" xfId="5967"/>
    <cellStyle name="Normal 7 5 6 2" xfId="10939"/>
    <cellStyle name="Normal 7 5 6 3" xfId="15217"/>
    <cellStyle name="Normal 7 5 6 4" xfId="19474"/>
    <cellStyle name="Normal 7 5 6 5" xfId="23691"/>
    <cellStyle name="Normal 7 5 6 6" xfId="27877"/>
    <cellStyle name="Normal 7 5 6 7" xfId="31756"/>
    <cellStyle name="Normal 7 5 7" xfId="6841"/>
    <cellStyle name="Normal 7 5 8" xfId="6388"/>
    <cellStyle name="Normal 7 5 9" xfId="8278"/>
    <cellStyle name="Normal 7 6" xfId="644"/>
    <cellStyle name="Normal 7 6 10" xfId="6877"/>
    <cellStyle name="Normal 7 6 11" xfId="21770"/>
    <cellStyle name="Normal 7 6 12" xfId="20219"/>
    <cellStyle name="Normal 7 6 13" xfId="1963"/>
    <cellStyle name="Normal 7 6 2" xfId="1301"/>
    <cellStyle name="Normal 7 6 2 10" xfId="3097"/>
    <cellStyle name="Normal 7 6 2 2" xfId="3927"/>
    <cellStyle name="Normal 7 6 2 2 2" xfId="8903"/>
    <cellStyle name="Normal 7 6 2 2 3" xfId="13188"/>
    <cellStyle name="Normal 7 6 2 2 4" xfId="17460"/>
    <cellStyle name="Normal 7 6 2 2 5" xfId="21694"/>
    <cellStyle name="Normal 7 6 2 2 6" xfId="25933"/>
    <cellStyle name="Normal 7 6 2 2 7" xfId="30007"/>
    <cellStyle name="Normal 7 6 2 3" xfId="5332"/>
    <cellStyle name="Normal 7 6 2 3 2" xfId="10306"/>
    <cellStyle name="Normal 7 6 2 3 3" xfId="14583"/>
    <cellStyle name="Normal 7 6 2 3 4" xfId="18842"/>
    <cellStyle name="Normal 7 6 2 3 5" xfId="23061"/>
    <cellStyle name="Normal 7 6 2 3 6" xfId="27256"/>
    <cellStyle name="Normal 7 6 2 3 7" xfId="31152"/>
    <cellStyle name="Normal 7 6 2 4" xfId="8073"/>
    <cellStyle name="Normal 7 6 2 5" xfId="12361"/>
    <cellStyle name="Normal 7 6 2 6" xfId="16636"/>
    <cellStyle name="Normal 7 6 2 7" xfId="20873"/>
    <cellStyle name="Normal 7 6 2 8" xfId="25117"/>
    <cellStyle name="Normal 7 6 2 9" xfId="29202"/>
    <cellStyle name="Normal 7 6 3" xfId="3926"/>
    <cellStyle name="Normal 7 6 3 2" xfId="8902"/>
    <cellStyle name="Normal 7 6 3 3" xfId="13187"/>
    <cellStyle name="Normal 7 6 3 4" xfId="17459"/>
    <cellStyle name="Normal 7 6 3 5" xfId="21693"/>
    <cellStyle name="Normal 7 6 3 6" xfId="25932"/>
    <cellStyle name="Normal 7 6 3 7" xfId="30006"/>
    <cellStyle name="Normal 7 6 4" xfId="3096"/>
    <cellStyle name="Normal 7 6 4 2" xfId="8072"/>
    <cellStyle name="Normal 7 6 4 3" xfId="12360"/>
    <cellStyle name="Normal 7 6 4 4" xfId="16635"/>
    <cellStyle name="Normal 7 6 4 5" xfId="20872"/>
    <cellStyle name="Normal 7 6 4 6" xfId="25116"/>
    <cellStyle name="Normal 7 6 4 7" xfId="29201"/>
    <cellStyle name="Normal 7 6 5" xfId="4675"/>
    <cellStyle name="Normal 7 6 5 2" xfId="9649"/>
    <cellStyle name="Normal 7 6 5 3" xfId="13926"/>
    <cellStyle name="Normal 7 6 5 4" xfId="18185"/>
    <cellStyle name="Normal 7 6 5 5" xfId="22404"/>
    <cellStyle name="Normal 7 6 5 6" xfId="26599"/>
    <cellStyle name="Normal 7 6 5 7" xfId="30495"/>
    <cellStyle name="Normal 7 6 6" xfId="6023"/>
    <cellStyle name="Normal 7 6 6 2" xfId="10995"/>
    <cellStyle name="Normal 7 6 6 3" xfId="15273"/>
    <cellStyle name="Normal 7 6 6 4" xfId="19530"/>
    <cellStyle name="Normal 7 6 6 5" xfId="23747"/>
    <cellStyle name="Normal 7 6 6 6" xfId="27933"/>
    <cellStyle name="Normal 7 6 6 7" xfId="31812"/>
    <cellStyle name="Normal 7 6 7" xfId="6941"/>
    <cellStyle name="Normal 7 6 8" xfId="6850"/>
    <cellStyle name="Normal 7 6 9" xfId="6527"/>
    <cellStyle name="Normal 7 7" xfId="972"/>
    <cellStyle name="Normal 7 7 10" xfId="3098"/>
    <cellStyle name="Normal 7 7 2" xfId="3928"/>
    <cellStyle name="Normal 7 7 2 2" xfId="8904"/>
    <cellStyle name="Normal 7 7 2 3" xfId="13189"/>
    <cellStyle name="Normal 7 7 2 4" xfId="17461"/>
    <cellStyle name="Normal 7 7 2 5" xfId="21695"/>
    <cellStyle name="Normal 7 7 2 6" xfId="25934"/>
    <cellStyle name="Normal 7 7 2 7" xfId="30008"/>
    <cellStyle name="Normal 7 7 3" xfId="5003"/>
    <cellStyle name="Normal 7 7 3 2" xfId="9977"/>
    <cellStyle name="Normal 7 7 3 3" xfId="14254"/>
    <cellStyle name="Normal 7 7 3 4" xfId="18513"/>
    <cellStyle name="Normal 7 7 3 5" xfId="22732"/>
    <cellStyle name="Normal 7 7 3 6" xfId="26927"/>
    <cellStyle name="Normal 7 7 3 7" xfId="30823"/>
    <cellStyle name="Normal 7 7 4" xfId="8074"/>
    <cellStyle name="Normal 7 7 5" xfId="12362"/>
    <cellStyle name="Normal 7 7 6" xfId="16637"/>
    <cellStyle name="Normal 7 7 7" xfId="20874"/>
    <cellStyle name="Normal 7 7 8" xfId="25118"/>
    <cellStyle name="Normal 7 7 9" xfId="29203"/>
    <cellStyle name="Normal 7 8" xfId="3216"/>
    <cellStyle name="Normal 7 8 2" xfId="8192"/>
    <cellStyle name="Normal 7 8 3" xfId="12478"/>
    <cellStyle name="Normal 7 8 4" xfId="16751"/>
    <cellStyle name="Normal 7 8 5" xfId="20988"/>
    <cellStyle name="Normal 7 8 6" xfId="25227"/>
    <cellStyle name="Normal 7 8 7" xfId="29308"/>
    <cellStyle name="Normal 7 9" xfId="2316"/>
    <cellStyle name="Normal 7 9 2" xfId="7294"/>
    <cellStyle name="Normal 7 9 3" xfId="11584"/>
    <cellStyle name="Normal 7 9 4" xfId="15862"/>
    <cellStyle name="Normal 7 9 5" xfId="20115"/>
    <cellStyle name="Normal 7 9 6" xfId="24366"/>
    <cellStyle name="Normal 7 9 7" xfId="28500"/>
    <cellStyle name="Normal 8" xfId="53"/>
    <cellStyle name="Normal 8 10" xfId="5640"/>
    <cellStyle name="Normal 8 10 2" xfId="10612"/>
    <cellStyle name="Normal 8 10 3" xfId="14890"/>
    <cellStyle name="Normal 8 10 4" xfId="19147"/>
    <cellStyle name="Normal 8 10 5" xfId="23367"/>
    <cellStyle name="Normal 8 10 6" xfId="27554"/>
    <cellStyle name="Normal 8 10 7" xfId="31433"/>
    <cellStyle name="Normal 8 2" xfId="238"/>
    <cellStyle name="Normal 8 2 2" xfId="2439"/>
    <cellStyle name="Normal 8 2 3" xfId="3302"/>
    <cellStyle name="Normal 8 2 4" xfId="2435"/>
    <cellStyle name="Normal 8 2 5" xfId="4156"/>
    <cellStyle name="Normal 8 2 5 2" xfId="9131"/>
    <cellStyle name="Normal 8 2 5 3" xfId="13411"/>
    <cellStyle name="Normal 8 2 5 4" xfId="17677"/>
    <cellStyle name="Normal 8 2 5 5" xfId="21903"/>
    <cellStyle name="Normal 8 2 5 6" xfId="26118"/>
    <cellStyle name="Normal 8 2 5 7" xfId="30090"/>
    <cellStyle name="Normal 8 3" xfId="374"/>
    <cellStyle name="Normal 8 3 10" xfId="17554"/>
    <cellStyle name="Normal 8 3 11" xfId="21823"/>
    <cellStyle name="Normal 8 3 12" xfId="26016"/>
    <cellStyle name="Normal 8 3 13" xfId="1737"/>
    <cellStyle name="Normal 8 3 2" xfId="748"/>
    <cellStyle name="Normal 8 3 2 10" xfId="24123"/>
    <cellStyle name="Normal 8 3 2 11" xfId="28275"/>
    <cellStyle name="Normal 8 3 2 12" xfId="2067"/>
    <cellStyle name="Normal 8 3 2 2" xfId="1405"/>
    <cellStyle name="Normal 8 3 2 2 2" xfId="5436"/>
    <cellStyle name="Normal 8 3 2 2 2 2" xfId="10410"/>
    <cellStyle name="Normal 8 3 2 2 2 3" xfId="14687"/>
    <cellStyle name="Normal 8 3 2 2 2 4" xfId="18946"/>
    <cellStyle name="Normal 8 3 2 2 2 5" xfId="23165"/>
    <cellStyle name="Normal 8 3 2 2 2 6" xfId="27360"/>
    <cellStyle name="Normal 8 3 2 2 2 7" xfId="31256"/>
    <cellStyle name="Normal 8 3 2 2 3" xfId="8905"/>
    <cellStyle name="Normal 8 3 2 2 4" xfId="13190"/>
    <cellStyle name="Normal 8 3 2 2 5" xfId="17462"/>
    <cellStyle name="Normal 8 3 2 2 6" xfId="21696"/>
    <cellStyle name="Normal 8 3 2 2 7" xfId="25935"/>
    <cellStyle name="Normal 8 3 2 2 8" xfId="30009"/>
    <cellStyle name="Normal 8 3 2 2 9" xfId="3929"/>
    <cellStyle name="Normal 8 3 2 3" xfId="3099"/>
    <cellStyle name="Normal 8 3 2 3 2" xfId="8075"/>
    <cellStyle name="Normal 8 3 2 3 3" xfId="12363"/>
    <cellStyle name="Normal 8 3 2 3 4" xfId="16638"/>
    <cellStyle name="Normal 8 3 2 3 5" xfId="20875"/>
    <cellStyle name="Normal 8 3 2 3 6" xfId="25119"/>
    <cellStyle name="Normal 8 3 2 3 7" xfId="29204"/>
    <cellStyle name="Normal 8 3 2 4" xfId="4779"/>
    <cellStyle name="Normal 8 3 2 4 2" xfId="9753"/>
    <cellStyle name="Normal 8 3 2 4 3" xfId="14030"/>
    <cellStyle name="Normal 8 3 2 4 4" xfId="18289"/>
    <cellStyle name="Normal 8 3 2 4 5" xfId="22508"/>
    <cellStyle name="Normal 8 3 2 4 6" xfId="26703"/>
    <cellStyle name="Normal 8 3 2 4 7" xfId="30599"/>
    <cellStyle name="Normal 8 3 2 5" xfId="6127"/>
    <cellStyle name="Normal 8 3 2 5 2" xfId="11099"/>
    <cellStyle name="Normal 8 3 2 5 3" xfId="15377"/>
    <cellStyle name="Normal 8 3 2 5 4" xfId="19634"/>
    <cellStyle name="Normal 8 3 2 5 5" xfId="23851"/>
    <cellStyle name="Normal 8 3 2 5 6" xfId="28037"/>
    <cellStyle name="Normal 8 3 2 5 7" xfId="31916"/>
    <cellStyle name="Normal 8 3 2 6" xfId="7045"/>
    <cellStyle name="Normal 8 3 2 7" xfId="11337"/>
    <cellStyle name="Normal 8 3 2 8" xfId="15615"/>
    <cellStyle name="Normal 8 3 2 9" xfId="19872"/>
    <cellStyle name="Normal 8 3 3" xfId="1076"/>
    <cellStyle name="Normal 8 3 3 2" xfId="5107"/>
    <cellStyle name="Normal 8 3 3 2 2" xfId="10081"/>
    <cellStyle name="Normal 8 3 3 2 3" xfId="14358"/>
    <cellStyle name="Normal 8 3 3 2 4" xfId="18617"/>
    <cellStyle name="Normal 8 3 3 2 5" xfId="22836"/>
    <cellStyle name="Normal 8 3 3 2 6" xfId="27031"/>
    <cellStyle name="Normal 8 3 3 2 7" xfId="30927"/>
    <cellStyle name="Normal 8 3 3 3" xfId="8302"/>
    <cellStyle name="Normal 8 3 3 4" xfId="12587"/>
    <cellStyle name="Normal 8 3 3 5" xfId="16859"/>
    <cellStyle name="Normal 8 3 3 6" xfId="21094"/>
    <cellStyle name="Normal 8 3 3 7" xfId="25332"/>
    <cellStyle name="Normal 8 3 3 8" xfId="29410"/>
    <cellStyle name="Normal 8 3 3 9" xfId="3326"/>
    <cellStyle name="Normal 8 3 4" xfId="2465"/>
    <cellStyle name="Normal 8 3 4 2" xfId="7442"/>
    <cellStyle name="Normal 8 3 4 3" xfId="11731"/>
    <cellStyle name="Normal 8 3 4 4" xfId="16009"/>
    <cellStyle name="Normal 8 3 4 5" xfId="20252"/>
    <cellStyle name="Normal 8 3 4 6" xfId="24498"/>
    <cellStyle name="Normal 8 3 4 7" xfId="28603"/>
    <cellStyle name="Normal 8 3 5" xfId="4449"/>
    <cellStyle name="Normal 8 3 5 2" xfId="9423"/>
    <cellStyle name="Normal 8 3 5 3" xfId="13700"/>
    <cellStyle name="Normal 8 3 5 4" xfId="17960"/>
    <cellStyle name="Normal 8 3 5 5" xfId="22178"/>
    <cellStyle name="Normal 8 3 5 6" xfId="26374"/>
    <cellStyle name="Normal 8 3 5 7" xfId="30270"/>
    <cellStyle name="Normal 8 3 6" xfId="5798"/>
    <cellStyle name="Normal 8 3 6 2" xfId="10770"/>
    <cellStyle name="Normal 8 3 6 3" xfId="15048"/>
    <cellStyle name="Normal 8 3 6 4" xfId="19305"/>
    <cellStyle name="Normal 8 3 6 5" xfId="23522"/>
    <cellStyle name="Normal 8 3 6 6" xfId="27708"/>
    <cellStyle name="Normal 8 3 6 7" xfId="31587"/>
    <cellStyle name="Normal 8 3 7" xfId="6672"/>
    <cellStyle name="Normal 8 3 8" xfId="8998"/>
    <cellStyle name="Normal 8 3 9" xfId="13280"/>
    <cellStyle name="Normal 8 4" xfId="276"/>
    <cellStyle name="Normal 8 4 10" xfId="20110"/>
    <cellStyle name="Normal 8 4 11" xfId="26158"/>
    <cellStyle name="Normal 8 4 12" xfId="1657"/>
    <cellStyle name="Normal 8 4 2" xfId="671"/>
    <cellStyle name="Normal 8 4 2 10" xfId="25991"/>
    <cellStyle name="Normal 8 4 2 11" xfId="1990"/>
    <cellStyle name="Normal 8 4 2 2" xfId="1328"/>
    <cellStyle name="Normal 8 4 2 2 2" xfId="10333"/>
    <cellStyle name="Normal 8 4 2 2 3" xfId="14610"/>
    <cellStyle name="Normal 8 4 2 2 4" xfId="18869"/>
    <cellStyle name="Normal 8 4 2 2 5" xfId="23088"/>
    <cellStyle name="Normal 8 4 2 2 6" xfId="27283"/>
    <cellStyle name="Normal 8 4 2 2 7" xfId="31179"/>
    <cellStyle name="Normal 8 4 2 2 8" xfId="5359"/>
    <cellStyle name="Normal 8 4 2 3" xfId="4702"/>
    <cellStyle name="Normal 8 4 2 3 2" xfId="9676"/>
    <cellStyle name="Normal 8 4 2 3 3" xfId="13953"/>
    <cellStyle name="Normal 8 4 2 3 4" xfId="18212"/>
    <cellStyle name="Normal 8 4 2 3 5" xfId="22431"/>
    <cellStyle name="Normal 8 4 2 3 6" xfId="26626"/>
    <cellStyle name="Normal 8 4 2 3 7" xfId="30522"/>
    <cellStyle name="Normal 8 4 2 4" xfId="6050"/>
    <cellStyle name="Normal 8 4 2 4 2" xfId="11022"/>
    <cellStyle name="Normal 8 4 2 4 3" xfId="15300"/>
    <cellStyle name="Normal 8 4 2 4 4" xfId="19557"/>
    <cellStyle name="Normal 8 4 2 4 5" xfId="23774"/>
    <cellStyle name="Normal 8 4 2 4 6" xfId="27960"/>
    <cellStyle name="Normal 8 4 2 4 7" xfId="31839"/>
    <cellStyle name="Normal 8 4 2 5" xfId="6968"/>
    <cellStyle name="Normal 8 4 2 6" xfId="8968"/>
    <cellStyle name="Normal 8 4 2 7" xfId="13250"/>
    <cellStyle name="Normal 8 4 2 8" xfId="17524"/>
    <cellStyle name="Normal 8 4 2 9" xfId="24046"/>
    <cellStyle name="Normal 8 4 3" xfId="999"/>
    <cellStyle name="Normal 8 4 3 2" xfId="5030"/>
    <cellStyle name="Normal 8 4 3 2 2" xfId="10004"/>
    <cellStyle name="Normal 8 4 3 2 3" xfId="14281"/>
    <cellStyle name="Normal 8 4 3 2 4" xfId="18540"/>
    <cellStyle name="Normal 8 4 3 2 5" xfId="22759"/>
    <cellStyle name="Normal 8 4 3 2 6" xfId="26954"/>
    <cellStyle name="Normal 8 4 3 2 7" xfId="30850"/>
    <cellStyle name="Normal 8 4 3 3" xfId="2618"/>
    <cellStyle name="Normal 8 4 4" xfId="4371"/>
    <cellStyle name="Normal 8 4 4 2" xfId="9345"/>
    <cellStyle name="Normal 8 4 4 3" xfId="13622"/>
    <cellStyle name="Normal 8 4 4 4" xfId="17882"/>
    <cellStyle name="Normal 8 4 4 5" xfId="22101"/>
    <cellStyle name="Normal 8 4 4 6" xfId="26297"/>
    <cellStyle name="Normal 8 4 4 7" xfId="30193"/>
    <cellStyle name="Normal 8 4 5" xfId="5721"/>
    <cellStyle name="Normal 8 4 5 2" xfId="10693"/>
    <cellStyle name="Normal 8 4 5 3" xfId="14971"/>
    <cellStyle name="Normal 8 4 5 4" xfId="19228"/>
    <cellStyle name="Normal 8 4 5 5" xfId="23445"/>
    <cellStyle name="Normal 8 4 5 6" xfId="27631"/>
    <cellStyle name="Normal 8 4 5 7" xfId="31510"/>
    <cellStyle name="Normal 8 4 6" xfId="6574"/>
    <cellStyle name="Normal 8 4 7" xfId="9189"/>
    <cellStyle name="Normal 8 4 8" xfId="13469"/>
    <cellStyle name="Normal 8 4 9" xfId="17731"/>
    <cellStyle name="Normal 8 5" xfId="3100"/>
    <cellStyle name="Normal 8 6" xfId="3101"/>
    <cellStyle name="Normal 8 6 2" xfId="3102"/>
    <cellStyle name="Normal 8 6 2 2" xfId="3931"/>
    <cellStyle name="Normal 8 6 2 2 2" xfId="8907"/>
    <cellStyle name="Normal 8 6 2 2 3" xfId="13192"/>
    <cellStyle name="Normal 8 6 2 2 4" xfId="17464"/>
    <cellStyle name="Normal 8 6 2 2 5" xfId="21698"/>
    <cellStyle name="Normal 8 6 2 2 6" xfId="25937"/>
    <cellStyle name="Normal 8 6 2 2 7" xfId="30011"/>
    <cellStyle name="Normal 8 6 2 3" xfId="8078"/>
    <cellStyle name="Normal 8 6 2 4" xfId="12366"/>
    <cellStyle name="Normal 8 6 2 5" xfId="16641"/>
    <cellStyle name="Normal 8 6 2 6" xfId="20877"/>
    <cellStyle name="Normal 8 6 2 7" xfId="25121"/>
    <cellStyle name="Normal 8 6 2 8" xfId="29206"/>
    <cellStyle name="Normal 8 6 3" xfId="3930"/>
    <cellStyle name="Normal 8 6 3 2" xfId="8906"/>
    <cellStyle name="Normal 8 6 3 3" xfId="13191"/>
    <cellStyle name="Normal 8 6 3 4" xfId="17463"/>
    <cellStyle name="Normal 8 6 3 5" xfId="21697"/>
    <cellStyle name="Normal 8 6 3 6" xfId="25936"/>
    <cellStyle name="Normal 8 6 3 7" xfId="30010"/>
    <cellStyle name="Normal 8 6 4" xfId="8077"/>
    <cellStyle name="Normal 8 6 5" xfId="12365"/>
    <cellStyle name="Normal 8 6 6" xfId="16640"/>
    <cellStyle name="Normal 8 6 7" xfId="20876"/>
    <cellStyle name="Normal 8 6 8" xfId="25120"/>
    <cellStyle name="Normal 8 6 9" xfId="29205"/>
    <cellStyle name="Normal 8 7" xfId="3103"/>
    <cellStyle name="Normal 8 7 2" xfId="3932"/>
    <cellStyle name="Normal 8 7 2 2" xfId="8908"/>
    <cellStyle name="Normal 8 7 2 3" xfId="13193"/>
    <cellStyle name="Normal 8 7 2 4" xfId="17465"/>
    <cellStyle name="Normal 8 7 2 5" xfId="21699"/>
    <cellStyle name="Normal 8 7 2 6" xfId="25938"/>
    <cellStyle name="Normal 8 7 2 7" xfId="30012"/>
    <cellStyle name="Normal 8 7 3" xfId="8079"/>
    <cellStyle name="Normal 8 7 4" xfId="12367"/>
    <cellStyle name="Normal 8 7 5" xfId="16642"/>
    <cellStyle name="Normal 8 7 6" xfId="20878"/>
    <cellStyle name="Normal 8 7 7" xfId="25122"/>
    <cellStyle name="Normal 8 7 8" xfId="29207"/>
    <cellStyle name="Normal 8 8" xfId="3289"/>
    <cellStyle name="Normal 8 8 2" xfId="8265"/>
    <cellStyle name="Normal 8 8 3" xfId="12550"/>
    <cellStyle name="Normal 8 8 4" xfId="16823"/>
    <cellStyle name="Normal 8 8 5" xfId="21059"/>
    <cellStyle name="Normal 8 8 6" xfId="25297"/>
    <cellStyle name="Normal 8 8 7" xfId="29375"/>
    <cellStyle name="Normal 8 9" xfId="2405"/>
    <cellStyle name="Normal 8 9 2" xfId="7383"/>
    <cellStyle name="Normal 8 9 3" xfId="11672"/>
    <cellStyle name="Normal 8 9 4" xfId="15950"/>
    <cellStyle name="Normal 8 9 5" xfId="20199"/>
    <cellStyle name="Normal 8 9 6" xfId="24447"/>
    <cellStyle name="Normal 8 9 7" xfId="28567"/>
    <cellStyle name="Normal 9" xfId="205"/>
    <cellStyle name="Normal 9 10" xfId="10613"/>
    <cellStyle name="Normal 9 11" xfId="14891"/>
    <cellStyle name="Normal 9 12" xfId="17721"/>
    <cellStyle name="Normal 9 13" xfId="23366"/>
    <cellStyle name="Normal 9 14" xfId="1634"/>
    <cellStyle name="Normal 9 2" xfId="333"/>
    <cellStyle name="Normal 9 2 2" xfId="394"/>
    <cellStyle name="Normal 9 2 2 10" xfId="21837"/>
    <cellStyle name="Normal 9 2 2 11" xfId="26160"/>
    <cellStyle name="Normal 9 2 2 12" xfId="1757"/>
    <cellStyle name="Normal 9 2 2 2" xfId="768"/>
    <cellStyle name="Normal 9 2 2 2 10" xfId="28295"/>
    <cellStyle name="Normal 9 2 2 2 11" xfId="2087"/>
    <cellStyle name="Normal 9 2 2 2 2" xfId="1425"/>
    <cellStyle name="Normal 9 2 2 2 2 2" xfId="10430"/>
    <cellStyle name="Normal 9 2 2 2 2 3" xfId="14707"/>
    <cellStyle name="Normal 9 2 2 2 2 4" xfId="18966"/>
    <cellStyle name="Normal 9 2 2 2 2 5" xfId="23185"/>
    <cellStyle name="Normal 9 2 2 2 2 6" xfId="27380"/>
    <cellStyle name="Normal 9 2 2 2 2 7" xfId="31276"/>
    <cellStyle name="Normal 9 2 2 2 2 8" xfId="5456"/>
    <cellStyle name="Normal 9 2 2 2 3" xfId="4799"/>
    <cellStyle name="Normal 9 2 2 2 3 2" xfId="9773"/>
    <cellStyle name="Normal 9 2 2 2 3 3" xfId="14050"/>
    <cellStyle name="Normal 9 2 2 2 3 4" xfId="18309"/>
    <cellStyle name="Normal 9 2 2 2 3 5" xfId="22528"/>
    <cellStyle name="Normal 9 2 2 2 3 6" xfId="26723"/>
    <cellStyle name="Normal 9 2 2 2 3 7" xfId="30619"/>
    <cellStyle name="Normal 9 2 2 2 4" xfId="6147"/>
    <cellStyle name="Normal 9 2 2 2 4 2" xfId="11119"/>
    <cellStyle name="Normal 9 2 2 2 4 3" xfId="15397"/>
    <cellStyle name="Normal 9 2 2 2 4 4" xfId="19654"/>
    <cellStyle name="Normal 9 2 2 2 4 5" xfId="23871"/>
    <cellStyle name="Normal 9 2 2 2 4 6" xfId="28057"/>
    <cellStyle name="Normal 9 2 2 2 4 7" xfId="31936"/>
    <cellStyle name="Normal 9 2 2 2 5" xfId="7065"/>
    <cellStyle name="Normal 9 2 2 2 6" xfId="11357"/>
    <cellStyle name="Normal 9 2 2 2 7" xfId="15635"/>
    <cellStyle name="Normal 9 2 2 2 8" xfId="19892"/>
    <cellStyle name="Normal 9 2 2 2 9" xfId="24143"/>
    <cellStyle name="Normal 9 2 2 3" xfId="1096"/>
    <cellStyle name="Normal 9 2 2 3 2" xfId="5127"/>
    <cellStyle name="Normal 9 2 2 3 2 2" xfId="10101"/>
    <cellStyle name="Normal 9 2 2 3 2 3" xfId="14378"/>
    <cellStyle name="Normal 9 2 2 3 2 4" xfId="18637"/>
    <cellStyle name="Normal 9 2 2 3 2 5" xfId="22856"/>
    <cellStyle name="Normal 9 2 2 3 2 6" xfId="27051"/>
    <cellStyle name="Normal 9 2 2 3 2 7" xfId="30947"/>
    <cellStyle name="Normal 9 2 2 3 3" xfId="2322"/>
    <cellStyle name="Normal 9 2 2 4" xfId="4469"/>
    <cellStyle name="Normal 9 2 2 4 2" xfId="9443"/>
    <cellStyle name="Normal 9 2 2 4 3" xfId="13720"/>
    <cellStyle name="Normal 9 2 2 4 4" xfId="17980"/>
    <cellStyle name="Normal 9 2 2 4 5" xfId="22198"/>
    <cellStyle name="Normal 9 2 2 4 6" xfId="26394"/>
    <cellStyle name="Normal 9 2 2 4 7" xfId="30290"/>
    <cellStyle name="Normal 9 2 2 5" xfId="5818"/>
    <cellStyle name="Normal 9 2 2 5 2" xfId="10790"/>
    <cellStyle name="Normal 9 2 2 5 3" xfId="15068"/>
    <cellStyle name="Normal 9 2 2 5 4" xfId="19325"/>
    <cellStyle name="Normal 9 2 2 5 5" xfId="23542"/>
    <cellStyle name="Normal 9 2 2 5 6" xfId="27728"/>
    <cellStyle name="Normal 9 2 2 5 7" xfId="31607"/>
    <cellStyle name="Normal 9 2 2 6" xfId="6692"/>
    <cellStyle name="Normal 9 2 2 7" xfId="9191"/>
    <cellStyle name="Normal 9 2 2 8" xfId="13471"/>
    <cellStyle name="Normal 9 2 2 9" xfId="17733"/>
    <cellStyle name="Normal 9 2 3" xfId="3104"/>
    <cellStyle name="Normal 9 2 3 2" xfId="3933"/>
    <cellStyle name="Normal 9 2 3 2 2" xfId="8909"/>
    <cellStyle name="Normal 9 2 3 2 3" xfId="13194"/>
    <cellStyle name="Normal 9 2 3 2 4" xfId="17466"/>
    <cellStyle name="Normal 9 2 3 2 5" xfId="21700"/>
    <cellStyle name="Normal 9 2 3 2 6" xfId="25939"/>
    <cellStyle name="Normal 9 2 3 2 7" xfId="30013"/>
    <cellStyle name="Normal 9 2 3 3" xfId="8080"/>
    <cellStyle name="Normal 9 2 3 4" xfId="12368"/>
    <cellStyle name="Normal 9 2 3 5" xfId="16643"/>
    <cellStyle name="Normal 9 2 3 6" xfId="20879"/>
    <cellStyle name="Normal 9 2 3 7" xfId="25123"/>
    <cellStyle name="Normal 9 2 3 8" xfId="29208"/>
    <cellStyle name="Normal 9 2 4" xfId="3346"/>
    <cellStyle name="Normal 9 2 4 2" xfId="8322"/>
    <cellStyle name="Normal 9 2 4 3" xfId="12607"/>
    <cellStyle name="Normal 9 2 4 4" xfId="16879"/>
    <cellStyle name="Normal 9 2 4 5" xfId="21114"/>
    <cellStyle name="Normal 9 2 4 6" xfId="25352"/>
    <cellStyle name="Normal 9 2 4 7" xfId="29430"/>
    <cellStyle name="Normal 9 2 5" xfId="2485"/>
    <cellStyle name="Normal 9 2 5 2" xfId="7462"/>
    <cellStyle name="Normal 9 2 5 3" xfId="11751"/>
    <cellStyle name="Normal 9 2 5 4" xfId="16029"/>
    <cellStyle name="Normal 9 2 5 5" xfId="20272"/>
    <cellStyle name="Normal 9 2 5 6" xfId="24518"/>
    <cellStyle name="Normal 9 2 5 7" xfId="28623"/>
    <cellStyle name="Normal 9 3" xfId="648"/>
    <cellStyle name="Normal 9 3 10" xfId="17716"/>
    <cellStyle name="Normal 9 3 11" xfId="9156"/>
    <cellStyle name="Normal 9 3 12" xfId="26146"/>
    <cellStyle name="Normal 9 3 13" xfId="1967"/>
    <cellStyle name="Normal 9 3 2" xfId="1305"/>
    <cellStyle name="Normal 9 3 2 10" xfId="3105"/>
    <cellStyle name="Normal 9 3 2 2" xfId="3934"/>
    <cellStyle name="Normal 9 3 2 2 2" xfId="8910"/>
    <cellStyle name="Normal 9 3 2 2 3" xfId="13195"/>
    <cellStyle name="Normal 9 3 2 2 4" xfId="17467"/>
    <cellStyle name="Normal 9 3 2 2 5" xfId="21701"/>
    <cellStyle name="Normal 9 3 2 2 6" xfId="25940"/>
    <cellStyle name="Normal 9 3 2 2 7" xfId="30014"/>
    <cellStyle name="Normal 9 3 2 3" xfId="5336"/>
    <cellStyle name="Normal 9 3 2 3 2" xfId="10310"/>
    <cellStyle name="Normal 9 3 2 3 3" xfId="14587"/>
    <cellStyle name="Normal 9 3 2 3 4" xfId="18846"/>
    <cellStyle name="Normal 9 3 2 3 5" xfId="23065"/>
    <cellStyle name="Normal 9 3 2 3 6" xfId="27260"/>
    <cellStyle name="Normal 9 3 2 3 7" xfId="31156"/>
    <cellStyle name="Normal 9 3 2 4" xfId="8081"/>
    <cellStyle name="Normal 9 3 2 5" xfId="12369"/>
    <cellStyle name="Normal 9 3 2 6" xfId="16644"/>
    <cellStyle name="Normal 9 3 2 7" xfId="20880"/>
    <cellStyle name="Normal 9 3 2 8" xfId="25124"/>
    <cellStyle name="Normal 9 3 2 9" xfId="29209"/>
    <cellStyle name="Normal 9 3 3" xfId="3293"/>
    <cellStyle name="Normal 9 3 3 2" xfId="8269"/>
    <cellStyle name="Normal 9 3 3 3" xfId="12554"/>
    <cellStyle name="Normal 9 3 3 4" xfId="16827"/>
    <cellStyle name="Normal 9 3 3 5" xfId="21063"/>
    <cellStyle name="Normal 9 3 3 6" xfId="25301"/>
    <cellStyle name="Normal 9 3 3 7" xfId="29379"/>
    <cellStyle name="Normal 9 3 4" xfId="2415"/>
    <cellStyle name="Normal 9 3 4 2" xfId="7393"/>
    <cellStyle name="Normal 9 3 4 3" xfId="11682"/>
    <cellStyle name="Normal 9 3 4 4" xfId="15960"/>
    <cellStyle name="Normal 9 3 4 5" xfId="20208"/>
    <cellStyle name="Normal 9 3 4 6" xfId="24456"/>
    <cellStyle name="Normal 9 3 4 7" xfId="28572"/>
    <cellStyle name="Normal 9 3 5" xfId="4679"/>
    <cellStyle name="Normal 9 3 5 2" xfId="9653"/>
    <cellStyle name="Normal 9 3 5 3" xfId="13930"/>
    <cellStyle name="Normal 9 3 5 4" xfId="18189"/>
    <cellStyle name="Normal 9 3 5 5" xfId="22408"/>
    <cellStyle name="Normal 9 3 5 6" xfId="26603"/>
    <cellStyle name="Normal 9 3 5 7" xfId="30499"/>
    <cellStyle name="Normal 9 3 6" xfId="6027"/>
    <cellStyle name="Normal 9 3 6 2" xfId="10999"/>
    <cellStyle name="Normal 9 3 6 3" xfId="15277"/>
    <cellStyle name="Normal 9 3 6 4" xfId="19534"/>
    <cellStyle name="Normal 9 3 6 5" xfId="23751"/>
    <cellStyle name="Normal 9 3 6 6" xfId="27937"/>
    <cellStyle name="Normal 9 3 6 7" xfId="31816"/>
    <cellStyle name="Normal 9 3 7" xfId="6945"/>
    <cellStyle name="Normal 9 3 8" xfId="9172"/>
    <cellStyle name="Normal 9 3 9" xfId="13452"/>
    <cellStyle name="Normal 9 4" xfId="976"/>
    <cellStyle name="Normal 9 4 2" xfId="5007"/>
    <cellStyle name="Normal 9 4 2 2" xfId="9981"/>
    <cellStyle name="Normal 9 4 2 3" xfId="14258"/>
    <cellStyle name="Normal 9 4 2 4" xfId="18517"/>
    <cellStyle name="Normal 9 4 2 5" xfId="22736"/>
    <cellStyle name="Normal 9 4 2 6" xfId="26931"/>
    <cellStyle name="Normal 9 4 2 7" xfId="30827"/>
    <cellStyle name="Normal 9 4 3" xfId="2440"/>
    <cellStyle name="Normal 9 5" xfId="4235"/>
    <cellStyle name="Normal 9 6" xfId="4348"/>
    <cellStyle name="Normal 9 6 2" xfId="9322"/>
    <cellStyle name="Normal 9 6 3" xfId="13599"/>
    <cellStyle name="Normal 9 6 4" xfId="17859"/>
    <cellStyle name="Normal 9 6 5" xfId="22078"/>
    <cellStyle name="Normal 9 6 6" xfId="26274"/>
    <cellStyle name="Normal 9 6 7" xfId="30170"/>
    <cellStyle name="Normal 9 7" xfId="5698"/>
    <cellStyle name="Normal 9 7 2" xfId="10670"/>
    <cellStyle name="Normal 9 7 3" xfId="14948"/>
    <cellStyle name="Normal 9 7 4" xfId="19205"/>
    <cellStyle name="Normal 9 7 5" xfId="23422"/>
    <cellStyle name="Normal 9 7 6" xfId="27608"/>
    <cellStyle name="Normal 9 7 7" xfId="31487"/>
    <cellStyle name="Normal 9 8" xfId="6503"/>
    <cellStyle name="Normal 9 9" xfId="6360"/>
    <cellStyle name="Normal_HDD Lookup" xfId="1578"/>
    <cellStyle name="Normal_Sheet1" xfId="45"/>
    <cellStyle name="Note" xfId="46" builtinId="10" customBuiltin="1"/>
    <cellStyle name="Note 2" xfId="70"/>
    <cellStyle name="Note 2 10" xfId="4290"/>
    <cellStyle name="Note 2 10 2" xfId="9264"/>
    <cellStyle name="Note 2 10 3" xfId="13541"/>
    <cellStyle name="Note 2 10 4" xfId="17801"/>
    <cellStyle name="Note 2 10 5" xfId="22020"/>
    <cellStyle name="Note 2 10 6" xfId="26218"/>
    <cellStyle name="Note 2 10 7" xfId="30115"/>
    <cellStyle name="Note 2 11" xfId="5646"/>
    <cellStyle name="Note 2 11 2" xfId="10618"/>
    <cellStyle name="Note 2 11 3" xfId="14896"/>
    <cellStyle name="Note 2 11 4" xfId="19153"/>
    <cellStyle name="Note 2 11 5" xfId="23370"/>
    <cellStyle name="Note 2 11 6" xfId="27556"/>
    <cellStyle name="Note 2 11 7" xfId="31435"/>
    <cellStyle name="Note 2 12" xfId="6370"/>
    <cellStyle name="Note 2 13" xfId="6513"/>
    <cellStyle name="Note 2 14" xfId="6564"/>
    <cellStyle name="Note 2 15" xfId="9056"/>
    <cellStyle name="Note 2 16" xfId="17520"/>
    <cellStyle name="Note 2 17" xfId="20765"/>
    <cellStyle name="Note 2 18" xfId="1580"/>
    <cellStyle name="Note 2 2" xfId="165"/>
    <cellStyle name="Note 2 2 10" xfId="5678"/>
    <cellStyle name="Note 2 2 10 2" xfId="10650"/>
    <cellStyle name="Note 2 2 10 3" xfId="14928"/>
    <cellStyle name="Note 2 2 10 4" xfId="19185"/>
    <cellStyle name="Note 2 2 10 5" xfId="23402"/>
    <cellStyle name="Note 2 2 10 6" xfId="27588"/>
    <cellStyle name="Note 2 2 10 7" xfId="31467"/>
    <cellStyle name="Note 2 2 11" xfId="6464"/>
    <cellStyle name="Note 2 2 12" xfId="6341"/>
    <cellStyle name="Note 2 2 13" xfId="9100"/>
    <cellStyle name="Note 2 2 14" xfId="13381"/>
    <cellStyle name="Note 2 2 15" xfId="17572"/>
    <cellStyle name="Note 2 2 16" xfId="21716"/>
    <cellStyle name="Note 2 2 17" xfId="1613"/>
    <cellStyle name="Note 2 2 2" xfId="309"/>
    <cellStyle name="Note 2 2 2 10" xfId="13435"/>
    <cellStyle name="Note 2 2 2 11" xfId="17700"/>
    <cellStyle name="Note 2 2 2 12" xfId="23339"/>
    <cellStyle name="Note 2 2 2 13" xfId="26134"/>
    <cellStyle name="Note 2 2 2 14" xfId="1681"/>
    <cellStyle name="Note 2 2 2 2" xfId="473"/>
    <cellStyle name="Note 2 2 2 2 10" xfId="17349"/>
    <cellStyle name="Note 2 2 2 2 11" xfId="16639"/>
    <cellStyle name="Note 2 2 2 2 12" xfId="25822"/>
    <cellStyle name="Note 2 2 2 2 13" xfId="1836"/>
    <cellStyle name="Note 2 2 2 2 2" xfId="847"/>
    <cellStyle name="Note 2 2 2 2 2 10" xfId="24222"/>
    <cellStyle name="Note 2 2 2 2 2 11" xfId="28374"/>
    <cellStyle name="Note 2 2 2 2 2 12" xfId="2166"/>
    <cellStyle name="Note 2 2 2 2 2 2" xfId="1504"/>
    <cellStyle name="Note 2 2 2 2 2 2 2" xfId="5535"/>
    <cellStyle name="Note 2 2 2 2 2 2 2 2" xfId="10509"/>
    <cellStyle name="Note 2 2 2 2 2 2 2 3" xfId="14786"/>
    <cellStyle name="Note 2 2 2 2 2 2 2 4" xfId="19045"/>
    <cellStyle name="Note 2 2 2 2 2 2 2 5" xfId="23264"/>
    <cellStyle name="Note 2 2 2 2 2 2 2 6" xfId="27459"/>
    <cellStyle name="Note 2 2 2 2 2 2 2 7" xfId="31355"/>
    <cellStyle name="Note 2 2 2 2 2 2 3" xfId="8911"/>
    <cellStyle name="Note 2 2 2 2 2 2 4" xfId="13196"/>
    <cellStyle name="Note 2 2 2 2 2 2 5" xfId="17468"/>
    <cellStyle name="Note 2 2 2 2 2 2 6" xfId="21702"/>
    <cellStyle name="Note 2 2 2 2 2 2 7" xfId="25941"/>
    <cellStyle name="Note 2 2 2 2 2 2 8" xfId="30015"/>
    <cellStyle name="Note 2 2 2 2 2 2 9" xfId="3935"/>
    <cellStyle name="Note 2 2 2 2 2 3" xfId="3106"/>
    <cellStyle name="Note 2 2 2 2 2 3 2" xfId="8082"/>
    <cellStyle name="Note 2 2 2 2 2 3 3" xfId="12370"/>
    <cellStyle name="Note 2 2 2 2 2 3 4" xfId="16645"/>
    <cellStyle name="Note 2 2 2 2 2 3 5" xfId="20881"/>
    <cellStyle name="Note 2 2 2 2 2 3 6" xfId="25125"/>
    <cellStyle name="Note 2 2 2 2 2 3 7" xfId="29210"/>
    <cellStyle name="Note 2 2 2 2 2 4" xfId="4878"/>
    <cellStyle name="Note 2 2 2 2 2 4 2" xfId="9852"/>
    <cellStyle name="Note 2 2 2 2 2 4 3" xfId="14129"/>
    <cellStyle name="Note 2 2 2 2 2 4 4" xfId="18388"/>
    <cellStyle name="Note 2 2 2 2 2 4 5" xfId="22607"/>
    <cellStyle name="Note 2 2 2 2 2 4 6" xfId="26802"/>
    <cellStyle name="Note 2 2 2 2 2 4 7" xfId="30698"/>
    <cellStyle name="Note 2 2 2 2 2 5" xfId="6226"/>
    <cellStyle name="Note 2 2 2 2 2 5 2" xfId="11198"/>
    <cellStyle name="Note 2 2 2 2 2 5 3" xfId="15476"/>
    <cellStyle name="Note 2 2 2 2 2 5 4" xfId="19733"/>
    <cellStyle name="Note 2 2 2 2 2 5 5" xfId="23950"/>
    <cellStyle name="Note 2 2 2 2 2 5 6" xfId="28136"/>
    <cellStyle name="Note 2 2 2 2 2 5 7" xfId="32015"/>
    <cellStyle name="Note 2 2 2 2 2 6" xfId="7144"/>
    <cellStyle name="Note 2 2 2 2 2 7" xfId="11436"/>
    <cellStyle name="Note 2 2 2 2 2 8" xfId="15714"/>
    <cellStyle name="Note 2 2 2 2 2 9" xfId="19971"/>
    <cellStyle name="Note 2 2 2 2 3" xfId="1175"/>
    <cellStyle name="Note 2 2 2 2 3 2" xfId="5206"/>
    <cellStyle name="Note 2 2 2 2 3 2 2" xfId="10180"/>
    <cellStyle name="Note 2 2 2 2 3 2 3" xfId="14457"/>
    <cellStyle name="Note 2 2 2 2 3 2 4" xfId="18716"/>
    <cellStyle name="Note 2 2 2 2 3 2 5" xfId="22935"/>
    <cellStyle name="Note 2 2 2 2 3 2 6" xfId="27130"/>
    <cellStyle name="Note 2 2 2 2 3 2 7" xfId="31026"/>
    <cellStyle name="Note 2 2 2 2 3 3" xfId="8401"/>
    <cellStyle name="Note 2 2 2 2 3 4" xfId="12686"/>
    <cellStyle name="Note 2 2 2 2 3 5" xfId="16958"/>
    <cellStyle name="Note 2 2 2 2 3 6" xfId="21193"/>
    <cellStyle name="Note 2 2 2 2 3 7" xfId="25431"/>
    <cellStyle name="Note 2 2 2 2 3 8" xfId="29509"/>
    <cellStyle name="Note 2 2 2 2 3 9" xfId="3425"/>
    <cellStyle name="Note 2 2 2 2 4" xfId="2564"/>
    <cellStyle name="Note 2 2 2 2 4 2" xfId="7541"/>
    <cellStyle name="Note 2 2 2 2 4 3" xfId="11830"/>
    <cellStyle name="Note 2 2 2 2 4 4" xfId="16108"/>
    <cellStyle name="Note 2 2 2 2 4 5" xfId="20351"/>
    <cellStyle name="Note 2 2 2 2 4 6" xfId="24597"/>
    <cellStyle name="Note 2 2 2 2 4 7" xfId="28702"/>
    <cellStyle name="Note 2 2 2 2 5" xfId="4548"/>
    <cellStyle name="Note 2 2 2 2 5 2" xfId="9522"/>
    <cellStyle name="Note 2 2 2 2 5 3" xfId="13799"/>
    <cellStyle name="Note 2 2 2 2 5 4" xfId="18059"/>
    <cellStyle name="Note 2 2 2 2 5 5" xfId="22277"/>
    <cellStyle name="Note 2 2 2 2 5 6" xfId="26473"/>
    <cellStyle name="Note 2 2 2 2 5 7" xfId="30369"/>
    <cellStyle name="Note 2 2 2 2 6" xfId="5897"/>
    <cellStyle name="Note 2 2 2 2 6 2" xfId="10869"/>
    <cellStyle name="Note 2 2 2 2 6 3" xfId="15147"/>
    <cellStyle name="Note 2 2 2 2 6 4" xfId="19404"/>
    <cellStyle name="Note 2 2 2 2 6 5" xfId="23621"/>
    <cellStyle name="Note 2 2 2 2 6 6" xfId="27807"/>
    <cellStyle name="Note 2 2 2 2 6 7" xfId="31686"/>
    <cellStyle name="Note 2 2 2 2 7" xfId="6771"/>
    <cellStyle name="Note 2 2 2 2 8" xfId="8792"/>
    <cellStyle name="Note 2 2 2 2 9" xfId="13077"/>
    <cellStyle name="Note 2 2 2 3" xfId="692"/>
    <cellStyle name="Note 2 2 2 3 10" xfId="24067"/>
    <cellStyle name="Note 2 2 2 3 11" xfId="28219"/>
    <cellStyle name="Note 2 2 2 3 12" xfId="2011"/>
    <cellStyle name="Note 2 2 2 3 2" xfId="1349"/>
    <cellStyle name="Note 2 2 2 3 2 2" xfId="5380"/>
    <cellStyle name="Note 2 2 2 3 2 2 2" xfId="10354"/>
    <cellStyle name="Note 2 2 2 3 2 2 3" xfId="14631"/>
    <cellStyle name="Note 2 2 2 3 2 2 4" xfId="18890"/>
    <cellStyle name="Note 2 2 2 3 2 2 5" xfId="23109"/>
    <cellStyle name="Note 2 2 2 3 2 2 6" xfId="27304"/>
    <cellStyle name="Note 2 2 2 3 2 2 7" xfId="31200"/>
    <cellStyle name="Note 2 2 2 3 2 3" xfId="8912"/>
    <cellStyle name="Note 2 2 2 3 2 4" xfId="13197"/>
    <cellStyle name="Note 2 2 2 3 2 5" xfId="17469"/>
    <cellStyle name="Note 2 2 2 3 2 6" xfId="21703"/>
    <cellStyle name="Note 2 2 2 3 2 7" xfId="25942"/>
    <cellStyle name="Note 2 2 2 3 2 8" xfId="30016"/>
    <cellStyle name="Note 2 2 2 3 2 9" xfId="3936"/>
    <cellStyle name="Note 2 2 2 3 3" xfId="3107"/>
    <cellStyle name="Note 2 2 2 3 3 2" xfId="8083"/>
    <cellStyle name="Note 2 2 2 3 3 3" xfId="12371"/>
    <cellStyle name="Note 2 2 2 3 3 4" xfId="16646"/>
    <cellStyle name="Note 2 2 2 3 3 5" xfId="20882"/>
    <cellStyle name="Note 2 2 2 3 3 6" xfId="25126"/>
    <cellStyle name="Note 2 2 2 3 3 7" xfId="29211"/>
    <cellStyle name="Note 2 2 2 3 4" xfId="4723"/>
    <cellStyle name="Note 2 2 2 3 4 2" xfId="9697"/>
    <cellStyle name="Note 2 2 2 3 4 3" xfId="13974"/>
    <cellStyle name="Note 2 2 2 3 4 4" xfId="18233"/>
    <cellStyle name="Note 2 2 2 3 4 5" xfId="22452"/>
    <cellStyle name="Note 2 2 2 3 4 6" xfId="26647"/>
    <cellStyle name="Note 2 2 2 3 4 7" xfId="30543"/>
    <cellStyle name="Note 2 2 2 3 5" xfId="6071"/>
    <cellStyle name="Note 2 2 2 3 5 2" xfId="11043"/>
    <cellStyle name="Note 2 2 2 3 5 3" xfId="15321"/>
    <cellStyle name="Note 2 2 2 3 5 4" xfId="19578"/>
    <cellStyle name="Note 2 2 2 3 5 5" xfId="23795"/>
    <cellStyle name="Note 2 2 2 3 5 6" xfId="27981"/>
    <cellStyle name="Note 2 2 2 3 5 7" xfId="31860"/>
    <cellStyle name="Note 2 2 2 3 6" xfId="6989"/>
    <cellStyle name="Note 2 2 2 3 7" xfId="11281"/>
    <cellStyle name="Note 2 2 2 3 8" xfId="15559"/>
    <cellStyle name="Note 2 2 2 3 9" xfId="19816"/>
    <cellStyle name="Note 2 2 2 4" xfId="1020"/>
    <cellStyle name="Note 2 2 2 4 2" xfId="5051"/>
    <cellStyle name="Note 2 2 2 4 2 2" xfId="10025"/>
    <cellStyle name="Note 2 2 2 4 2 3" xfId="14302"/>
    <cellStyle name="Note 2 2 2 4 2 4" xfId="18561"/>
    <cellStyle name="Note 2 2 2 4 2 5" xfId="22780"/>
    <cellStyle name="Note 2 2 2 4 2 6" xfId="26975"/>
    <cellStyle name="Note 2 2 2 4 2 7" xfId="30871"/>
    <cellStyle name="Note 2 2 2 4 3" xfId="8249"/>
    <cellStyle name="Note 2 2 2 4 4" xfId="12534"/>
    <cellStyle name="Note 2 2 2 4 5" xfId="16807"/>
    <cellStyle name="Note 2 2 2 4 6" xfId="21043"/>
    <cellStyle name="Note 2 2 2 4 7" xfId="25281"/>
    <cellStyle name="Note 2 2 2 4 8" xfId="29359"/>
    <cellStyle name="Note 2 2 2 4 9" xfId="3273"/>
    <cellStyle name="Note 2 2 2 5" xfId="2389"/>
    <cellStyle name="Note 2 2 2 5 2" xfId="7367"/>
    <cellStyle name="Note 2 2 2 5 3" xfId="11656"/>
    <cellStyle name="Note 2 2 2 5 4" xfId="15934"/>
    <cellStyle name="Note 2 2 2 5 5" xfId="20183"/>
    <cellStyle name="Note 2 2 2 5 6" xfId="24431"/>
    <cellStyle name="Note 2 2 2 5 7" xfId="28551"/>
    <cellStyle name="Note 2 2 2 6" xfId="4393"/>
    <cellStyle name="Note 2 2 2 6 2" xfId="9367"/>
    <cellStyle name="Note 2 2 2 6 3" xfId="13644"/>
    <cellStyle name="Note 2 2 2 6 4" xfId="17904"/>
    <cellStyle name="Note 2 2 2 6 5" xfId="22122"/>
    <cellStyle name="Note 2 2 2 6 6" xfId="26318"/>
    <cellStyle name="Note 2 2 2 6 7" xfId="30214"/>
    <cellStyle name="Note 2 2 2 7" xfId="5742"/>
    <cellStyle name="Note 2 2 2 7 2" xfId="10714"/>
    <cellStyle name="Note 2 2 2 7 3" xfId="14992"/>
    <cellStyle name="Note 2 2 2 7 4" xfId="19249"/>
    <cellStyle name="Note 2 2 2 7 5" xfId="23466"/>
    <cellStyle name="Note 2 2 2 7 6" xfId="27652"/>
    <cellStyle name="Note 2 2 2 7 7" xfId="31531"/>
    <cellStyle name="Note 2 2 2 8" xfId="6607"/>
    <cellStyle name="Note 2 2 2 9" xfId="9154"/>
    <cellStyle name="Note 2 2 3" xfId="412"/>
    <cellStyle name="Note 2 2 3 10" xfId="17620"/>
    <cellStyle name="Note 2 2 3 11" xfId="21966"/>
    <cellStyle name="Note 2 2 3 12" xfId="26069"/>
    <cellStyle name="Note 2 2 3 13" xfId="1775"/>
    <cellStyle name="Note 2 2 3 2" xfId="786"/>
    <cellStyle name="Note 2 2 3 2 10" xfId="24161"/>
    <cellStyle name="Note 2 2 3 2 11" xfId="28313"/>
    <cellStyle name="Note 2 2 3 2 12" xfId="2105"/>
    <cellStyle name="Note 2 2 3 2 2" xfId="1443"/>
    <cellStyle name="Note 2 2 3 2 2 2" xfId="5474"/>
    <cellStyle name="Note 2 2 3 2 2 2 2" xfId="10448"/>
    <cellStyle name="Note 2 2 3 2 2 2 3" xfId="14725"/>
    <cellStyle name="Note 2 2 3 2 2 2 4" xfId="18984"/>
    <cellStyle name="Note 2 2 3 2 2 2 5" xfId="23203"/>
    <cellStyle name="Note 2 2 3 2 2 2 6" xfId="27398"/>
    <cellStyle name="Note 2 2 3 2 2 2 7" xfId="31294"/>
    <cellStyle name="Note 2 2 3 2 2 3" xfId="8913"/>
    <cellStyle name="Note 2 2 3 2 2 4" xfId="13198"/>
    <cellStyle name="Note 2 2 3 2 2 5" xfId="17470"/>
    <cellStyle name="Note 2 2 3 2 2 6" xfId="21704"/>
    <cellStyle name="Note 2 2 3 2 2 7" xfId="25943"/>
    <cellStyle name="Note 2 2 3 2 2 8" xfId="30017"/>
    <cellStyle name="Note 2 2 3 2 2 9" xfId="3937"/>
    <cellStyle name="Note 2 2 3 2 3" xfId="3108"/>
    <cellStyle name="Note 2 2 3 2 3 2" xfId="8084"/>
    <cellStyle name="Note 2 2 3 2 3 3" xfId="12372"/>
    <cellStyle name="Note 2 2 3 2 3 4" xfId="16647"/>
    <cellStyle name="Note 2 2 3 2 3 5" xfId="20883"/>
    <cellStyle name="Note 2 2 3 2 3 6" xfId="25127"/>
    <cellStyle name="Note 2 2 3 2 3 7" xfId="29212"/>
    <cellStyle name="Note 2 2 3 2 4" xfId="4817"/>
    <cellStyle name="Note 2 2 3 2 4 2" xfId="9791"/>
    <cellStyle name="Note 2 2 3 2 4 3" xfId="14068"/>
    <cellStyle name="Note 2 2 3 2 4 4" xfId="18327"/>
    <cellStyle name="Note 2 2 3 2 4 5" xfId="22546"/>
    <cellStyle name="Note 2 2 3 2 4 6" xfId="26741"/>
    <cellStyle name="Note 2 2 3 2 4 7" xfId="30637"/>
    <cellStyle name="Note 2 2 3 2 5" xfId="6165"/>
    <cellStyle name="Note 2 2 3 2 5 2" xfId="11137"/>
    <cellStyle name="Note 2 2 3 2 5 3" xfId="15415"/>
    <cellStyle name="Note 2 2 3 2 5 4" xfId="19672"/>
    <cellStyle name="Note 2 2 3 2 5 5" xfId="23889"/>
    <cellStyle name="Note 2 2 3 2 5 6" xfId="28075"/>
    <cellStyle name="Note 2 2 3 2 5 7" xfId="31954"/>
    <cellStyle name="Note 2 2 3 2 6" xfId="7083"/>
    <cellStyle name="Note 2 2 3 2 7" xfId="11375"/>
    <cellStyle name="Note 2 2 3 2 8" xfId="15653"/>
    <cellStyle name="Note 2 2 3 2 9" xfId="19910"/>
    <cellStyle name="Note 2 2 3 3" xfId="1114"/>
    <cellStyle name="Note 2 2 3 3 2" xfId="5145"/>
    <cellStyle name="Note 2 2 3 3 2 2" xfId="10119"/>
    <cellStyle name="Note 2 2 3 3 2 3" xfId="14396"/>
    <cellStyle name="Note 2 2 3 3 2 4" xfId="18655"/>
    <cellStyle name="Note 2 2 3 3 2 5" xfId="22874"/>
    <cellStyle name="Note 2 2 3 3 2 6" xfId="27069"/>
    <cellStyle name="Note 2 2 3 3 2 7" xfId="30965"/>
    <cellStyle name="Note 2 2 3 3 3" xfId="8340"/>
    <cellStyle name="Note 2 2 3 3 4" xfId="12625"/>
    <cellStyle name="Note 2 2 3 3 5" xfId="16897"/>
    <cellStyle name="Note 2 2 3 3 6" xfId="21132"/>
    <cellStyle name="Note 2 2 3 3 7" xfId="25370"/>
    <cellStyle name="Note 2 2 3 3 8" xfId="29448"/>
    <cellStyle name="Note 2 2 3 3 9" xfId="3364"/>
    <cellStyle name="Note 2 2 3 4" xfId="2503"/>
    <cellStyle name="Note 2 2 3 4 2" xfId="7480"/>
    <cellStyle name="Note 2 2 3 4 3" xfId="11769"/>
    <cellStyle name="Note 2 2 3 4 4" xfId="16047"/>
    <cellStyle name="Note 2 2 3 4 5" xfId="20290"/>
    <cellStyle name="Note 2 2 3 4 6" xfId="24536"/>
    <cellStyle name="Note 2 2 3 4 7" xfId="28641"/>
    <cellStyle name="Note 2 2 3 5" xfId="4487"/>
    <cellStyle name="Note 2 2 3 5 2" xfId="9461"/>
    <cellStyle name="Note 2 2 3 5 3" xfId="13738"/>
    <cellStyle name="Note 2 2 3 5 4" xfId="17998"/>
    <cellStyle name="Note 2 2 3 5 5" xfId="22216"/>
    <cellStyle name="Note 2 2 3 5 6" xfId="26412"/>
    <cellStyle name="Note 2 2 3 5 7" xfId="30308"/>
    <cellStyle name="Note 2 2 3 6" xfId="5836"/>
    <cellStyle name="Note 2 2 3 6 2" xfId="10808"/>
    <cellStyle name="Note 2 2 3 6 3" xfId="15086"/>
    <cellStyle name="Note 2 2 3 6 4" xfId="19343"/>
    <cellStyle name="Note 2 2 3 6 5" xfId="23560"/>
    <cellStyle name="Note 2 2 3 6 6" xfId="27746"/>
    <cellStyle name="Note 2 2 3 6 7" xfId="31625"/>
    <cellStyle name="Note 2 2 3 7" xfId="6710"/>
    <cellStyle name="Note 2 2 3 8" xfId="9066"/>
    <cellStyle name="Note 2 2 3 9" xfId="13348"/>
    <cellStyle name="Note 2 2 4" xfId="526"/>
    <cellStyle name="Note 2 2 4 10" xfId="9143"/>
    <cellStyle name="Note 2 2 4 11" xfId="23359"/>
    <cellStyle name="Note 2 2 4 12" xfId="21732"/>
    <cellStyle name="Note 2 2 4 13" xfId="1889"/>
    <cellStyle name="Note 2 2 4 2" xfId="900"/>
    <cellStyle name="Note 2 2 4 2 10" xfId="24275"/>
    <cellStyle name="Note 2 2 4 2 11" xfId="28427"/>
    <cellStyle name="Note 2 2 4 2 12" xfId="2219"/>
    <cellStyle name="Note 2 2 4 2 2" xfId="1557"/>
    <cellStyle name="Note 2 2 4 2 2 2" xfId="5588"/>
    <cellStyle name="Note 2 2 4 2 2 2 2" xfId="10562"/>
    <cellStyle name="Note 2 2 4 2 2 2 3" xfId="14839"/>
    <cellStyle name="Note 2 2 4 2 2 2 4" xfId="19098"/>
    <cellStyle name="Note 2 2 4 2 2 2 5" xfId="23317"/>
    <cellStyle name="Note 2 2 4 2 2 2 6" xfId="27512"/>
    <cellStyle name="Note 2 2 4 2 2 2 7" xfId="31408"/>
    <cellStyle name="Note 2 2 4 2 2 3" xfId="8914"/>
    <cellStyle name="Note 2 2 4 2 2 4" xfId="13199"/>
    <cellStyle name="Note 2 2 4 2 2 5" xfId="17471"/>
    <cellStyle name="Note 2 2 4 2 2 6" xfId="21705"/>
    <cellStyle name="Note 2 2 4 2 2 7" xfId="25944"/>
    <cellStyle name="Note 2 2 4 2 2 8" xfId="30018"/>
    <cellStyle name="Note 2 2 4 2 2 9" xfId="3938"/>
    <cellStyle name="Note 2 2 4 2 3" xfId="3109"/>
    <cellStyle name="Note 2 2 4 2 3 2" xfId="8085"/>
    <cellStyle name="Note 2 2 4 2 3 3" xfId="12373"/>
    <cellStyle name="Note 2 2 4 2 3 4" xfId="16648"/>
    <cellStyle name="Note 2 2 4 2 3 5" xfId="20884"/>
    <cellStyle name="Note 2 2 4 2 3 6" xfId="25128"/>
    <cellStyle name="Note 2 2 4 2 3 7" xfId="29213"/>
    <cellStyle name="Note 2 2 4 2 4" xfId="4931"/>
    <cellStyle name="Note 2 2 4 2 4 2" xfId="9905"/>
    <cellStyle name="Note 2 2 4 2 4 3" xfId="14182"/>
    <cellStyle name="Note 2 2 4 2 4 4" xfId="18441"/>
    <cellStyle name="Note 2 2 4 2 4 5" xfId="22660"/>
    <cellStyle name="Note 2 2 4 2 4 6" xfId="26855"/>
    <cellStyle name="Note 2 2 4 2 4 7" xfId="30751"/>
    <cellStyle name="Note 2 2 4 2 5" xfId="6279"/>
    <cellStyle name="Note 2 2 4 2 5 2" xfId="11251"/>
    <cellStyle name="Note 2 2 4 2 5 3" xfId="15529"/>
    <cellStyle name="Note 2 2 4 2 5 4" xfId="19786"/>
    <cellStyle name="Note 2 2 4 2 5 5" xfId="24003"/>
    <cellStyle name="Note 2 2 4 2 5 6" xfId="28189"/>
    <cellStyle name="Note 2 2 4 2 5 7" xfId="32068"/>
    <cellStyle name="Note 2 2 4 2 6" xfId="7197"/>
    <cellStyle name="Note 2 2 4 2 7" xfId="11489"/>
    <cellStyle name="Note 2 2 4 2 8" xfId="15767"/>
    <cellStyle name="Note 2 2 4 2 9" xfId="20024"/>
    <cellStyle name="Note 2 2 4 3" xfId="1228"/>
    <cellStyle name="Note 2 2 4 3 2" xfId="5259"/>
    <cellStyle name="Note 2 2 4 3 2 2" xfId="10233"/>
    <cellStyle name="Note 2 2 4 3 2 3" xfId="14510"/>
    <cellStyle name="Note 2 2 4 3 2 4" xfId="18769"/>
    <cellStyle name="Note 2 2 4 3 2 5" xfId="22988"/>
    <cellStyle name="Note 2 2 4 3 2 6" xfId="27183"/>
    <cellStyle name="Note 2 2 4 3 2 7" xfId="31079"/>
    <cellStyle name="Note 2 2 4 3 3" xfId="8468"/>
    <cellStyle name="Note 2 2 4 3 4" xfId="12753"/>
    <cellStyle name="Note 2 2 4 3 5" xfId="17025"/>
    <cellStyle name="Note 2 2 4 3 6" xfId="21260"/>
    <cellStyle name="Note 2 2 4 3 7" xfId="25498"/>
    <cellStyle name="Note 2 2 4 3 8" xfId="29576"/>
    <cellStyle name="Note 2 2 4 3 9" xfId="3492"/>
    <cellStyle name="Note 2 2 4 4" xfId="2635"/>
    <cellStyle name="Note 2 2 4 4 2" xfId="7612"/>
    <cellStyle name="Note 2 2 4 4 3" xfId="11901"/>
    <cellStyle name="Note 2 2 4 4 4" xfId="16177"/>
    <cellStyle name="Note 2 2 4 4 5" xfId="20419"/>
    <cellStyle name="Note 2 2 4 4 6" xfId="24666"/>
    <cellStyle name="Note 2 2 4 4 7" xfId="28769"/>
    <cellStyle name="Note 2 2 4 5" xfId="4601"/>
    <cellStyle name="Note 2 2 4 5 2" xfId="9575"/>
    <cellStyle name="Note 2 2 4 5 3" xfId="13852"/>
    <cellStyle name="Note 2 2 4 5 4" xfId="18112"/>
    <cellStyle name="Note 2 2 4 5 5" xfId="22330"/>
    <cellStyle name="Note 2 2 4 5 6" xfId="26526"/>
    <cellStyle name="Note 2 2 4 5 7" xfId="30422"/>
    <cellStyle name="Note 2 2 4 6" xfId="5950"/>
    <cellStyle name="Note 2 2 4 6 2" xfId="10922"/>
    <cellStyle name="Note 2 2 4 6 3" xfId="15200"/>
    <cellStyle name="Note 2 2 4 6 4" xfId="19457"/>
    <cellStyle name="Note 2 2 4 6 5" xfId="23674"/>
    <cellStyle name="Note 2 2 4 6 6" xfId="27860"/>
    <cellStyle name="Note 2 2 4 6 7" xfId="31739"/>
    <cellStyle name="Note 2 2 4 7" xfId="6824"/>
    <cellStyle name="Note 2 2 4 8" xfId="6319"/>
    <cellStyle name="Note 2 2 4 9" xfId="6889"/>
    <cellStyle name="Note 2 2 5" xfId="627"/>
    <cellStyle name="Note 2 2 5 10" xfId="10614"/>
    <cellStyle name="Note 2 2 5 11" xfId="22005"/>
    <cellStyle name="Note 2 2 5 12" xfId="21889"/>
    <cellStyle name="Note 2 2 5 13" xfId="1946"/>
    <cellStyle name="Note 2 2 5 2" xfId="1284"/>
    <cellStyle name="Note 2 2 5 2 10" xfId="3111"/>
    <cellStyle name="Note 2 2 5 2 2" xfId="3940"/>
    <cellStyle name="Note 2 2 5 2 2 2" xfId="8916"/>
    <cellStyle name="Note 2 2 5 2 2 3" xfId="13201"/>
    <cellStyle name="Note 2 2 5 2 2 4" xfId="17473"/>
    <cellStyle name="Note 2 2 5 2 2 5" xfId="21707"/>
    <cellStyle name="Note 2 2 5 2 2 6" xfId="25946"/>
    <cellStyle name="Note 2 2 5 2 2 7" xfId="30020"/>
    <cellStyle name="Note 2 2 5 2 3" xfId="5315"/>
    <cellStyle name="Note 2 2 5 2 3 2" xfId="10289"/>
    <cellStyle name="Note 2 2 5 2 3 3" xfId="14566"/>
    <cellStyle name="Note 2 2 5 2 3 4" xfId="18825"/>
    <cellStyle name="Note 2 2 5 2 3 5" xfId="23044"/>
    <cellStyle name="Note 2 2 5 2 3 6" xfId="27239"/>
    <cellStyle name="Note 2 2 5 2 3 7" xfId="31135"/>
    <cellStyle name="Note 2 2 5 2 4" xfId="8087"/>
    <cellStyle name="Note 2 2 5 2 5" xfId="12375"/>
    <cellStyle name="Note 2 2 5 2 6" xfId="16650"/>
    <cellStyle name="Note 2 2 5 2 7" xfId="20886"/>
    <cellStyle name="Note 2 2 5 2 8" xfId="25130"/>
    <cellStyle name="Note 2 2 5 2 9" xfId="29215"/>
    <cellStyle name="Note 2 2 5 3" xfId="3939"/>
    <cellStyle name="Note 2 2 5 3 2" xfId="8915"/>
    <cellStyle name="Note 2 2 5 3 3" xfId="13200"/>
    <cellStyle name="Note 2 2 5 3 4" xfId="17472"/>
    <cellStyle name="Note 2 2 5 3 5" xfId="21706"/>
    <cellStyle name="Note 2 2 5 3 6" xfId="25945"/>
    <cellStyle name="Note 2 2 5 3 7" xfId="30019"/>
    <cellStyle name="Note 2 2 5 4" xfId="3110"/>
    <cellStyle name="Note 2 2 5 4 2" xfId="8086"/>
    <cellStyle name="Note 2 2 5 4 3" xfId="12374"/>
    <cellStyle name="Note 2 2 5 4 4" xfId="16649"/>
    <cellStyle name="Note 2 2 5 4 5" xfId="20885"/>
    <cellStyle name="Note 2 2 5 4 6" xfId="25129"/>
    <cellStyle name="Note 2 2 5 4 7" xfId="29214"/>
    <cellStyle name="Note 2 2 5 5" xfId="4658"/>
    <cellStyle name="Note 2 2 5 5 2" xfId="9632"/>
    <cellStyle name="Note 2 2 5 5 3" xfId="13909"/>
    <cellStyle name="Note 2 2 5 5 4" xfId="18168"/>
    <cellStyle name="Note 2 2 5 5 5" xfId="22387"/>
    <cellStyle name="Note 2 2 5 5 6" xfId="26582"/>
    <cellStyle name="Note 2 2 5 5 7" xfId="30478"/>
    <cellStyle name="Note 2 2 5 6" xfId="6006"/>
    <cellStyle name="Note 2 2 5 6 2" xfId="10978"/>
    <cellStyle name="Note 2 2 5 6 3" xfId="15256"/>
    <cellStyle name="Note 2 2 5 6 4" xfId="19513"/>
    <cellStyle name="Note 2 2 5 6 5" xfId="23730"/>
    <cellStyle name="Note 2 2 5 6 6" xfId="27916"/>
    <cellStyle name="Note 2 2 5 6 7" xfId="31795"/>
    <cellStyle name="Note 2 2 5 7" xfId="6924"/>
    <cellStyle name="Note 2 2 5 8" xfId="6554"/>
    <cellStyle name="Note 2 2 5 9" xfId="6332"/>
    <cellStyle name="Note 2 2 6" xfId="955"/>
    <cellStyle name="Note 2 2 6 10" xfId="3112"/>
    <cellStyle name="Note 2 2 6 2" xfId="3941"/>
    <cellStyle name="Note 2 2 6 2 2" xfId="8917"/>
    <cellStyle name="Note 2 2 6 2 3" xfId="13202"/>
    <cellStyle name="Note 2 2 6 2 4" xfId="17474"/>
    <cellStyle name="Note 2 2 6 2 5" xfId="21708"/>
    <cellStyle name="Note 2 2 6 2 6" xfId="25947"/>
    <cellStyle name="Note 2 2 6 2 7" xfId="30021"/>
    <cellStyle name="Note 2 2 6 3" xfId="4986"/>
    <cellStyle name="Note 2 2 6 3 2" xfId="9960"/>
    <cellStyle name="Note 2 2 6 3 3" xfId="14237"/>
    <cellStyle name="Note 2 2 6 3 4" xfId="18496"/>
    <cellStyle name="Note 2 2 6 3 5" xfId="22715"/>
    <cellStyle name="Note 2 2 6 3 6" xfId="26910"/>
    <cellStyle name="Note 2 2 6 3 7" xfId="30806"/>
    <cellStyle name="Note 2 2 6 4" xfId="8088"/>
    <cellStyle name="Note 2 2 6 5" xfId="12376"/>
    <cellStyle name="Note 2 2 6 6" xfId="16651"/>
    <cellStyle name="Note 2 2 6 7" xfId="20887"/>
    <cellStyle name="Note 2 2 6 8" xfId="25131"/>
    <cellStyle name="Note 2 2 6 9" xfId="29216"/>
    <cellStyle name="Note 2 2 7" xfId="3198"/>
    <cellStyle name="Note 2 2 7 2" xfId="8174"/>
    <cellStyle name="Note 2 2 7 3" xfId="12460"/>
    <cellStyle name="Note 2 2 7 4" xfId="16734"/>
    <cellStyle name="Note 2 2 7 5" xfId="20970"/>
    <cellStyle name="Note 2 2 7 6" xfId="25210"/>
    <cellStyle name="Note 2 2 7 7" xfId="29291"/>
    <cellStyle name="Note 2 2 8" xfId="2295"/>
    <cellStyle name="Note 2 2 8 2" xfId="7273"/>
    <cellStyle name="Note 2 2 8 3" xfId="11563"/>
    <cellStyle name="Note 2 2 8 4" xfId="15841"/>
    <cellStyle name="Note 2 2 8 5" xfId="20094"/>
    <cellStyle name="Note 2 2 8 6" xfId="24345"/>
    <cellStyle name="Note 2 2 8 7" xfId="28482"/>
    <cellStyle name="Note 2 2 9" xfId="4323"/>
    <cellStyle name="Note 2 2 9 2" xfId="9297"/>
    <cellStyle name="Note 2 2 9 3" xfId="13574"/>
    <cellStyle name="Note 2 2 9 4" xfId="17834"/>
    <cellStyle name="Note 2 2 9 5" xfId="22053"/>
    <cellStyle name="Note 2 2 9 6" xfId="26251"/>
    <cellStyle name="Note 2 2 9 7" xfId="30148"/>
    <cellStyle name="Note 2 3" xfId="228"/>
    <cellStyle name="Note 2 3 10" xfId="13311"/>
    <cellStyle name="Note 2 3 11" xfId="17584"/>
    <cellStyle name="Note 2 3 12" xfId="21777"/>
    <cellStyle name="Note 2 3 13" xfId="26038"/>
    <cellStyle name="Note 2 3 14" xfId="1637"/>
    <cellStyle name="Note 2 3 2" xfId="444"/>
    <cellStyle name="Note 2 3 2 10" xfId="15835"/>
    <cellStyle name="Note 2 3 2 11" xfId="21583"/>
    <cellStyle name="Note 2 3 2 12" xfId="24339"/>
    <cellStyle name="Note 2 3 2 13" xfId="1807"/>
    <cellStyle name="Note 2 3 2 2" xfId="818"/>
    <cellStyle name="Note 2 3 2 2 10" xfId="24193"/>
    <cellStyle name="Note 2 3 2 2 11" xfId="28345"/>
    <cellStyle name="Note 2 3 2 2 12" xfId="2137"/>
    <cellStyle name="Note 2 3 2 2 2" xfId="1475"/>
    <cellStyle name="Note 2 3 2 2 2 2" xfId="5506"/>
    <cellStyle name="Note 2 3 2 2 2 2 2" xfId="10480"/>
    <cellStyle name="Note 2 3 2 2 2 2 3" xfId="14757"/>
    <cellStyle name="Note 2 3 2 2 2 2 4" xfId="19016"/>
    <cellStyle name="Note 2 3 2 2 2 2 5" xfId="23235"/>
    <cellStyle name="Note 2 3 2 2 2 2 6" xfId="27430"/>
    <cellStyle name="Note 2 3 2 2 2 2 7" xfId="31326"/>
    <cellStyle name="Note 2 3 2 2 2 3" xfId="8918"/>
    <cellStyle name="Note 2 3 2 2 2 4" xfId="13203"/>
    <cellStyle name="Note 2 3 2 2 2 5" xfId="17475"/>
    <cellStyle name="Note 2 3 2 2 2 6" xfId="21709"/>
    <cellStyle name="Note 2 3 2 2 2 7" xfId="25948"/>
    <cellStyle name="Note 2 3 2 2 2 8" xfId="30022"/>
    <cellStyle name="Note 2 3 2 2 2 9" xfId="3942"/>
    <cellStyle name="Note 2 3 2 2 3" xfId="3113"/>
    <cellStyle name="Note 2 3 2 2 3 2" xfId="8089"/>
    <cellStyle name="Note 2 3 2 2 3 3" xfId="12377"/>
    <cellStyle name="Note 2 3 2 2 3 4" xfId="16652"/>
    <cellStyle name="Note 2 3 2 2 3 5" xfId="20888"/>
    <cellStyle name="Note 2 3 2 2 3 6" xfId="25132"/>
    <cellStyle name="Note 2 3 2 2 3 7" xfId="29217"/>
    <cellStyle name="Note 2 3 2 2 4" xfId="4849"/>
    <cellStyle name="Note 2 3 2 2 4 2" xfId="9823"/>
    <cellStyle name="Note 2 3 2 2 4 3" xfId="14100"/>
    <cellStyle name="Note 2 3 2 2 4 4" xfId="18359"/>
    <cellStyle name="Note 2 3 2 2 4 5" xfId="22578"/>
    <cellStyle name="Note 2 3 2 2 4 6" xfId="26773"/>
    <cellStyle name="Note 2 3 2 2 4 7" xfId="30669"/>
    <cellStyle name="Note 2 3 2 2 5" xfId="6197"/>
    <cellStyle name="Note 2 3 2 2 5 2" xfId="11169"/>
    <cellStyle name="Note 2 3 2 2 5 3" xfId="15447"/>
    <cellStyle name="Note 2 3 2 2 5 4" xfId="19704"/>
    <cellStyle name="Note 2 3 2 2 5 5" xfId="23921"/>
    <cellStyle name="Note 2 3 2 2 5 6" xfId="28107"/>
    <cellStyle name="Note 2 3 2 2 5 7" xfId="31986"/>
    <cellStyle name="Note 2 3 2 2 6" xfId="7115"/>
    <cellStyle name="Note 2 3 2 2 7" xfId="11407"/>
    <cellStyle name="Note 2 3 2 2 8" xfId="15685"/>
    <cellStyle name="Note 2 3 2 2 9" xfId="19942"/>
    <cellStyle name="Note 2 3 2 3" xfId="1146"/>
    <cellStyle name="Note 2 3 2 3 2" xfId="5177"/>
    <cellStyle name="Note 2 3 2 3 2 2" xfId="10151"/>
    <cellStyle name="Note 2 3 2 3 2 3" xfId="14428"/>
    <cellStyle name="Note 2 3 2 3 2 4" xfId="18687"/>
    <cellStyle name="Note 2 3 2 3 2 5" xfId="22906"/>
    <cellStyle name="Note 2 3 2 3 2 6" xfId="27101"/>
    <cellStyle name="Note 2 3 2 3 2 7" xfId="30997"/>
    <cellStyle name="Note 2 3 2 3 3" xfId="8372"/>
    <cellStyle name="Note 2 3 2 3 4" xfId="12657"/>
    <cellStyle name="Note 2 3 2 3 5" xfId="16929"/>
    <cellStyle name="Note 2 3 2 3 6" xfId="21164"/>
    <cellStyle name="Note 2 3 2 3 7" xfId="25402"/>
    <cellStyle name="Note 2 3 2 3 8" xfId="29480"/>
    <cellStyle name="Note 2 3 2 3 9" xfId="3396"/>
    <cellStyle name="Note 2 3 2 4" xfId="2535"/>
    <cellStyle name="Note 2 3 2 4 2" xfId="7512"/>
    <cellStyle name="Note 2 3 2 4 3" xfId="11801"/>
    <cellStyle name="Note 2 3 2 4 4" xfId="16079"/>
    <cellStyle name="Note 2 3 2 4 5" xfId="20322"/>
    <cellStyle name="Note 2 3 2 4 6" xfId="24568"/>
    <cellStyle name="Note 2 3 2 4 7" xfId="28673"/>
    <cellStyle name="Note 2 3 2 5" xfId="4519"/>
    <cellStyle name="Note 2 3 2 5 2" xfId="9493"/>
    <cellStyle name="Note 2 3 2 5 3" xfId="13770"/>
    <cellStyle name="Note 2 3 2 5 4" xfId="18030"/>
    <cellStyle name="Note 2 3 2 5 5" xfId="22248"/>
    <cellStyle name="Note 2 3 2 5 6" xfId="26444"/>
    <cellStyle name="Note 2 3 2 5 7" xfId="30340"/>
    <cellStyle name="Note 2 3 2 6" xfId="5868"/>
    <cellStyle name="Note 2 3 2 6 2" xfId="10840"/>
    <cellStyle name="Note 2 3 2 6 3" xfId="15118"/>
    <cellStyle name="Note 2 3 2 6 4" xfId="19375"/>
    <cellStyle name="Note 2 3 2 6 5" xfId="23592"/>
    <cellStyle name="Note 2 3 2 6 6" xfId="27778"/>
    <cellStyle name="Note 2 3 2 6 7" xfId="31657"/>
    <cellStyle name="Note 2 3 2 7" xfId="6742"/>
    <cellStyle name="Note 2 3 2 8" xfId="7267"/>
    <cellStyle name="Note 2 3 2 9" xfId="11557"/>
    <cellStyle name="Note 2 3 3" xfId="651"/>
    <cellStyle name="Note 2 3 3 10" xfId="24026"/>
    <cellStyle name="Note 2 3 3 11" xfId="26099"/>
    <cellStyle name="Note 2 3 3 12" xfId="1970"/>
    <cellStyle name="Note 2 3 3 2" xfId="1308"/>
    <cellStyle name="Note 2 3 3 2 2" xfId="5339"/>
    <cellStyle name="Note 2 3 3 2 2 2" xfId="10313"/>
    <cellStyle name="Note 2 3 3 2 2 3" xfId="14590"/>
    <cellStyle name="Note 2 3 3 2 2 4" xfId="18849"/>
    <cellStyle name="Note 2 3 3 2 2 5" xfId="23068"/>
    <cellStyle name="Note 2 3 3 2 2 6" xfId="27263"/>
    <cellStyle name="Note 2 3 3 2 2 7" xfId="31159"/>
    <cellStyle name="Note 2 3 3 2 3" xfId="8919"/>
    <cellStyle name="Note 2 3 3 2 4" xfId="13204"/>
    <cellStyle name="Note 2 3 3 2 5" xfId="17476"/>
    <cellStyle name="Note 2 3 3 2 6" xfId="21710"/>
    <cellStyle name="Note 2 3 3 2 7" xfId="25949"/>
    <cellStyle name="Note 2 3 3 2 8" xfId="30023"/>
    <cellStyle name="Note 2 3 3 2 9" xfId="3943"/>
    <cellStyle name="Note 2 3 3 3" xfId="3114"/>
    <cellStyle name="Note 2 3 3 3 2" xfId="8090"/>
    <cellStyle name="Note 2 3 3 3 3" xfId="12378"/>
    <cellStyle name="Note 2 3 3 3 4" xfId="16653"/>
    <cellStyle name="Note 2 3 3 3 5" xfId="20889"/>
    <cellStyle name="Note 2 3 3 3 6" xfId="25133"/>
    <cellStyle name="Note 2 3 3 3 7" xfId="29218"/>
    <cellStyle name="Note 2 3 3 4" xfId="4682"/>
    <cellStyle name="Note 2 3 3 4 2" xfId="9656"/>
    <cellStyle name="Note 2 3 3 4 3" xfId="13933"/>
    <cellStyle name="Note 2 3 3 4 4" xfId="18192"/>
    <cellStyle name="Note 2 3 3 4 5" xfId="22411"/>
    <cellStyle name="Note 2 3 3 4 6" xfId="26606"/>
    <cellStyle name="Note 2 3 3 4 7" xfId="30502"/>
    <cellStyle name="Note 2 3 3 5" xfId="6030"/>
    <cellStyle name="Note 2 3 3 5 2" xfId="11002"/>
    <cellStyle name="Note 2 3 3 5 3" xfId="15280"/>
    <cellStyle name="Note 2 3 3 5 4" xfId="19537"/>
    <cellStyle name="Note 2 3 3 5 5" xfId="23754"/>
    <cellStyle name="Note 2 3 3 5 6" xfId="27940"/>
    <cellStyle name="Note 2 3 3 5 7" xfId="31819"/>
    <cellStyle name="Note 2 3 3 6" xfId="6948"/>
    <cellStyle name="Note 2 3 3 7" xfId="9105"/>
    <cellStyle name="Note 2 3 3 8" xfId="13386"/>
    <cellStyle name="Note 2 3 3 9" xfId="17654"/>
    <cellStyle name="Note 2 3 4" xfId="979"/>
    <cellStyle name="Note 2 3 4 2" xfId="5010"/>
    <cellStyle name="Note 2 3 4 2 2" xfId="9984"/>
    <cellStyle name="Note 2 3 4 2 3" xfId="14261"/>
    <cellStyle name="Note 2 3 4 2 4" xfId="18520"/>
    <cellStyle name="Note 2 3 4 2 5" xfId="22739"/>
    <cellStyle name="Note 2 3 4 2 6" xfId="26934"/>
    <cellStyle name="Note 2 3 4 2 7" xfId="30830"/>
    <cellStyle name="Note 2 3 4 3" xfId="8216"/>
    <cellStyle name="Note 2 3 4 4" xfId="12501"/>
    <cellStyle name="Note 2 3 4 5" xfId="16774"/>
    <cellStyle name="Note 2 3 4 6" xfId="21012"/>
    <cellStyle name="Note 2 3 4 7" xfId="25249"/>
    <cellStyle name="Note 2 3 4 8" xfId="29328"/>
    <cellStyle name="Note 2 3 4 9" xfId="3240"/>
    <cellStyle name="Note 2 3 5" xfId="2352"/>
    <cellStyle name="Note 2 3 5 2" xfId="7330"/>
    <cellStyle name="Note 2 3 5 3" xfId="11619"/>
    <cellStyle name="Note 2 3 5 4" xfId="15898"/>
    <cellStyle name="Note 2 3 5 5" xfId="20148"/>
    <cellStyle name="Note 2 3 5 6" xfId="24395"/>
    <cellStyle name="Note 2 3 5 7" xfId="28520"/>
    <cellStyle name="Note 2 3 6" xfId="4351"/>
    <cellStyle name="Note 2 3 6 2" xfId="9325"/>
    <cellStyle name="Note 2 3 6 3" xfId="13602"/>
    <cellStyle name="Note 2 3 6 4" xfId="17862"/>
    <cellStyle name="Note 2 3 6 5" xfId="22081"/>
    <cellStyle name="Note 2 3 6 6" xfId="26277"/>
    <cellStyle name="Note 2 3 6 7" xfId="30173"/>
    <cellStyle name="Note 2 3 7" xfId="5701"/>
    <cellStyle name="Note 2 3 7 2" xfId="10673"/>
    <cellStyle name="Note 2 3 7 3" xfId="14951"/>
    <cellStyle name="Note 2 3 7 4" xfId="19208"/>
    <cellStyle name="Note 2 3 7 5" xfId="23425"/>
    <cellStyle name="Note 2 3 7 6" xfId="27611"/>
    <cellStyle name="Note 2 3 7 7" xfId="31490"/>
    <cellStyle name="Note 2 3 8" xfId="6526"/>
    <cellStyle name="Note 2 3 9" xfId="9028"/>
    <cellStyle name="Note 2 4" xfId="378"/>
    <cellStyle name="Note 2 4 10" xfId="13378"/>
    <cellStyle name="Note 2 4 11" xfId="17647"/>
    <cellStyle name="Note 2 4 12" xfId="21843"/>
    <cellStyle name="Note 2 4 13" xfId="26093"/>
    <cellStyle name="Note 2 4 14" xfId="1741"/>
    <cellStyle name="Note 2 4 2" xfId="752"/>
    <cellStyle name="Note 2 4 2 10" xfId="24127"/>
    <cellStyle name="Note 2 4 2 11" xfId="28279"/>
    <cellStyle name="Note 2 4 2 12" xfId="2071"/>
    <cellStyle name="Note 2 4 2 2" xfId="1409"/>
    <cellStyle name="Note 2 4 2 2 2" xfId="5440"/>
    <cellStyle name="Note 2 4 2 2 2 2" xfId="10414"/>
    <cellStyle name="Note 2 4 2 2 2 3" xfId="14691"/>
    <cellStyle name="Note 2 4 2 2 2 4" xfId="18950"/>
    <cellStyle name="Note 2 4 2 2 2 5" xfId="23169"/>
    <cellStyle name="Note 2 4 2 2 2 6" xfId="27364"/>
    <cellStyle name="Note 2 4 2 2 2 7" xfId="31260"/>
    <cellStyle name="Note 2 4 2 2 3" xfId="8920"/>
    <cellStyle name="Note 2 4 2 2 4" xfId="13205"/>
    <cellStyle name="Note 2 4 2 2 5" xfId="17477"/>
    <cellStyle name="Note 2 4 2 2 6" xfId="21711"/>
    <cellStyle name="Note 2 4 2 2 7" xfId="25950"/>
    <cellStyle name="Note 2 4 2 2 8" xfId="30024"/>
    <cellStyle name="Note 2 4 2 2 9" xfId="3944"/>
    <cellStyle name="Note 2 4 2 3" xfId="3115"/>
    <cellStyle name="Note 2 4 2 3 2" xfId="8091"/>
    <cellStyle name="Note 2 4 2 3 3" xfId="12379"/>
    <cellStyle name="Note 2 4 2 3 4" xfId="16654"/>
    <cellStyle name="Note 2 4 2 3 5" xfId="20890"/>
    <cellStyle name="Note 2 4 2 3 6" xfId="25134"/>
    <cellStyle name="Note 2 4 2 3 7" xfId="29219"/>
    <cellStyle name="Note 2 4 2 4" xfId="4783"/>
    <cellStyle name="Note 2 4 2 4 2" xfId="9757"/>
    <cellStyle name="Note 2 4 2 4 3" xfId="14034"/>
    <cellStyle name="Note 2 4 2 4 4" xfId="18293"/>
    <cellStyle name="Note 2 4 2 4 5" xfId="22512"/>
    <cellStyle name="Note 2 4 2 4 6" xfId="26707"/>
    <cellStyle name="Note 2 4 2 4 7" xfId="30603"/>
    <cellStyle name="Note 2 4 2 5" xfId="6131"/>
    <cellStyle name="Note 2 4 2 5 2" xfId="11103"/>
    <cellStyle name="Note 2 4 2 5 3" xfId="15381"/>
    <cellStyle name="Note 2 4 2 5 4" xfId="19638"/>
    <cellStyle name="Note 2 4 2 5 5" xfId="23855"/>
    <cellStyle name="Note 2 4 2 5 6" xfId="28041"/>
    <cellStyle name="Note 2 4 2 5 7" xfId="31920"/>
    <cellStyle name="Note 2 4 2 6" xfId="7049"/>
    <cellStyle name="Note 2 4 2 7" xfId="11341"/>
    <cellStyle name="Note 2 4 2 8" xfId="15619"/>
    <cellStyle name="Note 2 4 2 9" xfId="19876"/>
    <cellStyle name="Note 2 4 3" xfId="1080"/>
    <cellStyle name="Note 2 4 3 2" xfId="5111"/>
    <cellStyle name="Note 2 4 3 2 2" xfId="10085"/>
    <cellStyle name="Note 2 4 3 2 3" xfId="14362"/>
    <cellStyle name="Note 2 4 3 2 4" xfId="18621"/>
    <cellStyle name="Note 2 4 3 2 5" xfId="22840"/>
    <cellStyle name="Note 2 4 3 2 6" xfId="27035"/>
    <cellStyle name="Note 2 4 3 2 7" xfId="30931"/>
    <cellStyle name="Note 2 4 3 3" xfId="8306"/>
    <cellStyle name="Note 2 4 3 4" xfId="12591"/>
    <cellStyle name="Note 2 4 3 5" xfId="16863"/>
    <cellStyle name="Note 2 4 3 6" xfId="21098"/>
    <cellStyle name="Note 2 4 3 7" xfId="25336"/>
    <cellStyle name="Note 2 4 3 8" xfId="29414"/>
    <cellStyle name="Note 2 4 3 9" xfId="3330"/>
    <cellStyle name="Note 2 4 4" xfId="2469"/>
    <cellStyle name="Note 2 4 4 2" xfId="7446"/>
    <cellStyle name="Note 2 4 4 3" xfId="11735"/>
    <cellStyle name="Note 2 4 4 4" xfId="16013"/>
    <cellStyle name="Note 2 4 4 5" xfId="20256"/>
    <cellStyle name="Note 2 4 4 6" xfId="24502"/>
    <cellStyle name="Note 2 4 4 7" xfId="28607"/>
    <cellStyle name="Note 2 4 5" xfId="4051"/>
    <cellStyle name="Note 2 4 6" xfId="4453"/>
    <cellStyle name="Note 2 4 6 2" xfId="9427"/>
    <cellStyle name="Note 2 4 6 3" xfId="13704"/>
    <cellStyle name="Note 2 4 6 4" xfId="17964"/>
    <cellStyle name="Note 2 4 6 5" xfId="22182"/>
    <cellStyle name="Note 2 4 6 6" xfId="26378"/>
    <cellStyle name="Note 2 4 6 7" xfId="30274"/>
    <cellStyle name="Note 2 4 7" xfId="5802"/>
    <cellStyle name="Note 2 4 7 2" xfId="10774"/>
    <cellStyle name="Note 2 4 7 3" xfId="15052"/>
    <cellStyle name="Note 2 4 7 4" xfId="19309"/>
    <cellStyle name="Note 2 4 7 5" xfId="23526"/>
    <cellStyle name="Note 2 4 7 6" xfId="27712"/>
    <cellStyle name="Note 2 4 7 7" xfId="31591"/>
    <cellStyle name="Note 2 4 8" xfId="6676"/>
    <cellStyle name="Note 2 4 9" xfId="9096"/>
    <cellStyle name="Note 2 5" xfId="493"/>
    <cellStyle name="Note 2 5 10" xfId="13500"/>
    <cellStyle name="Note 2 5 11" xfId="15978"/>
    <cellStyle name="Note 2 5 12" xfId="20091"/>
    <cellStyle name="Note 2 5 13" xfId="1856"/>
    <cellStyle name="Note 2 5 2" xfId="867"/>
    <cellStyle name="Note 2 5 2 10" xfId="24242"/>
    <cellStyle name="Note 2 5 2 11" xfId="28394"/>
    <cellStyle name="Note 2 5 2 12" xfId="2186"/>
    <cellStyle name="Note 2 5 2 2" xfId="1524"/>
    <cellStyle name="Note 2 5 2 2 2" xfId="5555"/>
    <cellStyle name="Note 2 5 2 2 2 2" xfId="10529"/>
    <cellStyle name="Note 2 5 2 2 2 3" xfId="14806"/>
    <cellStyle name="Note 2 5 2 2 2 4" xfId="19065"/>
    <cellStyle name="Note 2 5 2 2 2 5" xfId="23284"/>
    <cellStyle name="Note 2 5 2 2 2 6" xfId="27479"/>
    <cellStyle name="Note 2 5 2 2 2 7" xfId="31375"/>
    <cellStyle name="Note 2 5 2 2 3" xfId="8921"/>
    <cellStyle name="Note 2 5 2 2 4" xfId="13206"/>
    <cellStyle name="Note 2 5 2 2 5" xfId="17478"/>
    <cellStyle name="Note 2 5 2 2 6" xfId="21712"/>
    <cellStyle name="Note 2 5 2 2 7" xfId="25951"/>
    <cellStyle name="Note 2 5 2 2 8" xfId="30025"/>
    <cellStyle name="Note 2 5 2 2 9" xfId="3945"/>
    <cellStyle name="Note 2 5 2 3" xfId="3116"/>
    <cellStyle name="Note 2 5 2 3 2" xfId="8092"/>
    <cellStyle name="Note 2 5 2 3 3" xfId="12380"/>
    <cellStyle name="Note 2 5 2 3 4" xfId="16655"/>
    <cellStyle name="Note 2 5 2 3 5" xfId="20891"/>
    <cellStyle name="Note 2 5 2 3 6" xfId="25135"/>
    <cellStyle name="Note 2 5 2 3 7" xfId="29220"/>
    <cellStyle name="Note 2 5 2 4" xfId="4898"/>
    <cellStyle name="Note 2 5 2 4 2" xfId="9872"/>
    <cellStyle name="Note 2 5 2 4 3" xfId="14149"/>
    <cellStyle name="Note 2 5 2 4 4" xfId="18408"/>
    <cellStyle name="Note 2 5 2 4 5" xfId="22627"/>
    <cellStyle name="Note 2 5 2 4 6" xfId="26822"/>
    <cellStyle name="Note 2 5 2 4 7" xfId="30718"/>
    <cellStyle name="Note 2 5 2 5" xfId="6246"/>
    <cellStyle name="Note 2 5 2 5 2" xfId="11218"/>
    <cellStyle name="Note 2 5 2 5 3" xfId="15496"/>
    <cellStyle name="Note 2 5 2 5 4" xfId="19753"/>
    <cellStyle name="Note 2 5 2 5 5" xfId="23970"/>
    <cellStyle name="Note 2 5 2 5 6" xfId="28156"/>
    <cellStyle name="Note 2 5 2 5 7" xfId="32035"/>
    <cellStyle name="Note 2 5 2 6" xfId="7164"/>
    <cellStyle name="Note 2 5 2 7" xfId="11456"/>
    <cellStyle name="Note 2 5 2 8" xfId="15734"/>
    <cellStyle name="Note 2 5 2 9" xfId="19991"/>
    <cellStyle name="Note 2 5 3" xfId="1195"/>
    <cellStyle name="Note 2 5 3 2" xfId="5226"/>
    <cellStyle name="Note 2 5 3 2 2" xfId="10200"/>
    <cellStyle name="Note 2 5 3 2 3" xfId="14477"/>
    <cellStyle name="Note 2 5 3 2 4" xfId="18736"/>
    <cellStyle name="Note 2 5 3 2 5" xfId="22955"/>
    <cellStyle name="Note 2 5 3 2 6" xfId="27150"/>
    <cellStyle name="Note 2 5 3 2 7" xfId="31046"/>
    <cellStyle name="Note 2 5 3 3" xfId="8436"/>
    <cellStyle name="Note 2 5 3 4" xfId="12721"/>
    <cellStyle name="Note 2 5 3 5" xfId="16993"/>
    <cellStyle name="Note 2 5 3 6" xfId="21228"/>
    <cellStyle name="Note 2 5 3 7" xfId="25466"/>
    <cellStyle name="Note 2 5 3 8" xfId="29544"/>
    <cellStyle name="Note 2 5 3 9" xfId="3460"/>
    <cellStyle name="Note 2 5 4" xfId="2602"/>
    <cellStyle name="Note 2 5 4 2" xfId="7579"/>
    <cellStyle name="Note 2 5 4 3" xfId="11868"/>
    <cellStyle name="Note 2 5 4 4" xfId="16144"/>
    <cellStyle name="Note 2 5 4 5" xfId="20387"/>
    <cellStyle name="Note 2 5 4 6" xfId="24633"/>
    <cellStyle name="Note 2 5 4 7" xfId="28737"/>
    <cellStyle name="Note 2 5 5" xfId="4568"/>
    <cellStyle name="Note 2 5 5 2" xfId="9542"/>
    <cellStyle name="Note 2 5 5 3" xfId="13819"/>
    <cellStyle name="Note 2 5 5 4" xfId="18079"/>
    <cellStyle name="Note 2 5 5 5" xfId="22297"/>
    <cellStyle name="Note 2 5 5 6" xfId="26493"/>
    <cellStyle name="Note 2 5 5 7" xfId="30389"/>
    <cellStyle name="Note 2 5 6" xfId="5917"/>
    <cellStyle name="Note 2 5 6 2" xfId="10889"/>
    <cellStyle name="Note 2 5 6 3" xfId="15167"/>
    <cellStyle name="Note 2 5 6 4" xfId="19424"/>
    <cellStyle name="Note 2 5 6 5" xfId="23641"/>
    <cellStyle name="Note 2 5 6 6" xfId="27827"/>
    <cellStyle name="Note 2 5 6 7" xfId="31706"/>
    <cellStyle name="Note 2 5 7" xfId="6791"/>
    <cellStyle name="Note 2 5 8" xfId="6443"/>
    <cellStyle name="Note 2 5 9" xfId="9222"/>
    <cellStyle name="Note 2 6" xfId="594"/>
    <cellStyle name="Note 2 6 10" xfId="6376"/>
    <cellStyle name="Note 2 6 11" xfId="21766"/>
    <cellStyle name="Note 2 6 12" xfId="21915"/>
    <cellStyle name="Note 2 6 13" xfId="1913"/>
    <cellStyle name="Note 2 6 2" xfId="1251"/>
    <cellStyle name="Note 2 6 2 10" xfId="3118"/>
    <cellStyle name="Note 2 6 2 2" xfId="3947"/>
    <cellStyle name="Note 2 6 2 2 2" xfId="8923"/>
    <cellStyle name="Note 2 6 2 2 3" xfId="13208"/>
    <cellStyle name="Note 2 6 2 2 4" xfId="17480"/>
    <cellStyle name="Note 2 6 2 2 5" xfId="21714"/>
    <cellStyle name="Note 2 6 2 2 6" xfId="25953"/>
    <cellStyle name="Note 2 6 2 2 7" xfId="30027"/>
    <cellStyle name="Note 2 6 2 3" xfId="5282"/>
    <cellStyle name="Note 2 6 2 3 2" xfId="10256"/>
    <cellStyle name="Note 2 6 2 3 3" xfId="14533"/>
    <cellStyle name="Note 2 6 2 3 4" xfId="18792"/>
    <cellStyle name="Note 2 6 2 3 5" xfId="23011"/>
    <cellStyle name="Note 2 6 2 3 6" xfId="27206"/>
    <cellStyle name="Note 2 6 2 3 7" xfId="31102"/>
    <cellStyle name="Note 2 6 2 4" xfId="8094"/>
    <cellStyle name="Note 2 6 2 5" xfId="12382"/>
    <cellStyle name="Note 2 6 2 6" xfId="16657"/>
    <cellStyle name="Note 2 6 2 7" xfId="20893"/>
    <cellStyle name="Note 2 6 2 8" xfId="25137"/>
    <cellStyle name="Note 2 6 2 9" xfId="29222"/>
    <cellStyle name="Note 2 6 3" xfId="3946"/>
    <cellStyle name="Note 2 6 3 2" xfId="8922"/>
    <cellStyle name="Note 2 6 3 3" xfId="13207"/>
    <cellStyle name="Note 2 6 3 4" xfId="17479"/>
    <cellStyle name="Note 2 6 3 5" xfId="21713"/>
    <cellStyle name="Note 2 6 3 6" xfId="25952"/>
    <cellStyle name="Note 2 6 3 7" xfId="30026"/>
    <cellStyle name="Note 2 6 4" xfId="3117"/>
    <cellStyle name="Note 2 6 4 2" xfId="8093"/>
    <cellStyle name="Note 2 6 4 3" xfId="12381"/>
    <cellStyle name="Note 2 6 4 4" xfId="16656"/>
    <cellStyle name="Note 2 6 4 5" xfId="20892"/>
    <cellStyle name="Note 2 6 4 6" xfId="25136"/>
    <cellStyle name="Note 2 6 4 7" xfId="29221"/>
    <cellStyle name="Note 2 6 5" xfId="4625"/>
    <cellStyle name="Note 2 6 5 2" xfId="9599"/>
    <cellStyle name="Note 2 6 5 3" xfId="13876"/>
    <cellStyle name="Note 2 6 5 4" xfId="18135"/>
    <cellStyle name="Note 2 6 5 5" xfId="22354"/>
    <cellStyle name="Note 2 6 5 6" xfId="26549"/>
    <cellStyle name="Note 2 6 5 7" xfId="30445"/>
    <cellStyle name="Note 2 6 6" xfId="5973"/>
    <cellStyle name="Note 2 6 6 2" xfId="10945"/>
    <cellStyle name="Note 2 6 6 3" xfId="15223"/>
    <cellStyle name="Note 2 6 6 4" xfId="19480"/>
    <cellStyle name="Note 2 6 6 5" xfId="23697"/>
    <cellStyle name="Note 2 6 6 6" xfId="27883"/>
    <cellStyle name="Note 2 6 6 7" xfId="31762"/>
    <cellStyle name="Note 2 6 7" xfId="6891"/>
    <cellStyle name="Note 2 6 8" xfId="6855"/>
    <cellStyle name="Note 2 6 9" xfId="6859"/>
    <cellStyle name="Note 2 7" xfId="922"/>
    <cellStyle name="Note 2 7 10" xfId="3119"/>
    <cellStyle name="Note 2 7 2" xfId="3948"/>
    <cellStyle name="Note 2 7 2 2" xfId="8924"/>
    <cellStyle name="Note 2 7 2 3" xfId="13209"/>
    <cellStyle name="Note 2 7 2 4" xfId="17481"/>
    <cellStyle name="Note 2 7 2 5" xfId="21715"/>
    <cellStyle name="Note 2 7 2 6" xfId="25954"/>
    <cellStyle name="Note 2 7 2 7" xfId="30028"/>
    <cellStyle name="Note 2 7 3" xfId="4953"/>
    <cellStyle name="Note 2 7 3 2" xfId="9927"/>
    <cellStyle name="Note 2 7 3 3" xfId="14204"/>
    <cellStyle name="Note 2 7 3 4" xfId="18463"/>
    <cellStyle name="Note 2 7 3 5" xfId="22682"/>
    <cellStyle name="Note 2 7 3 6" xfId="26877"/>
    <cellStyle name="Note 2 7 3 7" xfId="30773"/>
    <cellStyle name="Note 2 7 4" xfId="8095"/>
    <cellStyle name="Note 2 7 5" xfId="12383"/>
    <cellStyle name="Note 2 7 6" xfId="16658"/>
    <cellStyle name="Note 2 7 7" xfId="20894"/>
    <cellStyle name="Note 2 7 8" xfId="25138"/>
    <cellStyle name="Note 2 7 9" xfId="29223"/>
    <cellStyle name="Note 2 8" xfId="3165"/>
    <cellStyle name="Note 2 8 2" xfId="8141"/>
    <cellStyle name="Note 2 8 3" xfId="12427"/>
    <cellStyle name="Note 2 8 4" xfId="16701"/>
    <cellStyle name="Note 2 8 5" xfId="20937"/>
    <cellStyle name="Note 2 8 6" xfId="25177"/>
    <cellStyle name="Note 2 8 7" xfId="29258"/>
    <cellStyle name="Note 2 9" xfId="2249"/>
    <cellStyle name="Note 2 9 2" xfId="7227"/>
    <cellStyle name="Note 2 9 3" xfId="11518"/>
    <cellStyle name="Note 2 9 4" xfId="15796"/>
    <cellStyle name="Note 2 9 5" xfId="20051"/>
    <cellStyle name="Note 2 9 6" xfId="24302"/>
    <cellStyle name="Note 2 9 7" xfId="28449"/>
    <cellStyle name="Note 3" xfId="158"/>
    <cellStyle name="Note 3 2" xfId="3120"/>
    <cellStyle name="Note 3 2 2" xfId="3949"/>
    <cellStyle name="Note 3 2 3" xfId="4170"/>
    <cellStyle name="Note 3 3" xfId="3161"/>
    <cellStyle name="Note 3 3 2" xfId="4184"/>
    <cellStyle name="Note 4" xfId="105"/>
    <cellStyle name="Note 4 10" xfId="5664"/>
    <cellStyle name="Note 4 10 2" xfId="10636"/>
    <cellStyle name="Note 4 10 3" xfId="14914"/>
    <cellStyle name="Note 4 10 4" xfId="19171"/>
    <cellStyle name="Note 4 10 5" xfId="23388"/>
    <cellStyle name="Note 4 10 6" xfId="27574"/>
    <cellStyle name="Note 4 10 7" xfId="31453"/>
    <cellStyle name="Note 4 11" xfId="6405"/>
    <cellStyle name="Note 4 12" xfId="9107"/>
    <cellStyle name="Note 4 13" xfId="13388"/>
    <cellStyle name="Note 4 14" xfId="17656"/>
    <cellStyle name="Note 4 15" xfId="21940"/>
    <cellStyle name="Note 4 16" xfId="26100"/>
    <cellStyle name="Note 4 17" xfId="1599"/>
    <cellStyle name="Note 4 2" xfId="296"/>
    <cellStyle name="Note 4 2 10" xfId="13272"/>
    <cellStyle name="Note 4 2 11" xfId="17546"/>
    <cellStyle name="Note 4 2 12" xfId="20086"/>
    <cellStyle name="Note 4 2 13" xfId="26010"/>
    <cellStyle name="Note 4 2 14" xfId="1668"/>
    <cellStyle name="Note 4 2 2" xfId="460"/>
    <cellStyle name="Note 4 2 2 10" xfId="17648"/>
    <cellStyle name="Note 4 2 2 11" xfId="23348"/>
    <cellStyle name="Note 4 2 2 12" xfId="26094"/>
    <cellStyle name="Note 4 2 2 13" xfId="1823"/>
    <cellStyle name="Note 4 2 2 2" xfId="834"/>
    <cellStyle name="Note 4 2 2 2 10" xfId="24209"/>
    <cellStyle name="Note 4 2 2 2 11" xfId="28361"/>
    <cellStyle name="Note 4 2 2 2 12" xfId="2153"/>
    <cellStyle name="Note 4 2 2 2 2" xfId="1491"/>
    <cellStyle name="Note 4 2 2 2 2 2" xfId="5522"/>
    <cellStyle name="Note 4 2 2 2 2 2 2" xfId="10496"/>
    <cellStyle name="Note 4 2 2 2 2 2 3" xfId="14773"/>
    <cellStyle name="Note 4 2 2 2 2 2 4" xfId="19032"/>
    <cellStyle name="Note 4 2 2 2 2 2 5" xfId="23251"/>
    <cellStyle name="Note 4 2 2 2 2 2 6" xfId="27446"/>
    <cellStyle name="Note 4 2 2 2 2 2 7" xfId="31342"/>
    <cellStyle name="Note 4 2 2 2 2 3" xfId="8926"/>
    <cellStyle name="Note 4 2 2 2 2 4" xfId="13211"/>
    <cellStyle name="Note 4 2 2 2 2 5" xfId="17483"/>
    <cellStyle name="Note 4 2 2 2 2 6" xfId="21717"/>
    <cellStyle name="Note 4 2 2 2 2 7" xfId="25956"/>
    <cellStyle name="Note 4 2 2 2 2 8" xfId="30029"/>
    <cellStyle name="Note 4 2 2 2 2 9" xfId="3950"/>
    <cellStyle name="Note 4 2 2 2 3" xfId="3121"/>
    <cellStyle name="Note 4 2 2 2 3 2" xfId="8097"/>
    <cellStyle name="Note 4 2 2 2 3 3" xfId="12385"/>
    <cellStyle name="Note 4 2 2 2 3 4" xfId="16660"/>
    <cellStyle name="Note 4 2 2 2 3 5" xfId="20895"/>
    <cellStyle name="Note 4 2 2 2 3 6" xfId="25140"/>
    <cellStyle name="Note 4 2 2 2 3 7" xfId="29224"/>
    <cellStyle name="Note 4 2 2 2 4" xfId="4865"/>
    <cellStyle name="Note 4 2 2 2 4 2" xfId="9839"/>
    <cellStyle name="Note 4 2 2 2 4 3" xfId="14116"/>
    <cellStyle name="Note 4 2 2 2 4 4" xfId="18375"/>
    <cellStyle name="Note 4 2 2 2 4 5" xfId="22594"/>
    <cellStyle name="Note 4 2 2 2 4 6" xfId="26789"/>
    <cellStyle name="Note 4 2 2 2 4 7" xfId="30685"/>
    <cellStyle name="Note 4 2 2 2 5" xfId="6213"/>
    <cellStyle name="Note 4 2 2 2 5 2" xfId="11185"/>
    <cellStyle name="Note 4 2 2 2 5 3" xfId="15463"/>
    <cellStyle name="Note 4 2 2 2 5 4" xfId="19720"/>
    <cellStyle name="Note 4 2 2 2 5 5" xfId="23937"/>
    <cellStyle name="Note 4 2 2 2 5 6" xfId="28123"/>
    <cellStyle name="Note 4 2 2 2 5 7" xfId="32002"/>
    <cellStyle name="Note 4 2 2 2 6" xfId="7131"/>
    <cellStyle name="Note 4 2 2 2 7" xfId="11423"/>
    <cellStyle name="Note 4 2 2 2 8" xfId="15701"/>
    <cellStyle name="Note 4 2 2 2 9" xfId="19958"/>
    <cellStyle name="Note 4 2 2 3" xfId="1162"/>
    <cellStyle name="Note 4 2 2 3 2" xfId="5193"/>
    <cellStyle name="Note 4 2 2 3 2 2" xfId="10167"/>
    <cellStyle name="Note 4 2 2 3 2 3" xfId="14444"/>
    <cellStyle name="Note 4 2 2 3 2 4" xfId="18703"/>
    <cellStyle name="Note 4 2 2 3 2 5" xfId="22922"/>
    <cellStyle name="Note 4 2 2 3 2 6" xfId="27117"/>
    <cellStyle name="Note 4 2 2 3 2 7" xfId="31013"/>
    <cellStyle name="Note 4 2 2 3 3" xfId="8388"/>
    <cellStyle name="Note 4 2 2 3 4" xfId="12673"/>
    <cellStyle name="Note 4 2 2 3 5" xfId="16945"/>
    <cellStyle name="Note 4 2 2 3 6" xfId="21180"/>
    <cellStyle name="Note 4 2 2 3 7" xfId="25418"/>
    <cellStyle name="Note 4 2 2 3 8" xfId="29496"/>
    <cellStyle name="Note 4 2 2 3 9" xfId="3412"/>
    <cellStyle name="Note 4 2 2 4" xfId="2551"/>
    <cellStyle name="Note 4 2 2 4 2" xfId="7528"/>
    <cellStyle name="Note 4 2 2 4 3" xfId="11817"/>
    <cellStyle name="Note 4 2 2 4 4" xfId="16095"/>
    <cellStyle name="Note 4 2 2 4 5" xfId="20338"/>
    <cellStyle name="Note 4 2 2 4 6" xfId="24584"/>
    <cellStyle name="Note 4 2 2 4 7" xfId="28689"/>
    <cellStyle name="Note 4 2 2 5" xfId="4535"/>
    <cellStyle name="Note 4 2 2 5 2" xfId="9509"/>
    <cellStyle name="Note 4 2 2 5 3" xfId="13786"/>
    <cellStyle name="Note 4 2 2 5 4" xfId="18046"/>
    <cellStyle name="Note 4 2 2 5 5" xfId="22264"/>
    <cellStyle name="Note 4 2 2 5 6" xfId="26460"/>
    <cellStyle name="Note 4 2 2 5 7" xfId="30356"/>
    <cellStyle name="Note 4 2 2 6" xfId="5884"/>
    <cellStyle name="Note 4 2 2 6 2" xfId="10856"/>
    <cellStyle name="Note 4 2 2 6 3" xfId="15134"/>
    <cellStyle name="Note 4 2 2 6 4" xfId="19391"/>
    <cellStyle name="Note 4 2 2 6 5" xfId="23608"/>
    <cellStyle name="Note 4 2 2 6 6" xfId="27794"/>
    <cellStyle name="Note 4 2 2 6 7" xfId="31673"/>
    <cellStyle name="Note 4 2 2 7" xfId="6758"/>
    <cellStyle name="Note 4 2 2 8" xfId="9098"/>
    <cellStyle name="Note 4 2 2 9" xfId="13379"/>
    <cellStyle name="Note 4 2 3" xfId="679"/>
    <cellStyle name="Note 4 2 3 10" xfId="24054"/>
    <cellStyle name="Note 4 2 3 11" xfId="26169"/>
    <cellStyle name="Note 4 2 3 12" xfId="1998"/>
    <cellStyle name="Note 4 2 3 2" xfId="1336"/>
    <cellStyle name="Note 4 2 3 2 2" xfId="5367"/>
    <cellStyle name="Note 4 2 3 2 2 2" xfId="10341"/>
    <cellStyle name="Note 4 2 3 2 2 3" xfId="14618"/>
    <cellStyle name="Note 4 2 3 2 2 4" xfId="18877"/>
    <cellStyle name="Note 4 2 3 2 2 5" xfId="23096"/>
    <cellStyle name="Note 4 2 3 2 2 6" xfId="27291"/>
    <cellStyle name="Note 4 2 3 2 2 7" xfId="31187"/>
    <cellStyle name="Note 4 2 3 2 3" xfId="8927"/>
    <cellStyle name="Note 4 2 3 2 4" xfId="13212"/>
    <cellStyle name="Note 4 2 3 2 5" xfId="17484"/>
    <cellStyle name="Note 4 2 3 2 6" xfId="21718"/>
    <cellStyle name="Note 4 2 3 2 7" xfId="25957"/>
    <cellStyle name="Note 4 2 3 2 8" xfId="30030"/>
    <cellStyle name="Note 4 2 3 2 9" xfId="3951"/>
    <cellStyle name="Note 4 2 3 3" xfId="3122"/>
    <cellStyle name="Note 4 2 3 3 2" xfId="8098"/>
    <cellStyle name="Note 4 2 3 3 3" xfId="12386"/>
    <cellStyle name="Note 4 2 3 3 4" xfId="16661"/>
    <cellStyle name="Note 4 2 3 3 5" xfId="20896"/>
    <cellStyle name="Note 4 2 3 3 6" xfId="25141"/>
    <cellStyle name="Note 4 2 3 3 7" xfId="29225"/>
    <cellStyle name="Note 4 2 3 4" xfId="4710"/>
    <cellStyle name="Note 4 2 3 4 2" xfId="9684"/>
    <cellStyle name="Note 4 2 3 4 3" xfId="13961"/>
    <cellStyle name="Note 4 2 3 4 4" xfId="18220"/>
    <cellStyle name="Note 4 2 3 4 5" xfId="22439"/>
    <cellStyle name="Note 4 2 3 4 6" xfId="26634"/>
    <cellStyle name="Note 4 2 3 4 7" xfId="30530"/>
    <cellStyle name="Note 4 2 3 5" xfId="6058"/>
    <cellStyle name="Note 4 2 3 5 2" xfId="11030"/>
    <cellStyle name="Note 4 2 3 5 3" xfId="15308"/>
    <cellStyle name="Note 4 2 3 5 4" xfId="19565"/>
    <cellStyle name="Note 4 2 3 5 5" xfId="23782"/>
    <cellStyle name="Note 4 2 3 5 6" xfId="27968"/>
    <cellStyle name="Note 4 2 3 5 7" xfId="31847"/>
    <cellStyle name="Note 4 2 3 6" xfId="6976"/>
    <cellStyle name="Note 4 2 3 7" xfId="9204"/>
    <cellStyle name="Note 4 2 3 8" xfId="13482"/>
    <cellStyle name="Note 4 2 3 9" xfId="17745"/>
    <cellStyle name="Note 4 2 4" xfId="1007"/>
    <cellStyle name="Note 4 2 4 2" xfId="5038"/>
    <cellStyle name="Note 4 2 4 2 2" xfId="10012"/>
    <cellStyle name="Note 4 2 4 2 3" xfId="14289"/>
    <cellStyle name="Note 4 2 4 2 4" xfId="18548"/>
    <cellStyle name="Note 4 2 4 2 5" xfId="22767"/>
    <cellStyle name="Note 4 2 4 2 6" xfId="26962"/>
    <cellStyle name="Note 4 2 4 2 7" xfId="30858"/>
    <cellStyle name="Note 4 2 4 3" xfId="8210"/>
    <cellStyle name="Note 4 2 4 4" xfId="12496"/>
    <cellStyle name="Note 4 2 4 5" xfId="16768"/>
    <cellStyle name="Note 4 2 4 6" xfId="21006"/>
    <cellStyle name="Note 4 2 4 7" xfId="25244"/>
    <cellStyle name="Note 4 2 4 8" xfId="29325"/>
    <cellStyle name="Note 4 2 4 9" xfId="3234"/>
    <cellStyle name="Note 4 2 5" xfId="2341"/>
    <cellStyle name="Note 4 2 5 2" xfId="7319"/>
    <cellStyle name="Note 4 2 5 3" xfId="11609"/>
    <cellStyle name="Note 4 2 5 4" xfId="15887"/>
    <cellStyle name="Note 4 2 5 5" xfId="20139"/>
    <cellStyle name="Note 4 2 5 6" xfId="24387"/>
    <cellStyle name="Note 4 2 5 7" xfId="28517"/>
    <cellStyle name="Note 4 2 6" xfId="4380"/>
    <cellStyle name="Note 4 2 6 2" xfId="9354"/>
    <cellStyle name="Note 4 2 6 3" xfId="13631"/>
    <cellStyle name="Note 4 2 6 4" xfId="17891"/>
    <cellStyle name="Note 4 2 6 5" xfId="22109"/>
    <cellStyle name="Note 4 2 6 6" xfId="26305"/>
    <cellStyle name="Note 4 2 6 7" xfId="30201"/>
    <cellStyle name="Note 4 2 7" xfId="5729"/>
    <cellStyle name="Note 4 2 7 2" xfId="10701"/>
    <cellStyle name="Note 4 2 7 3" xfId="14979"/>
    <cellStyle name="Note 4 2 7 4" xfId="19236"/>
    <cellStyle name="Note 4 2 7 5" xfId="23453"/>
    <cellStyle name="Note 4 2 7 6" xfId="27639"/>
    <cellStyle name="Note 4 2 7 7" xfId="31518"/>
    <cellStyle name="Note 4 2 8" xfId="6594"/>
    <cellStyle name="Note 4 2 9" xfId="8990"/>
    <cellStyle name="Note 4 3" xfId="375"/>
    <cellStyle name="Note 4 3 10" xfId="17611"/>
    <cellStyle name="Note 4 3 11" xfId="21948"/>
    <cellStyle name="Note 4 3 12" xfId="26062"/>
    <cellStyle name="Note 4 3 13" xfId="1738"/>
    <cellStyle name="Note 4 3 2" xfId="749"/>
    <cellStyle name="Note 4 3 2 10" xfId="24124"/>
    <cellStyle name="Note 4 3 2 11" xfId="28276"/>
    <cellStyle name="Note 4 3 2 12" xfId="2068"/>
    <cellStyle name="Note 4 3 2 2" xfId="1406"/>
    <cellStyle name="Note 4 3 2 2 2" xfId="5437"/>
    <cellStyle name="Note 4 3 2 2 2 2" xfId="10411"/>
    <cellStyle name="Note 4 3 2 2 2 3" xfId="14688"/>
    <cellStyle name="Note 4 3 2 2 2 4" xfId="18947"/>
    <cellStyle name="Note 4 3 2 2 2 5" xfId="23166"/>
    <cellStyle name="Note 4 3 2 2 2 6" xfId="27361"/>
    <cellStyle name="Note 4 3 2 2 2 7" xfId="31257"/>
    <cellStyle name="Note 4 3 2 2 3" xfId="8928"/>
    <cellStyle name="Note 4 3 2 2 4" xfId="13213"/>
    <cellStyle name="Note 4 3 2 2 5" xfId="17485"/>
    <cellStyle name="Note 4 3 2 2 6" xfId="21719"/>
    <cellStyle name="Note 4 3 2 2 7" xfId="25958"/>
    <cellStyle name="Note 4 3 2 2 8" xfId="30031"/>
    <cellStyle name="Note 4 3 2 2 9" xfId="3952"/>
    <cellStyle name="Note 4 3 2 3" xfId="3123"/>
    <cellStyle name="Note 4 3 2 3 2" xfId="8099"/>
    <cellStyle name="Note 4 3 2 3 3" xfId="12387"/>
    <cellStyle name="Note 4 3 2 3 4" xfId="16662"/>
    <cellStyle name="Note 4 3 2 3 5" xfId="20897"/>
    <cellStyle name="Note 4 3 2 3 6" xfId="25142"/>
    <cellStyle name="Note 4 3 2 3 7" xfId="29226"/>
    <cellStyle name="Note 4 3 2 4" xfId="4780"/>
    <cellStyle name="Note 4 3 2 4 2" xfId="9754"/>
    <cellStyle name="Note 4 3 2 4 3" xfId="14031"/>
    <cellStyle name="Note 4 3 2 4 4" xfId="18290"/>
    <cellStyle name="Note 4 3 2 4 5" xfId="22509"/>
    <cellStyle name="Note 4 3 2 4 6" xfId="26704"/>
    <cellStyle name="Note 4 3 2 4 7" xfId="30600"/>
    <cellStyle name="Note 4 3 2 5" xfId="6128"/>
    <cellStyle name="Note 4 3 2 5 2" xfId="11100"/>
    <cellStyle name="Note 4 3 2 5 3" xfId="15378"/>
    <cellStyle name="Note 4 3 2 5 4" xfId="19635"/>
    <cellStyle name="Note 4 3 2 5 5" xfId="23852"/>
    <cellStyle name="Note 4 3 2 5 6" xfId="28038"/>
    <cellStyle name="Note 4 3 2 5 7" xfId="31917"/>
    <cellStyle name="Note 4 3 2 6" xfId="7046"/>
    <cellStyle name="Note 4 3 2 7" xfId="11338"/>
    <cellStyle name="Note 4 3 2 8" xfId="15616"/>
    <cellStyle name="Note 4 3 2 9" xfId="19873"/>
    <cellStyle name="Note 4 3 3" xfId="1077"/>
    <cellStyle name="Note 4 3 3 2" xfId="5108"/>
    <cellStyle name="Note 4 3 3 2 2" xfId="10082"/>
    <cellStyle name="Note 4 3 3 2 3" xfId="14359"/>
    <cellStyle name="Note 4 3 3 2 4" xfId="18618"/>
    <cellStyle name="Note 4 3 3 2 5" xfId="22837"/>
    <cellStyle name="Note 4 3 3 2 6" xfId="27032"/>
    <cellStyle name="Note 4 3 3 2 7" xfId="30928"/>
    <cellStyle name="Note 4 3 3 3" xfId="8303"/>
    <cellStyle name="Note 4 3 3 4" xfId="12588"/>
    <cellStyle name="Note 4 3 3 5" xfId="16860"/>
    <cellStyle name="Note 4 3 3 6" xfId="21095"/>
    <cellStyle name="Note 4 3 3 7" xfId="25333"/>
    <cellStyle name="Note 4 3 3 8" xfId="29411"/>
    <cellStyle name="Note 4 3 3 9" xfId="3327"/>
    <cellStyle name="Note 4 3 4" xfId="2466"/>
    <cellStyle name="Note 4 3 4 2" xfId="7443"/>
    <cellStyle name="Note 4 3 4 3" xfId="11732"/>
    <cellStyle name="Note 4 3 4 4" xfId="16010"/>
    <cellStyle name="Note 4 3 4 5" xfId="20253"/>
    <cellStyle name="Note 4 3 4 6" xfId="24499"/>
    <cellStyle name="Note 4 3 4 7" xfId="28604"/>
    <cellStyle name="Note 4 3 5" xfId="4450"/>
    <cellStyle name="Note 4 3 5 2" xfId="9424"/>
    <cellStyle name="Note 4 3 5 3" xfId="13701"/>
    <cellStyle name="Note 4 3 5 4" xfId="17961"/>
    <cellStyle name="Note 4 3 5 5" xfId="22179"/>
    <cellStyle name="Note 4 3 5 6" xfId="26375"/>
    <cellStyle name="Note 4 3 5 7" xfId="30271"/>
    <cellStyle name="Note 4 3 6" xfId="5799"/>
    <cellStyle name="Note 4 3 6 2" xfId="10771"/>
    <cellStyle name="Note 4 3 6 3" xfId="15049"/>
    <cellStyle name="Note 4 3 6 4" xfId="19306"/>
    <cellStyle name="Note 4 3 6 5" xfId="23523"/>
    <cellStyle name="Note 4 3 6 6" xfId="27709"/>
    <cellStyle name="Note 4 3 6 7" xfId="31588"/>
    <cellStyle name="Note 4 3 7" xfId="6673"/>
    <cellStyle name="Note 4 3 8" xfId="9057"/>
    <cellStyle name="Note 4 3 9" xfId="13339"/>
    <cellStyle name="Note 4 4" xfId="512"/>
    <cellStyle name="Note 4 4 10" xfId="19132"/>
    <cellStyle name="Note 4 4 11" xfId="13356"/>
    <cellStyle name="Note 4 4 12" xfId="27543"/>
    <cellStyle name="Note 4 4 13" xfId="1875"/>
    <cellStyle name="Note 4 4 2" xfId="886"/>
    <cellStyle name="Note 4 4 2 10" xfId="24261"/>
    <cellStyle name="Note 4 4 2 11" xfId="28413"/>
    <cellStyle name="Note 4 4 2 12" xfId="2205"/>
    <cellStyle name="Note 4 4 2 2" xfId="1543"/>
    <cellStyle name="Note 4 4 2 2 2" xfId="5574"/>
    <cellStyle name="Note 4 4 2 2 2 2" xfId="10548"/>
    <cellStyle name="Note 4 4 2 2 2 3" xfId="14825"/>
    <cellStyle name="Note 4 4 2 2 2 4" xfId="19084"/>
    <cellStyle name="Note 4 4 2 2 2 5" xfId="23303"/>
    <cellStyle name="Note 4 4 2 2 2 6" xfId="27498"/>
    <cellStyle name="Note 4 4 2 2 2 7" xfId="31394"/>
    <cellStyle name="Note 4 4 2 2 3" xfId="8929"/>
    <cellStyle name="Note 4 4 2 2 4" xfId="13214"/>
    <cellStyle name="Note 4 4 2 2 5" xfId="17486"/>
    <cellStyle name="Note 4 4 2 2 6" xfId="21720"/>
    <cellStyle name="Note 4 4 2 2 7" xfId="25959"/>
    <cellStyle name="Note 4 4 2 2 8" xfId="30032"/>
    <cellStyle name="Note 4 4 2 2 9" xfId="3953"/>
    <cellStyle name="Note 4 4 2 3" xfId="3124"/>
    <cellStyle name="Note 4 4 2 3 2" xfId="8100"/>
    <cellStyle name="Note 4 4 2 3 3" xfId="12388"/>
    <cellStyle name="Note 4 4 2 3 4" xfId="16663"/>
    <cellStyle name="Note 4 4 2 3 5" xfId="20898"/>
    <cellStyle name="Note 4 4 2 3 6" xfId="25143"/>
    <cellStyle name="Note 4 4 2 3 7" xfId="29227"/>
    <cellStyle name="Note 4 4 2 4" xfId="4917"/>
    <cellStyle name="Note 4 4 2 4 2" xfId="9891"/>
    <cellStyle name="Note 4 4 2 4 3" xfId="14168"/>
    <cellStyle name="Note 4 4 2 4 4" xfId="18427"/>
    <cellStyle name="Note 4 4 2 4 5" xfId="22646"/>
    <cellStyle name="Note 4 4 2 4 6" xfId="26841"/>
    <cellStyle name="Note 4 4 2 4 7" xfId="30737"/>
    <cellStyle name="Note 4 4 2 5" xfId="6265"/>
    <cellStyle name="Note 4 4 2 5 2" xfId="11237"/>
    <cellStyle name="Note 4 4 2 5 3" xfId="15515"/>
    <cellStyle name="Note 4 4 2 5 4" xfId="19772"/>
    <cellStyle name="Note 4 4 2 5 5" xfId="23989"/>
    <cellStyle name="Note 4 4 2 5 6" xfId="28175"/>
    <cellStyle name="Note 4 4 2 5 7" xfId="32054"/>
    <cellStyle name="Note 4 4 2 6" xfId="7183"/>
    <cellStyle name="Note 4 4 2 7" xfId="11475"/>
    <cellStyle name="Note 4 4 2 8" xfId="15753"/>
    <cellStyle name="Note 4 4 2 9" xfId="20010"/>
    <cellStyle name="Note 4 4 3" xfId="1214"/>
    <cellStyle name="Note 4 4 3 2" xfId="5245"/>
    <cellStyle name="Note 4 4 3 2 2" xfId="10219"/>
    <cellStyle name="Note 4 4 3 2 3" xfId="14496"/>
    <cellStyle name="Note 4 4 3 2 4" xfId="18755"/>
    <cellStyle name="Note 4 4 3 2 5" xfId="22974"/>
    <cellStyle name="Note 4 4 3 2 6" xfId="27169"/>
    <cellStyle name="Note 4 4 3 2 7" xfId="31065"/>
    <cellStyle name="Note 4 4 3 3" xfId="8455"/>
    <cellStyle name="Note 4 4 3 4" xfId="12740"/>
    <cellStyle name="Note 4 4 3 5" xfId="17012"/>
    <cellStyle name="Note 4 4 3 6" xfId="21247"/>
    <cellStyle name="Note 4 4 3 7" xfId="25485"/>
    <cellStyle name="Note 4 4 3 8" xfId="29563"/>
    <cellStyle name="Note 4 4 3 9" xfId="3479"/>
    <cellStyle name="Note 4 4 4" xfId="2622"/>
    <cellStyle name="Note 4 4 4 2" xfId="7599"/>
    <cellStyle name="Note 4 4 4 3" xfId="11888"/>
    <cellStyle name="Note 4 4 4 4" xfId="16164"/>
    <cellStyle name="Note 4 4 4 5" xfId="20406"/>
    <cellStyle name="Note 4 4 4 6" xfId="24653"/>
    <cellStyle name="Note 4 4 4 7" xfId="28756"/>
    <cellStyle name="Note 4 4 5" xfId="4587"/>
    <cellStyle name="Note 4 4 5 2" xfId="9561"/>
    <cellStyle name="Note 4 4 5 3" xfId="13838"/>
    <cellStyle name="Note 4 4 5 4" xfId="18098"/>
    <cellStyle name="Note 4 4 5 5" xfId="22316"/>
    <cellStyle name="Note 4 4 5 6" xfId="26512"/>
    <cellStyle name="Note 4 4 5 7" xfId="30408"/>
    <cellStyle name="Note 4 4 6" xfId="5936"/>
    <cellStyle name="Note 4 4 6 2" xfId="10908"/>
    <cellStyle name="Note 4 4 6 3" xfId="15186"/>
    <cellStyle name="Note 4 4 6 4" xfId="19443"/>
    <cellStyle name="Note 4 4 6 5" xfId="23660"/>
    <cellStyle name="Note 4 4 6 6" xfId="27846"/>
    <cellStyle name="Note 4 4 6 7" xfId="31725"/>
    <cellStyle name="Note 4 4 7" xfId="6810"/>
    <cellStyle name="Note 4 4 8" xfId="10596"/>
    <cellStyle name="Note 4 4 9" xfId="14874"/>
    <cellStyle name="Note 4 5" xfId="613"/>
    <cellStyle name="Note 4 5 10" xfId="16381"/>
    <cellStyle name="Note 4 5 11" xfId="15870"/>
    <cellStyle name="Note 4 5 12" xfId="24870"/>
    <cellStyle name="Note 4 5 13" xfId="1932"/>
    <cellStyle name="Note 4 5 2" xfId="1270"/>
    <cellStyle name="Note 4 5 2 10" xfId="3126"/>
    <cellStyle name="Note 4 5 2 2" xfId="3955"/>
    <cellStyle name="Note 4 5 2 2 2" xfId="8931"/>
    <cellStyle name="Note 4 5 2 2 3" xfId="13216"/>
    <cellStyle name="Note 4 5 2 2 4" xfId="17488"/>
    <cellStyle name="Note 4 5 2 2 5" xfId="21722"/>
    <cellStyle name="Note 4 5 2 2 6" xfId="25961"/>
    <cellStyle name="Note 4 5 2 2 7" xfId="30034"/>
    <cellStyle name="Note 4 5 2 3" xfId="5301"/>
    <cellStyle name="Note 4 5 2 3 2" xfId="10275"/>
    <cellStyle name="Note 4 5 2 3 3" xfId="14552"/>
    <cellStyle name="Note 4 5 2 3 4" xfId="18811"/>
    <cellStyle name="Note 4 5 2 3 5" xfId="23030"/>
    <cellStyle name="Note 4 5 2 3 6" xfId="27225"/>
    <cellStyle name="Note 4 5 2 3 7" xfId="31121"/>
    <cellStyle name="Note 4 5 2 4" xfId="8102"/>
    <cellStyle name="Note 4 5 2 5" xfId="12390"/>
    <cellStyle name="Note 4 5 2 6" xfId="16665"/>
    <cellStyle name="Note 4 5 2 7" xfId="20900"/>
    <cellStyle name="Note 4 5 2 8" xfId="25145"/>
    <cellStyle name="Note 4 5 2 9" xfId="29229"/>
    <cellStyle name="Note 4 5 3" xfId="3954"/>
    <cellStyle name="Note 4 5 3 2" xfId="8930"/>
    <cellStyle name="Note 4 5 3 3" xfId="13215"/>
    <cellStyle name="Note 4 5 3 4" xfId="17487"/>
    <cellStyle name="Note 4 5 3 5" xfId="21721"/>
    <cellStyle name="Note 4 5 3 6" xfId="25960"/>
    <cellStyle name="Note 4 5 3 7" xfId="30033"/>
    <cellStyle name="Note 4 5 4" xfId="3125"/>
    <cellStyle name="Note 4 5 4 2" xfId="8101"/>
    <cellStyle name="Note 4 5 4 3" xfId="12389"/>
    <cellStyle name="Note 4 5 4 4" xfId="16664"/>
    <cellStyle name="Note 4 5 4 5" xfId="20899"/>
    <cellStyle name="Note 4 5 4 6" xfId="25144"/>
    <cellStyle name="Note 4 5 4 7" xfId="29228"/>
    <cellStyle name="Note 4 5 5" xfId="4644"/>
    <cellStyle name="Note 4 5 5 2" xfId="9618"/>
    <cellStyle name="Note 4 5 5 3" xfId="13895"/>
    <cellStyle name="Note 4 5 5 4" xfId="18154"/>
    <cellStyle name="Note 4 5 5 5" xfId="22373"/>
    <cellStyle name="Note 4 5 5 6" xfId="26568"/>
    <cellStyle name="Note 4 5 5 7" xfId="30464"/>
    <cellStyle name="Note 4 5 6" xfId="5992"/>
    <cellStyle name="Note 4 5 6 2" xfId="10964"/>
    <cellStyle name="Note 4 5 6 3" xfId="15242"/>
    <cellStyle name="Note 4 5 6 4" xfId="19499"/>
    <cellStyle name="Note 4 5 6 5" xfId="23716"/>
    <cellStyle name="Note 4 5 6 6" xfId="27902"/>
    <cellStyle name="Note 4 5 6 7" xfId="31781"/>
    <cellStyle name="Note 4 5 7" xfId="6910"/>
    <cellStyle name="Note 4 5 8" xfId="7816"/>
    <cellStyle name="Note 4 5 9" xfId="12105"/>
    <cellStyle name="Note 4 6" xfId="941"/>
    <cellStyle name="Note 4 6 10" xfId="3127"/>
    <cellStyle name="Note 4 6 2" xfId="3956"/>
    <cellStyle name="Note 4 6 2 2" xfId="8932"/>
    <cellStyle name="Note 4 6 2 3" xfId="13217"/>
    <cellStyle name="Note 4 6 2 4" xfId="17489"/>
    <cellStyle name="Note 4 6 2 5" xfId="21723"/>
    <cellStyle name="Note 4 6 2 6" xfId="25962"/>
    <cellStyle name="Note 4 6 2 7" xfId="30035"/>
    <cellStyle name="Note 4 6 3" xfId="4972"/>
    <cellStyle name="Note 4 6 3 2" xfId="9946"/>
    <cellStyle name="Note 4 6 3 3" xfId="14223"/>
    <cellStyle name="Note 4 6 3 4" xfId="18482"/>
    <cellStyle name="Note 4 6 3 5" xfId="22701"/>
    <cellStyle name="Note 4 6 3 6" xfId="26896"/>
    <cellStyle name="Note 4 6 3 7" xfId="30792"/>
    <cellStyle name="Note 4 6 4" xfId="8103"/>
    <cellStyle name="Note 4 6 5" xfId="12391"/>
    <cellStyle name="Note 4 6 6" xfId="16666"/>
    <cellStyle name="Note 4 6 7" xfId="20901"/>
    <cellStyle name="Note 4 6 8" xfId="25146"/>
    <cellStyle name="Note 4 6 9" xfId="29230"/>
    <cellStyle name="Note 4 7" xfId="3184"/>
    <cellStyle name="Note 4 7 2" xfId="8160"/>
    <cellStyle name="Note 4 7 3" xfId="12446"/>
    <cellStyle name="Note 4 7 4" xfId="16720"/>
    <cellStyle name="Note 4 7 5" xfId="20956"/>
    <cellStyle name="Note 4 7 6" xfId="25196"/>
    <cellStyle name="Note 4 7 7" xfId="29277"/>
    <cellStyle name="Note 4 8" xfId="2271"/>
    <cellStyle name="Note 4 8 2" xfId="7249"/>
    <cellStyle name="Note 4 8 3" xfId="11539"/>
    <cellStyle name="Note 4 8 4" xfId="15818"/>
    <cellStyle name="Note 4 8 5" xfId="20073"/>
    <cellStyle name="Note 4 8 6" xfId="24323"/>
    <cellStyle name="Note 4 8 7" xfId="28468"/>
    <cellStyle name="Note 4 9" xfId="4309"/>
    <cellStyle name="Note 4 9 2" xfId="9283"/>
    <cellStyle name="Note 4 9 3" xfId="13560"/>
    <cellStyle name="Note 4 9 4" xfId="17820"/>
    <cellStyle name="Note 4 9 5" xfId="22039"/>
    <cellStyle name="Note 4 9 6" xfId="26237"/>
    <cellStyle name="Note 4 9 7" xfId="30134"/>
    <cellStyle name="Note 5" xfId="215"/>
    <cellStyle name="Note 5 2" xfId="398"/>
    <cellStyle name="Note 5 2 10" xfId="17674"/>
    <cellStyle name="Note 5 2 11" xfId="21895"/>
    <cellStyle name="Note 5 2 12" xfId="26115"/>
    <cellStyle name="Note 5 2 13" xfId="1761"/>
    <cellStyle name="Note 5 2 2" xfId="772"/>
    <cellStyle name="Note 5 2 2 10" xfId="19896"/>
    <cellStyle name="Note 5 2 2 11" xfId="24147"/>
    <cellStyle name="Note 5 2 2 12" xfId="28299"/>
    <cellStyle name="Note 5 2 2 13" xfId="2091"/>
    <cellStyle name="Note 5 2 2 2" xfId="1429"/>
    <cellStyle name="Note 5 2 2 2 10" xfId="3128"/>
    <cellStyle name="Note 5 2 2 2 2" xfId="3957"/>
    <cellStyle name="Note 5 2 2 2 2 2" xfId="8933"/>
    <cellStyle name="Note 5 2 2 2 2 3" xfId="13218"/>
    <cellStyle name="Note 5 2 2 2 2 4" xfId="17490"/>
    <cellStyle name="Note 5 2 2 2 2 5" xfId="21724"/>
    <cellStyle name="Note 5 2 2 2 2 6" xfId="25963"/>
    <cellStyle name="Note 5 2 2 2 2 7" xfId="30036"/>
    <cellStyle name="Note 5 2 2 2 3" xfId="5460"/>
    <cellStyle name="Note 5 2 2 2 3 2" xfId="10434"/>
    <cellStyle name="Note 5 2 2 2 3 3" xfId="14711"/>
    <cellStyle name="Note 5 2 2 2 3 4" xfId="18970"/>
    <cellStyle name="Note 5 2 2 2 3 5" xfId="23189"/>
    <cellStyle name="Note 5 2 2 2 3 6" xfId="27384"/>
    <cellStyle name="Note 5 2 2 2 3 7" xfId="31280"/>
    <cellStyle name="Note 5 2 2 2 4" xfId="8104"/>
    <cellStyle name="Note 5 2 2 2 5" xfId="12392"/>
    <cellStyle name="Note 5 2 2 2 6" xfId="16667"/>
    <cellStyle name="Note 5 2 2 2 7" xfId="20902"/>
    <cellStyle name="Note 5 2 2 2 8" xfId="25147"/>
    <cellStyle name="Note 5 2 2 2 9" xfId="29231"/>
    <cellStyle name="Note 5 2 2 3" xfId="3350"/>
    <cellStyle name="Note 5 2 2 3 2" xfId="8326"/>
    <cellStyle name="Note 5 2 2 3 3" xfId="12611"/>
    <cellStyle name="Note 5 2 2 3 4" xfId="16883"/>
    <cellStyle name="Note 5 2 2 3 5" xfId="21118"/>
    <cellStyle name="Note 5 2 2 3 6" xfId="25356"/>
    <cellStyle name="Note 5 2 2 3 7" xfId="29434"/>
    <cellStyle name="Note 5 2 2 4" xfId="2489"/>
    <cellStyle name="Note 5 2 2 4 2" xfId="7466"/>
    <cellStyle name="Note 5 2 2 4 3" xfId="11755"/>
    <cellStyle name="Note 5 2 2 4 4" xfId="16033"/>
    <cellStyle name="Note 5 2 2 4 5" xfId="20276"/>
    <cellStyle name="Note 5 2 2 4 6" xfId="24522"/>
    <cellStyle name="Note 5 2 2 4 7" xfId="28627"/>
    <cellStyle name="Note 5 2 2 5" xfId="4803"/>
    <cellStyle name="Note 5 2 2 5 2" xfId="9777"/>
    <cellStyle name="Note 5 2 2 5 3" xfId="14054"/>
    <cellStyle name="Note 5 2 2 5 4" xfId="18313"/>
    <cellStyle name="Note 5 2 2 5 5" xfId="22532"/>
    <cellStyle name="Note 5 2 2 5 6" xfId="26727"/>
    <cellStyle name="Note 5 2 2 5 7" xfId="30623"/>
    <cellStyle name="Note 5 2 2 6" xfId="6151"/>
    <cellStyle name="Note 5 2 2 6 2" xfId="11123"/>
    <cellStyle name="Note 5 2 2 6 3" xfId="15401"/>
    <cellStyle name="Note 5 2 2 6 4" xfId="19658"/>
    <cellStyle name="Note 5 2 2 6 5" xfId="23875"/>
    <cellStyle name="Note 5 2 2 6 6" xfId="28061"/>
    <cellStyle name="Note 5 2 2 6 7" xfId="31940"/>
    <cellStyle name="Note 5 2 2 7" xfId="7069"/>
    <cellStyle name="Note 5 2 2 8" xfId="11361"/>
    <cellStyle name="Note 5 2 2 9" xfId="15639"/>
    <cellStyle name="Note 5 2 3" xfId="1100"/>
    <cellStyle name="Note 5 2 3 2" xfId="5131"/>
    <cellStyle name="Note 5 2 3 2 2" xfId="10105"/>
    <cellStyle name="Note 5 2 3 2 3" xfId="14382"/>
    <cellStyle name="Note 5 2 3 2 4" xfId="18641"/>
    <cellStyle name="Note 5 2 3 2 5" xfId="22860"/>
    <cellStyle name="Note 5 2 3 2 6" xfId="27055"/>
    <cellStyle name="Note 5 2 3 2 7" xfId="30951"/>
    <cellStyle name="Note 5 2 3 3" xfId="3301"/>
    <cellStyle name="Note 5 2 4" xfId="2434"/>
    <cellStyle name="Note 5 2 5" xfId="4473"/>
    <cellStyle name="Note 5 2 5 2" xfId="9447"/>
    <cellStyle name="Note 5 2 5 3" xfId="13724"/>
    <cellStyle name="Note 5 2 5 4" xfId="17984"/>
    <cellStyle name="Note 5 2 5 5" xfId="22202"/>
    <cellStyle name="Note 5 2 5 6" xfId="26398"/>
    <cellStyle name="Note 5 2 5 7" xfId="30294"/>
    <cellStyle name="Note 5 2 6" xfId="5822"/>
    <cellStyle name="Note 5 2 6 2" xfId="10794"/>
    <cellStyle name="Note 5 2 6 3" xfId="15072"/>
    <cellStyle name="Note 5 2 6 4" xfId="19329"/>
    <cellStyle name="Note 5 2 6 5" xfId="23546"/>
    <cellStyle name="Note 5 2 6 6" xfId="27732"/>
    <cellStyle name="Note 5 2 6 7" xfId="31611"/>
    <cellStyle name="Note 5 2 7" xfId="6696"/>
    <cellStyle name="Note 5 2 8" xfId="9127"/>
    <cellStyle name="Note 5 2 9" xfId="13407"/>
    <cellStyle name="Note 5 3" xfId="339"/>
    <cellStyle name="Note 5 3 10" xfId="21979"/>
    <cellStyle name="Note 5 3 11" xfId="26182"/>
    <cellStyle name="Note 5 3 12" xfId="1708"/>
    <cellStyle name="Note 5 3 2" xfId="719"/>
    <cellStyle name="Note 5 3 2 10" xfId="28246"/>
    <cellStyle name="Note 5 3 2 11" xfId="2038"/>
    <cellStyle name="Note 5 3 2 2" xfId="1376"/>
    <cellStyle name="Note 5 3 2 2 2" xfId="5407"/>
    <cellStyle name="Note 5 3 2 2 2 2" xfId="10381"/>
    <cellStyle name="Note 5 3 2 2 2 3" xfId="14658"/>
    <cellStyle name="Note 5 3 2 2 2 4" xfId="18917"/>
    <cellStyle name="Note 5 3 2 2 2 5" xfId="23136"/>
    <cellStyle name="Note 5 3 2 2 2 6" xfId="27331"/>
    <cellStyle name="Note 5 3 2 2 2 7" xfId="31227"/>
    <cellStyle name="Note 5 3 2 2 3" xfId="8934"/>
    <cellStyle name="Note 5 3 2 2 4" xfId="13219"/>
    <cellStyle name="Note 5 3 2 2 5" xfId="17491"/>
    <cellStyle name="Note 5 3 2 2 6" xfId="21725"/>
    <cellStyle name="Note 5 3 2 2 7" xfId="25964"/>
    <cellStyle name="Note 5 3 2 2 8" xfId="30037"/>
    <cellStyle name="Note 5 3 2 2 9" xfId="3958"/>
    <cellStyle name="Note 5 3 2 3" xfId="4750"/>
    <cellStyle name="Note 5 3 2 3 2" xfId="9724"/>
    <cellStyle name="Note 5 3 2 3 3" xfId="14001"/>
    <cellStyle name="Note 5 3 2 3 4" xfId="18260"/>
    <cellStyle name="Note 5 3 2 3 5" xfId="22479"/>
    <cellStyle name="Note 5 3 2 3 6" xfId="26674"/>
    <cellStyle name="Note 5 3 2 3 7" xfId="30570"/>
    <cellStyle name="Note 5 3 2 4" xfId="6098"/>
    <cellStyle name="Note 5 3 2 4 2" xfId="11070"/>
    <cellStyle name="Note 5 3 2 4 3" xfId="15348"/>
    <cellStyle name="Note 5 3 2 4 4" xfId="19605"/>
    <cellStyle name="Note 5 3 2 4 5" xfId="23822"/>
    <cellStyle name="Note 5 3 2 4 6" xfId="28008"/>
    <cellStyle name="Note 5 3 2 4 7" xfId="31887"/>
    <cellStyle name="Note 5 3 2 5" xfId="7016"/>
    <cellStyle name="Note 5 3 2 6" xfId="11308"/>
    <cellStyle name="Note 5 3 2 7" xfId="15586"/>
    <cellStyle name="Note 5 3 2 8" xfId="19843"/>
    <cellStyle name="Note 5 3 2 9" xfId="24094"/>
    <cellStyle name="Note 5 3 3" xfId="1047"/>
    <cellStyle name="Note 5 3 3 2" xfId="5078"/>
    <cellStyle name="Note 5 3 3 2 2" xfId="10052"/>
    <cellStyle name="Note 5 3 3 2 3" xfId="14329"/>
    <cellStyle name="Note 5 3 3 2 4" xfId="18588"/>
    <cellStyle name="Note 5 3 3 2 5" xfId="22807"/>
    <cellStyle name="Note 5 3 3 2 6" xfId="27002"/>
    <cellStyle name="Note 5 3 3 2 7" xfId="30898"/>
    <cellStyle name="Note 5 3 3 3" xfId="8105"/>
    <cellStyle name="Note 5 3 3 4" xfId="12393"/>
    <cellStyle name="Note 5 3 3 5" xfId="16668"/>
    <cellStyle name="Note 5 3 3 6" xfId="20903"/>
    <cellStyle name="Note 5 3 3 7" xfId="25148"/>
    <cellStyle name="Note 5 3 3 8" xfId="29232"/>
    <cellStyle name="Note 5 3 3 9" xfId="3129"/>
    <cellStyle name="Note 5 3 4" xfId="4420"/>
    <cellStyle name="Note 5 3 4 2" xfId="9394"/>
    <cellStyle name="Note 5 3 4 3" xfId="13671"/>
    <cellStyle name="Note 5 3 4 4" xfId="17931"/>
    <cellStyle name="Note 5 3 4 5" xfId="22149"/>
    <cellStyle name="Note 5 3 4 6" xfId="26345"/>
    <cellStyle name="Note 5 3 4 7" xfId="30241"/>
    <cellStyle name="Note 5 3 5" xfId="5769"/>
    <cellStyle name="Note 5 3 5 2" xfId="10741"/>
    <cellStyle name="Note 5 3 5 3" xfId="15019"/>
    <cellStyle name="Note 5 3 5 4" xfId="19276"/>
    <cellStyle name="Note 5 3 5 5" xfId="23493"/>
    <cellStyle name="Note 5 3 5 6" xfId="27679"/>
    <cellStyle name="Note 5 3 5 7" xfId="31558"/>
    <cellStyle name="Note 5 3 6" xfId="6637"/>
    <cellStyle name="Note 5 3 7" xfId="9224"/>
    <cellStyle name="Note 5 3 8" xfId="13502"/>
    <cellStyle name="Note 5 3 9" xfId="17763"/>
    <cellStyle name="Note 5 4" xfId="3259"/>
    <cellStyle name="Note 5 4 2" xfId="8235"/>
    <cellStyle name="Note 5 4 3" xfId="12520"/>
    <cellStyle name="Note 5 4 4" xfId="16793"/>
    <cellStyle name="Note 5 4 5" xfId="21029"/>
    <cellStyle name="Note 5 4 6" xfId="25267"/>
    <cellStyle name="Note 5 4 7" xfId="29345"/>
    <cellStyle name="Note 5 5" xfId="2375"/>
    <cellStyle name="Note 5 5 2" xfId="7353"/>
    <cellStyle name="Note 5 5 3" xfId="11642"/>
    <cellStyle name="Note 5 5 4" xfId="15920"/>
    <cellStyle name="Note 5 5 5" xfId="20169"/>
    <cellStyle name="Note 5 5 6" xfId="24417"/>
    <cellStyle name="Note 5 5 7" xfId="28537"/>
    <cellStyle name="Note 6" xfId="252"/>
    <cellStyle name="Note 6 10" xfId="13370"/>
    <cellStyle name="Note 6 11" xfId="17639"/>
    <cellStyle name="Note 6 12" xfId="21929"/>
    <cellStyle name="Note 6 13" xfId="26085"/>
    <cellStyle name="Note 6 14" xfId="1653"/>
    <cellStyle name="Note 6 2" xfId="429"/>
    <cellStyle name="Note 6 2 10" xfId="17642"/>
    <cellStyle name="Note 6 2 11" xfId="20111"/>
    <cellStyle name="Note 6 2 12" xfId="26088"/>
    <cellStyle name="Note 6 2 13" xfId="1792"/>
    <cellStyle name="Note 6 2 2" xfId="803"/>
    <cellStyle name="Note 6 2 2 10" xfId="24178"/>
    <cellStyle name="Note 6 2 2 11" xfId="28330"/>
    <cellStyle name="Note 6 2 2 12" xfId="2122"/>
    <cellStyle name="Note 6 2 2 2" xfId="1460"/>
    <cellStyle name="Note 6 2 2 2 2" xfId="5491"/>
    <cellStyle name="Note 6 2 2 2 2 2" xfId="10465"/>
    <cellStyle name="Note 6 2 2 2 2 3" xfId="14742"/>
    <cellStyle name="Note 6 2 2 2 2 4" xfId="19001"/>
    <cellStyle name="Note 6 2 2 2 2 5" xfId="23220"/>
    <cellStyle name="Note 6 2 2 2 2 6" xfId="27415"/>
    <cellStyle name="Note 6 2 2 2 2 7" xfId="31311"/>
    <cellStyle name="Note 6 2 2 2 3" xfId="8935"/>
    <cellStyle name="Note 6 2 2 2 4" xfId="13220"/>
    <cellStyle name="Note 6 2 2 2 5" xfId="17492"/>
    <cellStyle name="Note 6 2 2 2 6" xfId="21726"/>
    <cellStyle name="Note 6 2 2 2 7" xfId="25965"/>
    <cellStyle name="Note 6 2 2 2 8" xfId="30038"/>
    <cellStyle name="Note 6 2 2 2 9" xfId="3959"/>
    <cellStyle name="Note 6 2 2 3" xfId="3130"/>
    <cellStyle name="Note 6 2 2 3 2" xfId="8106"/>
    <cellStyle name="Note 6 2 2 3 3" xfId="12394"/>
    <cellStyle name="Note 6 2 2 3 4" xfId="16669"/>
    <cellStyle name="Note 6 2 2 3 5" xfId="20904"/>
    <cellStyle name="Note 6 2 2 3 6" xfId="25149"/>
    <cellStyle name="Note 6 2 2 3 7" xfId="29233"/>
    <cellStyle name="Note 6 2 2 4" xfId="4834"/>
    <cellStyle name="Note 6 2 2 4 2" xfId="9808"/>
    <cellStyle name="Note 6 2 2 4 3" xfId="14085"/>
    <cellStyle name="Note 6 2 2 4 4" xfId="18344"/>
    <cellStyle name="Note 6 2 2 4 5" xfId="22563"/>
    <cellStyle name="Note 6 2 2 4 6" xfId="26758"/>
    <cellStyle name="Note 6 2 2 4 7" xfId="30654"/>
    <cellStyle name="Note 6 2 2 5" xfId="6182"/>
    <cellStyle name="Note 6 2 2 5 2" xfId="11154"/>
    <cellStyle name="Note 6 2 2 5 3" xfId="15432"/>
    <cellStyle name="Note 6 2 2 5 4" xfId="19689"/>
    <cellStyle name="Note 6 2 2 5 5" xfId="23906"/>
    <cellStyle name="Note 6 2 2 5 6" xfId="28092"/>
    <cellStyle name="Note 6 2 2 5 7" xfId="31971"/>
    <cellStyle name="Note 6 2 2 6" xfId="7100"/>
    <cellStyle name="Note 6 2 2 7" xfId="11392"/>
    <cellStyle name="Note 6 2 2 8" xfId="15670"/>
    <cellStyle name="Note 6 2 2 9" xfId="19927"/>
    <cellStyle name="Note 6 2 3" xfId="1131"/>
    <cellStyle name="Note 6 2 3 2" xfId="5162"/>
    <cellStyle name="Note 6 2 3 2 2" xfId="10136"/>
    <cellStyle name="Note 6 2 3 2 3" xfId="14413"/>
    <cellStyle name="Note 6 2 3 2 4" xfId="18672"/>
    <cellStyle name="Note 6 2 3 2 5" xfId="22891"/>
    <cellStyle name="Note 6 2 3 2 6" xfId="27086"/>
    <cellStyle name="Note 6 2 3 2 7" xfId="30982"/>
    <cellStyle name="Note 6 2 3 3" xfId="8357"/>
    <cellStyle name="Note 6 2 3 4" xfId="12642"/>
    <cellStyle name="Note 6 2 3 5" xfId="16914"/>
    <cellStyle name="Note 6 2 3 6" xfId="21149"/>
    <cellStyle name="Note 6 2 3 7" xfId="25387"/>
    <cellStyle name="Note 6 2 3 8" xfId="29465"/>
    <cellStyle name="Note 6 2 3 9" xfId="3381"/>
    <cellStyle name="Note 6 2 4" xfId="2520"/>
    <cellStyle name="Note 6 2 4 2" xfId="7497"/>
    <cellStyle name="Note 6 2 4 3" xfId="11786"/>
    <cellStyle name="Note 6 2 4 4" xfId="16064"/>
    <cellStyle name="Note 6 2 4 5" xfId="20307"/>
    <cellStyle name="Note 6 2 4 6" xfId="24553"/>
    <cellStyle name="Note 6 2 4 7" xfId="28658"/>
    <cellStyle name="Note 6 2 5" xfId="4504"/>
    <cellStyle name="Note 6 2 5 2" xfId="9478"/>
    <cellStyle name="Note 6 2 5 3" xfId="13755"/>
    <cellStyle name="Note 6 2 5 4" xfId="18015"/>
    <cellStyle name="Note 6 2 5 5" xfId="22233"/>
    <cellStyle name="Note 6 2 5 6" xfId="26429"/>
    <cellStyle name="Note 6 2 5 7" xfId="30325"/>
    <cellStyle name="Note 6 2 6" xfId="5853"/>
    <cellStyle name="Note 6 2 6 2" xfId="10825"/>
    <cellStyle name="Note 6 2 6 3" xfId="15103"/>
    <cellStyle name="Note 6 2 6 4" xfId="19360"/>
    <cellStyle name="Note 6 2 6 5" xfId="23577"/>
    <cellStyle name="Note 6 2 6 6" xfId="27763"/>
    <cellStyle name="Note 6 2 6 7" xfId="31642"/>
    <cellStyle name="Note 6 2 7" xfId="6727"/>
    <cellStyle name="Note 6 2 8" xfId="9091"/>
    <cellStyle name="Note 6 2 9" xfId="13373"/>
    <cellStyle name="Note 6 3" xfId="667"/>
    <cellStyle name="Note 6 3 10" xfId="11588"/>
    <cellStyle name="Note 6 3 11" xfId="24042"/>
    <cellStyle name="Note 6 3 12" xfId="21845"/>
    <cellStyle name="Note 6 3 13" xfId="1986"/>
    <cellStyle name="Note 6 3 2" xfId="1324"/>
    <cellStyle name="Note 6 3 2 10" xfId="3131"/>
    <cellStyle name="Note 6 3 2 2" xfId="3960"/>
    <cellStyle name="Note 6 3 2 2 2" xfId="8936"/>
    <cellStyle name="Note 6 3 2 2 3" xfId="13221"/>
    <cellStyle name="Note 6 3 2 2 4" xfId="17493"/>
    <cellStyle name="Note 6 3 2 2 5" xfId="21727"/>
    <cellStyle name="Note 6 3 2 2 6" xfId="25966"/>
    <cellStyle name="Note 6 3 2 2 7" xfId="30039"/>
    <cellStyle name="Note 6 3 2 3" xfId="5355"/>
    <cellStyle name="Note 6 3 2 3 2" xfId="10329"/>
    <cellStyle name="Note 6 3 2 3 3" xfId="14606"/>
    <cellStyle name="Note 6 3 2 3 4" xfId="18865"/>
    <cellStyle name="Note 6 3 2 3 5" xfId="23084"/>
    <cellStyle name="Note 6 3 2 3 6" xfId="27279"/>
    <cellStyle name="Note 6 3 2 3 7" xfId="31175"/>
    <cellStyle name="Note 6 3 2 4" xfId="8107"/>
    <cellStyle name="Note 6 3 2 5" xfId="12395"/>
    <cellStyle name="Note 6 3 2 6" xfId="16670"/>
    <cellStyle name="Note 6 3 2 7" xfId="20905"/>
    <cellStyle name="Note 6 3 2 8" xfId="25150"/>
    <cellStyle name="Note 6 3 2 9" xfId="29234"/>
    <cellStyle name="Note 6 3 3" xfId="3296"/>
    <cellStyle name="Note 6 3 3 2" xfId="8272"/>
    <cellStyle name="Note 6 3 3 3" xfId="12557"/>
    <cellStyle name="Note 6 3 3 4" xfId="16830"/>
    <cellStyle name="Note 6 3 3 5" xfId="21066"/>
    <cellStyle name="Note 6 3 3 6" xfId="25304"/>
    <cellStyle name="Note 6 3 3 7" xfId="29382"/>
    <cellStyle name="Note 6 3 4" xfId="2419"/>
    <cellStyle name="Note 6 3 4 2" xfId="7397"/>
    <cellStyle name="Note 6 3 4 3" xfId="11686"/>
    <cellStyle name="Note 6 3 4 4" xfId="15964"/>
    <cellStyle name="Note 6 3 4 5" xfId="20212"/>
    <cellStyle name="Note 6 3 4 6" xfId="24459"/>
    <cellStyle name="Note 6 3 4 7" xfId="28575"/>
    <cellStyle name="Note 6 3 5" xfId="4698"/>
    <cellStyle name="Note 6 3 5 2" xfId="9672"/>
    <cellStyle name="Note 6 3 5 3" xfId="13949"/>
    <cellStyle name="Note 6 3 5 4" xfId="18208"/>
    <cellStyle name="Note 6 3 5 5" xfId="22427"/>
    <cellStyle name="Note 6 3 5 6" xfId="26622"/>
    <cellStyle name="Note 6 3 5 7" xfId="30518"/>
    <cellStyle name="Note 6 3 6" xfId="6046"/>
    <cellStyle name="Note 6 3 6 2" xfId="11018"/>
    <cellStyle name="Note 6 3 6 3" xfId="15296"/>
    <cellStyle name="Note 6 3 6 4" xfId="19553"/>
    <cellStyle name="Note 6 3 6 5" xfId="23770"/>
    <cellStyle name="Note 6 3 6 6" xfId="27956"/>
    <cellStyle name="Note 6 3 6 7" xfId="31835"/>
    <cellStyle name="Note 6 3 7" xfId="6964"/>
    <cellStyle name="Note 6 3 8" xfId="6589"/>
    <cellStyle name="Note 6 3 9" xfId="7298"/>
    <cellStyle name="Note 6 4" xfId="995"/>
    <cellStyle name="Note 6 4 2" xfId="5026"/>
    <cellStyle name="Note 6 4 2 2" xfId="10000"/>
    <cellStyle name="Note 6 4 2 3" xfId="14277"/>
    <cellStyle name="Note 6 4 2 4" xfId="18536"/>
    <cellStyle name="Note 6 4 2 5" xfId="22755"/>
    <cellStyle name="Note 6 4 2 6" xfId="26950"/>
    <cellStyle name="Note 6 4 2 7" xfId="30846"/>
    <cellStyle name="Note 6 4 3" xfId="3220"/>
    <cellStyle name="Note 6 5" xfId="2321"/>
    <cellStyle name="Note 6 6" xfId="4367"/>
    <cellStyle name="Note 6 6 2" xfId="9341"/>
    <cellStyle name="Note 6 6 3" xfId="13618"/>
    <cellStyle name="Note 6 6 4" xfId="17878"/>
    <cellStyle name="Note 6 6 5" xfId="22097"/>
    <cellStyle name="Note 6 6 6" xfId="26293"/>
    <cellStyle name="Note 6 6 7" xfId="30189"/>
    <cellStyle name="Note 6 7" xfId="5717"/>
    <cellStyle name="Note 6 7 2" xfId="10689"/>
    <cellStyle name="Note 6 7 3" xfId="14967"/>
    <cellStyle name="Note 6 7 4" xfId="19224"/>
    <cellStyle name="Note 6 7 5" xfId="23441"/>
    <cellStyle name="Note 6 7 6" xfId="27627"/>
    <cellStyle name="Note 6 7 7" xfId="31506"/>
    <cellStyle name="Note 6 8" xfId="6550"/>
    <cellStyle name="Note 6 9" xfId="9088"/>
    <cellStyle name="Note 7" xfId="587"/>
    <cellStyle name="Note 7 2" xfId="3132"/>
    <cellStyle name="Note 7 2 2" xfId="3961"/>
    <cellStyle name="Note 7 2 2 2" xfId="8937"/>
    <cellStyle name="Note 7 2 2 3" xfId="13222"/>
    <cellStyle name="Note 7 2 2 4" xfId="17494"/>
    <cellStyle name="Note 7 2 2 5" xfId="21728"/>
    <cellStyle name="Note 7 2 2 6" xfId="25967"/>
    <cellStyle name="Note 7 2 2 7" xfId="30040"/>
    <cellStyle name="Note 7 2 3" xfId="8108"/>
    <cellStyle name="Note 7 2 4" xfId="12396"/>
    <cellStyle name="Note 7 2 5" xfId="16671"/>
    <cellStyle name="Note 7 2 6" xfId="20906"/>
    <cellStyle name="Note 7 2 7" xfId="25151"/>
    <cellStyle name="Note 7 2 8" xfId="29235"/>
    <cellStyle name="Note 7 3" xfId="3446"/>
    <cellStyle name="Note 7 3 2" xfId="8422"/>
    <cellStyle name="Note 7 3 3" xfId="12707"/>
    <cellStyle name="Note 7 3 4" xfId="16979"/>
    <cellStyle name="Note 7 3 5" xfId="21214"/>
    <cellStyle name="Note 7 3 6" xfId="25452"/>
    <cellStyle name="Note 7 3 7" xfId="29530"/>
    <cellStyle name="Note 7 4" xfId="2587"/>
    <cellStyle name="Note 7 4 2" xfId="7564"/>
    <cellStyle name="Note 7 4 3" xfId="11853"/>
    <cellStyle name="Note 7 4 4" xfId="16129"/>
    <cellStyle name="Note 7 4 5" xfId="20372"/>
    <cellStyle name="Note 7 4 6" xfId="24618"/>
    <cellStyle name="Note 7 4 7" xfId="28723"/>
    <cellStyle name="Note 8" xfId="3133"/>
    <cellStyle name="Note 8 2" xfId="3962"/>
    <cellStyle name="Note 9" xfId="3134"/>
    <cellStyle name="Note 9 2" xfId="3963"/>
    <cellStyle name="Note 9 2 2" xfId="8939"/>
    <cellStyle name="Note 9 2 3" xfId="13223"/>
    <cellStyle name="Note 9 2 4" xfId="17496"/>
    <cellStyle name="Note 9 2 5" xfId="21730"/>
    <cellStyle name="Note 9 2 6" xfId="25968"/>
    <cellStyle name="Note 9 2 7" xfId="30041"/>
    <cellStyle name="Note 9 3" xfId="8110"/>
    <cellStyle name="Note 9 4" xfId="12398"/>
    <cellStyle name="Note 9 5" xfId="16673"/>
    <cellStyle name="Note 9 6" xfId="20908"/>
    <cellStyle name="Note 9 7" xfId="25152"/>
    <cellStyle name="Note 9 8" xfId="29236"/>
    <cellStyle name="Output" xfId="47" builtinId="21" customBuiltin="1"/>
    <cellStyle name="Output 2" xfId="65"/>
    <cellStyle name="Output 2 2" xfId="5641"/>
    <cellStyle name="Output 3" xfId="159"/>
    <cellStyle name="Output 3 2" xfId="3135"/>
    <cellStyle name="Output 3 2 2" xfId="3964"/>
    <cellStyle name="Output 3 3" xfId="3162"/>
    <cellStyle name="Output 4" xfId="216"/>
    <cellStyle name="Output 4 2" xfId="3239"/>
    <cellStyle name="Output 5" xfId="588"/>
    <cellStyle name="Output 5 2" xfId="3965"/>
    <cellStyle name="Parent row" xfId="4065"/>
    <cellStyle name="Percent" xfId="48" builtinId="5"/>
    <cellStyle name="Percent 2" xfId="49"/>
    <cellStyle name="Percent 2 2" xfId="180"/>
    <cellStyle name="Percent 2 2 10" xfId="4338"/>
    <cellStyle name="Percent 2 2 10 2" xfId="9312"/>
    <cellStyle name="Percent 2 2 10 3" xfId="13589"/>
    <cellStyle name="Percent 2 2 10 4" xfId="17849"/>
    <cellStyle name="Percent 2 2 10 5" xfId="22068"/>
    <cellStyle name="Percent 2 2 10 6" xfId="26266"/>
    <cellStyle name="Percent 2 2 10 7" xfId="30163"/>
    <cellStyle name="Percent 2 2 11" xfId="5693"/>
    <cellStyle name="Percent 2 2 11 2" xfId="10665"/>
    <cellStyle name="Percent 2 2 11 3" xfId="14943"/>
    <cellStyle name="Percent 2 2 11 4" xfId="19200"/>
    <cellStyle name="Percent 2 2 11 5" xfId="23417"/>
    <cellStyle name="Percent 2 2 11 6" xfId="27603"/>
    <cellStyle name="Percent 2 2 11 7" xfId="31482"/>
    <cellStyle name="Percent 2 2 12" xfId="6479"/>
    <cellStyle name="Percent 2 2 13" xfId="8965"/>
    <cellStyle name="Percent 2 2 14" xfId="13247"/>
    <cellStyle name="Percent 2 2 15" xfId="17521"/>
    <cellStyle name="Percent 2 2 16" xfId="17697"/>
    <cellStyle name="Percent 2 2 17" xfId="25988"/>
    <cellStyle name="Percent 2 2 18" xfId="1628"/>
    <cellStyle name="Percent 2 2 2" xfId="275"/>
    <cellStyle name="Percent 2 2 2 10" xfId="13376"/>
    <cellStyle name="Percent 2 2 2 11" xfId="17645"/>
    <cellStyle name="Percent 2 2 2 12" xfId="21926"/>
    <cellStyle name="Percent 2 2 2 13" xfId="26091"/>
    <cellStyle name="Percent 2 2 2 14" xfId="1656"/>
    <cellStyle name="Percent 2 2 2 2" xfId="426"/>
    <cellStyle name="Percent 2 2 2 2 10" xfId="17726"/>
    <cellStyle name="Percent 2 2 2 2 11" xfId="21874"/>
    <cellStyle name="Percent 2 2 2 2 12" xfId="26154"/>
    <cellStyle name="Percent 2 2 2 2 13" xfId="1789"/>
    <cellStyle name="Percent 2 2 2 2 2" xfId="800"/>
    <cellStyle name="Percent 2 2 2 2 2 10" xfId="24175"/>
    <cellStyle name="Percent 2 2 2 2 2 11" xfId="28327"/>
    <cellStyle name="Percent 2 2 2 2 2 12" xfId="2119"/>
    <cellStyle name="Percent 2 2 2 2 2 2" xfId="1457"/>
    <cellStyle name="Percent 2 2 2 2 2 2 2" xfId="5488"/>
    <cellStyle name="Percent 2 2 2 2 2 2 2 2" xfId="10462"/>
    <cellStyle name="Percent 2 2 2 2 2 2 2 3" xfId="14739"/>
    <cellStyle name="Percent 2 2 2 2 2 2 2 4" xfId="18998"/>
    <cellStyle name="Percent 2 2 2 2 2 2 2 5" xfId="23217"/>
    <cellStyle name="Percent 2 2 2 2 2 2 2 6" xfId="27412"/>
    <cellStyle name="Percent 2 2 2 2 2 2 2 7" xfId="31308"/>
    <cellStyle name="Percent 2 2 2 2 2 2 3" xfId="8942"/>
    <cellStyle name="Percent 2 2 2 2 2 2 4" xfId="13225"/>
    <cellStyle name="Percent 2 2 2 2 2 2 5" xfId="17498"/>
    <cellStyle name="Percent 2 2 2 2 2 2 6" xfId="21733"/>
    <cellStyle name="Percent 2 2 2 2 2 2 7" xfId="25969"/>
    <cellStyle name="Percent 2 2 2 2 2 2 8" xfId="30042"/>
    <cellStyle name="Percent 2 2 2 2 2 2 9" xfId="3966"/>
    <cellStyle name="Percent 2 2 2 2 2 3" xfId="3136"/>
    <cellStyle name="Percent 2 2 2 2 2 3 2" xfId="8112"/>
    <cellStyle name="Percent 2 2 2 2 2 3 3" xfId="12399"/>
    <cellStyle name="Percent 2 2 2 2 2 3 4" xfId="16674"/>
    <cellStyle name="Percent 2 2 2 2 2 3 5" xfId="20910"/>
    <cellStyle name="Percent 2 2 2 2 2 3 6" xfId="25153"/>
    <cellStyle name="Percent 2 2 2 2 2 3 7" xfId="29237"/>
    <cellStyle name="Percent 2 2 2 2 2 4" xfId="4831"/>
    <cellStyle name="Percent 2 2 2 2 2 4 2" xfId="9805"/>
    <cellStyle name="Percent 2 2 2 2 2 4 3" xfId="14082"/>
    <cellStyle name="Percent 2 2 2 2 2 4 4" xfId="18341"/>
    <cellStyle name="Percent 2 2 2 2 2 4 5" xfId="22560"/>
    <cellStyle name="Percent 2 2 2 2 2 4 6" xfId="26755"/>
    <cellStyle name="Percent 2 2 2 2 2 4 7" xfId="30651"/>
    <cellStyle name="Percent 2 2 2 2 2 5" xfId="6179"/>
    <cellStyle name="Percent 2 2 2 2 2 5 2" xfId="11151"/>
    <cellStyle name="Percent 2 2 2 2 2 5 3" xfId="15429"/>
    <cellStyle name="Percent 2 2 2 2 2 5 4" xfId="19686"/>
    <cellStyle name="Percent 2 2 2 2 2 5 5" xfId="23903"/>
    <cellStyle name="Percent 2 2 2 2 2 5 6" xfId="28089"/>
    <cellStyle name="Percent 2 2 2 2 2 5 7" xfId="31968"/>
    <cellStyle name="Percent 2 2 2 2 2 6" xfId="7097"/>
    <cellStyle name="Percent 2 2 2 2 2 7" xfId="11389"/>
    <cellStyle name="Percent 2 2 2 2 2 8" xfId="15667"/>
    <cellStyle name="Percent 2 2 2 2 2 9" xfId="19924"/>
    <cellStyle name="Percent 2 2 2 2 3" xfId="1128"/>
    <cellStyle name="Percent 2 2 2 2 3 2" xfId="5159"/>
    <cellStyle name="Percent 2 2 2 2 3 2 2" xfId="10133"/>
    <cellStyle name="Percent 2 2 2 2 3 2 3" xfId="14410"/>
    <cellStyle name="Percent 2 2 2 2 3 2 4" xfId="18669"/>
    <cellStyle name="Percent 2 2 2 2 3 2 5" xfId="22888"/>
    <cellStyle name="Percent 2 2 2 2 3 2 6" xfId="27083"/>
    <cellStyle name="Percent 2 2 2 2 3 2 7" xfId="30979"/>
    <cellStyle name="Percent 2 2 2 2 3 3" xfId="8354"/>
    <cellStyle name="Percent 2 2 2 2 3 4" xfId="12639"/>
    <cellStyle name="Percent 2 2 2 2 3 5" xfId="16911"/>
    <cellStyle name="Percent 2 2 2 2 3 6" xfId="21146"/>
    <cellStyle name="Percent 2 2 2 2 3 7" xfId="25384"/>
    <cellStyle name="Percent 2 2 2 2 3 8" xfId="29462"/>
    <cellStyle name="Percent 2 2 2 2 3 9" xfId="3378"/>
    <cellStyle name="Percent 2 2 2 2 4" xfId="2517"/>
    <cellStyle name="Percent 2 2 2 2 4 2" xfId="7494"/>
    <cellStyle name="Percent 2 2 2 2 4 3" xfId="11783"/>
    <cellStyle name="Percent 2 2 2 2 4 4" xfId="16061"/>
    <cellStyle name="Percent 2 2 2 2 4 5" xfId="20304"/>
    <cellStyle name="Percent 2 2 2 2 4 6" xfId="24550"/>
    <cellStyle name="Percent 2 2 2 2 4 7" xfId="28655"/>
    <cellStyle name="Percent 2 2 2 2 5" xfId="4501"/>
    <cellStyle name="Percent 2 2 2 2 5 2" xfId="9475"/>
    <cellStyle name="Percent 2 2 2 2 5 3" xfId="13752"/>
    <cellStyle name="Percent 2 2 2 2 5 4" xfId="18012"/>
    <cellStyle name="Percent 2 2 2 2 5 5" xfId="22230"/>
    <cellStyle name="Percent 2 2 2 2 5 6" xfId="26426"/>
    <cellStyle name="Percent 2 2 2 2 5 7" xfId="30322"/>
    <cellStyle name="Percent 2 2 2 2 6" xfId="5850"/>
    <cellStyle name="Percent 2 2 2 2 6 2" xfId="10822"/>
    <cellStyle name="Percent 2 2 2 2 6 3" xfId="15100"/>
    <cellStyle name="Percent 2 2 2 2 6 4" xfId="19357"/>
    <cellStyle name="Percent 2 2 2 2 6 5" xfId="23574"/>
    <cellStyle name="Percent 2 2 2 2 6 6" xfId="27760"/>
    <cellStyle name="Percent 2 2 2 2 6 7" xfId="31639"/>
    <cellStyle name="Percent 2 2 2 2 7" xfId="6724"/>
    <cellStyle name="Percent 2 2 2 2 8" xfId="9183"/>
    <cellStyle name="Percent 2 2 2 2 9" xfId="13463"/>
    <cellStyle name="Percent 2 2 2 3" xfId="670"/>
    <cellStyle name="Percent 2 2 2 3 10" xfId="24045"/>
    <cellStyle name="Percent 2 2 2 3 11" xfId="14863"/>
    <cellStyle name="Percent 2 2 2 3 12" xfId="1989"/>
    <cellStyle name="Percent 2 2 2 3 2" xfId="1327"/>
    <cellStyle name="Percent 2 2 2 3 2 2" xfId="5358"/>
    <cellStyle name="Percent 2 2 2 3 2 2 2" xfId="10332"/>
    <cellStyle name="Percent 2 2 2 3 2 2 3" xfId="14609"/>
    <cellStyle name="Percent 2 2 2 3 2 2 4" xfId="18868"/>
    <cellStyle name="Percent 2 2 2 3 2 2 5" xfId="23087"/>
    <cellStyle name="Percent 2 2 2 3 2 2 6" xfId="27282"/>
    <cellStyle name="Percent 2 2 2 3 2 2 7" xfId="31178"/>
    <cellStyle name="Percent 2 2 2 3 2 3" xfId="8943"/>
    <cellStyle name="Percent 2 2 2 3 2 4" xfId="13226"/>
    <cellStyle name="Percent 2 2 2 3 2 5" xfId="17499"/>
    <cellStyle name="Percent 2 2 2 3 2 6" xfId="21734"/>
    <cellStyle name="Percent 2 2 2 3 2 7" xfId="25970"/>
    <cellStyle name="Percent 2 2 2 3 2 8" xfId="30043"/>
    <cellStyle name="Percent 2 2 2 3 2 9" xfId="3967"/>
    <cellStyle name="Percent 2 2 2 3 3" xfId="3137"/>
    <cellStyle name="Percent 2 2 2 3 3 2" xfId="8113"/>
    <cellStyle name="Percent 2 2 2 3 3 3" xfId="12400"/>
    <cellStyle name="Percent 2 2 2 3 3 4" xfId="16675"/>
    <cellStyle name="Percent 2 2 2 3 3 5" xfId="20911"/>
    <cellStyle name="Percent 2 2 2 3 3 6" xfId="25154"/>
    <cellStyle name="Percent 2 2 2 3 3 7" xfId="29238"/>
    <cellStyle name="Percent 2 2 2 3 4" xfId="4701"/>
    <cellStyle name="Percent 2 2 2 3 4 2" xfId="9675"/>
    <cellStyle name="Percent 2 2 2 3 4 3" xfId="13952"/>
    <cellStyle name="Percent 2 2 2 3 4 4" xfId="18211"/>
    <cellStyle name="Percent 2 2 2 3 4 5" xfId="22430"/>
    <cellStyle name="Percent 2 2 2 3 4 6" xfId="26625"/>
    <cellStyle name="Percent 2 2 2 3 4 7" xfId="30521"/>
    <cellStyle name="Percent 2 2 2 3 5" xfId="6049"/>
    <cellStyle name="Percent 2 2 2 3 5 2" xfId="11021"/>
    <cellStyle name="Percent 2 2 2 3 5 3" xfId="15299"/>
    <cellStyle name="Percent 2 2 2 3 5 4" xfId="19556"/>
    <cellStyle name="Percent 2 2 2 3 5 5" xfId="23773"/>
    <cellStyle name="Percent 2 2 2 3 5 6" xfId="27959"/>
    <cellStyle name="Percent 2 2 2 3 5 7" xfId="31838"/>
    <cellStyle name="Percent 2 2 2 3 6" xfId="6967"/>
    <cellStyle name="Percent 2 2 2 3 7" xfId="6421"/>
    <cellStyle name="Percent 2 2 2 3 8" xfId="6487"/>
    <cellStyle name="Percent 2 2 2 3 9" xfId="6576"/>
    <cellStyle name="Percent 2 2 2 4" xfId="998"/>
    <cellStyle name="Percent 2 2 2 4 2" xfId="5029"/>
    <cellStyle name="Percent 2 2 2 4 2 2" xfId="10003"/>
    <cellStyle name="Percent 2 2 2 4 2 3" xfId="14280"/>
    <cellStyle name="Percent 2 2 2 4 2 4" xfId="18539"/>
    <cellStyle name="Percent 2 2 2 4 2 5" xfId="22758"/>
    <cellStyle name="Percent 2 2 2 4 2 6" xfId="26953"/>
    <cellStyle name="Percent 2 2 2 4 2 7" xfId="30849"/>
    <cellStyle name="Percent 2 2 2 4 3" xfId="8264"/>
    <cellStyle name="Percent 2 2 2 4 4" xfId="12549"/>
    <cellStyle name="Percent 2 2 2 4 5" xfId="16822"/>
    <cellStyle name="Percent 2 2 2 4 6" xfId="21058"/>
    <cellStyle name="Percent 2 2 2 4 7" xfId="25296"/>
    <cellStyle name="Percent 2 2 2 4 8" xfId="29374"/>
    <cellStyle name="Percent 2 2 2 4 9" xfId="3288"/>
    <cellStyle name="Percent 2 2 2 5" xfId="2404"/>
    <cellStyle name="Percent 2 2 2 5 2" xfId="7382"/>
    <cellStyle name="Percent 2 2 2 5 3" xfId="11671"/>
    <cellStyle name="Percent 2 2 2 5 4" xfId="15949"/>
    <cellStyle name="Percent 2 2 2 5 5" xfId="20198"/>
    <cellStyle name="Percent 2 2 2 5 6" xfId="24446"/>
    <cellStyle name="Percent 2 2 2 5 7" xfId="28566"/>
    <cellStyle name="Percent 2 2 2 6" xfId="4370"/>
    <cellStyle name="Percent 2 2 2 6 2" xfId="9344"/>
    <cellStyle name="Percent 2 2 2 6 3" xfId="13621"/>
    <cellStyle name="Percent 2 2 2 6 4" xfId="17881"/>
    <cellStyle name="Percent 2 2 2 6 5" xfId="22100"/>
    <cellStyle name="Percent 2 2 2 6 6" xfId="26296"/>
    <cellStyle name="Percent 2 2 2 6 7" xfId="30192"/>
    <cellStyle name="Percent 2 2 2 7" xfId="5720"/>
    <cellStyle name="Percent 2 2 2 7 2" xfId="10692"/>
    <cellStyle name="Percent 2 2 2 7 3" xfId="14970"/>
    <cellStyle name="Percent 2 2 2 7 4" xfId="19227"/>
    <cellStyle name="Percent 2 2 2 7 5" xfId="23444"/>
    <cellStyle name="Percent 2 2 2 7 6" xfId="27630"/>
    <cellStyle name="Percent 2 2 2 7 7" xfId="31509"/>
    <cellStyle name="Percent 2 2 2 8" xfId="6573"/>
    <cellStyle name="Percent 2 2 2 9" xfId="9094"/>
    <cellStyle name="Percent 2 2 3" xfId="348"/>
    <cellStyle name="Percent 2 2 3 10" xfId="13327"/>
    <cellStyle name="Percent 2 2 3 11" xfId="17599"/>
    <cellStyle name="Percent 2 2 3 12" xfId="21805"/>
    <cellStyle name="Percent 2 2 3 13" xfId="26051"/>
    <cellStyle name="Percent 2 2 3 14" xfId="1717"/>
    <cellStyle name="Percent 2 2 3 2" xfId="459"/>
    <cellStyle name="Percent 2 2 3 2 10" xfId="17533"/>
    <cellStyle name="Percent 2 2 3 2 11" xfId="17761"/>
    <cellStyle name="Percent 2 2 3 2 12" xfId="25998"/>
    <cellStyle name="Percent 2 2 3 2 13" xfId="1822"/>
    <cellStyle name="Percent 2 2 3 2 2" xfId="833"/>
    <cellStyle name="Percent 2 2 3 2 2 10" xfId="24208"/>
    <cellStyle name="Percent 2 2 3 2 2 11" xfId="28360"/>
    <cellStyle name="Percent 2 2 3 2 2 12" xfId="2152"/>
    <cellStyle name="Percent 2 2 3 2 2 2" xfId="1490"/>
    <cellStyle name="Percent 2 2 3 2 2 2 2" xfId="5521"/>
    <cellStyle name="Percent 2 2 3 2 2 2 2 2" xfId="10495"/>
    <cellStyle name="Percent 2 2 3 2 2 2 2 3" xfId="14772"/>
    <cellStyle name="Percent 2 2 3 2 2 2 2 4" xfId="19031"/>
    <cellStyle name="Percent 2 2 3 2 2 2 2 5" xfId="23250"/>
    <cellStyle name="Percent 2 2 3 2 2 2 2 6" xfId="27445"/>
    <cellStyle name="Percent 2 2 3 2 2 2 2 7" xfId="31341"/>
    <cellStyle name="Percent 2 2 3 2 2 2 3" xfId="8944"/>
    <cellStyle name="Percent 2 2 3 2 2 2 4" xfId="13227"/>
    <cellStyle name="Percent 2 2 3 2 2 2 5" xfId="17500"/>
    <cellStyle name="Percent 2 2 3 2 2 2 6" xfId="21735"/>
    <cellStyle name="Percent 2 2 3 2 2 2 7" xfId="25971"/>
    <cellStyle name="Percent 2 2 3 2 2 2 8" xfId="30044"/>
    <cellStyle name="Percent 2 2 3 2 2 2 9" xfId="3968"/>
    <cellStyle name="Percent 2 2 3 2 2 3" xfId="3138"/>
    <cellStyle name="Percent 2 2 3 2 2 3 2" xfId="8114"/>
    <cellStyle name="Percent 2 2 3 2 2 3 3" xfId="12401"/>
    <cellStyle name="Percent 2 2 3 2 2 3 4" xfId="16676"/>
    <cellStyle name="Percent 2 2 3 2 2 3 5" xfId="20912"/>
    <cellStyle name="Percent 2 2 3 2 2 3 6" xfId="25155"/>
    <cellStyle name="Percent 2 2 3 2 2 3 7" xfId="29239"/>
    <cellStyle name="Percent 2 2 3 2 2 4" xfId="4864"/>
    <cellStyle name="Percent 2 2 3 2 2 4 2" xfId="9838"/>
    <cellStyle name="Percent 2 2 3 2 2 4 3" xfId="14115"/>
    <cellStyle name="Percent 2 2 3 2 2 4 4" xfId="18374"/>
    <cellStyle name="Percent 2 2 3 2 2 4 5" xfId="22593"/>
    <cellStyle name="Percent 2 2 3 2 2 4 6" xfId="26788"/>
    <cellStyle name="Percent 2 2 3 2 2 4 7" xfId="30684"/>
    <cellStyle name="Percent 2 2 3 2 2 5" xfId="6212"/>
    <cellStyle name="Percent 2 2 3 2 2 5 2" xfId="11184"/>
    <cellStyle name="Percent 2 2 3 2 2 5 3" xfId="15462"/>
    <cellStyle name="Percent 2 2 3 2 2 5 4" xfId="19719"/>
    <cellStyle name="Percent 2 2 3 2 2 5 5" xfId="23936"/>
    <cellStyle name="Percent 2 2 3 2 2 5 6" xfId="28122"/>
    <cellStyle name="Percent 2 2 3 2 2 5 7" xfId="32001"/>
    <cellStyle name="Percent 2 2 3 2 2 6" xfId="7130"/>
    <cellStyle name="Percent 2 2 3 2 2 7" xfId="11422"/>
    <cellStyle name="Percent 2 2 3 2 2 8" xfId="15700"/>
    <cellStyle name="Percent 2 2 3 2 2 9" xfId="19957"/>
    <cellStyle name="Percent 2 2 3 2 3" xfId="1161"/>
    <cellStyle name="Percent 2 2 3 2 3 2" xfId="5192"/>
    <cellStyle name="Percent 2 2 3 2 3 2 2" xfId="10166"/>
    <cellStyle name="Percent 2 2 3 2 3 2 3" xfId="14443"/>
    <cellStyle name="Percent 2 2 3 2 3 2 4" xfId="18702"/>
    <cellStyle name="Percent 2 2 3 2 3 2 5" xfId="22921"/>
    <cellStyle name="Percent 2 2 3 2 3 2 6" xfId="27116"/>
    <cellStyle name="Percent 2 2 3 2 3 2 7" xfId="31012"/>
    <cellStyle name="Percent 2 2 3 2 3 3" xfId="8387"/>
    <cellStyle name="Percent 2 2 3 2 3 4" xfId="12672"/>
    <cellStyle name="Percent 2 2 3 2 3 5" xfId="16944"/>
    <cellStyle name="Percent 2 2 3 2 3 6" xfId="21179"/>
    <cellStyle name="Percent 2 2 3 2 3 7" xfId="25417"/>
    <cellStyle name="Percent 2 2 3 2 3 8" xfId="29495"/>
    <cellStyle name="Percent 2 2 3 2 3 9" xfId="3411"/>
    <cellStyle name="Percent 2 2 3 2 4" xfId="2550"/>
    <cellStyle name="Percent 2 2 3 2 4 2" xfId="7527"/>
    <cellStyle name="Percent 2 2 3 2 4 3" xfId="11816"/>
    <cellStyle name="Percent 2 2 3 2 4 4" xfId="16094"/>
    <cellStyle name="Percent 2 2 3 2 4 5" xfId="20337"/>
    <cellStyle name="Percent 2 2 3 2 4 6" xfId="24583"/>
    <cellStyle name="Percent 2 2 3 2 4 7" xfId="28688"/>
    <cellStyle name="Percent 2 2 3 2 5" xfId="4534"/>
    <cellStyle name="Percent 2 2 3 2 5 2" xfId="9508"/>
    <cellStyle name="Percent 2 2 3 2 5 3" xfId="13785"/>
    <cellStyle name="Percent 2 2 3 2 5 4" xfId="18045"/>
    <cellStyle name="Percent 2 2 3 2 5 5" xfId="22263"/>
    <cellStyle name="Percent 2 2 3 2 5 6" xfId="26459"/>
    <cellStyle name="Percent 2 2 3 2 5 7" xfId="30355"/>
    <cellStyle name="Percent 2 2 3 2 6" xfId="5883"/>
    <cellStyle name="Percent 2 2 3 2 6 2" xfId="10855"/>
    <cellStyle name="Percent 2 2 3 2 6 3" xfId="15133"/>
    <cellStyle name="Percent 2 2 3 2 6 4" xfId="19390"/>
    <cellStyle name="Percent 2 2 3 2 6 5" xfId="23607"/>
    <cellStyle name="Percent 2 2 3 2 6 6" xfId="27793"/>
    <cellStyle name="Percent 2 2 3 2 6 7" xfId="31672"/>
    <cellStyle name="Percent 2 2 3 2 7" xfId="6757"/>
    <cellStyle name="Percent 2 2 3 2 8" xfId="8977"/>
    <cellStyle name="Percent 2 2 3 2 9" xfId="13259"/>
    <cellStyle name="Percent 2 2 3 3" xfId="728"/>
    <cellStyle name="Percent 2 2 3 3 10" xfId="24103"/>
    <cellStyle name="Percent 2 2 3 3 11" xfId="28255"/>
    <cellStyle name="Percent 2 2 3 3 12" xfId="2047"/>
    <cellStyle name="Percent 2 2 3 3 2" xfId="1385"/>
    <cellStyle name="Percent 2 2 3 3 2 2" xfId="5416"/>
    <cellStyle name="Percent 2 2 3 3 2 2 2" xfId="10390"/>
    <cellStyle name="Percent 2 2 3 3 2 2 3" xfId="14667"/>
    <cellStyle name="Percent 2 2 3 3 2 2 4" xfId="18926"/>
    <cellStyle name="Percent 2 2 3 3 2 2 5" xfId="23145"/>
    <cellStyle name="Percent 2 2 3 3 2 2 6" xfId="27340"/>
    <cellStyle name="Percent 2 2 3 3 2 2 7" xfId="31236"/>
    <cellStyle name="Percent 2 2 3 3 2 3" xfId="8945"/>
    <cellStyle name="Percent 2 2 3 3 2 4" xfId="13228"/>
    <cellStyle name="Percent 2 2 3 3 2 5" xfId="17501"/>
    <cellStyle name="Percent 2 2 3 3 2 6" xfId="21736"/>
    <cellStyle name="Percent 2 2 3 3 2 7" xfId="25972"/>
    <cellStyle name="Percent 2 2 3 3 2 8" xfId="30045"/>
    <cellStyle name="Percent 2 2 3 3 2 9" xfId="3969"/>
    <cellStyle name="Percent 2 2 3 3 3" xfId="3139"/>
    <cellStyle name="Percent 2 2 3 3 3 2" xfId="8115"/>
    <cellStyle name="Percent 2 2 3 3 3 3" xfId="12402"/>
    <cellStyle name="Percent 2 2 3 3 3 4" xfId="16677"/>
    <cellStyle name="Percent 2 2 3 3 3 5" xfId="20913"/>
    <cellStyle name="Percent 2 2 3 3 3 6" xfId="25156"/>
    <cellStyle name="Percent 2 2 3 3 3 7" xfId="29240"/>
    <cellStyle name="Percent 2 2 3 3 4" xfId="4759"/>
    <cellStyle name="Percent 2 2 3 3 4 2" xfId="9733"/>
    <cellStyle name="Percent 2 2 3 3 4 3" xfId="14010"/>
    <cellStyle name="Percent 2 2 3 3 4 4" xfId="18269"/>
    <cellStyle name="Percent 2 2 3 3 4 5" xfId="22488"/>
    <cellStyle name="Percent 2 2 3 3 4 6" xfId="26683"/>
    <cellStyle name="Percent 2 2 3 3 4 7" xfId="30579"/>
    <cellStyle name="Percent 2 2 3 3 5" xfId="6107"/>
    <cellStyle name="Percent 2 2 3 3 5 2" xfId="11079"/>
    <cellStyle name="Percent 2 2 3 3 5 3" xfId="15357"/>
    <cellStyle name="Percent 2 2 3 3 5 4" xfId="19614"/>
    <cellStyle name="Percent 2 2 3 3 5 5" xfId="23831"/>
    <cellStyle name="Percent 2 2 3 3 5 6" xfId="28017"/>
    <cellStyle name="Percent 2 2 3 3 5 7" xfId="31896"/>
    <cellStyle name="Percent 2 2 3 3 6" xfId="7025"/>
    <cellStyle name="Percent 2 2 3 3 7" xfId="11317"/>
    <cellStyle name="Percent 2 2 3 3 8" xfId="15595"/>
    <cellStyle name="Percent 2 2 3 3 9" xfId="19852"/>
    <cellStyle name="Percent 2 2 3 4" xfId="1056"/>
    <cellStyle name="Percent 2 2 3 4 2" xfId="5087"/>
    <cellStyle name="Percent 2 2 3 4 2 2" xfId="10061"/>
    <cellStyle name="Percent 2 2 3 4 2 3" xfId="14338"/>
    <cellStyle name="Percent 2 2 3 4 2 4" xfId="18597"/>
    <cellStyle name="Percent 2 2 3 4 2 5" xfId="22816"/>
    <cellStyle name="Percent 2 2 3 4 2 6" xfId="27011"/>
    <cellStyle name="Percent 2 2 3 4 2 7" xfId="30907"/>
    <cellStyle name="Percent 2 2 3 4 3" xfId="8232"/>
    <cellStyle name="Percent 2 2 3 4 4" xfId="12517"/>
    <cellStyle name="Percent 2 2 3 4 5" xfId="16790"/>
    <cellStyle name="Percent 2 2 3 4 6" xfId="21027"/>
    <cellStyle name="Percent 2 2 3 4 7" xfId="25264"/>
    <cellStyle name="Percent 2 2 3 4 8" xfId="29343"/>
    <cellStyle name="Percent 2 2 3 4 9" xfId="3256"/>
    <cellStyle name="Percent 2 2 3 5" xfId="2371"/>
    <cellStyle name="Percent 2 2 3 5 2" xfId="7349"/>
    <cellStyle name="Percent 2 2 3 5 3" xfId="11638"/>
    <cellStyle name="Percent 2 2 3 5 4" xfId="15917"/>
    <cellStyle name="Percent 2 2 3 5 5" xfId="20166"/>
    <cellStyle name="Percent 2 2 3 5 6" xfId="24414"/>
    <cellStyle name="Percent 2 2 3 5 7" xfId="28535"/>
    <cellStyle name="Percent 2 2 3 6" xfId="4429"/>
    <cellStyle name="Percent 2 2 3 6 2" xfId="9403"/>
    <cellStyle name="Percent 2 2 3 6 3" xfId="13680"/>
    <cellStyle name="Percent 2 2 3 6 4" xfId="17940"/>
    <cellStyle name="Percent 2 2 3 6 5" xfId="22158"/>
    <cellStyle name="Percent 2 2 3 6 6" xfId="26354"/>
    <cellStyle name="Percent 2 2 3 6 7" xfId="30250"/>
    <cellStyle name="Percent 2 2 3 7" xfId="5778"/>
    <cellStyle name="Percent 2 2 3 7 2" xfId="10750"/>
    <cellStyle name="Percent 2 2 3 7 3" xfId="15028"/>
    <cellStyle name="Percent 2 2 3 7 4" xfId="19285"/>
    <cellStyle name="Percent 2 2 3 7 5" xfId="23502"/>
    <cellStyle name="Percent 2 2 3 7 6" xfId="27688"/>
    <cellStyle name="Percent 2 2 3 7 7" xfId="31567"/>
    <cellStyle name="Percent 2 2 3 8" xfId="6646"/>
    <cellStyle name="Percent 2 2 3 9" xfId="9044"/>
    <cellStyle name="Percent 2 2 4" xfId="393"/>
    <cellStyle name="Percent 2 2 4 10" xfId="17693"/>
    <cellStyle name="Percent 2 2 4 11" xfId="21997"/>
    <cellStyle name="Percent 2 2 4 12" xfId="26130"/>
    <cellStyle name="Percent 2 2 4 13" xfId="1756"/>
    <cellStyle name="Percent 2 2 4 2" xfId="767"/>
    <cellStyle name="Percent 2 2 4 2 10" xfId="24142"/>
    <cellStyle name="Percent 2 2 4 2 11" xfId="28294"/>
    <cellStyle name="Percent 2 2 4 2 12" xfId="2086"/>
    <cellStyle name="Percent 2 2 4 2 2" xfId="1424"/>
    <cellStyle name="Percent 2 2 4 2 2 2" xfId="5455"/>
    <cellStyle name="Percent 2 2 4 2 2 2 2" xfId="10429"/>
    <cellStyle name="Percent 2 2 4 2 2 2 3" xfId="14706"/>
    <cellStyle name="Percent 2 2 4 2 2 2 4" xfId="18965"/>
    <cellStyle name="Percent 2 2 4 2 2 2 5" xfId="23184"/>
    <cellStyle name="Percent 2 2 4 2 2 2 6" xfId="27379"/>
    <cellStyle name="Percent 2 2 4 2 2 2 7" xfId="31275"/>
    <cellStyle name="Percent 2 2 4 2 2 3" xfId="8946"/>
    <cellStyle name="Percent 2 2 4 2 2 4" xfId="13229"/>
    <cellStyle name="Percent 2 2 4 2 2 5" xfId="17502"/>
    <cellStyle name="Percent 2 2 4 2 2 6" xfId="21737"/>
    <cellStyle name="Percent 2 2 4 2 2 7" xfId="25973"/>
    <cellStyle name="Percent 2 2 4 2 2 8" xfId="30046"/>
    <cellStyle name="Percent 2 2 4 2 2 9" xfId="3970"/>
    <cellStyle name="Percent 2 2 4 2 3" xfId="3140"/>
    <cellStyle name="Percent 2 2 4 2 3 2" xfId="8116"/>
    <cellStyle name="Percent 2 2 4 2 3 3" xfId="12403"/>
    <cellStyle name="Percent 2 2 4 2 3 4" xfId="16678"/>
    <cellStyle name="Percent 2 2 4 2 3 5" xfId="20914"/>
    <cellStyle name="Percent 2 2 4 2 3 6" xfId="25157"/>
    <cellStyle name="Percent 2 2 4 2 3 7" xfId="29241"/>
    <cellStyle name="Percent 2 2 4 2 4" xfId="4798"/>
    <cellStyle name="Percent 2 2 4 2 4 2" xfId="9772"/>
    <cellStyle name="Percent 2 2 4 2 4 3" xfId="14049"/>
    <cellStyle name="Percent 2 2 4 2 4 4" xfId="18308"/>
    <cellStyle name="Percent 2 2 4 2 4 5" xfId="22527"/>
    <cellStyle name="Percent 2 2 4 2 4 6" xfId="26722"/>
    <cellStyle name="Percent 2 2 4 2 4 7" xfId="30618"/>
    <cellStyle name="Percent 2 2 4 2 5" xfId="6146"/>
    <cellStyle name="Percent 2 2 4 2 5 2" xfId="11118"/>
    <cellStyle name="Percent 2 2 4 2 5 3" xfId="15396"/>
    <cellStyle name="Percent 2 2 4 2 5 4" xfId="19653"/>
    <cellStyle name="Percent 2 2 4 2 5 5" xfId="23870"/>
    <cellStyle name="Percent 2 2 4 2 5 6" xfId="28056"/>
    <cellStyle name="Percent 2 2 4 2 5 7" xfId="31935"/>
    <cellStyle name="Percent 2 2 4 2 6" xfId="7064"/>
    <cellStyle name="Percent 2 2 4 2 7" xfId="11356"/>
    <cellStyle name="Percent 2 2 4 2 8" xfId="15634"/>
    <cellStyle name="Percent 2 2 4 2 9" xfId="19891"/>
    <cellStyle name="Percent 2 2 4 3" xfId="1095"/>
    <cellStyle name="Percent 2 2 4 3 2" xfId="5126"/>
    <cellStyle name="Percent 2 2 4 3 2 2" xfId="10100"/>
    <cellStyle name="Percent 2 2 4 3 2 3" xfId="14377"/>
    <cellStyle name="Percent 2 2 4 3 2 4" xfId="18636"/>
    <cellStyle name="Percent 2 2 4 3 2 5" xfId="22855"/>
    <cellStyle name="Percent 2 2 4 3 2 6" xfId="27050"/>
    <cellStyle name="Percent 2 2 4 3 2 7" xfId="30946"/>
    <cellStyle name="Percent 2 2 4 3 3" xfId="8321"/>
    <cellStyle name="Percent 2 2 4 3 4" xfId="12606"/>
    <cellStyle name="Percent 2 2 4 3 5" xfId="16878"/>
    <cellStyle name="Percent 2 2 4 3 6" xfId="21113"/>
    <cellStyle name="Percent 2 2 4 3 7" xfId="25351"/>
    <cellStyle name="Percent 2 2 4 3 8" xfId="29429"/>
    <cellStyle name="Percent 2 2 4 3 9" xfId="3345"/>
    <cellStyle name="Percent 2 2 4 4" xfId="2484"/>
    <cellStyle name="Percent 2 2 4 4 2" xfId="7461"/>
    <cellStyle name="Percent 2 2 4 4 3" xfId="11750"/>
    <cellStyle name="Percent 2 2 4 4 4" xfId="16028"/>
    <cellStyle name="Percent 2 2 4 4 5" xfId="20271"/>
    <cellStyle name="Percent 2 2 4 4 6" xfId="24517"/>
    <cellStyle name="Percent 2 2 4 4 7" xfId="28622"/>
    <cellStyle name="Percent 2 2 4 5" xfId="4468"/>
    <cellStyle name="Percent 2 2 4 5 2" xfId="9442"/>
    <cellStyle name="Percent 2 2 4 5 3" xfId="13719"/>
    <cellStyle name="Percent 2 2 4 5 4" xfId="17979"/>
    <cellStyle name="Percent 2 2 4 5 5" xfId="22197"/>
    <cellStyle name="Percent 2 2 4 5 6" xfId="26393"/>
    <cellStyle name="Percent 2 2 4 5 7" xfId="30289"/>
    <cellStyle name="Percent 2 2 4 6" xfId="5817"/>
    <cellStyle name="Percent 2 2 4 6 2" xfId="10789"/>
    <cellStyle name="Percent 2 2 4 6 3" xfId="15067"/>
    <cellStyle name="Percent 2 2 4 6 4" xfId="19324"/>
    <cellStyle name="Percent 2 2 4 6 5" xfId="23541"/>
    <cellStyle name="Percent 2 2 4 6 6" xfId="27727"/>
    <cellStyle name="Percent 2 2 4 6 7" xfId="31606"/>
    <cellStyle name="Percent 2 2 4 7" xfId="6691"/>
    <cellStyle name="Percent 2 2 4 8" xfId="9148"/>
    <cellStyle name="Percent 2 2 4 9" xfId="13428"/>
    <cellStyle name="Percent 2 2 5" xfId="541"/>
    <cellStyle name="Percent 2 2 5 10" xfId="9072"/>
    <cellStyle name="Percent 2 2 5 11" xfId="20145"/>
    <cellStyle name="Percent 2 2 5 12" xfId="17556"/>
    <cellStyle name="Percent 2 2 5 13" xfId="1904"/>
    <cellStyle name="Percent 2 2 5 2" xfId="915"/>
    <cellStyle name="Percent 2 2 5 2 10" xfId="24290"/>
    <cellStyle name="Percent 2 2 5 2 11" xfId="28442"/>
    <cellStyle name="Percent 2 2 5 2 12" xfId="2234"/>
    <cellStyle name="Percent 2 2 5 2 2" xfId="1572"/>
    <cellStyle name="Percent 2 2 5 2 2 2" xfId="5603"/>
    <cellStyle name="Percent 2 2 5 2 2 2 2" xfId="10577"/>
    <cellStyle name="Percent 2 2 5 2 2 2 3" xfId="14854"/>
    <cellStyle name="Percent 2 2 5 2 2 2 4" xfId="19113"/>
    <cellStyle name="Percent 2 2 5 2 2 2 5" xfId="23332"/>
    <cellStyle name="Percent 2 2 5 2 2 2 6" xfId="27527"/>
    <cellStyle name="Percent 2 2 5 2 2 2 7" xfId="31423"/>
    <cellStyle name="Percent 2 2 5 2 2 3" xfId="8947"/>
    <cellStyle name="Percent 2 2 5 2 2 4" xfId="13230"/>
    <cellStyle name="Percent 2 2 5 2 2 5" xfId="17503"/>
    <cellStyle name="Percent 2 2 5 2 2 6" xfId="21738"/>
    <cellStyle name="Percent 2 2 5 2 2 7" xfId="25974"/>
    <cellStyle name="Percent 2 2 5 2 2 8" xfId="30047"/>
    <cellStyle name="Percent 2 2 5 2 2 9" xfId="3971"/>
    <cellStyle name="Percent 2 2 5 2 3" xfId="3141"/>
    <cellStyle name="Percent 2 2 5 2 3 2" xfId="8117"/>
    <cellStyle name="Percent 2 2 5 2 3 3" xfId="12404"/>
    <cellStyle name="Percent 2 2 5 2 3 4" xfId="16679"/>
    <cellStyle name="Percent 2 2 5 2 3 5" xfId="20915"/>
    <cellStyle name="Percent 2 2 5 2 3 6" xfId="25158"/>
    <cellStyle name="Percent 2 2 5 2 3 7" xfId="29242"/>
    <cellStyle name="Percent 2 2 5 2 4" xfId="4946"/>
    <cellStyle name="Percent 2 2 5 2 4 2" xfId="9920"/>
    <cellStyle name="Percent 2 2 5 2 4 3" xfId="14197"/>
    <cellStyle name="Percent 2 2 5 2 4 4" xfId="18456"/>
    <cellStyle name="Percent 2 2 5 2 4 5" xfId="22675"/>
    <cellStyle name="Percent 2 2 5 2 4 6" xfId="26870"/>
    <cellStyle name="Percent 2 2 5 2 4 7" xfId="30766"/>
    <cellStyle name="Percent 2 2 5 2 5" xfId="6294"/>
    <cellStyle name="Percent 2 2 5 2 5 2" xfId="11266"/>
    <cellStyle name="Percent 2 2 5 2 5 3" xfId="15544"/>
    <cellStyle name="Percent 2 2 5 2 5 4" xfId="19801"/>
    <cellStyle name="Percent 2 2 5 2 5 5" xfId="24018"/>
    <cellStyle name="Percent 2 2 5 2 5 6" xfId="28204"/>
    <cellStyle name="Percent 2 2 5 2 5 7" xfId="32083"/>
    <cellStyle name="Percent 2 2 5 2 6" xfId="7212"/>
    <cellStyle name="Percent 2 2 5 2 7" xfId="11504"/>
    <cellStyle name="Percent 2 2 5 2 8" xfId="15782"/>
    <cellStyle name="Percent 2 2 5 2 9" xfId="20039"/>
    <cellStyle name="Percent 2 2 5 3" xfId="1243"/>
    <cellStyle name="Percent 2 2 5 3 2" xfId="5274"/>
    <cellStyle name="Percent 2 2 5 3 2 2" xfId="10248"/>
    <cellStyle name="Percent 2 2 5 3 2 3" xfId="14525"/>
    <cellStyle name="Percent 2 2 5 3 2 4" xfId="18784"/>
    <cellStyle name="Percent 2 2 5 3 2 5" xfId="23003"/>
    <cellStyle name="Percent 2 2 5 3 2 6" xfId="27198"/>
    <cellStyle name="Percent 2 2 5 3 2 7" xfId="31094"/>
    <cellStyle name="Percent 2 2 5 3 3" xfId="8451"/>
    <cellStyle name="Percent 2 2 5 3 4" xfId="12736"/>
    <cellStyle name="Percent 2 2 5 3 5" xfId="17008"/>
    <cellStyle name="Percent 2 2 5 3 6" xfId="21243"/>
    <cellStyle name="Percent 2 2 5 3 7" xfId="25481"/>
    <cellStyle name="Percent 2 2 5 3 8" xfId="29559"/>
    <cellStyle name="Percent 2 2 5 3 9" xfId="3475"/>
    <cellStyle name="Percent 2 2 5 4" xfId="2617"/>
    <cellStyle name="Percent 2 2 5 4 2" xfId="7594"/>
    <cellStyle name="Percent 2 2 5 4 3" xfId="11883"/>
    <cellStyle name="Percent 2 2 5 4 4" xfId="16159"/>
    <cellStyle name="Percent 2 2 5 4 5" xfId="20402"/>
    <cellStyle name="Percent 2 2 5 4 6" xfId="24648"/>
    <cellStyle name="Percent 2 2 5 4 7" xfId="28752"/>
    <cellStyle name="Percent 2 2 5 5" xfId="4616"/>
    <cellStyle name="Percent 2 2 5 5 2" xfId="9590"/>
    <cellStyle name="Percent 2 2 5 5 3" xfId="13867"/>
    <cellStyle name="Percent 2 2 5 5 4" xfId="18127"/>
    <cellStyle name="Percent 2 2 5 5 5" xfId="22345"/>
    <cellStyle name="Percent 2 2 5 5 6" xfId="26541"/>
    <cellStyle name="Percent 2 2 5 5 7" xfId="30437"/>
    <cellStyle name="Percent 2 2 5 6" xfId="5965"/>
    <cellStyle name="Percent 2 2 5 6 2" xfId="10937"/>
    <cellStyle name="Percent 2 2 5 6 3" xfId="15215"/>
    <cellStyle name="Percent 2 2 5 6 4" xfId="19472"/>
    <cellStyle name="Percent 2 2 5 6 5" xfId="23689"/>
    <cellStyle name="Percent 2 2 5 6 6" xfId="27875"/>
    <cellStyle name="Percent 2 2 5 6 7" xfId="31754"/>
    <cellStyle name="Percent 2 2 5 7" xfId="6839"/>
    <cellStyle name="Percent 2 2 5 8" xfId="6435"/>
    <cellStyle name="Percent 2 2 5 9" xfId="6647"/>
    <cellStyle name="Percent 2 2 6" xfId="642"/>
    <cellStyle name="Percent 2 2 6 10" xfId="9160"/>
    <cellStyle name="Percent 2 2 6 11" xfId="20217"/>
    <cellStyle name="Percent 2 2 6 12" xfId="11552"/>
    <cellStyle name="Percent 2 2 6 13" xfId="1961"/>
    <cellStyle name="Percent 2 2 6 2" xfId="1299"/>
    <cellStyle name="Percent 2 2 6 2 10" xfId="3143"/>
    <cellStyle name="Percent 2 2 6 2 2" xfId="3973"/>
    <cellStyle name="Percent 2 2 6 2 2 2" xfId="8949"/>
    <cellStyle name="Percent 2 2 6 2 2 3" xfId="13232"/>
    <cellStyle name="Percent 2 2 6 2 2 4" xfId="17505"/>
    <cellStyle name="Percent 2 2 6 2 2 5" xfId="21740"/>
    <cellStyle name="Percent 2 2 6 2 2 6" xfId="25976"/>
    <cellStyle name="Percent 2 2 6 2 2 7" xfId="30049"/>
    <cellStyle name="Percent 2 2 6 2 3" xfId="5330"/>
    <cellStyle name="Percent 2 2 6 2 3 2" xfId="10304"/>
    <cellStyle name="Percent 2 2 6 2 3 3" xfId="14581"/>
    <cellStyle name="Percent 2 2 6 2 3 4" xfId="18840"/>
    <cellStyle name="Percent 2 2 6 2 3 5" xfId="23059"/>
    <cellStyle name="Percent 2 2 6 2 3 6" xfId="27254"/>
    <cellStyle name="Percent 2 2 6 2 3 7" xfId="31150"/>
    <cellStyle name="Percent 2 2 6 2 4" xfId="8119"/>
    <cellStyle name="Percent 2 2 6 2 5" xfId="12406"/>
    <cellStyle name="Percent 2 2 6 2 6" xfId="16681"/>
    <cellStyle name="Percent 2 2 6 2 7" xfId="20917"/>
    <cellStyle name="Percent 2 2 6 2 8" xfId="25160"/>
    <cellStyle name="Percent 2 2 6 2 9" xfId="29244"/>
    <cellStyle name="Percent 2 2 6 3" xfId="3972"/>
    <cellStyle name="Percent 2 2 6 3 2" xfId="8948"/>
    <cellStyle name="Percent 2 2 6 3 3" xfId="13231"/>
    <cellStyle name="Percent 2 2 6 3 4" xfId="17504"/>
    <cellStyle name="Percent 2 2 6 3 5" xfId="21739"/>
    <cellStyle name="Percent 2 2 6 3 6" xfId="25975"/>
    <cellStyle name="Percent 2 2 6 3 7" xfId="30048"/>
    <cellStyle name="Percent 2 2 6 4" xfId="3142"/>
    <cellStyle name="Percent 2 2 6 4 2" xfId="8118"/>
    <cellStyle name="Percent 2 2 6 4 3" xfId="12405"/>
    <cellStyle name="Percent 2 2 6 4 4" xfId="16680"/>
    <cellStyle name="Percent 2 2 6 4 5" xfId="20916"/>
    <cellStyle name="Percent 2 2 6 4 6" xfId="25159"/>
    <cellStyle name="Percent 2 2 6 4 7" xfId="29243"/>
    <cellStyle name="Percent 2 2 6 5" xfId="4673"/>
    <cellStyle name="Percent 2 2 6 5 2" xfId="9647"/>
    <cellStyle name="Percent 2 2 6 5 3" xfId="13924"/>
    <cellStyle name="Percent 2 2 6 5 4" xfId="18183"/>
    <cellStyle name="Percent 2 2 6 5 5" xfId="22402"/>
    <cellStyle name="Percent 2 2 6 5 6" xfId="26597"/>
    <cellStyle name="Percent 2 2 6 5 7" xfId="30493"/>
    <cellStyle name="Percent 2 2 6 6" xfId="6021"/>
    <cellStyle name="Percent 2 2 6 6 2" xfId="10993"/>
    <cellStyle name="Percent 2 2 6 6 3" xfId="15271"/>
    <cellStyle name="Percent 2 2 6 6 4" xfId="19528"/>
    <cellStyle name="Percent 2 2 6 6 5" xfId="23745"/>
    <cellStyle name="Percent 2 2 6 6 6" xfId="27931"/>
    <cellStyle name="Percent 2 2 6 6 7" xfId="31810"/>
    <cellStyle name="Percent 2 2 6 7" xfId="6939"/>
    <cellStyle name="Percent 2 2 6 8" xfId="6305"/>
    <cellStyle name="Percent 2 2 6 9" xfId="6558"/>
    <cellStyle name="Percent 2 2 7" xfId="970"/>
    <cellStyle name="Percent 2 2 7 10" xfId="3144"/>
    <cellStyle name="Percent 2 2 7 2" xfId="3974"/>
    <cellStyle name="Percent 2 2 7 2 2" xfId="8950"/>
    <cellStyle name="Percent 2 2 7 2 3" xfId="13233"/>
    <cellStyle name="Percent 2 2 7 2 4" xfId="17506"/>
    <cellStyle name="Percent 2 2 7 2 5" xfId="21741"/>
    <cellStyle name="Percent 2 2 7 2 6" xfId="25977"/>
    <cellStyle name="Percent 2 2 7 2 7" xfId="30050"/>
    <cellStyle name="Percent 2 2 7 3" xfId="5001"/>
    <cellStyle name="Percent 2 2 7 3 2" xfId="9975"/>
    <cellStyle name="Percent 2 2 7 3 3" xfId="14252"/>
    <cellStyle name="Percent 2 2 7 3 4" xfId="18511"/>
    <cellStyle name="Percent 2 2 7 3 5" xfId="22730"/>
    <cellStyle name="Percent 2 2 7 3 6" xfId="26925"/>
    <cellStyle name="Percent 2 2 7 3 7" xfId="30821"/>
    <cellStyle name="Percent 2 2 7 4" xfId="8120"/>
    <cellStyle name="Percent 2 2 7 5" xfId="12407"/>
    <cellStyle name="Percent 2 2 7 6" xfId="16682"/>
    <cellStyle name="Percent 2 2 7 7" xfId="20918"/>
    <cellStyle name="Percent 2 2 7 8" xfId="25161"/>
    <cellStyle name="Percent 2 2 7 9" xfId="29245"/>
    <cellStyle name="Percent 2 2 8" xfId="3213"/>
    <cellStyle name="Percent 2 2 8 2" xfId="8189"/>
    <cellStyle name="Percent 2 2 8 3" xfId="12475"/>
    <cellStyle name="Percent 2 2 8 4" xfId="16749"/>
    <cellStyle name="Percent 2 2 8 5" xfId="20985"/>
    <cellStyle name="Percent 2 2 8 6" xfId="25225"/>
    <cellStyle name="Percent 2 2 8 7" xfId="29306"/>
    <cellStyle name="Percent 2 2 9" xfId="2310"/>
    <cellStyle name="Percent 2 2 9 2" xfId="7288"/>
    <cellStyle name="Percent 2 2 9 3" xfId="11578"/>
    <cellStyle name="Percent 2 2 9 4" xfId="15856"/>
    <cellStyle name="Percent 2 2 9 5" xfId="20109"/>
    <cellStyle name="Percent 2 2 9 6" xfId="24360"/>
    <cellStyle name="Percent 2 2 9 7" xfId="28497"/>
    <cellStyle name="Percent 2 3" xfId="119"/>
    <cellStyle name="Percent 2 4" xfId="100"/>
    <cellStyle name="Percent 2 4 10" xfId="17607"/>
    <cellStyle name="Percent 2 4 11" xfId="21768"/>
    <cellStyle name="Percent 2 4 12" xfId="26059"/>
    <cellStyle name="Percent 2 4 13" xfId="1595"/>
    <cellStyle name="Percent 2 4 2" xfId="508"/>
    <cellStyle name="Percent 2 4 2 10" xfId="23356"/>
    <cellStyle name="Percent 2 4 2 11" xfId="13299"/>
    <cellStyle name="Percent 2 4 2 12" xfId="1871"/>
    <cellStyle name="Percent 2 4 2 2" xfId="882"/>
    <cellStyle name="Percent 2 4 2 2 10" xfId="28409"/>
    <cellStyle name="Percent 2 4 2 2 11" xfId="2201"/>
    <cellStyle name="Percent 2 4 2 2 2" xfId="1539"/>
    <cellStyle name="Percent 2 4 2 2 2 2" xfId="5570"/>
    <cellStyle name="Percent 2 4 2 2 2 2 2" xfId="10544"/>
    <cellStyle name="Percent 2 4 2 2 2 2 3" xfId="14821"/>
    <cellStyle name="Percent 2 4 2 2 2 2 4" xfId="19080"/>
    <cellStyle name="Percent 2 4 2 2 2 2 5" xfId="23299"/>
    <cellStyle name="Percent 2 4 2 2 2 2 6" xfId="27494"/>
    <cellStyle name="Percent 2 4 2 2 2 2 7" xfId="31390"/>
    <cellStyle name="Percent 2 4 2 2 2 3" xfId="8952"/>
    <cellStyle name="Percent 2 4 2 2 2 4" xfId="13235"/>
    <cellStyle name="Percent 2 4 2 2 2 5" xfId="17508"/>
    <cellStyle name="Percent 2 4 2 2 2 6" xfId="21743"/>
    <cellStyle name="Percent 2 4 2 2 2 7" xfId="25979"/>
    <cellStyle name="Percent 2 4 2 2 2 8" xfId="30052"/>
    <cellStyle name="Percent 2 4 2 2 2 9" xfId="3976"/>
    <cellStyle name="Percent 2 4 2 2 3" xfId="4913"/>
    <cellStyle name="Percent 2 4 2 2 3 2" xfId="9887"/>
    <cellStyle name="Percent 2 4 2 2 3 3" xfId="14164"/>
    <cellStyle name="Percent 2 4 2 2 3 4" xfId="18423"/>
    <cellStyle name="Percent 2 4 2 2 3 5" xfId="22642"/>
    <cellStyle name="Percent 2 4 2 2 3 6" xfId="26837"/>
    <cellStyle name="Percent 2 4 2 2 3 7" xfId="30733"/>
    <cellStyle name="Percent 2 4 2 2 4" xfId="6261"/>
    <cellStyle name="Percent 2 4 2 2 4 2" xfId="11233"/>
    <cellStyle name="Percent 2 4 2 2 4 3" xfId="15511"/>
    <cellStyle name="Percent 2 4 2 2 4 4" xfId="19768"/>
    <cellStyle name="Percent 2 4 2 2 4 5" xfId="23985"/>
    <cellStyle name="Percent 2 4 2 2 4 6" xfId="28171"/>
    <cellStyle name="Percent 2 4 2 2 4 7" xfId="32050"/>
    <cellStyle name="Percent 2 4 2 2 5" xfId="7179"/>
    <cellStyle name="Percent 2 4 2 2 6" xfId="11471"/>
    <cellStyle name="Percent 2 4 2 2 7" xfId="15749"/>
    <cellStyle name="Percent 2 4 2 2 8" xfId="20006"/>
    <cellStyle name="Percent 2 4 2 2 9" xfId="24257"/>
    <cellStyle name="Percent 2 4 2 3" xfId="1210"/>
    <cellStyle name="Percent 2 4 2 3 2" xfId="5241"/>
    <cellStyle name="Percent 2 4 2 3 2 2" xfId="10215"/>
    <cellStyle name="Percent 2 4 2 3 2 3" xfId="14492"/>
    <cellStyle name="Percent 2 4 2 3 2 4" xfId="18751"/>
    <cellStyle name="Percent 2 4 2 3 2 5" xfId="22970"/>
    <cellStyle name="Percent 2 4 2 3 2 6" xfId="27165"/>
    <cellStyle name="Percent 2 4 2 3 2 7" xfId="31061"/>
    <cellStyle name="Percent 2 4 2 3 3" xfId="8122"/>
    <cellStyle name="Percent 2 4 2 3 4" xfId="12409"/>
    <cellStyle name="Percent 2 4 2 3 5" xfId="16684"/>
    <cellStyle name="Percent 2 4 2 3 6" xfId="20920"/>
    <cellStyle name="Percent 2 4 2 3 7" xfId="25163"/>
    <cellStyle name="Percent 2 4 2 3 8" xfId="29247"/>
    <cellStyle name="Percent 2 4 2 3 9" xfId="3146"/>
    <cellStyle name="Percent 2 4 2 4" xfId="4583"/>
    <cellStyle name="Percent 2 4 2 4 2" xfId="9557"/>
    <cellStyle name="Percent 2 4 2 4 3" xfId="13834"/>
    <cellStyle name="Percent 2 4 2 4 4" xfId="18094"/>
    <cellStyle name="Percent 2 4 2 4 5" xfId="22312"/>
    <cellStyle name="Percent 2 4 2 4 6" xfId="26508"/>
    <cellStyle name="Percent 2 4 2 4 7" xfId="30404"/>
    <cellStyle name="Percent 2 4 2 5" xfId="5932"/>
    <cellStyle name="Percent 2 4 2 5 2" xfId="10904"/>
    <cellStyle name="Percent 2 4 2 5 3" xfId="15182"/>
    <cellStyle name="Percent 2 4 2 5 4" xfId="19439"/>
    <cellStyle name="Percent 2 4 2 5 5" xfId="23656"/>
    <cellStyle name="Percent 2 4 2 5 6" xfId="27842"/>
    <cellStyle name="Percent 2 4 2 5 7" xfId="31721"/>
    <cellStyle name="Percent 2 4 2 6" xfId="6806"/>
    <cellStyle name="Percent 2 4 2 7" xfId="6322"/>
    <cellStyle name="Percent 2 4 2 8" xfId="8139"/>
    <cellStyle name="Percent 2 4 2 9" xfId="12425"/>
    <cellStyle name="Percent 2 4 3" xfId="609"/>
    <cellStyle name="Percent 2 4 3 10" xfId="24450"/>
    <cellStyle name="Percent 2 4 3 11" xfId="1928"/>
    <cellStyle name="Percent 2 4 3 2" xfId="1266"/>
    <cellStyle name="Percent 2 4 3 2 2" xfId="5297"/>
    <cellStyle name="Percent 2 4 3 2 2 2" xfId="10271"/>
    <cellStyle name="Percent 2 4 3 2 2 3" xfId="14548"/>
    <cellStyle name="Percent 2 4 3 2 2 4" xfId="18807"/>
    <cellStyle name="Percent 2 4 3 2 2 5" xfId="23026"/>
    <cellStyle name="Percent 2 4 3 2 2 6" xfId="27221"/>
    <cellStyle name="Percent 2 4 3 2 2 7" xfId="31117"/>
    <cellStyle name="Percent 2 4 3 2 3" xfId="8951"/>
    <cellStyle name="Percent 2 4 3 2 4" xfId="13234"/>
    <cellStyle name="Percent 2 4 3 2 5" xfId="17507"/>
    <cellStyle name="Percent 2 4 3 2 6" xfId="21742"/>
    <cellStyle name="Percent 2 4 3 2 7" xfId="25978"/>
    <cellStyle name="Percent 2 4 3 2 8" xfId="30051"/>
    <cellStyle name="Percent 2 4 3 2 9" xfId="3975"/>
    <cellStyle name="Percent 2 4 3 3" xfId="4640"/>
    <cellStyle name="Percent 2 4 3 3 2" xfId="9614"/>
    <cellStyle name="Percent 2 4 3 3 3" xfId="13891"/>
    <cellStyle name="Percent 2 4 3 3 4" xfId="18150"/>
    <cellStyle name="Percent 2 4 3 3 5" xfId="22369"/>
    <cellStyle name="Percent 2 4 3 3 6" xfId="26564"/>
    <cellStyle name="Percent 2 4 3 3 7" xfId="30460"/>
    <cellStyle name="Percent 2 4 3 4" xfId="5988"/>
    <cellStyle name="Percent 2 4 3 4 2" xfId="10960"/>
    <cellStyle name="Percent 2 4 3 4 3" xfId="15238"/>
    <cellStyle name="Percent 2 4 3 4 4" xfId="19495"/>
    <cellStyle name="Percent 2 4 3 4 5" xfId="23712"/>
    <cellStyle name="Percent 2 4 3 4 6" xfId="27898"/>
    <cellStyle name="Percent 2 4 3 4 7" xfId="31777"/>
    <cellStyle name="Percent 2 4 3 5" xfId="6906"/>
    <cellStyle name="Percent 2 4 3 6" xfId="7387"/>
    <cellStyle name="Percent 2 4 3 7" xfId="11676"/>
    <cellStyle name="Percent 2 4 3 8" xfId="15954"/>
    <cellStyle name="Percent 2 4 3 9" xfId="20545"/>
    <cellStyle name="Percent 2 4 4" xfId="937"/>
    <cellStyle name="Percent 2 4 4 2" xfId="4968"/>
    <cellStyle name="Percent 2 4 4 2 2" xfId="9942"/>
    <cellStyle name="Percent 2 4 4 2 3" xfId="14219"/>
    <cellStyle name="Percent 2 4 4 2 4" xfId="18478"/>
    <cellStyle name="Percent 2 4 4 2 5" xfId="22697"/>
    <cellStyle name="Percent 2 4 4 2 6" xfId="26892"/>
    <cellStyle name="Percent 2 4 4 2 7" xfId="30788"/>
    <cellStyle name="Percent 2 4 4 3" xfId="8121"/>
    <cellStyle name="Percent 2 4 4 4" xfId="12408"/>
    <cellStyle name="Percent 2 4 4 5" xfId="16683"/>
    <cellStyle name="Percent 2 4 4 6" xfId="20919"/>
    <cellStyle name="Percent 2 4 4 7" xfId="25162"/>
    <cellStyle name="Percent 2 4 4 8" xfId="29246"/>
    <cellStyle name="Percent 2 4 4 9" xfId="3145"/>
    <cellStyle name="Percent 2 4 5" xfId="4305"/>
    <cellStyle name="Percent 2 4 5 2" xfId="9279"/>
    <cellStyle name="Percent 2 4 5 3" xfId="13556"/>
    <cellStyle name="Percent 2 4 5 4" xfId="17816"/>
    <cellStyle name="Percent 2 4 5 5" xfId="22035"/>
    <cellStyle name="Percent 2 4 5 6" xfId="26233"/>
    <cellStyle name="Percent 2 4 5 7" xfId="30130"/>
    <cellStyle name="Percent 2 4 6" xfId="5661"/>
    <cellStyle name="Percent 2 4 6 2" xfId="10633"/>
    <cellStyle name="Percent 2 4 6 3" xfId="14911"/>
    <cellStyle name="Percent 2 4 6 4" xfId="19168"/>
    <cellStyle name="Percent 2 4 6 5" xfId="23385"/>
    <cellStyle name="Percent 2 4 6 6" xfId="27571"/>
    <cellStyle name="Percent 2 4 6 7" xfId="31450"/>
    <cellStyle name="Percent 2 4 7" xfId="6400"/>
    <cellStyle name="Percent 2 4 8" xfId="9052"/>
    <cellStyle name="Percent 2 4 9" xfId="13335"/>
    <cellStyle name="Percent 2 5" xfId="248"/>
    <cellStyle name="Percent 2 5 10" xfId="21890"/>
    <cellStyle name="Percent 2 5 11" xfId="26055"/>
    <cellStyle name="Percent 2 5 12" xfId="1652"/>
    <cellStyle name="Percent 2 5 2" xfId="666"/>
    <cellStyle name="Percent 2 5 2 10" xfId="24468"/>
    <cellStyle name="Percent 2 5 2 11" xfId="1985"/>
    <cellStyle name="Percent 2 5 2 2" xfId="1323"/>
    <cellStyle name="Percent 2 5 2 2 2" xfId="10328"/>
    <cellStyle name="Percent 2 5 2 2 3" xfId="14605"/>
    <cellStyle name="Percent 2 5 2 2 4" xfId="18864"/>
    <cellStyle name="Percent 2 5 2 2 5" xfId="23083"/>
    <cellStyle name="Percent 2 5 2 2 6" xfId="27278"/>
    <cellStyle name="Percent 2 5 2 2 7" xfId="31174"/>
    <cellStyle name="Percent 2 5 2 2 8" xfId="5354"/>
    <cellStyle name="Percent 2 5 2 3" xfId="4697"/>
    <cellStyle name="Percent 2 5 2 3 2" xfId="9671"/>
    <cellStyle name="Percent 2 5 2 3 3" xfId="13948"/>
    <cellStyle name="Percent 2 5 2 3 4" xfId="18207"/>
    <cellStyle name="Percent 2 5 2 3 5" xfId="22426"/>
    <cellStyle name="Percent 2 5 2 3 6" xfId="26621"/>
    <cellStyle name="Percent 2 5 2 3 7" xfId="30517"/>
    <cellStyle name="Percent 2 5 2 4" xfId="6045"/>
    <cellStyle name="Percent 2 5 2 4 2" xfId="11017"/>
    <cellStyle name="Percent 2 5 2 4 3" xfId="15295"/>
    <cellStyle name="Percent 2 5 2 4 4" xfId="19552"/>
    <cellStyle name="Percent 2 5 2 4 5" xfId="23769"/>
    <cellStyle name="Percent 2 5 2 4 6" xfId="27955"/>
    <cellStyle name="Percent 2 5 2 4 7" xfId="31834"/>
    <cellStyle name="Percent 2 5 2 5" xfId="6963"/>
    <cellStyle name="Percent 2 5 2 6" xfId="7408"/>
    <cellStyle name="Percent 2 5 2 7" xfId="11696"/>
    <cellStyle name="Percent 2 5 2 8" xfId="15975"/>
    <cellStyle name="Percent 2 5 2 9" xfId="24041"/>
    <cellStyle name="Percent 2 5 3" xfId="994"/>
    <cellStyle name="Percent 2 5 3 2" xfId="5025"/>
    <cellStyle name="Percent 2 5 3 2 2" xfId="9999"/>
    <cellStyle name="Percent 2 5 3 2 3" xfId="14276"/>
    <cellStyle name="Percent 2 5 3 2 4" xfId="18535"/>
    <cellStyle name="Percent 2 5 3 2 5" xfId="22754"/>
    <cellStyle name="Percent 2 5 3 2 6" xfId="26949"/>
    <cellStyle name="Percent 2 5 3 2 7" xfId="30845"/>
    <cellStyle name="Percent 2 5 3 3" xfId="8156"/>
    <cellStyle name="Percent 2 5 3 4" xfId="12442"/>
    <cellStyle name="Percent 2 5 3 5" xfId="16716"/>
    <cellStyle name="Percent 2 5 3 6" xfId="20952"/>
    <cellStyle name="Percent 2 5 3 7" xfId="25192"/>
    <cellStyle name="Percent 2 5 3 8" xfId="29273"/>
    <cellStyle name="Percent 2 5 3 9" xfId="3180"/>
    <cellStyle name="Percent 2 5 4" xfId="4366"/>
    <cellStyle name="Percent 2 5 4 2" xfId="9340"/>
    <cellStyle name="Percent 2 5 4 3" xfId="13617"/>
    <cellStyle name="Percent 2 5 4 4" xfId="17877"/>
    <cellStyle name="Percent 2 5 4 5" xfId="22096"/>
    <cellStyle name="Percent 2 5 4 6" xfId="26292"/>
    <cellStyle name="Percent 2 5 4 7" xfId="30188"/>
    <cellStyle name="Percent 2 5 5" xfId="5716"/>
    <cellStyle name="Percent 2 5 5 2" xfId="10688"/>
    <cellStyle name="Percent 2 5 5 3" xfId="14966"/>
    <cellStyle name="Percent 2 5 5 4" xfId="19223"/>
    <cellStyle name="Percent 2 5 5 5" xfId="23440"/>
    <cellStyle name="Percent 2 5 5 6" xfId="27626"/>
    <cellStyle name="Percent 2 5 5 7" xfId="31505"/>
    <cellStyle name="Percent 2 5 6" xfId="6546"/>
    <cellStyle name="Percent 2 5 7" xfId="9048"/>
    <cellStyle name="Percent 2 5 8" xfId="13331"/>
    <cellStyle name="Percent 2 5 9" xfId="17603"/>
    <cellStyle name="Percent 2 6" xfId="2267"/>
    <cellStyle name="Percent 2 6 2" xfId="7245"/>
    <cellStyle name="Percent 2 6 3" xfId="11535"/>
    <cellStyle name="Percent 2 6 4" xfId="15814"/>
    <cellStyle name="Percent 2 6 5" xfId="20069"/>
    <cellStyle name="Percent 2 6 6" xfId="24319"/>
    <cellStyle name="Percent 2 6 7" xfId="28464"/>
    <cellStyle name="Percent 3" xfId="160"/>
    <cellStyle name="Percent 3 2" xfId="280"/>
    <cellStyle name="Percent 3 2 2" xfId="4003"/>
    <cellStyle name="Percent 3 2 2 2" xfId="8979"/>
    <cellStyle name="Percent 3 2 2 3" xfId="13261"/>
    <cellStyle name="Percent 3 2 2 4" xfId="17535"/>
    <cellStyle name="Percent 3 2 2 5" xfId="21765"/>
    <cellStyle name="Percent 3 2 2 6" xfId="26000"/>
    <cellStyle name="Percent 3 2 2 7" xfId="30061"/>
    <cellStyle name="Percent 3 2 3" xfId="4372"/>
    <cellStyle name="Percent 3 2 4" xfId="1660"/>
    <cellStyle name="Percent 4" xfId="104"/>
    <cellStyle name="Percent 4 10" xfId="6404"/>
    <cellStyle name="Percent 4 11" xfId="6575"/>
    <cellStyle name="Percent 4 12" xfId="8964"/>
    <cellStyle name="Percent 4 13" xfId="13246"/>
    <cellStyle name="Percent 4 14" xfId="17636"/>
    <cellStyle name="Percent 4 15" xfId="21964"/>
    <cellStyle name="Percent 4 16" xfId="1598"/>
    <cellStyle name="Percent 4 2" xfId="295"/>
    <cellStyle name="Percent 4 2 10" xfId="17570"/>
    <cellStyle name="Percent 4 2 11" xfId="21888"/>
    <cellStyle name="Percent 4 2 12" xfId="26029"/>
    <cellStyle name="Percent 4 2 13" xfId="1667"/>
    <cellStyle name="Percent 4 2 2" xfId="678"/>
    <cellStyle name="Percent 4 2 2 10" xfId="24053"/>
    <cellStyle name="Percent 4 2 2 11" xfId="26005"/>
    <cellStyle name="Percent 4 2 2 12" xfId="1997"/>
    <cellStyle name="Percent 4 2 2 2" xfId="1335"/>
    <cellStyle name="Percent 4 2 2 2 2" xfId="5366"/>
    <cellStyle name="Percent 4 2 2 2 2 2" xfId="10340"/>
    <cellStyle name="Percent 4 2 2 2 2 3" xfId="14617"/>
    <cellStyle name="Percent 4 2 2 2 2 4" xfId="18876"/>
    <cellStyle name="Percent 4 2 2 2 2 5" xfId="23095"/>
    <cellStyle name="Percent 4 2 2 2 2 6" xfId="27290"/>
    <cellStyle name="Percent 4 2 2 2 2 7" xfId="31186"/>
    <cellStyle name="Percent 4 2 2 2 3" xfId="8953"/>
    <cellStyle name="Percent 4 2 2 2 4" xfId="13236"/>
    <cellStyle name="Percent 4 2 2 2 5" xfId="17509"/>
    <cellStyle name="Percent 4 2 2 2 6" xfId="21744"/>
    <cellStyle name="Percent 4 2 2 2 7" xfId="25980"/>
    <cellStyle name="Percent 4 2 2 2 8" xfId="30053"/>
    <cellStyle name="Percent 4 2 2 2 9" xfId="3977"/>
    <cellStyle name="Percent 4 2 2 3" xfId="3147"/>
    <cellStyle name="Percent 4 2 2 3 2" xfId="8123"/>
    <cellStyle name="Percent 4 2 2 3 3" xfId="12410"/>
    <cellStyle name="Percent 4 2 2 3 4" xfId="16685"/>
    <cellStyle name="Percent 4 2 2 3 5" xfId="20921"/>
    <cellStyle name="Percent 4 2 2 3 6" xfId="25164"/>
    <cellStyle name="Percent 4 2 2 3 7" xfId="29248"/>
    <cellStyle name="Percent 4 2 2 4" xfId="4709"/>
    <cellStyle name="Percent 4 2 2 4 2" xfId="9683"/>
    <cellStyle name="Percent 4 2 2 4 3" xfId="13960"/>
    <cellStyle name="Percent 4 2 2 4 4" xfId="18219"/>
    <cellStyle name="Percent 4 2 2 4 5" xfId="22438"/>
    <cellStyle name="Percent 4 2 2 4 6" xfId="26633"/>
    <cellStyle name="Percent 4 2 2 4 7" xfId="30529"/>
    <cellStyle name="Percent 4 2 2 5" xfId="6057"/>
    <cellStyle name="Percent 4 2 2 5 2" xfId="11029"/>
    <cellStyle name="Percent 4 2 2 5 3" xfId="15307"/>
    <cellStyle name="Percent 4 2 2 5 4" xfId="19564"/>
    <cellStyle name="Percent 4 2 2 5 5" xfId="23781"/>
    <cellStyle name="Percent 4 2 2 5 6" xfId="27967"/>
    <cellStyle name="Percent 4 2 2 5 7" xfId="31846"/>
    <cellStyle name="Percent 4 2 2 6" xfId="6975"/>
    <cellStyle name="Percent 4 2 2 7" xfId="8985"/>
    <cellStyle name="Percent 4 2 2 8" xfId="13267"/>
    <cellStyle name="Percent 4 2 2 9" xfId="17541"/>
    <cellStyle name="Percent 4 2 3" xfId="1006"/>
    <cellStyle name="Percent 4 2 3 2" xfId="5037"/>
    <cellStyle name="Percent 4 2 3 2 2" xfId="10011"/>
    <cellStyle name="Percent 4 2 3 2 3" xfId="14288"/>
    <cellStyle name="Percent 4 2 3 2 4" xfId="18547"/>
    <cellStyle name="Percent 4 2 3 2 5" xfId="22766"/>
    <cellStyle name="Percent 4 2 3 2 6" xfId="26961"/>
    <cellStyle name="Percent 4 2 3 2 7" xfId="30857"/>
    <cellStyle name="Percent 4 2 3 3" xfId="8212"/>
    <cellStyle name="Percent 4 2 3 4" xfId="12498"/>
    <cellStyle name="Percent 4 2 3 5" xfId="16770"/>
    <cellStyle name="Percent 4 2 3 6" xfId="21008"/>
    <cellStyle name="Percent 4 2 3 7" xfId="25246"/>
    <cellStyle name="Percent 4 2 3 8" xfId="29326"/>
    <cellStyle name="Percent 4 2 3 9" xfId="3236"/>
    <cellStyle name="Percent 4 2 4" xfId="2348"/>
    <cellStyle name="Percent 4 2 4 2" xfId="7326"/>
    <cellStyle name="Percent 4 2 4 3" xfId="11615"/>
    <cellStyle name="Percent 4 2 4 4" xfId="15894"/>
    <cellStyle name="Percent 4 2 4 5" xfId="20144"/>
    <cellStyle name="Percent 4 2 4 6" xfId="24392"/>
    <cellStyle name="Percent 4 2 4 7" xfId="28518"/>
    <cellStyle name="Percent 4 2 5" xfId="4379"/>
    <cellStyle name="Percent 4 2 5 2" xfId="9353"/>
    <cellStyle name="Percent 4 2 5 3" xfId="13630"/>
    <cellStyle name="Percent 4 2 5 4" xfId="17890"/>
    <cellStyle name="Percent 4 2 5 5" xfId="22108"/>
    <cellStyle name="Percent 4 2 5 6" xfId="26304"/>
    <cellStyle name="Percent 4 2 5 7" xfId="30200"/>
    <cellStyle name="Percent 4 2 6" xfId="5728"/>
    <cellStyle name="Percent 4 2 6 2" xfId="10700"/>
    <cellStyle name="Percent 4 2 6 3" xfId="14978"/>
    <cellStyle name="Percent 4 2 6 4" xfId="19235"/>
    <cellStyle name="Percent 4 2 6 5" xfId="23452"/>
    <cellStyle name="Percent 4 2 6 6" xfId="27638"/>
    <cellStyle name="Percent 4 2 6 7" xfId="31517"/>
    <cellStyle name="Percent 4 2 7" xfId="6593"/>
    <cellStyle name="Percent 4 2 8" xfId="9014"/>
    <cellStyle name="Percent 4 2 9" xfId="13296"/>
    <cellStyle name="Percent 4 3" xfId="511"/>
    <cellStyle name="Percent 4 3 10" xfId="13306"/>
    <cellStyle name="Percent 4 3 11" xfId="16511"/>
    <cellStyle name="Percent 4 3 12" xfId="23363"/>
    <cellStyle name="Percent 4 3 13" xfId="1874"/>
    <cellStyle name="Percent 4 3 2" xfId="885"/>
    <cellStyle name="Percent 4 3 2 10" xfId="24260"/>
    <cellStyle name="Percent 4 3 2 11" xfId="28412"/>
    <cellStyle name="Percent 4 3 2 12" xfId="2204"/>
    <cellStyle name="Percent 4 3 2 2" xfId="1542"/>
    <cellStyle name="Percent 4 3 2 2 2" xfId="5573"/>
    <cellStyle name="Percent 4 3 2 2 2 2" xfId="10547"/>
    <cellStyle name="Percent 4 3 2 2 2 3" xfId="14824"/>
    <cellStyle name="Percent 4 3 2 2 2 4" xfId="19083"/>
    <cellStyle name="Percent 4 3 2 2 2 5" xfId="23302"/>
    <cellStyle name="Percent 4 3 2 2 2 6" xfId="27497"/>
    <cellStyle name="Percent 4 3 2 2 2 7" xfId="31393"/>
    <cellStyle name="Percent 4 3 2 2 3" xfId="8954"/>
    <cellStyle name="Percent 4 3 2 2 4" xfId="13237"/>
    <cellStyle name="Percent 4 3 2 2 5" xfId="17510"/>
    <cellStyle name="Percent 4 3 2 2 6" xfId="21745"/>
    <cellStyle name="Percent 4 3 2 2 7" xfId="25981"/>
    <cellStyle name="Percent 4 3 2 2 8" xfId="30054"/>
    <cellStyle name="Percent 4 3 2 2 9" xfId="3978"/>
    <cellStyle name="Percent 4 3 2 3" xfId="3148"/>
    <cellStyle name="Percent 4 3 2 3 2" xfId="8124"/>
    <cellStyle name="Percent 4 3 2 3 3" xfId="12411"/>
    <cellStyle name="Percent 4 3 2 3 4" xfId="16686"/>
    <cellStyle name="Percent 4 3 2 3 5" xfId="20922"/>
    <cellStyle name="Percent 4 3 2 3 6" xfId="25165"/>
    <cellStyle name="Percent 4 3 2 3 7" xfId="29249"/>
    <cellStyle name="Percent 4 3 2 4" xfId="4916"/>
    <cellStyle name="Percent 4 3 2 4 2" xfId="9890"/>
    <cellStyle name="Percent 4 3 2 4 3" xfId="14167"/>
    <cellStyle name="Percent 4 3 2 4 4" xfId="18426"/>
    <cellStyle name="Percent 4 3 2 4 5" xfId="22645"/>
    <cellStyle name="Percent 4 3 2 4 6" xfId="26840"/>
    <cellStyle name="Percent 4 3 2 4 7" xfId="30736"/>
    <cellStyle name="Percent 4 3 2 5" xfId="6264"/>
    <cellStyle name="Percent 4 3 2 5 2" xfId="11236"/>
    <cellStyle name="Percent 4 3 2 5 3" xfId="15514"/>
    <cellStyle name="Percent 4 3 2 5 4" xfId="19771"/>
    <cellStyle name="Percent 4 3 2 5 5" xfId="23988"/>
    <cellStyle name="Percent 4 3 2 5 6" xfId="28174"/>
    <cellStyle name="Percent 4 3 2 5 7" xfId="32053"/>
    <cellStyle name="Percent 4 3 2 6" xfId="7182"/>
    <cellStyle name="Percent 4 3 2 7" xfId="11474"/>
    <cellStyle name="Percent 4 3 2 8" xfId="15752"/>
    <cellStyle name="Percent 4 3 2 9" xfId="20009"/>
    <cellStyle name="Percent 4 3 3" xfId="1213"/>
    <cellStyle name="Percent 4 3 3 2" xfId="5244"/>
    <cellStyle name="Percent 4 3 3 2 2" xfId="10218"/>
    <cellStyle name="Percent 4 3 3 2 3" xfId="14495"/>
    <cellStyle name="Percent 4 3 3 2 4" xfId="18754"/>
    <cellStyle name="Percent 4 3 3 2 5" xfId="22973"/>
    <cellStyle name="Percent 4 3 3 2 6" xfId="27168"/>
    <cellStyle name="Percent 4 3 3 2 7" xfId="31064"/>
    <cellStyle name="Percent 4 3 3 3" xfId="8454"/>
    <cellStyle name="Percent 4 3 3 4" xfId="12739"/>
    <cellStyle name="Percent 4 3 3 5" xfId="17011"/>
    <cellStyle name="Percent 4 3 3 6" xfId="21246"/>
    <cellStyle name="Percent 4 3 3 7" xfId="25484"/>
    <cellStyle name="Percent 4 3 3 8" xfId="29562"/>
    <cellStyle name="Percent 4 3 3 9" xfId="3478"/>
    <cellStyle name="Percent 4 3 4" xfId="2621"/>
    <cellStyle name="Percent 4 3 4 2" xfId="7598"/>
    <cellStyle name="Percent 4 3 4 3" xfId="11887"/>
    <cellStyle name="Percent 4 3 4 4" xfId="16163"/>
    <cellStyle name="Percent 4 3 4 5" xfId="20405"/>
    <cellStyle name="Percent 4 3 4 6" xfId="24652"/>
    <cellStyle name="Percent 4 3 4 7" xfId="28755"/>
    <cellStyle name="Percent 4 3 5" xfId="4586"/>
    <cellStyle name="Percent 4 3 5 2" xfId="9560"/>
    <cellStyle name="Percent 4 3 5 3" xfId="13837"/>
    <cellStyle name="Percent 4 3 5 4" xfId="18097"/>
    <cellStyle name="Percent 4 3 5 5" xfId="22315"/>
    <cellStyle name="Percent 4 3 5 6" xfId="26511"/>
    <cellStyle name="Percent 4 3 5 7" xfId="30407"/>
    <cellStyle name="Percent 4 3 6" xfId="5935"/>
    <cellStyle name="Percent 4 3 6 2" xfId="10907"/>
    <cellStyle name="Percent 4 3 6 3" xfId="15185"/>
    <cellStyle name="Percent 4 3 6 4" xfId="19442"/>
    <cellStyle name="Percent 4 3 6 5" xfId="23659"/>
    <cellStyle name="Percent 4 3 6 6" xfId="27845"/>
    <cellStyle name="Percent 4 3 6 7" xfId="31724"/>
    <cellStyle name="Percent 4 3 7" xfId="6809"/>
    <cellStyle name="Percent 4 3 8" xfId="6440"/>
    <cellStyle name="Percent 4 3 9" xfId="9023"/>
    <cellStyle name="Percent 4 4" xfId="612"/>
    <cellStyle name="Percent 4 4 10" xfId="6359"/>
    <cellStyle name="Percent 4 4 11" xfId="20218"/>
    <cellStyle name="Percent 4 4 12" xfId="22071"/>
    <cellStyle name="Percent 4 4 13" xfId="1931"/>
    <cellStyle name="Percent 4 4 2" xfId="1269"/>
    <cellStyle name="Percent 4 4 2 10" xfId="3150"/>
    <cellStyle name="Percent 4 4 2 2" xfId="3980"/>
    <cellStyle name="Percent 4 4 2 2 2" xfId="8956"/>
    <cellStyle name="Percent 4 4 2 2 3" xfId="13239"/>
    <cellStyle name="Percent 4 4 2 2 4" xfId="17512"/>
    <cellStyle name="Percent 4 4 2 2 5" xfId="21747"/>
    <cellStyle name="Percent 4 4 2 2 6" xfId="25983"/>
    <cellStyle name="Percent 4 4 2 2 7" xfId="30056"/>
    <cellStyle name="Percent 4 4 2 3" xfId="5300"/>
    <cellStyle name="Percent 4 4 2 3 2" xfId="10274"/>
    <cellStyle name="Percent 4 4 2 3 3" xfId="14551"/>
    <cellStyle name="Percent 4 4 2 3 4" xfId="18810"/>
    <cellStyle name="Percent 4 4 2 3 5" xfId="23029"/>
    <cellStyle name="Percent 4 4 2 3 6" xfId="27224"/>
    <cellStyle name="Percent 4 4 2 3 7" xfId="31120"/>
    <cellStyle name="Percent 4 4 2 4" xfId="8126"/>
    <cellStyle name="Percent 4 4 2 5" xfId="12413"/>
    <cellStyle name="Percent 4 4 2 6" xfId="16688"/>
    <cellStyle name="Percent 4 4 2 7" xfId="20924"/>
    <cellStyle name="Percent 4 4 2 8" xfId="25167"/>
    <cellStyle name="Percent 4 4 2 9" xfId="29251"/>
    <cellStyle name="Percent 4 4 3" xfId="3979"/>
    <cellStyle name="Percent 4 4 3 2" xfId="8955"/>
    <cellStyle name="Percent 4 4 3 3" xfId="13238"/>
    <cellStyle name="Percent 4 4 3 4" xfId="17511"/>
    <cellStyle name="Percent 4 4 3 5" xfId="21746"/>
    <cellStyle name="Percent 4 4 3 6" xfId="25982"/>
    <cellStyle name="Percent 4 4 3 7" xfId="30055"/>
    <cellStyle name="Percent 4 4 4" xfId="3149"/>
    <cellStyle name="Percent 4 4 4 2" xfId="8125"/>
    <cellStyle name="Percent 4 4 4 3" xfId="12412"/>
    <cellStyle name="Percent 4 4 4 4" xfId="16687"/>
    <cellStyle name="Percent 4 4 4 5" xfId="20923"/>
    <cellStyle name="Percent 4 4 4 6" xfId="25166"/>
    <cellStyle name="Percent 4 4 4 7" xfId="29250"/>
    <cellStyle name="Percent 4 4 5" xfId="4643"/>
    <cellStyle name="Percent 4 4 5 2" xfId="9617"/>
    <cellStyle name="Percent 4 4 5 3" xfId="13894"/>
    <cellStyle name="Percent 4 4 5 4" xfId="18153"/>
    <cellStyle name="Percent 4 4 5 5" xfId="22372"/>
    <cellStyle name="Percent 4 4 5 6" xfId="26567"/>
    <cellStyle name="Percent 4 4 5 7" xfId="30463"/>
    <cellStyle name="Percent 4 4 6" xfId="5991"/>
    <cellStyle name="Percent 4 4 6 2" xfId="10963"/>
    <cellStyle name="Percent 4 4 6 3" xfId="15241"/>
    <cellStyle name="Percent 4 4 6 4" xfId="19498"/>
    <cellStyle name="Percent 4 4 6 5" xfId="23715"/>
    <cellStyle name="Percent 4 4 6 6" xfId="27901"/>
    <cellStyle name="Percent 4 4 6 7" xfId="31780"/>
    <cellStyle name="Percent 4 4 7" xfId="6909"/>
    <cellStyle name="Percent 4 4 8" xfId="6308"/>
    <cellStyle name="Percent 4 4 9" xfId="6509"/>
    <cellStyle name="Percent 4 5" xfId="940"/>
    <cellStyle name="Percent 4 5 10" xfId="3151"/>
    <cellStyle name="Percent 4 5 2" xfId="3981"/>
    <cellStyle name="Percent 4 5 2 2" xfId="8957"/>
    <cellStyle name="Percent 4 5 2 3" xfId="13240"/>
    <cellStyle name="Percent 4 5 2 4" xfId="17513"/>
    <cellStyle name="Percent 4 5 2 5" xfId="21748"/>
    <cellStyle name="Percent 4 5 2 6" xfId="25984"/>
    <cellStyle name="Percent 4 5 2 7" xfId="30057"/>
    <cellStyle name="Percent 4 5 3" xfId="4971"/>
    <cellStyle name="Percent 4 5 3 2" xfId="9945"/>
    <cellStyle name="Percent 4 5 3 3" xfId="14222"/>
    <cellStyle name="Percent 4 5 3 4" xfId="18481"/>
    <cellStyle name="Percent 4 5 3 5" xfId="22700"/>
    <cellStyle name="Percent 4 5 3 6" xfId="26895"/>
    <cellStyle name="Percent 4 5 3 7" xfId="30791"/>
    <cellStyle name="Percent 4 5 4" xfId="8127"/>
    <cellStyle name="Percent 4 5 5" xfId="12414"/>
    <cellStyle name="Percent 4 5 6" xfId="16689"/>
    <cellStyle name="Percent 4 5 7" xfId="20925"/>
    <cellStyle name="Percent 4 5 8" xfId="25168"/>
    <cellStyle name="Percent 4 5 9" xfId="29252"/>
    <cellStyle name="Percent 4 6" xfId="3183"/>
    <cellStyle name="Percent 4 6 2" xfId="8159"/>
    <cellStyle name="Percent 4 6 3" xfId="12445"/>
    <cellStyle name="Percent 4 6 4" xfId="16719"/>
    <cellStyle name="Percent 4 6 5" xfId="20955"/>
    <cellStyle name="Percent 4 6 6" xfId="25195"/>
    <cellStyle name="Percent 4 6 7" xfId="29276"/>
    <cellStyle name="Percent 4 7" xfId="2270"/>
    <cellStyle name="Percent 4 7 2" xfId="7248"/>
    <cellStyle name="Percent 4 7 3" xfId="11538"/>
    <cellStyle name="Percent 4 7 4" xfId="15817"/>
    <cellStyle name="Percent 4 7 5" xfId="20072"/>
    <cellStyle name="Percent 4 7 6" xfId="24322"/>
    <cellStyle name="Percent 4 7 7" xfId="28467"/>
    <cellStyle name="Percent 4 8" xfId="4308"/>
    <cellStyle name="Percent 4 8 2" xfId="9282"/>
    <cellStyle name="Percent 4 8 3" xfId="13559"/>
    <cellStyle name="Percent 4 8 4" xfId="17819"/>
    <cellStyle name="Percent 4 8 5" xfId="22038"/>
    <cellStyle name="Percent 4 8 6" xfId="26236"/>
    <cellStyle name="Percent 4 8 7" xfId="30133"/>
    <cellStyle name="Percent 4 9" xfId="5663"/>
    <cellStyle name="Percent 4 9 2" xfId="10635"/>
    <cellStyle name="Percent 4 9 3" xfId="14913"/>
    <cellStyle name="Percent 4 9 4" xfId="19170"/>
    <cellStyle name="Percent 4 9 5" xfId="23387"/>
    <cellStyle name="Percent 4 9 6" xfId="27573"/>
    <cellStyle name="Percent 4 9 7" xfId="31452"/>
    <cellStyle name="Percent 5" xfId="268"/>
    <cellStyle name="Percent 5 2" xfId="358"/>
    <cellStyle name="Percent 5 2 10" xfId="15793"/>
    <cellStyle name="Percent 5 2 11" xfId="21860"/>
    <cellStyle name="Percent 5 2 12" xfId="24299"/>
    <cellStyle name="Percent 5 2 13" xfId="1721"/>
    <cellStyle name="Percent 5 2 2" xfId="732"/>
    <cellStyle name="Percent 5 2 2 10" xfId="24107"/>
    <cellStyle name="Percent 5 2 2 11" xfId="28259"/>
    <cellStyle name="Percent 5 2 2 12" xfId="2051"/>
    <cellStyle name="Percent 5 2 2 2" xfId="1389"/>
    <cellStyle name="Percent 5 2 2 2 2" xfId="5420"/>
    <cellStyle name="Percent 5 2 2 2 2 2" xfId="10394"/>
    <cellStyle name="Percent 5 2 2 2 2 3" xfId="14671"/>
    <cellStyle name="Percent 5 2 2 2 2 4" xfId="18930"/>
    <cellStyle name="Percent 5 2 2 2 2 5" xfId="23149"/>
    <cellStyle name="Percent 5 2 2 2 2 6" xfId="27344"/>
    <cellStyle name="Percent 5 2 2 2 2 7" xfId="31240"/>
    <cellStyle name="Percent 5 2 2 2 3" xfId="8958"/>
    <cellStyle name="Percent 5 2 2 2 4" xfId="13241"/>
    <cellStyle name="Percent 5 2 2 2 5" xfId="17514"/>
    <cellStyle name="Percent 5 2 2 2 6" xfId="21749"/>
    <cellStyle name="Percent 5 2 2 2 7" xfId="25985"/>
    <cellStyle name="Percent 5 2 2 2 8" xfId="30058"/>
    <cellStyle name="Percent 5 2 2 2 9" xfId="3982"/>
    <cellStyle name="Percent 5 2 2 3" xfId="3152"/>
    <cellStyle name="Percent 5 2 2 3 2" xfId="8128"/>
    <cellStyle name="Percent 5 2 2 3 3" xfId="12415"/>
    <cellStyle name="Percent 5 2 2 3 4" xfId="16690"/>
    <cellStyle name="Percent 5 2 2 3 5" xfId="20926"/>
    <cellStyle name="Percent 5 2 2 3 6" xfId="25169"/>
    <cellStyle name="Percent 5 2 2 3 7" xfId="29253"/>
    <cellStyle name="Percent 5 2 2 4" xfId="4763"/>
    <cellStyle name="Percent 5 2 2 4 2" xfId="9737"/>
    <cellStyle name="Percent 5 2 2 4 3" xfId="14014"/>
    <cellStyle name="Percent 5 2 2 4 4" xfId="18273"/>
    <cellStyle name="Percent 5 2 2 4 5" xfId="22492"/>
    <cellStyle name="Percent 5 2 2 4 6" xfId="26687"/>
    <cellStyle name="Percent 5 2 2 4 7" xfId="30583"/>
    <cellStyle name="Percent 5 2 2 5" xfId="6111"/>
    <cellStyle name="Percent 5 2 2 5 2" xfId="11083"/>
    <cellStyle name="Percent 5 2 2 5 3" xfId="15361"/>
    <cellStyle name="Percent 5 2 2 5 4" xfId="19618"/>
    <cellStyle name="Percent 5 2 2 5 5" xfId="23835"/>
    <cellStyle name="Percent 5 2 2 5 6" xfId="28021"/>
    <cellStyle name="Percent 5 2 2 5 7" xfId="31900"/>
    <cellStyle name="Percent 5 2 2 6" xfId="7029"/>
    <cellStyle name="Percent 5 2 2 7" xfId="11321"/>
    <cellStyle name="Percent 5 2 2 8" xfId="15599"/>
    <cellStyle name="Percent 5 2 2 9" xfId="19856"/>
    <cellStyle name="Percent 5 2 3" xfId="1060"/>
    <cellStyle name="Percent 5 2 3 2" xfId="5091"/>
    <cellStyle name="Percent 5 2 3 2 2" xfId="10065"/>
    <cellStyle name="Percent 5 2 3 2 3" xfId="14342"/>
    <cellStyle name="Percent 5 2 3 2 4" xfId="18601"/>
    <cellStyle name="Percent 5 2 3 2 5" xfId="22820"/>
    <cellStyle name="Percent 5 2 3 2 6" xfId="27015"/>
    <cellStyle name="Percent 5 2 3 2 7" xfId="30911"/>
    <cellStyle name="Percent 5 2 3 3" xfId="8286"/>
    <cellStyle name="Percent 5 2 3 4" xfId="12571"/>
    <cellStyle name="Percent 5 2 3 5" xfId="16843"/>
    <cellStyle name="Percent 5 2 3 6" xfId="21078"/>
    <cellStyle name="Percent 5 2 3 7" xfId="25316"/>
    <cellStyle name="Percent 5 2 3 8" xfId="29394"/>
    <cellStyle name="Percent 5 2 3 9" xfId="3310"/>
    <cellStyle name="Percent 5 2 4" xfId="2449"/>
    <cellStyle name="Percent 5 2 4 2" xfId="7426"/>
    <cellStyle name="Percent 5 2 4 3" xfId="11715"/>
    <cellStyle name="Percent 5 2 4 4" xfId="15993"/>
    <cellStyle name="Percent 5 2 4 5" xfId="20236"/>
    <cellStyle name="Percent 5 2 4 6" xfId="24482"/>
    <cellStyle name="Percent 5 2 4 7" xfId="28587"/>
    <cellStyle name="Percent 5 2 5" xfId="4433"/>
    <cellStyle name="Percent 5 2 5 2" xfId="9407"/>
    <cellStyle name="Percent 5 2 5 3" xfId="13684"/>
    <cellStyle name="Percent 5 2 5 4" xfId="17944"/>
    <cellStyle name="Percent 5 2 5 5" xfId="22162"/>
    <cellStyle name="Percent 5 2 5 6" xfId="26358"/>
    <cellStyle name="Percent 5 2 5 7" xfId="30254"/>
    <cellStyle name="Percent 5 2 6" xfId="5782"/>
    <cellStyle name="Percent 5 2 6 2" xfId="10754"/>
    <cellStyle name="Percent 5 2 6 3" xfId="15032"/>
    <cellStyle name="Percent 5 2 6 4" xfId="19289"/>
    <cellStyle name="Percent 5 2 6 5" xfId="23506"/>
    <cellStyle name="Percent 5 2 6 6" xfId="27692"/>
    <cellStyle name="Percent 5 2 6 7" xfId="31571"/>
    <cellStyle name="Percent 5 2 7" xfId="6656"/>
    <cellStyle name="Percent 5 2 8" xfId="7223"/>
    <cellStyle name="Percent 5 2 9" xfId="11515"/>
    <cellStyle name="Percent 6" xfId="589"/>
    <cellStyle name="Percent 6 2" xfId="3153"/>
    <cellStyle name="Percent 6 2 2" xfId="3983"/>
    <cellStyle name="Percent 6 2 2 2" xfId="8959"/>
    <cellStyle name="Percent 6 2 2 3" xfId="13242"/>
    <cellStyle name="Percent 6 2 2 4" xfId="17515"/>
    <cellStyle name="Percent 6 2 2 5" xfId="21750"/>
    <cellStyle name="Percent 6 2 2 6" xfId="25986"/>
    <cellStyle name="Percent 6 2 2 7" xfId="30059"/>
    <cellStyle name="Percent 6 2 3" xfId="8129"/>
    <cellStyle name="Percent 6 2 4" xfId="12416"/>
    <cellStyle name="Percent 6 2 5" xfId="16691"/>
    <cellStyle name="Percent 6 2 6" xfId="20927"/>
    <cellStyle name="Percent 6 2 7" xfId="25170"/>
    <cellStyle name="Percent 6 2 8" xfId="29254"/>
    <cellStyle name="Percent 6 3" xfId="3445"/>
    <cellStyle name="Percent 6 3 2" xfId="8421"/>
    <cellStyle name="Percent 6 3 3" xfId="12706"/>
    <cellStyle name="Percent 6 3 4" xfId="16978"/>
    <cellStyle name="Percent 6 3 5" xfId="21213"/>
    <cellStyle name="Percent 6 3 6" xfId="25451"/>
    <cellStyle name="Percent 6 3 7" xfId="29529"/>
    <cellStyle name="Percent 6 4" xfId="2586"/>
    <cellStyle name="Percent 6 4 2" xfId="7563"/>
    <cellStyle name="Percent 6 4 3" xfId="11852"/>
    <cellStyle name="Percent 6 4 4" xfId="16128"/>
    <cellStyle name="Percent 6 4 5" xfId="20371"/>
    <cellStyle name="Percent 6 4 6" xfId="24617"/>
    <cellStyle name="Percent 6 4 7" xfId="28722"/>
    <cellStyle name="Percent 6 5" xfId="4055"/>
    <cellStyle name="Percent 7" xfId="2657"/>
    <cellStyle name="Percent 7 2" xfId="3514"/>
    <cellStyle name="Percent 7 2 2" xfId="8490"/>
    <cellStyle name="Percent 7 2 3" xfId="12775"/>
    <cellStyle name="Percent 7 2 4" xfId="17047"/>
    <cellStyle name="Percent 7 2 5" xfId="21282"/>
    <cellStyle name="Percent 7 2 6" xfId="25520"/>
    <cellStyle name="Percent 7 2 7" xfId="29598"/>
    <cellStyle name="Percent 7 3" xfId="7634"/>
    <cellStyle name="Percent 7 4" xfId="11923"/>
    <cellStyle name="Percent 7 5" xfId="16199"/>
    <cellStyle name="Percent 7 6" xfId="20441"/>
    <cellStyle name="Percent 7 7" xfId="24688"/>
    <cellStyle name="Percent 7 8" xfId="28791"/>
    <cellStyle name="Percent 8" xfId="3154"/>
    <cellStyle name="Percent 8 2" xfId="3984"/>
    <cellStyle name="Percent 8 2 2" xfId="8960"/>
    <cellStyle name="Percent 8 2 3" xfId="13243"/>
    <cellStyle name="Percent 8 2 4" xfId="17516"/>
    <cellStyle name="Percent 8 2 5" xfId="21751"/>
    <cellStyle name="Percent 8 2 6" xfId="25987"/>
    <cellStyle name="Percent 8 2 7" xfId="30060"/>
    <cellStyle name="Percent 8 3" xfId="8130"/>
    <cellStyle name="Percent 8 4" xfId="12417"/>
    <cellStyle name="Percent 8 5" xfId="16692"/>
    <cellStyle name="Percent 8 6" xfId="20928"/>
    <cellStyle name="Percent 8 7" xfId="25171"/>
    <cellStyle name="Percent 8 8" xfId="29255"/>
    <cellStyle name="Percent 9" xfId="4341"/>
    <cellStyle name="Section Break" xfId="4125"/>
    <cellStyle name="Section Break: parent row" xfId="2418"/>
    <cellStyle name="Style 1" xfId="195"/>
    <cellStyle name="Style 1 2" xfId="3155"/>
    <cellStyle name="Style 1 2 2" xfId="3985"/>
    <cellStyle name="Style 1 3" xfId="3215"/>
    <cellStyle name="Table title" xfId="4099"/>
    <cellStyle name="Title" xfId="50" builtinId="15" customBuiltin="1"/>
    <cellStyle name="Title 2" xfId="56"/>
    <cellStyle name="Title 2 2" xfId="5642"/>
    <cellStyle name="Title 3" xfId="161"/>
    <cellStyle name="Title 4" xfId="212"/>
    <cellStyle name="Title 5" xfId="590"/>
    <cellStyle name="Total" xfId="51" builtinId="25" customBuiltin="1"/>
    <cellStyle name="Total 2" xfId="72"/>
    <cellStyle name="Total 2 2" xfId="5643"/>
    <cellStyle name="Total 3" xfId="162"/>
    <cellStyle name="Total 3 2" xfId="3156"/>
    <cellStyle name="Total 3 2 2" xfId="3986"/>
    <cellStyle name="Total 3 3" xfId="3163"/>
    <cellStyle name="Total 4" xfId="261"/>
    <cellStyle name="Total 4 2" xfId="3247"/>
    <cellStyle name="Total 5" xfId="591"/>
    <cellStyle name="Total 5 2" xfId="3987"/>
    <cellStyle name="Total 5 3" xfId="4266"/>
    <cellStyle name="Warning Text" xfId="52" builtinId="11" customBuiltin="1"/>
    <cellStyle name="Warning Text 2" xfId="69"/>
    <cellStyle name="Warning Text 2 2" xfId="5644"/>
    <cellStyle name="Warning Text 3" xfId="163"/>
    <cellStyle name="Warning Text 4" xfId="264"/>
    <cellStyle name="Warning Text 5" xfId="592"/>
    <cellStyle name="WizardGenericStyleDate" xfId="184"/>
    <cellStyle name="WizardGenericStyleGeneral" xfId="187"/>
    <cellStyle name="WizardGenericStyleHeading1" xfId="211"/>
    <cellStyle name="WizardGenericStyleHeading2" xfId="274"/>
    <cellStyle name="WizardGenericStyleInterger" xfId="253"/>
    <cellStyle name="WizardGenericStyleMoney" xfId="260"/>
    <cellStyle name="WizardGenericStyleNumber" xfId="183"/>
    <cellStyle name="WizardGenericStylePercentage" xfId="186"/>
    <cellStyle name="WizardReportExecutiveHeading1" xfId="185"/>
    <cellStyle name="WizardReportExecutiveHeading2" xfId="182"/>
    <cellStyle name="WizardReportExecutiveHeading3" xfId="18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font>
    </dxf>
  </dxfs>
  <tableStyles count="1" defaultTableStyle="TableStyleMedium9" defaultPivotStyle="PivotStyleLight16">
    <tableStyle name="Table Style 1" pivot="0" count="1">
      <tableStyleElement type="firstRowStripe" dxfId="4"/>
    </tableStyle>
  </tableStyles>
  <colors>
    <mruColors>
      <color rgb="FF0000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200" b="0" i="0" u="none" strike="noStrike" kern="1200" spc="0" baseline="0">
                <a:solidFill>
                  <a:schemeClr val="tx1"/>
                </a:solidFill>
                <a:latin typeface="+mn-lt"/>
                <a:ea typeface="+mn-ea"/>
                <a:cs typeface="+mn-cs"/>
              </a:defRPr>
            </a:pPr>
            <a:r>
              <a:rPr lang="en-US" sz="1200"/>
              <a:t>Benefit/Cost By Project Type</a:t>
            </a:r>
          </a:p>
          <a:p>
            <a:pPr algn="ctr" rtl="0">
              <a:defRPr sz="1200"/>
            </a:pPr>
            <a:r>
              <a:rPr lang="en-US" sz="1200"/>
              <a:t>B/C&gt;1 is Likely Cost Effective</a:t>
            </a:r>
          </a:p>
        </c:rich>
      </c:tx>
      <c:layout/>
      <c:overlay val="0"/>
      <c:spPr>
        <a:noFill/>
        <a:ln>
          <a:noFill/>
        </a:ln>
        <a:effectLst/>
      </c:spPr>
      <c:txPr>
        <a:bodyPr rot="0" spcFirstLastPara="1" vertOverflow="ellipsis" vert="horz" wrap="square" anchor="ctr" anchorCtr="1"/>
        <a:lstStyle/>
        <a:p>
          <a:pPr algn="ctr" rtl="0">
            <a:defRPr sz="1200" b="0"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'Community Data Summary'!$E$8</c:f>
              <c:strCache>
                <c:ptCount val="1"/>
                <c:pt idx="0">
                  <c:v>B/C</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'Community Data Summary'!$A$9:$A$21</c:f>
              <c:strCache>
                <c:ptCount val="13"/>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Biomass--Cordwood</c:v>
                </c:pt>
                <c:pt idx="9">
                  <c:v>Biomass--Pellets</c:v>
                </c:pt>
                <c:pt idx="10">
                  <c:v>Solar</c:v>
                </c:pt>
                <c:pt idx="11">
                  <c:v>Interties</c:v>
                </c:pt>
                <c:pt idx="12">
                  <c:v>Bulk Fuel</c:v>
                </c:pt>
              </c:strCache>
            </c:strRef>
          </c:cat>
          <c:val>
            <c:numRef>
              <c:f>'Community Data Summary'!$E$9:$E$21</c:f>
              <c:numCache>
                <c:formatCode>0.00</c:formatCode>
                <c:ptCount val="13"/>
                <c:pt idx="0">
                  <c:v>1.7259953072154257</c:v>
                </c:pt>
                <c:pt idx="1">
                  <c:v>1.9255953000354471</c:v>
                </c:pt>
                <c:pt idx="2">
                  <c:v>0.81505649917165723</c:v>
                </c:pt>
                <c:pt idx="3">
                  <c:v>0</c:v>
                </c:pt>
                <c:pt idx="4">
                  <c:v>0.2721930164754558</c:v>
                </c:pt>
                <c:pt idx="5">
                  <c:v>0.75194098823998834</c:v>
                </c:pt>
                <c:pt idx="6">
                  <c:v>0</c:v>
                </c:pt>
                <c:pt idx="7">
                  <c:v>0</c:v>
                </c:pt>
                <c:pt idx="8">
                  <c:v>0</c:v>
                </c:pt>
                <c:pt idx="9">
                  <c:v>2.2741652966127726</c:v>
                </c:pt>
                <c:pt idx="10">
                  <c:v>6.4523438719614315E-2</c:v>
                </c:pt>
                <c:pt idx="11">
                  <c:v>0</c:v>
                </c:pt>
                <c:pt idx="12">
                  <c:v>0</c:v>
                </c:pt>
              </c:numCache>
            </c:numRef>
          </c:val>
        </c:ser>
        <c:dLbls>
          <c:showLegendKey val="0"/>
          <c:showVal val="0"/>
          <c:showCatName val="0"/>
          <c:showSerName val="0"/>
          <c:showPercent val="0"/>
          <c:showBubbleSize val="0"/>
        </c:dLbls>
        <c:gapWidth val="219"/>
        <c:axId val="559063752"/>
        <c:axId val="559065320"/>
      </c:barChart>
      <c:catAx>
        <c:axId val="559063752"/>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559065320"/>
        <c:crosses val="autoZero"/>
        <c:auto val="1"/>
        <c:lblAlgn val="ctr"/>
        <c:lblOffset val="100"/>
        <c:noMultiLvlLbl val="0"/>
      </c:catAx>
      <c:valAx>
        <c:axId val="559065320"/>
        <c:scaling>
          <c:orientation val="minMax"/>
        </c:scaling>
        <c:delete val="0"/>
        <c:axPos val="t"/>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559063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accent1"/>
      </a:solidFill>
      <a:round/>
    </a:ln>
    <a:effectLst/>
  </c:spPr>
  <c:txPr>
    <a:bodyPr/>
    <a:lstStyle/>
    <a:p>
      <a:pPr>
        <a:defRPr sz="1100">
          <a:solidFill>
            <a:schemeClr val="tx1"/>
          </a:solidFill>
        </a:defRPr>
      </a:pPr>
      <a:endParaRPr lang="en-US"/>
    </a:p>
  </c:txPr>
  <c:printSettings>
    <c:headerFooter/>
    <c:pageMargins b="0.75" l="0.7" r="0.7" t="0.75" header="0.3" footer="0.3"/>
    <c:pageSetup orientation="portrait"/>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solidFill>
                <a:latin typeface="+mn-lt"/>
                <a:ea typeface="+mn-ea"/>
                <a:cs typeface="+mn-cs"/>
              </a:defRPr>
            </a:pPr>
            <a:r>
              <a:rPr lang="en-US" sz="1400"/>
              <a:t>Price Comparison to State and Region </a:t>
            </a:r>
          </a:p>
          <a:p>
            <a:pPr>
              <a:defRPr sz="1200"/>
            </a:pPr>
            <a:r>
              <a:rPr lang="en-US" sz="1400"/>
              <a:t>(2014)</a:t>
            </a:r>
          </a:p>
        </c:rich>
      </c:tx>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'Community Data Summary'!$J$27</c:f>
              <c:strCache>
                <c:ptCount val="1"/>
                <c:pt idx="0">
                  <c:v>State Average</c:v>
                </c:pt>
              </c:strCache>
            </c:strRef>
          </c:tx>
          <c:spPr>
            <a:solidFill>
              <a:schemeClr val="accent1"/>
            </a:solidFill>
            <a:ln>
              <a:noFill/>
            </a:ln>
            <a:effectLst/>
          </c:spPr>
          <c:invertIfNegative val="0"/>
          <c:cat>
            <c:strRef>
              <c:f>'Community Data Summary'!$G$28:$G$30</c:f>
              <c:strCache>
                <c:ptCount val="3"/>
                <c:pt idx="0">
                  <c:v>Heating Oil ($/gal)</c:v>
                </c:pt>
                <c:pt idx="1">
                  <c:v>Electricity Cost ($/kWh): pre-PCE</c:v>
                </c:pt>
                <c:pt idx="2">
                  <c:v>Electricity Cost ($/kWh): Post-PCE</c:v>
                </c:pt>
              </c:strCache>
            </c:strRef>
          </c:cat>
          <c:val>
            <c:numRef>
              <c:f>'Community Data Summary'!$J$28:$J$30</c:f>
              <c:numCache>
                <c:formatCode>_("$"* #,##0.00_);_("$"* \(#,##0.00\);_("$"* "-"??_);_(@_)</c:formatCode>
                <c:ptCount val="3"/>
                <c:pt idx="0" formatCode="&quot;$&quot;#,##0.00_);[Red]\(&quot;$&quot;#,##0.00\)">
                  <c:v>4.2</c:v>
                </c:pt>
                <c:pt idx="1">
                  <c:v>0.25</c:v>
                </c:pt>
                <c:pt idx="2">
                  <c:v>0.22</c:v>
                </c:pt>
              </c:numCache>
            </c:numRef>
          </c:val>
        </c:ser>
        <c:ser>
          <c:idx val="1"/>
          <c:order val="1"/>
          <c:tx>
            <c:strRef>
              <c:f>'Community Data Summary'!$I$27</c:f>
              <c:strCache>
                <c:ptCount val="1"/>
                <c:pt idx="0">
                  <c:v>Region</c:v>
                </c:pt>
              </c:strCache>
            </c:strRef>
          </c:tx>
          <c:spPr>
            <a:solidFill>
              <a:schemeClr val="accent2"/>
            </a:solidFill>
            <a:ln>
              <a:noFill/>
            </a:ln>
            <a:effectLst/>
          </c:spPr>
          <c:invertIfNegative val="0"/>
          <c:cat>
            <c:strRef>
              <c:f>'Community Data Summary'!$G$28:$G$30</c:f>
              <c:strCache>
                <c:ptCount val="3"/>
                <c:pt idx="0">
                  <c:v>Heating Oil ($/gal)</c:v>
                </c:pt>
                <c:pt idx="1">
                  <c:v>Electricity Cost ($/kWh): pre-PCE</c:v>
                </c:pt>
                <c:pt idx="2">
                  <c:v>Electricity Cost ($/kWh): Post-PCE</c:v>
                </c:pt>
              </c:strCache>
            </c:strRef>
          </c:cat>
          <c:val>
            <c:numRef>
              <c:f>'Community Data Summary'!$I$28:$I$30</c:f>
              <c:numCache>
                <c:formatCode>_("$"* #,##0.00_);_("$"* \(#,##0.00\);_("$"* "-"??_);_(@_)</c:formatCode>
                <c:ptCount val="3"/>
                <c:pt idx="0" formatCode="&quot;$&quot;#,##0.00_);[Red]\(&quot;$&quot;#,##0.00\)">
                  <c:v>5.5</c:v>
                </c:pt>
                <c:pt idx="1">
                  <c:v>0.5</c:v>
                </c:pt>
                <c:pt idx="2">
                  <c:v>0.27</c:v>
                </c:pt>
              </c:numCache>
            </c:numRef>
          </c:val>
        </c:ser>
        <c:ser>
          <c:idx val="2"/>
          <c:order val="2"/>
          <c:tx>
            <c:strRef>
              <c:f>'Community Data Summary'!$H$27</c:f>
              <c:strCache>
                <c:ptCount val="1"/>
                <c:pt idx="0">
                  <c:v>Manley Hot Springs</c:v>
                </c:pt>
              </c:strCache>
            </c:strRef>
          </c:tx>
          <c:spPr>
            <a:solidFill>
              <a:schemeClr val="accent3"/>
            </a:solidFill>
            <a:ln>
              <a:noFill/>
            </a:ln>
            <a:effectLst/>
          </c:spPr>
          <c:invertIfNegative val="0"/>
          <c:cat>
            <c:strRef>
              <c:f>'Community Data Summary'!$G$28:$G$30</c:f>
              <c:strCache>
                <c:ptCount val="3"/>
                <c:pt idx="0">
                  <c:v>Heating Oil ($/gal)</c:v>
                </c:pt>
                <c:pt idx="1">
                  <c:v>Electricity Cost ($/kWh): pre-PCE</c:v>
                </c:pt>
                <c:pt idx="2">
                  <c:v>Electricity Cost ($/kWh): Post-PCE</c:v>
                </c:pt>
              </c:strCache>
            </c:strRef>
          </c:cat>
          <c:val>
            <c:numRef>
              <c:f>'Community Data Summary'!$H$28:$H$30</c:f>
              <c:numCache>
                <c:formatCode>General</c:formatCode>
                <c:ptCount val="3"/>
                <c:pt idx="0" formatCode="_(&quot;$&quot;* #,##0.00_);_(&quot;$&quot;* \(#,##0.00\);_(&quot;$&quot;* &quot;-&quot;??_);_(@_)">
                  <c:v>4.4800000000000004</c:v>
                </c:pt>
                <c:pt idx="1">
                  <c:v>0.55000000000000004</c:v>
                </c:pt>
                <c:pt idx="2">
                  <c:v>0.32</c:v>
                </c:pt>
              </c:numCache>
            </c:numRef>
          </c:val>
        </c:ser>
        <c:dLbls>
          <c:showLegendKey val="0"/>
          <c:showVal val="0"/>
          <c:showCatName val="0"/>
          <c:showSerName val="0"/>
          <c:showPercent val="0"/>
          <c:showBubbleSize val="0"/>
        </c:dLbls>
        <c:gapWidth val="219"/>
        <c:overlap val="-27"/>
        <c:axId val="797995736"/>
        <c:axId val="797996128"/>
      </c:barChart>
      <c:catAx>
        <c:axId val="797995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797996128"/>
        <c:crosses val="autoZero"/>
        <c:auto val="1"/>
        <c:lblAlgn val="ctr"/>
        <c:lblOffset val="100"/>
        <c:noMultiLvlLbl val="0"/>
      </c:catAx>
      <c:valAx>
        <c:axId val="7979961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797995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accent1"/>
      </a:solidFill>
      <a:round/>
    </a:ln>
    <a:effectLst/>
  </c:spPr>
  <c:txPr>
    <a:bodyPr/>
    <a:lstStyle/>
    <a:p>
      <a:pPr>
        <a:defRPr sz="1100">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solidFill>
                <a:latin typeface="+mn-lt"/>
                <a:ea typeface="+mn-ea"/>
                <a:cs typeface="+mn-cs"/>
              </a:defRPr>
            </a:pPr>
            <a:r>
              <a:rPr lang="en-US"/>
              <a:t>Population Forecast</a:t>
            </a:r>
          </a:p>
        </c:rich>
      </c:tx>
      <c:layout>
        <c:manualLayout>
          <c:xMode val="edge"/>
          <c:yMode val="edge"/>
          <c:x val="0.34004855643044618"/>
          <c:y val="1.3888888888888888E-2"/>
        </c:manualLayout>
      </c:layout>
      <c:overlay val="0"/>
      <c:spPr>
        <a:noFill/>
        <a:ln>
          <a:noFill/>
        </a:ln>
        <a:effectLst/>
      </c:spPr>
      <c:txPr>
        <a:bodyPr rot="0" spcFirstLastPara="1" vertOverflow="ellipsis" vert="horz" wrap="square" anchor="ctr" anchorCtr="1"/>
        <a:lstStyle/>
        <a:p>
          <a:pPr>
            <a:defRPr sz="144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(Forecast!$A$6:$A$29,Forecast!$A$38:$A$76)</c:f>
              <c:numCache>
                <c:formatCode>General</c:formatCode>
                <c:ptCount val="63"/>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pt idx="30">
                  <c:v>2021</c:v>
                </c:pt>
                <c:pt idx="31">
                  <c:v>2022</c:v>
                </c:pt>
                <c:pt idx="32">
                  <c:v>2023</c:v>
                </c:pt>
                <c:pt idx="33">
                  <c:v>2024</c:v>
                </c:pt>
                <c:pt idx="34">
                  <c:v>2025</c:v>
                </c:pt>
                <c:pt idx="35">
                  <c:v>2026</c:v>
                </c:pt>
                <c:pt idx="36">
                  <c:v>2027</c:v>
                </c:pt>
                <c:pt idx="37">
                  <c:v>2028</c:v>
                </c:pt>
                <c:pt idx="38">
                  <c:v>2029</c:v>
                </c:pt>
                <c:pt idx="39">
                  <c:v>2030</c:v>
                </c:pt>
                <c:pt idx="40">
                  <c:v>2031</c:v>
                </c:pt>
                <c:pt idx="41">
                  <c:v>2032</c:v>
                </c:pt>
                <c:pt idx="42">
                  <c:v>2033</c:v>
                </c:pt>
                <c:pt idx="43">
                  <c:v>2034</c:v>
                </c:pt>
                <c:pt idx="44">
                  <c:v>2035</c:v>
                </c:pt>
                <c:pt idx="45">
                  <c:v>2036</c:v>
                </c:pt>
                <c:pt idx="46">
                  <c:v>2037</c:v>
                </c:pt>
                <c:pt idx="47">
                  <c:v>2038</c:v>
                </c:pt>
                <c:pt idx="48">
                  <c:v>2039</c:v>
                </c:pt>
                <c:pt idx="49">
                  <c:v>2040</c:v>
                </c:pt>
                <c:pt idx="50">
                  <c:v>2041</c:v>
                </c:pt>
                <c:pt idx="51">
                  <c:v>2042</c:v>
                </c:pt>
                <c:pt idx="52">
                  <c:v>2043</c:v>
                </c:pt>
                <c:pt idx="53">
                  <c:v>2044</c:v>
                </c:pt>
                <c:pt idx="54">
                  <c:v>2045</c:v>
                </c:pt>
                <c:pt idx="55">
                  <c:v>2046</c:v>
                </c:pt>
                <c:pt idx="56">
                  <c:v>2047</c:v>
                </c:pt>
                <c:pt idx="57">
                  <c:v>2048</c:v>
                </c:pt>
                <c:pt idx="58">
                  <c:v>2049</c:v>
                </c:pt>
                <c:pt idx="59">
                  <c:v>2050</c:v>
                </c:pt>
                <c:pt idx="60">
                  <c:v>2051</c:v>
                </c:pt>
                <c:pt idx="61">
                  <c:v>2052</c:v>
                </c:pt>
                <c:pt idx="62">
                  <c:v>2053</c:v>
                </c:pt>
              </c:numCache>
            </c:numRef>
          </c:xVal>
          <c:yVal>
            <c:numRef>
              <c:f>(Forecast!$C$6:$C$29,Forecast!$C$38:$C$76)</c:f>
              <c:numCache>
                <c:formatCode>General</c:formatCode>
                <c:ptCount val="63"/>
                <c:pt idx="0">
                  <c:v>105</c:v>
                </c:pt>
                <c:pt idx="1">
                  <c:v>107</c:v>
                </c:pt>
                <c:pt idx="2">
                  <c:v>109</c:v>
                </c:pt>
                <c:pt idx="3">
                  <c:v>106</c:v>
                </c:pt>
                <c:pt idx="4">
                  <c:v>95</c:v>
                </c:pt>
                <c:pt idx="5">
                  <c:v>99</c:v>
                </c:pt>
                <c:pt idx="6">
                  <c:v>90</c:v>
                </c:pt>
                <c:pt idx="7">
                  <c:v>95</c:v>
                </c:pt>
                <c:pt idx="8">
                  <c:v>88</c:v>
                </c:pt>
                <c:pt idx="9">
                  <c:v>72</c:v>
                </c:pt>
                <c:pt idx="10">
                  <c:v>74</c:v>
                </c:pt>
                <c:pt idx="11">
                  <c:v>73</c:v>
                </c:pt>
                <c:pt idx="12">
                  <c:v>71</c:v>
                </c:pt>
                <c:pt idx="13">
                  <c:v>75</c:v>
                </c:pt>
                <c:pt idx="14">
                  <c:v>76</c:v>
                </c:pt>
                <c:pt idx="15">
                  <c:v>82</c:v>
                </c:pt>
                <c:pt idx="16">
                  <c:v>76</c:v>
                </c:pt>
                <c:pt idx="17">
                  <c:v>81</c:v>
                </c:pt>
                <c:pt idx="18">
                  <c:v>85</c:v>
                </c:pt>
                <c:pt idx="19">
                  <c:v>89</c:v>
                </c:pt>
                <c:pt idx="20">
                  <c:v>94</c:v>
                </c:pt>
                <c:pt idx="21">
                  <c:v>116</c:v>
                </c:pt>
                <c:pt idx="22">
                  <c:v>127</c:v>
                </c:pt>
                <c:pt idx="23">
                  <c:v>117</c:v>
                </c:pt>
                <c:pt idx="24" formatCode="0">
                  <c:v>89.886316533466839</c:v>
                </c:pt>
                <c:pt idx="25" formatCode="0">
                  <c:v>89.842874104095642</c:v>
                </c:pt>
                <c:pt idx="26" formatCode="0">
                  <c:v>89.799452670630629</c:v>
                </c:pt>
                <c:pt idx="27" formatCode="0">
                  <c:v>89.756052222924396</c:v>
                </c:pt>
                <c:pt idx="28" formatCode="0">
                  <c:v>89.712672750834443</c:v>
                </c:pt>
                <c:pt idx="29" formatCode="0">
                  <c:v>89.669314244223159</c:v>
                </c:pt>
                <c:pt idx="30" formatCode="0">
                  <c:v>89.625976692957863</c:v>
                </c:pt>
                <c:pt idx="31" formatCode="0">
                  <c:v>89.582660086910721</c:v>
                </c:pt>
                <c:pt idx="32" formatCode="0">
                  <c:v>89.539364415958843</c:v>
                </c:pt>
                <c:pt idx="33" formatCode="0">
                  <c:v>89.496089669984187</c:v>
                </c:pt>
                <c:pt idx="34" formatCode="0">
                  <c:v>89.452835838873639</c:v>
                </c:pt>
                <c:pt idx="35" formatCode="0">
                  <c:v>89.409602912518977</c:v>
                </c:pt>
                <c:pt idx="36" formatCode="0">
                  <c:v>89.366390880816823</c:v>
                </c:pt>
                <c:pt idx="37" formatCode="0">
                  <c:v>89.323199733668702</c:v>
                </c:pt>
                <c:pt idx="38" formatCode="0">
                  <c:v>89.280029460981041</c:v>
                </c:pt>
                <c:pt idx="39" formatCode="0">
                  <c:v>89.2368800526651</c:v>
                </c:pt>
                <c:pt idx="40" formatCode="0">
                  <c:v>89.19375149863707</c:v>
                </c:pt>
                <c:pt idx="41" formatCode="0">
                  <c:v>89.150643788817987</c:v>
                </c:pt>
                <c:pt idx="42" formatCode="0">
                  <c:v>89.107556913133735</c:v>
                </c:pt>
                <c:pt idx="43" formatCode="0">
                  <c:v>89.064490861515097</c:v>
                </c:pt>
                <c:pt idx="44" formatCode="0">
                  <c:v>89.021445623897719</c:v>
                </c:pt>
                <c:pt idx="45" formatCode="0">
                  <c:v>88.978421190222122</c:v>
                </c:pt>
                <c:pt idx="46" formatCode="0">
                  <c:v>88.935417550433655</c:v>
                </c:pt>
                <c:pt idx="47" formatCode="0">
                  <c:v>88.892434694482546</c:v>
                </c:pt>
                <c:pt idx="48" formatCode="0">
                  <c:v>88.849472612323908</c:v>
                </c:pt>
                <c:pt idx="49" formatCode="0">
                  <c:v>88.806531293917644</c:v>
                </c:pt>
                <c:pt idx="50" formatCode="0">
                  <c:v>88.76361072922856</c:v>
                </c:pt>
                <c:pt idx="51" formatCode="0">
                  <c:v>88.720710908226309</c:v>
                </c:pt>
                <c:pt idx="52" formatCode="0">
                  <c:v>88.677831820885388</c:v>
                </c:pt>
                <c:pt idx="53" formatCode="0">
                  <c:v>88.634973457185112</c:v>
                </c:pt>
                <c:pt idx="54" formatCode="0">
                  <c:v>88.592135807109642</c:v>
                </c:pt>
                <c:pt idx="55" formatCode="0">
                  <c:v>88.549318860648043</c:v>
                </c:pt>
                <c:pt idx="56" formatCode="0">
                  <c:v>88.506522607794139</c:v>
                </c:pt>
                <c:pt idx="57" formatCode="0">
                  <c:v>88.463747038546643</c:v>
                </c:pt>
                <c:pt idx="58" formatCode="0">
                  <c:v>88.420992142909085</c:v>
                </c:pt>
                <c:pt idx="59" formatCode="0">
                  <c:v>88.378257910889801</c:v>
                </c:pt>
                <c:pt idx="60" formatCode="0">
                  <c:v>88.335544332501982</c:v>
                </c:pt>
                <c:pt idx="61" formatCode="0">
                  <c:v>88.29285139776367</c:v>
                </c:pt>
                <c:pt idx="62" formatCode="0">
                  <c:v>88.250179096697664</c:v>
                </c:pt>
              </c:numCache>
            </c:numRef>
          </c:yVal>
          <c:smooth val="0"/>
        </c:ser>
        <c:dLbls>
          <c:showLegendKey val="0"/>
          <c:showVal val="0"/>
          <c:showCatName val="0"/>
          <c:showSerName val="0"/>
          <c:showPercent val="0"/>
          <c:showBubbleSize val="0"/>
        </c:dLbls>
        <c:axId val="797998480"/>
        <c:axId val="797998872"/>
      </c:scatterChart>
      <c:valAx>
        <c:axId val="797998480"/>
        <c:scaling>
          <c:orientation val="minMax"/>
          <c:min val="199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797998872"/>
        <c:crosses val="autoZero"/>
        <c:crossBetween val="midCat"/>
      </c:valAx>
      <c:valAx>
        <c:axId val="797998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7979984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accent1"/>
      </a:solidFill>
      <a:round/>
    </a:ln>
    <a:effectLst/>
  </c:spPr>
  <c:txPr>
    <a:bodyPr/>
    <a:lstStyle/>
    <a:p>
      <a:pPr>
        <a:defRPr sz="1200">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solidFill>
                <a:latin typeface="+mn-lt"/>
                <a:ea typeface="+mn-ea"/>
                <a:cs typeface="+mn-cs"/>
              </a:defRPr>
            </a:pPr>
            <a:r>
              <a:rPr lang="en-US"/>
              <a:t>Heating Oil &amp; Diesel</a:t>
            </a:r>
          </a:p>
          <a:p>
            <a:pPr>
              <a:defRPr/>
            </a:pPr>
            <a:r>
              <a:rPr lang="en-US"/>
              <a:t> Consumption Forecast by Sector</a:t>
            </a:r>
          </a:p>
        </c:rich>
      </c:tx>
      <c:layout/>
      <c:overlay val="0"/>
      <c:spPr>
        <a:noFill/>
        <a:ln>
          <a:noFill/>
        </a:ln>
        <a:effectLst/>
      </c:spPr>
      <c:txPr>
        <a:bodyPr rot="0" spcFirstLastPara="1" vertOverflow="ellipsis" vert="horz" wrap="square" anchor="ctr" anchorCtr="1"/>
        <a:lstStyle/>
        <a:p>
          <a:pPr>
            <a:defRPr sz="1440" b="0" i="0" u="none" strike="noStrike" kern="1200" spc="0" baseline="0">
              <a:solidFill>
                <a:schemeClr val="tx1"/>
              </a:solidFill>
              <a:latin typeface="+mn-lt"/>
              <a:ea typeface="+mn-ea"/>
              <a:cs typeface="+mn-cs"/>
            </a:defRPr>
          </a:pPr>
          <a:endParaRPr lang="en-US"/>
        </a:p>
      </c:txPr>
    </c:title>
    <c:autoTitleDeleted val="0"/>
    <c:plotArea>
      <c:layout/>
      <c:areaChart>
        <c:grouping val="stacked"/>
        <c:varyColors val="0"/>
        <c:ser>
          <c:idx val="1"/>
          <c:order val="1"/>
          <c:tx>
            <c:strRef>
              <c:f>Forecast!$H$37</c:f>
              <c:strCache>
                <c:ptCount val="1"/>
                <c:pt idx="0">
                  <c:v>Diesel for Electricity (gallons)</c:v>
                </c:pt>
              </c:strCache>
            </c:strRef>
          </c:tx>
          <c:spPr>
            <a:solidFill>
              <a:schemeClr val="accent2"/>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Forecast!$H$38:$H$76</c15:sqref>
                  </c15:fullRef>
                </c:ext>
              </c:extLst>
              <c:f>Forecast!$H$39:$H$76</c:f>
              <c:numCache>
                <c:formatCode>_(* #,##0_);_(* \(#,##0\);_(* "-"??_);_(@_)</c:formatCode>
                <c:ptCount val="38"/>
                <c:pt idx="0">
                  <c:v>30641.476377997486</c:v>
                </c:pt>
                <c:pt idx="1">
                  <c:v>30641.476377997486</c:v>
                </c:pt>
                <c:pt idx="2">
                  <c:v>30641.476377997486</c:v>
                </c:pt>
                <c:pt idx="3">
                  <c:v>30641.476377997486</c:v>
                </c:pt>
                <c:pt idx="4">
                  <c:v>30641.476377997486</c:v>
                </c:pt>
                <c:pt idx="5">
                  <c:v>30548.903941810182</c:v>
                </c:pt>
                <c:pt idx="6">
                  <c:v>30548.903941810182</c:v>
                </c:pt>
                <c:pt idx="7">
                  <c:v>30548.903941810182</c:v>
                </c:pt>
                <c:pt idx="8">
                  <c:v>30548.903941810182</c:v>
                </c:pt>
                <c:pt idx="9">
                  <c:v>30548.903941810182</c:v>
                </c:pt>
                <c:pt idx="10">
                  <c:v>30548.903941810182</c:v>
                </c:pt>
                <c:pt idx="11">
                  <c:v>30456.331505622878</c:v>
                </c:pt>
                <c:pt idx="12">
                  <c:v>30456.331505622878</c:v>
                </c:pt>
                <c:pt idx="13">
                  <c:v>30456.331505622878</c:v>
                </c:pt>
                <c:pt idx="14">
                  <c:v>30456.331505622878</c:v>
                </c:pt>
                <c:pt idx="15">
                  <c:v>30456.331505622878</c:v>
                </c:pt>
                <c:pt idx="16">
                  <c:v>30456.331505622878</c:v>
                </c:pt>
                <c:pt idx="17">
                  <c:v>30363.759069435575</c:v>
                </c:pt>
                <c:pt idx="18">
                  <c:v>30363.759069435575</c:v>
                </c:pt>
                <c:pt idx="19">
                  <c:v>30363.759069435575</c:v>
                </c:pt>
                <c:pt idx="20">
                  <c:v>30363.759069435575</c:v>
                </c:pt>
                <c:pt idx="21">
                  <c:v>30363.759069435575</c:v>
                </c:pt>
                <c:pt idx="22">
                  <c:v>30363.759069435575</c:v>
                </c:pt>
                <c:pt idx="23">
                  <c:v>30271.186633248271</c:v>
                </c:pt>
                <c:pt idx="24">
                  <c:v>30271.186633248271</c:v>
                </c:pt>
                <c:pt idx="25">
                  <c:v>30271.186633248271</c:v>
                </c:pt>
                <c:pt idx="26">
                  <c:v>30271.186633248271</c:v>
                </c:pt>
                <c:pt idx="27">
                  <c:v>30271.186633248271</c:v>
                </c:pt>
                <c:pt idx="28">
                  <c:v>30271.186633248271</c:v>
                </c:pt>
                <c:pt idx="29">
                  <c:v>30178.614197060968</c:v>
                </c:pt>
                <c:pt idx="30">
                  <c:v>30178.614197060968</c:v>
                </c:pt>
                <c:pt idx="31">
                  <c:v>30178.614197060968</c:v>
                </c:pt>
                <c:pt idx="32">
                  <c:v>30178.614197060968</c:v>
                </c:pt>
                <c:pt idx="33">
                  <c:v>30178.614197060968</c:v>
                </c:pt>
                <c:pt idx="34">
                  <c:v>30178.614197060968</c:v>
                </c:pt>
                <c:pt idx="35">
                  <c:v>30086.041760873664</c:v>
                </c:pt>
                <c:pt idx="36">
                  <c:v>30086.041760873664</c:v>
                </c:pt>
                <c:pt idx="37">
                  <c:v>30086.041760873664</c:v>
                </c:pt>
              </c:numCache>
            </c:numRef>
          </c:val>
        </c:ser>
        <c:ser>
          <c:idx val="2"/>
          <c:order val="2"/>
          <c:tx>
            <c:strRef>
              <c:f>Forecast!$J$37</c:f>
              <c:strCache>
                <c:ptCount val="1"/>
                <c:pt idx="0">
                  <c:v>Residential Heating Oil Gallons</c:v>
                </c:pt>
              </c:strCache>
            </c:strRef>
          </c:tx>
          <c:spPr>
            <a:solidFill>
              <a:schemeClr val="accent3"/>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Forecast!$J$38:$J$76</c15:sqref>
                  </c15:fullRef>
                </c:ext>
              </c:extLst>
              <c:f>Forecast!$J$39:$J$76</c:f>
              <c:numCache>
                <c:formatCode>_(* #,##0_);_(* \(#,##0\);_(* "-"??_);_(@_)</c:formatCode>
                <c:ptCount val="38"/>
                <c:pt idx="0">
                  <c:v>37522.908374907805</c:v>
                </c:pt>
                <c:pt idx="1">
                  <c:v>37522.908374907805</c:v>
                </c:pt>
                <c:pt idx="2">
                  <c:v>37522.908374907805</c:v>
                </c:pt>
                <c:pt idx="3">
                  <c:v>37522.908374907805</c:v>
                </c:pt>
                <c:pt idx="4">
                  <c:v>37522.908374907805</c:v>
                </c:pt>
                <c:pt idx="5">
                  <c:v>37522.908374907805</c:v>
                </c:pt>
                <c:pt idx="6">
                  <c:v>37522.908374907805</c:v>
                </c:pt>
                <c:pt idx="7">
                  <c:v>37522.908374907805</c:v>
                </c:pt>
                <c:pt idx="8">
                  <c:v>37522.908374907805</c:v>
                </c:pt>
                <c:pt idx="9">
                  <c:v>37522.908374907805</c:v>
                </c:pt>
                <c:pt idx="10">
                  <c:v>37522.908374907805</c:v>
                </c:pt>
                <c:pt idx="11">
                  <c:v>37522.908374907805</c:v>
                </c:pt>
                <c:pt idx="12">
                  <c:v>37522.908374907805</c:v>
                </c:pt>
                <c:pt idx="13">
                  <c:v>37522.908374907805</c:v>
                </c:pt>
                <c:pt idx="14">
                  <c:v>37522.908374907805</c:v>
                </c:pt>
                <c:pt idx="15">
                  <c:v>37522.908374907805</c:v>
                </c:pt>
                <c:pt idx="16">
                  <c:v>37522.908374907805</c:v>
                </c:pt>
                <c:pt idx="17">
                  <c:v>37522.908374907805</c:v>
                </c:pt>
                <c:pt idx="18">
                  <c:v>37522.908374907805</c:v>
                </c:pt>
                <c:pt idx="19">
                  <c:v>37522.908374907805</c:v>
                </c:pt>
                <c:pt idx="20">
                  <c:v>37522.908374907805</c:v>
                </c:pt>
                <c:pt idx="21">
                  <c:v>37522.908374907805</c:v>
                </c:pt>
                <c:pt idx="22">
                  <c:v>37522.908374907805</c:v>
                </c:pt>
                <c:pt idx="23">
                  <c:v>37522.908374907805</c:v>
                </c:pt>
                <c:pt idx="24">
                  <c:v>37522.908374907805</c:v>
                </c:pt>
                <c:pt idx="25">
                  <c:v>37522.908374907805</c:v>
                </c:pt>
                <c:pt idx="26">
                  <c:v>37522.908374907805</c:v>
                </c:pt>
                <c:pt idx="27">
                  <c:v>37522.908374907805</c:v>
                </c:pt>
                <c:pt idx="28">
                  <c:v>37522.908374907805</c:v>
                </c:pt>
                <c:pt idx="29">
                  <c:v>37522.908374907805</c:v>
                </c:pt>
                <c:pt idx="30">
                  <c:v>37522.908374907805</c:v>
                </c:pt>
                <c:pt idx="31">
                  <c:v>37522.908374907805</c:v>
                </c:pt>
                <c:pt idx="32">
                  <c:v>37522.908374907805</c:v>
                </c:pt>
                <c:pt idx="33">
                  <c:v>37522.908374907805</c:v>
                </c:pt>
                <c:pt idx="34">
                  <c:v>37522.908374907805</c:v>
                </c:pt>
                <c:pt idx="35">
                  <c:v>37522.908374907805</c:v>
                </c:pt>
                <c:pt idx="36">
                  <c:v>37522.908374907805</c:v>
                </c:pt>
                <c:pt idx="37">
                  <c:v>37522.908374907805</c:v>
                </c:pt>
              </c:numCache>
            </c:numRef>
          </c:val>
        </c:ser>
        <c:ser>
          <c:idx val="3"/>
          <c:order val="3"/>
          <c:tx>
            <c:strRef>
              <c:f>Forecast!$L$37</c:f>
              <c:strCache>
                <c:ptCount val="1"/>
                <c:pt idx="0">
                  <c:v>Non-Residential Heating Oil Gallons</c:v>
                </c:pt>
              </c:strCache>
            </c:strRef>
          </c:tx>
          <c:spPr>
            <a:solidFill>
              <a:schemeClr val="accent4"/>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Forecast!$L$38:$L$76</c15:sqref>
                  </c15:fullRef>
                </c:ext>
              </c:extLst>
              <c:f>Forecast!$L$39:$L$76</c:f>
              <c:numCache>
                <c:formatCode>_(* #,##0_);_(* \(#,##0\);_(* "-"??_);_(@_)</c:formatCode>
                <c:ptCount val="38"/>
                <c:pt idx="0">
                  <c:v>33964.482002250646</c:v>
                </c:pt>
                <c:pt idx="1">
                  <c:v>33964.482002250646</c:v>
                </c:pt>
                <c:pt idx="2">
                  <c:v>33964.482002250646</c:v>
                </c:pt>
                <c:pt idx="3">
                  <c:v>33964.482002250646</c:v>
                </c:pt>
                <c:pt idx="4">
                  <c:v>33964.482002250646</c:v>
                </c:pt>
                <c:pt idx="5">
                  <c:v>33964.482002250646</c:v>
                </c:pt>
                <c:pt idx="6">
                  <c:v>33964.482002250646</c:v>
                </c:pt>
                <c:pt idx="7">
                  <c:v>33964.482002250646</c:v>
                </c:pt>
                <c:pt idx="8">
                  <c:v>33964.482002250646</c:v>
                </c:pt>
                <c:pt idx="9">
                  <c:v>33964.482002250646</c:v>
                </c:pt>
                <c:pt idx="10">
                  <c:v>33964.482002250646</c:v>
                </c:pt>
                <c:pt idx="11">
                  <c:v>33964.482002250646</c:v>
                </c:pt>
                <c:pt idx="12">
                  <c:v>33964.482002250646</c:v>
                </c:pt>
                <c:pt idx="13">
                  <c:v>33964.482002250646</c:v>
                </c:pt>
                <c:pt idx="14">
                  <c:v>33964.482002250646</c:v>
                </c:pt>
                <c:pt idx="15">
                  <c:v>33964.482002250646</c:v>
                </c:pt>
                <c:pt idx="16">
                  <c:v>33964.482002250646</c:v>
                </c:pt>
                <c:pt idx="17">
                  <c:v>33964.482002250646</c:v>
                </c:pt>
                <c:pt idx="18">
                  <c:v>33964.482002250646</c:v>
                </c:pt>
                <c:pt idx="19">
                  <c:v>33964.482002250646</c:v>
                </c:pt>
                <c:pt idx="20">
                  <c:v>33964.482002250646</c:v>
                </c:pt>
                <c:pt idx="21">
                  <c:v>33964.482002250646</c:v>
                </c:pt>
                <c:pt idx="22">
                  <c:v>33964.482002250646</c:v>
                </c:pt>
                <c:pt idx="23">
                  <c:v>33964.482002250646</c:v>
                </c:pt>
                <c:pt idx="24">
                  <c:v>33964.482002250646</c:v>
                </c:pt>
                <c:pt idx="25">
                  <c:v>33964.482002250646</c:v>
                </c:pt>
                <c:pt idx="26">
                  <c:v>33964.482002250646</c:v>
                </c:pt>
                <c:pt idx="27">
                  <c:v>33964.482002250646</c:v>
                </c:pt>
                <c:pt idx="28">
                  <c:v>33964.482002250646</c:v>
                </c:pt>
                <c:pt idx="29">
                  <c:v>33964.482002250646</c:v>
                </c:pt>
                <c:pt idx="30">
                  <c:v>33964.482002250646</c:v>
                </c:pt>
                <c:pt idx="31">
                  <c:v>33964.482002250646</c:v>
                </c:pt>
                <c:pt idx="32">
                  <c:v>33964.482002250646</c:v>
                </c:pt>
                <c:pt idx="33">
                  <c:v>33964.482002250646</c:v>
                </c:pt>
                <c:pt idx="34">
                  <c:v>33964.482002250646</c:v>
                </c:pt>
                <c:pt idx="35">
                  <c:v>33964.482002250646</c:v>
                </c:pt>
                <c:pt idx="36">
                  <c:v>33964.482002250646</c:v>
                </c:pt>
                <c:pt idx="37">
                  <c:v>33964.482002250646</c:v>
                </c:pt>
              </c:numCache>
            </c:numRef>
          </c:val>
        </c:ser>
        <c:ser>
          <c:idx val="4"/>
          <c:order val="4"/>
          <c:tx>
            <c:strRef>
              <c:f>Forecast!$N$37</c:f>
              <c:strCache>
                <c:ptCount val="1"/>
                <c:pt idx="0">
                  <c:v>Water/ Sewer Heating Oil Gallons</c:v>
                </c:pt>
              </c:strCache>
            </c:strRef>
          </c:tx>
          <c:spPr>
            <a:solidFill>
              <a:schemeClr val="accent5"/>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Forecast!$N$38:$N$76</c15:sqref>
                  </c15:fullRef>
                </c:ext>
              </c:extLst>
              <c:f>Forecast!$N$39:$N$76</c:f>
              <c:numCache>
                <c:formatCode>_(* #,##0_);_(* \(#,##0\);_(* "-"??_);_(@_)</c:formatCode>
                <c:ptCount val="38"/>
                <c:pt idx="0">
                  <c:v>1231.5453806525486</c:v>
                </c:pt>
                <c:pt idx="1">
                  <c:v>1230.9501696651621</c:v>
                </c:pt>
                <c:pt idx="2">
                  <c:v>1230.3552463457129</c:v>
                </c:pt>
                <c:pt idx="3">
                  <c:v>1229.7606105551702</c:v>
                </c:pt>
                <c:pt idx="4">
                  <c:v>1229.1662621545695</c:v>
                </c:pt>
                <c:pt idx="5">
                  <c:v>1228.5722010050149</c:v>
                </c:pt>
                <c:pt idx="6">
                  <c:v>1227.9784269676763</c:v>
                </c:pt>
                <c:pt idx="7">
                  <c:v>1227.3849399037911</c:v>
                </c:pt>
                <c:pt idx="8">
                  <c:v>1226.7917396746639</c:v>
                </c:pt>
                <c:pt idx="9">
                  <c:v>1226.1988261416664</c:v>
                </c:pt>
                <c:pt idx="10">
                  <c:v>1225.606199166237</c:v>
                </c:pt>
                <c:pt idx="11">
                  <c:v>1225.0138586098815</c:v>
                </c:pt>
                <c:pt idx="12">
                  <c:v>1224.4218043341721</c:v>
                </c:pt>
                <c:pt idx="13">
                  <c:v>1223.8300362007485</c:v>
                </c:pt>
                <c:pt idx="14">
                  <c:v>1223.2385540713165</c:v>
                </c:pt>
                <c:pt idx="15">
                  <c:v>1222.6473578076493</c:v>
                </c:pt>
                <c:pt idx="16">
                  <c:v>1222.0564472715873</c:v>
                </c:pt>
                <c:pt idx="17">
                  <c:v>1221.4658223250367</c:v>
                </c:pt>
                <c:pt idx="18">
                  <c:v>1220.8754828299709</c:v>
                </c:pt>
                <c:pt idx="19">
                  <c:v>1220.2854286484301</c:v>
                </c:pt>
                <c:pt idx="20">
                  <c:v>1219.6956596425209</c:v>
                </c:pt>
                <c:pt idx="21">
                  <c:v>1219.1061756744173</c:v>
                </c:pt>
                <c:pt idx="22">
                  <c:v>1218.5169766063586</c:v>
                </c:pt>
                <c:pt idx="23">
                  <c:v>1217.9280623006521</c:v>
                </c:pt>
                <c:pt idx="24">
                  <c:v>1217.3394326196706</c:v>
                </c:pt>
                <c:pt idx="25">
                  <c:v>1216.7510874258537</c:v>
                </c:pt>
                <c:pt idx="26">
                  <c:v>1216.1630265817078</c:v>
                </c:pt>
                <c:pt idx="27">
                  <c:v>1215.5752499498058</c:v>
                </c:pt>
                <c:pt idx="28">
                  <c:v>1214.9877573927861</c:v>
                </c:pt>
                <c:pt idx="29">
                  <c:v>1214.4005487733543</c:v>
                </c:pt>
                <c:pt idx="30">
                  <c:v>1213.8136239542825</c:v>
                </c:pt>
                <c:pt idx="31">
                  <c:v>1213.2269827984087</c:v>
                </c:pt>
                <c:pt idx="32">
                  <c:v>1212.6406251686371</c:v>
                </c:pt>
                <c:pt idx="33">
                  <c:v>1212.0545509279389</c:v>
                </c:pt>
                <c:pt idx="34">
                  <c:v>1211.4687599393501</c:v>
                </c:pt>
                <c:pt idx="35">
                  <c:v>1210.8832520659744</c:v>
                </c:pt>
                <c:pt idx="36">
                  <c:v>1210.298027170981</c:v>
                </c:pt>
                <c:pt idx="37">
                  <c:v>1209.713085117605</c:v>
                </c:pt>
              </c:numCache>
            </c:numRef>
          </c:val>
        </c:ser>
        <c:dLbls>
          <c:showLegendKey val="0"/>
          <c:showVal val="0"/>
          <c:showCatName val="0"/>
          <c:showSerName val="0"/>
          <c:showPercent val="0"/>
          <c:showBubbleSize val="0"/>
        </c:dLbls>
        <c:axId val="801769416"/>
        <c:axId val="801769808"/>
        <c:extLst>
          <c:ext xmlns:c15="http://schemas.microsoft.com/office/drawing/2012/chart" uri="{02D57815-91ED-43cb-92C2-25804820EDAC}">
            <c15:filteredAreaSeries>
              <c15:ser>
                <c:idx val="0"/>
                <c:order val="0"/>
                <c:tx>
                  <c:strRef>
                    <c:extLst>
                      <c:ext uri="{02D57815-91ED-43cb-92C2-25804820EDAC}">
                        <c15:formulaRef>
                          <c15:sqref>Forecast!$A$37</c15:sqref>
                        </c15:formulaRef>
                      </c:ext>
                    </c:extLst>
                    <c:strCache>
                      <c:ptCount val="1"/>
                      <c:pt idx="0">
                        <c:v> Calendar Year</c:v>
                      </c:pt>
                    </c:strCache>
                  </c:strRef>
                </c:tx>
                <c:spPr>
                  <a:solidFill>
                    <a:schemeClr val="accent1"/>
                  </a:solidFill>
                  <a:ln>
                    <a:noFill/>
                  </a:ln>
                  <a:effectLst/>
                </c:spPr>
                <c:cat>
                  <c:strRef>
                    <c:extLst>
                      <c:ext uri="{02D57815-91ED-43cb-92C2-25804820EDAC}">
                        <c15:fullRef>
                          <c15:sqref>Forecast!$A$37:$A$76</c15:sqref>
                        </c15:fullRef>
                        <c15:formulaRef>
                          <c15:sqref>Forecast!$A$38:$A$76</c15:sqref>
                        </c15:formulaRef>
                      </c:ext>
                    </c:extLst>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uri="{02D57815-91ED-43cb-92C2-25804820EDAC}">
                        <c15:fullRef>
                          <c15:sqref>Forecast!$A$38:$A$76</c15:sqref>
                        </c15:fullRef>
                        <c15:formulaRef>
                          <c15:sqref>Forecast!$A$39:$A$76</c15:sqref>
                        </c15:formulaRef>
                      </c:ext>
                    </c:extLst>
                    <c:numCache>
                      <c:formatCode>General</c:formatCode>
                      <c:ptCount val="38"/>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numCache>
                  </c:numRef>
                </c:val>
              </c15:ser>
            </c15:filteredAreaSeries>
          </c:ext>
        </c:extLst>
      </c:areaChart>
      <c:catAx>
        <c:axId val="80176941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801769808"/>
        <c:crosses val="autoZero"/>
        <c:auto val="1"/>
        <c:lblAlgn val="ctr"/>
        <c:lblOffset val="100"/>
        <c:noMultiLvlLbl val="0"/>
      </c:catAx>
      <c:valAx>
        <c:axId val="80176980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solidFill>
                    <a:latin typeface="+mn-lt"/>
                    <a:ea typeface="+mn-ea"/>
                    <a:cs typeface="+mn-cs"/>
                  </a:defRPr>
                </a:pPr>
                <a:r>
                  <a:rPr lang="en-US"/>
                  <a:t>Gallons</a:t>
                </a:r>
              </a:p>
            </c:rich>
          </c:tx>
          <c:layout/>
          <c:overlay val="0"/>
          <c:spPr>
            <a:noFill/>
            <a:ln>
              <a:noFill/>
            </a:ln>
            <a:effectLst/>
          </c:spPr>
          <c:txPr>
            <a:bodyPr rot="-54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80176941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accent1"/>
      </a:solidFill>
      <a:round/>
    </a:ln>
    <a:effectLst/>
  </c:spPr>
  <c:txPr>
    <a:bodyPr/>
    <a:lstStyle/>
    <a:p>
      <a:pPr>
        <a:defRPr sz="1200">
          <a:solidFill>
            <a:schemeClr val="tx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solidFill>
                <a:latin typeface="+mn-lt"/>
                <a:ea typeface="+mn-ea"/>
                <a:cs typeface="+mn-cs"/>
              </a:defRPr>
            </a:pPr>
            <a:r>
              <a:rPr lang="en-US" sz="1400"/>
              <a:t>Community Energy Cost by Sector</a:t>
            </a:r>
          </a:p>
        </c:rich>
      </c:tx>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mn-lt"/>
              <a:ea typeface="+mn-ea"/>
              <a:cs typeface="+mn-cs"/>
            </a:defRPr>
          </a:pPr>
          <a:endParaRPr lang="en-US"/>
        </a:p>
      </c:txPr>
    </c:title>
    <c:autoTitleDeleted val="0"/>
    <c:plotArea>
      <c:layout/>
      <c:areaChart>
        <c:grouping val="stacked"/>
        <c:varyColors val="0"/>
        <c:ser>
          <c:idx val="1"/>
          <c:order val="1"/>
          <c:tx>
            <c:strRef>
              <c:f>Forecast!$F$37</c:f>
              <c:strCache>
                <c:ptCount val="1"/>
                <c:pt idx="0">
                  <c:v>Total Electricity Cost</c:v>
                </c:pt>
              </c:strCache>
            </c:strRef>
          </c:tx>
          <c:spPr>
            <a:solidFill>
              <a:schemeClr val="accent2"/>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Forecast!$F$38:$F$76</c15:sqref>
                  </c15:fullRef>
                </c:ext>
              </c:extLst>
              <c:f>Forecast!$F$39:$F$76</c:f>
              <c:numCache>
                <c:formatCode>_("$"* #,##0.00_);_("$"* \(#,##0.00\);_("$"* "-"??_);_(@_)</c:formatCode>
                <c:ptCount val="38"/>
                <c:pt idx="0">
                  <c:v>201313.1664925275</c:v>
                </c:pt>
                <c:pt idx="1">
                  <c:v>205637.82225585432</c:v>
                </c:pt>
                <c:pt idx="2">
                  <c:v>205857.17251283824</c:v>
                </c:pt>
                <c:pt idx="3">
                  <c:v>207259.46711484555</c:v>
                </c:pt>
                <c:pt idx="4">
                  <c:v>208668.13951976554</c:v>
                </c:pt>
                <c:pt idx="5">
                  <c:v>210612.5035194373</c:v>
                </c:pt>
                <c:pt idx="6">
                  <c:v>212702.25927131885</c:v>
                </c:pt>
                <c:pt idx="7">
                  <c:v>214868.26288255374</c:v>
                </c:pt>
                <c:pt idx="8">
                  <c:v>217080.20365888326</c:v>
                </c:pt>
                <c:pt idx="9">
                  <c:v>219300.72771680047</c:v>
                </c:pt>
                <c:pt idx="10">
                  <c:v>221671.08080808408</c:v>
                </c:pt>
                <c:pt idx="11">
                  <c:v>224099.6361909282</c:v>
                </c:pt>
                <c:pt idx="12">
                  <c:v>226587.81397673293</c:v>
                </c:pt>
                <c:pt idx="13">
                  <c:v>229137.06059119248</c:v>
                </c:pt>
                <c:pt idx="14">
                  <c:v>231748.85259431455</c:v>
                </c:pt>
                <c:pt idx="15">
                  <c:v>234424.71974219402</c:v>
                </c:pt>
                <c:pt idx="16">
                  <c:v>237166.21275912106</c:v>
                </c:pt>
                <c:pt idx="17">
                  <c:v>239970.94070784812</c:v>
                </c:pt>
                <c:pt idx="18">
                  <c:v>242722.71067756347</c:v>
                </c:pt>
                <c:pt idx="19">
                  <c:v>245621.21111761348</c:v>
                </c:pt>
                <c:pt idx="20">
                  <c:v>248600.02307296719</c:v>
                </c:pt>
                <c:pt idx="21">
                  <c:v>251515.99380636585</c:v>
                </c:pt>
                <c:pt idx="22">
                  <c:v>254657.45736858583</c:v>
                </c:pt>
                <c:pt idx="23">
                  <c:v>258053.35330829848</c:v>
                </c:pt>
                <c:pt idx="24">
                  <c:v>261206.59886773163</c:v>
                </c:pt>
                <c:pt idx="25">
                  <c:v>261074.09782674318</c:v>
                </c:pt>
                <c:pt idx="26">
                  <c:v>260941.66082405709</c:v>
                </c:pt>
                <c:pt idx="27">
                  <c:v>260809.28782872343</c:v>
                </c:pt>
                <c:pt idx="28">
                  <c:v>260676.97880980713</c:v>
                </c:pt>
                <c:pt idx="29">
                  <c:v>260544.73373638798</c:v>
                </c:pt>
                <c:pt idx="30">
                  <c:v>260412.55257756109</c:v>
                </c:pt>
                <c:pt idx="31">
                  <c:v>260280.43530243609</c:v>
                </c:pt>
                <c:pt idx="32">
                  <c:v>260148.38188013781</c:v>
                </c:pt>
                <c:pt idx="33">
                  <c:v>260016.39227980599</c:v>
                </c:pt>
                <c:pt idx="34">
                  <c:v>259884.4664705951</c:v>
                </c:pt>
                <c:pt idx="35">
                  <c:v>259752.60442167456</c:v>
                </c:pt>
                <c:pt idx="36">
                  <c:v>259620.80610222896</c:v>
                </c:pt>
                <c:pt idx="37">
                  <c:v>259489.07148145739</c:v>
                </c:pt>
              </c:numCache>
            </c:numRef>
          </c:val>
        </c:ser>
        <c:ser>
          <c:idx val="2"/>
          <c:order val="2"/>
          <c:tx>
            <c:strRef>
              <c:f>Forecast!$K$37</c:f>
              <c:strCache>
                <c:ptCount val="1"/>
                <c:pt idx="0">
                  <c:v>Residential Heating Oil Cost</c:v>
                </c:pt>
              </c:strCache>
            </c:strRef>
          </c:tx>
          <c:spPr>
            <a:solidFill>
              <a:schemeClr val="accent3"/>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Forecast!$K$38:$K$76</c15:sqref>
                  </c15:fullRef>
                </c:ext>
              </c:extLst>
              <c:f>Forecast!$K$39:$K$76</c:f>
              <c:numCache>
                <c:formatCode>_("$"* #,##0_);_("$"* \(#,##0\);_("$"* "-"??_);_(@_)</c:formatCode>
                <c:ptCount val="38"/>
                <c:pt idx="0">
                  <c:v>175354.88465130032</c:v>
                </c:pt>
                <c:pt idx="1">
                  <c:v>181521.43283908948</c:v>
                </c:pt>
                <c:pt idx="2">
                  <c:v>181972.45435698863</c:v>
                </c:pt>
                <c:pt idx="3">
                  <c:v>184073.412121979</c:v>
                </c:pt>
                <c:pt idx="4">
                  <c:v>186185.32900887565</c:v>
                </c:pt>
                <c:pt idx="5">
                  <c:v>189047.0673374687</c:v>
                </c:pt>
                <c:pt idx="6">
                  <c:v>192114.68699847203</c:v>
                </c:pt>
                <c:pt idx="7">
                  <c:v>195291.8862150381</c:v>
                </c:pt>
                <c:pt idx="8">
                  <c:v>198536.45567502669</c:v>
                </c:pt>
                <c:pt idx="9">
                  <c:v>201796.24898961236</c:v>
                </c:pt>
                <c:pt idx="10">
                  <c:v>205268.94667858823</c:v>
                </c:pt>
                <c:pt idx="11">
                  <c:v>208826.58265833123</c:v>
                </c:pt>
                <c:pt idx="12">
                  <c:v>212471.27301846474</c:v>
                </c:pt>
                <c:pt idx="13">
                  <c:v>216205.17490020936</c:v>
                </c:pt>
                <c:pt idx="14">
                  <c:v>220030.49195204044</c:v>
                </c:pt>
                <c:pt idx="15">
                  <c:v>223949.5067971524</c:v>
                </c:pt>
                <c:pt idx="16">
                  <c:v>227964.53599124766</c:v>
                </c:pt>
                <c:pt idx="17">
                  <c:v>232072.36506253891</c:v>
                </c:pt>
                <c:pt idx="18">
                  <c:v>236109.87048402775</c:v>
                </c:pt>
                <c:pt idx="19">
                  <c:v>240357.6654981575</c:v>
                </c:pt>
                <c:pt idx="20">
                  <c:v>244722.64774516664</c:v>
                </c:pt>
                <c:pt idx="21">
                  <c:v>249003.54322167384</c:v>
                </c:pt>
                <c:pt idx="22">
                  <c:v>253606.17998192942</c:v>
                </c:pt>
                <c:pt idx="23">
                  <c:v>258571.81081282636</c:v>
                </c:pt>
                <c:pt idx="24">
                  <c:v>263200.40799296042</c:v>
                </c:pt>
                <c:pt idx="25">
                  <c:v>263200.40799296042</c:v>
                </c:pt>
                <c:pt idx="26">
                  <c:v>263200.40799296042</c:v>
                </c:pt>
                <c:pt idx="27">
                  <c:v>263200.40799296042</c:v>
                </c:pt>
                <c:pt idx="28">
                  <c:v>263200.40799296042</c:v>
                </c:pt>
                <c:pt idx="29">
                  <c:v>263200.40799296042</c:v>
                </c:pt>
                <c:pt idx="30">
                  <c:v>263200.40799296042</c:v>
                </c:pt>
                <c:pt idx="31">
                  <c:v>263200.40799296042</c:v>
                </c:pt>
                <c:pt idx="32">
                  <c:v>263200.40799296042</c:v>
                </c:pt>
                <c:pt idx="33">
                  <c:v>263200.40799296042</c:v>
                </c:pt>
                <c:pt idx="34">
                  <c:v>263200.40799296042</c:v>
                </c:pt>
                <c:pt idx="35">
                  <c:v>263200.40799296042</c:v>
                </c:pt>
                <c:pt idx="36">
                  <c:v>263200.40799296042</c:v>
                </c:pt>
                <c:pt idx="37">
                  <c:v>263200.40799296042</c:v>
                </c:pt>
              </c:numCache>
            </c:numRef>
          </c:val>
        </c:ser>
        <c:ser>
          <c:idx val="3"/>
          <c:order val="3"/>
          <c:tx>
            <c:strRef>
              <c:f>Forecast!$M$37</c:f>
              <c:strCache>
                <c:ptCount val="1"/>
                <c:pt idx="0">
                  <c:v>Non-Residential Heating Oil Cost</c:v>
                </c:pt>
              </c:strCache>
            </c:strRef>
          </c:tx>
          <c:spPr>
            <a:solidFill>
              <a:schemeClr val="accent4"/>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Forecast!$M$38:$M$76</c15:sqref>
                  </c15:fullRef>
                </c:ext>
              </c:extLst>
              <c:f>Forecast!$M$39:$M$76</c:f>
              <c:numCache>
                <c:formatCode>_("$"* #,##0_);_("$"* \(#,##0\);_("$"* "-"??_);_(@_)</c:formatCode>
                <c:ptCount val="38"/>
                <c:pt idx="0">
                  <c:v>158725.37822064446</c:v>
                </c:pt>
                <c:pt idx="1">
                  <c:v>164307.13144850018</c:v>
                </c:pt>
                <c:pt idx="2">
                  <c:v>164715.38104563314</c:v>
                </c:pt>
                <c:pt idx="3">
                  <c:v>166617.09776448485</c:v>
                </c:pt>
                <c:pt idx="4">
                  <c:v>168528.7343140445</c:v>
                </c:pt>
                <c:pt idx="5">
                  <c:v>171119.08416074366</c:v>
                </c:pt>
                <c:pt idx="6">
                  <c:v>173895.7909054578</c:v>
                </c:pt>
                <c:pt idx="7">
                  <c:v>176771.6853998405</c:v>
                </c:pt>
                <c:pt idx="8">
                  <c:v>179708.56118590102</c:v>
                </c:pt>
                <c:pt idx="9">
                  <c:v>182659.21709610068</c:v>
                </c:pt>
                <c:pt idx="10">
                  <c:v>185802.5869270851</c:v>
                </c:pt>
                <c:pt idx="11">
                  <c:v>189022.8400587785</c:v>
                </c:pt>
                <c:pt idx="12">
                  <c:v>192321.89190475192</c:v>
                </c:pt>
                <c:pt idx="13">
                  <c:v>195701.69503710963</c:v>
                </c:pt>
                <c:pt idx="14">
                  <c:v>199164.24412476784</c:v>
                </c:pt>
                <c:pt idx="15">
                  <c:v>202711.60532191771</c:v>
                </c:pt>
                <c:pt idx="16">
                  <c:v>206345.87549732212</c:v>
                </c:pt>
                <c:pt idx="17">
                  <c:v>210064.14501860191</c:v>
                </c:pt>
                <c:pt idx="18">
                  <c:v>213718.75992350219</c:v>
                </c:pt>
                <c:pt idx="19">
                  <c:v>217563.72193617866</c:v>
                </c:pt>
                <c:pt idx="20">
                  <c:v>221514.7579136517</c:v>
                </c:pt>
                <c:pt idx="21">
                  <c:v>225389.68135808749</c:v>
                </c:pt>
                <c:pt idx="22">
                  <c:v>229555.83425446411</c:v>
                </c:pt>
                <c:pt idx="23">
                  <c:v>234050.55724610202</c:v>
                </c:pt>
                <c:pt idx="24">
                  <c:v>238240.20864651047</c:v>
                </c:pt>
                <c:pt idx="25">
                  <c:v>238240.20864651047</c:v>
                </c:pt>
                <c:pt idx="26">
                  <c:v>238240.20864651047</c:v>
                </c:pt>
                <c:pt idx="27">
                  <c:v>238240.20864651047</c:v>
                </c:pt>
                <c:pt idx="28">
                  <c:v>238240.20864651047</c:v>
                </c:pt>
                <c:pt idx="29">
                  <c:v>238240.20864651047</c:v>
                </c:pt>
                <c:pt idx="30">
                  <c:v>238240.20864651047</c:v>
                </c:pt>
                <c:pt idx="31">
                  <c:v>238240.20864651047</c:v>
                </c:pt>
                <c:pt idx="32">
                  <c:v>238240.20864651047</c:v>
                </c:pt>
                <c:pt idx="33">
                  <c:v>238240.20864651047</c:v>
                </c:pt>
                <c:pt idx="34">
                  <c:v>238240.20864651047</c:v>
                </c:pt>
                <c:pt idx="35">
                  <c:v>238240.20864651047</c:v>
                </c:pt>
                <c:pt idx="36">
                  <c:v>238240.20864651047</c:v>
                </c:pt>
                <c:pt idx="37">
                  <c:v>238240.20864651047</c:v>
                </c:pt>
              </c:numCache>
            </c:numRef>
          </c:val>
        </c:ser>
        <c:ser>
          <c:idx val="4"/>
          <c:order val="4"/>
          <c:tx>
            <c:strRef>
              <c:f>Forecast!$O$37</c:f>
              <c:strCache>
                <c:ptCount val="1"/>
                <c:pt idx="0">
                  <c:v>Water/ Sewer Heating Oil Cost</c:v>
                </c:pt>
              </c:strCache>
            </c:strRef>
          </c:tx>
          <c:spPr>
            <a:solidFill>
              <a:schemeClr val="accent5"/>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Forecast!$O$38:$O$76</c15:sqref>
                  </c15:fullRef>
                </c:ext>
              </c:extLst>
              <c:f>Forecast!$O$39:$O$76</c:f>
              <c:numCache>
                <c:formatCode>_("$"* #,##0_);_("$"* \(#,##0\);_("$"* "-"??_);_(@_)</c:formatCode>
                <c:ptCount val="38"/>
                <c:pt idx="0">
                  <c:v>5755.3507315969091</c:v>
                </c:pt>
                <c:pt idx="1">
                  <c:v>5954.8645941464702</c:v>
                </c:pt>
                <c:pt idx="2">
                  <c:v>5966.7753275288824</c:v>
                </c:pt>
                <c:pt idx="3">
                  <c:v>6032.7474996440633</c:v>
                </c:pt>
                <c:pt idx="4">
                  <c:v>6099.013505011143</c:v>
                </c:pt>
                <c:pt idx="5">
                  <c:v>6189.7646443539534</c:v>
                </c:pt>
                <c:pt idx="6">
                  <c:v>6287.1643312043998</c:v>
                </c:pt>
                <c:pt idx="7">
                  <c:v>6388.0528031252716</c:v>
                </c:pt>
                <c:pt idx="8">
                  <c:v>6491.0449214880782</c:v>
                </c:pt>
                <c:pt idx="9">
                  <c:v>6594.4334900309295</c:v>
                </c:pt>
                <c:pt idx="10">
                  <c:v>6704.6746758531244</c:v>
                </c:pt>
                <c:pt idx="11">
                  <c:v>6817.5807495152949</c:v>
                </c:pt>
                <c:pt idx="12">
                  <c:v>6933.216819952494</c:v>
                </c:pt>
                <c:pt idx="13">
                  <c:v>7051.6492053652682</c:v>
                </c:pt>
                <c:pt idx="14">
                  <c:v>7172.9456079955498</c:v>
                </c:pt>
                <c:pt idx="15">
                  <c:v>7297.1761685447273</c:v>
                </c:pt>
                <c:pt idx="16">
                  <c:v>7424.4119931725445</c:v>
                </c:pt>
                <c:pt idx="17">
                  <c:v>7554.5439974367846</c:v>
                </c:pt>
                <c:pt idx="18">
                  <c:v>7682.2603740618897</c:v>
                </c:pt>
                <c:pt idx="19">
                  <c:v>7816.6903786033017</c:v>
                </c:pt>
                <c:pt idx="20">
                  <c:v>7954.7978607811929</c:v>
                </c:pt>
                <c:pt idx="21">
                  <c:v>8090.0380714985058</c:v>
                </c:pt>
                <c:pt idx="22">
                  <c:v>8235.5939095306858</c:v>
                </c:pt>
                <c:pt idx="23">
                  <c:v>8392.7893158577735</c:v>
                </c:pt>
                <c:pt idx="24">
                  <c:v>8538.896615638565</c:v>
                </c:pt>
                <c:pt idx="25">
                  <c:v>8534.7697315093792</c:v>
                </c:pt>
                <c:pt idx="26">
                  <c:v>8530.6448419203989</c:v>
                </c:pt>
                <c:pt idx="27">
                  <c:v>8526.5219459076598</c:v>
                </c:pt>
                <c:pt idx="28">
                  <c:v>8522.4010425076503</c:v>
                </c:pt>
                <c:pt idx="29">
                  <c:v>8518.282130757334</c:v>
                </c:pt>
                <c:pt idx="30">
                  <c:v>8514.1652096941416</c:v>
                </c:pt>
                <c:pt idx="31">
                  <c:v>8510.0502783559641</c:v>
                </c:pt>
                <c:pt idx="32">
                  <c:v>8505.9373357811601</c:v>
                </c:pt>
                <c:pt idx="33">
                  <c:v>8501.8263810085518</c:v>
                </c:pt>
                <c:pt idx="34">
                  <c:v>8497.7174130774238</c:v>
                </c:pt>
                <c:pt idx="35">
                  <c:v>8493.6104310275296</c:v>
                </c:pt>
                <c:pt idx="36">
                  <c:v>8489.5054338990849</c:v>
                </c:pt>
                <c:pt idx="37">
                  <c:v>8485.4024207327657</c:v>
                </c:pt>
              </c:numCache>
            </c:numRef>
          </c:val>
        </c:ser>
        <c:dLbls>
          <c:showLegendKey val="0"/>
          <c:showVal val="0"/>
          <c:showCatName val="0"/>
          <c:showSerName val="0"/>
          <c:showPercent val="0"/>
          <c:showBubbleSize val="0"/>
        </c:dLbls>
        <c:axId val="797998088"/>
        <c:axId val="797997696"/>
        <c:extLst>
          <c:ext xmlns:c15="http://schemas.microsoft.com/office/drawing/2012/chart" uri="{02D57815-91ED-43cb-92C2-25804820EDAC}">
            <c15:filteredAreaSeries>
              <c15:ser>
                <c:idx val="0"/>
                <c:order val="0"/>
                <c:tx>
                  <c:strRef>
                    <c:extLst>
                      <c:ext uri="{02D57815-91ED-43cb-92C2-25804820EDAC}">
                        <c15:formulaRef>
                          <c15:sqref>Forecast!$A$37</c15:sqref>
                        </c15:formulaRef>
                      </c:ext>
                    </c:extLst>
                    <c:strCache>
                      <c:ptCount val="1"/>
                      <c:pt idx="0">
                        <c:v> Calendar Year</c:v>
                      </c:pt>
                    </c:strCache>
                  </c:strRef>
                </c:tx>
                <c:spPr>
                  <a:solidFill>
                    <a:schemeClr val="accent1"/>
                  </a:solidFill>
                  <a:ln>
                    <a:noFill/>
                  </a:ln>
                  <a:effectLst/>
                </c:spPr>
                <c:cat>
                  <c:strRef>
                    <c:extLst>
                      <c:ext uri="{02D57815-91ED-43cb-92C2-25804820EDAC}">
                        <c15:fullRef>
                          <c15:sqref>Forecast!$A$37:$A$76</c15:sqref>
                        </c15:fullRef>
                        <c15:formulaRef>
                          <c15:sqref>Forecast!$A$38:$A$76</c15:sqref>
                        </c15:formulaRef>
                      </c:ext>
                    </c:extLst>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uri="{02D57815-91ED-43cb-92C2-25804820EDAC}">
                        <c15:fullRef>
                          <c15:sqref>Forecast!$A$38:$A$76</c15:sqref>
                        </c15:fullRef>
                        <c15:formulaRef>
                          <c15:sqref>Forecast!$A$39:$A$76</c15:sqref>
                        </c15:formulaRef>
                      </c:ext>
                    </c:extLst>
                    <c:numCache>
                      <c:formatCode>General</c:formatCode>
                      <c:ptCount val="38"/>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numCache>
                  </c:numRef>
                </c:val>
              </c15:ser>
            </c15:filteredAreaSeries>
          </c:ext>
        </c:extLst>
      </c:areaChart>
      <c:catAx>
        <c:axId val="7979980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797997696"/>
        <c:crosses val="autoZero"/>
        <c:auto val="1"/>
        <c:lblAlgn val="ctr"/>
        <c:lblOffset val="100"/>
        <c:noMultiLvlLbl val="0"/>
      </c:catAx>
      <c:valAx>
        <c:axId val="797997696"/>
        <c:scaling>
          <c:orientation val="minMax"/>
          <c:max val="800000"/>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79799808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accent1"/>
      </a:solidFill>
      <a:round/>
    </a:ln>
    <a:effectLst/>
  </c:spPr>
  <c:txPr>
    <a:bodyPr/>
    <a:lstStyle/>
    <a:p>
      <a:pPr>
        <a:defRPr sz="1100">
          <a:solidFill>
            <a:schemeClr val="tx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Community Energy Costs </a:t>
            </a:r>
          </a:p>
          <a:p>
            <a:pPr>
              <a:defRPr/>
            </a:pPr>
            <a:r>
              <a:rPr lang="en-US"/>
              <a:t>after Cost Effective Projects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
          <c:order val="1"/>
          <c:tx>
            <c:strRef>
              <c:f>'Forecast with cost eff projects'!$F$37</c:f>
              <c:strCache>
                <c:ptCount val="1"/>
                <c:pt idx="0">
                  <c:v>Total Electricity Cost</c:v>
                </c:pt>
              </c:strCache>
            </c:strRef>
          </c:tx>
          <c:spPr>
            <a:solidFill>
              <a:schemeClr val="accent2"/>
            </a:solidFill>
            <a:ln>
              <a:noFill/>
            </a:ln>
            <a:effectLst/>
          </c:spPr>
          <c:cat>
            <c:strRef>
              <c:extLst>
                <c:ext xmlns:c15="http://schemas.microsoft.com/office/drawing/2012/chart" uri="{02D57815-91ED-43cb-92C2-25804820EDAC}">
                  <c15:fullRef>
                    <c15:sqref>'Forecast with cost eff projects'!$A$37:$A$48</c15:sqref>
                  </c15:fullRef>
                </c:ext>
              </c:extLst>
              <c:f>'Forecast with cost eff projects'!$A$38:$A$48</c:f>
              <c:strCache>
                <c:ptCount val="11"/>
                <c:pt idx="0">
                  <c:v>2015</c:v>
                </c:pt>
                <c:pt idx="1">
                  <c:v>2016</c:v>
                </c:pt>
                <c:pt idx="2">
                  <c:v>2017</c:v>
                </c:pt>
                <c:pt idx="3">
                  <c:v>2018</c:v>
                </c:pt>
                <c:pt idx="4">
                  <c:v>2019</c:v>
                </c:pt>
                <c:pt idx="5">
                  <c:v>2020</c:v>
                </c:pt>
                <c:pt idx="6">
                  <c:v>2021</c:v>
                </c:pt>
                <c:pt idx="7">
                  <c:v>2022</c:v>
                </c:pt>
                <c:pt idx="8">
                  <c:v>2023</c:v>
                </c:pt>
                <c:pt idx="9">
                  <c:v>2024</c:v>
                </c:pt>
                <c:pt idx="10">
                  <c:v>2025</c:v>
                </c:pt>
              </c:strCache>
            </c:strRef>
          </c:cat>
          <c:val>
            <c:numRef>
              <c:extLst>
                <c:ext xmlns:c15="http://schemas.microsoft.com/office/drawing/2012/chart" uri="{02D57815-91ED-43cb-92C2-25804820EDAC}">
                  <c15:fullRef>
                    <c15:sqref>'Forecast with cost eff projects'!$F$38:$F$48</c15:sqref>
                  </c15:fullRef>
                </c:ext>
              </c:extLst>
              <c:f>'Forecast with cost eff projects'!$F$39:$F$48</c:f>
              <c:numCache>
                <c:formatCode>_("$"* #,##0.00_);_("$"* \(#,##0.00\);_("$"* "-"??_);_(@_)</c:formatCode>
                <c:ptCount val="10"/>
                <c:pt idx="0">
                  <c:v>158489.18745979265</c:v>
                </c:pt>
                <c:pt idx="1">
                  <c:v>161871.70030665127</c:v>
                </c:pt>
                <c:pt idx="2">
                  <c:v>162022.14220269755</c:v>
                </c:pt>
                <c:pt idx="3">
                  <c:v>161767.06045134569</c:v>
                </c:pt>
                <c:pt idx="4">
                  <c:v>162843.30266056588</c:v>
                </c:pt>
                <c:pt idx="5">
                  <c:v>164337.20942940703</c:v>
                </c:pt>
                <c:pt idx="6">
                  <c:v>165944.10081737014</c:v>
                </c:pt>
                <c:pt idx="7">
                  <c:v>167609.99149144659</c:v>
                </c:pt>
                <c:pt idx="8">
                  <c:v>170714.47772536907</c:v>
                </c:pt>
                <c:pt idx="9">
                  <c:v>172436.96121229572</c:v>
                </c:pt>
              </c:numCache>
            </c:numRef>
          </c:val>
        </c:ser>
        <c:ser>
          <c:idx val="2"/>
          <c:order val="2"/>
          <c:tx>
            <c:strRef>
              <c:f>'Forecast with cost eff projects'!$K$37</c:f>
              <c:strCache>
                <c:ptCount val="1"/>
                <c:pt idx="0">
                  <c:v>Residential Heating Oil Cost</c:v>
                </c:pt>
              </c:strCache>
            </c:strRef>
          </c:tx>
          <c:spPr>
            <a:solidFill>
              <a:schemeClr val="accent3"/>
            </a:solidFill>
            <a:ln>
              <a:noFill/>
            </a:ln>
            <a:effectLst/>
          </c:spPr>
          <c:cat>
            <c:strRef>
              <c:extLst>
                <c:ext xmlns:c15="http://schemas.microsoft.com/office/drawing/2012/chart" uri="{02D57815-91ED-43cb-92C2-25804820EDAC}">
                  <c15:fullRef>
                    <c15:sqref>'Forecast with cost eff projects'!$A$37:$A$48</c15:sqref>
                  </c15:fullRef>
                </c:ext>
              </c:extLst>
              <c:f>'Forecast with cost eff projects'!$A$38:$A$48</c:f>
              <c:strCache>
                <c:ptCount val="11"/>
                <c:pt idx="0">
                  <c:v>2015</c:v>
                </c:pt>
                <c:pt idx="1">
                  <c:v>2016</c:v>
                </c:pt>
                <c:pt idx="2">
                  <c:v>2017</c:v>
                </c:pt>
                <c:pt idx="3">
                  <c:v>2018</c:v>
                </c:pt>
                <c:pt idx="4">
                  <c:v>2019</c:v>
                </c:pt>
                <c:pt idx="5">
                  <c:v>2020</c:v>
                </c:pt>
                <c:pt idx="6">
                  <c:v>2021</c:v>
                </c:pt>
                <c:pt idx="7">
                  <c:v>2022</c:v>
                </c:pt>
                <c:pt idx="8">
                  <c:v>2023</c:v>
                </c:pt>
                <c:pt idx="9">
                  <c:v>2024</c:v>
                </c:pt>
                <c:pt idx="10">
                  <c:v>2025</c:v>
                </c:pt>
              </c:strCache>
            </c:strRef>
          </c:cat>
          <c:val>
            <c:numRef>
              <c:extLst>
                <c:ext xmlns:c15="http://schemas.microsoft.com/office/drawing/2012/chart" uri="{02D57815-91ED-43cb-92C2-25804820EDAC}">
                  <c15:fullRef>
                    <c15:sqref>'Forecast with cost eff projects'!$K$38:$K$48</c15:sqref>
                  </c15:fullRef>
                </c:ext>
              </c:extLst>
              <c:f>'Forecast with cost eff projects'!$K$39:$K$48</c:f>
              <c:numCache>
                <c:formatCode>_("$"* #,##0_);_("$"* \(#,##0\);_("$"* "-"??_);_(@_)</c:formatCode>
                <c:ptCount val="10"/>
                <c:pt idx="0">
                  <c:v>119024.0475475463</c:v>
                </c:pt>
                <c:pt idx="1">
                  <c:v>123209.65963452736</c:v>
                </c:pt>
                <c:pt idx="2">
                  <c:v>123515.79542708394</c:v>
                </c:pt>
                <c:pt idx="3">
                  <c:v>124941.84350902282</c:v>
                </c:pt>
                <c:pt idx="4">
                  <c:v>126375.33021492389</c:v>
                </c:pt>
                <c:pt idx="5">
                  <c:v>128317.76643258854</c:v>
                </c:pt>
                <c:pt idx="6">
                  <c:v>130399.9468583868</c:v>
                </c:pt>
                <c:pt idx="7">
                  <c:v>132556.50560707849</c:v>
                </c:pt>
                <c:pt idx="8">
                  <c:v>134758.79264598782</c:v>
                </c:pt>
                <c:pt idx="9">
                  <c:v>136971.41304285877</c:v>
                </c:pt>
              </c:numCache>
            </c:numRef>
          </c:val>
        </c:ser>
        <c:ser>
          <c:idx val="3"/>
          <c:order val="3"/>
          <c:tx>
            <c:strRef>
              <c:f>'Forecast with cost eff projects'!$M$37</c:f>
              <c:strCache>
                <c:ptCount val="1"/>
                <c:pt idx="0">
                  <c:v>Non-Residential Heating Oil Cost</c:v>
                </c:pt>
              </c:strCache>
            </c:strRef>
          </c:tx>
          <c:spPr>
            <a:solidFill>
              <a:schemeClr val="accent4"/>
            </a:solidFill>
            <a:ln>
              <a:noFill/>
            </a:ln>
            <a:effectLst/>
          </c:spPr>
          <c:cat>
            <c:strRef>
              <c:extLst>
                <c:ext xmlns:c15="http://schemas.microsoft.com/office/drawing/2012/chart" uri="{02D57815-91ED-43cb-92C2-25804820EDAC}">
                  <c15:fullRef>
                    <c15:sqref>'Forecast with cost eff projects'!$A$37:$A$48</c15:sqref>
                  </c15:fullRef>
                </c:ext>
              </c:extLst>
              <c:f>'Forecast with cost eff projects'!$A$38:$A$48</c:f>
              <c:strCache>
                <c:ptCount val="11"/>
                <c:pt idx="0">
                  <c:v>2015</c:v>
                </c:pt>
                <c:pt idx="1">
                  <c:v>2016</c:v>
                </c:pt>
                <c:pt idx="2">
                  <c:v>2017</c:v>
                </c:pt>
                <c:pt idx="3">
                  <c:v>2018</c:v>
                </c:pt>
                <c:pt idx="4">
                  <c:v>2019</c:v>
                </c:pt>
                <c:pt idx="5">
                  <c:v>2020</c:v>
                </c:pt>
                <c:pt idx="6">
                  <c:v>2021</c:v>
                </c:pt>
                <c:pt idx="7">
                  <c:v>2022</c:v>
                </c:pt>
                <c:pt idx="8">
                  <c:v>2023</c:v>
                </c:pt>
                <c:pt idx="9">
                  <c:v>2024</c:v>
                </c:pt>
                <c:pt idx="10">
                  <c:v>2025</c:v>
                </c:pt>
              </c:strCache>
            </c:strRef>
          </c:cat>
          <c:val>
            <c:numRef>
              <c:extLst>
                <c:ext xmlns:c15="http://schemas.microsoft.com/office/drawing/2012/chart" uri="{02D57815-91ED-43cb-92C2-25804820EDAC}">
                  <c15:fullRef>
                    <c15:sqref>'Forecast with cost eff projects'!$M$38:$M$48</c15:sqref>
                  </c15:fullRef>
                </c:ext>
              </c:extLst>
              <c:f>'Forecast with cost eff projects'!$M$39:$M$48</c:f>
              <c:numCache>
                <c:formatCode>_("$"* #,##0_);_("$"* \(#,##0\);_("$"* "-"??_);_(@_)</c:formatCode>
                <c:ptCount val="10"/>
                <c:pt idx="0">
                  <c:v>117456.77988327689</c:v>
                </c:pt>
                <c:pt idx="1">
                  <c:v>121587.27727189013</c:v>
                </c:pt>
                <c:pt idx="2">
                  <c:v>121889.38197376853</c:v>
                </c:pt>
                <c:pt idx="3">
                  <c:v>123296.6523457188</c:v>
                </c:pt>
                <c:pt idx="4">
                  <c:v>124711.26339239292</c:v>
                </c:pt>
                <c:pt idx="5">
                  <c:v>126628.12227895031</c:v>
                </c:pt>
                <c:pt idx="6">
                  <c:v>128682.88527003879</c:v>
                </c:pt>
                <c:pt idx="7">
                  <c:v>130811.04719588197</c:v>
                </c:pt>
                <c:pt idx="8">
                  <c:v>132984.33527756674</c:v>
                </c:pt>
                <c:pt idx="9">
                  <c:v>135167.82065111451</c:v>
                </c:pt>
              </c:numCache>
            </c:numRef>
          </c:val>
        </c:ser>
        <c:ser>
          <c:idx val="4"/>
          <c:order val="4"/>
          <c:tx>
            <c:strRef>
              <c:f>'Forecast with cost eff projects'!$O$37</c:f>
              <c:strCache>
                <c:ptCount val="1"/>
                <c:pt idx="0">
                  <c:v>Water/ Sewer Heating Oil Cost</c:v>
                </c:pt>
              </c:strCache>
            </c:strRef>
          </c:tx>
          <c:spPr>
            <a:solidFill>
              <a:schemeClr val="accent5"/>
            </a:solidFill>
            <a:ln>
              <a:noFill/>
            </a:ln>
            <a:effectLst/>
          </c:spPr>
          <c:cat>
            <c:strRef>
              <c:extLst>
                <c:ext xmlns:c15="http://schemas.microsoft.com/office/drawing/2012/chart" uri="{02D57815-91ED-43cb-92C2-25804820EDAC}">
                  <c15:fullRef>
                    <c15:sqref>'Forecast with cost eff projects'!$A$37:$A$48</c15:sqref>
                  </c15:fullRef>
                </c:ext>
              </c:extLst>
              <c:f>'Forecast with cost eff projects'!$A$38:$A$48</c:f>
              <c:strCache>
                <c:ptCount val="11"/>
                <c:pt idx="0">
                  <c:v>2015</c:v>
                </c:pt>
                <c:pt idx="1">
                  <c:v>2016</c:v>
                </c:pt>
                <c:pt idx="2">
                  <c:v>2017</c:v>
                </c:pt>
                <c:pt idx="3">
                  <c:v>2018</c:v>
                </c:pt>
                <c:pt idx="4">
                  <c:v>2019</c:v>
                </c:pt>
                <c:pt idx="5">
                  <c:v>2020</c:v>
                </c:pt>
                <c:pt idx="6">
                  <c:v>2021</c:v>
                </c:pt>
                <c:pt idx="7">
                  <c:v>2022</c:v>
                </c:pt>
                <c:pt idx="8">
                  <c:v>2023</c:v>
                </c:pt>
                <c:pt idx="9">
                  <c:v>2024</c:v>
                </c:pt>
                <c:pt idx="10">
                  <c:v>2025</c:v>
                </c:pt>
              </c:strCache>
            </c:strRef>
          </c:cat>
          <c:val>
            <c:numRef>
              <c:extLst>
                <c:ext xmlns:c15="http://schemas.microsoft.com/office/drawing/2012/chart" uri="{02D57815-91ED-43cb-92C2-25804820EDAC}">
                  <c15:fullRef>
                    <c15:sqref>'Forecast with cost eff projects'!$O$38:$O$48</c15:sqref>
                  </c15:fullRef>
                </c:ext>
              </c:extLst>
              <c:f>'Forecast with cost eff projects'!$O$39:$O$48</c:f>
              <c:numCache>
                <c:formatCode>_("$"* #,##0_);_("$"* \(#,##0\);_("$"* "-"??_);_(@_)</c:formatCode>
                <c:ptCount val="10"/>
                <c:pt idx="0">
                  <c:v>5755.3507315969091</c:v>
                </c:pt>
                <c:pt idx="1">
                  <c:v>5954.8645941464702</c:v>
                </c:pt>
                <c:pt idx="2">
                  <c:v>5966.7753275288824</c:v>
                </c:pt>
                <c:pt idx="3">
                  <c:v>6032.7474996440633</c:v>
                </c:pt>
                <c:pt idx="4">
                  <c:v>6099.013505011143</c:v>
                </c:pt>
                <c:pt idx="5">
                  <c:v>6189.7646443539534</c:v>
                </c:pt>
                <c:pt idx="6">
                  <c:v>6287.1643312043998</c:v>
                </c:pt>
                <c:pt idx="7">
                  <c:v>6388.0528031252716</c:v>
                </c:pt>
                <c:pt idx="8">
                  <c:v>6491.0449214880782</c:v>
                </c:pt>
                <c:pt idx="9">
                  <c:v>6594.4334900309295</c:v>
                </c:pt>
              </c:numCache>
            </c:numRef>
          </c:val>
        </c:ser>
        <c:dLbls>
          <c:showLegendKey val="0"/>
          <c:showVal val="0"/>
          <c:showCatName val="0"/>
          <c:showSerName val="0"/>
          <c:showPercent val="0"/>
          <c:showBubbleSize val="0"/>
        </c:dLbls>
        <c:axId val="801770592"/>
        <c:axId val="801770984"/>
        <c:extLst>
          <c:ext xmlns:c15="http://schemas.microsoft.com/office/drawing/2012/chart" uri="{02D57815-91ED-43cb-92C2-25804820EDAC}">
            <c15:filteredAreaSeries>
              <c15:ser>
                <c:idx val="0"/>
                <c:order val="0"/>
                <c:tx>
                  <c:strRef>
                    <c:extLst>
                      <c:ext uri="{02D57815-91ED-43cb-92C2-25804820EDAC}">
                        <c15:formulaRef>
                          <c15:sqref>'Forecast with cost eff projects'!$A$37</c15:sqref>
                        </c15:formulaRef>
                      </c:ext>
                    </c:extLst>
                    <c:strCache>
                      <c:ptCount val="1"/>
                      <c:pt idx="0">
                        <c:v> Calendar Year</c:v>
                      </c:pt>
                    </c:strCache>
                  </c:strRef>
                </c:tx>
                <c:spPr>
                  <a:solidFill>
                    <a:schemeClr val="accent1"/>
                  </a:solidFill>
                  <a:ln>
                    <a:noFill/>
                  </a:ln>
                  <a:effectLst/>
                </c:spPr>
                <c:cat>
                  <c:strRef>
                    <c:extLst>
                      <c:ext uri="{02D57815-91ED-43cb-92C2-25804820EDAC}">
                        <c15:fullRef>
                          <c15:sqref>'Forecast with cost eff projects'!$A$37:$A$48</c15:sqref>
                        </c15:fullRef>
                        <c15:formulaRef>
                          <c15:sqref>'Forecast with cost eff projects'!$A$38:$A$48</c15:sqref>
                        </c15:formulaRef>
                      </c:ext>
                    </c:extLst>
                    <c:strCache>
                      <c:ptCount val="11"/>
                      <c:pt idx="0">
                        <c:v>2015</c:v>
                      </c:pt>
                      <c:pt idx="1">
                        <c:v>2016</c:v>
                      </c:pt>
                      <c:pt idx="2">
                        <c:v>2017</c:v>
                      </c:pt>
                      <c:pt idx="3">
                        <c:v>2018</c:v>
                      </c:pt>
                      <c:pt idx="4">
                        <c:v>2019</c:v>
                      </c:pt>
                      <c:pt idx="5">
                        <c:v>2020</c:v>
                      </c:pt>
                      <c:pt idx="6">
                        <c:v>2021</c:v>
                      </c:pt>
                      <c:pt idx="7">
                        <c:v>2022</c:v>
                      </c:pt>
                      <c:pt idx="8">
                        <c:v>2023</c:v>
                      </c:pt>
                      <c:pt idx="9">
                        <c:v>2024</c:v>
                      </c:pt>
                      <c:pt idx="10">
                        <c:v>2025</c:v>
                      </c:pt>
                    </c:strCache>
                  </c:strRef>
                </c:cat>
                <c:val>
                  <c:numRef>
                    <c:extLst>
                      <c:ext uri="{02D57815-91ED-43cb-92C2-25804820EDAC}">
                        <c15:fullRef>
                          <c15:sqref>'Forecast with cost eff projects'!$A$38:$A$48</c15:sqref>
                        </c15:fullRef>
                        <c15:formulaRef>
                          <c15:sqref>'Forecast with cost eff projects'!$A$39:$A$48</c15:sqref>
                        </c15:formulaRef>
                      </c:ext>
                    </c:extLst>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val>
              </c15:ser>
            </c15:filteredAreaSeries>
          </c:ext>
        </c:extLst>
      </c:areaChart>
      <c:catAx>
        <c:axId val="8017705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770984"/>
        <c:crosses val="autoZero"/>
        <c:auto val="1"/>
        <c:lblAlgn val="ctr"/>
        <c:lblOffset val="100"/>
        <c:noMultiLvlLbl val="0"/>
      </c:catAx>
      <c:valAx>
        <c:axId val="80177098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77059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4.7451662292213474E-2"/>
                  <c:y val="0.2079166666666666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Forecast!$C$18:$C$28</c:f>
              <c:numCache>
                <c:formatCode>General</c:formatCode>
                <c:ptCount val="11"/>
                <c:pt idx="0">
                  <c:v>71</c:v>
                </c:pt>
                <c:pt idx="1">
                  <c:v>75</c:v>
                </c:pt>
                <c:pt idx="2">
                  <c:v>76</c:v>
                </c:pt>
                <c:pt idx="3">
                  <c:v>82</c:v>
                </c:pt>
                <c:pt idx="4">
                  <c:v>76</c:v>
                </c:pt>
                <c:pt idx="5">
                  <c:v>81</c:v>
                </c:pt>
                <c:pt idx="6">
                  <c:v>85</c:v>
                </c:pt>
                <c:pt idx="7">
                  <c:v>89</c:v>
                </c:pt>
                <c:pt idx="8">
                  <c:v>94</c:v>
                </c:pt>
                <c:pt idx="9">
                  <c:v>116</c:v>
                </c:pt>
                <c:pt idx="10">
                  <c:v>127</c:v>
                </c:pt>
              </c:numCache>
            </c:numRef>
          </c:xVal>
          <c:yVal>
            <c:numRef>
              <c:f>Forecast!$J$18:$J$28</c:f>
              <c:numCache>
                <c:formatCode>General</c:formatCode>
                <c:ptCount val="11"/>
                <c:pt idx="0">
                  <c:v>244021</c:v>
                </c:pt>
                <c:pt idx="1">
                  <c:v>245360</c:v>
                </c:pt>
                <c:pt idx="2">
                  <c:v>240328</c:v>
                </c:pt>
                <c:pt idx="3">
                  <c:v>230449</c:v>
                </c:pt>
                <c:pt idx="4">
                  <c:v>223361</c:v>
                </c:pt>
                <c:pt idx="5">
                  <c:v>243320</c:v>
                </c:pt>
                <c:pt idx="6">
                  <c:v>274919</c:v>
                </c:pt>
                <c:pt idx="7">
                  <c:v>301026</c:v>
                </c:pt>
                <c:pt idx="8">
                  <c:v>349561</c:v>
                </c:pt>
                <c:pt idx="9">
                  <c:v>420268</c:v>
                </c:pt>
                <c:pt idx="10">
                  <c:v>374418</c:v>
                </c:pt>
              </c:numCache>
            </c:numRef>
          </c:yVal>
          <c:smooth val="0"/>
        </c:ser>
        <c:dLbls>
          <c:showLegendKey val="0"/>
          <c:showVal val="0"/>
          <c:showCatName val="0"/>
          <c:showSerName val="0"/>
          <c:showPercent val="0"/>
          <c:showBubbleSize val="0"/>
        </c:dLbls>
        <c:axId val="801771376"/>
        <c:axId val="801772160"/>
      </c:scatterChart>
      <c:valAx>
        <c:axId val="8017713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772160"/>
        <c:crosses val="autoZero"/>
        <c:crossBetween val="midCat"/>
      </c:valAx>
      <c:valAx>
        <c:axId val="801772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7713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4.7451662292213474E-2"/>
                  <c:y val="0.2079166666666666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Forecast!$C$18:$C$28</c:f>
              <c:numCache>
                <c:formatCode>General</c:formatCode>
                <c:ptCount val="11"/>
                <c:pt idx="0">
                  <c:v>71</c:v>
                </c:pt>
                <c:pt idx="1">
                  <c:v>75</c:v>
                </c:pt>
                <c:pt idx="2">
                  <c:v>76</c:v>
                </c:pt>
                <c:pt idx="3">
                  <c:v>82</c:v>
                </c:pt>
                <c:pt idx="4">
                  <c:v>76</c:v>
                </c:pt>
                <c:pt idx="5">
                  <c:v>81</c:v>
                </c:pt>
                <c:pt idx="6">
                  <c:v>85</c:v>
                </c:pt>
                <c:pt idx="7">
                  <c:v>89</c:v>
                </c:pt>
                <c:pt idx="8">
                  <c:v>94</c:v>
                </c:pt>
                <c:pt idx="9">
                  <c:v>116</c:v>
                </c:pt>
                <c:pt idx="10">
                  <c:v>127</c:v>
                </c:pt>
              </c:numCache>
            </c:numRef>
          </c:xVal>
          <c:yVal>
            <c:numRef>
              <c:f>Forecast!$J$18:$J$28</c:f>
              <c:numCache>
                <c:formatCode>General</c:formatCode>
                <c:ptCount val="11"/>
                <c:pt idx="0">
                  <c:v>244021</c:v>
                </c:pt>
                <c:pt idx="1">
                  <c:v>245360</c:v>
                </c:pt>
                <c:pt idx="2">
                  <c:v>240328</c:v>
                </c:pt>
                <c:pt idx="3">
                  <c:v>230449</c:v>
                </c:pt>
                <c:pt idx="4">
                  <c:v>223361</c:v>
                </c:pt>
                <c:pt idx="5">
                  <c:v>243320</c:v>
                </c:pt>
                <c:pt idx="6">
                  <c:v>274919</c:v>
                </c:pt>
                <c:pt idx="7">
                  <c:v>301026</c:v>
                </c:pt>
                <c:pt idx="8">
                  <c:v>349561</c:v>
                </c:pt>
                <c:pt idx="9">
                  <c:v>420268</c:v>
                </c:pt>
                <c:pt idx="10">
                  <c:v>374418</c:v>
                </c:pt>
              </c:numCache>
            </c:numRef>
          </c:yVal>
          <c:smooth val="0"/>
        </c:ser>
        <c:dLbls>
          <c:showLegendKey val="0"/>
          <c:showVal val="0"/>
          <c:showCatName val="0"/>
          <c:showSerName val="0"/>
          <c:showPercent val="0"/>
          <c:showBubbleSize val="0"/>
        </c:dLbls>
        <c:axId val="797996912"/>
        <c:axId val="801772944"/>
      </c:scatterChart>
      <c:valAx>
        <c:axId val="797996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772944"/>
        <c:crosses val="autoZero"/>
        <c:crossBetween val="midCat"/>
      </c:valAx>
      <c:valAx>
        <c:axId val="801772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79969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'Fuel Price Worksheet'!$A$19</c:f>
              <c:strCache>
                <c:ptCount val="1"/>
              </c:strCache>
            </c:strRef>
          </c:tx>
          <c:marker>
            <c:symbol val="none"/>
          </c:marker>
          <c:cat>
            <c:numRef>
              <c:f>'Fuel Price Worksheet'!$E$17:$BR$17</c:f>
              <c:numCache>
                <c:formatCode>General</c:formatCode>
                <c:ptCount val="66"/>
              </c:numCache>
            </c:numRef>
          </c:cat>
          <c:val>
            <c:numRef>
              <c:f>'Fuel Price Worksheet'!$E$19:$BR$19</c:f>
              <c:numCache>
                <c:formatCode>General</c:formatCode>
                <c:ptCount val="66"/>
              </c:numCache>
            </c:numRef>
          </c:val>
          <c:smooth val="0"/>
        </c:ser>
        <c:ser>
          <c:idx val="1"/>
          <c:order val="1"/>
          <c:tx>
            <c:strRef>
              <c:f>'Fuel Price Worksheet'!$A$22</c:f>
              <c:strCache>
                <c:ptCount val="1"/>
                <c:pt idx="0">
                  <c:v>CPI multiplier </c:v>
                </c:pt>
              </c:strCache>
            </c:strRef>
          </c:tx>
          <c:marker>
            <c:symbol val="none"/>
          </c:marker>
          <c:cat>
            <c:numRef>
              <c:f>'Fuel Price Worksheet'!$E$17:$BR$17</c:f>
              <c:numCache>
                <c:formatCode>General</c:formatCode>
                <c:ptCount val="66"/>
              </c:numCache>
            </c:numRef>
          </c:cat>
          <c:val>
            <c:numRef>
              <c:f>'Fuel Price Worksheet'!$E$22:$BR$22</c:f>
              <c:numCache>
                <c:formatCode>0.000</c:formatCode>
                <c:ptCount val="66"/>
                <c:pt idx="0">
                  <c:v>1</c:v>
                </c:pt>
                <c:pt idx="1">
                  <c:v>0.98147173386672304</c:v>
                </c:pt>
                <c:pt idx="2">
                  <c:v>0.95940540944938724</c:v>
                </c:pt>
                <c:pt idx="3">
                  <c:v>0.93691934516541719</c:v>
                </c:pt>
                <c:pt idx="4">
                  <c:v>0.91496029801310264</c:v>
                </c:pt>
                <c:pt idx="5">
                  <c:v>0.8935159160284204</c:v>
                </c:pt>
                <c:pt idx="6">
                  <c:v>0.87257413674650408</c:v>
                </c:pt>
                <c:pt idx="7">
                  <c:v>0.85212318041650859</c:v>
                </c:pt>
                <c:pt idx="8">
                  <c:v>0.83215154337549779</c:v>
                </c:pt>
                <c:pt idx="9">
                  <c:v>0.81264799157763656</c:v>
                </c:pt>
                <c:pt idx="10">
                  <c:v>0.7936015542750382</c:v>
                </c:pt>
                <c:pt idx="11">
                  <c:v>0.77500151784672022</c:v>
                </c:pt>
                <c:pt idx="12">
                  <c:v>0.75683741977219143</c:v>
                </c:pt>
                <c:pt idx="13">
                  <c:v>0.73909904274628502</c:v>
                </c:pt>
                <c:pt idx="14">
                  <c:v>0.72177640893192385</c:v>
                </c:pt>
                <c:pt idx="15">
                  <c:v>0.70485977434758718</c:v>
                </c:pt>
                <c:pt idx="16">
                  <c:v>0.68833962338632138</c:v>
                </c:pt>
                <c:pt idx="17">
                  <c:v>0.67220666346321079</c:v>
                </c:pt>
                <c:pt idx="18">
                  <c:v>0.65645181978829836</c:v>
                </c:pt>
                <c:pt idx="19">
                  <c:v>0.64106623026201726</c:v>
                </c:pt>
                <c:pt idx="20">
                  <c:v>0.62604124049025867</c:v>
                </c:pt>
                <c:pt idx="21">
                  <c:v>0.61136839891627603</c:v>
                </c:pt>
                <c:pt idx="22">
                  <c:v>0.59703945206668396</c:v>
                </c:pt>
                <c:pt idx="23">
                  <c:v>0.58304633990887955</c:v>
                </c:pt>
                <c:pt idx="24">
                  <c:v>0.56938119131727394</c:v>
                </c:pt>
                <c:pt idx="25">
                  <c:v>0.55603631964578437</c:v>
                </c:pt>
                <c:pt idx="26">
                  <c:v>0.54300421840409552</c:v>
                </c:pt>
                <c:pt idx="27">
                  <c:v>0.53027755703525914</c:v>
                </c:pt>
                <c:pt idx="28">
                  <c:v>0.51784917679225451</c:v>
                </c:pt>
                <c:pt idx="29">
                  <c:v>0.50571208671119516</c:v>
                </c:pt>
                <c:pt idx="30">
                  <c:v>0.49385945967891043</c:v>
                </c:pt>
                <c:pt idx="31">
                  <c:v>0.48228462859269461</c:v>
                </c:pt>
                <c:pt idx="32">
                  <c:v>0.47098108261006177</c:v>
                </c:pt>
                <c:pt idx="33">
                  <c:v>0.45994246348639672</c:v>
                </c:pt>
                <c:pt idx="34">
                  <c:v>0.4491625619984424</c:v>
                </c:pt>
                <c:pt idx="35">
                  <c:v>0.43863531445161186</c:v>
                </c:pt>
                <c:pt idx="36">
                  <c:v>0.42835479926915987</c:v>
                </c:pt>
                <c:pt idx="37">
                  <c:v>0.41831523366129642</c:v>
                </c:pt>
                <c:pt idx="38">
                  <c:v>0.40851097037236717</c:v>
                </c:pt>
                <c:pt idx="39">
                  <c:v>0.39893649450427199</c:v>
                </c:pt>
                <c:pt idx="40">
                  <c:v>0.38958642041433506</c:v>
                </c:pt>
                <c:pt idx="41">
                  <c:v>0.38045548868588092</c:v>
                </c:pt>
                <c:pt idx="42">
                  <c:v>0.37153856316981226</c:v>
                </c:pt>
                <c:pt idx="43">
                  <c:v>0.3628306280955263</c:v>
                </c:pt>
                <c:pt idx="44">
                  <c:v>0.35432678524954381</c:v>
                </c:pt>
                <c:pt idx="45">
                  <c:v>0.34602225122026381</c:v>
                </c:pt>
                <c:pt idx="46">
                  <c:v>0.33791235470729497</c:v>
                </c:pt>
                <c:pt idx="47">
                  <c:v>0.32999253389384864</c:v>
                </c:pt>
                <c:pt idx="48">
                  <c:v>0.32225833388071734</c:v>
                </c:pt>
                <c:pt idx="49">
                  <c:v>0.31470540418039372</c:v>
                </c:pt>
                <c:pt idx="50">
                  <c:v>0.30732949626992123</c:v>
                </c:pt>
                <c:pt idx="51">
                  <c:v>0.30012646120110037</c:v>
                </c:pt>
                <c:pt idx="52">
                  <c:v>0.29309224726670485</c:v>
                </c:pt>
                <c:pt idx="53">
                  <c:v>0.28622289772139659</c:v>
                </c:pt>
                <c:pt idx="54">
                  <c:v>0.2795145485560564</c:v>
                </c:pt>
                <c:pt idx="55">
                  <c:v>0.27296342632427872</c:v>
                </c:pt>
                <c:pt idx="56">
                  <c:v>0.26656584601980826</c:v>
                </c:pt>
                <c:pt idx="57">
                  <c:v>0.26031820900372371</c:v>
                </c:pt>
                <c:pt idx="58">
                  <c:v>0.2542170009802035</c:v>
                </c:pt>
                <c:pt idx="59">
                  <c:v>0.24825879001973444</c:v>
                </c:pt>
                <c:pt idx="60">
                  <c:v>0.24244022462865128</c:v>
                </c:pt>
                <c:pt idx="61">
                  <c:v>0.23675803186392153</c:v>
                </c:pt>
                <c:pt idx="62">
                  <c:v>0.23120901549211501</c:v>
                </c:pt>
              </c:numCache>
            </c:numRef>
          </c:val>
          <c:smooth val="0"/>
        </c:ser>
        <c:dLbls>
          <c:showLegendKey val="0"/>
          <c:showVal val="0"/>
          <c:showCatName val="0"/>
          <c:showSerName val="0"/>
          <c:showPercent val="0"/>
          <c:showBubbleSize val="0"/>
        </c:dLbls>
        <c:smooth val="0"/>
        <c:axId val="824898152"/>
        <c:axId val="824898544"/>
      </c:lineChart>
      <c:catAx>
        <c:axId val="824898152"/>
        <c:scaling>
          <c:orientation val="minMax"/>
        </c:scaling>
        <c:delete val="0"/>
        <c:axPos val="b"/>
        <c:numFmt formatCode="General" sourceLinked="1"/>
        <c:majorTickMark val="out"/>
        <c:minorTickMark val="none"/>
        <c:tickLblPos val="nextTo"/>
        <c:txPr>
          <a:bodyPr rot="-3480000"/>
          <a:lstStyle/>
          <a:p>
            <a:pPr>
              <a:defRPr/>
            </a:pPr>
            <a:endParaRPr lang="en-US"/>
          </a:p>
        </c:txPr>
        <c:crossAx val="824898544"/>
        <c:crosses val="autoZero"/>
        <c:auto val="1"/>
        <c:lblAlgn val="ctr"/>
        <c:lblOffset val="100"/>
        <c:noMultiLvlLbl val="0"/>
      </c:catAx>
      <c:valAx>
        <c:axId val="824898544"/>
        <c:scaling>
          <c:orientation val="minMax"/>
        </c:scaling>
        <c:delete val="0"/>
        <c:axPos val="l"/>
        <c:majorGridlines/>
        <c:numFmt formatCode="General" sourceLinked="1"/>
        <c:majorTickMark val="out"/>
        <c:minorTickMark val="none"/>
        <c:tickLblPos val="nextTo"/>
        <c:crossAx val="8248981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8</xdr:col>
      <xdr:colOff>19050</xdr:colOff>
      <xdr:row>82</xdr:row>
      <xdr:rowOff>247650</xdr:rowOff>
    </xdr:from>
    <xdr:to>
      <xdr:col>16</xdr:col>
      <xdr:colOff>266700</xdr:colOff>
      <xdr:row>96</xdr:row>
      <xdr:rowOff>152400</xdr:rowOff>
    </xdr:to>
    <xdr:graphicFrame macro="">
      <xdr:nvGraphicFramePr>
        <xdr:cNvPr id="3"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62</xdr:row>
      <xdr:rowOff>28575</xdr:rowOff>
    </xdr:from>
    <xdr:to>
      <xdr:col>3</xdr:col>
      <xdr:colOff>1066800</xdr:colOff>
      <xdr:row>79</xdr:row>
      <xdr:rowOff>0</xdr:rowOff>
    </xdr:to>
    <xdr:graphicFrame macro="">
      <xdr:nvGraphicFramePr>
        <xdr:cNvPr id="6"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38099</xdr:colOff>
      <xdr:row>4</xdr:row>
      <xdr:rowOff>19050</xdr:rowOff>
    </xdr:from>
    <xdr:to>
      <xdr:col>5</xdr:col>
      <xdr:colOff>9524</xdr:colOff>
      <xdr:row>22</xdr:row>
      <xdr:rowOff>33337</xdr:rowOff>
    </xdr:to>
    <xdr:graphicFrame macro="">
      <xdr:nvGraphicFramePr>
        <xdr:cNvPr id="11"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57150</xdr:colOff>
      <xdr:row>4</xdr:row>
      <xdr:rowOff>57150</xdr:rowOff>
    </xdr:from>
    <xdr:to>
      <xdr:col>15</xdr:col>
      <xdr:colOff>581025</xdr:colOff>
      <xdr:row>22</xdr:row>
      <xdr:rowOff>76200</xdr:rowOff>
    </xdr:to>
    <xdr:graphicFrame macro="">
      <xdr:nvGraphicFramePr>
        <xdr:cNvPr id="13"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9525</xdr:colOff>
      <xdr:row>62</xdr:row>
      <xdr:rowOff>0</xdr:rowOff>
    </xdr:from>
    <xdr:to>
      <xdr:col>16</xdr:col>
      <xdr:colOff>219075</xdr:colOff>
      <xdr:row>78</xdr:row>
      <xdr:rowOff>133350</xdr:rowOff>
    </xdr:to>
    <xdr:graphicFrame macro="">
      <xdr:nvGraphicFramePr>
        <xdr:cNvPr id="14"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600075</xdr:colOff>
      <xdr:row>97</xdr:row>
      <xdr:rowOff>123825</xdr:rowOff>
    </xdr:from>
    <xdr:to>
      <xdr:col>15</xdr:col>
      <xdr:colOff>323850</xdr:colOff>
      <xdr:row>114</xdr:row>
      <xdr:rowOff>114300</xdr:rowOff>
    </xdr:to>
    <xdr:graphicFrame macro="">
      <xdr:nvGraphicFramePr>
        <xdr:cNvPr id="2"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0.69775</cdr:x>
      <cdr:y>0.09729</cdr:y>
    </cdr:from>
    <cdr:to>
      <cdr:x>0.86356</cdr:x>
      <cdr:y>0.40351</cdr:y>
    </cdr:to>
    <cdr:sp macro="" textlink="">
      <cdr:nvSpPr>
        <cdr:cNvPr id="2" name="TextBox 1"/>
        <cdr:cNvSpPr txBox="1"/>
      </cdr:nvSpPr>
      <cdr:spPr>
        <a:xfrm xmlns:a="http://schemas.openxmlformats.org/drawingml/2006/main">
          <a:off x="3848100" y="29051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3.xml><?xml version="1.0" encoding="utf-8"?>
<xdr:wsDr xmlns:xdr="http://schemas.openxmlformats.org/drawingml/2006/spreadsheetDrawing" xmlns:a="http://schemas.openxmlformats.org/drawingml/2006/main">
  <xdr:twoCellAnchor>
    <xdr:from>
      <xdr:col>11</xdr:col>
      <xdr:colOff>228600</xdr:colOff>
      <xdr:row>22</xdr:row>
      <xdr:rowOff>71437</xdr:rowOff>
    </xdr:from>
    <xdr:to>
      <xdr:col>17</xdr:col>
      <xdr:colOff>180975</xdr:colOff>
      <xdr:row>34</xdr:row>
      <xdr:rowOff>285750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11</xdr:col>
      <xdr:colOff>228600</xdr:colOff>
      <xdr:row>22</xdr:row>
      <xdr:rowOff>71437</xdr:rowOff>
    </xdr:from>
    <xdr:to>
      <xdr:col>17</xdr:col>
      <xdr:colOff>180975</xdr:colOff>
      <xdr:row>34</xdr:row>
      <xdr:rowOff>285750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314325</xdr:colOff>
      <xdr:row>64</xdr:row>
      <xdr:rowOff>19049</xdr:rowOff>
    </xdr:from>
    <xdr:to>
      <xdr:col>7</xdr:col>
      <xdr:colOff>457200</xdr:colOff>
      <xdr:row>89</xdr:row>
      <xdr:rowOff>123825</xdr:rowOff>
    </xdr:to>
    <xdr:sp macro="" textlink="">
      <xdr:nvSpPr>
        <xdr:cNvPr id="2" name="TextBox 1"/>
        <xdr:cNvSpPr txBox="1"/>
      </xdr:nvSpPr>
      <xdr:spPr>
        <a:xfrm>
          <a:off x="314325" y="11287124"/>
          <a:ext cx="7286625" cy="418147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*AEAProjection (2012$/MMBtu, 1MMBtu=1Mcf)</a:t>
          </a:r>
        </a:p>
        <a:p>
          <a:endParaRPr lang="en-US" sz="1100" b="1"/>
        </a:p>
        <a:p>
          <a:r>
            <a:rPr lang="en-US" sz="1100" b="0">
              <a:solidFill>
                <a:schemeClr val="dk1"/>
              </a:solidFill>
              <a:effectLst/>
              <a:latin typeface="+mn-lt"/>
              <a:ea typeface="+mn-ea"/>
              <a:cs typeface="+mn-cs"/>
            </a:rPr>
            <a:t>This</a:t>
          </a:r>
          <a:r>
            <a:rPr lang="en-US" sz="1100" b="0" baseline="0">
              <a:solidFill>
                <a:schemeClr val="dk1"/>
              </a:solidFill>
              <a:effectLst/>
              <a:latin typeface="+mn-lt"/>
              <a:ea typeface="+mn-ea"/>
              <a:cs typeface="+mn-cs"/>
            </a:rPr>
            <a:t> projection was created by the Alaska Energy Authority for use as the reference case for the Renewable Energy Fund economic analyses. </a:t>
          </a:r>
          <a:r>
            <a:rPr lang="en-US" sz="1100" b="1" baseline="0">
              <a:solidFill>
                <a:schemeClr val="dk1"/>
              </a:solidFill>
              <a:effectLst/>
              <a:latin typeface="+mn-lt"/>
              <a:ea typeface="+mn-ea"/>
              <a:cs typeface="+mn-cs"/>
            </a:rPr>
            <a:t>ISER did not develop or review </a:t>
          </a:r>
          <a:r>
            <a:rPr lang="en-US" sz="1100" b="0" baseline="0">
              <a:solidFill>
                <a:schemeClr val="dk1"/>
              </a:solidFill>
              <a:effectLst/>
              <a:latin typeface="+mn-lt"/>
              <a:ea typeface="+mn-ea"/>
              <a:cs typeface="+mn-cs"/>
            </a:rPr>
            <a:t>this projection .  Information about the projection is presented below.</a:t>
          </a:r>
        </a:p>
        <a:p>
          <a:endParaRPr lang="en-US" sz="1100" b="0" baseline="0">
            <a:solidFill>
              <a:schemeClr val="dk1"/>
            </a:solidFill>
            <a:effectLst/>
            <a:latin typeface="+mn-lt"/>
            <a:ea typeface="+mn-ea"/>
            <a:cs typeface="+mn-cs"/>
          </a:endParaRPr>
        </a:p>
        <a:p>
          <a:r>
            <a:rPr lang="en-US" sz="1100" b="0" i="0">
              <a:solidFill>
                <a:schemeClr val="dk1"/>
              </a:solidFill>
              <a:effectLst/>
              <a:latin typeface="+mn-lt"/>
              <a:ea typeface="+mn-ea"/>
              <a:cs typeface="+mn-cs"/>
            </a:rPr>
            <a:t>AEA developed the natural gas price projections used in this Renewable Energy Fund (REF) round 7 economic evaluation model. Prices from 2013 through 2017 are the actual prices listed in the November 5, 2012 Consent Decree between the State of Alaska Attorney General’s office and Hillcorp adjusted to real ($2012) dollars. Beyond 2017 the price is escalated 1.5% annually. All values are presented in real ($2012) terms.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Consent Decree was a negotiated settlement between the AG’s office and Hilcorp that set out conditions for Hilcorp’s acquisition of Marathon. A primary condition was a price cap for natural gas sold to local utilities. The price starts at $6.60 per Mcf in 2013 and increases by 4% each year until 2017. The four recent contracts signed between Cook Inlet gas producers and utilities were based on the consent decree though only two contracts were for Hilcorp gas. The two non-Hilcorp contracts had minor price adjustments.</a:t>
          </a:r>
        </a:p>
        <a:p>
          <a:endParaRPr lang="en-US" sz="1100" b="0" baseline="0">
            <a:solidFill>
              <a:schemeClr val="dk1"/>
            </a:solidFill>
            <a:effectLst/>
            <a:latin typeface="+mn-lt"/>
            <a:ea typeface="+mn-ea"/>
            <a:cs typeface="+mn-cs"/>
          </a:endParaRPr>
        </a:p>
        <a:p>
          <a:r>
            <a:rPr lang="en-US" sz="1100" b="0" baseline="0">
              <a:solidFill>
                <a:schemeClr val="dk1"/>
              </a:solidFill>
              <a:effectLst/>
              <a:latin typeface="+mn-lt"/>
              <a:ea typeface="+mn-ea"/>
              <a:cs typeface="+mn-cs"/>
            </a:rPr>
            <a:t>If you have any questions regarding the natural gas projection, please contact the Alaska Energy Authority:</a:t>
          </a:r>
          <a:endParaRPr lang="en-US">
            <a:effectLst/>
          </a:endParaRPr>
        </a:p>
        <a:p>
          <a:endParaRPr lang="en-US" sz="1100" b="0">
            <a:solidFill>
              <a:schemeClr val="dk1"/>
            </a:solidFill>
            <a:effectLst/>
            <a:latin typeface="+mn-lt"/>
            <a:ea typeface="+mn-ea"/>
            <a:cs typeface="+mn-cs"/>
          </a:endParaRPr>
        </a:p>
        <a:p>
          <a:r>
            <a:rPr lang="en-US" sz="1100" b="0">
              <a:solidFill>
                <a:schemeClr val="dk1"/>
              </a:solidFill>
              <a:effectLst/>
              <a:latin typeface="+mn-lt"/>
              <a:ea typeface="+mn-ea"/>
              <a:cs typeface="+mn-cs"/>
            </a:rPr>
            <a:t>Cady</a:t>
          </a:r>
          <a:r>
            <a:rPr lang="en-US" sz="1100" b="0" baseline="0">
              <a:solidFill>
                <a:schemeClr val="dk1"/>
              </a:solidFill>
              <a:effectLst/>
              <a:latin typeface="+mn-lt"/>
              <a:ea typeface="+mn-ea"/>
              <a:cs typeface="+mn-cs"/>
            </a:rPr>
            <a:t> Lister</a:t>
          </a:r>
          <a:endParaRPr lang="en-US">
            <a:effectLst/>
          </a:endParaRPr>
        </a:p>
        <a:p>
          <a:r>
            <a:rPr lang="en-US" sz="1100" b="0" i="0">
              <a:solidFill>
                <a:schemeClr val="dk1"/>
              </a:solidFill>
              <a:effectLst/>
              <a:latin typeface="+mn-lt"/>
              <a:ea typeface="+mn-ea"/>
              <a:cs typeface="+mn-cs"/>
            </a:rPr>
            <a:t>Program Manager</a:t>
          </a:r>
          <a:endParaRPr lang="en-US">
            <a:effectLst/>
          </a:endParaRPr>
        </a:p>
        <a:p>
          <a:r>
            <a:rPr lang="en-US" sz="1100" b="0" i="0">
              <a:solidFill>
                <a:schemeClr val="dk1"/>
              </a:solidFill>
              <a:effectLst/>
              <a:latin typeface="+mn-lt"/>
              <a:ea typeface="+mn-ea"/>
              <a:cs typeface="+mn-cs"/>
            </a:rPr>
            <a:t>Energy Efficiency &amp; Conservation</a:t>
          </a:r>
          <a:endParaRPr lang="en-US">
            <a:effectLst/>
          </a:endParaRPr>
        </a:p>
        <a:p>
          <a:r>
            <a:rPr lang="en-US" sz="1100" b="0" i="0">
              <a:solidFill>
                <a:schemeClr val="dk1"/>
              </a:solidFill>
              <a:effectLst/>
              <a:latin typeface="+mn-lt"/>
              <a:ea typeface="+mn-ea"/>
              <a:cs typeface="+mn-cs"/>
            </a:rPr>
            <a:t>Alaska Energy Authority</a:t>
          </a:r>
          <a:endParaRPr lang="en-US">
            <a:effectLst/>
          </a:endParaRPr>
        </a:p>
        <a:p>
          <a:r>
            <a:rPr lang="en-US" sz="1100" b="0" i="0">
              <a:solidFill>
                <a:schemeClr val="dk1"/>
              </a:solidFill>
              <a:effectLst/>
              <a:latin typeface="+mn-lt"/>
              <a:ea typeface="+mn-ea"/>
              <a:cs typeface="+mn-cs"/>
            </a:rPr>
            <a:t>Phone: (907) 771-3039</a:t>
          </a:r>
          <a:endParaRPr lang="en-US">
            <a:effectLst/>
          </a:endParaRPr>
        </a:p>
      </xdr:txBody>
    </xdr:sp>
    <xdr:clientData/>
  </xdr:twoCellAnchor>
  <xdr:twoCellAnchor>
    <xdr:from>
      <xdr:col>10</xdr:col>
      <xdr:colOff>19050</xdr:colOff>
      <xdr:row>63</xdr:row>
      <xdr:rowOff>52387</xdr:rowOff>
    </xdr:from>
    <xdr:to>
      <xdr:col>17</xdr:col>
      <xdr:colOff>323850</xdr:colOff>
      <xdr:row>79</xdr:row>
      <xdr:rowOff>147637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228600</xdr:colOff>
      <xdr:row>45</xdr:row>
      <xdr:rowOff>9525</xdr:rowOff>
    </xdr:from>
    <xdr:to>
      <xdr:col>7</xdr:col>
      <xdr:colOff>1228725</xdr:colOff>
      <xdr:row>65</xdr:row>
      <xdr:rowOff>19050</xdr:rowOff>
    </xdr:to>
    <xdr:sp macro="" textlink="">
      <xdr:nvSpPr>
        <xdr:cNvPr id="2" name="TextBox 1"/>
        <xdr:cNvSpPr txBox="1"/>
      </xdr:nvSpPr>
      <xdr:spPr>
        <a:xfrm>
          <a:off x="228600" y="9820275"/>
          <a:ext cx="11496675" cy="3248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Round 8 updates to</a:t>
          </a:r>
          <a:r>
            <a:rPr lang="en-US" sz="1100" baseline="0">
              <a:solidFill>
                <a:schemeClr val="dk1"/>
              </a:solidFill>
              <a:effectLst/>
              <a:latin typeface="+mn-lt"/>
              <a:ea typeface="+mn-ea"/>
              <a:cs typeface="+mn-cs"/>
            </a:rPr>
            <a:t> assumptions on this page are as follows: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a) The Heating Fuel Premiums for Round 8 are estimated based on the average difference between electric sector fuel oil prices (PCE program data) and retail (AHFC, DCRA surveys data) fuel oil prices; from 2008 to 2013. The values in the Round 7 Prototype were estimated using  data from 2008 to 2011 from the same data sources.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 No updates were done to the values in the Assumptions by Technology Type Table. However, O&amp;M Rural, O&amp;M Railbelt, Installed Cost Rural and Installed Cost Railbelt values were adjusted to 2013$ per unit using U.S. CPI.</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c) No updates were done to the Wind Assumptions and Default Fuel Displacement Assumptions tables.</a:t>
          </a:r>
          <a:endParaRPr lang="en-US">
            <a:effectLst/>
          </a:endParaRPr>
        </a:p>
        <a:p>
          <a:r>
            <a:rPr lang="en-US" sz="1100" baseline="0">
              <a:solidFill>
                <a:schemeClr val="dk1"/>
              </a:solidFill>
              <a:effectLst/>
              <a:latin typeface="+mn-lt"/>
              <a:ea typeface="+mn-ea"/>
              <a:cs typeface="+mn-cs"/>
            </a:rPr>
            <a:t>Assumptions that have not changed since Round 1</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Wind Railbelt O&amp;M</a:t>
          </a:r>
          <a:endParaRPr lang="en-US">
            <a:effectLst/>
          </a:endParaRPr>
        </a:p>
        <a:p>
          <a:r>
            <a:rPr lang="en-US" sz="1100" baseline="0">
              <a:solidFill>
                <a:schemeClr val="dk1"/>
              </a:solidFill>
              <a:effectLst/>
              <a:latin typeface="+mn-lt"/>
              <a:ea typeface="+mn-ea"/>
              <a:cs typeface="+mn-cs"/>
            </a:rPr>
            <a:t>2) Project Life for all technologies</a:t>
          </a:r>
          <a:endParaRPr lang="en-US">
            <a:effectLst/>
          </a:endParaRPr>
        </a:p>
        <a:p>
          <a:r>
            <a:rPr lang="en-US" sz="1100" baseline="0">
              <a:solidFill>
                <a:schemeClr val="dk1"/>
              </a:solidFill>
              <a:effectLst/>
              <a:latin typeface="+mn-lt"/>
              <a:ea typeface="+mn-ea"/>
              <a:cs typeface="+mn-cs"/>
            </a:rPr>
            <a:t>3) Installed Costs for Railbelt</a:t>
          </a:r>
          <a:endParaRPr lang="en-US">
            <a:effectLst/>
          </a:endParaRPr>
        </a:p>
        <a:p>
          <a:r>
            <a:rPr lang="en-US" sz="1100" baseline="0">
              <a:solidFill>
                <a:schemeClr val="dk1"/>
              </a:solidFill>
              <a:effectLst/>
              <a:latin typeface="+mn-lt"/>
              <a:ea typeface="+mn-ea"/>
              <a:cs typeface="+mn-cs"/>
            </a:rPr>
            <a:t>4) System availability for Wind, Hydro Run-of-River, Solar PV, Solar Thermal, Gas, Intertie, Heat Recovery.</a:t>
          </a:r>
          <a:endParaRPr lang="en-US">
            <a:effectLst/>
          </a:endParaRPr>
        </a:p>
        <a:p>
          <a:r>
            <a:rPr lang="en-US" sz="1100" baseline="0">
              <a:solidFill>
                <a:schemeClr val="dk1"/>
              </a:solidFill>
              <a:effectLst/>
              <a:latin typeface="+mn-lt"/>
              <a:ea typeface="+mn-ea"/>
              <a:cs typeface="+mn-cs"/>
            </a:rPr>
            <a:t>5) Diesel Rural O&amp;M</a:t>
          </a:r>
          <a:endParaRPr lang="en-US">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arbon%20Pricing"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nmcmahon\Desktop\Biomass%20mode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bon Pricing"/>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nana Model"/>
      <sheetName val="Climate data by community"/>
      <sheetName val="climate data"/>
      <sheetName val="Pellets"/>
      <sheetName val="Garn unit data"/>
      <sheetName val="Reference community lookup"/>
    </sheetNames>
    <sheetDataSet>
      <sheetData sheetId="0"/>
      <sheetData sheetId="1"/>
      <sheetData sheetId="2">
        <row r="78">
          <cell r="A78" t="str">
            <v>ANCHORAGE</v>
          </cell>
          <cell r="B78">
            <v>0.1457497612225406</v>
          </cell>
          <cell r="C78">
            <v>0.58272141331083149</v>
          </cell>
        </row>
        <row r="79">
          <cell r="A79" t="str">
            <v>ANNETTE</v>
          </cell>
          <cell r="B79">
            <v>0.13416220905016626</v>
          </cell>
          <cell r="C79">
            <v>0.63305089749645727</v>
          </cell>
        </row>
        <row r="80">
          <cell r="A80" t="str">
            <v>BARROW</v>
          </cell>
          <cell r="B80">
            <v>0.12280701754385964</v>
          </cell>
          <cell r="C80">
            <v>0.67315322283387025</v>
          </cell>
        </row>
        <row r="81">
          <cell r="A81" t="str">
            <v>BETHEL</v>
          </cell>
          <cell r="B81">
            <v>0.14198449369566921</v>
          </cell>
          <cell r="C81">
            <v>0.59817452341914179</v>
          </cell>
        </row>
        <row r="82">
          <cell r="A82" t="str">
            <v>BETTLEs</v>
          </cell>
          <cell r="B82">
            <v>0.15400143257146579</v>
          </cell>
          <cell r="C82">
            <v>0.55149816096614435</v>
          </cell>
        </row>
        <row r="83">
          <cell r="A83" t="str">
            <v>BIG DELTA</v>
          </cell>
          <cell r="B83">
            <v>0.15764546684709066</v>
          </cell>
          <cell r="C83">
            <v>0.53875007349050508</v>
          </cell>
        </row>
        <row r="84">
          <cell r="A84" t="str">
            <v>COLD BAY</v>
          </cell>
          <cell r="B84">
            <v>0.11785345717234262</v>
          </cell>
          <cell r="C84">
            <v>0.70929624594792429</v>
          </cell>
        </row>
        <row r="85">
          <cell r="A85" t="str">
            <v>FAIRBANKS</v>
          </cell>
          <cell r="B85">
            <v>0.16559370529327611</v>
          </cell>
          <cell r="C85">
            <v>0.51289091393236486</v>
          </cell>
        </row>
        <row r="86">
          <cell r="A86" t="str">
            <v>GULKANA</v>
          </cell>
          <cell r="B86">
            <v>0.15677321156773211</v>
          </cell>
          <cell r="C86">
            <v>0.54174757281553398</v>
          </cell>
        </row>
        <row r="87">
          <cell r="A87" t="str">
            <v>HOMER</v>
          </cell>
          <cell r="B87">
            <v>0.13135118623358111</v>
          </cell>
          <cell r="C87">
            <v>0.64659870447063827</v>
          </cell>
        </row>
        <row r="88">
          <cell r="A88" t="str">
            <v>JUNEAU</v>
          </cell>
          <cell r="B88">
            <v>0.14217401446232797</v>
          </cell>
          <cell r="C88">
            <v>0.59737714497623251</v>
          </cell>
        </row>
        <row r="89">
          <cell r="A89" t="str">
            <v>KING SALMON</v>
          </cell>
          <cell r="B89">
            <v>0.13850864553314121</v>
          </cell>
          <cell r="C89">
            <v>0.61318559951547114</v>
          </cell>
        </row>
        <row r="90">
          <cell r="A90" t="str">
            <v>KODIAK</v>
          </cell>
          <cell r="B90">
            <v>0.1225813667375014</v>
          </cell>
          <cell r="C90">
            <v>0.69285821417858218</v>
          </cell>
        </row>
        <row r="91">
          <cell r="A91" t="str">
            <v>KOTZEBUE</v>
          </cell>
          <cell r="B91">
            <v>0.13295201779472512</v>
          </cell>
          <cell r="C91">
            <v>0.62933706629337072</v>
          </cell>
        </row>
        <row r="92">
          <cell r="A92" t="str">
            <v>MCGRATH</v>
          </cell>
          <cell r="B92">
            <v>0.16007777057679845</v>
          </cell>
          <cell r="C92">
            <v>0.53056402861738117</v>
          </cell>
        </row>
        <row r="93">
          <cell r="A93" t="str">
            <v>NOME</v>
          </cell>
          <cell r="B93">
            <v>0.13287016934433349</v>
          </cell>
          <cell r="C93">
            <v>0.63740887486717346</v>
          </cell>
        </row>
        <row r="94">
          <cell r="A94" t="str">
            <v>Saint Paul</v>
          </cell>
          <cell r="B94">
            <v>0.1156127383885391</v>
          </cell>
          <cell r="C94">
            <v>0.71609063965835096</v>
          </cell>
        </row>
        <row r="95">
          <cell r="A95" t="str">
            <v>TALKEETNA</v>
          </cell>
          <cell r="B95">
            <v>0.14796503928666019</v>
          </cell>
          <cell r="C95">
            <v>0.57399712296073502</v>
          </cell>
        </row>
        <row r="96">
          <cell r="A96" t="str">
            <v>UNALAKLEET</v>
          </cell>
          <cell r="B96">
            <v>0.13927272727272727</v>
          </cell>
          <cell r="C96">
            <v>0.60982152437497761</v>
          </cell>
        </row>
        <row r="97">
          <cell r="A97" t="str">
            <v>VALDEZ</v>
          </cell>
          <cell r="B97">
            <v>0.13726497482790506</v>
          </cell>
          <cell r="C97">
            <v>0.61874128455417932</v>
          </cell>
        </row>
        <row r="98">
          <cell r="A98" t="str">
            <v>YAKUTAT</v>
          </cell>
          <cell r="B98">
            <v>0.1305001073191672</v>
          </cell>
          <cell r="C98">
            <v>0.65081560922855075</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8.bin"/><Relationship Id="rId4" Type="http://schemas.openxmlformats.org/officeDocument/2006/relationships/comments" Target="../comments7.xml"/></Relationships>
</file>

<file path=xl/worksheets/_rels/sheet47.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hyperlink" Target="http://www.consumerenergycenter.org/home/heating_cooling/firewood.html" TargetMode="Externa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pageSetUpPr fitToPage="1"/>
  </sheetPr>
  <dimension ref="A1:J24"/>
  <sheetViews>
    <sheetView workbookViewId="0">
      <selection activeCell="M31" sqref="M31"/>
    </sheetView>
  </sheetViews>
  <sheetFormatPr defaultRowHeight="12.75"/>
  <sheetData>
    <row r="1" spans="1:5" ht="13.5" thickBot="1"/>
    <row r="2" spans="1:5">
      <c r="A2" s="916" t="s">
        <v>1240</v>
      </c>
      <c r="B2" s="1256"/>
      <c r="C2" s="1256"/>
      <c r="D2" s="1256"/>
      <c r="E2" s="1257"/>
    </row>
    <row r="3" spans="1:5" ht="105" customHeight="1" thickBot="1">
      <c r="A3" s="1926" t="s">
        <v>1251</v>
      </c>
      <c r="B3" s="1927"/>
      <c r="C3" s="1927"/>
      <c r="D3" s="1927"/>
      <c r="E3" s="1928"/>
    </row>
    <row r="4" spans="1:5" s="90" customFormat="1" ht="13.5" thickBot="1">
      <c r="A4" s="1253"/>
      <c r="B4" s="1259"/>
      <c r="C4" s="1259"/>
      <c r="D4" s="1259"/>
      <c r="E4" s="1259"/>
    </row>
    <row r="5" spans="1:5" s="90" customFormat="1">
      <c r="A5" s="1260" t="s">
        <v>1249</v>
      </c>
      <c r="B5" s="1261"/>
      <c r="C5" s="1261"/>
      <c r="D5" s="1261"/>
      <c r="E5" s="1262"/>
    </row>
    <row r="6" spans="1:5" s="90" customFormat="1" ht="30.75" customHeight="1" thickBot="1">
      <c r="A6" s="1926" t="s">
        <v>1250</v>
      </c>
      <c r="B6" s="1932"/>
      <c r="C6" s="1932"/>
      <c r="D6" s="1932"/>
      <c r="E6" s="1933"/>
    </row>
    <row r="7" spans="1:5" ht="13.5" thickBot="1"/>
    <row r="8" spans="1:5">
      <c r="A8" s="916" t="s">
        <v>1243</v>
      </c>
      <c r="B8" s="1256"/>
      <c r="C8" s="1256"/>
      <c r="D8" s="1256"/>
      <c r="E8" s="1257"/>
    </row>
    <row r="9" spans="1:5" ht="71.25" customHeight="1" thickBot="1">
      <c r="A9" s="1926" t="s">
        <v>1242</v>
      </c>
      <c r="B9" s="1927"/>
      <c r="C9" s="1927"/>
      <c r="D9" s="1927"/>
      <c r="E9" s="1928"/>
    </row>
    <row r="10" spans="1:5" ht="13.5" thickBot="1"/>
    <row r="11" spans="1:5">
      <c r="A11" s="916" t="s">
        <v>1244</v>
      </c>
      <c r="B11" s="1256"/>
      <c r="C11" s="1256"/>
      <c r="D11" s="1256"/>
      <c r="E11" s="1257"/>
    </row>
    <row r="12" spans="1:5" ht="132.75" customHeight="1" thickBot="1">
      <c r="A12" s="1926" t="s">
        <v>1245</v>
      </c>
      <c r="B12" s="1927"/>
      <c r="C12" s="1927"/>
      <c r="D12" s="1927"/>
      <c r="E12" s="1928"/>
    </row>
    <row r="14" spans="1:5" ht="13.5" thickBot="1"/>
    <row r="15" spans="1:5">
      <c r="A15" s="1929" t="s">
        <v>1246</v>
      </c>
      <c r="B15" s="1930"/>
      <c r="C15" s="1930"/>
      <c r="D15" s="1930"/>
      <c r="E15" s="1931"/>
    </row>
    <row r="16" spans="1:5">
      <c r="A16" s="416" t="s">
        <v>1238</v>
      </c>
      <c r="B16" s="8"/>
      <c r="C16" s="8"/>
      <c r="D16" s="8"/>
      <c r="E16" s="35"/>
    </row>
    <row r="17" spans="1:10">
      <c r="A17" s="416" t="s">
        <v>1248</v>
      </c>
      <c r="B17" s="8"/>
      <c r="C17" s="8"/>
      <c r="D17" s="8"/>
      <c r="E17" s="35"/>
    </row>
    <row r="18" spans="1:10">
      <c r="A18" s="416" t="s">
        <v>1247</v>
      </c>
      <c r="B18" s="8"/>
      <c r="C18" s="8"/>
      <c r="D18" s="8"/>
      <c r="E18" s="35"/>
    </row>
    <row r="19" spans="1:10" ht="13.5" thickBot="1">
      <c r="A19" s="652" t="s">
        <v>1239</v>
      </c>
      <c r="B19" s="922"/>
      <c r="C19" s="922"/>
      <c r="D19" s="922"/>
      <c r="E19" s="1258"/>
    </row>
    <row r="24" spans="1:10">
      <c r="A24" s="90"/>
      <c r="B24" s="90"/>
      <c r="D24" s="1379"/>
      <c r="E24" s="1379"/>
      <c r="F24" s="1379"/>
      <c r="G24" s="1379"/>
      <c r="H24" s="1379"/>
      <c r="I24" s="1379"/>
      <c r="J24" s="90"/>
    </row>
  </sheetData>
  <mergeCells count="5">
    <mergeCell ref="A9:E9"/>
    <mergeCell ref="A3:E3"/>
    <mergeCell ref="A12:E12"/>
    <mergeCell ref="A15:E15"/>
    <mergeCell ref="A6:E6"/>
  </mergeCells>
  <pageMargins left="0.7" right="0.7" top="0.75" bottom="0.75" header="0.3" footer="0.3"/>
  <pageSetup paperSize="5" scale="96"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AZ104"/>
  <sheetViews>
    <sheetView tabSelected="1" zoomScaleNormal="100" workbookViewId="0">
      <selection activeCell="G10" sqref="G10"/>
    </sheetView>
  </sheetViews>
  <sheetFormatPr defaultRowHeight="12.75"/>
  <cols>
    <col min="1" max="1" width="26.28515625" customWidth="1"/>
    <col min="2" max="2" width="13.28515625" customWidth="1"/>
    <col min="3" max="3" width="15.5703125" bestFit="1" customWidth="1"/>
    <col min="4" max="4" width="16.7109375" customWidth="1"/>
    <col min="5" max="5" width="11.5703125" customWidth="1"/>
    <col min="6" max="6" width="13.140625" customWidth="1"/>
    <col min="7" max="7" width="35.42578125" bestFit="1" customWidth="1"/>
    <col min="8" max="8" width="10.140625" customWidth="1"/>
    <col min="9" max="9" width="10.42578125" bestFit="1" customWidth="1"/>
    <col min="10" max="10" width="14.42578125" customWidth="1"/>
    <col min="11" max="11" width="11" bestFit="1" customWidth="1"/>
    <col min="12" max="12" width="9.7109375" style="8" bestFit="1" customWidth="1"/>
    <col min="13" max="13" width="11" style="8" bestFit="1" customWidth="1"/>
    <col min="14" max="52" width="9.140625" style="8"/>
  </cols>
  <sheetData>
    <row r="1" spans="1:52" ht="30">
      <c r="A1" s="1934" t="str">
        <f>'Community data'!B3</f>
        <v>Manley Hot Springs</v>
      </c>
      <c r="B1" s="1934"/>
      <c r="C1" s="1934"/>
      <c r="D1" s="1934"/>
      <c r="E1" s="1934"/>
      <c r="F1" s="1934"/>
      <c r="G1" s="1934"/>
      <c r="H1" s="1934"/>
      <c r="I1" s="1934"/>
      <c r="J1" s="1934"/>
      <c r="K1" s="1934"/>
      <c r="L1" s="1934"/>
      <c r="M1" s="1934"/>
      <c r="N1" s="1934"/>
      <c r="O1" s="1934"/>
      <c r="P1" s="1934"/>
      <c r="Q1" s="1934"/>
    </row>
    <row r="2" spans="1:52" s="90" customFormat="1" ht="25.5">
      <c r="A2" s="1935" t="str">
        <f>'Community Data Summary'!B4</f>
        <v>Yukon-Koyukuk/Upper Tanana</v>
      </c>
      <c r="B2" s="1935"/>
      <c r="C2" s="1935"/>
      <c r="D2" s="1935"/>
      <c r="E2" s="1935"/>
      <c r="F2" s="1935"/>
      <c r="G2" s="1935"/>
      <c r="H2" s="1935"/>
      <c r="I2" s="1935"/>
      <c r="J2" s="1935"/>
      <c r="K2" s="1935"/>
      <c r="L2" s="1935"/>
      <c r="M2" s="1935"/>
      <c r="N2" s="1935"/>
      <c r="O2" s="1935"/>
      <c r="P2" s="1935"/>
      <c r="Q2" s="1935"/>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row>
    <row r="3" spans="1:52" s="90" customFormat="1" ht="9.75" customHeight="1">
      <c r="A3" s="1893"/>
      <c r="B3" s="1893"/>
      <c r="C3" s="1893"/>
      <c r="D3" s="1893"/>
      <c r="E3" s="1893"/>
      <c r="F3" s="1893"/>
      <c r="G3" s="1893"/>
      <c r="H3" s="1893"/>
      <c r="I3" s="1893"/>
      <c r="J3" s="1893"/>
      <c r="K3" s="1893"/>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row>
    <row r="4" spans="1:52" s="90" customFormat="1" ht="20.25">
      <c r="A4" s="1936" t="s">
        <v>2384</v>
      </c>
      <c r="B4" s="1936"/>
      <c r="C4" s="1936"/>
      <c r="D4" s="1936"/>
      <c r="E4" s="1936"/>
      <c r="F4" s="1936"/>
      <c r="G4" s="1936"/>
      <c r="H4" s="1936"/>
      <c r="I4" s="1936"/>
      <c r="J4" s="1936"/>
      <c r="K4" s="1936"/>
      <c r="L4" s="1936"/>
      <c r="M4" s="1936"/>
      <c r="N4" s="1936"/>
      <c r="O4" s="1936"/>
      <c r="P4" s="1936"/>
      <c r="Q4" s="1936"/>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row>
    <row r="5" spans="1:52" s="90" customFormat="1">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row>
    <row r="6" spans="1:52" s="90" customFormat="1" ht="20.25">
      <c r="D6" s="1844"/>
      <c r="E6" s="1844"/>
      <c r="F6" s="1844"/>
      <c r="G6" s="1844"/>
      <c r="H6" s="1844"/>
      <c r="I6" s="1844"/>
      <c r="J6" s="1844"/>
      <c r="K6" s="1844"/>
      <c r="L6" s="8"/>
      <c r="M6" s="8"/>
      <c r="N6" s="8"/>
      <c r="O6" s="8"/>
      <c r="P6" s="8"/>
      <c r="Q6" s="8"/>
      <c r="R6" s="8"/>
      <c r="S6" s="8"/>
      <c r="T6" s="8"/>
      <c r="U6" s="8"/>
      <c r="V6" s="8"/>
      <c r="W6" s="8"/>
      <c r="X6" s="8"/>
      <c r="Y6" s="8"/>
      <c r="Z6" s="8"/>
      <c r="AA6" s="8"/>
      <c r="AB6" s="8"/>
      <c r="AC6" s="8"/>
      <c r="AD6" s="8"/>
      <c r="AE6" s="8"/>
      <c r="AF6" s="8"/>
      <c r="AG6" s="8"/>
      <c r="AH6" s="8"/>
      <c r="AI6" s="8"/>
      <c r="AJ6" s="8"/>
      <c r="AK6" s="8"/>
      <c r="AL6" s="8"/>
      <c r="AM6" s="8"/>
      <c r="AN6" s="8"/>
      <c r="AO6" s="8"/>
      <c r="AP6" s="8"/>
      <c r="AQ6" s="8"/>
      <c r="AR6" s="8"/>
      <c r="AS6" s="8"/>
      <c r="AT6" s="8"/>
      <c r="AU6" s="8"/>
      <c r="AV6" s="8"/>
      <c r="AW6" s="8"/>
      <c r="AX6" s="8"/>
      <c r="AY6" s="8"/>
      <c r="AZ6" s="8"/>
    </row>
    <row r="7" spans="1:52" s="90" customFormat="1" ht="21" thickBot="1">
      <c r="D7" s="1844"/>
      <c r="E7" s="1844"/>
      <c r="F7" s="1844"/>
      <c r="G7" s="1844"/>
      <c r="H7" s="1844"/>
      <c r="I7" s="1844"/>
      <c r="J7" s="1844"/>
      <c r="K7" s="1844"/>
      <c r="L7" s="8"/>
      <c r="M7" s="8"/>
      <c r="N7" s="8"/>
      <c r="O7" s="8"/>
      <c r="P7" s="8"/>
      <c r="Q7" s="8"/>
      <c r="R7" s="8"/>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8"/>
      <c r="AV7" s="8"/>
      <c r="AW7" s="8"/>
      <c r="AX7" s="8"/>
      <c r="AY7" s="8"/>
      <c r="AZ7" s="8"/>
    </row>
    <row r="8" spans="1:52" s="90" customFormat="1" ht="20.25">
      <c r="D8" s="1844"/>
      <c r="E8" s="1844"/>
      <c r="F8" s="1844"/>
      <c r="G8" s="2219" t="s">
        <v>2410</v>
      </c>
      <c r="H8" s="1844"/>
      <c r="I8" s="1844"/>
      <c r="J8" s="1844"/>
      <c r="K8" s="1844"/>
      <c r="L8" s="8"/>
      <c r="M8" s="8"/>
      <c r="N8" s="8"/>
      <c r="O8" s="8"/>
      <c r="P8" s="8"/>
      <c r="Q8" s="8"/>
      <c r="R8" s="8"/>
      <c r="S8" s="8"/>
      <c r="T8" s="8"/>
      <c r="U8" s="8"/>
      <c r="V8" s="8"/>
      <c r="W8" s="8"/>
      <c r="X8" s="8"/>
      <c r="Y8" s="8"/>
      <c r="Z8" s="8"/>
      <c r="AA8" s="8"/>
      <c r="AB8" s="8"/>
      <c r="AC8" s="8"/>
      <c r="AD8" s="8"/>
      <c r="AE8" s="8"/>
      <c r="AF8" s="8"/>
      <c r="AG8" s="8"/>
      <c r="AH8" s="8"/>
      <c r="AI8" s="8"/>
      <c r="AJ8" s="8"/>
      <c r="AK8" s="8"/>
      <c r="AL8" s="8"/>
      <c r="AM8" s="8"/>
      <c r="AN8" s="8"/>
      <c r="AO8" s="8"/>
      <c r="AP8" s="8"/>
      <c r="AQ8" s="8"/>
      <c r="AR8" s="8"/>
      <c r="AS8" s="8"/>
      <c r="AT8" s="8"/>
      <c r="AU8" s="8"/>
      <c r="AV8" s="8"/>
      <c r="AW8" s="8"/>
      <c r="AX8" s="8"/>
      <c r="AY8" s="8"/>
      <c r="AZ8" s="8"/>
    </row>
    <row r="9" spans="1:52" ht="13.5" thickBot="1">
      <c r="G9" s="2220" t="str">
        <f>CONCATENATE(MROUND(Forecast!U38,10)," gallons/person")</f>
        <v>1150 gallons/person</v>
      </c>
    </row>
    <row r="21" spans="1:52" s="90" customFormat="1">
      <c r="L21" s="8"/>
      <c r="M21" s="8"/>
      <c r="N21" s="8"/>
      <c r="O21" s="8"/>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row>
    <row r="22" spans="1:52" s="90" customFormat="1">
      <c r="L22" s="8"/>
      <c r="M22" s="8"/>
      <c r="N22" s="8"/>
      <c r="O22" s="8"/>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row>
    <row r="23" spans="1:52">
      <c r="A23" s="1857"/>
      <c r="B23" s="1857"/>
      <c r="C23" s="1857"/>
      <c r="D23" s="1857"/>
      <c r="E23" s="1857"/>
      <c r="F23" s="1857"/>
      <c r="G23" s="1857"/>
      <c r="H23" s="1857"/>
      <c r="I23" s="1857"/>
      <c r="J23" s="1857"/>
      <c r="K23" s="1857"/>
    </row>
    <row r="24" spans="1:52" s="90" customFormat="1" ht="21" thickBot="1">
      <c r="A24" s="1936" t="s">
        <v>2401</v>
      </c>
      <c r="B24" s="1936"/>
      <c r="C24" s="1936"/>
      <c r="D24" s="1936"/>
      <c r="E24" s="1936"/>
      <c r="F24" s="1936"/>
      <c r="G24" s="1936"/>
      <c r="H24" s="1936"/>
      <c r="I24" s="1936"/>
      <c r="J24" s="1936"/>
      <c r="K24" s="1936"/>
      <c r="L24" s="1936"/>
      <c r="M24" s="1936"/>
      <c r="N24" s="1936"/>
      <c r="O24" s="1936"/>
      <c r="P24" s="1936"/>
      <c r="Q24" s="1936"/>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row>
    <row r="25" spans="1:52" s="90" customFormat="1" ht="18">
      <c r="A25" s="1937" t="s">
        <v>2366</v>
      </c>
      <c r="B25" s="1938"/>
      <c r="C25" s="1938"/>
      <c r="D25" s="1939"/>
      <c r="E25" s="8"/>
      <c r="H25" s="1937" t="s">
        <v>2367</v>
      </c>
      <c r="I25" s="1938"/>
      <c r="J25" s="1938"/>
      <c r="K25" s="1938"/>
      <c r="L25" s="1938"/>
      <c r="M25" s="1939"/>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row>
    <row r="26" spans="1:52" s="90" customFormat="1" ht="60.75">
      <c r="A26" s="1869"/>
      <c r="B26" s="1870" t="s">
        <v>2368</v>
      </c>
      <c r="C26" s="1870" t="s">
        <v>2369</v>
      </c>
      <c r="D26" s="1871" t="s">
        <v>2406</v>
      </c>
      <c r="E26" s="8"/>
      <c r="H26" s="1881"/>
      <c r="I26" s="1874"/>
      <c r="J26" s="1882" t="s">
        <v>2378</v>
      </c>
      <c r="K26" s="1882" t="s">
        <v>2387</v>
      </c>
      <c r="L26" s="1883" t="s">
        <v>2388</v>
      </c>
      <c r="M26" s="1884" t="s">
        <v>2389</v>
      </c>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row>
    <row r="27" spans="1:52" s="90" customFormat="1" ht="15">
      <c r="A27" s="1869" t="s">
        <v>1336</v>
      </c>
      <c r="B27" s="1872">
        <f>'Eff (res)'!J8</f>
        <v>1</v>
      </c>
      <c r="C27" s="1872">
        <f>'Eff (res)'!K8</f>
        <v>971</v>
      </c>
      <c r="D27" s="1924">
        <f>C27*'Eff (res)'!L8/0.138</f>
        <v>662.24637681159413</v>
      </c>
      <c r="E27" s="8"/>
      <c r="H27" s="1918" t="s">
        <v>2101</v>
      </c>
      <c r="I27" s="1895"/>
      <c r="J27" s="1872">
        <f>'Eff (com)'!I7</f>
        <v>0</v>
      </c>
      <c r="K27" s="1885">
        <f>'Eff (com)'!J7</f>
        <v>0</v>
      </c>
      <c r="L27" s="1885">
        <f>'Eff (com)'!K7</f>
        <v>0</v>
      </c>
      <c r="M27" s="1886">
        <f>'Eff (com)'!M7</f>
        <v>0</v>
      </c>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row>
    <row r="28" spans="1:52" s="90" customFormat="1" ht="15">
      <c r="A28" s="1869" t="s">
        <v>2380</v>
      </c>
      <c r="B28" s="1872">
        <f>'Eff (res)'!Q8</f>
        <v>1</v>
      </c>
      <c r="C28" s="1872">
        <f>'Eff (res)'!R8</f>
        <v>840</v>
      </c>
      <c r="D28" s="1924">
        <f>C28*'Eff (res)'!T8/0.138</f>
        <v>801.71189216330788</v>
      </c>
      <c r="E28" s="8"/>
      <c r="H28" s="1918" t="s">
        <v>1439</v>
      </c>
      <c r="I28" s="1895"/>
      <c r="J28" s="1872">
        <f>'Eff (com)'!I8</f>
        <v>1</v>
      </c>
      <c r="K28" s="1885">
        <f>'Eff (com)'!J8</f>
        <v>28730</v>
      </c>
      <c r="L28" s="1885">
        <f>'Eff (com)'!K8</f>
        <v>12236.592976746695</v>
      </c>
      <c r="M28" s="1886">
        <f>'Eff (com)'!M8</f>
        <v>49251</v>
      </c>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row>
    <row r="29" spans="1:52" s="90" customFormat="1" ht="15">
      <c r="A29" s="1869" t="s">
        <v>2381</v>
      </c>
      <c r="B29" s="1872">
        <f>'Eff (res)'!O15</f>
        <v>39</v>
      </c>
      <c r="C29" s="1873">
        <f>'Eff (res)'!O8</f>
        <v>1121.8146232876711</v>
      </c>
      <c r="D29" s="1925">
        <f>C29*'Eff (res)'!P8/0.138</f>
        <v>2004.1480053489211</v>
      </c>
      <c r="E29" s="8"/>
      <c r="H29" s="1918" t="s">
        <v>1450</v>
      </c>
      <c r="I29" s="1895"/>
      <c r="J29" s="1872">
        <f>'Eff (com)'!I9</f>
        <v>0</v>
      </c>
      <c r="K29" s="1885">
        <f>'Eff (com)'!J9</f>
        <v>0</v>
      </c>
      <c r="L29" s="1885">
        <f>'Eff (com)'!K9</f>
        <v>0</v>
      </c>
      <c r="M29" s="1886">
        <f>'Eff (com)'!M9</f>
        <v>0</v>
      </c>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row>
    <row r="30" spans="1:52" s="90" customFormat="1" ht="15">
      <c r="A30" s="1869"/>
      <c r="B30" s="1874"/>
      <c r="C30" s="1874"/>
      <c r="D30" s="1875"/>
      <c r="E30" s="8"/>
      <c r="H30" s="1918" t="s">
        <v>1469</v>
      </c>
      <c r="I30" s="1895"/>
      <c r="J30" s="1872">
        <f>'Eff (com)'!I10</f>
        <v>0</v>
      </c>
      <c r="K30" s="1885">
        <f>'Eff (com)'!J10</f>
        <v>0</v>
      </c>
      <c r="L30" s="1885">
        <f>'Eff (com)'!K10</f>
        <v>0</v>
      </c>
      <c r="M30" s="1886">
        <f>'Eff (com)'!M10</f>
        <v>0</v>
      </c>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row>
    <row r="31" spans="1:52" s="90" customFormat="1" ht="15.75">
      <c r="A31" s="1940" t="s">
        <v>2382</v>
      </c>
      <c r="B31" s="1941"/>
      <c r="C31" s="1941"/>
      <c r="D31" s="1942"/>
      <c r="E31" s="8"/>
      <c r="H31" s="1918" t="s">
        <v>1440</v>
      </c>
      <c r="I31" s="1895"/>
      <c r="J31" s="1872">
        <f>'Eff (com)'!I11</f>
        <v>1</v>
      </c>
      <c r="K31" s="1885">
        <f>'Eff (com)'!J11</f>
        <v>1400</v>
      </c>
      <c r="L31" s="1885">
        <f>'Eff (com)'!K11</f>
        <v>963.62251126073431</v>
      </c>
      <c r="M31" s="1886">
        <f>'Eff (com)'!M11</f>
        <v>10531.403820445303</v>
      </c>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row>
    <row r="32" spans="1:52" s="90" customFormat="1" ht="15">
      <c r="A32" s="1869" t="s">
        <v>2083</v>
      </c>
      <c r="B32" s="1876">
        <f>'Eff (res)'!I17</f>
        <v>0.51021400778210113</v>
      </c>
      <c r="C32" s="1874"/>
      <c r="D32" s="1875"/>
      <c r="E32" s="8"/>
      <c r="H32" s="1918" t="s">
        <v>1444</v>
      </c>
      <c r="I32" s="1895"/>
      <c r="J32" s="1872">
        <f>'Eff (com)'!I12</f>
        <v>0</v>
      </c>
      <c r="K32" s="1885">
        <f>'Eff (com)'!J12</f>
        <v>0</v>
      </c>
      <c r="L32" s="1885">
        <f>'Eff (com)'!K12</f>
        <v>0</v>
      </c>
      <c r="M32" s="1886">
        <f>'Eff (com)'!M12</f>
        <v>0</v>
      </c>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row>
    <row r="33" spans="1:52" s="90" customFormat="1" ht="15">
      <c r="A33" s="1869" t="s">
        <v>2016</v>
      </c>
      <c r="B33" s="1876">
        <f>'Eff (res)'!I18</f>
        <v>0.46303501945525294</v>
      </c>
      <c r="C33" s="1874"/>
      <c r="D33" s="1875"/>
      <c r="E33" s="8"/>
      <c r="H33" s="1918" t="s">
        <v>665</v>
      </c>
      <c r="I33" s="1895"/>
      <c r="J33" s="1872">
        <f>'Eff (com)'!I13</f>
        <v>1</v>
      </c>
      <c r="K33" s="1885">
        <f>'Eff (com)'!J13</f>
        <v>820</v>
      </c>
      <c r="L33" s="1885">
        <f>'Eff (com)'!K13</f>
        <v>1192.4863125928428</v>
      </c>
      <c r="M33" s="1886">
        <f>'Eff (com)'!M13</f>
        <v>6573.1447951667697</v>
      </c>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row>
    <row r="34" spans="1:52" s="90" customFormat="1" ht="15">
      <c r="A34" s="1869" t="s">
        <v>631</v>
      </c>
      <c r="B34" s="1876">
        <f>'Eff (res)'!I19</f>
        <v>8.7548638132295721E-3</v>
      </c>
      <c r="C34" s="1874"/>
      <c r="D34" s="1875"/>
      <c r="E34" s="8"/>
      <c r="H34" s="1918" t="s">
        <v>643</v>
      </c>
      <c r="I34" s="1895"/>
      <c r="J34" s="1872">
        <f>'Eff (com)'!I14</f>
        <v>4</v>
      </c>
      <c r="K34" s="1885">
        <f>'Eff (com)'!J14</f>
        <v>4860</v>
      </c>
      <c r="L34" s="1885">
        <f>'Eff (com)'!K14</f>
        <v>3383.6266298967771</v>
      </c>
      <c r="M34" s="1886">
        <f>'Eff (com)'!M14</f>
        <v>35371.020299494157</v>
      </c>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row>
    <row r="35" spans="1:52" s="90" customFormat="1" ht="15">
      <c r="A35" s="1869" t="s">
        <v>2007</v>
      </c>
      <c r="B35" s="1876">
        <f>'Eff (res)'!I20</f>
        <v>4.8638132295719845E-3</v>
      </c>
      <c r="C35" s="1874"/>
      <c r="D35" s="1875"/>
      <c r="E35" s="8"/>
      <c r="H35" s="1918" t="s">
        <v>1227</v>
      </c>
      <c r="I35" s="1895"/>
      <c r="J35" s="1872">
        <f>'Eff (com)'!I15</f>
        <v>1</v>
      </c>
      <c r="K35" s="1885">
        <f>'Eff (com)'!J15</f>
        <v>1200</v>
      </c>
      <c r="L35" s="1885">
        <f>'Eff (com)'!K15</f>
        <v>872.9235811555078</v>
      </c>
      <c r="M35" s="1886">
        <f>'Eff (com)'!M15</f>
        <v>4514.0827129989566</v>
      </c>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row>
    <row r="36" spans="1:52" s="90" customFormat="1" ht="15.75" thickBot="1">
      <c r="A36" s="1877" t="s">
        <v>2084</v>
      </c>
      <c r="B36" s="1878">
        <f>'Eff (res)'!I21</f>
        <v>9.727626459143969E-4</v>
      </c>
      <c r="C36" s="1879"/>
      <c r="D36" s="1880"/>
      <c r="E36" s="8"/>
      <c r="H36" s="1918" t="s">
        <v>1475</v>
      </c>
      <c r="I36" s="1895"/>
      <c r="J36" s="1872">
        <f>'Eff (com)'!I16</f>
        <v>0</v>
      </c>
      <c r="K36" s="1885">
        <f>'Eff (com)'!J16</f>
        <v>0</v>
      </c>
      <c r="L36" s="1885">
        <f>'Eff (com)'!K16</f>
        <v>0</v>
      </c>
      <c r="M36" s="1886">
        <f>'Eff (com)'!M16</f>
        <v>0</v>
      </c>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row>
    <row r="37" spans="1:52" s="90" customFormat="1" ht="15.75" thickBot="1">
      <c r="A37" s="8"/>
      <c r="B37" s="8"/>
      <c r="C37" s="8"/>
      <c r="D37" s="8"/>
      <c r="E37" s="8"/>
      <c r="H37" s="1918" t="s">
        <v>1442</v>
      </c>
      <c r="I37" s="1895"/>
      <c r="J37" s="1872">
        <f>'Eff (com)'!I17</f>
        <v>1</v>
      </c>
      <c r="K37" s="1885">
        <f>'Eff (com)'!J17</f>
        <v>3300</v>
      </c>
      <c r="L37" s="1885">
        <f>'Eff (com)'!K17</f>
        <v>3764.7972186728502</v>
      </c>
      <c r="M37" s="1886">
        <f>'Eff (com)'!M17</f>
        <v>17278.728652260641</v>
      </c>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row>
    <row r="38" spans="1:52" s="90" customFormat="1" ht="18">
      <c r="A38" s="1937" t="s">
        <v>2386</v>
      </c>
      <c r="B38" s="1938"/>
      <c r="C38" s="1938"/>
      <c r="D38" s="1939"/>
      <c r="E38" s="8"/>
      <c r="H38" s="1918" t="s">
        <v>2098</v>
      </c>
      <c r="I38" s="1895"/>
      <c r="J38" s="1872">
        <f>'Eff (com)'!I18</f>
        <v>0</v>
      </c>
      <c r="K38" s="1885">
        <f>'Eff (com)'!J18</f>
        <v>0</v>
      </c>
      <c r="L38" s="1885">
        <f>'Eff (com)'!K18</f>
        <v>0</v>
      </c>
      <c r="M38" s="1886">
        <f>'Eff (com)'!M18</f>
        <v>0</v>
      </c>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row>
    <row r="39" spans="1:52" s="90" customFormat="1" ht="15">
      <c r="A39" s="1896" t="s">
        <v>2385</v>
      </c>
      <c r="B39" s="1895" t="str">
        <f>'Eff (W &amp; WW)'!J6</f>
        <v>Watering Point</v>
      </c>
      <c r="C39" s="8"/>
      <c r="D39" s="35"/>
      <c r="E39" s="8"/>
      <c r="H39" s="1918" t="s">
        <v>951</v>
      </c>
      <c r="I39" s="1895"/>
      <c r="J39" s="1872">
        <f>'Eff (com)'!I19</f>
        <v>2</v>
      </c>
      <c r="K39" s="1885">
        <f>'Eff (com)'!J19</f>
        <v>2071.9572649572647</v>
      </c>
      <c r="L39" s="1885">
        <f>'Eff (com)'!K19</f>
        <v>2859.2771617236613</v>
      </c>
      <c r="M39" s="1886">
        <f>'Eff (com)'!M19</f>
        <v>39092.579706606281</v>
      </c>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row>
    <row r="40" spans="1:52" s="90" customFormat="1" ht="15">
      <c r="A40" s="1896" t="s">
        <v>2136</v>
      </c>
      <c r="B40" s="1872" t="str">
        <f>'Eff (W &amp; WW)'!J10</f>
        <v>No</v>
      </c>
      <c r="C40" s="8"/>
      <c r="D40" s="35"/>
      <c r="E40" s="8"/>
      <c r="H40" s="1919" t="s">
        <v>2379</v>
      </c>
      <c r="I40" s="1920"/>
      <c r="J40" s="1872">
        <f>'Eff (com)'!I27</f>
        <v>8</v>
      </c>
      <c r="K40" s="1885">
        <f>'Eff (com)'!J27</f>
        <v>9101.3048433048443</v>
      </c>
      <c r="L40" s="1887">
        <f>'Eff (com)'!L27</f>
        <v>8691.155610201582</v>
      </c>
      <c r="M40" s="1888">
        <f>'Eff (com)'!K27</f>
        <v>75573.973324648076</v>
      </c>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row>
    <row r="41" spans="1:52" s="90" customFormat="1" ht="16.5" thickBot="1">
      <c r="A41" s="1897" t="s">
        <v>2332</v>
      </c>
      <c r="B41" s="1898" t="str">
        <f>'Eff (W &amp; WW)'!J11</f>
        <v>No</v>
      </c>
      <c r="C41" s="922"/>
      <c r="D41" s="1258"/>
      <c r="E41" s="8"/>
      <c r="H41" s="1889" t="s">
        <v>966</v>
      </c>
      <c r="I41" s="1879"/>
      <c r="J41" s="1890">
        <f>'Eff (com)'!I32</f>
        <v>19</v>
      </c>
      <c r="K41" s="1891">
        <f>'Eff (com)'!J32</f>
        <v>51483.262108262112</v>
      </c>
      <c r="L41" s="1891">
        <f>'Eff (com)'!L32</f>
        <v>33964.482002250646</v>
      </c>
      <c r="M41" s="1892">
        <f>'Eff (com)'!K32</f>
        <v>238185.9333116202</v>
      </c>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row>
    <row r="42" spans="1:52" s="90" customFormat="1" ht="15.75">
      <c r="A42" s="1894"/>
      <c r="B42" s="1872"/>
      <c r="C42" s="8"/>
      <c r="D42" s="8"/>
      <c r="E42" s="8"/>
      <c r="F42" s="1908"/>
      <c r="G42" s="1874"/>
      <c r="H42" s="2217" t="s">
        <v>2408</v>
      </c>
      <c r="I42" s="2217"/>
      <c r="J42" s="2216">
        <f>J41/Forecast!$C$38</f>
        <v>0.21137811329631961</v>
      </c>
      <c r="K42" s="1909">
        <f>K41/Forecast!$C$38</f>
        <v>572.75972688338663</v>
      </c>
      <c r="L42" s="1909">
        <f>L41/Forecast!$C$38</f>
        <v>377.8604276169761</v>
      </c>
      <c r="M42" s="1909">
        <f>M41/Forecast!$C$38</f>
        <v>2649.8575366912255</v>
      </c>
      <c r="N42" s="8"/>
      <c r="O42" s="8"/>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row>
    <row r="43" spans="1:52" s="90" customFormat="1" ht="15.75">
      <c r="B43" s="1910" t="s">
        <v>2394</v>
      </c>
      <c r="C43" s="1910"/>
      <c r="D43" s="1910"/>
      <c r="E43" s="1910"/>
      <c r="F43" s="1910"/>
      <c r="K43" s="1909"/>
      <c r="L43" s="8"/>
      <c r="M43" s="8"/>
      <c r="N43" s="8"/>
      <c r="O43" s="8"/>
      <c r="P43" s="8"/>
      <c r="Q43" s="8"/>
      <c r="R43" s="8"/>
      <c r="S43" s="8"/>
      <c r="T43" s="8"/>
      <c r="U43" s="8"/>
      <c r="V43" s="8"/>
      <c r="W43" s="8"/>
      <c r="X43" s="8"/>
      <c r="Y43" s="8"/>
      <c r="Z43" s="8"/>
      <c r="AA43" s="8"/>
      <c r="AB43" s="8"/>
      <c r="AC43" s="8"/>
      <c r="AD43" s="8"/>
      <c r="AE43" s="8"/>
      <c r="AF43" s="8"/>
      <c r="AG43" s="8"/>
      <c r="AH43" s="8"/>
      <c r="AI43" s="8"/>
      <c r="AJ43" s="8"/>
      <c r="AK43" s="8"/>
      <c r="AL43" s="8"/>
      <c r="AM43" s="8"/>
      <c r="AN43" s="8"/>
      <c r="AO43" s="8"/>
      <c r="AP43" s="8"/>
      <c r="AQ43" s="8"/>
      <c r="AR43" s="8"/>
      <c r="AS43" s="8"/>
      <c r="AT43" s="8"/>
      <c r="AU43" s="8"/>
      <c r="AV43" s="8"/>
      <c r="AW43" s="8"/>
      <c r="AX43" s="8"/>
      <c r="AY43" s="8"/>
      <c r="AZ43" s="8"/>
    </row>
    <row r="44" spans="1:52" s="1249" customFormat="1" ht="60.75">
      <c r="B44" s="1913" t="s">
        <v>2398</v>
      </c>
      <c r="C44" s="1913" t="s">
        <v>660</v>
      </c>
      <c r="D44" s="1917" t="s">
        <v>2396</v>
      </c>
      <c r="E44" s="1913" t="s">
        <v>2397</v>
      </c>
      <c r="F44" s="1913" t="s">
        <v>2395</v>
      </c>
      <c r="G44" s="1917" t="s">
        <v>2404</v>
      </c>
      <c r="H44" s="1917" t="s">
        <v>2405</v>
      </c>
      <c r="K44" s="1916"/>
      <c r="L44" s="228"/>
      <c r="M44" s="228"/>
      <c r="N44" s="228"/>
      <c r="O44" s="228"/>
      <c r="P44" s="228"/>
      <c r="Q44" s="228"/>
      <c r="R44" s="228"/>
      <c r="S44" s="228"/>
      <c r="T44" s="228"/>
      <c r="U44" s="228"/>
      <c r="V44" s="228"/>
      <c r="W44" s="228"/>
      <c r="X44" s="228"/>
      <c r="Y44" s="228"/>
      <c r="Z44" s="228"/>
      <c r="AA44" s="228"/>
      <c r="AB44" s="228"/>
      <c r="AC44" s="228"/>
      <c r="AD44" s="228"/>
      <c r="AE44" s="228"/>
      <c r="AF44" s="228"/>
      <c r="AG44" s="228"/>
      <c r="AH44" s="228"/>
      <c r="AI44" s="228"/>
      <c r="AJ44" s="228"/>
      <c r="AK44" s="228"/>
      <c r="AL44" s="228"/>
      <c r="AM44" s="228"/>
      <c r="AN44" s="228"/>
      <c r="AO44" s="228"/>
      <c r="AP44" s="228"/>
      <c r="AQ44" s="228"/>
      <c r="AR44" s="228"/>
      <c r="AS44" s="228"/>
      <c r="AT44" s="228"/>
      <c r="AU44" s="228"/>
      <c r="AV44" s="228"/>
      <c r="AW44" s="228"/>
      <c r="AX44" s="228"/>
      <c r="AY44" s="228"/>
      <c r="AZ44" s="228"/>
    </row>
    <row r="45" spans="1:52" s="90" customFormat="1" ht="15.75">
      <c r="B45" s="1911">
        <f>Generation_Efficiency</f>
        <v>10.802351555020987</v>
      </c>
      <c r="C45" s="1912">
        <f>Line_Loss</f>
        <v>0.121</v>
      </c>
      <c r="D45" s="1915">
        <f>Average_Load</f>
        <v>50.237100456621008</v>
      </c>
      <c r="E45" s="1872">
        <f>VLOOKUP(A1,'Diesel Data'!$A$2:$D$196,3,FALSE)</f>
        <v>480</v>
      </c>
      <c r="F45" s="1874" t="str">
        <f>Load_Sizing</f>
        <v>oversized</v>
      </c>
      <c r="G45" s="1914"/>
      <c r="H45" s="1914"/>
      <c r="K45" s="1909"/>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8"/>
      <c r="AV45" s="8"/>
      <c r="AW45" s="8"/>
      <c r="AX45" s="8"/>
      <c r="AY45" s="8"/>
      <c r="AZ45" s="8"/>
    </row>
    <row r="46" spans="1:52" s="90" customFormat="1" ht="15.75">
      <c r="A46" s="1914" t="s">
        <v>2399</v>
      </c>
      <c r="B46" s="1911"/>
      <c r="C46" s="1912"/>
      <c r="D46" s="1915"/>
      <c r="E46" s="1872"/>
      <c r="F46" s="1874"/>
      <c r="K46" s="1909"/>
      <c r="L46" s="8"/>
      <c r="M46" s="8"/>
      <c r="N46" s="8"/>
      <c r="O46" s="8"/>
      <c r="P46" s="8"/>
      <c r="Q46" s="8"/>
      <c r="R46" s="8"/>
      <c r="S46" s="8"/>
      <c r="T46" s="8"/>
      <c r="U46" s="8"/>
      <c r="V46" s="8"/>
      <c r="W46" s="8"/>
      <c r="X46" s="8"/>
      <c r="Y46" s="8"/>
      <c r="Z46" s="8"/>
      <c r="AA46" s="8"/>
      <c r="AB46" s="8"/>
      <c r="AC46" s="8"/>
      <c r="AD46" s="8"/>
      <c r="AE46" s="8"/>
      <c r="AF46" s="8"/>
      <c r="AG46" s="8"/>
      <c r="AH46" s="8"/>
      <c r="AI46" s="8"/>
      <c r="AJ46" s="8"/>
      <c r="AK46" s="8"/>
      <c r="AL46" s="8"/>
      <c r="AM46" s="8"/>
      <c r="AN46" s="8"/>
      <c r="AO46" s="8"/>
      <c r="AP46" s="8"/>
      <c r="AQ46" s="8"/>
      <c r="AR46" s="8"/>
      <c r="AS46" s="8"/>
      <c r="AT46" s="8"/>
      <c r="AU46" s="8"/>
      <c r="AV46" s="8"/>
      <c r="AW46" s="8"/>
      <c r="AX46" s="8"/>
      <c r="AY46" s="8"/>
      <c r="AZ46" s="8"/>
    </row>
    <row r="47" spans="1:52" s="90" customFormat="1" ht="15.75">
      <c r="A47" s="1914" t="s">
        <v>2400</v>
      </c>
      <c r="B47" s="1911"/>
      <c r="C47" s="1912"/>
      <c r="D47" s="1915"/>
      <c r="E47" s="1872"/>
      <c r="F47" s="1874"/>
      <c r="K47" s="1909"/>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8"/>
    </row>
    <row r="48" spans="1:52" s="90" customFormat="1">
      <c r="A48" s="1857"/>
      <c r="B48" s="1857"/>
      <c r="C48" s="1857"/>
      <c r="D48" s="1857"/>
      <c r="E48" s="1857"/>
      <c r="F48" s="1857"/>
      <c r="G48" s="1857"/>
      <c r="H48" s="1857"/>
      <c r="I48" s="1857"/>
      <c r="J48" s="1857"/>
      <c r="K48" s="1857"/>
      <c r="L48" s="8"/>
      <c r="M48" s="8"/>
      <c r="N48" s="8"/>
      <c r="O48" s="8"/>
      <c r="P48" s="8"/>
      <c r="Q48" s="8"/>
      <c r="R48" s="8"/>
      <c r="S48" s="8"/>
      <c r="T48" s="8"/>
      <c r="U48" s="8"/>
      <c r="V48" s="8"/>
      <c r="W48" s="8"/>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8"/>
    </row>
    <row r="49" spans="1:52" s="90" customFormat="1">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row>
    <row r="50" spans="1:52" s="90" customFormat="1" ht="15.75">
      <c r="A50" s="1922" t="s">
        <v>2407</v>
      </c>
      <c r="L50" s="8"/>
      <c r="M50" s="8"/>
      <c r="N50" s="8"/>
      <c r="O50" s="8"/>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row>
    <row r="52" spans="1:52">
      <c r="A52" s="93" t="s">
        <v>2</v>
      </c>
    </row>
    <row r="53" spans="1:52">
      <c r="A53" s="93" t="s">
        <v>2250</v>
      </c>
      <c r="AZ53"/>
    </row>
    <row r="54" spans="1:52">
      <c r="A54" s="93" t="s">
        <v>3</v>
      </c>
      <c r="AZ54"/>
    </row>
    <row r="55" spans="1:52">
      <c r="A55" s="93" t="s">
        <v>340</v>
      </c>
      <c r="AZ55"/>
    </row>
    <row r="56" spans="1:52">
      <c r="A56" s="93" t="s">
        <v>637</v>
      </c>
      <c r="AZ56"/>
    </row>
    <row r="57" spans="1:52">
      <c r="AZ57"/>
    </row>
    <row r="58" spans="1:52">
      <c r="AZ58"/>
    </row>
    <row r="59" spans="1:52">
      <c r="AZ59"/>
    </row>
    <row r="60" spans="1:52">
      <c r="AZ60"/>
    </row>
    <row r="61" spans="1:52">
      <c r="AZ61"/>
    </row>
    <row r="62" spans="1:52" ht="20.25">
      <c r="A62" s="1936" t="s">
        <v>2390</v>
      </c>
      <c r="B62" s="1936"/>
      <c r="C62" s="1936"/>
      <c r="D62" s="1936"/>
      <c r="E62" s="1936"/>
      <c r="F62" s="1936"/>
      <c r="G62" s="1936"/>
      <c r="H62" s="1936"/>
      <c r="I62" s="1936"/>
      <c r="J62" s="1936"/>
      <c r="K62" s="1936"/>
      <c r="L62" s="1936"/>
      <c r="M62" s="1936"/>
      <c r="N62" s="1936"/>
      <c r="O62" s="1936"/>
      <c r="P62" s="1936"/>
      <c r="Q62" s="1936"/>
      <c r="AZ62"/>
    </row>
    <row r="63" spans="1:52">
      <c r="A63" s="8"/>
      <c r="B63" s="8"/>
      <c r="C63" s="8"/>
      <c r="D63" s="8"/>
      <c r="E63" s="8"/>
      <c r="F63" s="8"/>
      <c r="G63" s="8"/>
      <c r="H63" s="8"/>
      <c r="I63" s="8"/>
      <c r="J63" s="8"/>
      <c r="K63" s="8"/>
      <c r="AZ63"/>
    </row>
    <row r="64" spans="1:52">
      <c r="A64" s="8"/>
      <c r="B64" s="8"/>
      <c r="C64" s="8"/>
      <c r="D64" s="8"/>
      <c r="E64" s="8"/>
      <c r="F64" s="8"/>
      <c r="G64" s="8"/>
      <c r="H64" s="8"/>
      <c r="I64" s="8"/>
      <c r="J64" s="8"/>
      <c r="K64" s="8"/>
      <c r="AZ64"/>
    </row>
    <row r="65" spans="1:52">
      <c r="AZ65"/>
    </row>
    <row r="66" spans="1:52" s="90" customFormat="1">
      <c r="A66"/>
      <c r="B66"/>
      <c r="C66"/>
      <c r="D66"/>
      <c r="E66"/>
      <c r="F66"/>
      <c r="G66"/>
      <c r="H66"/>
      <c r="I66"/>
      <c r="J66"/>
      <c r="K66"/>
      <c r="W66" s="8"/>
      <c r="X66" s="8"/>
      <c r="Y66" s="8"/>
      <c r="Z66" s="8"/>
      <c r="AA66" s="8"/>
      <c r="AB66" s="8"/>
      <c r="AC66" s="8"/>
      <c r="AD66" s="8"/>
      <c r="AE66" s="8"/>
      <c r="AF66" s="8"/>
      <c r="AG66" s="8"/>
      <c r="AH66" s="8"/>
      <c r="AI66" s="8"/>
      <c r="AJ66" s="8"/>
      <c r="AK66" s="8"/>
      <c r="AL66" s="8"/>
      <c r="AM66" s="8"/>
      <c r="AN66" s="8"/>
      <c r="AO66" s="8"/>
      <c r="AP66" s="8"/>
      <c r="AQ66" s="8"/>
      <c r="AR66" s="8"/>
      <c r="AS66" s="8"/>
      <c r="AT66" s="8"/>
      <c r="AU66" s="8"/>
      <c r="AV66" s="8"/>
      <c r="AW66" s="8"/>
      <c r="AX66" s="8"/>
      <c r="AY66" s="8"/>
    </row>
    <row r="67" spans="1:52">
      <c r="AZ67"/>
    </row>
    <row r="74" spans="1:52">
      <c r="D74" s="1379"/>
      <c r="E74" s="1379"/>
      <c r="F74" s="1379"/>
      <c r="G74" s="1379"/>
      <c r="H74" s="1379"/>
    </row>
    <row r="79" spans="1:52">
      <c r="A79" s="90"/>
      <c r="B79" s="90"/>
      <c r="C79" s="90"/>
      <c r="D79" s="90"/>
      <c r="E79" s="90"/>
      <c r="F79" s="90"/>
      <c r="G79" s="90"/>
      <c r="H79" s="90"/>
      <c r="I79" s="90"/>
      <c r="J79" s="90"/>
      <c r="K79" s="90"/>
    </row>
    <row r="80" spans="1:52">
      <c r="A80" s="1857"/>
      <c r="B80" s="1857"/>
      <c r="C80" s="1857"/>
      <c r="D80" s="1857"/>
      <c r="E80" s="1857"/>
      <c r="F80" s="1857"/>
      <c r="G80" s="1857"/>
      <c r="H80" s="1857"/>
      <c r="I80" s="1857"/>
      <c r="J80" s="1857"/>
      <c r="K80" s="1857"/>
    </row>
    <row r="83" spans="1:17" ht="21" thickBot="1">
      <c r="A83" s="1936" t="s">
        <v>2391</v>
      </c>
      <c r="B83" s="1936"/>
      <c r="C83" s="1936"/>
      <c r="D83" s="1936"/>
      <c r="E83" s="1936"/>
      <c r="F83" s="1936"/>
      <c r="G83" s="1936"/>
      <c r="H83" s="1936"/>
      <c r="I83" s="1936"/>
      <c r="J83" s="1936"/>
      <c r="K83" s="1936"/>
      <c r="L83" s="1936"/>
      <c r="M83" s="1936"/>
      <c r="N83" s="1936"/>
      <c r="O83" s="1936"/>
      <c r="P83" s="1936"/>
      <c r="Q83" s="1936"/>
    </row>
    <row r="84" spans="1:17" ht="60">
      <c r="A84" s="1904" t="s">
        <v>2364</v>
      </c>
      <c r="B84" s="1902" t="s">
        <v>2392</v>
      </c>
      <c r="C84" s="1902" t="s">
        <v>2365</v>
      </c>
      <c r="D84" s="1903" t="s">
        <v>2383</v>
      </c>
      <c r="E84" s="1883" t="s">
        <v>2402</v>
      </c>
      <c r="F84" s="1883" t="s">
        <v>2403</v>
      </c>
      <c r="G84" s="90"/>
      <c r="H84" s="90"/>
      <c r="I84" s="90"/>
      <c r="J84" s="90"/>
      <c r="K84" s="90"/>
    </row>
    <row r="85" spans="1:17" ht="30">
      <c r="A85" s="1905" t="s">
        <v>2393</v>
      </c>
      <c r="B85" s="1899">
        <f>'Community Data Summary'!D9</f>
        <v>437795.07762738009</v>
      </c>
      <c r="C85" s="1921">
        <f>'Community Data Summary'!K9</f>
        <v>600599.99999999988</v>
      </c>
      <c r="D85" s="1900" t="str">
        <f>CONCATENATE('Eff (res)'!O15," Houses")</f>
        <v>39 Houses</v>
      </c>
      <c r="E85" s="1692">
        <f>IF(Eff_Com_B_C_Ratio&gt;1,'Eff (res)'!D34,"N/A")</f>
        <v>12053.823556322275</v>
      </c>
      <c r="F85" s="1692"/>
    </row>
    <row r="86" spans="1:17" ht="30">
      <c r="A86" s="1905" t="s">
        <v>824</v>
      </c>
      <c r="B86" s="1899">
        <f>'Community Data Summary'!D10</f>
        <v>347075.61393734248</v>
      </c>
      <c r="C86" s="1921">
        <f>'Community Data Summary'!K10</f>
        <v>385866.48831908836</v>
      </c>
      <c r="D86" s="1900" t="str">
        <f>CONCATENATE(MROUND('Eff (com)'!J32,1000)," Square Feet")</f>
        <v>51000 Square Feet</v>
      </c>
      <c r="E86" s="1692">
        <f>IF(Eff_Com_B_C_Ratio&gt;1,'Eff (com)'!D34,"N/A")</f>
        <v>8830.7653205851675</v>
      </c>
      <c r="F86" s="1692">
        <f>IF(Eff_Com_B_C_Ratio&gt;1,'Eff (com)'!D33/Generation_Efficiency,"N/A")</f>
        <v>5732.8575491728598</v>
      </c>
    </row>
    <row r="87" spans="1:17" ht="30">
      <c r="A87" s="1905" t="s">
        <v>910</v>
      </c>
      <c r="B87" s="1899">
        <f>'Community Data Summary'!D11</f>
        <v>-10186.264372515927</v>
      </c>
      <c r="C87" s="1921">
        <f>'Community Data Summary'!K11</f>
        <v>0</v>
      </c>
      <c r="D87" s="1900"/>
      <c r="E87" s="1692" t="str">
        <f>IF(Eff_WW_B_C_Ratio&gt;1,'Eff (W &amp; WW)'!D38,"N/A")</f>
        <v>N/A</v>
      </c>
      <c r="F87" s="1692" t="str">
        <f>IF(Eff_WW_B_C_Ratio&gt;1,'Eff (W &amp; WW)'!D37,"N/A")</f>
        <v>N/A</v>
      </c>
    </row>
    <row r="88" spans="1:17" ht="15">
      <c r="A88" s="1905" t="s">
        <v>940</v>
      </c>
      <c r="B88" s="1899">
        <f>'Community Data Summary'!D12</f>
        <v>0</v>
      </c>
      <c r="C88" s="1921">
        <f>'Community Data Summary'!K12</f>
        <v>0</v>
      </c>
      <c r="D88" s="1900"/>
      <c r="E88" s="1692"/>
      <c r="F88" s="1692"/>
    </row>
    <row r="89" spans="1:17" ht="15">
      <c r="A89" s="1905" t="s">
        <v>634</v>
      </c>
      <c r="B89" s="1899">
        <f>'Community Data Summary'!D13</f>
        <v>-398692.87865559303</v>
      </c>
      <c r="C89" s="1921">
        <f>'Community Data Summary'!K13</f>
        <v>0</v>
      </c>
      <c r="D89" s="1900" t="str">
        <f>CONCATENATE('Diesel eff'!I22," gensets")</f>
        <v>3 gensets</v>
      </c>
      <c r="E89" s="1923"/>
      <c r="F89" s="1692" t="str">
        <f>IF(diesel_B_C_Ratio&gt;1,'Diesel eff'!D33,"N/A")</f>
        <v>N/A</v>
      </c>
    </row>
    <row r="90" spans="1:17" ht="28.5">
      <c r="A90" s="1905" t="s">
        <v>340</v>
      </c>
      <c r="B90" s="1899">
        <f>'Community Data Summary'!D14</f>
        <v>-68788.869151985273</v>
      </c>
      <c r="C90" s="1921">
        <f>'Community Data Summary'!K14</f>
        <v>0</v>
      </c>
      <c r="D90" s="1900" t="str">
        <f>CONCATENATE(MROUND('Heat Recovery'!N13,100)," gallons of HO eq.")</f>
        <v>2700 gallons of HO eq.</v>
      </c>
      <c r="E90" s="1692" t="str">
        <f>IF(HR_B_C_Ratio&gt;1,MROUND('Heat Recovery'!N13,10),"N/A")</f>
        <v>N/A</v>
      </c>
      <c r="F90" s="1692"/>
    </row>
    <row r="91" spans="1:17" ht="15">
      <c r="A91" s="1905" t="s">
        <v>635</v>
      </c>
      <c r="B91" s="1899">
        <f>'Community Data Summary'!D15</f>
        <v>0</v>
      </c>
      <c r="C91" s="1921">
        <f>'Community Data Summary'!K15</f>
        <v>0</v>
      </c>
      <c r="D91" s="1900" t="str">
        <f>IF(Wind!J8&gt;0,CONCATENATE(Wind!J8," kW"),"N/A")</f>
        <v>N/A</v>
      </c>
      <c r="E91" s="1692">
        <f>IF(Wind_B_C_Ratio&gt;1,Wind!D34,"N/A")</f>
        <v>0</v>
      </c>
      <c r="F91" s="1692">
        <f>IF(Wind_B_C_Ratio&gt;1,Wind!D33/Generation_Efficiency,"N/A")</f>
        <v>0</v>
      </c>
    </row>
    <row r="92" spans="1:17" ht="15">
      <c r="A92" s="1905" t="s">
        <v>636</v>
      </c>
      <c r="B92" s="1899" t="e">
        <f>'Community Data Summary'!D16</f>
        <v>#VALUE!</v>
      </c>
      <c r="C92" s="1921">
        <f>'Community Data Summary'!K16</f>
        <v>0</v>
      </c>
      <c r="D92" s="1900" t="str">
        <f>IF(Hydro!J7&gt;0,CONCATENATE(Hydro!J7," kW"),"N/A")</f>
        <v>N/A</v>
      </c>
      <c r="E92" s="1692"/>
      <c r="F92" s="1692"/>
    </row>
    <row r="93" spans="1:17" ht="15">
      <c r="A93" s="1905" t="s">
        <v>2297</v>
      </c>
      <c r="B93" s="1899" t="str">
        <f>'Community Data Summary'!D17</f>
        <v>N/A</v>
      </c>
      <c r="C93" s="1921">
        <f>'Community Data Summary'!K17</f>
        <v>0</v>
      </c>
      <c r="D93" s="1900" t="str">
        <f>IF('Biomass--Cord'!K11&gt;0, CONCATENATE('Biomass--Cord'!K11," Gallons HO eq."),"N/A")</f>
        <v>N/A</v>
      </c>
      <c r="E93" s="1692" t="str">
        <f>IF(Biomass_B_C_Ratio&gt;1,'Biomass--Cord'!D34,"N/A")</f>
        <v>N/A</v>
      </c>
      <c r="F93" s="1692"/>
    </row>
    <row r="94" spans="1:17" ht="28.5">
      <c r="A94" s="1905" t="s">
        <v>2298</v>
      </c>
      <c r="B94" s="1899">
        <f>'Community Data Summary'!D18</f>
        <v>197871.41694459398</v>
      </c>
      <c r="C94" s="1921">
        <f>'Community Data Summary'!K18</f>
        <v>166859.0490164076</v>
      </c>
      <c r="D94" s="1900" t="str">
        <f>CONCATENATE(MROUND('Biomass-pellet'!K10,10)," gallons of HO eq.")</f>
        <v>10820 gallons of HO eq.</v>
      </c>
      <c r="E94" s="1692">
        <f>IF('Biomass-pellet'!C15&gt;1,MROUND('Biomass-pellet'!K10,10),"N/A")</f>
        <v>10820</v>
      </c>
      <c r="F94" s="1692"/>
    </row>
    <row r="95" spans="1:17" ht="15">
      <c r="A95" s="1905" t="s">
        <v>637</v>
      </c>
      <c r="B95" s="1899">
        <f>'Community Data Summary'!D19</f>
        <v>-247937.02360122206</v>
      </c>
      <c r="C95" s="1921">
        <f>'Community Data Summary'!K19</f>
        <v>0</v>
      </c>
      <c r="D95" s="1900" t="str">
        <f>CONCATENATE(kW_proposed," kW")</f>
        <v>15 kW</v>
      </c>
      <c r="E95" s="1692" t="str">
        <f>IF(Solar_B_C_Ratio&gt;1,Solar!D34,"N/A")</f>
        <v>N/A</v>
      </c>
      <c r="F95" s="1692" t="str">
        <f>IF(Solar_B_C_Ratio&gt;1,Solar!D33/Generation_Efficiency,"N/A")</f>
        <v>N/A</v>
      </c>
    </row>
    <row r="96" spans="1:17" ht="15">
      <c r="A96" s="1906" t="s">
        <v>965</v>
      </c>
      <c r="B96" s="1899">
        <f>'Community Data Summary'!D20</f>
        <v>0</v>
      </c>
      <c r="C96" s="1921" t="str">
        <f>'Community Data Summary'!K20</f>
        <v>N/A</v>
      </c>
      <c r="D96" s="1900" t="str">
        <f>IF(Interties!J5&lt;&gt;"N/A",CONCATENATE(Interties!J5,"Miles of Intertie"),"N/A")</f>
        <v>N/A</v>
      </c>
      <c r="E96" s="1692"/>
      <c r="F96" s="1692"/>
    </row>
    <row r="97" spans="1:7" ht="15.75" thickBot="1">
      <c r="A97" s="1907" t="s">
        <v>662</v>
      </c>
      <c r="B97" s="1899">
        <f>'Community Data Summary'!D21</f>
        <v>0</v>
      </c>
      <c r="C97" s="1921">
        <f>'Community Data Summary'!K21</f>
        <v>0</v>
      </c>
      <c r="D97" s="1901"/>
      <c r="E97" s="1692"/>
      <c r="F97" s="1692"/>
    </row>
    <row r="102" spans="1:7" ht="13.5" thickBot="1"/>
    <row r="103" spans="1:7" ht="20.25">
      <c r="G103" s="2219" t="s">
        <v>2410</v>
      </c>
    </row>
    <row r="104" spans="1:7" ht="13.5" thickBot="1">
      <c r="G104" s="2220" t="str">
        <f>CONCATENATE(MROUND('Forecast with cost eff projects'!U38,10)," gallons/person")</f>
        <v>850 gallons/person</v>
      </c>
    </row>
  </sheetData>
  <mergeCells count="11">
    <mergeCell ref="A83:Q83"/>
    <mergeCell ref="A62:Q62"/>
    <mergeCell ref="H25:M25"/>
    <mergeCell ref="A31:D31"/>
    <mergeCell ref="A38:D38"/>
    <mergeCell ref="H42:I42"/>
    <mergeCell ref="A1:Q1"/>
    <mergeCell ref="A2:Q2"/>
    <mergeCell ref="A4:Q4"/>
    <mergeCell ref="A24:Q24"/>
    <mergeCell ref="A25:D25"/>
  </mergeCells>
  <pageMargins left="0.7" right="0.7" top="0.75" bottom="0.75" header="0.3" footer="0.3"/>
  <pageSetup scale="54" fitToWidth="0"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L113"/>
  <sheetViews>
    <sheetView topLeftCell="A16" workbookViewId="0">
      <selection activeCell="A8" sqref="A8:A22"/>
    </sheetView>
  </sheetViews>
  <sheetFormatPr defaultRowHeight="12.75"/>
  <cols>
    <col min="1" max="1" width="37.5703125" style="90" bestFit="1" customWidth="1"/>
    <col min="2" max="2" width="19" style="90" bestFit="1" customWidth="1"/>
    <col min="3" max="3" width="14" style="90" bestFit="1" customWidth="1"/>
    <col min="4" max="4" width="12.28515625" style="90" bestFit="1" customWidth="1"/>
    <col min="5" max="5" width="12.85546875" style="90" customWidth="1"/>
    <col min="6" max="6" width="14.5703125" style="90" customWidth="1"/>
    <col min="7" max="7" width="13.7109375" style="90" customWidth="1"/>
    <col min="8" max="8" width="11.28515625" style="90" bestFit="1" customWidth="1"/>
    <col min="9" max="9" width="10.7109375" style="90" bestFit="1" customWidth="1"/>
    <col min="10" max="11" width="12.28515625" style="90" bestFit="1" customWidth="1"/>
    <col min="12" max="12" width="13.85546875" style="90" customWidth="1"/>
    <col min="13" max="13" width="12.28515625" style="90" bestFit="1" customWidth="1"/>
    <col min="14" max="14" width="12.85546875" style="90" bestFit="1" customWidth="1"/>
    <col min="15" max="18" width="9.140625" style="90"/>
    <col min="19" max="62" width="9.140625" style="8"/>
    <col min="63" max="16384" width="9.140625" style="90"/>
  </cols>
  <sheetData>
    <row r="1" spans="1:62" ht="15">
      <c r="A1" s="1945" t="s">
        <v>881</v>
      </c>
      <c r="B1" s="1945"/>
      <c r="C1" s="1945"/>
      <c r="D1" s="1945"/>
      <c r="E1" s="1945"/>
      <c r="F1" s="1945"/>
      <c r="G1" s="1945"/>
      <c r="H1" s="1945"/>
      <c r="I1" s="1945"/>
      <c r="J1" s="355"/>
      <c r="K1" s="355"/>
      <c r="L1" s="355"/>
      <c r="M1" s="355"/>
      <c r="N1" s="355"/>
      <c r="O1" s="355"/>
    </row>
    <row r="3" spans="1:62" ht="15">
      <c r="A3" s="224" t="s">
        <v>303</v>
      </c>
      <c r="B3" s="613" t="str">
        <f>Community_Name</f>
        <v>Manley Hot Springs</v>
      </c>
    </row>
    <row r="4" spans="1:62" ht="39">
      <c r="A4" s="224" t="s">
        <v>332</v>
      </c>
      <c r="B4" s="1224" t="str">
        <f>Energy_Region</f>
        <v>Yukon-Koyukuk/Upper Tanana</v>
      </c>
    </row>
    <row r="5" spans="1:62" ht="15">
      <c r="A5" s="224" t="s">
        <v>644</v>
      </c>
      <c r="B5" s="1224">
        <f>Population</f>
        <v>89</v>
      </c>
    </row>
    <row r="6" spans="1:62" ht="15.75" thickBot="1">
      <c r="A6" s="1001"/>
      <c r="B6" s="270"/>
    </row>
    <row r="7" spans="1:62" ht="18.75">
      <c r="A7" s="1952" t="s">
        <v>1204</v>
      </c>
      <c r="B7" s="1953"/>
      <c r="C7" s="1953"/>
      <c r="D7" s="1953"/>
      <c r="E7" s="1953"/>
      <c r="F7" s="1953"/>
      <c r="G7" s="1953"/>
      <c r="H7" s="1953"/>
      <c r="I7" s="1953"/>
      <c r="J7" s="1953"/>
      <c r="K7" s="1953"/>
      <c r="L7" s="1954"/>
    </row>
    <row r="8" spans="1:62" s="218" customFormat="1" ht="68.25" customHeight="1">
      <c r="A8" s="1002" t="s">
        <v>2364</v>
      </c>
      <c r="B8" s="843" t="s">
        <v>891</v>
      </c>
      <c r="C8" s="357" t="s">
        <v>892</v>
      </c>
      <c r="D8" s="418" t="s">
        <v>290</v>
      </c>
      <c r="E8" s="418" t="s">
        <v>737</v>
      </c>
      <c r="F8" s="281" t="s">
        <v>1205</v>
      </c>
      <c r="G8" s="281" t="s">
        <v>1206</v>
      </c>
      <c r="H8" s="281" t="s">
        <v>2104</v>
      </c>
      <c r="I8" s="281" t="s">
        <v>2105</v>
      </c>
      <c r="J8" s="281" t="s">
        <v>2103</v>
      </c>
      <c r="K8" s="281" t="s">
        <v>2102</v>
      </c>
      <c r="L8" s="1003" t="s">
        <v>913</v>
      </c>
      <c r="S8" s="694"/>
      <c r="T8" s="694"/>
      <c r="U8" s="694"/>
      <c r="V8" s="694"/>
      <c r="W8" s="694"/>
      <c r="X8" s="694"/>
      <c r="Y8" s="694"/>
      <c r="Z8" s="694"/>
      <c r="AA8" s="694"/>
      <c r="AB8" s="694"/>
      <c r="AC8" s="694"/>
      <c r="AD8" s="694"/>
      <c r="AE8" s="694"/>
      <c r="AF8" s="694"/>
      <c r="AG8" s="694"/>
      <c r="AH8" s="694"/>
      <c r="AI8" s="694"/>
      <c r="AJ8" s="694"/>
      <c r="AK8" s="694"/>
      <c r="AL8" s="694"/>
      <c r="AM8" s="694"/>
      <c r="AN8" s="694"/>
      <c r="AO8" s="694"/>
      <c r="AP8" s="694"/>
      <c r="AQ8" s="694"/>
      <c r="AR8" s="694"/>
      <c r="AS8" s="694"/>
      <c r="AT8" s="694"/>
      <c r="AU8" s="694"/>
      <c r="AV8" s="694"/>
      <c r="AW8" s="694"/>
      <c r="AX8" s="694"/>
      <c r="AY8" s="694"/>
      <c r="AZ8" s="694"/>
      <c r="BA8" s="694"/>
      <c r="BB8" s="694"/>
      <c r="BC8" s="694"/>
      <c r="BD8" s="694"/>
      <c r="BE8" s="694"/>
      <c r="BF8" s="694"/>
      <c r="BG8" s="694"/>
      <c r="BH8" s="694"/>
      <c r="BI8" s="694"/>
      <c r="BJ8" s="694"/>
    </row>
    <row r="9" spans="1:62">
      <c r="A9" s="1004" t="s">
        <v>822</v>
      </c>
      <c r="B9" s="1215">
        <f>EE_Res_NPV_Benefits</f>
        <v>1040822.4984333834</v>
      </c>
      <c r="C9" s="1215">
        <f>EE_Res_NPV_Capital_Costs</f>
        <v>603027.42080600327</v>
      </c>
      <c r="D9" s="1215">
        <f>EE_Res_NPV_Net_Benefit</f>
        <v>437795.07762738009</v>
      </c>
      <c r="E9" s="1216">
        <f>EE_Res_B_C_Ratio</f>
        <v>1.7259953072154257</v>
      </c>
      <c r="F9" s="613" t="s">
        <v>383</v>
      </c>
      <c r="G9" s="613" t="s">
        <v>889</v>
      </c>
      <c r="H9" s="1222">
        <f>IF(E9&gt;1,'Eff (res)'!L62,0)</f>
        <v>32074.829782920846</v>
      </c>
      <c r="I9" s="1222">
        <f>IF(E9&gt;0.99,'Eff (res)'!L59,0)</f>
        <v>83467.655722820462</v>
      </c>
      <c r="J9" s="359">
        <f>IF(E9&gt;1,C9,0)</f>
        <v>603027.42080600327</v>
      </c>
      <c r="K9" s="617">
        <f>IF(E9&gt;1,'Eff (res)'!D30,0)</f>
        <v>600599.99999999988</v>
      </c>
      <c r="L9" s="1005"/>
    </row>
    <row r="10" spans="1:62">
      <c r="A10" s="1006" t="s">
        <v>824</v>
      </c>
      <c r="B10" s="1215">
        <f>Eff_com_NPV_Benefits</f>
        <v>722051.1717475981</v>
      </c>
      <c r="C10" s="1215">
        <f>Eff_com_NPV_Capital_Costs</f>
        <v>374975.5578102555</v>
      </c>
      <c r="D10" s="1215">
        <f>Eff_com_NPV_Net_Benefit</f>
        <v>347075.61393734248</v>
      </c>
      <c r="E10" s="1216">
        <f>Eff_Com_B_C_Ratio</f>
        <v>1.9255953000354471</v>
      </c>
      <c r="F10" s="613" t="s">
        <v>383</v>
      </c>
      <c r="G10" s="613" t="s">
        <v>889</v>
      </c>
      <c r="H10" s="1222">
        <f>IF(E10&gt;1,'Eff (com)'!L62,0)</f>
        <v>43912.570106942752</v>
      </c>
      <c r="I10" s="1222">
        <f>IF(E10&gt;0.99,'Eff (com)'!L59,0)</f>
        <v>88296.156302728632</v>
      </c>
      <c r="J10" s="359">
        <f t="shared" ref="J10:J22" si="0">IF(E10&gt;1,C10,0)</f>
        <v>374975.5578102555</v>
      </c>
      <c r="K10" s="617">
        <f>IF(E10&gt;1,'Eff (com)'!D30,0)</f>
        <v>385866.48831908836</v>
      </c>
      <c r="L10" s="1005"/>
    </row>
    <row r="11" spans="1:62">
      <c r="A11" s="1006" t="s">
        <v>910</v>
      </c>
      <c r="B11" s="1215">
        <f>Eff_WW_NPV_Benefits</f>
        <v>44891.444911090664</v>
      </c>
      <c r="C11" s="1215">
        <f>Eff_WW_NPV_Capital_Costs</f>
        <v>55077.709283606579</v>
      </c>
      <c r="D11" s="1215">
        <f>Eff_WW_NPV_Net_Benefit</f>
        <v>-10186.264372515927</v>
      </c>
      <c r="E11" s="1216">
        <f>Eff_WW_B_C_Ratio</f>
        <v>0.81505649917165723</v>
      </c>
      <c r="F11" s="1213" t="s">
        <v>383</v>
      </c>
      <c r="G11" s="1213" t="s">
        <v>889</v>
      </c>
      <c r="H11" s="1222">
        <f>IF(E11&gt;1,'Eff (W &amp; WW)'!L62,0)</f>
        <v>0</v>
      </c>
      <c r="I11" s="1222">
        <f>IF(E11&gt;0.99,'Eff (W &amp; WW)'!L59,0)</f>
        <v>0</v>
      </c>
      <c r="J11" s="359">
        <f t="shared" si="0"/>
        <v>0</v>
      </c>
      <c r="K11" s="617">
        <f>IF(E11&gt;1,'Eff (W &amp; WW)'!D30,0)</f>
        <v>0</v>
      </c>
      <c r="L11" s="1005"/>
    </row>
    <row r="12" spans="1:62">
      <c r="A12" s="1006" t="s">
        <v>940</v>
      </c>
      <c r="B12" s="1215">
        <f>Lights_NPV_Benefits</f>
        <v>0</v>
      </c>
      <c r="C12" s="1215">
        <f>Lights_NPV_Capital_Costs</f>
        <v>0</v>
      </c>
      <c r="D12" s="1215">
        <f>Lights_NPV_Net_Benefit</f>
        <v>0</v>
      </c>
      <c r="E12" s="1216" t="str">
        <f>Lights_B_C_Ratio</f>
        <v>N/A</v>
      </c>
      <c r="F12" s="1213"/>
      <c r="G12" s="1213"/>
      <c r="H12" s="1222"/>
      <c r="I12" s="1222"/>
      <c r="J12" s="359">
        <f t="shared" si="0"/>
        <v>0</v>
      </c>
      <c r="K12" s="617">
        <f>IF(E12&gt;1,Streetlights!D30,0)</f>
        <v>0</v>
      </c>
      <c r="L12" s="1005"/>
    </row>
    <row r="13" spans="1:62">
      <c r="A13" s="1006" t="s">
        <v>634</v>
      </c>
      <c r="B13" s="1217">
        <f>Diesel_NPV_Benefits</f>
        <v>149107.41411550221</v>
      </c>
      <c r="C13" s="1217">
        <f>Diesel_NPV_Capital_Costs</f>
        <v>547800.29277109518</v>
      </c>
      <c r="D13" s="1217">
        <f>Diesel_NPV_Net_Benefit</f>
        <v>-398692.87865559303</v>
      </c>
      <c r="E13" s="1218">
        <f>diesel_B_C_Ratio</f>
        <v>0.2721930164754558</v>
      </c>
      <c r="F13" s="613" t="s">
        <v>383</v>
      </c>
      <c r="G13" s="613" t="s">
        <v>889</v>
      </c>
      <c r="H13" s="1222">
        <f>IF(E13&gt;1,'Diesel eff'!L62,0)</f>
        <v>0</v>
      </c>
      <c r="I13" s="1222">
        <f>IF(E13&gt;0.99,'Diesel eff'!L60,0)</f>
        <v>0</v>
      </c>
      <c r="J13" s="359">
        <f t="shared" si="0"/>
        <v>0</v>
      </c>
      <c r="K13" s="617">
        <f>IF(E13&gt;1,'Diesel eff'!D30,0)</f>
        <v>0</v>
      </c>
      <c r="L13" s="1005"/>
    </row>
    <row r="14" spans="1:62">
      <c r="A14" s="1006" t="s">
        <v>340</v>
      </c>
      <c r="B14" s="1217">
        <f>HR_NPV_Benefits</f>
        <v>208519.61750173089</v>
      </c>
      <c r="C14" s="1217">
        <f>HR_NPV_Capital_Costs</f>
        <v>277308.48665371607</v>
      </c>
      <c r="D14" s="1217">
        <f>HR_NPV_Net_Benefit</f>
        <v>-68788.869151985273</v>
      </c>
      <c r="E14" s="1218">
        <f>HR_B_C_Ratio</f>
        <v>0.75194098823998834</v>
      </c>
      <c r="F14" s="613"/>
      <c r="G14" s="613"/>
      <c r="H14" s="1222">
        <f>IF(E14&gt;1,'Heat Recovery'!L61,0)</f>
        <v>0</v>
      </c>
      <c r="I14" s="1222">
        <f>IF(E14&gt;0.99,'Heat Recovery'!L59,0)</f>
        <v>0</v>
      </c>
      <c r="J14" s="359">
        <f t="shared" si="0"/>
        <v>0</v>
      </c>
      <c r="K14" s="617">
        <f>IF(E14&gt;1,'Heat Recovery'!D30,0)</f>
        <v>0</v>
      </c>
      <c r="L14" s="1005"/>
    </row>
    <row r="15" spans="1:62">
      <c r="A15" s="1004" t="s">
        <v>635</v>
      </c>
      <c r="B15" s="1215">
        <f>Wind_NPV_Benefits</f>
        <v>0</v>
      </c>
      <c r="C15" s="1215">
        <f>Wind_NPV_Capital_Costs</f>
        <v>0</v>
      </c>
      <c r="D15" s="1215">
        <f>Wind_NPV_Net_Benefit</f>
        <v>0</v>
      </c>
      <c r="E15" s="1216" t="str">
        <f>Wind_B_C_Ratio</f>
        <v>N/A</v>
      </c>
      <c r="F15" s="613" t="s">
        <v>889</v>
      </c>
      <c r="G15" s="613" t="s">
        <v>385</v>
      </c>
      <c r="H15" s="1222">
        <f>IF(AND(E15&gt;1,E15&lt;&gt;"N/A"),Wind!L62,0)</f>
        <v>0</v>
      </c>
      <c r="I15" s="1222">
        <f>IF(E15&gt;0.99,Wind!L59,0)</f>
        <v>0</v>
      </c>
      <c r="J15" s="359">
        <f t="shared" si="0"/>
        <v>0</v>
      </c>
      <c r="K15" s="617">
        <f>IF(E15&gt;1,Wind!D30,0)</f>
        <v>0</v>
      </c>
      <c r="L15" s="1005"/>
    </row>
    <row r="16" spans="1:62">
      <c r="A16" s="1004" t="s">
        <v>636</v>
      </c>
      <c r="B16" s="1219" t="e">
        <f>Hydro_NPV_Benefits</f>
        <v>#VALUE!</v>
      </c>
      <c r="C16" s="1217">
        <f>Hydro_NPV_Capital_Costs</f>
        <v>0</v>
      </c>
      <c r="D16" s="1217" t="e">
        <f>Hydro_NPV_Net_Benefit</f>
        <v>#VALUE!</v>
      </c>
      <c r="E16" s="1216">
        <f>Hydro_B_C_Ratio</f>
        <v>0</v>
      </c>
      <c r="F16" s="613" t="s">
        <v>890</v>
      </c>
      <c r="G16" s="613" t="s">
        <v>890</v>
      </c>
      <c r="H16" s="1222">
        <f>IF(E16&gt;1,Hydro!L62,0)</f>
        <v>0</v>
      </c>
      <c r="I16" s="1222">
        <f>IF(E16&gt;0.99,Hydro!L59,0)</f>
        <v>0</v>
      </c>
      <c r="J16" s="359">
        <f t="shared" si="0"/>
        <v>0</v>
      </c>
      <c r="K16" s="617">
        <f>IF(E16&gt;1,Hydro!D30,0)</f>
        <v>0</v>
      </c>
      <c r="L16" s="1005"/>
    </row>
    <row r="17" spans="1:63">
      <c r="A17" s="1006" t="s">
        <v>2297</v>
      </c>
      <c r="B17" s="1215" t="str">
        <f>Biomass_NPV_Benefits</f>
        <v>N/A</v>
      </c>
      <c r="C17" s="1215" t="str">
        <f>Biomass_NPV_Capital_Costs</f>
        <v>N/A</v>
      </c>
      <c r="D17" s="1215" t="str">
        <f>Biomass_NPV_Net_Benefit</f>
        <v>N/A</v>
      </c>
      <c r="E17" s="1216">
        <f>Biomass_B_C_Ratio</f>
        <v>0</v>
      </c>
      <c r="F17" s="613" t="s">
        <v>383</v>
      </c>
      <c r="G17" s="613" t="s">
        <v>385</v>
      </c>
      <c r="H17" s="1222">
        <f>IF(E17&gt;1,'Biomass--Cord'!L62,0)</f>
        <v>0</v>
      </c>
      <c r="I17" s="1222">
        <f>IF(E17&gt;0.99,'Biomass--Cord'!L59,0)</f>
        <v>0</v>
      </c>
      <c r="J17" s="359">
        <f t="shared" si="0"/>
        <v>0</v>
      </c>
      <c r="K17" s="617">
        <f>IF(E17&gt;1,'Biomass--Cord'!D30,0)</f>
        <v>0</v>
      </c>
      <c r="L17" s="1005"/>
    </row>
    <row r="18" spans="1:63">
      <c r="A18" s="1006" t="s">
        <v>2298</v>
      </c>
      <c r="B18" s="1215">
        <f>'Biomass-pellet'!C13</f>
        <v>353166.35196645762</v>
      </c>
      <c r="C18" s="1215">
        <f>'Biomass-pellet'!C14</f>
        <v>155294.93502186358</v>
      </c>
      <c r="D18" s="1215">
        <f>'Biomass-pellet'!C16</f>
        <v>197871.41694459398</v>
      </c>
      <c r="E18" s="1216">
        <f>'Biomass-pellet'!C15</f>
        <v>2.2741652966127726</v>
      </c>
      <c r="F18" s="613"/>
      <c r="G18" s="613"/>
      <c r="H18" s="1222">
        <f>IF(E18&gt;1,'Biomass-pellet'!L62,0)</f>
        <v>6187.1848591779853</v>
      </c>
      <c r="I18" s="1222">
        <f>IF(E18&gt;1,'Biomass-pellet'!L59,0)</f>
        <v>18079.184945404515</v>
      </c>
      <c r="J18" s="359">
        <f t="shared" si="0"/>
        <v>155294.93502186358</v>
      </c>
      <c r="K18" s="617">
        <f>IF(E18&gt;1,'Biomass-pellet'!D30,0)</f>
        <v>166859.0490164076</v>
      </c>
      <c r="L18" s="1005"/>
    </row>
    <row r="19" spans="1:63">
      <c r="A19" s="1004" t="s">
        <v>637</v>
      </c>
      <c r="B19" s="1217">
        <f>Solar_NPV_Benefits</f>
        <v>17101.17603241808</v>
      </c>
      <c r="C19" s="1217">
        <f>Solar_NPV_Capital_Costs</f>
        <v>265038.19963364006</v>
      </c>
      <c r="D19" s="1217">
        <f>Solar_NPV_Net_Benefit</f>
        <v>-247937.02360122206</v>
      </c>
      <c r="E19" s="1216">
        <f>Solar_B_C_Ratio</f>
        <v>6.4523438719614315E-2</v>
      </c>
      <c r="F19" s="613" t="s">
        <v>383</v>
      </c>
      <c r="G19" s="613" t="s">
        <v>889</v>
      </c>
      <c r="H19" s="1222">
        <f>IF(E19&gt;1,Solar!L62,0)</f>
        <v>0</v>
      </c>
      <c r="I19" s="1222">
        <f>IF(E19&gt;0.99,Solar!L59,0)</f>
        <v>0</v>
      </c>
      <c r="J19" s="359">
        <f t="shared" si="0"/>
        <v>0</v>
      </c>
      <c r="K19" s="617">
        <f>IF(E19&gt;1,Solar!D30,0)</f>
        <v>0</v>
      </c>
      <c r="L19" s="1005"/>
    </row>
    <row r="20" spans="1:63">
      <c r="A20" s="1007" t="s">
        <v>965</v>
      </c>
      <c r="B20" s="1220">
        <f>Intertie_NPV_Benefits</f>
        <v>0</v>
      </c>
      <c r="C20" s="1215">
        <f>Intertie_Costs</f>
        <v>0</v>
      </c>
      <c r="D20" s="1215">
        <f>Intertie_NPV_Net_Benefit</f>
        <v>0</v>
      </c>
      <c r="E20" s="1216" t="str">
        <f>Intertie_B_C_Ratio</f>
        <v>N/A</v>
      </c>
      <c r="F20" s="613" t="s">
        <v>383</v>
      </c>
      <c r="G20" s="613" t="s">
        <v>889</v>
      </c>
      <c r="H20" s="1222">
        <f>IF(AND(E20&gt;1,E20&lt;&gt;"N/A"),Interties!L62,0)</f>
        <v>0</v>
      </c>
      <c r="I20" s="1222">
        <f>IF(AND(E20&gt;0.99,E20&lt;&gt;"N/A"),Interties!L59,0)</f>
        <v>0</v>
      </c>
      <c r="J20" s="359">
        <f t="shared" si="0"/>
        <v>0</v>
      </c>
      <c r="K20" s="617" t="str">
        <f>IF(E20&gt;1,Interties!D30,0)</f>
        <v>N/A</v>
      </c>
      <c r="L20" s="1005"/>
    </row>
    <row r="21" spans="1:63">
      <c r="A21" s="1008" t="s">
        <v>662</v>
      </c>
      <c r="B21" s="1220">
        <f>BF_NPV_Benefits</f>
        <v>0</v>
      </c>
      <c r="C21" s="1215">
        <f>BF_NPV_Capital_Costs</f>
        <v>0</v>
      </c>
      <c r="D21" s="1215">
        <f>BF_NPV_Net_Benefit</f>
        <v>0</v>
      </c>
      <c r="E21" s="1216">
        <f>BF__C_Ratio</f>
        <v>0</v>
      </c>
      <c r="F21" s="613" t="s">
        <v>383</v>
      </c>
      <c r="G21" s="613" t="s">
        <v>889</v>
      </c>
      <c r="H21" s="1222">
        <f>IF(E21&gt;1,'Bulk Fuel--in dev'!L62,0)</f>
        <v>0</v>
      </c>
      <c r="I21" s="1222">
        <f>IF(E21&gt;0.99,'Bulk Fuel--in dev'!L59,0)</f>
        <v>0</v>
      </c>
      <c r="J21" s="359">
        <f t="shared" si="0"/>
        <v>0</v>
      </c>
      <c r="K21" s="617">
        <f>IF(E21&gt;1,'Bulk Fuel--in dev'!D30,0)</f>
        <v>0</v>
      </c>
      <c r="L21" s="1005"/>
    </row>
    <row r="22" spans="1:63" ht="13.5" thickBot="1">
      <c r="A22" s="1009" t="s">
        <v>887</v>
      </c>
      <c r="B22" s="1221">
        <f>PCE_NPV_Benefits</f>
        <v>0</v>
      </c>
      <c r="C22" s="1221"/>
      <c r="D22" s="1221">
        <f>PCE_NPV_Net_Benefit</f>
        <v>0</v>
      </c>
      <c r="E22" s="1214">
        <f>PCE_B_C_Ratio</f>
        <v>0</v>
      </c>
      <c r="F22" s="1214" t="s">
        <v>383</v>
      </c>
      <c r="G22" s="1214" t="s">
        <v>383</v>
      </c>
      <c r="H22" s="1223">
        <f>IF(E22&gt;1,PCE!L62,0)</f>
        <v>0</v>
      </c>
      <c r="I22" s="1223">
        <f>IF(E22&gt;0.99,PCE!L59,0)</f>
        <v>0</v>
      </c>
      <c r="J22" s="359">
        <f t="shared" si="0"/>
        <v>0</v>
      </c>
      <c r="K22" s="617">
        <f>IF(E22&gt;1,PCE!D30,0)</f>
        <v>0</v>
      </c>
      <c r="L22" s="1010"/>
    </row>
    <row r="23" spans="1:63">
      <c r="H23" s="448">
        <f>SUM(H9:H22)</f>
        <v>82174.584749041576</v>
      </c>
      <c r="I23" s="448">
        <f>SUM(I9:I22)</f>
        <v>189842.99697095359</v>
      </c>
      <c r="J23" s="1400">
        <f>SUM(J9:J22)</f>
        <v>1133297.9136381224</v>
      </c>
      <c r="K23" s="1400">
        <f>SUM(K9:K22)</f>
        <v>1153325.5373354959</v>
      </c>
    </row>
    <row r="24" spans="1:63" ht="13.5" thickBot="1"/>
    <row r="25" spans="1:63" ht="18.75" thickBot="1">
      <c r="A25" s="1376" t="s">
        <v>956</v>
      </c>
      <c r="B25" s="1377"/>
      <c r="D25" s="1394"/>
      <c r="E25" s="1395"/>
      <c r="F25" s="288"/>
      <c r="G25" s="1394"/>
      <c r="H25" s="288"/>
      <c r="I25" s="288"/>
      <c r="J25" s="288"/>
      <c r="K25" s="288"/>
      <c r="R25" s="8"/>
      <c r="BJ25" s="90"/>
    </row>
    <row r="26" spans="1:63" ht="39" thickBot="1">
      <c r="A26" s="416" t="s">
        <v>2112</v>
      </c>
      <c r="B26" s="467" t="s">
        <v>2113</v>
      </c>
      <c r="C26" s="650" t="s">
        <v>896</v>
      </c>
      <c r="D26" s="228" t="s">
        <v>893</v>
      </c>
      <c r="E26" s="492" t="s">
        <v>1207</v>
      </c>
      <c r="F26" s="228"/>
      <c r="G26" s="1946" t="s">
        <v>915</v>
      </c>
      <c r="H26" s="1947"/>
      <c r="I26" s="1947"/>
      <c r="J26" s="1948"/>
      <c r="K26" s="288"/>
      <c r="L26" s="288"/>
      <c r="M26" s="288"/>
      <c r="N26" s="8"/>
      <c r="S26" s="90"/>
      <c r="BK26" s="8"/>
    </row>
    <row r="27" spans="1:63" ht="26.25" thickBot="1">
      <c r="A27" s="1950" t="s">
        <v>1199</v>
      </c>
      <c r="B27" s="1018" t="s">
        <v>631</v>
      </c>
      <c r="C27" s="1019">
        <f>Residential_non_PCE_eligible_price*Total_Residential_Demand</f>
        <v>141890.16</v>
      </c>
      <c r="D27" s="1020">
        <f>Forecast!$D$27/Generation_Efficiency</f>
        <v>19410.125557572879</v>
      </c>
      <c r="E27" s="1235" t="s">
        <v>385</v>
      </c>
      <c r="F27" s="8"/>
      <c r="G27" s="491"/>
      <c r="H27" s="472" t="str">
        <f>B3</f>
        <v>Manley Hot Springs</v>
      </c>
      <c r="I27" s="472" t="s">
        <v>332</v>
      </c>
      <c r="J27" s="492" t="s">
        <v>916</v>
      </c>
      <c r="M27" s="8"/>
      <c r="N27" s="8"/>
      <c r="O27" s="8"/>
      <c r="S27" s="90"/>
      <c r="BK27" s="8"/>
    </row>
    <row r="28" spans="1:63" ht="13.5" thickBot="1">
      <c r="A28" s="1951"/>
      <c r="B28" s="1021" t="s">
        <v>353</v>
      </c>
      <c r="C28" s="1022">
        <f>'Eff (res)'!I33*Fuel_Oil_price</f>
        <v>168102.62951958698</v>
      </c>
      <c r="D28" s="1023">
        <f>'Eff (res)'!I33</f>
        <v>37522.908374907805</v>
      </c>
      <c r="E28" s="1235" t="s">
        <v>1208</v>
      </c>
      <c r="F28" s="349"/>
      <c r="G28" s="416" t="s">
        <v>2300</v>
      </c>
      <c r="H28" s="469">
        <f>'Community data'!L8</f>
        <v>4.4800000000000004</v>
      </c>
      <c r="I28" s="1401">
        <v>5.5</v>
      </c>
      <c r="J28" s="1402">
        <v>4.2</v>
      </c>
      <c r="S28" s="90"/>
      <c r="BK28" s="8"/>
    </row>
    <row r="29" spans="1:63" ht="38.25">
      <c r="A29" s="1784" t="s">
        <v>1200</v>
      </c>
      <c r="B29" s="1018" t="s">
        <v>2299</v>
      </c>
      <c r="C29" s="1019">
        <f>(Forecast!F27+Forecast!H27-IF('Eff (W &amp; WW)'!J9="No",Sanitation_Estimated_Electricity,Sanitation_Actual_Electricity))*Residential_non_PCE_eligible_price+Forecast!$G$27*Residential_non_PCE_eligible_price</f>
        <v>168569.62372438636</v>
      </c>
      <c r="D29" s="1020">
        <f>C29/Residential_non_PCE_eligible_price/Generation_Efficiency</f>
        <v>18801.085223305465</v>
      </c>
      <c r="E29" s="1235" t="s">
        <v>385</v>
      </c>
      <c r="F29" s="8"/>
      <c r="G29" s="493" t="s">
        <v>2301</v>
      </c>
      <c r="H29" s="8">
        <v>0.55000000000000004</v>
      </c>
      <c r="I29" s="1403">
        <v>0.5</v>
      </c>
      <c r="J29" s="1404">
        <v>0.25</v>
      </c>
      <c r="S29" s="90"/>
      <c r="BK29" s="8"/>
    </row>
    <row r="30" spans="1:63" ht="39" thickBot="1">
      <c r="A30" s="1785"/>
      <c r="B30" s="1021" t="s">
        <v>353</v>
      </c>
      <c r="C30" s="1022">
        <f>D30*Fuel_Oil_price</f>
        <v>152160.8793700829</v>
      </c>
      <c r="D30" s="1023">
        <f>'Eff (com)'!L32</f>
        <v>33964.482002250646</v>
      </c>
      <c r="E30" s="1232" t="e">
        <f>'Eff (com)'!F10</f>
        <v>#REF!</v>
      </c>
      <c r="F30" s="8"/>
      <c r="G30" s="494" t="s">
        <v>2302</v>
      </c>
      <c r="H30" s="495">
        <v>0.32</v>
      </c>
      <c r="I30" s="1405">
        <v>0.27</v>
      </c>
      <c r="J30" s="1406">
        <v>0.22</v>
      </c>
      <c r="S30" s="90"/>
      <c r="BK30" s="8"/>
    </row>
    <row r="31" spans="1:63" ht="13.5" customHeight="1">
      <c r="A31" s="1950" t="s">
        <v>1201</v>
      </c>
      <c r="B31" s="1018" t="s">
        <v>631</v>
      </c>
      <c r="C31" s="1019">
        <f>IF('Eff (W &amp; WW)'!J9="Yes",Sanitation_Actual_Electricity*Residential_non_PCE_eligible_price,Sanitation_Estimated_Electricity*Residential_non_PCE_eligible_price)</f>
        <v>6222.5662756136162</v>
      </c>
      <c r="D31" s="1020">
        <f>C31/Residential_non_PCE_eligible_price/Generation_Efficiency</f>
        <v>694.02183068736008</v>
      </c>
      <c r="E31" s="1231" t="str">
        <f>'Eff (W &amp; WW)'!F7</f>
        <v>Medium</v>
      </c>
      <c r="F31" s="8"/>
      <c r="G31" s="8"/>
      <c r="H31" s="8"/>
      <c r="I31" s="1845" t="s">
        <v>1311</v>
      </c>
      <c r="J31" s="1845"/>
      <c r="S31" s="90"/>
      <c r="BK31" s="8"/>
    </row>
    <row r="32" spans="1:63" ht="13.5" customHeight="1" thickBot="1">
      <c r="A32" s="1951"/>
      <c r="B32" s="1021" t="s">
        <v>353</v>
      </c>
      <c r="C32" s="1022">
        <f>IF('Eff (W &amp; WW)'!J9="Yes",Sanitation_Actual_Heating_Fuel,Sanitation_Estimated_Heating_Fuel)*Fuel_Oil_price</f>
        <v>5465.5617272978498</v>
      </c>
      <c r="D32" s="1023">
        <f>C32/Fuel_Oil_price</f>
        <v>1219.9914569861271</v>
      </c>
      <c r="E32" s="1232" t="str">
        <f>'Eff (W &amp; WW)'!F7</f>
        <v>Medium</v>
      </c>
      <c r="F32" s="8"/>
      <c r="G32" s="8"/>
      <c r="H32" s="8"/>
      <c r="I32" s="1846"/>
      <c r="J32" s="1846"/>
      <c r="S32" s="90"/>
      <c r="BK32" s="8"/>
    </row>
    <row r="33" spans="1:64" ht="13.5" customHeight="1">
      <c r="A33" s="8"/>
      <c r="B33" s="96" t="s">
        <v>966</v>
      </c>
      <c r="C33" s="462">
        <f>SUM(C27:C32)</f>
        <v>642411.4206169676</v>
      </c>
      <c r="D33" s="1017">
        <f>SUM(D27:D32)</f>
        <v>111612.61444571028</v>
      </c>
      <c r="E33" s="1014"/>
      <c r="F33" s="8"/>
      <c r="G33" s="8"/>
      <c r="H33" s="8"/>
      <c r="I33" s="1846"/>
      <c r="J33" s="1846"/>
      <c r="S33" s="90"/>
      <c r="BK33" s="8"/>
    </row>
    <row r="34" spans="1:64" ht="13.5" customHeight="1">
      <c r="A34" s="8"/>
      <c r="B34" s="96"/>
      <c r="C34" s="462"/>
      <c r="D34" s="1017"/>
      <c r="E34" s="1849"/>
      <c r="F34" s="8"/>
      <c r="G34" s="8"/>
      <c r="H34" s="8"/>
      <c r="I34" s="1846"/>
      <c r="J34" s="1846"/>
      <c r="S34" s="90"/>
      <c r="BK34" s="8"/>
    </row>
    <row r="35" spans="1:64" ht="13.5" customHeight="1" thickBot="1">
      <c r="A35" s="416" t="s">
        <v>2112</v>
      </c>
      <c r="B35" s="467" t="s">
        <v>2113</v>
      </c>
      <c r="C35" s="1846" t="s">
        <v>896</v>
      </c>
      <c r="E35" s="228" t="s">
        <v>893</v>
      </c>
      <c r="F35" s="8"/>
      <c r="G35" s="8"/>
      <c r="H35" s="8"/>
      <c r="I35" s="1846"/>
      <c r="J35" s="1846"/>
      <c r="S35" s="90"/>
      <c r="BK35" s="8"/>
    </row>
    <row r="36" spans="1:64" ht="13.5" customHeight="1">
      <c r="A36" s="1950" t="s">
        <v>1199</v>
      </c>
      <c r="B36" s="1018" t="s">
        <v>631</v>
      </c>
      <c r="C36" s="1019">
        <f>Residential_non_PCE_eligible_price*Total_Residential_Demand</f>
        <v>141890.16</v>
      </c>
      <c r="D36" s="1019"/>
      <c r="E36" s="1020">
        <f>Forecast!$D$27/Generation_Efficiency</f>
        <v>19410.125557572879</v>
      </c>
      <c r="F36" s="1849"/>
      <c r="G36" s="8"/>
      <c r="H36" s="8"/>
      <c r="I36" s="8"/>
      <c r="J36" s="1846"/>
      <c r="K36" s="1846"/>
      <c r="S36" s="90"/>
      <c r="T36" s="90"/>
      <c r="BK36" s="8"/>
      <c r="BL36" s="8"/>
    </row>
    <row r="37" spans="1:64" ht="13.5" customHeight="1" thickBot="1">
      <c r="A37" s="1951"/>
      <c r="B37" s="1021" t="s">
        <v>353</v>
      </c>
      <c r="C37" s="1022">
        <f>'Eff (res)'!I33*Fuel_Oil_price</f>
        <v>168102.62951958698</v>
      </c>
      <c r="D37" s="1022"/>
      <c r="E37" s="1023">
        <f>'Eff (res)'!I33</f>
        <v>37522.908374907805</v>
      </c>
      <c r="F37" s="1849"/>
      <c r="G37" s="8"/>
      <c r="H37" s="8"/>
      <c r="I37" s="8"/>
      <c r="J37" s="1846"/>
      <c r="K37" s="1846"/>
      <c r="S37" s="90"/>
      <c r="T37" s="90"/>
      <c r="BK37" s="8"/>
      <c r="BL37" s="8"/>
    </row>
    <row r="38" spans="1:64" ht="13.5" customHeight="1">
      <c r="A38" s="1950" t="s">
        <v>1200</v>
      </c>
      <c r="B38" s="1018" t="s">
        <v>2299</v>
      </c>
      <c r="C38" s="1856">
        <f>(Forecast!F27+Forecast!H27-IF('Eff (W &amp; WW)'!J9="No",Sanitation_Estimated_Electricity,Sanitation_Actual_Electricity))*Residential_non_PCE_eligible_price+Forecast!$G$27*Residential_non_PCE_eligible_price+C31</f>
        <v>174792.18999999997</v>
      </c>
      <c r="D38" s="1856"/>
      <c r="E38" s="1020">
        <f>C38/Residential_non_PCE_eligible_price/Generation_Efficiency</f>
        <v>19495.107053992822</v>
      </c>
      <c r="F38" s="1849"/>
      <c r="G38" s="8"/>
      <c r="H38" s="8"/>
      <c r="I38" s="8"/>
      <c r="J38" s="1846"/>
      <c r="K38" s="1846"/>
      <c r="S38" s="90"/>
      <c r="T38" s="90"/>
      <c r="BK38" s="8"/>
      <c r="BL38" s="8"/>
    </row>
    <row r="39" spans="1:64" ht="13.5" customHeight="1" thickBot="1">
      <c r="A39" s="1955"/>
      <c r="B39" s="1021" t="s">
        <v>353</v>
      </c>
      <c r="C39" s="1022">
        <f>C30+C32</f>
        <v>157626.44109738074</v>
      </c>
      <c r="D39" s="1022"/>
      <c r="E39" s="1023">
        <f>'Eff (com)'!L32+D32</f>
        <v>35184.473459236775</v>
      </c>
      <c r="F39" s="1849"/>
      <c r="G39" s="8"/>
      <c r="H39" s="8"/>
      <c r="I39" s="8"/>
      <c r="J39" s="1846"/>
      <c r="K39" s="1846"/>
      <c r="S39" s="90"/>
      <c r="T39" s="90"/>
      <c r="BK39" s="8"/>
      <c r="BL39" s="8"/>
    </row>
    <row r="40" spans="1:64" ht="12.75" customHeight="1">
      <c r="D40" s="462"/>
      <c r="E40" s="462"/>
      <c r="F40" s="349"/>
      <c r="G40" s="8"/>
      <c r="H40" s="8"/>
      <c r="I40" s="1846"/>
      <c r="J40" s="1846"/>
      <c r="S40" s="90"/>
      <c r="BK40" s="8"/>
    </row>
    <row r="41" spans="1:64">
      <c r="B41" s="93"/>
      <c r="C41" s="93"/>
      <c r="D41" s="8"/>
      <c r="E41" s="8"/>
      <c r="F41" s="8"/>
      <c r="G41" s="8"/>
    </row>
    <row r="42" spans="1:64" ht="13.5" thickBot="1">
      <c r="A42" s="1949" t="s">
        <v>1198</v>
      </c>
      <c r="B42" s="1949"/>
      <c r="C42" s="93"/>
      <c r="D42" s="8"/>
      <c r="E42" s="8"/>
      <c r="F42" s="463"/>
      <c r="G42" s="8"/>
    </row>
    <row r="43" spans="1:64">
      <c r="A43" s="916" t="s">
        <v>2303</v>
      </c>
      <c r="B43" s="917">
        <f>C33</f>
        <v>642411.4206169676</v>
      </c>
      <c r="F43" s="463"/>
      <c r="G43" s="8"/>
    </row>
    <row r="44" spans="1:64" ht="38.25">
      <c r="A44" s="493" t="s">
        <v>2304</v>
      </c>
      <c r="B44" s="451">
        <f>B43-H23</f>
        <v>560236.83586792601</v>
      </c>
      <c r="C44" s="102"/>
      <c r="F44" s="8"/>
      <c r="G44" s="434"/>
    </row>
    <row r="45" spans="1:64" ht="13.5" thickBot="1">
      <c r="A45" s="652" t="s">
        <v>2305</v>
      </c>
      <c r="B45" s="918">
        <f>B43-I23</f>
        <v>452568.42364601401</v>
      </c>
      <c r="C45" s="102"/>
    </row>
    <row r="46" spans="1:64">
      <c r="A46" s="96" t="s">
        <v>2111</v>
      </c>
      <c r="B46" s="462">
        <f>Forecast!E38*0.2+Forecast!P38*20*0.138</f>
        <v>258959.7843606243</v>
      </c>
      <c r="C46" s="102"/>
      <c r="G46" s="49"/>
    </row>
    <row r="47" spans="1:64">
      <c r="G47" s="49"/>
    </row>
    <row r="48" spans="1:64" ht="13.5" thickBot="1">
      <c r="G48" s="446"/>
    </row>
    <row r="49" spans="1:12">
      <c r="A49" s="1943" t="s">
        <v>826</v>
      </c>
      <c r="B49" s="1944"/>
    </row>
    <row r="50" spans="1:12">
      <c r="A50" s="34" t="s">
        <v>823</v>
      </c>
      <c r="B50" s="451">
        <f>IF(Population*70*12-PCE_Eligibile_kWh&gt;0,(Population*70*12-PCE_Eligibile_kWh)*PCE_Subsidy,0)</f>
        <v>50089.2</v>
      </c>
    </row>
    <row r="51" spans="1:12">
      <c r="A51" s="416" t="s">
        <v>895</v>
      </c>
      <c r="B51" s="452">
        <f>IF(Generation_Efficiency&lt;12,Generation_total*Diesel__utility_price*(1/Generation_Efficiency-1/12),0)</f>
        <v>16385.644166666672</v>
      </c>
    </row>
    <row r="52" spans="1:12" ht="13.5" thickBot="1">
      <c r="A52" s="417" t="s">
        <v>825</v>
      </c>
      <c r="B52" s="447">
        <f>IF(Line_Loss&gt;0.1,(((1-Line_Loss)/0.9)*(Generation_total/Generation_Efficiency)-Diesel_consumed__gallons)*Diesel__utility_price,0)</f>
        <v>-3830.8239666666714</v>
      </c>
    </row>
    <row r="56" spans="1:12">
      <c r="L56" s="90" t="s">
        <v>814</v>
      </c>
    </row>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sheetData>
  <mergeCells count="9">
    <mergeCell ref="A49:B49"/>
    <mergeCell ref="A1:I1"/>
    <mergeCell ref="G26:J26"/>
    <mergeCell ref="A42:B42"/>
    <mergeCell ref="A27:A28"/>
    <mergeCell ref="A31:A32"/>
    <mergeCell ref="A7:L7"/>
    <mergeCell ref="A36:A37"/>
    <mergeCell ref="A38:A39"/>
  </mergeCells>
  <pageMargins left="0.7" right="0.7" top="0.75" bottom="0.75" header="0.3" footer="0.3"/>
  <pageSetup paperSize="5" scale="64"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L86"/>
  <sheetViews>
    <sheetView zoomScale="90" zoomScaleNormal="90" workbookViewId="0">
      <selection activeCell="L11" sqref="L11"/>
    </sheetView>
  </sheetViews>
  <sheetFormatPr defaultRowHeight="12.75"/>
  <cols>
    <col min="1" max="1" width="33.28515625" style="90" customWidth="1"/>
    <col min="2" max="2" width="14" style="287" customWidth="1"/>
    <col min="3" max="4" width="14" style="1473" customWidth="1"/>
    <col min="5" max="5" width="16.5703125" style="90" customWidth="1"/>
    <col min="6" max="6" width="29.85546875" style="90" customWidth="1"/>
    <col min="7" max="7" width="12.85546875" style="90" customWidth="1"/>
    <col min="8" max="8" width="13.5703125" style="90" customWidth="1"/>
    <col min="9" max="10" width="10.28515625" style="90" customWidth="1"/>
    <col min="11" max="11" width="26.7109375" style="90" customWidth="1"/>
    <col min="12" max="12" width="9.140625" style="90"/>
    <col min="13" max="13" width="18.85546875" style="90" customWidth="1"/>
    <col min="14" max="14" width="14.5703125" style="90" customWidth="1"/>
    <col min="15" max="15" width="14.85546875" style="90" customWidth="1"/>
    <col min="16" max="16" width="20.5703125" style="90" customWidth="1"/>
    <col min="17" max="19" width="9.140625" style="90"/>
    <col min="20" max="20" width="7.7109375" style="90" customWidth="1"/>
    <col min="21" max="64" width="9.140625" style="8"/>
    <col min="65" max="16384" width="9.140625" style="90"/>
  </cols>
  <sheetData>
    <row r="1" spans="1:14" ht="15.75" thickBot="1">
      <c r="A1" s="1956" t="s">
        <v>638</v>
      </c>
      <c r="B1" s="1957"/>
      <c r="C1" s="1957"/>
      <c r="D1" s="1957"/>
      <c r="E1" s="1957"/>
      <c r="F1" s="1957"/>
      <c r="G1" s="1957"/>
      <c r="H1" s="1957"/>
      <c r="I1" s="1957"/>
      <c r="J1" s="1957"/>
      <c r="K1" s="1957"/>
      <c r="L1" s="1957"/>
      <c r="M1" s="1957"/>
      <c r="N1" s="1958"/>
    </row>
    <row r="2" spans="1:14" ht="13.5" thickBot="1">
      <c r="C2" s="1490" t="s">
        <v>1333</v>
      </c>
      <c r="D2" s="1289" t="s">
        <v>1334</v>
      </c>
    </row>
    <row r="3" spans="1:14" ht="15">
      <c r="A3" s="577" t="s">
        <v>303</v>
      </c>
      <c r="B3" s="1474" t="s">
        <v>1034</v>
      </c>
      <c r="C3" s="1015"/>
      <c r="D3" s="1491"/>
      <c r="F3" s="1969" t="s">
        <v>952</v>
      </c>
      <c r="G3" s="1960"/>
      <c r="H3" s="1490" t="s">
        <v>1333</v>
      </c>
      <c r="I3" s="1289" t="s">
        <v>1334</v>
      </c>
      <c r="K3" s="1961" t="s">
        <v>646</v>
      </c>
      <c r="L3" s="1962"/>
      <c r="M3" s="1490" t="s">
        <v>1333</v>
      </c>
      <c r="N3" s="1289" t="s">
        <v>1334</v>
      </c>
    </row>
    <row r="4" spans="1:14" ht="39">
      <c r="A4" s="292" t="s">
        <v>704</v>
      </c>
      <c r="B4" s="1475" t="s">
        <v>736</v>
      </c>
      <c r="C4" s="958"/>
      <c r="D4" s="1492"/>
      <c r="E4" s="8"/>
      <c r="F4" s="1470" t="s">
        <v>962</v>
      </c>
      <c r="G4" s="1513">
        <v>170952</v>
      </c>
      <c r="H4" s="1515"/>
      <c r="I4" s="35"/>
      <c r="K4" s="1959" t="s">
        <v>1304</v>
      </c>
      <c r="L4" s="1960"/>
      <c r="M4" s="34"/>
      <c r="N4" s="35"/>
    </row>
    <row r="5" spans="1:14" ht="25.5">
      <c r="A5" s="578" t="s">
        <v>894</v>
      </c>
      <c r="B5" s="1476">
        <v>0.17879999999999999</v>
      </c>
      <c r="C5" s="1493"/>
      <c r="D5" s="1276"/>
      <c r="E5" s="8"/>
      <c r="F5" s="1470" t="s">
        <v>935</v>
      </c>
      <c r="G5" s="1514">
        <f>Residential_Units</f>
        <v>41</v>
      </c>
      <c r="H5" s="1515"/>
      <c r="I5" s="35"/>
      <c r="K5" s="296" t="s">
        <v>934</v>
      </c>
      <c r="L5" s="1516">
        <v>0.83</v>
      </c>
      <c r="M5" s="34"/>
      <c r="N5" s="35"/>
    </row>
    <row r="6" spans="1:14">
      <c r="A6" s="237" t="s">
        <v>642</v>
      </c>
      <c r="B6" s="1477">
        <v>53</v>
      </c>
      <c r="C6" s="1015"/>
      <c r="D6" s="1491"/>
      <c r="E6" s="8"/>
      <c r="F6" s="1247" t="s">
        <v>953</v>
      </c>
      <c r="G6" s="1482">
        <f>G4/G5/12</f>
        <v>347.46341463414637</v>
      </c>
      <c r="H6" s="1463"/>
      <c r="I6" s="35"/>
      <c r="K6" s="296" t="s">
        <v>2306</v>
      </c>
      <c r="L6" s="1516">
        <v>4.4800000000000004</v>
      </c>
      <c r="M6" s="34"/>
      <c r="N6" s="35"/>
    </row>
    <row r="7" spans="1:14" ht="13.5" thickBot="1">
      <c r="A7" s="1035" t="s">
        <v>1234</v>
      </c>
      <c r="B7" s="1465" t="str">
        <f>VLOOKUP(Community_Name,'Current Interties'!$A$2:$C$216,2,FALSE)</f>
        <v>No</v>
      </c>
      <c r="C7" s="1015"/>
      <c r="D7" s="1491"/>
      <c r="E7" s="8"/>
      <c r="F7" s="1471" t="s">
        <v>954</v>
      </c>
      <c r="G7" s="1483">
        <v>204000</v>
      </c>
      <c r="H7" s="1511"/>
      <c r="I7" s="1258"/>
      <c r="J7" s="8"/>
      <c r="K7" s="292" t="s">
        <v>651</v>
      </c>
      <c r="L7" s="1516">
        <v>4.03</v>
      </c>
      <c r="M7" s="1522"/>
      <c r="N7" s="1523"/>
    </row>
    <row r="8" spans="1:14" ht="39">
      <c r="A8" s="1252" t="s">
        <v>1236</v>
      </c>
      <c r="B8" s="1476" t="str">
        <f>IF(B7="Yes",VLOOKUP(Community_Name,'Current Interties'!$A$2:$C$216,3,FALSE),"")</f>
        <v/>
      </c>
      <c r="C8" s="1493"/>
      <c r="D8" s="1276"/>
      <c r="E8" s="8"/>
      <c r="F8" s="460"/>
      <c r="G8" s="460"/>
      <c r="H8" s="461"/>
      <c r="I8" s="213"/>
      <c r="J8" s="279"/>
      <c r="K8" s="296" t="s">
        <v>2307</v>
      </c>
      <c r="L8" s="1516">
        <v>4.4800000000000004</v>
      </c>
      <c r="M8" s="1522"/>
      <c r="N8" s="1523"/>
    </row>
    <row r="9" spans="1:14" ht="15">
      <c r="A9" s="50" t="s">
        <v>1235</v>
      </c>
      <c r="B9" s="1396" t="s">
        <v>890</v>
      </c>
      <c r="C9" s="1015"/>
      <c r="D9" s="1491"/>
      <c r="E9" s="8"/>
      <c r="F9" s="1250"/>
      <c r="G9" s="437"/>
      <c r="H9" s="461"/>
      <c r="I9" s="279"/>
      <c r="J9" s="279"/>
      <c r="K9" s="296" t="s">
        <v>1233</v>
      </c>
      <c r="L9" s="1516"/>
      <c r="M9" s="1522"/>
      <c r="N9" s="1523"/>
    </row>
    <row r="10" spans="1:14" ht="15">
      <c r="A10" s="292" t="s">
        <v>644</v>
      </c>
      <c r="B10" s="498">
        <v>89</v>
      </c>
      <c r="C10" s="1463"/>
      <c r="D10" s="975"/>
      <c r="E10" s="8"/>
      <c r="F10" s="1250"/>
      <c r="G10" s="1466"/>
      <c r="H10" s="461"/>
      <c r="I10" s="279"/>
      <c r="J10" s="279"/>
      <c r="K10" s="296" t="s">
        <v>751</v>
      </c>
      <c r="L10" s="1517"/>
      <c r="M10" s="1522"/>
      <c r="N10" s="1523"/>
    </row>
    <row r="11" spans="1:14">
      <c r="A11" s="296" t="s">
        <v>914</v>
      </c>
      <c r="B11" s="1478">
        <v>43125</v>
      </c>
      <c r="C11" s="1494"/>
      <c r="D11" s="945"/>
      <c r="E11" s="8"/>
      <c r="F11" s="1250"/>
      <c r="G11" s="1467"/>
      <c r="H11" s="9"/>
      <c r="I11" s="227"/>
      <c r="J11" s="227"/>
      <c r="K11" s="576" t="s">
        <v>752</v>
      </c>
      <c r="L11" s="1786">
        <f>IF(ISNA(VLOOKUP(Community_Name,'Biomass rate'!A3:$D$67,2,FALSE)),250,VLOOKUP(Community_Name,'Biomass rate'!A3:$D$67,2,FALSE))</f>
        <v>250</v>
      </c>
      <c r="M11" s="1522"/>
      <c r="N11" s="1523"/>
    </row>
    <row r="12" spans="1:14" ht="13.5" thickBot="1">
      <c r="A12" s="579" t="s">
        <v>912</v>
      </c>
      <c r="B12" s="1479">
        <f>VLOOKUP(Community_Name,HDD_List,2)</f>
        <v>14593</v>
      </c>
      <c r="C12" s="1463"/>
      <c r="D12" s="975"/>
      <c r="E12" s="8"/>
      <c r="F12" s="1460"/>
      <c r="G12" s="1467"/>
      <c r="H12" s="9"/>
      <c r="I12" s="841"/>
      <c r="J12" s="227"/>
      <c r="K12" s="833" t="s">
        <v>648</v>
      </c>
      <c r="L12" s="1518">
        <v>5.3</v>
      </c>
      <c r="M12" s="1522"/>
      <c r="N12" s="1523"/>
    </row>
    <row r="13" spans="1:14" ht="13.5" thickBot="1">
      <c r="A13" s="8"/>
      <c r="B13" s="1458"/>
      <c r="C13" s="1463"/>
      <c r="D13" s="975"/>
      <c r="E13" s="8"/>
      <c r="F13" s="1250"/>
      <c r="G13" s="1467"/>
      <c r="H13" s="9"/>
      <c r="I13" s="841"/>
      <c r="J13" s="461"/>
      <c r="K13" s="299" t="s">
        <v>657</v>
      </c>
      <c r="L13" s="1519"/>
      <c r="M13" s="1522"/>
      <c r="N13" s="1523"/>
    </row>
    <row r="14" spans="1:14" ht="15.75" thickBot="1">
      <c r="A14" s="1965" t="s">
        <v>645</v>
      </c>
      <c r="B14" s="1966"/>
      <c r="C14" s="1495"/>
      <c r="D14" s="974"/>
      <c r="E14" s="8"/>
      <c r="F14" s="1250"/>
      <c r="G14" s="388"/>
      <c r="H14" s="9"/>
      <c r="I14" s="841"/>
      <c r="J14" s="461"/>
      <c r="M14" s="1522"/>
      <c r="N14" s="1523"/>
    </row>
    <row r="15" spans="1:14">
      <c r="A15" s="1967" t="s">
        <v>631</v>
      </c>
      <c r="B15" s="1968"/>
      <c r="C15" s="1463"/>
      <c r="D15" s="975"/>
      <c r="E15" s="8"/>
      <c r="F15" s="1250"/>
      <c r="G15" s="1467"/>
      <c r="H15" s="9"/>
      <c r="I15" s="841"/>
      <c r="J15" s="290"/>
      <c r="K15" s="1972" t="s">
        <v>631</v>
      </c>
      <c r="L15" s="1973"/>
      <c r="M15" s="1522"/>
      <c r="N15" s="1523"/>
    </row>
    <row r="16" spans="1:14">
      <c r="A16" s="292" t="s">
        <v>647</v>
      </c>
      <c r="B16" s="1480">
        <v>440077</v>
      </c>
      <c r="C16" s="1496"/>
      <c r="D16" s="1497"/>
      <c r="E16" s="8"/>
      <c r="F16" s="460"/>
      <c r="G16" s="460"/>
      <c r="H16" s="9"/>
      <c r="I16" s="227"/>
      <c r="J16" s="290"/>
      <c r="K16" s="292" t="s">
        <v>816</v>
      </c>
      <c r="L16" s="1516">
        <v>0.83</v>
      </c>
      <c r="M16" s="1522"/>
      <c r="N16" s="35"/>
    </row>
    <row r="17" spans="1:14">
      <c r="A17" s="292" t="s">
        <v>649</v>
      </c>
      <c r="B17" s="1480">
        <v>384000</v>
      </c>
      <c r="C17" s="1496"/>
      <c r="D17" s="1497"/>
      <c r="E17" s="8"/>
      <c r="F17" s="1460"/>
      <c r="G17" s="9"/>
      <c r="H17" s="9"/>
      <c r="I17" s="461"/>
      <c r="J17" s="290"/>
      <c r="K17" s="292" t="s">
        <v>885</v>
      </c>
      <c r="L17" s="1520">
        <f>Residential_non_PCE_eligible_price-Residential_price_w_PCE</f>
        <v>0.66999999999999993</v>
      </c>
      <c r="M17" s="34"/>
      <c r="N17" s="35"/>
    </row>
    <row r="18" spans="1:14">
      <c r="A18" s="292" t="s">
        <v>650</v>
      </c>
      <c r="B18" s="1481">
        <v>60</v>
      </c>
      <c r="C18" s="1498"/>
      <c r="D18" s="1499"/>
      <c r="E18" s="8"/>
      <c r="F18" s="1460"/>
      <c r="G18" s="1468"/>
      <c r="H18" s="9"/>
      <c r="I18" s="461"/>
      <c r="J18" s="290"/>
      <c r="K18" s="292" t="s">
        <v>689</v>
      </c>
      <c r="L18" s="1516">
        <v>0.16</v>
      </c>
      <c r="M18" s="34"/>
      <c r="N18" s="1524"/>
    </row>
    <row r="19" spans="1:14">
      <c r="A19" s="292" t="s">
        <v>652</v>
      </c>
      <c r="B19" s="1482">
        <f>B16/8760</f>
        <v>50.237100456621008</v>
      </c>
      <c r="C19" s="1498"/>
      <c r="D19" s="1499"/>
      <c r="E19" s="8"/>
      <c r="F19" s="96"/>
      <c r="G19" s="1467"/>
      <c r="H19" s="9"/>
      <c r="I19" s="290"/>
      <c r="J19" s="98"/>
      <c r="K19" s="292" t="s">
        <v>659</v>
      </c>
      <c r="L19" s="1516"/>
      <c r="M19" s="34"/>
      <c r="N19" s="35"/>
    </row>
    <row r="20" spans="1:14">
      <c r="A20" s="292" t="s">
        <v>654</v>
      </c>
      <c r="B20" s="1483">
        <v>40739</v>
      </c>
      <c r="C20" s="1500"/>
      <c r="D20" s="1501"/>
      <c r="E20" s="8"/>
      <c r="F20" s="96"/>
      <c r="G20" s="1469"/>
      <c r="H20" s="9"/>
      <c r="I20" s="290"/>
      <c r="J20" s="98"/>
      <c r="K20" s="496" t="s">
        <v>936</v>
      </c>
      <c r="L20" s="1521"/>
      <c r="M20" s="34"/>
      <c r="N20" s="35"/>
    </row>
    <row r="21" spans="1:14" ht="13.5" thickBot="1">
      <c r="A21" s="291" t="s">
        <v>655</v>
      </c>
      <c r="B21" s="1484">
        <f>IF(AND(B7="Yes",B8&lt;&gt;Community_Name),B9,IF(B7="No",B26/B20,IF(AND(B7="Yes",B8=Community_Name),Generation_total/Diesel_consumed__gallons)))</f>
        <v>10.802351555020987</v>
      </c>
      <c r="C21" s="1502"/>
      <c r="D21" s="1503"/>
      <c r="E21" s="8"/>
      <c r="F21" s="96"/>
      <c r="G21" s="9"/>
      <c r="H21" s="9"/>
      <c r="I21" s="290"/>
      <c r="J21" s="270"/>
      <c r="K21" s="299" t="s">
        <v>661</v>
      </c>
      <c r="L21" s="1519"/>
      <c r="M21" s="34"/>
      <c r="N21" s="35"/>
    </row>
    <row r="22" spans="1:14" ht="15">
      <c r="A22" s="294" t="s">
        <v>660</v>
      </c>
      <c r="B22" s="1485">
        <v>0.121</v>
      </c>
      <c r="C22" s="1504"/>
      <c r="D22" s="1505"/>
      <c r="F22" s="1970" t="s">
        <v>753</v>
      </c>
      <c r="G22" s="1971"/>
      <c r="H22" s="471"/>
      <c r="I22" s="290"/>
      <c r="J22" s="270"/>
      <c r="K22" s="1456" t="s">
        <v>1330</v>
      </c>
      <c r="L22" s="1525">
        <f>Diesel_consumed__gallons*Diesel__utility_price/kwh_sold</f>
        <v>0.42754731770833337</v>
      </c>
      <c r="M22" s="34"/>
      <c r="N22" s="35"/>
    </row>
    <row r="23" spans="1:14" ht="13.5" thickBot="1">
      <c r="A23" s="294"/>
      <c r="B23" s="1486"/>
      <c r="C23" s="1506"/>
      <c r="D23" s="1507"/>
      <c r="F23" s="300" t="s">
        <v>955</v>
      </c>
      <c r="G23" s="647">
        <f>'Eff (res)'!I8</f>
        <v>41</v>
      </c>
      <c r="H23" s="9"/>
      <c r="I23" s="98"/>
      <c r="J23" s="227"/>
      <c r="K23" s="1457" t="s">
        <v>1331</v>
      </c>
      <c r="L23" s="1526">
        <f>Residential_non_PCE_eligible_price-L22</f>
        <v>0.40245268229166659</v>
      </c>
      <c r="M23" s="574"/>
      <c r="N23" s="1512"/>
    </row>
    <row r="24" spans="1:14" ht="15" customHeight="1">
      <c r="A24" s="34"/>
      <c r="B24" s="1464"/>
      <c r="C24" s="1463"/>
      <c r="D24" s="975"/>
      <c r="F24" s="1390" t="s">
        <v>1090</v>
      </c>
      <c r="G24" s="1391">
        <f>'Eff (res)'!I10</f>
        <v>2.1707317073170733</v>
      </c>
      <c r="H24" s="286"/>
      <c r="I24" s="1379"/>
      <c r="J24" s="1379"/>
      <c r="K24" s="440"/>
      <c r="L24" s="440"/>
      <c r="N24" s="227"/>
    </row>
    <row r="25" spans="1:14" ht="15">
      <c r="A25" s="1959" t="s">
        <v>749</v>
      </c>
      <c r="B25" s="1960"/>
      <c r="C25" s="1495"/>
      <c r="D25" s="974"/>
      <c r="F25" s="300" t="s">
        <v>754</v>
      </c>
      <c r="G25" s="648">
        <f>'Eff (res)'!J15/'Eff (res)'!I8</f>
        <v>915.19288719287329</v>
      </c>
      <c r="H25" s="9"/>
      <c r="I25" s="98"/>
      <c r="K25" s="8"/>
      <c r="L25" s="8"/>
      <c r="M25" s="227"/>
      <c r="N25" s="227"/>
    </row>
    <row r="26" spans="1:14">
      <c r="A26" s="295" t="s">
        <v>663</v>
      </c>
      <c r="B26" s="1487">
        <v>440077</v>
      </c>
      <c r="C26" s="1508"/>
      <c r="D26" s="1509"/>
      <c r="F26" s="300" t="s">
        <v>755</v>
      </c>
      <c r="G26" s="646">
        <f>'Eff (res)'!I33</f>
        <v>37522.908374907805</v>
      </c>
      <c r="H26" s="9"/>
      <c r="I26" s="270"/>
      <c r="K26" s="8"/>
      <c r="L26" s="231"/>
      <c r="M26" s="227"/>
      <c r="N26" s="227"/>
    </row>
    <row r="27" spans="1:14">
      <c r="A27" s="292" t="s">
        <v>664</v>
      </c>
      <c r="B27" s="1666">
        <f>VLOOKUP(Community_Name,'Diesel Data'!$A$2:$L$196,2,FALSE)</f>
        <v>3</v>
      </c>
      <c r="C27" s="1463"/>
      <c r="D27" s="975"/>
      <c r="I27" s="227"/>
      <c r="J27" s="230"/>
      <c r="K27" s="8"/>
      <c r="L27" s="231"/>
      <c r="M27" s="227"/>
      <c r="N27" s="227"/>
    </row>
    <row r="28" spans="1:14" ht="13.5" thickBot="1">
      <c r="A28" s="292" t="s">
        <v>666</v>
      </c>
      <c r="B28" s="1666" t="str">
        <f>VLOOKUP(Community_Name,'Diesel Data'!$A$2:$L$196,5,FALSE)</f>
        <v>oversized</v>
      </c>
      <c r="C28" s="1015"/>
      <c r="D28" s="1491"/>
      <c r="F28" s="301"/>
      <c r="G28" s="288"/>
      <c r="H28" s="288"/>
      <c r="J28" s="230"/>
      <c r="K28" s="8"/>
      <c r="L28" s="231"/>
      <c r="M28" s="227"/>
      <c r="N28" s="227"/>
    </row>
    <row r="29" spans="1:14" ht="15">
      <c r="A29" s="1667" t="s">
        <v>2094</v>
      </c>
      <c r="B29" s="1666">
        <f>VLOOKUP(Community_Name,'Diesel Data'!$A$2:$L$196,3,FALSE)</f>
        <v>480</v>
      </c>
      <c r="C29" s="1463"/>
      <c r="D29" s="975"/>
      <c r="F29" s="1961" t="s">
        <v>669</v>
      </c>
      <c r="G29" s="1962"/>
      <c r="H29" s="1979"/>
      <c r="K29" s="223"/>
      <c r="L29" s="1974" t="s">
        <v>639</v>
      </c>
      <c r="M29" s="1974"/>
      <c r="N29" s="227"/>
    </row>
    <row r="30" spans="1:14">
      <c r="A30" s="292" t="s">
        <v>815</v>
      </c>
      <c r="B30" s="1666" t="str">
        <f>VLOOKUP(Community_Name,'Diesel Data'!$A$2:$L$196,7,FALSE)</f>
        <v>No</v>
      </c>
      <c r="C30" s="1463"/>
      <c r="D30" s="975"/>
      <c r="F30" s="34" t="s">
        <v>662</v>
      </c>
      <c r="G30" s="280"/>
      <c r="H30" s="51" t="s">
        <v>937</v>
      </c>
      <c r="K30" s="225"/>
      <c r="L30" s="1974" t="s">
        <v>640</v>
      </c>
      <c r="M30" s="1974"/>
      <c r="N30" s="227"/>
    </row>
    <row r="31" spans="1:14" ht="13.5" thickBot="1">
      <c r="A31" s="292" t="s">
        <v>817</v>
      </c>
      <c r="B31" s="498" t="s">
        <v>597</v>
      </c>
      <c r="C31" s="1463"/>
      <c r="D31" s="975"/>
      <c r="F31" s="34"/>
      <c r="G31" s="8"/>
      <c r="H31" s="35"/>
      <c r="J31" s="9"/>
      <c r="K31" s="232"/>
      <c r="L31" s="1975" t="s">
        <v>641</v>
      </c>
      <c r="M31" s="1976"/>
    </row>
    <row r="32" spans="1:14">
      <c r="A32" s="292"/>
      <c r="B32" s="1488"/>
      <c r="C32" s="1463"/>
      <c r="D32" s="975"/>
      <c r="E32" s="39"/>
      <c r="F32" s="580" t="s">
        <v>756</v>
      </c>
      <c r="G32" s="581"/>
      <c r="H32" s="497"/>
      <c r="J32" s="9"/>
      <c r="K32" s="612"/>
      <c r="L32" s="1977" t="s">
        <v>957</v>
      </c>
      <c r="M32" s="1978"/>
    </row>
    <row r="33" spans="1:64">
      <c r="A33" s="292" t="s">
        <v>656</v>
      </c>
      <c r="B33" s="498"/>
      <c r="C33" s="1463"/>
      <c r="D33" s="975"/>
      <c r="F33" s="302" t="s">
        <v>670</v>
      </c>
      <c r="G33" s="289"/>
      <c r="H33" s="303"/>
      <c r="J33" s="9"/>
      <c r="K33" s="438"/>
      <c r="L33" s="461"/>
    </row>
    <row r="34" spans="1:64" ht="25.5">
      <c r="A34" s="291" t="s">
        <v>658</v>
      </c>
      <c r="B34" s="498"/>
      <c r="C34" s="1463"/>
      <c r="D34" s="975"/>
      <c r="F34" s="360" t="s">
        <v>819</v>
      </c>
      <c r="G34" s="1233">
        <v>0</v>
      </c>
      <c r="H34" s="303"/>
      <c r="J34" s="9"/>
      <c r="K34" s="460"/>
      <c r="L34" s="460"/>
      <c r="N34" s="9"/>
      <c r="O34" s="9"/>
    </row>
    <row r="35" spans="1:64" ht="25.5">
      <c r="A35" s="291" t="s">
        <v>748</v>
      </c>
      <c r="B35" s="498"/>
      <c r="C35" s="1506"/>
      <c r="D35" s="1507"/>
      <c r="F35" s="360" t="s">
        <v>820</v>
      </c>
      <c r="G35" s="1233">
        <v>3</v>
      </c>
      <c r="H35" s="303"/>
      <c r="J35" s="9"/>
      <c r="K35" s="286"/>
      <c r="L35" s="286"/>
      <c r="N35" s="460"/>
      <c r="O35" s="9"/>
    </row>
    <row r="36" spans="1:64" ht="25.5">
      <c r="A36" s="1035" t="s">
        <v>1232</v>
      </c>
      <c r="B36" s="1472" t="e">
        <f>RE_Generation__kWh_yr/RE_Nameplate_Capacity/8760</f>
        <v>#DIV/0!</v>
      </c>
      <c r="C36" s="1462"/>
      <c r="D36" s="1510"/>
      <c r="F36" s="360" t="s">
        <v>821</v>
      </c>
      <c r="G36" s="1233">
        <v>100</v>
      </c>
      <c r="H36" s="303"/>
      <c r="J36" s="9"/>
      <c r="K36" s="438"/>
      <c r="L36" s="473"/>
      <c r="M36" s="9"/>
      <c r="N36" s="9"/>
      <c r="O36" s="9"/>
    </row>
    <row r="37" spans="1:64">
      <c r="A37" s="1963" t="s">
        <v>750</v>
      </c>
      <c r="B37" s="1964"/>
      <c r="C37" s="1463"/>
      <c r="D37" s="975"/>
      <c r="F37" s="298" t="s">
        <v>671</v>
      </c>
      <c r="G37" s="498"/>
      <c r="H37" s="500"/>
      <c r="J37" s="9"/>
      <c r="K37" s="460"/>
      <c r="L37" s="460"/>
      <c r="M37" s="460"/>
      <c r="N37" s="473"/>
      <c r="O37" s="9"/>
      <c r="P37" s="229"/>
    </row>
    <row r="38" spans="1:64" ht="13.5" customHeight="1" thickBot="1">
      <c r="A38" s="296" t="s">
        <v>1091</v>
      </c>
      <c r="B38" s="498"/>
      <c r="C38" s="1463"/>
      <c r="D38" s="975"/>
      <c r="F38" s="494" t="s">
        <v>938</v>
      </c>
      <c r="G38" s="499"/>
      <c r="H38" s="501"/>
      <c r="J38" s="9"/>
      <c r="K38" s="286"/>
      <c r="L38" s="9"/>
      <c r="M38" s="9"/>
      <c r="N38" s="473"/>
      <c r="O38" s="9"/>
    </row>
    <row r="39" spans="1:64">
      <c r="A39" s="237" t="s">
        <v>667</v>
      </c>
      <c r="B39" s="498" t="str">
        <f>VLOOKUP(Community_Name,'Diesel Data'!$A$2:$K$196,8,FALSE)</f>
        <v>Yes</v>
      </c>
      <c r="C39" s="1463"/>
      <c r="D39" s="975"/>
      <c r="J39" s="9"/>
      <c r="K39" s="438"/>
      <c r="L39" s="473"/>
      <c r="M39" s="473"/>
      <c r="N39" s="9"/>
      <c r="O39" s="9"/>
    </row>
    <row r="40" spans="1:64">
      <c r="A40" s="361" t="s">
        <v>832</v>
      </c>
      <c r="B40" s="498" t="str">
        <f>VLOOKUP(Community_Name,'Diesel Data'!$A$2:$K$196,10,FALSE)</f>
        <v>unknown</v>
      </c>
      <c r="C40" s="1463"/>
      <c r="D40" s="975"/>
      <c r="J40" s="9"/>
      <c r="K40" s="438"/>
      <c r="L40" s="473"/>
      <c r="M40" s="473"/>
      <c r="N40" s="9"/>
      <c r="O40" s="9"/>
    </row>
    <row r="41" spans="1:64">
      <c r="A41" s="237" t="s">
        <v>668</v>
      </c>
      <c r="B41" s="498" t="str">
        <f>VLOOKUP(Community_Name,'Diesel Data'!$A$2:$K$196,9,FALSE)</f>
        <v>No</v>
      </c>
      <c r="C41" s="1463"/>
      <c r="D41" s="975"/>
      <c r="J41" s="9"/>
      <c r="K41" s="286"/>
      <c r="L41" s="286"/>
      <c r="M41" s="436"/>
      <c r="N41" s="9"/>
      <c r="O41" s="9"/>
    </row>
    <row r="42" spans="1:64">
      <c r="A42" s="291" t="s">
        <v>747</v>
      </c>
      <c r="B42" s="498" t="str">
        <f>VLOOKUP(Community_Name,'Diesel Data'!$A$2:$K$196,11,FALSE)</f>
        <v>unknown</v>
      </c>
      <c r="C42" s="1463"/>
      <c r="D42" s="975"/>
      <c r="E42" s="39"/>
      <c r="J42" s="9"/>
      <c r="K42" s="286"/>
      <c r="L42" s="286"/>
      <c r="M42" s="436"/>
      <c r="N42" s="9"/>
      <c r="O42" s="9"/>
    </row>
    <row r="43" spans="1:64">
      <c r="A43" s="292" t="s">
        <v>745</v>
      </c>
      <c r="B43" s="1488"/>
      <c r="C43" s="1463"/>
      <c r="D43" s="975"/>
      <c r="J43" s="9"/>
      <c r="K43" s="290"/>
      <c r="L43" s="290"/>
      <c r="M43" s="473"/>
      <c r="N43" s="9"/>
      <c r="O43" s="9"/>
    </row>
    <row r="44" spans="1:64">
      <c r="A44" s="291" t="s">
        <v>746</v>
      </c>
      <c r="B44" s="498"/>
      <c r="C44" s="1463"/>
      <c r="D44" s="975"/>
      <c r="J44" s="9"/>
      <c r="K44" s="436"/>
      <c r="L44" s="436"/>
      <c r="M44" s="473"/>
      <c r="N44" s="9"/>
      <c r="O44" s="9"/>
    </row>
    <row r="45" spans="1:64" ht="13.5" thickBot="1">
      <c r="A45" s="296" t="s">
        <v>3</v>
      </c>
      <c r="B45" s="1488"/>
      <c r="C45" s="1511"/>
      <c r="D45" s="1512"/>
      <c r="J45" s="9"/>
      <c r="K45" s="438"/>
      <c r="L45" s="438"/>
      <c r="M45" s="473"/>
      <c r="N45" s="9"/>
      <c r="O45" s="9"/>
    </row>
    <row r="46" spans="1:64" ht="13.5" thickBot="1">
      <c r="A46" s="297" t="s">
        <v>746</v>
      </c>
      <c r="B46" s="1489"/>
      <c r="C46" s="1461"/>
      <c r="D46" s="1461"/>
      <c r="F46" s="8"/>
      <c r="G46" s="8"/>
      <c r="H46" s="8"/>
      <c r="K46" s="438"/>
      <c r="L46" s="438"/>
      <c r="M46" s="473"/>
      <c r="N46" s="9"/>
      <c r="O46" s="9"/>
    </row>
    <row r="47" spans="1:64">
      <c r="A47" s="464"/>
      <c r="B47" s="1459"/>
      <c r="C47" s="270"/>
      <c r="D47" s="270"/>
      <c r="E47" s="228"/>
      <c r="H47" s="286"/>
      <c r="I47" s="286"/>
      <c r="J47" s="473"/>
      <c r="K47" s="9" t="s">
        <v>814</v>
      </c>
      <c r="L47" s="9"/>
      <c r="R47" s="8"/>
      <c r="S47" s="8"/>
      <c r="T47" s="8"/>
      <c r="BJ47" s="90"/>
      <c r="BK47" s="90"/>
      <c r="BL47" s="90"/>
    </row>
    <row r="48" spans="1:64">
      <c r="A48" s="228"/>
      <c r="B48" s="228"/>
      <c r="C48" s="270"/>
      <c r="D48" s="270"/>
      <c r="E48" s="228"/>
      <c r="H48" s="286"/>
      <c r="I48" s="286"/>
      <c r="J48" s="473"/>
      <c r="K48" s="290"/>
      <c r="L48" s="9"/>
      <c r="R48" s="8"/>
      <c r="S48" s="8"/>
      <c r="T48" s="8"/>
      <c r="BJ48" s="90"/>
      <c r="BK48" s="90"/>
      <c r="BL48" s="90"/>
    </row>
    <row r="49" spans="1:64">
      <c r="A49" s="228"/>
      <c r="B49" s="228"/>
      <c r="C49" s="270"/>
      <c r="D49" s="270"/>
      <c r="E49" s="228"/>
      <c r="F49" s="8"/>
      <c r="H49" s="9"/>
      <c r="I49" s="9"/>
      <c r="J49" s="290"/>
      <c r="R49" s="8"/>
      <c r="S49" s="8"/>
      <c r="T49" s="8"/>
      <c r="BJ49" s="90"/>
      <c r="BK49" s="90"/>
      <c r="BL49" s="90"/>
    </row>
    <row r="50" spans="1:64">
      <c r="A50" s="228"/>
      <c r="B50" s="228"/>
      <c r="C50" s="270"/>
      <c r="D50" s="270"/>
      <c r="E50" s="228"/>
      <c r="F50" s="270"/>
      <c r="H50" s="9"/>
      <c r="I50" s="290"/>
      <c r="J50" s="231"/>
      <c r="R50" s="8"/>
      <c r="S50" s="8"/>
      <c r="T50" s="8"/>
      <c r="BJ50" s="90"/>
      <c r="BK50" s="90"/>
      <c r="BL50" s="90"/>
    </row>
    <row r="51" spans="1:64">
      <c r="A51" s="228"/>
      <c r="B51" s="228"/>
      <c r="C51" s="270"/>
      <c r="D51" s="270"/>
      <c r="E51" s="228"/>
      <c r="F51" s="8"/>
      <c r="I51" s="231"/>
      <c r="J51" s="231"/>
      <c r="R51" s="8"/>
      <c r="S51" s="8"/>
      <c r="T51" s="8"/>
      <c r="BJ51" s="90"/>
      <c r="BK51" s="90"/>
      <c r="BL51" s="90"/>
    </row>
    <row r="52" spans="1:64">
      <c r="A52" s="228"/>
      <c r="B52" s="228"/>
      <c r="C52" s="270"/>
      <c r="D52" s="270"/>
      <c r="E52" s="228"/>
      <c r="F52" s="8"/>
      <c r="H52" s="8"/>
      <c r="I52" s="231"/>
      <c r="J52" s="231"/>
      <c r="K52" s="231"/>
      <c r="R52" s="8"/>
      <c r="S52" s="8"/>
      <c r="T52" s="8"/>
      <c r="BJ52" s="90"/>
      <c r="BK52" s="90"/>
      <c r="BL52" s="90"/>
    </row>
    <row r="53" spans="1:64">
      <c r="A53" s="228"/>
      <c r="B53" s="228"/>
      <c r="C53" s="270"/>
      <c r="D53" s="270"/>
      <c r="E53" s="228"/>
      <c r="F53" s="8"/>
      <c r="I53" s="8"/>
      <c r="J53" s="231"/>
      <c r="K53" s="8"/>
      <c r="R53" s="8"/>
      <c r="S53" s="8"/>
      <c r="T53" s="8"/>
      <c r="BJ53" s="90"/>
      <c r="BK53" s="90"/>
      <c r="BL53" s="90"/>
    </row>
    <row r="54" spans="1:64">
      <c r="A54" s="228"/>
      <c r="B54" s="228"/>
      <c r="C54" s="1461"/>
      <c r="D54" s="1461"/>
      <c r="F54" s="228"/>
      <c r="G54" s="228"/>
      <c r="H54" s="228"/>
      <c r="I54" s="8"/>
      <c r="L54" s="8"/>
      <c r="M54" s="231"/>
    </row>
    <row r="55" spans="1:64">
      <c r="A55" s="288"/>
      <c r="B55" s="1458"/>
      <c r="C55" s="1461"/>
      <c r="D55" s="1461"/>
      <c r="F55" s="228"/>
      <c r="G55" s="228"/>
      <c r="H55" s="228"/>
      <c r="I55" s="8"/>
      <c r="L55" s="8"/>
      <c r="M55" s="8"/>
    </row>
    <row r="56" spans="1:64" ht="30" customHeight="1">
      <c r="A56" s="8"/>
      <c r="B56" s="1458"/>
      <c r="C56" s="1461"/>
      <c r="D56" s="1461"/>
      <c r="F56" s="228"/>
      <c r="G56" s="228"/>
      <c r="H56" s="228"/>
      <c r="I56" s="8"/>
      <c r="L56" s="8"/>
    </row>
    <row r="57" spans="1:64">
      <c r="A57" s="8"/>
      <c r="B57" s="1458"/>
      <c r="C57" s="1461"/>
      <c r="D57" s="1461"/>
      <c r="F57" s="8"/>
      <c r="G57" s="8"/>
      <c r="H57" s="8"/>
      <c r="I57" s="8"/>
    </row>
    <row r="58" spans="1:64">
      <c r="A58" s="8"/>
      <c r="B58" s="1458"/>
      <c r="F58" s="8"/>
      <c r="G58" s="8"/>
      <c r="H58" s="8"/>
      <c r="I58" s="8"/>
    </row>
    <row r="59" spans="1:64">
      <c r="F59" s="8"/>
      <c r="G59" s="8"/>
      <c r="H59" s="8"/>
      <c r="I59" s="8"/>
    </row>
    <row r="60" spans="1:64">
      <c r="F60" s="8"/>
      <c r="G60" s="8"/>
      <c r="H60" s="8"/>
      <c r="I60" s="8"/>
    </row>
    <row r="61" spans="1:64">
      <c r="I61" s="8"/>
    </row>
    <row r="62" spans="1:64">
      <c r="I62" s="8"/>
    </row>
    <row r="63" spans="1:64">
      <c r="I63" s="8"/>
    </row>
    <row r="66" spans="1:10">
      <c r="J66" s="8"/>
    </row>
    <row r="67" spans="1:10">
      <c r="C67" s="1461"/>
      <c r="D67" s="1461"/>
      <c r="J67" s="270"/>
    </row>
    <row r="68" spans="1:10">
      <c r="A68" s="8"/>
      <c r="B68" s="1458"/>
      <c r="C68" s="270"/>
      <c r="D68" s="270"/>
      <c r="J68" s="8"/>
    </row>
    <row r="69" spans="1:10">
      <c r="A69" s="8"/>
      <c r="B69" s="228"/>
      <c r="C69" s="270"/>
      <c r="D69" s="270"/>
      <c r="J69" s="8"/>
    </row>
    <row r="70" spans="1:10">
      <c r="A70" s="8"/>
      <c r="B70" s="228"/>
      <c r="C70" s="270"/>
      <c r="D70" s="270"/>
      <c r="J70" s="8"/>
    </row>
    <row r="71" spans="1:10">
      <c r="A71" s="8"/>
      <c r="B71" s="228"/>
      <c r="C71" s="270"/>
      <c r="D71" s="270"/>
      <c r="J71" s="8"/>
    </row>
    <row r="72" spans="1:10">
      <c r="A72" s="8"/>
      <c r="B72" s="228"/>
      <c r="C72" s="270"/>
      <c r="D72" s="270"/>
      <c r="E72" s="8"/>
      <c r="J72" s="8"/>
    </row>
    <row r="73" spans="1:10">
      <c r="A73" s="8"/>
      <c r="B73" s="228"/>
      <c r="C73" s="270"/>
      <c r="D73" s="270"/>
      <c r="E73" s="228"/>
      <c r="J73" s="8"/>
    </row>
    <row r="74" spans="1:10">
      <c r="A74" s="8"/>
      <c r="B74" s="228"/>
      <c r="C74" s="270"/>
      <c r="D74" s="270"/>
      <c r="E74" s="228"/>
      <c r="G74" s="90" t="e">
        <f>'Community data'!$L$23+('Community data'!$B$26/Generation_total)*VLOOKUP($C$6,'Diesel Fuel Prices'!$D$7:$BN$183,-6+G53,0)/Generation_Efficiency</f>
        <v>#N/A</v>
      </c>
      <c r="J74" s="8"/>
    </row>
    <row r="75" spans="1:10">
      <c r="A75" s="8"/>
      <c r="B75" s="228"/>
      <c r="C75" s="270"/>
      <c r="D75" s="270"/>
      <c r="E75" s="228"/>
      <c r="J75" s="8"/>
    </row>
    <row r="76" spans="1:10">
      <c r="A76" s="8"/>
      <c r="B76" s="228"/>
      <c r="C76" s="270"/>
      <c r="D76" s="270"/>
      <c r="E76" s="228"/>
      <c r="J76" s="8"/>
    </row>
    <row r="77" spans="1:10">
      <c r="A77" s="8"/>
      <c r="B77" s="228"/>
      <c r="C77" s="270"/>
      <c r="D77" s="270"/>
      <c r="E77" s="228"/>
      <c r="J77" s="8"/>
    </row>
    <row r="78" spans="1:10">
      <c r="A78" s="8"/>
      <c r="B78" s="228"/>
      <c r="C78" s="270"/>
      <c r="D78" s="270"/>
      <c r="E78" s="228"/>
      <c r="J78" s="8"/>
    </row>
    <row r="79" spans="1:10">
      <c r="A79" s="8"/>
      <c r="B79" s="228"/>
      <c r="C79" s="270"/>
      <c r="D79" s="270"/>
      <c r="E79" s="228"/>
      <c r="J79" s="8"/>
    </row>
    <row r="80" spans="1:10">
      <c r="A80" s="8"/>
      <c r="B80" s="228"/>
      <c r="C80" s="1461"/>
      <c r="D80" s="1461"/>
      <c r="E80" s="228"/>
      <c r="J80" s="8"/>
    </row>
    <row r="81" spans="1:5">
      <c r="A81" s="8"/>
      <c r="B81" s="1458"/>
      <c r="C81" s="1461"/>
      <c r="D81" s="1461"/>
      <c r="E81" s="228"/>
    </row>
    <row r="82" spans="1:5">
      <c r="A82" s="8"/>
      <c r="B82" s="1458"/>
      <c r="E82" s="228"/>
    </row>
    <row r="83" spans="1:5">
      <c r="E83" s="8"/>
    </row>
    <row r="84" spans="1:5">
      <c r="E84" s="8"/>
    </row>
    <row r="85" spans="1:5">
      <c r="E85" s="8"/>
    </row>
    <row r="86" spans="1:5">
      <c r="E86" s="8"/>
    </row>
  </sheetData>
  <mergeCells count="15">
    <mergeCell ref="A1:N1"/>
    <mergeCell ref="K4:L4"/>
    <mergeCell ref="K3:L3"/>
    <mergeCell ref="A25:B25"/>
    <mergeCell ref="A37:B37"/>
    <mergeCell ref="A14:B14"/>
    <mergeCell ref="A15:B15"/>
    <mergeCell ref="F3:G3"/>
    <mergeCell ref="F22:G22"/>
    <mergeCell ref="K15:L15"/>
    <mergeCell ref="L29:M29"/>
    <mergeCell ref="L30:M30"/>
    <mergeCell ref="L31:M31"/>
    <mergeCell ref="L32:M32"/>
    <mergeCell ref="F29:H29"/>
  </mergeCells>
  <dataValidations count="4">
    <dataValidation type="list" allowBlank="1" showInputMessage="1" showErrorMessage="1" sqref="M43 B45">
      <formula1>$A$36:$A$37</formula1>
    </dataValidation>
    <dataValidation type="list" allowBlank="1" showInputMessage="1" showErrorMessage="1" sqref="B7 B31">
      <formula1>"Yes,No"</formula1>
    </dataValidation>
    <dataValidation type="list" allowBlank="1" showInputMessage="1" showErrorMessage="1" sqref="B43">
      <formula1>"Hydro,Wind"</formula1>
    </dataValidation>
    <dataValidation type="list" allowBlank="1" showInputMessage="1" showErrorMessage="1" sqref="J47:J48">
      <formula1>$A$50:$A$51</formula1>
    </dataValidation>
  </dataValidations>
  <pageMargins left="0.7" right="0.7" top="0.75" bottom="0.75" header="0.3" footer="0.3"/>
  <pageSetup paperSize="5" scale="67" orientation="landscape"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Assumptions!$A$53:$A$63</xm:f>
          </x14:formula1>
          <xm:sqref>B4</xm:sqref>
        </x14:dataValidation>
        <x14:dataValidation type="list" allowBlank="1" showInputMessage="1" showErrorMessage="1">
          <x14:formula1>
            <xm:f>Assumptions!$B$54:$B$55</xm:f>
          </x14:formula1>
          <xm:sqref>M41:M42</xm:sqref>
        </x14:dataValidation>
        <x14:dataValidation type="list" allowBlank="1" showInputMessage="1" showErrorMessage="1">
          <x14:formula1>
            <xm:f>Assumptions!$A$50:$A$51</xm:f>
          </x14:formula1>
          <xm:sqref>M45:M46</xm:sqref>
        </x14:dataValidation>
        <x14:dataValidation type="list" allowBlank="1" showInputMessage="1" showErrorMessage="1">
          <x14:formula1>
            <xm:f>'Biomass--Cord'!$I$22:$I$44</xm:f>
          </x14:formula1>
          <xm:sqref>L10</xm:sqref>
        </x14:dataValidation>
        <x14:dataValidation type="list" allowBlank="1" showInputMessage="1" showErrorMessage="1">
          <x14:formula1>
            <xm:f>Assumptions!$A$4:$A$9</xm:f>
          </x14:formula1>
          <xm:sqref>B33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C217"/>
  <sheetViews>
    <sheetView workbookViewId="0">
      <selection activeCell="E22" sqref="E22"/>
    </sheetView>
  </sheetViews>
  <sheetFormatPr defaultRowHeight="12.75"/>
  <cols>
    <col min="1" max="1" width="18.28515625" style="90" bestFit="1" customWidth="1"/>
    <col min="2" max="2" width="14" style="1684" bestFit="1" customWidth="1"/>
    <col min="3" max="3" width="14" style="1684" customWidth="1"/>
  </cols>
  <sheetData>
    <row r="1" spans="1:3" ht="51">
      <c r="A1" s="1617" t="s">
        <v>2106</v>
      </c>
      <c r="B1" s="1249" t="s">
        <v>2107</v>
      </c>
      <c r="C1" s="1249" t="s">
        <v>2108</v>
      </c>
    </row>
    <row r="2" spans="1:3">
      <c r="A2" s="90" t="s">
        <v>969</v>
      </c>
      <c r="B2" s="1684" t="s">
        <v>597</v>
      </c>
      <c r="C2" s="90" t="s">
        <v>969</v>
      </c>
    </row>
    <row r="3" spans="1:3">
      <c r="A3" s="1590" t="s">
        <v>970</v>
      </c>
      <c r="B3" s="1684" t="s">
        <v>597</v>
      </c>
      <c r="C3" s="1590" t="s">
        <v>970</v>
      </c>
    </row>
    <row r="4" spans="1:3">
      <c r="A4" s="90" t="s">
        <v>49</v>
      </c>
      <c r="B4" s="1684" t="s">
        <v>597</v>
      </c>
      <c r="C4" s="90" t="s">
        <v>49</v>
      </c>
    </row>
    <row r="5" spans="1:3">
      <c r="A5" s="90" t="s">
        <v>51</v>
      </c>
      <c r="B5" s="1684" t="s">
        <v>597</v>
      </c>
      <c r="C5" s="90" t="s">
        <v>51</v>
      </c>
    </row>
    <row r="6" spans="1:3">
      <c r="A6" s="90" t="s">
        <v>53</v>
      </c>
      <c r="B6" s="1684" t="s">
        <v>597</v>
      </c>
      <c r="C6" s="90" t="s">
        <v>53</v>
      </c>
    </row>
    <row r="7" spans="1:3">
      <c r="A7" s="90" t="s">
        <v>70</v>
      </c>
      <c r="B7" s="1684" t="s">
        <v>596</v>
      </c>
      <c r="C7" s="90" t="s">
        <v>70</v>
      </c>
    </row>
    <row r="8" spans="1:3">
      <c r="A8" s="1590" t="s">
        <v>971</v>
      </c>
      <c r="B8" s="1684" t="s">
        <v>596</v>
      </c>
      <c r="C8" s="1590" t="s">
        <v>973</v>
      </c>
    </row>
    <row r="9" spans="1:3">
      <c r="A9" s="1590" t="s">
        <v>972</v>
      </c>
      <c r="B9" s="1684" t="s">
        <v>596</v>
      </c>
      <c r="C9" s="1590" t="s">
        <v>23</v>
      </c>
    </row>
    <row r="10" spans="1:3">
      <c r="A10" s="1590" t="s">
        <v>973</v>
      </c>
      <c r="B10" s="1684" t="s">
        <v>596</v>
      </c>
      <c r="C10" s="1590" t="s">
        <v>973</v>
      </c>
    </row>
    <row r="11" spans="1:3">
      <c r="A11" s="90" t="s">
        <v>30</v>
      </c>
      <c r="B11" s="1684" t="s">
        <v>597</v>
      </c>
      <c r="C11" s="90" t="s">
        <v>30</v>
      </c>
    </row>
    <row r="12" spans="1:3">
      <c r="A12" s="90" t="s">
        <v>206</v>
      </c>
      <c r="B12" s="1684" t="s">
        <v>597</v>
      </c>
      <c r="C12" s="90" t="s">
        <v>206</v>
      </c>
    </row>
    <row r="13" spans="1:3">
      <c r="A13" s="1590" t="s">
        <v>1385</v>
      </c>
      <c r="B13" s="1684" t="s">
        <v>596</v>
      </c>
      <c r="C13" s="1590" t="s">
        <v>1062</v>
      </c>
    </row>
    <row r="14" spans="1:3">
      <c r="A14" s="90" t="s">
        <v>40</v>
      </c>
      <c r="B14" s="1684" t="s">
        <v>597</v>
      </c>
      <c r="C14" s="90" t="s">
        <v>40</v>
      </c>
    </row>
    <row r="15" spans="1:3">
      <c r="A15" s="90" t="s">
        <v>115</v>
      </c>
      <c r="B15" s="1684" t="s">
        <v>597</v>
      </c>
      <c r="C15" s="90" t="s">
        <v>115</v>
      </c>
    </row>
    <row r="16" spans="1:3">
      <c r="A16" s="90" t="s">
        <v>71</v>
      </c>
      <c r="B16" s="1684" t="s">
        <v>597</v>
      </c>
      <c r="C16" s="90" t="s">
        <v>71</v>
      </c>
    </row>
    <row r="17" spans="1:3">
      <c r="A17" s="90" t="s">
        <v>398</v>
      </c>
      <c r="B17" s="1684" t="s">
        <v>597</v>
      </c>
      <c r="C17" s="90" t="s">
        <v>398</v>
      </c>
    </row>
    <row r="18" spans="1:3">
      <c r="A18" s="90" t="s">
        <v>24</v>
      </c>
      <c r="B18" s="1684" t="s">
        <v>597</v>
      </c>
      <c r="C18" s="90" t="s">
        <v>24</v>
      </c>
    </row>
    <row r="19" spans="1:3">
      <c r="A19" s="90" t="s">
        <v>117</v>
      </c>
      <c r="B19" s="1684" t="s">
        <v>597</v>
      </c>
      <c r="C19" s="90" t="s">
        <v>117</v>
      </c>
    </row>
    <row r="20" spans="1:3">
      <c r="A20" s="90" t="s">
        <v>207</v>
      </c>
      <c r="B20" s="1684" t="s">
        <v>597</v>
      </c>
      <c r="C20" s="90" t="s">
        <v>207</v>
      </c>
    </row>
    <row r="21" spans="1:3">
      <c r="A21" s="90" t="s">
        <v>119</v>
      </c>
      <c r="B21" s="1684" t="s">
        <v>597</v>
      </c>
      <c r="C21" s="90" t="s">
        <v>119</v>
      </c>
    </row>
    <row r="22" spans="1:3">
      <c r="A22" s="1590" t="s">
        <v>26</v>
      </c>
      <c r="B22" s="1684" t="s">
        <v>596</v>
      </c>
      <c r="C22" s="1590" t="s">
        <v>26</v>
      </c>
    </row>
    <row r="23" spans="1:3">
      <c r="A23" s="1590" t="s">
        <v>979</v>
      </c>
      <c r="B23" s="1684" t="s">
        <v>596</v>
      </c>
      <c r="C23" s="1590" t="s">
        <v>979</v>
      </c>
    </row>
    <row r="24" spans="1:3">
      <c r="A24" s="1590" t="s">
        <v>399</v>
      </c>
      <c r="B24" s="1684" t="s">
        <v>597</v>
      </c>
      <c r="C24" s="1590" t="s">
        <v>399</v>
      </c>
    </row>
    <row r="25" spans="1:3">
      <c r="A25" s="90" t="s">
        <v>72</v>
      </c>
      <c r="B25" s="1684" t="s">
        <v>597</v>
      </c>
      <c r="C25" s="90" t="s">
        <v>72</v>
      </c>
    </row>
    <row r="26" spans="1:3">
      <c r="A26" s="90" t="s">
        <v>41</v>
      </c>
      <c r="B26" s="1684" t="s">
        <v>597</v>
      </c>
      <c r="C26" s="90" t="s">
        <v>41</v>
      </c>
    </row>
    <row r="27" spans="1:3">
      <c r="A27" s="90" t="s">
        <v>123</v>
      </c>
      <c r="B27" s="1684" t="s">
        <v>597</v>
      </c>
      <c r="C27" s="90" t="s">
        <v>123</v>
      </c>
    </row>
    <row r="28" spans="1:3">
      <c r="A28" s="90" t="s">
        <v>985</v>
      </c>
      <c r="B28" s="1684" t="s">
        <v>597</v>
      </c>
      <c r="C28" s="90" t="s">
        <v>985</v>
      </c>
    </row>
    <row r="29" spans="1:3">
      <c r="A29" s="90" t="s">
        <v>199</v>
      </c>
      <c r="B29" s="1684" t="s">
        <v>597</v>
      </c>
      <c r="C29" s="90" t="s">
        <v>199</v>
      </c>
    </row>
    <row r="30" spans="1:3">
      <c r="A30" s="1590" t="s">
        <v>125</v>
      </c>
      <c r="B30" s="1684" t="s">
        <v>597</v>
      </c>
      <c r="C30" s="1590" t="s">
        <v>125</v>
      </c>
    </row>
    <row r="31" spans="1:3">
      <c r="A31" s="90" t="s">
        <v>73</v>
      </c>
      <c r="B31" s="1684" t="s">
        <v>597</v>
      </c>
      <c r="C31" s="90" t="s">
        <v>73</v>
      </c>
    </row>
    <row r="32" spans="1:3">
      <c r="A32" s="90" t="s">
        <v>990</v>
      </c>
      <c r="B32" s="1684" t="s">
        <v>597</v>
      </c>
      <c r="C32" s="90" t="s">
        <v>990</v>
      </c>
    </row>
    <row r="33" spans="1:3">
      <c r="A33" s="90" t="s">
        <v>9</v>
      </c>
      <c r="B33" s="1684" t="s">
        <v>597</v>
      </c>
      <c r="C33" s="90" t="s">
        <v>9</v>
      </c>
    </row>
    <row r="34" spans="1:3">
      <c r="A34" s="90" t="s">
        <v>255</v>
      </c>
      <c r="B34" s="1684" t="s">
        <v>597</v>
      </c>
      <c r="C34" s="90" t="s">
        <v>255</v>
      </c>
    </row>
    <row r="35" spans="1:3">
      <c r="A35" s="98" t="s">
        <v>158</v>
      </c>
      <c r="B35" s="1473" t="s">
        <v>596</v>
      </c>
      <c r="C35" s="98" t="s">
        <v>158</v>
      </c>
    </row>
    <row r="36" spans="1:3">
      <c r="A36" s="1590" t="s">
        <v>10</v>
      </c>
      <c r="B36" s="1684" t="s">
        <v>596</v>
      </c>
      <c r="C36" s="1590" t="s">
        <v>253</v>
      </c>
    </row>
    <row r="37" spans="1:3">
      <c r="A37" s="90" t="s">
        <v>992</v>
      </c>
      <c r="B37" s="1684" t="s">
        <v>597</v>
      </c>
      <c r="C37" s="90" t="s">
        <v>992</v>
      </c>
    </row>
    <row r="38" spans="1:3">
      <c r="A38" s="90" t="s">
        <v>188</v>
      </c>
      <c r="B38" s="1684" t="s">
        <v>597</v>
      </c>
      <c r="C38" s="90" t="s">
        <v>188</v>
      </c>
    </row>
    <row r="39" spans="1:3">
      <c r="A39" s="90" t="s">
        <v>132</v>
      </c>
      <c r="B39" s="1684" t="s">
        <v>597</v>
      </c>
      <c r="C39" s="90" t="s">
        <v>132</v>
      </c>
    </row>
    <row r="40" spans="1:3">
      <c r="A40" s="1590" t="s">
        <v>996</v>
      </c>
      <c r="B40" s="1684" t="s">
        <v>597</v>
      </c>
      <c r="C40" s="1590" t="s">
        <v>996</v>
      </c>
    </row>
    <row r="41" spans="1:3">
      <c r="A41" s="1590" t="s">
        <v>12</v>
      </c>
      <c r="B41" s="1684" t="s">
        <v>596</v>
      </c>
      <c r="C41" s="1590" t="s">
        <v>57</v>
      </c>
    </row>
    <row r="42" spans="1:3">
      <c r="A42" s="90" t="s">
        <v>145</v>
      </c>
      <c r="B42" s="1684" t="s">
        <v>597</v>
      </c>
      <c r="C42" s="90" t="s">
        <v>145</v>
      </c>
    </row>
    <row r="43" spans="1:3">
      <c r="A43" s="1590" t="s">
        <v>1000</v>
      </c>
      <c r="B43" s="1684" t="s">
        <v>596</v>
      </c>
      <c r="C43" s="1590" t="s">
        <v>1167</v>
      </c>
    </row>
    <row r="44" spans="1:3">
      <c r="A44" s="1590" t="s">
        <v>11</v>
      </c>
      <c r="B44" s="1684" t="s">
        <v>596</v>
      </c>
      <c r="C44" s="1590" t="s">
        <v>11</v>
      </c>
    </row>
    <row r="45" spans="1:3">
      <c r="A45" s="1590" t="s">
        <v>1173</v>
      </c>
      <c r="B45" s="1684" t="s">
        <v>596</v>
      </c>
      <c r="C45" s="1590" t="s">
        <v>18</v>
      </c>
    </row>
    <row r="46" spans="1:3">
      <c r="A46" s="1590" t="s">
        <v>57</v>
      </c>
      <c r="B46" s="1684" t="s">
        <v>596</v>
      </c>
      <c r="C46" s="1590" t="s">
        <v>57</v>
      </c>
    </row>
    <row r="47" spans="1:3">
      <c r="A47" s="90" t="s">
        <v>189</v>
      </c>
      <c r="B47" s="1684" t="s">
        <v>597</v>
      </c>
      <c r="C47" s="90" t="s">
        <v>189</v>
      </c>
    </row>
    <row r="48" spans="1:3">
      <c r="A48" s="90" t="s">
        <v>42</v>
      </c>
      <c r="B48" s="1684" t="s">
        <v>597</v>
      </c>
      <c r="C48" s="90" t="s">
        <v>42</v>
      </c>
    </row>
    <row r="49" spans="1:3">
      <c r="A49" s="1590" t="s">
        <v>23</v>
      </c>
      <c r="B49" s="1684" t="s">
        <v>596</v>
      </c>
      <c r="C49" s="1590" t="s">
        <v>23</v>
      </c>
    </row>
    <row r="50" spans="1:3">
      <c r="A50" s="90" t="s">
        <v>135</v>
      </c>
      <c r="B50" s="1684" t="s">
        <v>597</v>
      </c>
      <c r="C50" s="90" t="s">
        <v>135</v>
      </c>
    </row>
    <row r="51" spans="1:3">
      <c r="A51" s="1590" t="s">
        <v>58</v>
      </c>
      <c r="B51" s="1684" t="s">
        <v>596</v>
      </c>
      <c r="C51" s="1590" t="s">
        <v>13</v>
      </c>
    </row>
    <row r="52" spans="1:3">
      <c r="A52" s="1590" t="s">
        <v>1177</v>
      </c>
      <c r="B52" s="1684" t="s">
        <v>596</v>
      </c>
      <c r="C52" s="1590" t="s">
        <v>13</v>
      </c>
    </row>
    <row r="53" spans="1:3">
      <c r="A53" s="1590" t="s">
        <v>1006</v>
      </c>
      <c r="B53" s="1684" t="s">
        <v>596</v>
      </c>
      <c r="C53" s="1590" t="s">
        <v>1006</v>
      </c>
    </row>
    <row r="54" spans="1:3">
      <c r="A54" s="1590" t="s">
        <v>1178</v>
      </c>
      <c r="B54" s="1684" t="s">
        <v>2109</v>
      </c>
      <c r="C54" s="1590" t="s">
        <v>1006</v>
      </c>
    </row>
    <row r="55" spans="1:3">
      <c r="A55" s="90" t="s">
        <v>74</v>
      </c>
      <c r="B55" s="1684" t="s">
        <v>597</v>
      </c>
      <c r="C55" s="90" t="s">
        <v>74</v>
      </c>
    </row>
    <row r="56" spans="1:3">
      <c r="A56" s="90" t="s">
        <v>137</v>
      </c>
      <c r="B56" s="1684" t="s">
        <v>597</v>
      </c>
      <c r="C56" s="90" t="s">
        <v>137</v>
      </c>
    </row>
    <row r="57" spans="1:3">
      <c r="A57" s="90" t="s">
        <v>139</v>
      </c>
      <c r="B57" s="1684" t="s">
        <v>597</v>
      </c>
      <c r="C57" s="90" t="s">
        <v>139</v>
      </c>
    </row>
    <row r="58" spans="1:3">
      <c r="A58" s="90" t="s">
        <v>141</v>
      </c>
      <c r="B58" s="1684" t="s">
        <v>597</v>
      </c>
      <c r="C58" s="90" t="s">
        <v>141</v>
      </c>
    </row>
    <row r="59" spans="1:3">
      <c r="A59" s="90" t="s">
        <v>75</v>
      </c>
      <c r="B59" s="1684" t="s">
        <v>597</v>
      </c>
      <c r="C59" s="90" t="s">
        <v>75</v>
      </c>
    </row>
    <row r="60" spans="1:3">
      <c r="A60" s="90" t="s">
        <v>76</v>
      </c>
      <c r="B60" s="1684" t="s">
        <v>596</v>
      </c>
      <c r="C60" s="90" t="s">
        <v>70</v>
      </c>
    </row>
    <row r="61" spans="1:3">
      <c r="A61" s="1590" t="s">
        <v>1010</v>
      </c>
      <c r="B61" s="1684" t="s">
        <v>596</v>
      </c>
      <c r="C61" s="1590" t="s">
        <v>979</v>
      </c>
    </row>
    <row r="62" spans="1:3">
      <c r="A62" s="1590" t="s">
        <v>1011</v>
      </c>
      <c r="B62" s="1684" t="s">
        <v>596</v>
      </c>
      <c r="C62" s="1590" t="s">
        <v>11</v>
      </c>
    </row>
    <row r="63" spans="1:3">
      <c r="A63" s="90" t="s">
        <v>143</v>
      </c>
      <c r="B63" s="1684" t="s">
        <v>597</v>
      </c>
      <c r="C63" s="90" t="s">
        <v>143</v>
      </c>
    </row>
    <row r="64" spans="1:3">
      <c r="A64" s="90" t="s">
        <v>17</v>
      </c>
      <c r="B64" s="1684" t="s">
        <v>597</v>
      </c>
      <c r="C64" s="90" t="s">
        <v>17</v>
      </c>
    </row>
    <row r="65" spans="1:3">
      <c r="A65" s="1590" t="s">
        <v>1012</v>
      </c>
      <c r="B65" s="1684" t="s">
        <v>596</v>
      </c>
      <c r="C65" s="1590" t="s">
        <v>1167</v>
      </c>
    </row>
    <row r="66" spans="1:3">
      <c r="A66" s="90" t="s">
        <v>256</v>
      </c>
      <c r="B66" s="1684" t="s">
        <v>597</v>
      </c>
      <c r="C66" s="90" t="s">
        <v>256</v>
      </c>
    </row>
    <row r="67" spans="1:3">
      <c r="A67" s="90" t="s">
        <v>77</v>
      </c>
      <c r="B67" s="1684" t="s">
        <v>597</v>
      </c>
      <c r="C67" s="90" t="s">
        <v>77</v>
      </c>
    </row>
    <row r="68" spans="1:3">
      <c r="A68" s="1590" t="s">
        <v>1167</v>
      </c>
      <c r="B68" s="1684" t="s">
        <v>596</v>
      </c>
      <c r="C68" s="1590" t="s">
        <v>1167</v>
      </c>
    </row>
    <row r="69" spans="1:3">
      <c r="A69" s="90" t="s">
        <v>148</v>
      </c>
      <c r="B69" s="1684" t="s">
        <v>597</v>
      </c>
      <c r="C69" s="90" t="s">
        <v>148</v>
      </c>
    </row>
    <row r="70" spans="1:3">
      <c r="A70" s="90" t="s">
        <v>78</v>
      </c>
      <c r="B70" s="1684" t="s">
        <v>597</v>
      </c>
      <c r="C70" s="90" t="s">
        <v>78</v>
      </c>
    </row>
    <row r="71" spans="1:3">
      <c r="A71" s="90" t="s">
        <v>79</v>
      </c>
      <c r="B71" s="1684" t="s">
        <v>597</v>
      </c>
      <c r="C71" s="90" t="s">
        <v>79</v>
      </c>
    </row>
    <row r="72" spans="1:3">
      <c r="A72" s="1590" t="s">
        <v>1015</v>
      </c>
      <c r="B72" s="1684" t="s">
        <v>596</v>
      </c>
      <c r="C72" s="1590" t="s">
        <v>1167</v>
      </c>
    </row>
    <row r="73" spans="1:3">
      <c r="A73" s="90" t="s">
        <v>8</v>
      </c>
      <c r="B73" s="1684" t="s">
        <v>597</v>
      </c>
      <c r="C73" s="90" t="s">
        <v>8</v>
      </c>
    </row>
    <row r="74" spans="1:3">
      <c r="A74" s="1590" t="s">
        <v>18</v>
      </c>
      <c r="B74" s="1684" t="s">
        <v>596</v>
      </c>
      <c r="C74" s="1590" t="s">
        <v>18</v>
      </c>
    </row>
    <row r="75" spans="1:3">
      <c r="A75" s="90" t="s">
        <v>60</v>
      </c>
      <c r="B75" s="1684" t="s">
        <v>596</v>
      </c>
      <c r="C75" s="90" t="s">
        <v>60</v>
      </c>
    </row>
    <row r="76" spans="1:3">
      <c r="A76" s="1590" t="s">
        <v>61</v>
      </c>
      <c r="B76" s="1684" t="s">
        <v>596</v>
      </c>
      <c r="C76" s="1590" t="s">
        <v>57</v>
      </c>
    </row>
    <row r="77" spans="1:3">
      <c r="A77" s="90" t="s">
        <v>80</v>
      </c>
      <c r="B77" s="1684" t="s">
        <v>597</v>
      </c>
      <c r="C77" s="90" t="s">
        <v>80</v>
      </c>
    </row>
    <row r="78" spans="1:3">
      <c r="A78" s="90" t="s">
        <v>14</v>
      </c>
      <c r="B78" s="1684" t="s">
        <v>597</v>
      </c>
      <c r="C78" s="90" t="s">
        <v>14</v>
      </c>
    </row>
    <row r="79" spans="1:3">
      <c r="A79" s="90" t="s">
        <v>19</v>
      </c>
      <c r="B79" s="1684" t="s">
        <v>597</v>
      </c>
      <c r="C79" s="90" t="s">
        <v>19</v>
      </c>
    </row>
    <row r="80" spans="1:3">
      <c r="A80" s="90" t="s">
        <v>152</v>
      </c>
      <c r="B80" s="1684" t="s">
        <v>597</v>
      </c>
      <c r="C80" s="90" t="s">
        <v>152</v>
      </c>
    </row>
    <row r="81" spans="1:3">
      <c r="A81" s="90" t="s">
        <v>81</v>
      </c>
      <c r="B81" s="1684" t="s">
        <v>597</v>
      </c>
      <c r="C81" s="90" t="s">
        <v>81</v>
      </c>
    </row>
    <row r="82" spans="1:3">
      <c r="A82" s="1590" t="s">
        <v>37</v>
      </c>
      <c r="B82" s="1684" t="s">
        <v>596</v>
      </c>
      <c r="C82" s="1590" t="s">
        <v>57</v>
      </c>
    </row>
    <row r="83" spans="1:3">
      <c r="A83" s="90" t="s">
        <v>154</v>
      </c>
      <c r="B83" s="1684" t="s">
        <v>597</v>
      </c>
      <c r="C83" s="90" t="s">
        <v>154</v>
      </c>
    </row>
    <row r="84" spans="1:3">
      <c r="A84" s="1590" t="s">
        <v>1022</v>
      </c>
      <c r="B84" s="1684" t="s">
        <v>596</v>
      </c>
      <c r="C84" s="1590" t="s">
        <v>1044</v>
      </c>
    </row>
    <row r="85" spans="1:3">
      <c r="A85" s="1590" t="s">
        <v>294</v>
      </c>
      <c r="B85" s="1684" t="s">
        <v>597</v>
      </c>
      <c r="C85" s="1590" t="s">
        <v>294</v>
      </c>
    </row>
    <row r="86" spans="1:3">
      <c r="A86" s="90" t="s">
        <v>15</v>
      </c>
      <c r="B86" s="1684" t="s">
        <v>597</v>
      </c>
      <c r="C86" s="90" t="s">
        <v>15</v>
      </c>
    </row>
    <row r="87" spans="1:3">
      <c r="A87" s="90" t="s">
        <v>208</v>
      </c>
      <c r="B87" s="1684" t="s">
        <v>597</v>
      </c>
      <c r="C87" s="90" t="s">
        <v>208</v>
      </c>
    </row>
    <row r="88" spans="1:3">
      <c r="A88" s="90" t="s">
        <v>82</v>
      </c>
      <c r="B88" s="1684" t="s">
        <v>597</v>
      </c>
      <c r="C88" s="90" t="s">
        <v>82</v>
      </c>
    </row>
    <row r="89" spans="1:3">
      <c r="A89" s="90" t="s">
        <v>112</v>
      </c>
      <c r="B89" s="1684" t="s">
        <v>597</v>
      </c>
      <c r="C89" s="90" t="s">
        <v>112</v>
      </c>
    </row>
    <row r="90" spans="1:3">
      <c r="A90" s="1590" t="s">
        <v>1028</v>
      </c>
      <c r="B90" s="1684" t="s">
        <v>596</v>
      </c>
      <c r="C90" s="1590" t="s">
        <v>57</v>
      </c>
    </row>
    <row r="91" spans="1:3">
      <c r="A91" s="1590" t="s">
        <v>83</v>
      </c>
      <c r="B91" s="1684" t="s">
        <v>596</v>
      </c>
      <c r="C91" s="1590" t="s">
        <v>83</v>
      </c>
    </row>
    <row r="92" spans="1:3">
      <c r="A92" s="1590" t="s">
        <v>1030</v>
      </c>
      <c r="B92" s="1684" t="s">
        <v>596</v>
      </c>
      <c r="C92" s="1590" t="s">
        <v>1167</v>
      </c>
    </row>
    <row r="93" spans="1:3">
      <c r="A93" s="1590" t="s">
        <v>296</v>
      </c>
      <c r="B93" s="1684" t="s">
        <v>596</v>
      </c>
      <c r="C93" s="1590" t="s">
        <v>296</v>
      </c>
    </row>
    <row r="94" spans="1:3">
      <c r="A94" s="90" t="s">
        <v>46</v>
      </c>
      <c r="B94" s="1684" t="s">
        <v>597</v>
      </c>
      <c r="C94" s="90" t="s">
        <v>46</v>
      </c>
    </row>
    <row r="95" spans="1:3">
      <c r="A95" s="90" t="s">
        <v>162</v>
      </c>
      <c r="B95" s="1684" t="s">
        <v>597</v>
      </c>
      <c r="C95" s="90" t="s">
        <v>162</v>
      </c>
    </row>
    <row r="96" spans="1:3">
      <c r="A96" s="1590" t="s">
        <v>1031</v>
      </c>
      <c r="B96" s="1684" t="s">
        <v>596</v>
      </c>
      <c r="C96" s="1590" t="s">
        <v>1041</v>
      </c>
    </row>
    <row r="97" spans="1:3">
      <c r="A97" s="90" t="s">
        <v>257</v>
      </c>
      <c r="B97" s="1684" t="s">
        <v>597</v>
      </c>
      <c r="C97" s="90" t="s">
        <v>257</v>
      </c>
    </row>
    <row r="98" spans="1:3">
      <c r="A98" s="90" t="s">
        <v>84</v>
      </c>
      <c r="B98" s="1684" t="s">
        <v>597</v>
      </c>
      <c r="C98" s="90" t="s">
        <v>84</v>
      </c>
    </row>
    <row r="99" spans="1:3">
      <c r="A99" s="1590" t="s">
        <v>62</v>
      </c>
      <c r="B99" s="1684" t="s">
        <v>596</v>
      </c>
      <c r="C99" s="1590" t="s">
        <v>57</v>
      </c>
    </row>
    <row r="100" spans="1:3">
      <c r="A100" s="1618" t="s">
        <v>159</v>
      </c>
      <c r="B100" s="1473" t="s">
        <v>596</v>
      </c>
      <c r="C100" s="98" t="s">
        <v>158</v>
      </c>
    </row>
    <row r="101" spans="1:3">
      <c r="A101" s="1590" t="s">
        <v>43</v>
      </c>
      <c r="B101" s="1684" t="s">
        <v>596</v>
      </c>
      <c r="C101" s="1590" t="s">
        <v>32</v>
      </c>
    </row>
    <row r="102" spans="1:3">
      <c r="A102" s="1590" t="s">
        <v>549</v>
      </c>
      <c r="B102" s="1684" t="s">
        <v>596</v>
      </c>
      <c r="C102" s="1590" t="s">
        <v>549</v>
      </c>
    </row>
    <row r="103" spans="1:3">
      <c r="A103" s="1590" t="s">
        <v>1170</v>
      </c>
      <c r="B103" s="1684" t="s">
        <v>596</v>
      </c>
      <c r="C103" s="1590" t="s">
        <v>549</v>
      </c>
    </row>
    <row r="104" spans="1:3">
      <c r="A104" s="90" t="s">
        <v>44</v>
      </c>
      <c r="B104" s="1684" t="s">
        <v>597</v>
      </c>
      <c r="C104" s="90" t="s">
        <v>44</v>
      </c>
    </row>
    <row r="105" spans="1:3">
      <c r="A105" s="90" t="s">
        <v>167</v>
      </c>
      <c r="B105" s="1684" t="s">
        <v>597</v>
      </c>
      <c r="C105" s="90" t="s">
        <v>167</v>
      </c>
    </row>
    <row r="106" spans="1:3">
      <c r="A106" s="90" t="s">
        <v>38</v>
      </c>
      <c r="B106" s="1684" t="s">
        <v>597</v>
      </c>
      <c r="C106" s="90" t="s">
        <v>38</v>
      </c>
    </row>
    <row r="107" spans="1:3">
      <c r="A107" s="90" t="s">
        <v>169</v>
      </c>
      <c r="B107" s="1684" t="s">
        <v>597</v>
      </c>
      <c r="C107" s="90" t="s">
        <v>169</v>
      </c>
    </row>
    <row r="108" spans="1:3">
      <c r="A108" s="90" t="s">
        <v>33</v>
      </c>
      <c r="B108" s="1684" t="s">
        <v>597</v>
      </c>
      <c r="C108" s="90" t="s">
        <v>33</v>
      </c>
    </row>
    <row r="109" spans="1:3">
      <c r="A109" s="90" t="s">
        <v>85</v>
      </c>
      <c r="B109" s="1684" t="s">
        <v>597</v>
      </c>
      <c r="C109" s="90" t="s">
        <v>85</v>
      </c>
    </row>
    <row r="110" spans="1:3">
      <c r="A110" s="90" t="s">
        <v>258</v>
      </c>
      <c r="B110" s="1684" t="s">
        <v>597</v>
      </c>
      <c r="C110" s="90" t="s">
        <v>258</v>
      </c>
    </row>
    <row r="111" spans="1:3">
      <c r="A111" s="90" t="s">
        <v>173</v>
      </c>
      <c r="B111" s="1684" t="s">
        <v>597</v>
      </c>
      <c r="C111" s="90" t="s">
        <v>173</v>
      </c>
    </row>
    <row r="112" spans="1:3">
      <c r="A112" s="90" t="s">
        <v>1033</v>
      </c>
      <c r="B112" s="1684" t="s">
        <v>597</v>
      </c>
      <c r="C112" s="90" t="s">
        <v>1033</v>
      </c>
    </row>
    <row r="113" spans="1:3">
      <c r="A113" s="90" t="s">
        <v>177</v>
      </c>
      <c r="B113" s="1684" t="s">
        <v>597</v>
      </c>
      <c r="C113" s="90" t="s">
        <v>177</v>
      </c>
    </row>
    <row r="114" spans="1:3">
      <c r="A114" s="90" t="s">
        <v>179</v>
      </c>
      <c r="B114" s="1684" t="s">
        <v>597</v>
      </c>
      <c r="C114" s="90" t="s">
        <v>179</v>
      </c>
    </row>
    <row r="115" spans="1:3">
      <c r="A115" s="90" t="s">
        <v>181</v>
      </c>
      <c r="B115" s="1684" t="s">
        <v>597</v>
      </c>
      <c r="C115" s="90" t="s">
        <v>181</v>
      </c>
    </row>
    <row r="116" spans="1:3">
      <c r="A116" s="1590" t="s">
        <v>86</v>
      </c>
      <c r="B116" s="1684" t="s">
        <v>596</v>
      </c>
      <c r="C116" s="1590" t="s">
        <v>1083</v>
      </c>
    </row>
    <row r="117" spans="1:3">
      <c r="A117" s="90" t="s">
        <v>1034</v>
      </c>
      <c r="B117" s="1684" t="s">
        <v>597</v>
      </c>
      <c r="C117" s="90" t="s">
        <v>1034</v>
      </c>
    </row>
    <row r="118" spans="1:3">
      <c r="A118" s="90" t="s">
        <v>185</v>
      </c>
      <c r="B118" s="1684" t="s">
        <v>597</v>
      </c>
      <c r="C118" s="90" t="s">
        <v>185</v>
      </c>
    </row>
    <row r="119" spans="1:3">
      <c r="A119" s="90" t="s">
        <v>87</v>
      </c>
      <c r="B119" s="1684" t="s">
        <v>597</v>
      </c>
      <c r="C119" s="90" t="s">
        <v>87</v>
      </c>
    </row>
    <row r="120" spans="1:3">
      <c r="A120" s="90" t="s">
        <v>16</v>
      </c>
      <c r="B120" s="1684" t="s">
        <v>597</v>
      </c>
      <c r="C120" s="90" t="s">
        <v>16</v>
      </c>
    </row>
    <row r="121" spans="1:3">
      <c r="A121" s="90" t="s">
        <v>28</v>
      </c>
      <c r="B121" s="1684" t="s">
        <v>597</v>
      </c>
      <c r="C121" s="90" t="s">
        <v>28</v>
      </c>
    </row>
    <row r="122" spans="1:3">
      <c r="A122" s="1590" t="s">
        <v>1357</v>
      </c>
      <c r="B122" s="1684" t="s">
        <v>596</v>
      </c>
      <c r="C122" s="1590" t="s">
        <v>1167</v>
      </c>
    </row>
    <row r="123" spans="1:3">
      <c r="A123" s="90" t="s">
        <v>1037</v>
      </c>
      <c r="B123" s="1684" t="s">
        <v>596</v>
      </c>
      <c r="C123" s="1590" t="s">
        <v>253</v>
      </c>
    </row>
    <row r="124" spans="1:3">
      <c r="A124" s="1590" t="s">
        <v>867</v>
      </c>
      <c r="B124" s="1684" t="s">
        <v>597</v>
      </c>
      <c r="C124" s="1590" t="s">
        <v>867</v>
      </c>
    </row>
    <row r="125" spans="1:3">
      <c r="A125" s="90" t="s">
        <v>88</v>
      </c>
      <c r="B125" s="1684" t="s">
        <v>597</v>
      </c>
      <c r="C125" s="90" t="s">
        <v>88</v>
      </c>
    </row>
    <row r="126" spans="1:3">
      <c r="A126" s="90" t="s">
        <v>89</v>
      </c>
      <c r="B126" s="1684" t="s">
        <v>597</v>
      </c>
      <c r="C126" s="90" t="s">
        <v>89</v>
      </c>
    </row>
    <row r="127" spans="1:3">
      <c r="A127" s="1590" t="s">
        <v>1041</v>
      </c>
      <c r="B127" s="1684" t="s">
        <v>596</v>
      </c>
      <c r="C127" s="1590" t="s">
        <v>1041</v>
      </c>
    </row>
    <row r="128" spans="1:3">
      <c r="A128" s="1590" t="s">
        <v>196</v>
      </c>
      <c r="B128" s="1684" t="s">
        <v>596</v>
      </c>
      <c r="C128" s="1590" t="s">
        <v>26</v>
      </c>
    </row>
    <row r="129" spans="1:3">
      <c r="A129" s="90" t="s">
        <v>39</v>
      </c>
      <c r="B129" s="1684" t="s">
        <v>596</v>
      </c>
      <c r="C129" s="1590" t="s">
        <v>26</v>
      </c>
    </row>
    <row r="130" spans="1:3">
      <c r="A130" s="90" t="s">
        <v>1176</v>
      </c>
      <c r="B130" s="1684" t="s">
        <v>597</v>
      </c>
      <c r="C130" s="90" t="s">
        <v>1176</v>
      </c>
    </row>
    <row r="131" spans="1:3">
      <c r="A131" s="90" t="s">
        <v>201</v>
      </c>
      <c r="B131" s="1684" t="s">
        <v>597</v>
      </c>
      <c r="C131" s="90" t="s">
        <v>201</v>
      </c>
    </row>
    <row r="132" spans="1:3">
      <c r="A132" s="90" t="s">
        <v>90</v>
      </c>
      <c r="B132" s="1684" t="s">
        <v>597</v>
      </c>
      <c r="C132" s="90" t="s">
        <v>90</v>
      </c>
    </row>
    <row r="133" spans="1:3">
      <c r="A133" s="1590" t="s">
        <v>1044</v>
      </c>
      <c r="B133" s="1684" t="s">
        <v>596</v>
      </c>
      <c r="C133" s="1590" t="s">
        <v>1044</v>
      </c>
    </row>
    <row r="134" spans="1:3">
      <c r="A134" s="90" t="s">
        <v>250</v>
      </c>
      <c r="B134" s="1684" t="s">
        <v>597</v>
      </c>
      <c r="C134" s="90" t="s">
        <v>250</v>
      </c>
    </row>
    <row r="135" spans="1:3">
      <c r="A135" s="1590" t="s">
        <v>91</v>
      </c>
      <c r="B135" s="1684" t="s">
        <v>596</v>
      </c>
      <c r="C135" s="1590" t="s">
        <v>108</v>
      </c>
    </row>
    <row r="136" spans="1:3">
      <c r="A136" s="90" t="s">
        <v>203</v>
      </c>
      <c r="B136" s="1684" t="s">
        <v>597</v>
      </c>
      <c r="C136" s="90" t="s">
        <v>203</v>
      </c>
    </row>
    <row r="137" spans="1:3">
      <c r="A137" s="90" t="s">
        <v>35</v>
      </c>
      <c r="B137" s="1684" t="s">
        <v>597</v>
      </c>
      <c r="C137" s="90" t="s">
        <v>35</v>
      </c>
    </row>
    <row r="138" spans="1:3">
      <c r="A138" s="90" t="s">
        <v>31</v>
      </c>
      <c r="B138" s="1684" t="s">
        <v>597</v>
      </c>
      <c r="C138" s="90" t="s">
        <v>31</v>
      </c>
    </row>
    <row r="139" spans="1:3">
      <c r="A139" s="90" t="s">
        <v>21</v>
      </c>
      <c r="B139" s="1684" t="s">
        <v>597</v>
      </c>
      <c r="C139" s="90" t="s">
        <v>21</v>
      </c>
    </row>
    <row r="140" spans="1:3">
      <c r="A140" s="1590" t="s">
        <v>1048</v>
      </c>
      <c r="B140" s="1684" t="s">
        <v>596</v>
      </c>
      <c r="C140" s="1590" t="s">
        <v>1044</v>
      </c>
    </row>
    <row r="141" spans="1:3">
      <c r="A141" s="90" t="s">
        <v>92</v>
      </c>
      <c r="B141" s="1684" t="s">
        <v>597</v>
      </c>
      <c r="C141" s="90" t="s">
        <v>92</v>
      </c>
    </row>
    <row r="142" spans="1:3">
      <c r="A142" s="1590" t="s">
        <v>1050</v>
      </c>
      <c r="B142" s="1684" t="s">
        <v>596</v>
      </c>
      <c r="C142" s="1590" t="s">
        <v>1050</v>
      </c>
    </row>
    <row r="143" spans="1:3">
      <c r="A143" s="1590" t="s">
        <v>1181</v>
      </c>
      <c r="B143" s="1684" t="s">
        <v>596</v>
      </c>
      <c r="C143" s="1590" t="s">
        <v>1050</v>
      </c>
    </row>
    <row r="144" spans="1:3">
      <c r="A144" s="1590" t="s">
        <v>1182</v>
      </c>
      <c r="B144" s="1684" t="s">
        <v>596</v>
      </c>
      <c r="C144" s="1590" t="s">
        <v>1050</v>
      </c>
    </row>
    <row r="145" spans="1:3">
      <c r="A145" s="90" t="s">
        <v>209</v>
      </c>
      <c r="B145" s="1684" t="s">
        <v>597</v>
      </c>
      <c r="C145" s="90" t="s">
        <v>209</v>
      </c>
    </row>
    <row r="146" spans="1:3">
      <c r="A146" s="90" t="s">
        <v>93</v>
      </c>
      <c r="B146" s="1684" t="s">
        <v>597</v>
      </c>
      <c r="C146" s="90" t="s">
        <v>93</v>
      </c>
    </row>
    <row r="147" spans="1:3">
      <c r="A147" s="90" t="s">
        <v>214</v>
      </c>
      <c r="B147" s="1684" t="s">
        <v>597</v>
      </c>
      <c r="C147" s="90" t="s">
        <v>214</v>
      </c>
    </row>
    <row r="148" spans="1:3">
      <c r="A148" s="1590" t="s">
        <v>94</v>
      </c>
      <c r="B148" s="1684" t="s">
        <v>596</v>
      </c>
      <c r="C148" s="1590" t="s">
        <v>83</v>
      </c>
    </row>
    <row r="149" spans="1:3">
      <c r="A149" s="90" t="s">
        <v>29</v>
      </c>
      <c r="B149" s="1684" t="s">
        <v>597</v>
      </c>
      <c r="C149" s="90" t="s">
        <v>29</v>
      </c>
    </row>
    <row r="150" spans="1:3">
      <c r="A150" s="1590" t="s">
        <v>1052</v>
      </c>
      <c r="B150" s="1684" t="s">
        <v>596</v>
      </c>
      <c r="C150" s="1590" t="s">
        <v>26</v>
      </c>
    </row>
    <row r="151" spans="1:3">
      <c r="A151" s="90" t="s">
        <v>217</v>
      </c>
      <c r="B151" s="1684" t="s">
        <v>597</v>
      </c>
      <c r="C151" s="90" t="s">
        <v>217</v>
      </c>
    </row>
    <row r="152" spans="1:3">
      <c r="A152" s="90" t="s">
        <v>45</v>
      </c>
      <c r="B152" s="1684" t="s">
        <v>597</v>
      </c>
      <c r="C152" s="90" t="s">
        <v>45</v>
      </c>
    </row>
    <row r="153" spans="1:3">
      <c r="A153" s="90" t="s">
        <v>1054</v>
      </c>
      <c r="B153" s="1684" t="s">
        <v>597</v>
      </c>
      <c r="C153" s="90" t="s">
        <v>1054</v>
      </c>
    </row>
    <row r="154" spans="1:3">
      <c r="A154" s="90" t="s">
        <v>1055</v>
      </c>
      <c r="B154" s="1684" t="s">
        <v>597</v>
      </c>
      <c r="C154" s="90" t="s">
        <v>1055</v>
      </c>
    </row>
    <row r="155" spans="1:3">
      <c r="A155" s="1590" t="s">
        <v>550</v>
      </c>
      <c r="B155" s="1684" t="s">
        <v>596</v>
      </c>
      <c r="C155" s="1590" t="s">
        <v>296</v>
      </c>
    </row>
    <row r="156" spans="1:3">
      <c r="A156" s="90" t="s">
        <v>220</v>
      </c>
      <c r="B156" s="1684" t="s">
        <v>597</v>
      </c>
      <c r="C156" s="90" t="s">
        <v>220</v>
      </c>
    </row>
    <row r="157" spans="1:3">
      <c r="A157" s="90" t="s">
        <v>95</v>
      </c>
      <c r="B157" s="1684" t="s">
        <v>597</v>
      </c>
      <c r="C157" s="90" t="s">
        <v>95</v>
      </c>
    </row>
    <row r="158" spans="1:3">
      <c r="A158" s="1590" t="s">
        <v>96</v>
      </c>
      <c r="B158" s="1684" t="s">
        <v>596</v>
      </c>
      <c r="C158" s="1590" t="s">
        <v>1062</v>
      </c>
    </row>
    <row r="159" spans="1:3">
      <c r="A159" s="90" t="s">
        <v>210</v>
      </c>
      <c r="B159" s="1684" t="s">
        <v>597</v>
      </c>
      <c r="C159" s="90" t="s">
        <v>210</v>
      </c>
    </row>
    <row r="160" spans="1:3">
      <c r="A160" s="90" t="s">
        <v>211</v>
      </c>
      <c r="B160" s="1684" t="s">
        <v>597</v>
      </c>
      <c r="C160" s="90" t="s">
        <v>211</v>
      </c>
    </row>
    <row r="161" spans="1:3">
      <c r="A161" s="90" t="s">
        <v>233</v>
      </c>
      <c r="B161" s="1684" t="s">
        <v>597</v>
      </c>
      <c r="C161" s="90" t="s">
        <v>233</v>
      </c>
    </row>
    <row r="162" spans="1:3">
      <c r="A162" s="90" t="s">
        <v>223</v>
      </c>
      <c r="B162" s="1684" t="s">
        <v>597</v>
      </c>
      <c r="C162" s="90" t="s">
        <v>223</v>
      </c>
    </row>
    <row r="163" spans="1:3">
      <c r="A163" s="1590" t="s">
        <v>1059</v>
      </c>
      <c r="B163" s="1684" t="s">
        <v>596</v>
      </c>
      <c r="C163" s="1590" t="s">
        <v>549</v>
      </c>
    </row>
    <row r="164" spans="1:3">
      <c r="A164" s="90" t="s">
        <v>27</v>
      </c>
      <c r="B164" s="1684" t="s">
        <v>597</v>
      </c>
      <c r="C164" s="90" t="s">
        <v>27</v>
      </c>
    </row>
    <row r="165" spans="1:3">
      <c r="A165" s="90" t="s">
        <v>190</v>
      </c>
      <c r="B165" s="1684" t="s">
        <v>597</v>
      </c>
      <c r="C165" s="90" t="s">
        <v>190</v>
      </c>
    </row>
    <row r="166" spans="1:3">
      <c r="A166" s="90" t="s">
        <v>34</v>
      </c>
      <c r="B166" s="1684" t="s">
        <v>597</v>
      </c>
      <c r="C166" s="90" t="s">
        <v>34</v>
      </c>
    </row>
    <row r="167" spans="1:3">
      <c r="A167" s="90" t="s">
        <v>97</v>
      </c>
      <c r="B167" s="1684" t="s">
        <v>597</v>
      </c>
      <c r="C167" s="90" t="s">
        <v>97</v>
      </c>
    </row>
    <row r="168" spans="1:3">
      <c r="A168" s="90" t="s">
        <v>1061</v>
      </c>
      <c r="B168" s="1684" t="s">
        <v>597</v>
      </c>
      <c r="C168" s="90" t="s">
        <v>1061</v>
      </c>
    </row>
    <row r="169" spans="1:3">
      <c r="A169" s="1590" t="s">
        <v>1062</v>
      </c>
      <c r="B169" s="1684" t="s">
        <v>596</v>
      </c>
      <c r="C169" s="1590" t="s">
        <v>1062</v>
      </c>
    </row>
    <row r="170" spans="1:3">
      <c r="A170" s="90" t="s">
        <v>1063</v>
      </c>
      <c r="B170" s="1684" t="s">
        <v>597</v>
      </c>
      <c r="C170" s="90" t="s">
        <v>1063</v>
      </c>
    </row>
    <row r="171" spans="1:3">
      <c r="A171" s="90" t="s">
        <v>1064</v>
      </c>
      <c r="B171" s="1684" t="s">
        <v>597</v>
      </c>
      <c r="C171" s="90" t="s">
        <v>1064</v>
      </c>
    </row>
    <row r="172" spans="1:3">
      <c r="A172" s="90" t="s">
        <v>227</v>
      </c>
      <c r="B172" s="1684" t="s">
        <v>597</v>
      </c>
      <c r="C172" s="90" t="s">
        <v>227</v>
      </c>
    </row>
    <row r="173" spans="1:3">
      <c r="A173" s="90" t="s">
        <v>98</v>
      </c>
      <c r="B173" s="1684" t="s">
        <v>597</v>
      </c>
      <c r="C173" s="90" t="s">
        <v>98</v>
      </c>
    </row>
    <row r="174" spans="1:3">
      <c r="A174" s="90" t="s">
        <v>99</v>
      </c>
      <c r="B174" s="1684" t="s">
        <v>597</v>
      </c>
      <c r="C174" s="90" t="s">
        <v>99</v>
      </c>
    </row>
    <row r="175" spans="1:3">
      <c r="A175" s="90" t="s">
        <v>100</v>
      </c>
      <c r="B175" s="1684" t="s">
        <v>597</v>
      </c>
      <c r="C175" s="90" t="s">
        <v>100</v>
      </c>
    </row>
    <row r="176" spans="1:3">
      <c r="A176" s="90" t="s">
        <v>101</v>
      </c>
      <c r="B176" s="1684" t="s">
        <v>597</v>
      </c>
      <c r="C176" s="90" t="s">
        <v>101</v>
      </c>
    </row>
    <row r="177" spans="1:3">
      <c r="A177" s="90" t="s">
        <v>102</v>
      </c>
      <c r="B177" s="1684" t="s">
        <v>597</v>
      </c>
      <c r="C177" s="90" t="s">
        <v>102</v>
      </c>
    </row>
    <row r="178" spans="1:3">
      <c r="A178" s="1590" t="s">
        <v>2110</v>
      </c>
      <c r="B178" s="1684" t="s">
        <v>596</v>
      </c>
      <c r="C178" s="1590" t="s">
        <v>1167</v>
      </c>
    </row>
    <row r="179" spans="1:3">
      <c r="A179" s="90" t="s">
        <v>103</v>
      </c>
      <c r="B179" s="1684" t="s">
        <v>597</v>
      </c>
      <c r="C179" s="90" t="s">
        <v>103</v>
      </c>
    </row>
    <row r="180" spans="1:3">
      <c r="A180" s="1590" t="s">
        <v>32</v>
      </c>
      <c r="B180" s="1684" t="s">
        <v>596</v>
      </c>
      <c r="C180" s="1590" t="s">
        <v>32</v>
      </c>
    </row>
    <row r="181" spans="1:3">
      <c r="A181" s="1590" t="s">
        <v>20</v>
      </c>
      <c r="B181" s="1684" t="s">
        <v>596</v>
      </c>
      <c r="C181" s="1590" t="s">
        <v>20</v>
      </c>
    </row>
    <row r="182" spans="1:3">
      <c r="A182" s="1590" t="s">
        <v>253</v>
      </c>
      <c r="B182" s="1684" t="s">
        <v>596</v>
      </c>
      <c r="C182" s="1590" t="s">
        <v>253</v>
      </c>
    </row>
    <row r="183" spans="1:3">
      <c r="A183" s="90" t="s">
        <v>191</v>
      </c>
      <c r="B183" s="1684" t="s">
        <v>597</v>
      </c>
      <c r="C183" s="90" t="s">
        <v>191</v>
      </c>
    </row>
    <row r="184" spans="1:3">
      <c r="A184" s="1590" t="s">
        <v>1072</v>
      </c>
      <c r="B184" s="1684" t="s">
        <v>596</v>
      </c>
      <c r="C184" s="1590" t="s">
        <v>1041</v>
      </c>
    </row>
    <row r="185" spans="1:3">
      <c r="A185" s="90" t="s">
        <v>106</v>
      </c>
      <c r="B185" s="1684" t="s">
        <v>597</v>
      </c>
      <c r="C185" s="90" t="s">
        <v>106</v>
      </c>
    </row>
    <row r="186" spans="1:3">
      <c r="A186" s="1590" t="s">
        <v>411</v>
      </c>
      <c r="B186" s="1684" t="s">
        <v>597</v>
      </c>
      <c r="C186" s="1590" t="s">
        <v>411</v>
      </c>
    </row>
    <row r="187" spans="1:3">
      <c r="A187" s="90" t="s">
        <v>192</v>
      </c>
      <c r="B187" s="1684" t="s">
        <v>597</v>
      </c>
      <c r="C187" s="90" t="s">
        <v>192</v>
      </c>
    </row>
    <row r="188" spans="1:3">
      <c r="A188" s="90" t="s">
        <v>231</v>
      </c>
      <c r="B188" s="1684" t="s">
        <v>597</v>
      </c>
      <c r="C188" s="90" t="s">
        <v>231</v>
      </c>
    </row>
    <row r="189" spans="1:3">
      <c r="A189" s="1590" t="s">
        <v>1076</v>
      </c>
      <c r="B189" s="1684" t="s">
        <v>596</v>
      </c>
      <c r="C189" s="1590" t="s">
        <v>13</v>
      </c>
    </row>
    <row r="190" spans="1:3">
      <c r="A190" s="90" t="s">
        <v>235</v>
      </c>
      <c r="B190" s="1684" t="s">
        <v>597</v>
      </c>
      <c r="C190" s="90" t="s">
        <v>235</v>
      </c>
    </row>
    <row r="191" spans="1:3">
      <c r="A191" s="90" t="s">
        <v>237</v>
      </c>
      <c r="B191" s="1684" t="s">
        <v>597</v>
      </c>
      <c r="C191" s="90" t="s">
        <v>237</v>
      </c>
    </row>
    <row r="192" spans="1:3">
      <c r="A192" s="1590" t="s">
        <v>1077</v>
      </c>
      <c r="B192" s="1684" t="s">
        <v>596</v>
      </c>
      <c r="C192" s="1590" t="s">
        <v>1167</v>
      </c>
    </row>
    <row r="193" spans="1:3">
      <c r="A193" s="90" t="s">
        <v>254</v>
      </c>
      <c r="B193" s="1684" t="s">
        <v>597</v>
      </c>
      <c r="C193" s="90" t="s">
        <v>254</v>
      </c>
    </row>
    <row r="194" spans="1:3">
      <c r="A194" s="90" t="s">
        <v>239</v>
      </c>
      <c r="B194" s="1684" t="s">
        <v>597</v>
      </c>
      <c r="C194" s="90" t="s">
        <v>239</v>
      </c>
    </row>
    <row r="195" spans="1:3">
      <c r="A195" s="1590" t="s">
        <v>66</v>
      </c>
      <c r="B195" s="1684" t="s">
        <v>596</v>
      </c>
      <c r="C195" s="1590" t="s">
        <v>13</v>
      </c>
    </row>
    <row r="196" spans="1:3">
      <c r="A196" s="1590" t="s">
        <v>423</v>
      </c>
      <c r="B196" s="1684" t="s">
        <v>596</v>
      </c>
      <c r="C196" s="1590" t="s">
        <v>57</v>
      </c>
    </row>
    <row r="197" spans="1:3">
      <c r="A197" s="90" t="s">
        <v>107</v>
      </c>
      <c r="B197" s="1684" t="s">
        <v>597</v>
      </c>
      <c r="C197" s="90" t="s">
        <v>107</v>
      </c>
    </row>
    <row r="198" spans="1:3">
      <c r="A198" s="1590" t="s">
        <v>13</v>
      </c>
      <c r="B198" s="1684" t="s">
        <v>596</v>
      </c>
      <c r="C198" s="1590" t="s">
        <v>13</v>
      </c>
    </row>
    <row r="199" spans="1:3">
      <c r="A199" s="1590" t="s">
        <v>108</v>
      </c>
      <c r="B199" s="1684" t="s">
        <v>596</v>
      </c>
      <c r="C199" s="1590" t="s">
        <v>108</v>
      </c>
    </row>
    <row r="200" spans="1:3">
      <c r="A200" s="90" t="s">
        <v>241</v>
      </c>
      <c r="B200" s="1684" t="s">
        <v>597</v>
      </c>
      <c r="C200" s="90" t="s">
        <v>241</v>
      </c>
    </row>
    <row r="201" spans="1:3">
      <c r="A201" s="90" t="s">
        <v>243</v>
      </c>
      <c r="B201" s="1684" t="s">
        <v>597</v>
      </c>
      <c r="C201" s="90" t="s">
        <v>243</v>
      </c>
    </row>
    <row r="202" spans="1:3">
      <c r="A202" s="1590" t="s">
        <v>1080</v>
      </c>
      <c r="B202" s="1684" t="s">
        <v>596</v>
      </c>
      <c r="C202" s="1590" t="s">
        <v>108</v>
      </c>
    </row>
    <row r="203" spans="1:3">
      <c r="A203" s="90" t="s">
        <v>245</v>
      </c>
      <c r="B203" s="1684" t="s">
        <v>597</v>
      </c>
      <c r="C203" s="90" t="s">
        <v>245</v>
      </c>
    </row>
    <row r="204" spans="1:3">
      <c r="A204" s="90" t="s">
        <v>22</v>
      </c>
      <c r="B204" s="1684" t="s">
        <v>597</v>
      </c>
      <c r="C204" s="90" t="s">
        <v>22</v>
      </c>
    </row>
    <row r="205" spans="1:3">
      <c r="A205" s="90" t="s">
        <v>36</v>
      </c>
      <c r="B205" s="1684" t="s">
        <v>597</v>
      </c>
      <c r="C205" s="90" t="s">
        <v>36</v>
      </c>
    </row>
    <row r="206" spans="1:3">
      <c r="A206" s="90" t="s">
        <v>36</v>
      </c>
      <c r="B206" s="1684" t="s">
        <v>597</v>
      </c>
      <c r="C206" s="90" t="s">
        <v>36</v>
      </c>
    </row>
    <row r="207" spans="1:3">
      <c r="A207" s="1590" t="s">
        <v>1083</v>
      </c>
      <c r="B207" s="1684" t="s">
        <v>596</v>
      </c>
      <c r="C207" s="1590" t="s">
        <v>1083</v>
      </c>
    </row>
    <row r="208" spans="1:3">
      <c r="A208" s="1590" t="s">
        <v>1084</v>
      </c>
      <c r="B208" s="1684" t="s">
        <v>596</v>
      </c>
      <c r="C208" s="1590" t="s">
        <v>1084</v>
      </c>
    </row>
    <row r="209" spans="1:3">
      <c r="A209" s="90" t="s">
        <v>414</v>
      </c>
      <c r="B209" s="1684" t="s">
        <v>597</v>
      </c>
      <c r="C209" s="90" t="s">
        <v>414</v>
      </c>
    </row>
    <row r="210" spans="1:3">
      <c r="A210" s="90" t="s">
        <v>212</v>
      </c>
      <c r="B210" s="1684" t="s">
        <v>597</v>
      </c>
      <c r="C210" s="90" t="s">
        <v>212</v>
      </c>
    </row>
    <row r="211" spans="1:3">
      <c r="A211" s="90" t="s">
        <v>110</v>
      </c>
      <c r="B211" s="1684" t="s">
        <v>597</v>
      </c>
      <c r="C211" s="90" t="s">
        <v>110</v>
      </c>
    </row>
    <row r="212" spans="1:3">
      <c r="A212" s="90" t="s">
        <v>68</v>
      </c>
      <c r="B212" s="1684" t="s">
        <v>597</v>
      </c>
      <c r="C212" s="90" t="s">
        <v>68</v>
      </c>
    </row>
    <row r="213" spans="1:3">
      <c r="A213" s="90" t="s">
        <v>261</v>
      </c>
      <c r="B213" s="1684" t="s">
        <v>597</v>
      </c>
      <c r="C213" s="90" t="s">
        <v>261</v>
      </c>
    </row>
    <row r="214" spans="1:3">
      <c r="A214" s="1590" t="s">
        <v>1171</v>
      </c>
      <c r="B214" s="1684" t="s">
        <v>596</v>
      </c>
      <c r="C214" s="1590" t="s">
        <v>549</v>
      </c>
    </row>
    <row r="215" spans="1:3">
      <c r="A215" s="1590" t="s">
        <v>552</v>
      </c>
      <c r="B215" s="1684" t="s">
        <v>596</v>
      </c>
      <c r="C215" s="1590" t="s">
        <v>296</v>
      </c>
    </row>
    <row r="216" spans="1:3">
      <c r="A216" s="90" t="s">
        <v>25</v>
      </c>
      <c r="B216" s="1684" t="s">
        <v>597</v>
      </c>
      <c r="C216" s="90" t="s">
        <v>25</v>
      </c>
    </row>
    <row r="217" spans="1:3">
      <c r="A217" s="159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K96"/>
  <sheetViews>
    <sheetView topLeftCell="A19" workbookViewId="0">
      <selection activeCell="U38" sqref="U38"/>
    </sheetView>
  </sheetViews>
  <sheetFormatPr defaultRowHeight="12.75"/>
  <cols>
    <col min="1" max="2" width="17.5703125" style="90" customWidth="1"/>
    <col min="3" max="3" width="12.5703125" style="90" customWidth="1"/>
    <col min="4" max="4" width="10.7109375" style="90" customWidth="1"/>
    <col min="5" max="5" width="13.28515625" style="90" customWidth="1"/>
    <col min="6" max="6" width="13.5703125" style="90" customWidth="1"/>
    <col min="7" max="7" width="11.5703125" style="90" customWidth="1"/>
    <col min="8" max="8" width="10.140625" style="90" customWidth="1"/>
    <col min="9" max="9" width="12.28515625" style="90" customWidth="1"/>
    <col min="10" max="10" width="13.7109375" style="90" customWidth="1"/>
    <col min="11" max="11" width="12.28515625" style="90" customWidth="1"/>
    <col min="12" max="12" width="12" style="90" bestFit="1" customWidth="1"/>
    <col min="13" max="13" width="12.5703125" style="90" customWidth="1"/>
    <col min="14" max="14" width="9.5703125" style="90" customWidth="1"/>
    <col min="15" max="15" width="13.85546875" style="90" customWidth="1"/>
    <col min="16" max="16" width="12.140625" style="90" customWidth="1"/>
    <col min="17" max="20" width="9.140625" style="8"/>
    <col min="21" max="21" width="10" style="8" customWidth="1"/>
    <col min="22" max="58" width="9.140625" style="8"/>
    <col min="59" max="16384" width="9.140625" style="90"/>
  </cols>
  <sheetData>
    <row r="1" spans="1:59" ht="15.75" thickBot="1">
      <c r="A1" s="1956" t="s">
        <v>1184</v>
      </c>
      <c r="B1" s="1957"/>
      <c r="C1" s="1957"/>
      <c r="D1" s="1957"/>
      <c r="E1" s="1957"/>
      <c r="F1" s="1957"/>
      <c r="G1" s="1957"/>
      <c r="H1" s="1957"/>
      <c r="I1" s="1957"/>
      <c r="J1" s="1957"/>
      <c r="K1" s="1957"/>
      <c r="L1" s="1957"/>
      <c r="M1" s="1957"/>
      <c r="N1" s="1957"/>
      <c r="O1" s="1957"/>
      <c r="P1" s="1958"/>
    </row>
    <row r="3" spans="1:59">
      <c r="A3" s="9"/>
      <c r="B3" s="9"/>
      <c r="C3" s="8"/>
      <c r="O3" s="8"/>
      <c r="P3" s="8"/>
    </row>
    <row r="4" spans="1:59" ht="12.75" customHeight="1" thickBot="1">
      <c r="A4" s="1980" t="s">
        <v>1185</v>
      </c>
      <c r="B4" s="1980"/>
      <c r="C4" s="1981"/>
      <c r="D4" s="1981"/>
      <c r="E4" s="1981"/>
      <c r="F4" s="1981"/>
      <c r="G4" s="1981"/>
      <c r="H4" s="1981"/>
      <c r="O4" s="582"/>
      <c r="P4" s="582"/>
      <c r="Q4" s="582"/>
    </row>
    <row r="5" spans="1:59" ht="13.5" customHeight="1">
      <c r="A5" s="1653" t="s">
        <v>1971</v>
      </c>
      <c r="B5" s="1652" t="s">
        <v>1186</v>
      </c>
      <c r="C5" s="849" t="s">
        <v>644</v>
      </c>
      <c r="D5" s="834" t="s">
        <v>1187</v>
      </c>
      <c r="E5" s="1685" t="s">
        <v>1200</v>
      </c>
      <c r="F5" s="834" t="s">
        <v>375</v>
      </c>
      <c r="G5" s="834" t="s">
        <v>659</v>
      </c>
      <c r="H5" s="850" t="s">
        <v>1188</v>
      </c>
      <c r="I5" s="1337" t="s">
        <v>1189</v>
      </c>
      <c r="J5" s="437" t="s">
        <v>2308</v>
      </c>
      <c r="P5" s="851"/>
      <c r="Q5" s="851"/>
      <c r="R5" s="851"/>
      <c r="BG5" s="8"/>
    </row>
    <row r="6" spans="1:59" ht="13.5" customHeight="1">
      <c r="A6" s="852">
        <v>1991</v>
      </c>
      <c r="B6" s="1866">
        <v>-11</v>
      </c>
      <c r="C6" s="498">
        <f>VLOOKUP(Community_Name,'Population Forecast'!$A$2:$AZ$267,B6+13,FALSE)</f>
        <v>105</v>
      </c>
      <c r="D6" s="1848"/>
      <c r="E6" s="1848"/>
      <c r="F6" s="1848"/>
      <c r="G6" s="1848"/>
      <c r="H6" s="1852"/>
      <c r="I6" s="1867"/>
      <c r="J6" s="1852"/>
      <c r="P6" s="851"/>
      <c r="Q6" s="851"/>
      <c r="R6" s="851"/>
      <c r="BG6" s="8"/>
    </row>
    <row r="7" spans="1:59" ht="13.5" customHeight="1">
      <c r="A7" s="852">
        <v>1992</v>
      </c>
      <c r="B7" s="1866">
        <v>-10</v>
      </c>
      <c r="C7" s="498">
        <f>VLOOKUP(Community_Name,'Population Forecast'!$A$2:$AZ$267,B7+13,FALSE)</f>
        <v>107</v>
      </c>
      <c r="D7" s="1848"/>
      <c r="E7" s="1848"/>
      <c r="F7" s="1848"/>
      <c r="G7" s="1848"/>
      <c r="H7" s="1852"/>
      <c r="I7" s="1867"/>
      <c r="J7" s="1852"/>
      <c r="P7" s="851"/>
      <c r="Q7" s="851"/>
      <c r="R7" s="851"/>
      <c r="BG7" s="8"/>
    </row>
    <row r="8" spans="1:59" ht="13.5" customHeight="1">
      <c r="A8" s="852">
        <v>1993</v>
      </c>
      <c r="B8" s="1866">
        <v>-9</v>
      </c>
      <c r="C8" s="498">
        <f>VLOOKUP(Community_Name,'Population Forecast'!$A$2:$AZ$267,B8+13,FALSE)</f>
        <v>109</v>
      </c>
      <c r="D8" s="1848"/>
      <c r="E8" s="1848"/>
      <c r="F8" s="1848"/>
      <c r="G8" s="1848"/>
      <c r="H8" s="1852"/>
      <c r="I8" s="1867"/>
      <c r="J8" s="1852"/>
      <c r="P8" s="851"/>
      <c r="Q8" s="851"/>
      <c r="R8" s="851"/>
      <c r="BG8" s="8"/>
    </row>
    <row r="9" spans="1:59" ht="13.5" customHeight="1">
      <c r="A9" s="852">
        <v>1994</v>
      </c>
      <c r="B9" s="1866">
        <v>-8</v>
      </c>
      <c r="C9" s="498">
        <f>VLOOKUP(Community_Name,'Population Forecast'!$A$2:$AZ$267,B9+13,FALSE)</f>
        <v>106</v>
      </c>
      <c r="D9" s="1848"/>
      <c r="E9" s="1848"/>
      <c r="F9" s="1848"/>
      <c r="G9" s="1848"/>
      <c r="H9" s="1852"/>
      <c r="I9" s="1867"/>
      <c r="J9" s="1852"/>
      <c r="P9" s="851"/>
      <c r="Q9" s="851"/>
      <c r="R9" s="851"/>
      <c r="BG9" s="8"/>
    </row>
    <row r="10" spans="1:59" ht="13.5" customHeight="1">
      <c r="A10" s="852">
        <v>1995</v>
      </c>
      <c r="B10" s="1866">
        <v>-7</v>
      </c>
      <c r="C10" s="498">
        <f>VLOOKUP(Community_Name,'Population Forecast'!$A$2:$AZ$267,B10+13,FALSE)</f>
        <v>95</v>
      </c>
      <c r="D10" s="1848"/>
      <c r="E10" s="1848"/>
      <c r="F10" s="1848"/>
      <c r="G10" s="1848"/>
      <c r="H10" s="1852"/>
      <c r="I10" s="1867"/>
      <c r="J10" s="1852"/>
      <c r="P10" s="851"/>
      <c r="Q10" s="851"/>
      <c r="R10" s="851"/>
      <c r="BG10" s="8"/>
    </row>
    <row r="11" spans="1:59" ht="13.5" customHeight="1">
      <c r="A11" s="852">
        <v>1996</v>
      </c>
      <c r="B11" s="1866">
        <v>-6</v>
      </c>
      <c r="C11" s="498">
        <f>VLOOKUP(Community_Name,'Population Forecast'!$A$2:$AZ$267,B11+13,FALSE)</f>
        <v>99</v>
      </c>
      <c r="D11" s="1848"/>
      <c r="E11" s="1848"/>
      <c r="F11" s="1848"/>
      <c r="G11" s="1848"/>
      <c r="H11" s="1852"/>
      <c r="I11" s="1867"/>
      <c r="J11" s="1852"/>
      <c r="P11" s="851"/>
      <c r="Q11" s="851"/>
      <c r="R11" s="851"/>
      <c r="BG11" s="8"/>
    </row>
    <row r="12" spans="1:59" ht="13.5" customHeight="1">
      <c r="A12" s="852">
        <v>1997</v>
      </c>
      <c r="B12" s="1866">
        <v>-5</v>
      </c>
      <c r="C12" s="498">
        <f>VLOOKUP(Community_Name,'Population Forecast'!$A$2:$AZ$267,B12+13,FALSE)</f>
        <v>90</v>
      </c>
      <c r="D12" s="1848"/>
      <c r="E12" s="1848"/>
      <c r="F12" s="1848"/>
      <c r="G12" s="1848"/>
      <c r="H12" s="1852"/>
      <c r="I12" s="1867"/>
      <c r="J12" s="1852"/>
      <c r="P12" s="851"/>
      <c r="Q12" s="851"/>
      <c r="R12" s="851"/>
      <c r="BG12" s="8"/>
    </row>
    <row r="13" spans="1:59" ht="13.5" customHeight="1">
      <c r="A13" s="852">
        <v>1998</v>
      </c>
      <c r="B13" s="1866">
        <v>-4</v>
      </c>
      <c r="C13" s="498">
        <f>VLOOKUP(Community_Name,'Population Forecast'!$A$2:$AZ$267,B13+13,FALSE)</f>
        <v>95</v>
      </c>
      <c r="D13" s="1848"/>
      <c r="E13" s="1848"/>
      <c r="F13" s="1848"/>
      <c r="G13" s="1848"/>
      <c r="H13" s="1852"/>
      <c r="I13" s="1867"/>
      <c r="J13" s="1852"/>
      <c r="P13" s="851"/>
      <c r="Q13" s="851"/>
      <c r="R13" s="851"/>
      <c r="BG13" s="8"/>
    </row>
    <row r="14" spans="1:59" ht="13.5" customHeight="1">
      <c r="A14" s="852">
        <v>1999</v>
      </c>
      <c r="B14" s="1866">
        <v>-3</v>
      </c>
      <c r="C14" s="498">
        <f>VLOOKUP(Community_Name,'Population Forecast'!$A$2:$AZ$267,B14+13,FALSE)</f>
        <v>88</v>
      </c>
      <c r="D14" s="1848"/>
      <c r="E14" s="1848"/>
      <c r="F14" s="1848"/>
      <c r="G14" s="1848"/>
      <c r="H14" s="1852"/>
      <c r="I14" s="1867"/>
      <c r="J14" s="1852"/>
      <c r="P14" s="851"/>
      <c r="Q14" s="851"/>
      <c r="R14" s="851"/>
      <c r="BG14" s="8"/>
    </row>
    <row r="15" spans="1:59" ht="13.5" customHeight="1">
      <c r="A15" s="852">
        <v>2000</v>
      </c>
      <c r="B15" s="1866">
        <v>-2</v>
      </c>
      <c r="C15" s="498">
        <f>VLOOKUP(Community_Name,'Population Forecast'!$A$2:$AZ$267,B15+13,FALSE)</f>
        <v>72</v>
      </c>
      <c r="D15" s="1848"/>
      <c r="E15" s="1848"/>
      <c r="F15" s="1848"/>
      <c r="G15" s="1848"/>
      <c r="H15" s="1852"/>
      <c r="I15" s="1867"/>
      <c r="J15" s="1852"/>
      <c r="P15" s="851"/>
      <c r="Q15" s="851"/>
      <c r="R15" s="851"/>
      <c r="BG15" s="8"/>
    </row>
    <row r="16" spans="1:59" ht="13.5" customHeight="1">
      <c r="A16" s="852">
        <v>2001</v>
      </c>
      <c r="B16" s="1866">
        <v>-1</v>
      </c>
      <c r="C16" s="498">
        <f>VLOOKUP(Community_Name,'Population Forecast'!$A$2:$AZ$267,B16+13,FALSE)</f>
        <v>74</v>
      </c>
      <c r="D16" s="1848"/>
      <c r="E16" s="1848"/>
      <c r="F16" s="1848"/>
      <c r="G16" s="1848"/>
      <c r="H16" s="1852"/>
      <c r="I16" s="1867"/>
      <c r="J16" s="1852"/>
      <c r="P16" s="851"/>
      <c r="Q16" s="851"/>
      <c r="R16" s="851"/>
      <c r="BG16" s="8"/>
    </row>
    <row r="17" spans="1:59" ht="13.5" customHeight="1">
      <c r="A17" s="852">
        <v>2002</v>
      </c>
      <c r="B17" s="1866">
        <v>0</v>
      </c>
      <c r="C17" s="498">
        <f>VLOOKUP(Community_Name,'Population Forecast'!$A$2:$AZ$267,B17+13,FALSE)</f>
        <v>73</v>
      </c>
      <c r="D17" s="1848"/>
      <c r="E17" s="1848"/>
      <c r="F17" s="1848"/>
      <c r="G17" s="1848"/>
      <c r="H17" s="1852"/>
      <c r="I17" s="1867"/>
      <c r="J17" s="1852"/>
      <c r="P17" s="851"/>
      <c r="Q17" s="851"/>
      <c r="R17" s="851"/>
      <c r="BG17" s="8"/>
    </row>
    <row r="18" spans="1:59" ht="15">
      <c r="A18" s="852">
        <v>2003</v>
      </c>
      <c r="B18" s="1650">
        <v>1</v>
      </c>
      <c r="C18" s="498">
        <f>VLOOKUP(Community_Name,'Population Forecast'!$A$2:$AZ$267,B18+13,FALSE)</f>
        <v>71</v>
      </c>
      <c r="D18" s="225">
        <v>124943</v>
      </c>
      <c r="E18" s="232">
        <f>SUM(F18:H18)</f>
        <v>119078</v>
      </c>
      <c r="F18" s="225">
        <v>107254</v>
      </c>
      <c r="G18" s="225">
        <v>3096</v>
      </c>
      <c r="H18" s="225">
        <v>8728</v>
      </c>
      <c r="I18" s="1338"/>
      <c r="J18" s="232">
        <f>SUM(D18:E18)</f>
        <v>244021</v>
      </c>
      <c r="P18" s="8"/>
      <c r="R18" s="853"/>
      <c r="BG18" s="8"/>
    </row>
    <row r="19" spans="1:59">
      <c r="A19" s="852">
        <v>2004</v>
      </c>
      <c r="B19" s="1650">
        <v>2</v>
      </c>
      <c r="C19" s="498">
        <f>VLOOKUP(Community_Name,'Population Forecast'!$A$2:$AZ$267,B19+13,FALSE)</f>
        <v>75</v>
      </c>
      <c r="D19" s="225">
        <v>125867</v>
      </c>
      <c r="E19" s="232">
        <f t="shared" ref="E19:E28" si="0">SUM(F19:H19)</f>
        <v>119493</v>
      </c>
      <c r="F19" s="225">
        <v>104899</v>
      </c>
      <c r="G19" s="225">
        <v>5057</v>
      </c>
      <c r="H19" s="225">
        <v>9537</v>
      </c>
      <c r="I19" s="1339"/>
      <c r="J19" s="232">
        <f t="shared" ref="J19:J27" si="1">SUM(D19:E19)</f>
        <v>245360</v>
      </c>
      <c r="N19" s="223"/>
      <c r="O19" s="1974" t="s">
        <v>639</v>
      </c>
      <c r="P19" s="1974"/>
      <c r="Q19" s="286"/>
      <c r="R19" s="286"/>
      <c r="BG19" s="8"/>
    </row>
    <row r="20" spans="1:59">
      <c r="A20" s="852">
        <v>2005</v>
      </c>
      <c r="B20" s="1650">
        <v>3</v>
      </c>
      <c r="C20" s="498">
        <f>VLOOKUP(Community_Name,'Population Forecast'!$A$2:$AZ$267,B20+13,FALSE)</f>
        <v>76</v>
      </c>
      <c r="D20" s="225">
        <v>121817</v>
      </c>
      <c r="E20" s="232">
        <f t="shared" si="0"/>
        <v>118511</v>
      </c>
      <c r="F20" s="225">
        <v>98198</v>
      </c>
      <c r="G20" s="225">
        <v>5129</v>
      </c>
      <c r="H20" s="225">
        <v>15184</v>
      </c>
      <c r="I20" s="1338"/>
      <c r="J20" s="232">
        <f t="shared" si="1"/>
        <v>240328</v>
      </c>
      <c r="N20" s="225"/>
      <c r="O20" s="1974" t="s">
        <v>640</v>
      </c>
      <c r="P20" s="1974"/>
      <c r="Q20" s="286"/>
      <c r="BG20" s="8"/>
    </row>
    <row r="21" spans="1:59">
      <c r="A21" s="852">
        <v>2006</v>
      </c>
      <c r="B21" s="1650">
        <v>4</v>
      </c>
      <c r="C21" s="498">
        <f>VLOOKUP(Community_Name,'Population Forecast'!$A$2:$AZ$267,B21+13,FALSE)</f>
        <v>82</v>
      </c>
      <c r="D21" s="225">
        <v>115990</v>
      </c>
      <c r="E21" s="232">
        <f t="shared" si="0"/>
        <v>114459</v>
      </c>
      <c r="F21" s="225">
        <v>95902</v>
      </c>
      <c r="G21" s="225">
        <v>5230</v>
      </c>
      <c r="H21" s="225">
        <v>13327</v>
      </c>
      <c r="I21" s="1338"/>
      <c r="J21" s="232">
        <f t="shared" si="1"/>
        <v>230449</v>
      </c>
      <c r="N21" s="232"/>
      <c r="O21" s="1975" t="s">
        <v>641</v>
      </c>
      <c r="P21" s="1976"/>
      <c r="BG21" s="8"/>
    </row>
    <row r="22" spans="1:59">
      <c r="A22" s="852">
        <v>2007</v>
      </c>
      <c r="B22" s="1650">
        <v>5</v>
      </c>
      <c r="C22" s="498">
        <f>VLOOKUP(Community_Name,'Population Forecast'!$A$2:$AZ$267,B22+13,FALSE)</f>
        <v>76</v>
      </c>
      <c r="D22" s="225">
        <v>112628</v>
      </c>
      <c r="E22" s="232">
        <f t="shared" si="0"/>
        <v>110733</v>
      </c>
      <c r="F22" s="225">
        <v>92973</v>
      </c>
      <c r="G22" s="225">
        <v>4331</v>
      </c>
      <c r="H22" s="225">
        <v>13429</v>
      </c>
      <c r="I22" s="1340"/>
      <c r="J22" s="232">
        <f t="shared" si="1"/>
        <v>223361</v>
      </c>
      <c r="N22" s="612"/>
      <c r="O22" s="1977" t="s">
        <v>957</v>
      </c>
      <c r="P22" s="1978"/>
      <c r="BG22" s="8"/>
    </row>
    <row r="23" spans="1:59">
      <c r="A23" s="852">
        <v>2008</v>
      </c>
      <c r="B23" s="1650">
        <v>6</v>
      </c>
      <c r="C23" s="498">
        <f>VLOOKUP(Community_Name,'Population Forecast'!$A$2:$AZ$267,B23+13,FALSE)</f>
        <v>81</v>
      </c>
      <c r="D23" s="225">
        <v>110554</v>
      </c>
      <c r="E23" s="232">
        <f t="shared" si="0"/>
        <v>132766</v>
      </c>
      <c r="F23" s="225">
        <v>109814</v>
      </c>
      <c r="G23" s="225">
        <v>5154</v>
      </c>
      <c r="H23" s="225">
        <v>17798</v>
      </c>
      <c r="I23" s="1340"/>
      <c r="J23" s="232">
        <f t="shared" si="1"/>
        <v>243320</v>
      </c>
      <c r="P23" s="8"/>
      <c r="BG23" s="8"/>
    </row>
    <row r="24" spans="1:59">
      <c r="A24" s="852">
        <v>2009</v>
      </c>
      <c r="B24" s="1650">
        <v>7</v>
      </c>
      <c r="C24" s="498">
        <f>VLOOKUP(Community_Name,'Population Forecast'!$A$2:$AZ$267,B24+13,FALSE)</f>
        <v>85</v>
      </c>
      <c r="D24" s="225">
        <v>110465</v>
      </c>
      <c r="E24" s="232">
        <f t="shared" si="0"/>
        <v>164454</v>
      </c>
      <c r="F24" s="225">
        <v>142871</v>
      </c>
      <c r="G24" s="225">
        <v>4634</v>
      </c>
      <c r="H24" s="225">
        <v>16949</v>
      </c>
      <c r="I24" s="1340"/>
      <c r="J24" s="232">
        <f t="shared" si="1"/>
        <v>274919</v>
      </c>
      <c r="P24" s="8"/>
      <c r="BG24" s="8"/>
    </row>
    <row r="25" spans="1:59">
      <c r="A25" s="852">
        <v>2010</v>
      </c>
      <c r="B25" s="1650">
        <v>8</v>
      </c>
      <c r="C25" s="498">
        <f>VLOOKUP(Community_Name,'Population Forecast'!$A$2:$AZ$267,B25+13,FALSE)</f>
        <v>89</v>
      </c>
      <c r="D25" s="225">
        <v>124966</v>
      </c>
      <c r="E25" s="232">
        <f t="shared" si="0"/>
        <v>176060</v>
      </c>
      <c r="F25" s="225">
        <v>153216</v>
      </c>
      <c r="G25" s="225">
        <v>8225</v>
      </c>
      <c r="H25" s="225">
        <v>14619</v>
      </c>
      <c r="I25" s="1340"/>
      <c r="J25" s="232">
        <f t="shared" si="1"/>
        <v>301026</v>
      </c>
      <c r="P25" s="8"/>
      <c r="BG25" s="8"/>
    </row>
    <row r="26" spans="1:59">
      <c r="A26" s="852">
        <v>2011</v>
      </c>
      <c r="B26" s="1650">
        <v>9</v>
      </c>
      <c r="C26" s="498">
        <f>VLOOKUP(Community_Name,'Population Forecast'!$A$2:$AZ$267,B26+13,FALSE)</f>
        <v>94</v>
      </c>
      <c r="D26" s="225">
        <v>164364</v>
      </c>
      <c r="E26" s="232">
        <f t="shared" si="0"/>
        <v>185197</v>
      </c>
      <c r="F26" s="225">
        <v>168710</v>
      </c>
      <c r="G26" s="225">
        <v>4440</v>
      </c>
      <c r="H26" s="225">
        <v>12047</v>
      </c>
      <c r="I26" s="1340"/>
      <c r="J26" s="232">
        <f t="shared" si="1"/>
        <v>349561</v>
      </c>
      <c r="P26" s="8"/>
      <c r="BG26" s="8"/>
    </row>
    <row r="27" spans="1:59">
      <c r="A27" s="852">
        <v>2012</v>
      </c>
      <c r="B27" s="1650">
        <v>10</v>
      </c>
      <c r="C27" s="498">
        <f>VLOOKUP(Community_Name,'Population Forecast'!$A$2:$AZ$267,B27+13,FALSE)</f>
        <v>116</v>
      </c>
      <c r="D27" s="225">
        <v>209675</v>
      </c>
      <c r="E27" s="232">
        <f t="shared" si="0"/>
        <v>210593</v>
      </c>
      <c r="F27" s="225">
        <v>185798</v>
      </c>
      <c r="G27" s="225">
        <v>5857</v>
      </c>
      <c r="H27" s="225">
        <v>18938</v>
      </c>
      <c r="I27" s="1340"/>
      <c r="J27" s="232">
        <f t="shared" si="1"/>
        <v>420268</v>
      </c>
      <c r="P27" s="8"/>
      <c r="BG27" s="8"/>
    </row>
    <row r="28" spans="1:59">
      <c r="A28" s="852">
        <v>2013</v>
      </c>
      <c r="B28" s="1650">
        <v>11</v>
      </c>
      <c r="C28" s="498">
        <f>VLOOKUP(Community_Name,'Population Forecast'!$A$2:$AZ$267,B28+13,FALSE)</f>
        <v>127</v>
      </c>
      <c r="D28" s="1397">
        <v>93291</v>
      </c>
      <c r="E28" s="232">
        <f t="shared" si="0"/>
        <v>93918</v>
      </c>
      <c r="F28" s="1397">
        <v>79853</v>
      </c>
      <c r="G28" s="1397">
        <v>3226</v>
      </c>
      <c r="H28" s="1397">
        <v>10839</v>
      </c>
      <c r="I28" s="215"/>
      <c r="J28" s="232">
        <f>SUM(D28:E28)*2</f>
        <v>374418</v>
      </c>
      <c r="P28" s="8"/>
      <c r="BG28" s="8"/>
    </row>
    <row r="29" spans="1:59" ht="13.5" thickBot="1">
      <c r="A29" s="854">
        <v>2014</v>
      </c>
      <c r="B29" s="1650">
        <v>12</v>
      </c>
      <c r="C29" s="498">
        <f>VLOOKUP(Community_Name,'Population Forecast'!$A$2:$AZ$267,B29+13,FALSE)</f>
        <v>117</v>
      </c>
      <c r="D29" s="1341"/>
      <c r="E29" s="1697"/>
      <c r="F29" s="1341"/>
      <c r="G29" s="1341"/>
      <c r="H29" s="1341"/>
      <c r="I29" s="1342"/>
      <c r="J29" s="1341"/>
      <c r="K29" s="855"/>
      <c r="M29" s="9"/>
      <c r="N29" s="9"/>
      <c r="O29" s="856"/>
      <c r="P29" s="8"/>
      <c r="BG29" s="8"/>
    </row>
    <row r="30" spans="1:59" ht="13.5" thickBot="1">
      <c r="A30" s="1343" t="s">
        <v>1190</v>
      </c>
      <c r="B30" s="1651"/>
      <c r="C30" s="1344"/>
      <c r="D30" s="1344">
        <f t="shared" ref="D30:J30" si="2">LOGEST(D18:D27)</f>
        <v>1.0401166298833873</v>
      </c>
      <c r="E30" s="1344"/>
      <c r="F30" s="1344">
        <f t="shared" si="2"/>
        <v>1.0745124818938117</v>
      </c>
      <c r="G30" s="1344">
        <f t="shared" si="2"/>
        <v>1.0433322440750121</v>
      </c>
      <c r="H30" s="1344">
        <f t="shared" si="2"/>
        <v>1.0587551615482531</v>
      </c>
      <c r="I30" s="1344" t="e">
        <f t="shared" si="2"/>
        <v>#VALUE!</v>
      </c>
      <c r="J30" s="1344">
        <f t="shared" si="2"/>
        <v>1.056773044776675</v>
      </c>
      <c r="P30" s="8"/>
      <c r="BG30" s="8"/>
    </row>
    <row r="31" spans="1:59" ht="34.5" customHeight="1">
      <c r="A31" s="1982" t="s">
        <v>1191</v>
      </c>
      <c r="B31" s="1983"/>
      <c r="C31" s="1983"/>
      <c r="D31" s="1983"/>
      <c r="E31" s="1983"/>
      <c r="F31" s="1983"/>
      <c r="G31" s="1983"/>
      <c r="H31" s="1983"/>
      <c r="O31" s="8"/>
      <c r="P31" s="8"/>
    </row>
    <row r="32" spans="1:59" ht="13.5" thickBot="1">
      <c r="A32" s="1949" t="s">
        <v>2099</v>
      </c>
      <c r="B32" s="1949"/>
    </row>
    <row r="33" spans="1:59">
      <c r="A33" s="1665" t="s">
        <v>420</v>
      </c>
      <c r="B33" s="1671">
        <f>INDEX(LINEST(J18:J28,C18:C28,TRUE,TRUE),1)</f>
        <v>3399.0481335391305</v>
      </c>
      <c r="C33" s="835"/>
      <c r="J33" s="8"/>
      <c r="M33" s="286"/>
      <c r="N33" s="286"/>
      <c r="O33" s="8"/>
      <c r="P33" s="8"/>
    </row>
    <row r="34" spans="1:59" ht="13.5" thickBot="1">
      <c r="A34" s="1670" t="s">
        <v>396</v>
      </c>
      <c r="B34" s="1672">
        <f>INDEX(LINEST(J18:J28,C18:C28,TRUE),2)</f>
        <v>-14258.525981821294</v>
      </c>
      <c r="C34" s="835"/>
      <c r="O34" s="8"/>
      <c r="P34" s="8"/>
    </row>
    <row r="35" spans="1:59" ht="33" customHeight="1" thickBot="1">
      <c r="A35" s="835"/>
      <c r="B35" s="1648"/>
      <c r="C35" s="835"/>
      <c r="O35" s="8"/>
      <c r="P35" s="8"/>
    </row>
    <row r="36" spans="1:59" ht="13.5" customHeight="1" thickBot="1">
      <c r="A36" s="866"/>
      <c r="B36" s="1256"/>
      <c r="C36" s="921"/>
      <c r="D36" s="1392"/>
      <c r="E36" s="1858" t="s">
        <v>1202</v>
      </c>
      <c r="F36" s="1859"/>
      <c r="G36" s="1859"/>
      <c r="H36" s="1859"/>
      <c r="I36" s="1860"/>
      <c r="J36" s="1946" t="s">
        <v>1192</v>
      </c>
      <c r="K36" s="1947"/>
      <c r="L36" s="1947"/>
      <c r="M36" s="1947"/>
      <c r="N36" s="1947"/>
      <c r="O36" s="1947"/>
      <c r="P36" s="1948"/>
      <c r="Q36" s="1946" t="s">
        <v>2320</v>
      </c>
      <c r="R36" s="1947"/>
      <c r="S36" s="1947"/>
      <c r="T36" s="1948"/>
      <c r="BG36" s="8"/>
    </row>
    <row r="37" spans="1:59" ht="89.25">
      <c r="A37" s="1579" t="s">
        <v>1972</v>
      </c>
      <c r="B37" s="1649"/>
      <c r="C37" s="1580" t="s">
        <v>1194</v>
      </c>
      <c r="D37" s="1581" t="s">
        <v>1353</v>
      </c>
      <c r="E37" s="1124" t="s">
        <v>2308</v>
      </c>
      <c r="F37" s="1582" t="s">
        <v>2371</v>
      </c>
      <c r="G37" s="1582" t="s">
        <v>2309</v>
      </c>
      <c r="H37" s="1582" t="s">
        <v>2370</v>
      </c>
      <c r="I37" s="1580" t="s">
        <v>1193</v>
      </c>
      <c r="J37" s="491" t="s">
        <v>2372</v>
      </c>
      <c r="K37" s="491" t="s">
        <v>2375</v>
      </c>
      <c r="L37" s="1578" t="s">
        <v>2373</v>
      </c>
      <c r="M37" s="1846" t="s">
        <v>2376</v>
      </c>
      <c r="N37" s="1578" t="s">
        <v>2374</v>
      </c>
      <c r="O37" s="1846" t="s">
        <v>2377</v>
      </c>
      <c r="P37" s="857" t="s">
        <v>1195</v>
      </c>
      <c r="Q37" s="1834" t="s">
        <v>2326</v>
      </c>
      <c r="R37" s="1835" t="s">
        <v>2327</v>
      </c>
      <c r="S37" s="1835" t="s">
        <v>2328</v>
      </c>
      <c r="T37" s="1836" t="s">
        <v>1195</v>
      </c>
      <c r="U37" s="2218" t="s">
        <v>2409</v>
      </c>
    </row>
    <row r="38" spans="1:59">
      <c r="A38" s="858">
        <v>2015</v>
      </c>
      <c r="B38" s="1648">
        <v>13</v>
      </c>
      <c r="C38" s="1481">
        <f>VLOOKUP(Community_Name,'Population Forecast'!$A$2:$BL$267,B38+13,FALSE)</f>
        <v>89.886316533466839</v>
      </c>
      <c r="D38" s="1583">
        <f>MROUND(C38/'Eff (res)'!$I$10,1)</f>
        <v>41</v>
      </c>
      <c r="E38" s="724">
        <f t="shared" ref="E38:E76" si="3">C38*$B$33+$B$34</f>
        <v>291269.39046196663</v>
      </c>
      <c r="F38" s="1861">
        <f>INDEX('Eff (com)'!G$74:BH$74,1,ROW()-37)*E38</f>
        <v>188815.33357999317</v>
      </c>
      <c r="G38" s="924">
        <f t="shared" ref="G38:G76" si="4">MROUND(E38/(1-Line_Loss),1000)</f>
        <v>331000</v>
      </c>
      <c r="H38" s="924">
        <f t="shared" ref="H38:H76" si="5">G38/Generation_Efficiency</f>
        <v>30641.476377997486</v>
      </c>
      <c r="I38" s="923">
        <f t="shared" ref="I38:I76" si="6">E38/8760/(1-Line_Loss)</f>
        <v>37.826997062608328</v>
      </c>
      <c r="J38" s="1548">
        <f>INDEX('Eff (res)'!G$94:BH$94,1,ROW()-37)</f>
        <v>37522.908374907805</v>
      </c>
      <c r="K38" s="1865">
        <f>INDEX('Eff (com)'!F$98:BG$98,1,ROW()-36)*J38</f>
        <v>157820.58048214408</v>
      </c>
      <c r="L38" s="924">
        <f>INDEX('Eff (com)'!G$93:BH$93,1,ROW()-38)</f>
        <v>33964.482002250646</v>
      </c>
      <c r="M38" s="1865">
        <f>INDEX('Eff (com)'!G$98:BI$98,1,ROW()-37)*L38</f>
        <v>142853.91238369598</v>
      </c>
      <c r="N38" s="724">
        <f>INDEX('Eff (W &amp; WW)'!G$90:BH$90,1,ROW()-37)</f>
        <v>1232.140879446971</v>
      </c>
      <c r="O38" s="1865">
        <f>INDEX('Eff (com)'!G$98:BK$98,1,ROW()-37)*N38</f>
        <v>5182.3591840801237</v>
      </c>
      <c r="P38" s="925">
        <f>J38+L38+N38</f>
        <v>72719.53125660542</v>
      </c>
      <c r="Q38" s="1837">
        <f>INDEX('Eff (res)'!G$111:BH$111,1,ROW()-37)</f>
        <v>10022.409404618773</v>
      </c>
      <c r="R38" s="1838">
        <f>INDEX('Eff (com)'!G$109:BH$109,1,ROW()-26)</f>
        <v>4687.0985163105897</v>
      </c>
      <c r="S38" s="1839">
        <f>INDEX('Eff (W &amp; WW)'!G$100:BH$100,1,ROW()-37)</f>
        <v>170.035441363682</v>
      </c>
      <c r="T38" s="1840">
        <f t="shared" ref="T38:T76" si="7">SUM(Q38:S38)</f>
        <v>14879.543362293043</v>
      </c>
      <c r="U38" s="953">
        <f>(P38+H38)/C38</f>
        <v>1149.9081464320448</v>
      </c>
    </row>
    <row r="39" spans="1:59">
      <c r="A39" s="858">
        <v>2016</v>
      </c>
      <c r="B39" s="1648">
        <v>14</v>
      </c>
      <c r="C39" s="1481">
        <f>VLOOKUP(Community_Name,'Population Forecast'!$A$2:$BL$267,B39+13,FALSE)</f>
        <v>89.842874104095642</v>
      </c>
      <c r="D39" s="1583">
        <f>MROUND(C39/'Eff (res)'!$I$10,1)</f>
        <v>41</v>
      </c>
      <c r="E39" s="724">
        <f t="shared" si="3"/>
        <v>291121.72755349608</v>
      </c>
      <c r="F39" s="1861">
        <f>INDEX('Eff (com)'!G$74:BH$74,1,ROW()-37)*E39</f>
        <v>201313.1664925275</v>
      </c>
      <c r="G39" s="924">
        <f t="shared" si="4"/>
        <v>331000</v>
      </c>
      <c r="H39" s="924">
        <f t="shared" si="5"/>
        <v>30641.476377997486</v>
      </c>
      <c r="I39" s="923">
        <f t="shared" si="6"/>
        <v>37.807820161128518</v>
      </c>
      <c r="J39" s="1548">
        <f>INDEX('Eff (res)'!G$94:BH$94,1,ROW()-37)</f>
        <v>37522.908374907805</v>
      </c>
      <c r="K39" s="1865">
        <f>INDEX('Eff (com)'!F$98:BG$98,1,ROW()-36)*J39</f>
        <v>175354.88465130032</v>
      </c>
      <c r="L39" s="924">
        <f>INDEX('Eff (com)'!G$93:BH$93,1,ROW()-38)</f>
        <v>33964.482002250646</v>
      </c>
      <c r="M39" s="1865">
        <f>INDEX('Eff (com)'!G$98:BI$98,1,ROW()-37)*L39</f>
        <v>158725.37822064446</v>
      </c>
      <c r="N39" s="724">
        <f>INDEX('Eff (W &amp; WW)'!G$90:BH$90,1,ROW()-37)</f>
        <v>1231.5453806525486</v>
      </c>
      <c r="O39" s="1865">
        <f>INDEX('Eff (com)'!G$98:BK$98,1,ROW()-37)*N39</f>
        <v>5755.3507315969091</v>
      </c>
      <c r="P39" s="925">
        <f t="shared" ref="P39:P76" si="8">J39+L39+N39</f>
        <v>72718.935757810992</v>
      </c>
      <c r="Q39" s="1837">
        <f>INDEX('Eff (res)'!G$111:BH$111,1,ROW()-37)</f>
        <v>10022.409404618773</v>
      </c>
      <c r="R39" s="1838">
        <f>INDEX('Eff (com)'!G$109:BH$109,1,ROW()-26)</f>
        <v>4687.0985163105897</v>
      </c>
      <c r="S39" s="1839">
        <f>INDEX('Eff (W &amp; WW)'!G$100:BH$100,1,ROW()-37)</f>
        <v>169.95326253005172</v>
      </c>
      <c r="T39" s="1840">
        <f t="shared" si="7"/>
        <v>14879.461183459414</v>
      </c>
    </row>
    <row r="40" spans="1:59">
      <c r="A40" s="858">
        <v>2017</v>
      </c>
      <c r="B40" s="1648">
        <v>15</v>
      </c>
      <c r="C40" s="1481">
        <f>VLOOKUP(Community_Name,'Population Forecast'!$A$2:$BL$267,B40+13,FALSE)</f>
        <v>89.799452670630629</v>
      </c>
      <c r="D40" s="1583">
        <f>MROUND(C40/'Eff (res)'!$I$10,1)</f>
        <v>41</v>
      </c>
      <c r="E40" s="724">
        <f t="shared" si="3"/>
        <v>290974.13601112121</v>
      </c>
      <c r="F40" s="1861">
        <f>INDEX('Eff (com)'!G$74:BH$74,1,ROW()-37)*E40</f>
        <v>205637.82225585432</v>
      </c>
      <c r="G40" s="924">
        <f t="shared" si="4"/>
        <v>331000</v>
      </c>
      <c r="H40" s="924">
        <f t="shared" si="5"/>
        <v>30641.476377997486</v>
      </c>
      <c r="I40" s="923">
        <f t="shared" si="6"/>
        <v>37.78865252792469</v>
      </c>
      <c r="J40" s="1548">
        <f>INDEX('Eff (res)'!G$94:BH$94,1,ROW()-37)</f>
        <v>37522.908374907805</v>
      </c>
      <c r="K40" s="1865">
        <f>INDEX('Eff (com)'!F$98:BG$98,1,ROW()-36)*J40</f>
        <v>181521.43283908948</v>
      </c>
      <c r="L40" s="924">
        <f>INDEX('Eff (com)'!G$93:BH$93,1,ROW()-38)</f>
        <v>33964.482002250646</v>
      </c>
      <c r="M40" s="1865">
        <f>INDEX('Eff (com)'!G$98:BI$98,1,ROW()-37)*L40</f>
        <v>164307.13144850018</v>
      </c>
      <c r="N40" s="724">
        <f>INDEX('Eff (W &amp; WW)'!G$90:BH$90,1,ROW()-37)</f>
        <v>1230.9501696651621</v>
      </c>
      <c r="O40" s="1865">
        <f>INDEX('Eff (com)'!G$98:BK$98,1,ROW()-37)*N40</f>
        <v>5954.8645941464702</v>
      </c>
      <c r="P40" s="925">
        <f t="shared" si="8"/>
        <v>72718.340546823601</v>
      </c>
      <c r="Q40" s="1837">
        <f>INDEX('Eff (res)'!G$111:BH$111,1,ROW()-37)</f>
        <v>10022.409404618773</v>
      </c>
      <c r="R40" s="1838">
        <f>INDEX('Eff (com)'!G$109:BH$109,1,ROW()-26)</f>
        <v>4687.0985163105897</v>
      </c>
      <c r="S40" s="1839">
        <f>INDEX('Eff (W &amp; WW)'!G$100:BH$100,1,ROW()-37)</f>
        <v>169.87112341379239</v>
      </c>
      <c r="T40" s="1840">
        <f t="shared" si="7"/>
        <v>14879.379044343154</v>
      </c>
    </row>
    <row r="41" spans="1:59">
      <c r="A41" s="858">
        <v>2018</v>
      </c>
      <c r="B41" s="1648">
        <v>16</v>
      </c>
      <c r="C41" s="1481">
        <f>VLOOKUP(Community_Name,'Population Forecast'!$A$2:$BL$267,B41+13,FALSE)</f>
        <v>89.756052222924396</v>
      </c>
      <c r="D41" s="1583">
        <f>MROUND(C41/'Eff (res)'!$I$10,1)</f>
        <v>41</v>
      </c>
      <c r="E41" s="724">
        <f t="shared" si="3"/>
        <v>290826.61580035061</v>
      </c>
      <c r="F41" s="1861">
        <f>INDEX('Eff (com)'!G$74:BH$74,1,ROW()-37)*E41</f>
        <v>205857.17251283824</v>
      </c>
      <c r="G41" s="924">
        <f t="shared" si="4"/>
        <v>331000</v>
      </c>
      <c r="H41" s="924">
        <f t="shared" si="5"/>
        <v>30641.476377997486</v>
      </c>
      <c r="I41" s="923">
        <f t="shared" si="6"/>
        <v>37.769494158517439</v>
      </c>
      <c r="J41" s="1548">
        <f>INDEX('Eff (res)'!G$94:BH$94,1,ROW()-37)</f>
        <v>37522.908374907805</v>
      </c>
      <c r="K41" s="1865">
        <f>INDEX('Eff (com)'!F$98:BG$98,1,ROW()-36)*J41</f>
        <v>181972.45435698863</v>
      </c>
      <c r="L41" s="924">
        <f>INDEX('Eff (com)'!G$93:BH$93,1,ROW()-38)</f>
        <v>33964.482002250646</v>
      </c>
      <c r="M41" s="1865">
        <f>INDEX('Eff (com)'!G$98:BI$98,1,ROW()-37)*L41</f>
        <v>164715.38104563314</v>
      </c>
      <c r="N41" s="724">
        <f>INDEX('Eff (W &amp; WW)'!G$90:BH$90,1,ROW()-37)</f>
        <v>1230.3552463457129</v>
      </c>
      <c r="O41" s="1865">
        <f>INDEX('Eff (com)'!G$98:BK$98,1,ROW()-37)*N41</f>
        <v>5966.7753275288824</v>
      </c>
      <c r="P41" s="925">
        <f t="shared" si="8"/>
        <v>72717.745623504161</v>
      </c>
      <c r="Q41" s="1837">
        <f>INDEX('Eff (res)'!G$111:BH$111,1,ROW()-37)</f>
        <v>10022.409404618773</v>
      </c>
      <c r="R41" s="1838">
        <f>INDEX('Eff (com)'!G$109:BH$109,1,ROW()-26)</f>
        <v>4687.0985163105897</v>
      </c>
      <c r="S41" s="1839">
        <f>INDEX('Eff (W &amp; WW)'!G$100:BH$100,1,ROW()-37)</f>
        <v>169.78902399570839</v>
      </c>
      <c r="T41" s="1840">
        <f t="shared" si="7"/>
        <v>14879.29694492507</v>
      </c>
    </row>
    <row r="42" spans="1:59">
      <c r="A42" s="858">
        <v>2019</v>
      </c>
      <c r="B42" s="1648">
        <v>17</v>
      </c>
      <c r="C42" s="1481">
        <f>VLOOKUP(Community_Name,'Population Forecast'!$A$2:$BL$267,B42+13,FALSE)</f>
        <v>89.712672750834443</v>
      </c>
      <c r="D42" s="1583">
        <f>MROUND(C42/'Eff (res)'!$I$10,1)</f>
        <v>41</v>
      </c>
      <c r="E42" s="724">
        <f t="shared" si="3"/>
        <v>290679.16688670934</v>
      </c>
      <c r="F42" s="1861">
        <f>INDEX('Eff (com)'!G$74:BH$74,1,ROW()-37)*E42</f>
        <v>207259.46711484555</v>
      </c>
      <c r="G42" s="924">
        <f t="shared" si="4"/>
        <v>331000</v>
      </c>
      <c r="H42" s="924">
        <f t="shared" si="5"/>
        <v>30641.476377997486</v>
      </c>
      <c r="I42" s="923">
        <f t="shared" si="6"/>
        <v>37.750345048429537</v>
      </c>
      <c r="J42" s="1548">
        <f>INDEX('Eff (res)'!G$94:BH$94,1,ROW()-37)</f>
        <v>37522.908374907805</v>
      </c>
      <c r="K42" s="1865">
        <f>INDEX('Eff (com)'!F$98:BG$98,1,ROW()-36)*J42</f>
        <v>184073.412121979</v>
      </c>
      <c r="L42" s="924">
        <f>INDEX('Eff (com)'!G$93:BH$93,1,ROW()-38)</f>
        <v>33964.482002250646</v>
      </c>
      <c r="M42" s="1865">
        <f>INDEX('Eff (com)'!G$98:BI$98,1,ROW()-37)*L42</f>
        <v>166617.09776448485</v>
      </c>
      <c r="N42" s="724">
        <f>INDEX('Eff (W &amp; WW)'!G$90:BH$90,1,ROW()-37)</f>
        <v>1229.7606105551702</v>
      </c>
      <c r="O42" s="1865">
        <f>INDEX('Eff (com)'!G$98:BK$98,1,ROW()-37)*N42</f>
        <v>6032.7474996440633</v>
      </c>
      <c r="P42" s="925">
        <f t="shared" si="8"/>
        <v>72717.150987713612</v>
      </c>
      <c r="Q42" s="1837">
        <f>INDEX('Eff (res)'!G$111:BH$111,1,ROW()-37)</f>
        <v>10022.409404618773</v>
      </c>
      <c r="R42" s="1838">
        <f>INDEX('Eff (com)'!G$109:BH$109,1,ROW()-26)</f>
        <v>4687.0985163105897</v>
      </c>
      <c r="S42" s="1839">
        <f>INDEX('Eff (W &amp; WW)'!G$100:BH$100,1,ROW()-37)</f>
        <v>169.7069642566135</v>
      </c>
      <c r="T42" s="1840">
        <f t="shared" si="7"/>
        <v>14879.214885185975</v>
      </c>
    </row>
    <row r="43" spans="1:59">
      <c r="A43" s="858">
        <v>2020</v>
      </c>
      <c r="B43" s="1648">
        <v>18</v>
      </c>
      <c r="C43" s="1481">
        <f>VLOOKUP(Community_Name,'Population Forecast'!$A$2:$BL$267,B43+13,FALSE)</f>
        <v>89.669314244223159</v>
      </c>
      <c r="D43" s="1583">
        <f>MROUND(C43/'Eff (res)'!$I$10,1)</f>
        <v>41</v>
      </c>
      <c r="E43" s="724">
        <f t="shared" si="3"/>
        <v>290531.78923573921</v>
      </c>
      <c r="F43" s="1861">
        <f>INDEX('Eff (com)'!G$74:BH$74,1,ROW()-37)*E43</f>
        <v>208668.13951976554</v>
      </c>
      <c r="G43" s="924">
        <f t="shared" si="4"/>
        <v>331000</v>
      </c>
      <c r="H43" s="924">
        <f t="shared" si="5"/>
        <v>30641.476377997486</v>
      </c>
      <c r="I43" s="923">
        <f t="shared" si="6"/>
        <v>37.731205193185907</v>
      </c>
      <c r="J43" s="1548">
        <f>INDEX('Eff (res)'!G$94:BH$94,1,ROW()-37)</f>
        <v>37522.908374907805</v>
      </c>
      <c r="K43" s="1865">
        <f>INDEX('Eff (com)'!F$98:BG$98,1,ROW()-36)*J43</f>
        <v>186185.32900887565</v>
      </c>
      <c r="L43" s="924">
        <f>INDEX('Eff (com)'!G$93:BH$93,1,ROW()-38)</f>
        <v>33964.482002250646</v>
      </c>
      <c r="M43" s="1865">
        <f>INDEX('Eff (com)'!G$98:BI$98,1,ROW()-37)*L43</f>
        <v>168528.7343140445</v>
      </c>
      <c r="N43" s="724">
        <f>INDEX('Eff (W &amp; WW)'!G$90:BH$90,1,ROW()-37)</f>
        <v>1229.1662621545695</v>
      </c>
      <c r="O43" s="1865">
        <f>INDEX('Eff (com)'!G$98:BK$98,1,ROW()-37)*N43</f>
        <v>6099.013505011143</v>
      </c>
      <c r="P43" s="925">
        <f t="shared" si="8"/>
        <v>72716.556639313014</v>
      </c>
      <c r="Q43" s="1837">
        <f>INDEX('Eff (res)'!G$111:BH$111,1,ROW()-37)</f>
        <v>10022.409404618773</v>
      </c>
      <c r="R43" s="1838">
        <f>INDEX('Eff (com)'!G$109:BH$109,1,ROW()-26)</f>
        <v>4687.0985163105897</v>
      </c>
      <c r="S43" s="1839">
        <f>INDEX('Eff (W &amp; WW)'!G$100:BH$100,1,ROW()-37)</f>
        <v>169.6249441773306</v>
      </c>
      <c r="T43" s="1840">
        <f t="shared" si="7"/>
        <v>14879.132865106692</v>
      </c>
    </row>
    <row r="44" spans="1:59">
      <c r="A44" s="858">
        <v>2021</v>
      </c>
      <c r="B44" s="1648">
        <v>19</v>
      </c>
      <c r="C44" s="1481">
        <f>VLOOKUP(Community_Name,'Population Forecast'!$A$2:$BL$267,B44+13,FALSE)</f>
        <v>89.625976692957863</v>
      </c>
      <c r="D44" s="1583">
        <f>MROUND(C44/'Eff (res)'!$I$10,1)</f>
        <v>41</v>
      </c>
      <c r="E44" s="724">
        <f t="shared" si="3"/>
        <v>290384.48281299876</v>
      </c>
      <c r="F44" s="1861">
        <f>INDEX('Eff (com)'!G$74:BH$74,1,ROW()-37)*E44</f>
        <v>210612.5035194373</v>
      </c>
      <c r="G44" s="924">
        <f t="shared" si="4"/>
        <v>330000</v>
      </c>
      <c r="H44" s="924">
        <f t="shared" si="5"/>
        <v>30548.903941810182</v>
      </c>
      <c r="I44" s="923">
        <f t="shared" si="6"/>
        <v>37.712074588313669</v>
      </c>
      <c r="J44" s="1548">
        <f>INDEX('Eff (res)'!G$94:BH$94,1,ROW()-37)</f>
        <v>37522.908374907805</v>
      </c>
      <c r="K44" s="1865">
        <f>INDEX('Eff (com)'!F$98:BG$98,1,ROW()-36)*J44</f>
        <v>189047.0673374687</v>
      </c>
      <c r="L44" s="924">
        <f>INDEX('Eff (com)'!G$93:BH$93,1,ROW()-38)</f>
        <v>33964.482002250646</v>
      </c>
      <c r="M44" s="1865">
        <f>INDEX('Eff (com)'!G$98:BI$98,1,ROW()-37)*L44</f>
        <v>171119.08416074366</v>
      </c>
      <c r="N44" s="724">
        <f>INDEX('Eff (W &amp; WW)'!G$90:BH$90,1,ROW()-37)</f>
        <v>1228.5722010050149</v>
      </c>
      <c r="O44" s="1865">
        <f>INDEX('Eff (com)'!G$98:BK$98,1,ROW()-37)*N44</f>
        <v>6189.7646443539534</v>
      </c>
      <c r="P44" s="925">
        <f t="shared" si="8"/>
        <v>72715.962578163453</v>
      </c>
      <c r="Q44" s="1837">
        <f>INDEX('Eff (res)'!G$111:BH$111,1,ROW()-37)</f>
        <v>10022.409404618773</v>
      </c>
      <c r="R44" s="1838">
        <f>INDEX('Eff (com)'!G$109:BH$109,1,ROW()-26)</f>
        <v>4687.0985163105897</v>
      </c>
      <c r="S44" s="1839">
        <f>INDEX('Eff (W &amp; WW)'!G$100:BH$100,1,ROW()-37)</f>
        <v>169.54296373869207</v>
      </c>
      <c r="T44" s="1840">
        <f t="shared" si="7"/>
        <v>14879.050884668053</v>
      </c>
    </row>
    <row r="45" spans="1:59">
      <c r="A45" s="858">
        <v>2022</v>
      </c>
      <c r="B45" s="1648">
        <v>20</v>
      </c>
      <c r="C45" s="1481">
        <f>VLOOKUP(Community_Name,'Population Forecast'!$A$2:$BL$267,B45+13,FALSE)</f>
        <v>89.582660086910721</v>
      </c>
      <c r="D45" s="1583">
        <f>MROUND(C45/'Eff (res)'!$I$10,1)</f>
        <v>41</v>
      </c>
      <c r="E45" s="724">
        <f t="shared" si="3"/>
        <v>290237.24758406298</v>
      </c>
      <c r="F45" s="1861">
        <f>INDEX('Eff (com)'!G$74:BH$74,1,ROW()-37)*E45</f>
        <v>212702.25927131885</v>
      </c>
      <c r="G45" s="924">
        <f t="shared" si="4"/>
        <v>330000</v>
      </c>
      <c r="H45" s="924">
        <f t="shared" si="5"/>
        <v>30548.903941810182</v>
      </c>
      <c r="I45" s="923">
        <f t="shared" si="6"/>
        <v>37.692953229342052</v>
      </c>
      <c r="J45" s="1548">
        <f>INDEX('Eff (res)'!G$94:BH$94,1,ROW()-37)</f>
        <v>37522.908374907805</v>
      </c>
      <c r="K45" s="1865">
        <f>INDEX('Eff (com)'!F$98:BG$98,1,ROW()-36)*J45</f>
        <v>192114.68699847203</v>
      </c>
      <c r="L45" s="924">
        <f>INDEX('Eff (com)'!G$93:BH$93,1,ROW()-38)</f>
        <v>33964.482002250646</v>
      </c>
      <c r="M45" s="1865">
        <f>INDEX('Eff (com)'!G$98:BI$98,1,ROW()-37)*L45</f>
        <v>173895.7909054578</v>
      </c>
      <c r="N45" s="724">
        <f>INDEX('Eff (W &amp; WW)'!G$90:BH$90,1,ROW()-37)</f>
        <v>1227.9784269676763</v>
      </c>
      <c r="O45" s="1865">
        <f>INDEX('Eff (com)'!G$98:BK$98,1,ROW()-37)*N45</f>
        <v>6287.1643312043998</v>
      </c>
      <c r="P45" s="925">
        <f t="shared" si="8"/>
        <v>72715.368804126119</v>
      </c>
      <c r="Q45" s="1837">
        <f>INDEX('Eff (res)'!G$111:BH$111,1,ROW()-37)</f>
        <v>10022.409404618773</v>
      </c>
      <c r="R45" s="1838">
        <f>INDEX('Eff (com)'!G$109:BH$109,1,ROW()-26)</f>
        <v>4687.0985163105897</v>
      </c>
      <c r="S45" s="1839">
        <f>INDEX('Eff (W &amp; WW)'!G$100:BH$100,1,ROW()-37)</f>
        <v>169.46102292153935</v>
      </c>
      <c r="T45" s="1840">
        <f t="shared" si="7"/>
        <v>14878.968943850901</v>
      </c>
    </row>
    <row r="46" spans="1:59">
      <c r="A46" s="858">
        <v>2023</v>
      </c>
      <c r="B46" s="1648">
        <v>21</v>
      </c>
      <c r="C46" s="1481">
        <f>VLOOKUP(Community_Name,'Population Forecast'!$A$2:$BL$267,B46+13,FALSE)</f>
        <v>89.539364415958843</v>
      </c>
      <c r="D46" s="1583">
        <f>MROUND(C46/'Eff (res)'!$I$10,1)</f>
        <v>41</v>
      </c>
      <c r="E46" s="724">
        <f t="shared" si="3"/>
        <v>290090.08351452363</v>
      </c>
      <c r="F46" s="1861">
        <f>INDEX('Eff (com)'!G$74:BH$74,1,ROW()-37)*E46</f>
        <v>214868.26288255374</v>
      </c>
      <c r="G46" s="924">
        <f t="shared" si="4"/>
        <v>330000</v>
      </c>
      <c r="H46" s="924">
        <f t="shared" si="5"/>
        <v>30548.903941810182</v>
      </c>
      <c r="I46" s="923">
        <f t="shared" si="6"/>
        <v>37.673841111802489</v>
      </c>
      <c r="J46" s="1548">
        <f>INDEX('Eff (res)'!G$94:BH$94,1,ROW()-37)</f>
        <v>37522.908374907805</v>
      </c>
      <c r="K46" s="1865">
        <f>INDEX('Eff (com)'!F$98:BG$98,1,ROW()-36)*J46</f>
        <v>195291.8862150381</v>
      </c>
      <c r="L46" s="924">
        <f>INDEX('Eff (com)'!G$93:BH$93,1,ROW()-38)</f>
        <v>33964.482002250646</v>
      </c>
      <c r="M46" s="1865">
        <f>INDEX('Eff (com)'!G$98:BI$98,1,ROW()-37)*L46</f>
        <v>176771.6853998405</v>
      </c>
      <c r="N46" s="724">
        <f>INDEX('Eff (W &amp; WW)'!G$90:BH$90,1,ROW()-37)</f>
        <v>1227.3849399037911</v>
      </c>
      <c r="O46" s="1865">
        <f>INDEX('Eff (com)'!G$98:BK$98,1,ROW()-37)*N46</f>
        <v>6388.0528031252716</v>
      </c>
      <c r="P46" s="925">
        <f t="shared" si="8"/>
        <v>72714.775317062231</v>
      </c>
      <c r="Q46" s="1837">
        <f>INDEX('Eff (res)'!G$111:BH$111,1,ROW()-37)</f>
        <v>10022.409404618773</v>
      </c>
      <c r="R46" s="1838">
        <f>INDEX('Eff (com)'!G$109:BH$109,1,ROW()-26)</f>
        <v>4687.0985163105897</v>
      </c>
      <c r="S46" s="1839">
        <f>INDEX('Eff (W &amp; WW)'!G$100:BH$100,1,ROW()-37)</f>
        <v>169.37912170672317</v>
      </c>
      <c r="T46" s="1840">
        <f t="shared" si="7"/>
        <v>14878.887042636085</v>
      </c>
    </row>
    <row r="47" spans="1:59">
      <c r="A47" s="858">
        <v>2024</v>
      </c>
      <c r="B47" s="1648">
        <v>22</v>
      </c>
      <c r="C47" s="1481">
        <f>VLOOKUP(Community_Name,'Population Forecast'!$A$2:$BL$267,B47+13,FALSE)</f>
        <v>89.496089669984187</v>
      </c>
      <c r="D47" s="1583">
        <f>MROUND(C47/'Eff (res)'!$I$10,1)</f>
        <v>41</v>
      </c>
      <c r="E47" s="724">
        <f t="shared" si="3"/>
        <v>289942.99056998914</v>
      </c>
      <c r="F47" s="1861">
        <f>INDEX('Eff (com)'!G$74:BH$74,1,ROW()-37)*E47</f>
        <v>217080.20365888326</v>
      </c>
      <c r="G47" s="924">
        <f t="shared" si="4"/>
        <v>330000</v>
      </c>
      <c r="H47" s="924">
        <f t="shared" si="5"/>
        <v>30548.903941810182</v>
      </c>
      <c r="I47" s="923">
        <f t="shared" si="6"/>
        <v>37.654738231228556</v>
      </c>
      <c r="J47" s="1548">
        <f>INDEX('Eff (res)'!G$94:BH$94,1,ROW()-37)</f>
        <v>37522.908374907805</v>
      </c>
      <c r="K47" s="1865">
        <f>INDEX('Eff (com)'!F$98:BG$98,1,ROW()-36)*J47</f>
        <v>198536.45567502669</v>
      </c>
      <c r="L47" s="924">
        <f>INDEX('Eff (com)'!G$93:BH$93,1,ROW()-38)</f>
        <v>33964.482002250646</v>
      </c>
      <c r="M47" s="1865">
        <f>INDEX('Eff (com)'!G$98:BI$98,1,ROW()-37)*L47</f>
        <v>179708.56118590102</v>
      </c>
      <c r="N47" s="724">
        <f>INDEX('Eff (W &amp; WW)'!G$90:BH$90,1,ROW()-37)</f>
        <v>1226.7917396746639</v>
      </c>
      <c r="O47" s="1865">
        <f>INDEX('Eff (com)'!G$98:BK$98,1,ROW()-37)*N47</f>
        <v>6491.0449214880782</v>
      </c>
      <c r="P47" s="925">
        <f t="shared" si="8"/>
        <v>72714.182116833108</v>
      </c>
      <c r="Q47" s="1837">
        <f>INDEX('Eff (res)'!G$111:BH$111,1,ROW()-37)</f>
        <v>10022.409404618773</v>
      </c>
      <c r="R47" s="1838">
        <f>INDEX('Eff (com)'!G$109:BH$109,1,ROW()-26)</f>
        <v>4687.0985163105897</v>
      </c>
      <c r="S47" s="1839">
        <f>INDEX('Eff (W &amp; WW)'!G$100:BH$100,1,ROW()-37)</f>
        <v>169.29726007510362</v>
      </c>
      <c r="T47" s="1840">
        <f t="shared" si="7"/>
        <v>14878.805181004465</v>
      </c>
    </row>
    <row r="48" spans="1:59">
      <c r="A48" s="858">
        <v>2025</v>
      </c>
      <c r="B48" s="1648">
        <v>23</v>
      </c>
      <c r="C48" s="1481">
        <f>VLOOKUP(Community_Name,'Population Forecast'!$A$2:$BL$267,B48+13,FALSE)</f>
        <v>89.452835838873639</v>
      </c>
      <c r="D48" s="1583">
        <f>MROUND(C48/'Eff (res)'!$I$10,1)</f>
        <v>41</v>
      </c>
      <c r="E48" s="724">
        <f t="shared" si="3"/>
        <v>289795.96871608438</v>
      </c>
      <c r="F48" s="1861">
        <f>INDEX('Eff (com)'!G$74:BH$74,1,ROW()-37)*E48</f>
        <v>219300.72771680047</v>
      </c>
      <c r="G48" s="924">
        <f t="shared" si="4"/>
        <v>330000</v>
      </c>
      <c r="H48" s="924">
        <f t="shared" si="5"/>
        <v>30548.903941810182</v>
      </c>
      <c r="I48" s="923">
        <f t="shared" si="6"/>
        <v>37.635644583155987</v>
      </c>
      <c r="J48" s="1548">
        <f>INDEX('Eff (res)'!G$94:BH$94,1,ROW()-37)</f>
        <v>37522.908374907805</v>
      </c>
      <c r="K48" s="1865">
        <f>INDEX('Eff (com)'!F$98:BG$98,1,ROW()-36)*J48</f>
        <v>201796.24898961236</v>
      </c>
      <c r="L48" s="924">
        <f>INDEX('Eff (com)'!G$93:BH$93,1,ROW()-38)</f>
        <v>33964.482002250646</v>
      </c>
      <c r="M48" s="1865">
        <f>INDEX('Eff (com)'!G$98:BI$98,1,ROW()-37)*L48</f>
        <v>182659.21709610068</v>
      </c>
      <c r="N48" s="724">
        <f>INDEX('Eff (W &amp; WW)'!G$90:BH$90,1,ROW()-37)</f>
        <v>1226.1988261416664</v>
      </c>
      <c r="O48" s="1865">
        <f>INDEX('Eff (com)'!G$98:BK$98,1,ROW()-37)*N48</f>
        <v>6594.4334900309295</v>
      </c>
      <c r="P48" s="925">
        <f t="shared" si="8"/>
        <v>72713.589203300115</v>
      </c>
      <c r="Q48" s="1837">
        <f>INDEX('Eff (res)'!G$111:BH$111,1,ROW()-37)</f>
        <v>10022.409404618773</v>
      </c>
      <c r="R48" s="1838">
        <f>INDEX('Eff (com)'!G$109:BH$109,1,ROW()-26)</f>
        <v>4687.0985163105897</v>
      </c>
      <c r="S48" s="1839">
        <f>INDEX('Eff (W &amp; WW)'!G$100:BH$100,1,ROW()-37)</f>
        <v>169.21543800754998</v>
      </c>
      <c r="T48" s="1840">
        <f t="shared" si="7"/>
        <v>14878.723358936912</v>
      </c>
    </row>
    <row r="49" spans="1:63">
      <c r="A49" s="858">
        <v>2026</v>
      </c>
      <c r="B49" s="1648">
        <v>24</v>
      </c>
      <c r="C49" s="1481">
        <f>VLOOKUP(Community_Name,'Population Forecast'!$A$2:$BL$267,B49+13,FALSE)</f>
        <v>89.409602912518977</v>
      </c>
      <c r="D49" s="1583">
        <f>MROUND(C49/'Eff (res)'!$I$10,1)</f>
        <v>41</v>
      </c>
      <c r="E49" s="724">
        <f t="shared" si="3"/>
        <v>289649.01791845117</v>
      </c>
      <c r="F49" s="1861">
        <f>INDEX('Eff (com)'!G$74:BH$74,1,ROW()-37)*E49</f>
        <v>221671.08080808408</v>
      </c>
      <c r="G49" s="924">
        <f t="shared" si="4"/>
        <v>330000</v>
      </c>
      <c r="H49" s="924">
        <f t="shared" si="5"/>
        <v>30548.903941810182</v>
      </c>
      <c r="I49" s="923">
        <f t="shared" si="6"/>
        <v>37.616560163122685</v>
      </c>
      <c r="J49" s="1548">
        <f>INDEX('Eff (res)'!G$94:BH$94,1,ROW()-37)</f>
        <v>37522.908374907805</v>
      </c>
      <c r="K49" s="1865">
        <f>INDEX('Eff (com)'!F$98:BG$98,1,ROW()-36)*J49</f>
        <v>205268.94667858823</v>
      </c>
      <c r="L49" s="924">
        <f>INDEX('Eff (com)'!G$93:BH$93,1,ROW()-38)</f>
        <v>33964.482002250646</v>
      </c>
      <c r="M49" s="1865">
        <f>INDEX('Eff (com)'!G$98:BI$98,1,ROW()-37)*L49</f>
        <v>185802.5869270851</v>
      </c>
      <c r="N49" s="724">
        <f>INDEX('Eff (W &amp; WW)'!G$90:BH$90,1,ROW()-37)</f>
        <v>1225.606199166237</v>
      </c>
      <c r="O49" s="1865">
        <f>INDEX('Eff (com)'!G$98:BK$98,1,ROW()-37)*N49</f>
        <v>6704.6746758531244</v>
      </c>
      <c r="P49" s="925">
        <f t="shared" si="8"/>
        <v>72712.996576324687</v>
      </c>
      <c r="Q49" s="1837">
        <f>INDEX('Eff (res)'!G$111:BH$111,1,ROW()-37)</f>
        <v>10022.409404618773</v>
      </c>
      <c r="R49" s="1838">
        <f>INDEX('Eff (com)'!G$109:BH$109,1,ROW()-26)</f>
        <v>4687.0985163105897</v>
      </c>
      <c r="S49" s="1839">
        <f>INDEX('Eff (W &amp; WW)'!G$100:BH$100,1,ROW()-37)</f>
        <v>169.13365548494073</v>
      </c>
      <c r="T49" s="1840">
        <f t="shared" si="7"/>
        <v>14878.641576414302</v>
      </c>
    </row>
    <row r="50" spans="1:63">
      <c r="A50" s="858">
        <v>2027</v>
      </c>
      <c r="B50" s="1648">
        <v>25</v>
      </c>
      <c r="C50" s="1481">
        <f>VLOOKUP(Community_Name,'Population Forecast'!$A$2:$BL$267,B50+13,FALSE)</f>
        <v>89.366390880816823</v>
      </c>
      <c r="D50" s="1583">
        <f>MROUND(C50/'Eff (res)'!$I$10,1)</f>
        <v>41</v>
      </c>
      <c r="E50" s="724">
        <f t="shared" si="3"/>
        <v>289502.13814274751</v>
      </c>
      <c r="F50" s="1861">
        <f>INDEX('Eff (com)'!G$74:BH$74,1,ROW()-37)*E50</f>
        <v>224099.6361909282</v>
      </c>
      <c r="G50" s="924">
        <f t="shared" si="4"/>
        <v>329000</v>
      </c>
      <c r="H50" s="924">
        <f t="shared" si="5"/>
        <v>30456.331505622878</v>
      </c>
      <c r="I50" s="923">
        <f t="shared" si="6"/>
        <v>37.597484966668688</v>
      </c>
      <c r="J50" s="1548">
        <f>INDEX('Eff (res)'!G$94:BH$94,1,ROW()-37)</f>
        <v>37522.908374907805</v>
      </c>
      <c r="K50" s="1865">
        <f>INDEX('Eff (com)'!F$98:BG$98,1,ROW()-36)*J50</f>
        <v>208826.58265833123</v>
      </c>
      <c r="L50" s="924">
        <f>INDEX('Eff (com)'!G$93:BH$93,1,ROW()-38)</f>
        <v>33964.482002250646</v>
      </c>
      <c r="M50" s="1865">
        <f>INDEX('Eff (com)'!G$98:BI$98,1,ROW()-37)*L50</f>
        <v>189022.8400587785</v>
      </c>
      <c r="N50" s="724">
        <f>INDEX('Eff (W &amp; WW)'!G$90:BH$90,1,ROW()-37)</f>
        <v>1225.0138586098815</v>
      </c>
      <c r="O50" s="1865">
        <f>INDEX('Eff (com)'!G$98:BK$98,1,ROW()-37)*N50</f>
        <v>6817.5807495152949</v>
      </c>
      <c r="P50" s="925">
        <f t="shared" si="8"/>
        <v>72712.404235768321</v>
      </c>
      <c r="Q50" s="1837">
        <f>INDEX('Eff (res)'!G$111:BH$111,1,ROW()-37)</f>
        <v>10022.409404618773</v>
      </c>
      <c r="R50" s="1838">
        <f>INDEX('Eff (com)'!G$109:BH$109,1,ROW()-26)</f>
        <v>4687.0985163105897</v>
      </c>
      <c r="S50" s="1839">
        <f>INDEX('Eff (W &amp; WW)'!G$100:BH$100,1,ROW()-37)</f>
        <v>169.05191248816365</v>
      </c>
      <c r="T50" s="1840">
        <f t="shared" si="7"/>
        <v>14878.559833417525</v>
      </c>
    </row>
    <row r="51" spans="1:63">
      <c r="A51" s="858">
        <v>2028</v>
      </c>
      <c r="B51" s="1648">
        <v>26</v>
      </c>
      <c r="C51" s="1481">
        <f>VLOOKUP(Community_Name,'Population Forecast'!$A$2:$BL$267,B51+13,FALSE)</f>
        <v>89.323199733668702</v>
      </c>
      <c r="D51" s="1583">
        <f>MROUND(C51/'Eff (res)'!$I$10,1)</f>
        <v>41</v>
      </c>
      <c r="E51" s="724">
        <f t="shared" si="3"/>
        <v>289355.32935464825</v>
      </c>
      <c r="F51" s="1861">
        <f>INDEX('Eff (com)'!G$74:BH$74,1,ROW()-37)*E51</f>
        <v>226587.81397673293</v>
      </c>
      <c r="G51" s="924">
        <f t="shared" si="4"/>
        <v>329000</v>
      </c>
      <c r="H51" s="924">
        <f t="shared" si="5"/>
        <v>30456.331505622878</v>
      </c>
      <c r="I51" s="923">
        <f t="shared" si="6"/>
        <v>37.578418989336193</v>
      </c>
      <c r="J51" s="1548">
        <f>INDEX('Eff (res)'!G$94:BH$94,1,ROW()-37)</f>
        <v>37522.908374907805</v>
      </c>
      <c r="K51" s="1865">
        <f>INDEX('Eff (com)'!F$98:BG$98,1,ROW()-36)*J51</f>
        <v>212471.27301846474</v>
      </c>
      <c r="L51" s="924">
        <f>INDEX('Eff (com)'!G$93:BH$93,1,ROW()-38)</f>
        <v>33964.482002250646</v>
      </c>
      <c r="M51" s="1865">
        <f>INDEX('Eff (com)'!G$98:BI$98,1,ROW()-37)*L51</f>
        <v>192321.89190475192</v>
      </c>
      <c r="N51" s="724">
        <f>INDEX('Eff (W &amp; WW)'!G$90:BH$90,1,ROW()-37)</f>
        <v>1224.4218043341721</v>
      </c>
      <c r="O51" s="1865">
        <f>INDEX('Eff (com)'!G$98:BK$98,1,ROW()-37)*N51</f>
        <v>6933.216819952494</v>
      </c>
      <c r="P51" s="925">
        <f t="shared" si="8"/>
        <v>72711.812181492613</v>
      </c>
      <c r="Q51" s="1837">
        <f>INDEX('Eff (res)'!G$111:BH$111,1,ROW()-37)</f>
        <v>10022.409404618773</v>
      </c>
      <c r="R51" s="1838">
        <f>INDEX('Eff (com)'!G$109:BH$109,1,ROW()-26)</f>
        <v>4687.0985163105897</v>
      </c>
      <c r="S51" s="1839">
        <f>INDEX('Eff (W &amp; WW)'!G$100:BH$100,1,ROW()-37)</f>
        <v>168.97020899811577</v>
      </c>
      <c r="T51" s="1840">
        <f t="shared" si="7"/>
        <v>14878.478129927478</v>
      </c>
    </row>
    <row r="52" spans="1:63">
      <c r="A52" s="858">
        <v>2029</v>
      </c>
      <c r="B52" s="1648">
        <v>27</v>
      </c>
      <c r="C52" s="1481">
        <f>VLOOKUP(Community_Name,'Population Forecast'!$A$2:$BL$267,B52+13,FALSE)</f>
        <v>89.280029460981041</v>
      </c>
      <c r="D52" s="1583">
        <f>MROUND(C52/'Eff (res)'!$I$10,1)</f>
        <v>41</v>
      </c>
      <c r="E52" s="724">
        <f t="shared" si="3"/>
        <v>289208.59151984489</v>
      </c>
      <c r="F52" s="1861">
        <f>INDEX('Eff (com)'!G$74:BH$74,1,ROW()-37)*E52</f>
        <v>229137.06059119248</v>
      </c>
      <c r="G52" s="924">
        <f t="shared" si="4"/>
        <v>329000</v>
      </c>
      <c r="H52" s="924">
        <f t="shared" si="5"/>
        <v>30456.331505622878</v>
      </c>
      <c r="I52" s="923">
        <f t="shared" si="6"/>
        <v>37.559362226669585</v>
      </c>
      <c r="J52" s="1548">
        <f>INDEX('Eff (res)'!G$94:BH$94,1,ROW()-37)</f>
        <v>37522.908374907805</v>
      </c>
      <c r="K52" s="1865">
        <f>INDEX('Eff (com)'!F$98:BG$98,1,ROW()-36)*J52</f>
        <v>216205.17490020936</v>
      </c>
      <c r="L52" s="924">
        <f>INDEX('Eff (com)'!G$93:BH$93,1,ROW()-38)</f>
        <v>33964.482002250646</v>
      </c>
      <c r="M52" s="1865">
        <f>INDEX('Eff (com)'!G$98:BI$98,1,ROW()-37)*L52</f>
        <v>195701.69503710963</v>
      </c>
      <c r="N52" s="724">
        <f>INDEX('Eff (W &amp; WW)'!G$90:BH$90,1,ROW()-37)</f>
        <v>1223.8300362007485</v>
      </c>
      <c r="O52" s="1865">
        <f>INDEX('Eff (com)'!G$98:BK$98,1,ROW()-37)*N52</f>
        <v>7051.6492053652682</v>
      </c>
      <c r="P52" s="925">
        <f t="shared" si="8"/>
        <v>72711.220413359188</v>
      </c>
      <c r="Q52" s="1837">
        <f>INDEX('Eff (res)'!G$111:BH$111,1,ROW()-37)</f>
        <v>10022.409404618773</v>
      </c>
      <c r="R52" s="1838">
        <f>INDEX('Eff (com)'!G$109:BH$109,1,ROW()-26)</f>
        <v>4687.0985163105897</v>
      </c>
      <c r="S52" s="1839">
        <f>INDEX('Eff (W &amp; WW)'!G$100:BH$100,1,ROW()-37)</f>
        <v>168.88854499570331</v>
      </c>
      <c r="T52" s="1840">
        <f t="shared" si="7"/>
        <v>14878.396465925065</v>
      </c>
    </row>
    <row r="53" spans="1:63">
      <c r="A53" s="858">
        <v>2030</v>
      </c>
      <c r="B53" s="1648">
        <v>28</v>
      </c>
      <c r="C53" s="1481">
        <f>VLOOKUP(Community_Name,'Population Forecast'!$A$2:$BL$267,B53+13,FALSE)</f>
        <v>89.2368800526651</v>
      </c>
      <c r="D53" s="1583">
        <f>MROUND(C53/'Eff (res)'!$I$10,1)</f>
        <v>41</v>
      </c>
      <c r="E53" s="724">
        <f t="shared" si="3"/>
        <v>289061.92460404529</v>
      </c>
      <c r="F53" s="1861">
        <f>INDEX('Eff (com)'!G$74:BH$74,1,ROW()-37)*E53</f>
        <v>231748.85259431455</v>
      </c>
      <c r="G53" s="924">
        <f t="shared" si="4"/>
        <v>329000</v>
      </c>
      <c r="H53" s="924">
        <f t="shared" si="5"/>
        <v>30456.331505622878</v>
      </c>
      <c r="I53" s="923">
        <f t="shared" si="6"/>
        <v>37.540314674215367</v>
      </c>
      <c r="J53" s="1548">
        <f>INDEX('Eff (res)'!G$94:BH$94,1,ROW()-37)</f>
        <v>37522.908374907805</v>
      </c>
      <c r="K53" s="1865">
        <f>INDEX('Eff (com)'!F$98:BG$98,1,ROW()-36)*J53</f>
        <v>220030.49195204044</v>
      </c>
      <c r="L53" s="924">
        <f>INDEX('Eff (com)'!G$93:BH$93,1,ROW()-38)</f>
        <v>33964.482002250646</v>
      </c>
      <c r="M53" s="1865">
        <f>INDEX('Eff (com)'!G$98:BI$98,1,ROW()-37)*L53</f>
        <v>199164.24412476784</v>
      </c>
      <c r="N53" s="724">
        <f>INDEX('Eff (W &amp; WW)'!G$90:BH$90,1,ROW()-37)</f>
        <v>1223.2385540713165</v>
      </c>
      <c r="O53" s="1865">
        <f>INDEX('Eff (com)'!G$98:BK$98,1,ROW()-37)*N53</f>
        <v>7172.9456079955498</v>
      </c>
      <c r="P53" s="925">
        <f t="shared" si="8"/>
        <v>72710.628931229759</v>
      </c>
      <c r="Q53" s="1837">
        <f>INDEX('Eff (res)'!G$111:BH$111,1,ROW()-37)</f>
        <v>10022.409404618773</v>
      </c>
      <c r="R53" s="1838">
        <f>INDEX('Eff (com)'!G$109:BH$109,1,ROW()-26)</f>
        <v>4687.0985163105897</v>
      </c>
      <c r="S53" s="1839">
        <f>INDEX('Eff (W &amp; WW)'!G$100:BH$100,1,ROW()-37)</f>
        <v>168.80692046184168</v>
      </c>
      <c r="T53" s="1840">
        <f t="shared" si="7"/>
        <v>14878.314841391204</v>
      </c>
    </row>
    <row r="54" spans="1:63">
      <c r="A54" s="858">
        <v>2031</v>
      </c>
      <c r="B54" s="1648">
        <v>29</v>
      </c>
      <c r="C54" s="1481">
        <f>VLOOKUP(Community_Name,'Population Forecast'!$A$2:$BL$267,B54+13,FALSE)</f>
        <v>89.19375149863707</v>
      </c>
      <c r="D54" s="1583">
        <f>MROUND(C54/'Eff (res)'!$I$10,1)</f>
        <v>41</v>
      </c>
      <c r="E54" s="724">
        <f t="shared" si="3"/>
        <v>288915.32857297407</v>
      </c>
      <c r="F54" s="1861">
        <f>INDEX('Eff (com)'!G$74:BH$74,1,ROW()-37)*E54</f>
        <v>234424.71974219402</v>
      </c>
      <c r="G54" s="924">
        <f t="shared" si="4"/>
        <v>329000</v>
      </c>
      <c r="H54" s="924">
        <f t="shared" si="5"/>
        <v>30456.331505622878</v>
      </c>
      <c r="I54" s="923">
        <f t="shared" si="6"/>
        <v>37.521276327522209</v>
      </c>
      <c r="J54" s="1548">
        <f>INDEX('Eff (res)'!G$94:BH$94,1,ROW()-37)</f>
        <v>37522.908374907805</v>
      </c>
      <c r="K54" s="1865">
        <f>INDEX('Eff (com)'!F$98:BG$98,1,ROW()-36)*J54</f>
        <v>223949.5067971524</v>
      </c>
      <c r="L54" s="924">
        <f>INDEX('Eff (com)'!G$93:BH$93,1,ROW()-38)</f>
        <v>33964.482002250646</v>
      </c>
      <c r="M54" s="1865">
        <f>INDEX('Eff (com)'!G$98:BI$98,1,ROW()-37)*L54</f>
        <v>202711.60532191771</v>
      </c>
      <c r="N54" s="724">
        <f>INDEX('Eff (W &amp; WW)'!G$90:BH$90,1,ROW()-37)</f>
        <v>1222.6473578076493</v>
      </c>
      <c r="O54" s="1865">
        <f>INDEX('Eff (com)'!G$98:BK$98,1,ROW()-37)*N54</f>
        <v>7297.1761685447273</v>
      </c>
      <c r="P54" s="925">
        <f t="shared" si="8"/>
        <v>72710.037734966099</v>
      </c>
      <c r="Q54" s="1837">
        <f>INDEX('Eff (res)'!G$111:BH$111,1,ROW()-37)</f>
        <v>10022.409404618773</v>
      </c>
      <c r="R54" s="1838">
        <f>INDEX('Eff (com)'!G$109:BH$109,1,ROW()-26)</f>
        <v>4687.0985163105897</v>
      </c>
      <c r="S54" s="1839">
        <f>INDEX('Eff (W &amp; WW)'!G$100:BH$100,1,ROW()-37)</f>
        <v>168.72533537745562</v>
      </c>
      <c r="T54" s="1840">
        <f t="shared" si="7"/>
        <v>14878.233256306818</v>
      </c>
    </row>
    <row r="55" spans="1:63">
      <c r="A55" s="858">
        <v>2032</v>
      </c>
      <c r="B55" s="1648">
        <v>30</v>
      </c>
      <c r="C55" s="1481">
        <f>VLOOKUP(Community_Name,'Population Forecast'!$A$2:$BL$267,B55+13,FALSE)</f>
        <v>89.150643788817987</v>
      </c>
      <c r="D55" s="1583">
        <f>MROUND(C55/'Eff (res)'!$I$10,1)</f>
        <v>41</v>
      </c>
      <c r="E55" s="724">
        <f t="shared" si="3"/>
        <v>288768.80339237239</v>
      </c>
      <c r="F55" s="1861">
        <f>INDEX('Eff (com)'!G$74:BH$74,1,ROW()-37)*E55</f>
        <v>237166.21275912106</v>
      </c>
      <c r="G55" s="924">
        <f t="shared" si="4"/>
        <v>329000</v>
      </c>
      <c r="H55" s="924">
        <f t="shared" si="5"/>
        <v>30456.331505622878</v>
      </c>
      <c r="I55" s="923">
        <f t="shared" si="6"/>
        <v>37.50224718214092</v>
      </c>
      <c r="J55" s="1548">
        <f>INDEX('Eff (res)'!G$94:BH$94,1,ROW()-37)</f>
        <v>37522.908374907805</v>
      </c>
      <c r="K55" s="1865">
        <f>INDEX('Eff (com)'!F$98:BG$98,1,ROW()-36)*J55</f>
        <v>227964.53599124766</v>
      </c>
      <c r="L55" s="924">
        <f>INDEX('Eff (com)'!G$93:BH$93,1,ROW()-38)</f>
        <v>33964.482002250646</v>
      </c>
      <c r="M55" s="1865">
        <f>INDEX('Eff (com)'!G$98:BI$98,1,ROW()-37)*L55</f>
        <v>206345.87549732212</v>
      </c>
      <c r="N55" s="724">
        <f>INDEX('Eff (W &amp; WW)'!G$90:BH$90,1,ROW()-37)</f>
        <v>1222.0564472715873</v>
      </c>
      <c r="O55" s="1865">
        <f>INDEX('Eff (com)'!G$98:BK$98,1,ROW()-37)*N55</f>
        <v>7424.4119931725445</v>
      </c>
      <c r="P55" s="925">
        <f t="shared" si="8"/>
        <v>72709.446824430037</v>
      </c>
      <c r="Q55" s="1837">
        <f>INDEX('Eff (res)'!G$111:BH$111,1,ROW()-37)</f>
        <v>10022.409404618773</v>
      </c>
      <c r="R55" s="1838">
        <f>INDEX('Eff (com)'!G$109:BH$109,1,ROW()-26)</f>
        <v>4687.0985163105897</v>
      </c>
      <c r="S55" s="1839">
        <f>INDEX('Eff (W &amp; WW)'!G$100:BH$100,1,ROW()-37)</f>
        <v>168.64378972347907</v>
      </c>
      <c r="T55" s="1840">
        <f t="shared" si="7"/>
        <v>14878.151710652841</v>
      </c>
    </row>
    <row r="56" spans="1:63">
      <c r="A56" s="858">
        <v>2033</v>
      </c>
      <c r="B56" s="1648">
        <v>31</v>
      </c>
      <c r="C56" s="1481">
        <f>VLOOKUP(Community_Name,'Population Forecast'!$A$2:$BL$267,B56+13,FALSE)</f>
        <v>89.107556913133735</v>
      </c>
      <c r="D56" s="1583">
        <f>MROUND(C56/'Eff (res)'!$I$10,1)</f>
        <v>41</v>
      </c>
      <c r="E56" s="724">
        <f t="shared" si="3"/>
        <v>288622.34902799776</v>
      </c>
      <c r="F56" s="1861">
        <f>INDEX('Eff (com)'!G$74:BH$74,1,ROW()-37)*E56</f>
        <v>239970.94070784812</v>
      </c>
      <c r="G56" s="924">
        <f t="shared" si="4"/>
        <v>328000</v>
      </c>
      <c r="H56" s="924">
        <f t="shared" si="5"/>
        <v>30363.759069435575</v>
      </c>
      <c r="I56" s="923">
        <f t="shared" si="6"/>
        <v>37.483227233624469</v>
      </c>
      <c r="J56" s="1548">
        <f>INDEX('Eff (res)'!G$94:BH$94,1,ROW()-37)</f>
        <v>37522.908374907805</v>
      </c>
      <c r="K56" s="1865">
        <f>INDEX('Eff (com)'!F$98:BG$98,1,ROW()-36)*J56</f>
        <v>232072.36506253891</v>
      </c>
      <c r="L56" s="924">
        <f>INDEX('Eff (com)'!G$93:BH$93,1,ROW()-38)</f>
        <v>33964.482002250646</v>
      </c>
      <c r="M56" s="1865">
        <f>INDEX('Eff (com)'!G$98:BI$98,1,ROW()-37)*L56</f>
        <v>210064.14501860191</v>
      </c>
      <c r="N56" s="724">
        <f>INDEX('Eff (W &amp; WW)'!G$90:BH$90,1,ROW()-37)</f>
        <v>1221.4658223250367</v>
      </c>
      <c r="O56" s="1865">
        <f>INDEX('Eff (com)'!G$98:BK$98,1,ROW()-37)*N56</f>
        <v>7554.5439974367846</v>
      </c>
      <c r="P56" s="925">
        <f t="shared" si="8"/>
        <v>72708.856199483474</v>
      </c>
      <c r="Q56" s="1837">
        <f>INDEX('Eff (res)'!G$111:BH$111,1,ROW()-37)</f>
        <v>10022.409404618773</v>
      </c>
      <c r="R56" s="1838">
        <f>INDEX('Eff (com)'!G$109:BH$109,1,ROW()-26)</f>
        <v>4687.0985163105897</v>
      </c>
      <c r="S56" s="1839">
        <f>INDEX('Eff (W &amp; WW)'!G$100:BH$100,1,ROW()-37)</f>
        <v>168.56228348085509</v>
      </c>
      <c r="T56" s="1840">
        <f t="shared" si="7"/>
        <v>14878.070204410216</v>
      </c>
    </row>
    <row r="57" spans="1:63">
      <c r="A57" s="858">
        <v>2034</v>
      </c>
      <c r="B57" s="1648">
        <v>32</v>
      </c>
      <c r="C57" s="1481">
        <f>VLOOKUP(Community_Name,'Population Forecast'!$A$2:$BL$267,B57+13,FALSE)</f>
        <v>89.064490861515097</v>
      </c>
      <c r="D57" s="1583">
        <f>MROUND(C57/'Eff (res)'!$I$10,1)</f>
        <v>41</v>
      </c>
      <c r="E57" s="724">
        <f t="shared" si="3"/>
        <v>288475.96544562455</v>
      </c>
      <c r="F57" s="1861">
        <f>INDEX('Eff (com)'!G$74:BH$74,1,ROW()-37)*E57</f>
        <v>242722.71067756347</v>
      </c>
      <c r="G57" s="924">
        <f t="shared" si="4"/>
        <v>328000</v>
      </c>
      <c r="H57" s="924">
        <f t="shared" si="5"/>
        <v>30363.759069435575</v>
      </c>
      <c r="I57" s="923">
        <f t="shared" si="6"/>
        <v>37.464216477527977</v>
      </c>
      <c r="J57" s="1548">
        <f>INDEX('Eff (res)'!G$94:BH$94,1,ROW()-37)</f>
        <v>37522.908374907805</v>
      </c>
      <c r="K57" s="1865">
        <f>INDEX('Eff (com)'!F$98:BG$98,1,ROW()-36)*J57</f>
        <v>236109.87048402775</v>
      </c>
      <c r="L57" s="924">
        <f>INDEX('Eff (com)'!G$93:BH$93,1,ROW()-38)</f>
        <v>33964.482002250646</v>
      </c>
      <c r="M57" s="1865">
        <f>INDEX('Eff (com)'!G$98:BI$98,1,ROW()-37)*L57</f>
        <v>213718.75992350219</v>
      </c>
      <c r="N57" s="724">
        <f>INDEX('Eff (W &amp; WW)'!G$90:BH$90,1,ROW()-37)</f>
        <v>1220.8754828299709</v>
      </c>
      <c r="O57" s="1865">
        <f>INDEX('Eff (com)'!G$98:BK$98,1,ROW()-37)*N57</f>
        <v>7682.2603740618897</v>
      </c>
      <c r="P57" s="925">
        <f t="shared" si="8"/>
        <v>72708.265859988416</v>
      </c>
      <c r="Q57" s="1837">
        <f>INDEX('Eff (res)'!G$111:BH$111,1,ROW()-37)</f>
        <v>10022.409404618773</v>
      </c>
      <c r="R57" s="1838">
        <f>INDEX('Eff (com)'!G$109:BH$109,1,ROW()-26)</f>
        <v>4687.0985163105897</v>
      </c>
      <c r="S57" s="1839">
        <f>INDEX('Eff (W &amp; WW)'!G$100:BH$100,1,ROW()-37)</f>
        <v>168.480816630536</v>
      </c>
      <c r="T57" s="1840">
        <f t="shared" si="7"/>
        <v>14877.988737559897</v>
      </c>
    </row>
    <row r="58" spans="1:63">
      <c r="A58" s="858">
        <v>2035</v>
      </c>
      <c r="B58" s="1648">
        <v>33</v>
      </c>
      <c r="C58" s="1481">
        <f>VLOOKUP(Community_Name,'Population Forecast'!$A$2:$BL$267,B58+13,FALSE)</f>
        <v>89.021445623897719</v>
      </c>
      <c r="D58" s="1583">
        <f>MROUND(C58/'Eff (res)'!$I$10,1)</f>
        <v>41</v>
      </c>
      <c r="E58" s="724">
        <f t="shared" si="3"/>
        <v>288329.65261104342</v>
      </c>
      <c r="F58" s="1861">
        <f>INDEX('Eff (com)'!G$74:BH$74,1,ROW()-37)*E58</f>
        <v>245621.21111761348</v>
      </c>
      <c r="G58" s="924">
        <f t="shared" si="4"/>
        <v>328000</v>
      </c>
      <c r="H58" s="924">
        <f t="shared" si="5"/>
        <v>30363.759069435575</v>
      </c>
      <c r="I58" s="923">
        <f t="shared" si="6"/>
        <v>37.445214909408705</v>
      </c>
      <c r="J58" s="1548">
        <f>INDEX('Eff (res)'!G$94:BH$94,1,ROW()-37)</f>
        <v>37522.908374907805</v>
      </c>
      <c r="K58" s="1865">
        <f>INDEX('Eff (com)'!F$98:BG$98,1,ROW()-36)*J58</f>
        <v>240357.6654981575</v>
      </c>
      <c r="L58" s="924">
        <f>INDEX('Eff (com)'!G$93:BH$93,1,ROW()-38)</f>
        <v>33964.482002250646</v>
      </c>
      <c r="M58" s="1865">
        <f>INDEX('Eff (com)'!G$98:BI$98,1,ROW()-37)*L58</f>
        <v>217563.72193617866</v>
      </c>
      <c r="N58" s="724">
        <f>INDEX('Eff (W &amp; WW)'!G$90:BH$90,1,ROW()-37)</f>
        <v>1220.2854286484301</v>
      </c>
      <c r="O58" s="1865">
        <f>INDEX('Eff (com)'!G$98:BK$98,1,ROW()-37)*N58</f>
        <v>7816.6903786033017</v>
      </c>
      <c r="P58" s="925">
        <f t="shared" si="8"/>
        <v>72707.675805806881</v>
      </c>
      <c r="Q58" s="1837">
        <f>INDEX('Eff (res)'!G$111:BH$111,1,ROW()-37)</f>
        <v>10022.409404618773</v>
      </c>
      <c r="R58" s="1838">
        <f>INDEX('Eff (com)'!G$109:BH$109,1,ROW()-26)</f>
        <v>4687.0985163105897</v>
      </c>
      <c r="S58" s="1839">
        <f>INDEX('Eff (W &amp; WW)'!G$100:BH$100,1,ROW()-37)</f>
        <v>168.39938915348336</v>
      </c>
      <c r="T58" s="1840">
        <f t="shared" si="7"/>
        <v>14877.907310082845</v>
      </c>
    </row>
    <row r="59" spans="1:63">
      <c r="A59" s="858">
        <v>2036</v>
      </c>
      <c r="B59" s="1648">
        <v>34</v>
      </c>
      <c r="C59" s="1481">
        <f>VLOOKUP(Community_Name,'Population Forecast'!$A$2:$BL$267,B59+13,FALSE)</f>
        <v>88.978421190222122</v>
      </c>
      <c r="D59" s="1583">
        <f>MROUND(C59/'Eff (res)'!$I$10,1)</f>
        <v>41</v>
      </c>
      <c r="E59" s="724">
        <f t="shared" si="3"/>
        <v>288183.41049006185</v>
      </c>
      <c r="F59" s="1861">
        <f>INDEX('Eff (com)'!G$74:BH$74,1,ROW()-37)*E59</f>
        <v>248600.02307296719</v>
      </c>
      <c r="G59" s="924">
        <f t="shared" si="4"/>
        <v>328000</v>
      </c>
      <c r="H59" s="924">
        <f t="shared" si="5"/>
        <v>30363.759069435575</v>
      </c>
      <c r="I59" s="923">
        <f t="shared" si="6"/>
        <v>37.426222524826088</v>
      </c>
      <c r="J59" s="1548">
        <f>INDEX('Eff (res)'!G$94:BH$94,1,ROW()-37)</f>
        <v>37522.908374907805</v>
      </c>
      <c r="K59" s="1865">
        <f>INDEX('Eff (com)'!F$98:BG$98,1,ROW()-36)*J59</f>
        <v>244722.64774516664</v>
      </c>
      <c r="L59" s="924">
        <f>INDEX('Eff (com)'!G$93:BH$93,1,ROW()-38)</f>
        <v>33964.482002250646</v>
      </c>
      <c r="M59" s="1865">
        <f>INDEX('Eff (com)'!G$98:BI$98,1,ROW()-37)*L59</f>
        <v>221514.7579136517</v>
      </c>
      <c r="N59" s="724">
        <f>INDEX('Eff (W &amp; WW)'!G$90:BH$90,1,ROW()-37)</f>
        <v>1219.6956596425209</v>
      </c>
      <c r="O59" s="1865">
        <f>INDEX('Eff (com)'!G$98:BK$98,1,ROW()-37)*N59</f>
        <v>7954.7978607811929</v>
      </c>
      <c r="P59" s="925">
        <f t="shared" si="8"/>
        <v>72707.08603680096</v>
      </c>
      <c r="Q59" s="1837">
        <f>INDEX('Eff (res)'!G$111:BH$111,1,ROW()-37)</f>
        <v>10022.409404618773</v>
      </c>
      <c r="R59" s="1838">
        <f>INDEX('Eff (com)'!G$109:BH$109,1,ROW()-26)</f>
        <v>4687.0985163105897</v>
      </c>
      <c r="S59" s="1839">
        <f>INDEX('Eff (W &amp; WW)'!G$100:BH$100,1,ROW()-37)</f>
        <v>168.31800103066792</v>
      </c>
      <c r="T59" s="1840">
        <f t="shared" si="7"/>
        <v>14877.82592196003</v>
      </c>
      <c r="BG59" s="8"/>
      <c r="BH59" s="8"/>
      <c r="BI59" s="8"/>
      <c r="BJ59" s="8"/>
      <c r="BK59" s="8"/>
    </row>
    <row r="60" spans="1:63">
      <c r="A60" s="858">
        <v>2037</v>
      </c>
      <c r="B60" s="1648">
        <v>35</v>
      </c>
      <c r="C60" s="1481">
        <f>VLOOKUP(Community_Name,'Population Forecast'!$A$2:$BL$267,B60+13,FALSE)</f>
        <v>88.935417550433655</v>
      </c>
      <c r="D60" s="1583">
        <f>MROUND(C60/'Eff (res)'!$I$10,1)</f>
        <v>41</v>
      </c>
      <c r="E60" s="724">
        <f t="shared" si="3"/>
        <v>288037.23904850346</v>
      </c>
      <c r="F60" s="1861">
        <f>INDEX('Eff (com)'!G$74:BH$74,1,ROW()-37)*E60</f>
        <v>251515.99380636585</v>
      </c>
      <c r="G60" s="924">
        <f t="shared" si="4"/>
        <v>328000</v>
      </c>
      <c r="H60" s="924">
        <f t="shared" si="5"/>
        <v>30363.759069435575</v>
      </c>
      <c r="I60" s="923">
        <f t="shared" si="6"/>
        <v>37.407239319341642</v>
      </c>
      <c r="J60" s="1548">
        <f>INDEX('Eff (res)'!G$94:BH$94,1,ROW()-37)</f>
        <v>37522.908374907805</v>
      </c>
      <c r="K60" s="1865">
        <f>INDEX('Eff (com)'!F$98:BG$98,1,ROW()-36)*J60</f>
        <v>249003.54322167384</v>
      </c>
      <c r="L60" s="924">
        <f>INDEX('Eff (com)'!G$93:BH$93,1,ROW()-38)</f>
        <v>33964.482002250646</v>
      </c>
      <c r="M60" s="1865">
        <f>INDEX('Eff (com)'!G$98:BI$98,1,ROW()-37)*L60</f>
        <v>225389.68135808749</v>
      </c>
      <c r="N60" s="724">
        <f>INDEX('Eff (W &amp; WW)'!G$90:BH$90,1,ROW()-37)</f>
        <v>1219.1061756744173</v>
      </c>
      <c r="O60" s="1865">
        <f>INDEX('Eff (com)'!G$98:BK$98,1,ROW()-37)*N60</f>
        <v>8090.0380714985058</v>
      </c>
      <c r="P60" s="925">
        <f t="shared" si="8"/>
        <v>72706.496552832861</v>
      </c>
      <c r="Q60" s="1837">
        <f>INDEX('Eff (res)'!G$111:BH$111,1,ROW()-37)</f>
        <v>10022.409404618773</v>
      </c>
      <c r="R60" s="1838">
        <f>INDEX('Eff (com)'!G$109:BH$109,1,ROW()-26)</f>
        <v>4687.0985163105897</v>
      </c>
      <c r="S60" s="1839">
        <f>INDEX('Eff (W &amp; WW)'!G$100:BH$100,1,ROW()-37)</f>
        <v>168.23665224306959</v>
      </c>
      <c r="T60" s="1840">
        <f t="shared" si="7"/>
        <v>14877.744573172431</v>
      </c>
      <c r="BG60" s="8"/>
      <c r="BH60" s="8"/>
      <c r="BI60" s="8"/>
      <c r="BJ60" s="8"/>
      <c r="BK60" s="8"/>
    </row>
    <row r="61" spans="1:63">
      <c r="A61" s="858">
        <v>2038</v>
      </c>
      <c r="B61" s="1648">
        <v>36</v>
      </c>
      <c r="C61" s="1481">
        <f>VLOOKUP(Community_Name,'Population Forecast'!$A$2:$BL$267,B61+13,FALSE)</f>
        <v>88.892434694482546</v>
      </c>
      <c r="D61" s="1583">
        <f>MROUND(C61/'Eff (res)'!$I$10,1)</f>
        <v>41</v>
      </c>
      <c r="E61" s="724">
        <f t="shared" si="3"/>
        <v>287891.13825220865</v>
      </c>
      <c r="F61" s="1861">
        <f>INDEX('Eff (com)'!G$74:BH$74,1,ROW()-37)*E61</f>
        <v>254657.45736858583</v>
      </c>
      <c r="G61" s="924">
        <f t="shared" si="4"/>
        <v>328000</v>
      </c>
      <c r="H61" s="924">
        <f t="shared" si="5"/>
        <v>30363.759069435575</v>
      </c>
      <c r="I61" s="923">
        <f t="shared" si="6"/>
        <v>37.388265288519101</v>
      </c>
      <c r="J61" s="1548">
        <f>INDEX('Eff (res)'!G$94:BH$94,1,ROW()-37)</f>
        <v>37522.908374907805</v>
      </c>
      <c r="K61" s="1865">
        <f>INDEX('Eff (com)'!F$98:BG$98,1,ROW()-36)*J61</f>
        <v>253606.17998192942</v>
      </c>
      <c r="L61" s="924">
        <f>INDEX('Eff (com)'!G$93:BH$93,1,ROW()-38)</f>
        <v>33964.482002250646</v>
      </c>
      <c r="M61" s="1865">
        <f>INDEX('Eff (com)'!G$98:BI$98,1,ROW()-37)*L61</f>
        <v>229555.83425446411</v>
      </c>
      <c r="N61" s="724">
        <f>INDEX('Eff (W &amp; WW)'!G$90:BH$90,1,ROW()-37)</f>
        <v>1218.5169766063586</v>
      </c>
      <c r="O61" s="1865">
        <f>INDEX('Eff (com)'!G$98:BK$98,1,ROW()-37)*N61</f>
        <v>8235.5939095306858</v>
      </c>
      <c r="P61" s="925">
        <f t="shared" si="8"/>
        <v>72705.907353764807</v>
      </c>
      <c r="Q61" s="1837">
        <f>INDEX('Eff (res)'!G$111:BH$111,1,ROW()-37)</f>
        <v>10022.409404618773</v>
      </c>
      <c r="R61" s="1838">
        <f>INDEX('Eff (com)'!G$109:BH$109,1,ROW()-26)</f>
        <v>4687.0985163105897</v>
      </c>
      <c r="S61" s="1839">
        <f>INDEX('Eff (W &amp; WW)'!G$100:BH$100,1,ROW()-37)</f>
        <v>168.15534277167751</v>
      </c>
      <c r="T61" s="1840">
        <f t="shared" si="7"/>
        <v>14877.663263701039</v>
      </c>
      <c r="U61" s="1558"/>
      <c r="V61" s="1558"/>
      <c r="W61" s="1558"/>
      <c r="X61" s="1558"/>
      <c r="Y61" s="1558"/>
      <c r="Z61" s="1558"/>
      <c r="AA61" s="1558"/>
      <c r="AB61" s="1558"/>
      <c r="AC61" s="1558"/>
      <c r="AD61" s="9"/>
      <c r="AE61" s="9"/>
      <c r="BG61" s="8"/>
      <c r="BH61" s="8"/>
      <c r="BI61" s="8"/>
      <c r="BJ61" s="8"/>
      <c r="BK61" s="8"/>
    </row>
    <row r="62" spans="1:63">
      <c r="A62" s="858">
        <v>2039</v>
      </c>
      <c r="B62" s="1648">
        <v>37</v>
      </c>
      <c r="C62" s="1481">
        <f>VLOOKUP(Community_Name,'Population Forecast'!$A$2:$BL$267,B62+13,FALSE)</f>
        <v>88.849472612323908</v>
      </c>
      <c r="D62" s="1583">
        <f>MROUND(C62/'Eff (res)'!$I$10,1)</f>
        <v>41</v>
      </c>
      <c r="E62" s="724">
        <f t="shared" si="3"/>
        <v>287745.10806703439</v>
      </c>
      <c r="F62" s="1861">
        <f>INDEX('Eff (com)'!G$74:BH$74,1,ROW()-37)*E62</f>
        <v>258053.35330829848</v>
      </c>
      <c r="G62" s="924">
        <f t="shared" si="4"/>
        <v>327000</v>
      </c>
      <c r="H62" s="924">
        <f t="shared" si="5"/>
        <v>30271.186633248271</v>
      </c>
      <c r="I62" s="923">
        <f t="shared" si="6"/>
        <v>37.369300427924323</v>
      </c>
      <c r="J62" s="1548">
        <f>INDEX('Eff (res)'!G$94:BH$94,1,ROW()-37)</f>
        <v>37522.908374907805</v>
      </c>
      <c r="K62" s="1865">
        <f>INDEX('Eff (com)'!F$98:BG$98,1,ROW()-36)*J62</f>
        <v>258571.81081282636</v>
      </c>
      <c r="L62" s="924">
        <f>INDEX('Eff (com)'!G$93:BH$93,1,ROW()-38)</f>
        <v>33964.482002250646</v>
      </c>
      <c r="M62" s="1865">
        <f>INDEX('Eff (com)'!G$98:BI$98,1,ROW()-37)*L62</f>
        <v>234050.55724610202</v>
      </c>
      <c r="N62" s="724">
        <f>INDEX('Eff (W &amp; WW)'!G$90:BH$90,1,ROW()-37)</f>
        <v>1217.9280623006521</v>
      </c>
      <c r="O62" s="1865">
        <f>INDEX('Eff (com)'!G$98:BK$98,1,ROW()-37)*N62</f>
        <v>8392.7893158577735</v>
      </c>
      <c r="P62" s="925">
        <f t="shared" si="8"/>
        <v>72705.318439459093</v>
      </c>
      <c r="Q62" s="1837">
        <f>INDEX('Eff (res)'!G$111:BH$111,1,ROW()-37)</f>
        <v>10022.409404618773</v>
      </c>
      <c r="R62" s="1838">
        <f>INDEX('Eff (com)'!G$109:BH$109,1,ROW()-26)</f>
        <v>4687.0985163105897</v>
      </c>
      <c r="S62" s="1839">
        <f>INDEX('Eff (W &amp; WW)'!G$100:BH$100,1,ROW()-37)</f>
        <v>168.07407259748999</v>
      </c>
      <c r="T62" s="1840">
        <f t="shared" si="7"/>
        <v>14877.581993526852</v>
      </c>
      <c r="U62" s="385"/>
      <c r="V62" s="385"/>
      <c r="W62" s="385"/>
      <c r="X62" s="385"/>
      <c r="Y62" s="385"/>
      <c r="Z62" s="385"/>
      <c r="AA62" s="385"/>
      <c r="AB62" s="385"/>
      <c r="AC62" s="385"/>
      <c r="AD62" s="9"/>
      <c r="AE62" s="9"/>
      <c r="BG62" s="8"/>
      <c r="BH62" s="8"/>
      <c r="BI62" s="8"/>
      <c r="BJ62" s="8"/>
      <c r="BK62" s="8"/>
    </row>
    <row r="63" spans="1:63">
      <c r="A63" s="858">
        <v>2040</v>
      </c>
      <c r="B63" s="1648">
        <v>38</v>
      </c>
      <c r="C63" s="1481">
        <f>VLOOKUP(Community_Name,'Population Forecast'!$A$2:$BL$267,B63+13,FALSE)</f>
        <v>88.806531293917644</v>
      </c>
      <c r="D63" s="1583">
        <f>MROUND(C63/'Eff (res)'!$I$10,1)</f>
        <v>41</v>
      </c>
      <c r="E63" s="724">
        <f t="shared" si="3"/>
        <v>287599.14845885383</v>
      </c>
      <c r="F63" s="1861">
        <f>INDEX('Eff (com)'!G$74:BH$74,1,ROW()-37)*E63</f>
        <v>261206.59886773163</v>
      </c>
      <c r="G63" s="924">
        <f t="shared" si="4"/>
        <v>327000</v>
      </c>
      <c r="H63" s="924">
        <f t="shared" si="5"/>
        <v>30271.186633248271</v>
      </c>
      <c r="I63" s="923">
        <f t="shared" si="6"/>
        <v>37.350344733125262</v>
      </c>
      <c r="J63" s="1548">
        <f>INDEX('Eff (res)'!G$94:BH$94,1,ROW()-37)</f>
        <v>37522.908374907805</v>
      </c>
      <c r="K63" s="1865">
        <f>INDEX('Eff (com)'!F$98:BG$98,1,ROW()-36)*J63</f>
        <v>263200.40799296042</v>
      </c>
      <c r="L63" s="924">
        <f>INDEX('Eff (com)'!G$93:BH$93,1,ROW()-38)</f>
        <v>33964.482002250646</v>
      </c>
      <c r="M63" s="1865">
        <f>INDEX('Eff (com)'!G$98:BI$98,1,ROW()-37)*L63</f>
        <v>238240.20864651047</v>
      </c>
      <c r="N63" s="724">
        <f>INDEX('Eff (W &amp; WW)'!G$90:BH$90,1,ROW()-37)</f>
        <v>1217.3394326196706</v>
      </c>
      <c r="O63" s="1865">
        <f>INDEX('Eff (com)'!G$98:BK$98,1,ROW()-37)*N63</f>
        <v>8538.896615638565</v>
      </c>
      <c r="P63" s="925">
        <f t="shared" si="8"/>
        <v>72704.729809778117</v>
      </c>
      <c r="Q63" s="1837">
        <f>INDEX('Eff (res)'!G$111:BH$111,1,ROW()-37)</f>
        <v>10022.409404618773</v>
      </c>
      <c r="R63" s="1838">
        <f>INDEX('Eff (com)'!G$109:BH$109,1,ROW()-26)</f>
        <v>4687.0985163105897</v>
      </c>
      <c r="S63" s="1839">
        <f>INDEX('Eff (W &amp; WW)'!G$100:BH$100,1,ROW()-37)</f>
        <v>167.99284170151455</v>
      </c>
      <c r="T63" s="1840">
        <f t="shared" si="7"/>
        <v>14877.500762630876</v>
      </c>
      <c r="U63" s="9"/>
      <c r="V63" s="9"/>
      <c r="W63" s="9"/>
      <c r="X63" s="9"/>
      <c r="Y63" s="9"/>
      <c r="Z63" s="9"/>
      <c r="AA63" s="9"/>
      <c r="AB63" s="9"/>
      <c r="AC63" s="9"/>
      <c r="AD63" s="9"/>
      <c r="AE63" s="9"/>
      <c r="BG63" s="8"/>
      <c r="BH63" s="8"/>
      <c r="BI63" s="8"/>
      <c r="BJ63" s="8"/>
      <c r="BK63" s="8"/>
    </row>
    <row r="64" spans="1:63">
      <c r="A64" s="858">
        <v>2041</v>
      </c>
      <c r="B64" s="1648">
        <v>39</v>
      </c>
      <c r="C64" s="1481">
        <f>VLOOKUP(Community_Name,'Population Forecast'!$A$2:$BL$267,B64+13,FALSE)</f>
        <v>88.76361072922856</v>
      </c>
      <c r="D64" s="1583">
        <f>MROUND(C64/'Eff (res)'!$I$10,1)</f>
        <v>41</v>
      </c>
      <c r="E64" s="724">
        <f t="shared" si="3"/>
        <v>287453.25939355697</v>
      </c>
      <c r="F64" s="1861">
        <f>INDEX('Eff (com)'!G$74:BH$74,1,ROW()-37)*E64</f>
        <v>261074.09782674318</v>
      </c>
      <c r="G64" s="924">
        <f t="shared" si="4"/>
        <v>327000</v>
      </c>
      <c r="H64" s="924">
        <f t="shared" si="5"/>
        <v>30271.186633248271</v>
      </c>
      <c r="I64" s="923">
        <f t="shared" si="6"/>
        <v>37.331398199692075</v>
      </c>
      <c r="J64" s="1548">
        <f>INDEX('Eff (res)'!G$94:BH$94,1,ROW()-37)</f>
        <v>37522.908374907805</v>
      </c>
      <c r="K64" s="1865">
        <f>INDEX('Eff (com)'!F$98:BG$98,1,ROW()-36)*J64</f>
        <v>263200.40799296042</v>
      </c>
      <c r="L64" s="924">
        <f>INDEX('Eff (com)'!G$93:BH$93,1,ROW()-38)</f>
        <v>33964.482002250646</v>
      </c>
      <c r="M64" s="1865">
        <f>INDEX('Eff (com)'!G$98:BI$98,1,ROW()-37)*L64</f>
        <v>238240.20864651047</v>
      </c>
      <c r="N64" s="724">
        <f>INDEX('Eff (W &amp; WW)'!G$90:BH$90,1,ROW()-37)</f>
        <v>1216.7510874258537</v>
      </c>
      <c r="O64" s="1865">
        <f>INDEX('Eff (com)'!G$98:BK$98,1,ROW()-37)*N64</f>
        <v>8534.7697315093792</v>
      </c>
      <c r="P64" s="925">
        <f t="shared" si="8"/>
        <v>72704.141464584303</v>
      </c>
      <c r="Q64" s="1837">
        <f>INDEX('Eff (res)'!G$111:BH$111,1,ROW()-37)</f>
        <v>10022.409404618773</v>
      </c>
      <c r="R64" s="1838">
        <f>INDEX('Eff (com)'!G$109:BH$109,1,ROW()-26)</f>
        <v>4687.0985163105897</v>
      </c>
      <c r="S64" s="1839">
        <f>INDEX('Eff (W &amp; WW)'!G$100:BH$100,1,ROW()-37)</f>
        <v>167.91165006476783</v>
      </c>
      <c r="T64" s="1840">
        <f t="shared" si="7"/>
        <v>14877.419570994129</v>
      </c>
      <c r="BG64" s="8"/>
      <c r="BH64" s="8"/>
      <c r="BI64" s="8"/>
      <c r="BJ64" s="8"/>
      <c r="BK64" s="8"/>
    </row>
    <row r="65" spans="1:63">
      <c r="A65" s="858">
        <v>2042</v>
      </c>
      <c r="B65" s="1648">
        <v>40</v>
      </c>
      <c r="C65" s="1481">
        <f>VLOOKUP(Community_Name,'Population Forecast'!$A$2:$BL$267,B65+13,FALSE)</f>
        <v>88.720710908226309</v>
      </c>
      <c r="D65" s="1583">
        <f>MROUND(C65/'Eff (res)'!$I$10,1)</f>
        <v>41</v>
      </c>
      <c r="E65" s="724">
        <f t="shared" si="3"/>
        <v>287307.44083705009</v>
      </c>
      <c r="F65" s="1861">
        <f>INDEX('Eff (com)'!G$74:BH$74,1,ROW()-37)*E65</f>
        <v>260941.66082405709</v>
      </c>
      <c r="G65" s="924">
        <f t="shared" si="4"/>
        <v>327000</v>
      </c>
      <c r="H65" s="924">
        <f t="shared" si="5"/>
        <v>30271.186633248271</v>
      </c>
      <c r="I65" s="923">
        <f t="shared" si="6"/>
        <v>37.312460823197029</v>
      </c>
      <c r="J65" s="1548">
        <f>INDEX('Eff (res)'!G$94:BH$94,1,ROW()-37)</f>
        <v>37522.908374907805</v>
      </c>
      <c r="K65" s="1865">
        <f>INDEX('Eff (com)'!F$98:BG$98,1,ROW()-36)*J65</f>
        <v>263200.40799296042</v>
      </c>
      <c r="L65" s="924">
        <f>INDEX('Eff (com)'!G$93:BH$93,1,ROW()-38)</f>
        <v>33964.482002250646</v>
      </c>
      <c r="M65" s="1865">
        <f>INDEX('Eff (com)'!G$98:BI$98,1,ROW()-37)*L65</f>
        <v>238240.20864651047</v>
      </c>
      <c r="N65" s="724">
        <f>INDEX('Eff (W &amp; WW)'!G$90:BH$90,1,ROW()-37)</f>
        <v>1216.1630265817078</v>
      </c>
      <c r="O65" s="1865">
        <f>INDEX('Eff (com)'!G$98:BK$98,1,ROW()-37)*N65</f>
        <v>8530.6448419203989</v>
      </c>
      <c r="P65" s="925">
        <f t="shared" si="8"/>
        <v>72703.553403740152</v>
      </c>
      <c r="Q65" s="1837">
        <f>INDEX('Eff (res)'!G$111:BH$111,1,ROW()-37)</f>
        <v>10022.409404618773</v>
      </c>
      <c r="R65" s="1838">
        <f>INDEX('Eff (com)'!G$109:BH$109,1,ROW()-26)</f>
        <v>4687.0985163105897</v>
      </c>
      <c r="S65" s="1839">
        <f>INDEX('Eff (W &amp; WW)'!G$100:BH$100,1,ROW()-37)</f>
        <v>167.83049766827568</v>
      </c>
      <c r="T65" s="1840">
        <f t="shared" si="7"/>
        <v>14877.338418597637</v>
      </c>
      <c r="BG65" s="8"/>
      <c r="BH65" s="8"/>
      <c r="BI65" s="8"/>
      <c r="BJ65" s="8"/>
      <c r="BK65" s="8"/>
    </row>
    <row r="66" spans="1:63">
      <c r="A66" s="858">
        <v>2043</v>
      </c>
      <c r="B66" s="1648">
        <v>41</v>
      </c>
      <c r="C66" s="1481">
        <f>VLOOKUP(Community_Name,'Population Forecast'!$A$2:$BL$267,B66+13,FALSE)</f>
        <v>88.677831820885388</v>
      </c>
      <c r="D66" s="1583">
        <f>MROUND(C66/'Eff (res)'!$I$10,1)</f>
        <v>41</v>
      </c>
      <c r="E66" s="724">
        <f t="shared" si="3"/>
        <v>287161.69275525608</v>
      </c>
      <c r="F66" s="1861">
        <f>INDEX('Eff (com)'!G$74:BH$74,1,ROW()-37)*E66</f>
        <v>260809.28782872343</v>
      </c>
      <c r="G66" s="924">
        <f t="shared" si="4"/>
        <v>327000</v>
      </c>
      <c r="H66" s="924">
        <f t="shared" si="5"/>
        <v>30271.186633248271</v>
      </c>
      <c r="I66" s="923">
        <f t="shared" si="6"/>
        <v>37.293532599214565</v>
      </c>
      <c r="J66" s="1548">
        <f>INDEX('Eff (res)'!G$94:BH$94,1,ROW()-37)</f>
        <v>37522.908374907805</v>
      </c>
      <c r="K66" s="1865">
        <f>INDEX('Eff (com)'!F$98:BG$98,1,ROW()-36)*J66</f>
        <v>263200.40799296042</v>
      </c>
      <c r="L66" s="924">
        <f>INDEX('Eff (com)'!G$93:BH$93,1,ROW()-38)</f>
        <v>33964.482002250646</v>
      </c>
      <c r="M66" s="1865">
        <f>INDEX('Eff (com)'!G$98:BI$98,1,ROW()-37)*L66</f>
        <v>238240.20864651047</v>
      </c>
      <c r="N66" s="724">
        <f>INDEX('Eff (W &amp; WW)'!G$90:BH$90,1,ROW()-37)</f>
        <v>1215.5752499498058</v>
      </c>
      <c r="O66" s="1865">
        <f>INDEX('Eff (com)'!G$98:BK$98,1,ROW()-37)*N66</f>
        <v>8526.5219459076598</v>
      </c>
      <c r="P66" s="925">
        <f t="shared" si="8"/>
        <v>72702.965627108249</v>
      </c>
      <c r="Q66" s="1837">
        <f>INDEX('Eff (res)'!G$111:BH$111,1,ROW()-37)</f>
        <v>10022.409404618773</v>
      </c>
      <c r="R66" s="1838">
        <f>INDEX('Eff (com)'!G$109:BH$109,1,ROW()-26)</f>
        <v>4687.0985163105897</v>
      </c>
      <c r="S66" s="1839">
        <f>INDEX('Eff (W &amp; WW)'!G$100:BH$100,1,ROW()-37)</f>
        <v>167.74938449307322</v>
      </c>
      <c r="T66" s="1840">
        <f t="shared" si="7"/>
        <v>14877.257305422436</v>
      </c>
      <c r="BG66" s="8"/>
      <c r="BH66" s="8"/>
      <c r="BI66" s="8"/>
      <c r="BJ66" s="8"/>
      <c r="BK66" s="8"/>
    </row>
    <row r="67" spans="1:63">
      <c r="A67" s="858">
        <v>2044</v>
      </c>
      <c r="B67" s="1648">
        <v>42</v>
      </c>
      <c r="C67" s="1481">
        <f>VLOOKUP(Community_Name,'Population Forecast'!$A$2:$BL$267,B67+13,FALSE)</f>
        <v>88.634973457185112</v>
      </c>
      <c r="D67" s="1583">
        <f>MROUND(C67/'Eff (res)'!$I$10,1)</f>
        <v>41</v>
      </c>
      <c r="E67" s="724">
        <f t="shared" si="3"/>
        <v>287016.01511411415</v>
      </c>
      <c r="F67" s="1861">
        <f>INDEX('Eff (com)'!G$74:BH$74,1,ROW()-37)*E67</f>
        <v>260676.97880980713</v>
      </c>
      <c r="G67" s="924">
        <f t="shared" si="4"/>
        <v>327000</v>
      </c>
      <c r="H67" s="924">
        <f t="shared" si="5"/>
        <v>30271.186633248271</v>
      </c>
      <c r="I67" s="923">
        <f t="shared" si="6"/>
        <v>37.2746135233212</v>
      </c>
      <c r="J67" s="1548">
        <f>INDEX('Eff (res)'!G$94:BH$94,1,ROW()-37)</f>
        <v>37522.908374907805</v>
      </c>
      <c r="K67" s="1865">
        <f>INDEX('Eff (com)'!F$98:BG$98,1,ROW()-36)*J67</f>
        <v>263200.40799296042</v>
      </c>
      <c r="L67" s="924">
        <f>INDEX('Eff (com)'!G$93:BH$93,1,ROW()-38)</f>
        <v>33964.482002250646</v>
      </c>
      <c r="M67" s="1865">
        <f>INDEX('Eff (com)'!G$98:BI$98,1,ROW()-37)*L67</f>
        <v>238240.20864651047</v>
      </c>
      <c r="N67" s="724">
        <f>INDEX('Eff (W &amp; WW)'!G$90:BH$90,1,ROW()-37)</f>
        <v>1214.9877573927861</v>
      </c>
      <c r="O67" s="1865">
        <f>INDEX('Eff (com)'!G$98:BK$98,1,ROW()-37)*N67</f>
        <v>8522.4010425076503</v>
      </c>
      <c r="P67" s="925">
        <f t="shared" si="8"/>
        <v>72702.378134551225</v>
      </c>
      <c r="Q67" s="1837">
        <f>INDEX('Eff (res)'!G$111:BH$111,1,ROW()-37)</f>
        <v>10022.409404618773</v>
      </c>
      <c r="R67" s="1838">
        <f>INDEX('Eff (com)'!G$109:BH$109,1,ROW()-26)</f>
        <v>4687.0985163105897</v>
      </c>
      <c r="S67" s="1839">
        <f>INDEX('Eff (W &amp; WW)'!G$100:BH$100,1,ROW()-37)</f>
        <v>167.6683105202045</v>
      </c>
      <c r="T67" s="1840">
        <f t="shared" si="7"/>
        <v>14877.176231449566</v>
      </c>
      <c r="BG67" s="8"/>
      <c r="BH67" s="8"/>
      <c r="BI67" s="8"/>
      <c r="BJ67" s="8"/>
      <c r="BK67" s="8"/>
    </row>
    <row r="68" spans="1:63">
      <c r="A68" s="858">
        <v>2045</v>
      </c>
      <c r="B68" s="1648">
        <v>43</v>
      </c>
      <c r="C68" s="1481">
        <f>VLOOKUP(Community_Name,'Population Forecast'!$A$2:$BL$267,B68+13,FALSE)</f>
        <v>88.592135807109642</v>
      </c>
      <c r="D68" s="1583">
        <f>MROUND(C68/'Eff (res)'!$I$10,1)</f>
        <v>41</v>
      </c>
      <c r="E68" s="724">
        <f t="shared" si="3"/>
        <v>286870.40787957993</v>
      </c>
      <c r="F68" s="1861">
        <f>INDEX('Eff (com)'!G$74:BH$74,1,ROW()-37)*E68</f>
        <v>260544.73373638798</v>
      </c>
      <c r="G68" s="924">
        <f t="shared" si="4"/>
        <v>326000</v>
      </c>
      <c r="H68" s="924">
        <f t="shared" si="5"/>
        <v>30178.614197060968</v>
      </c>
      <c r="I68" s="923">
        <f t="shared" si="6"/>
        <v>37.255703591095624</v>
      </c>
      <c r="J68" s="1548">
        <f>INDEX('Eff (res)'!G$94:BH$94,1,ROW()-37)</f>
        <v>37522.908374907805</v>
      </c>
      <c r="K68" s="1865">
        <f>INDEX('Eff (com)'!F$98:BG$98,1,ROW()-36)*J68</f>
        <v>263200.40799296042</v>
      </c>
      <c r="L68" s="924">
        <f>INDEX('Eff (com)'!G$93:BH$93,1,ROW()-38)</f>
        <v>33964.482002250646</v>
      </c>
      <c r="M68" s="1865">
        <f>INDEX('Eff (com)'!G$98:BI$98,1,ROW()-37)*L68</f>
        <v>238240.20864651047</v>
      </c>
      <c r="N68" s="724">
        <f>INDEX('Eff (W &amp; WW)'!G$90:BH$90,1,ROW()-37)</f>
        <v>1214.4005487733543</v>
      </c>
      <c r="O68" s="1865">
        <f>INDEX('Eff (com)'!G$98:BK$98,1,ROW()-37)*N68</f>
        <v>8518.282130757334</v>
      </c>
      <c r="P68" s="925">
        <f t="shared" si="8"/>
        <v>72701.790925931797</v>
      </c>
      <c r="Q68" s="1837">
        <f>INDEX('Eff (res)'!G$111:BH$111,1,ROW()-37)</f>
        <v>10022.409404618773</v>
      </c>
      <c r="R68" s="1838">
        <f>INDEX('Eff (com)'!G$109:BH$109,1,ROW()-26)</f>
        <v>4687.0985163105897</v>
      </c>
      <c r="S68" s="1839">
        <f>INDEX('Eff (W &amp; WW)'!G$100:BH$100,1,ROW()-37)</f>
        <v>167.58727573072292</v>
      </c>
      <c r="T68" s="1840">
        <f t="shared" si="7"/>
        <v>14877.095196660084</v>
      </c>
      <c r="BG68" s="8"/>
      <c r="BH68" s="8"/>
      <c r="BI68" s="8"/>
      <c r="BJ68" s="8"/>
      <c r="BK68" s="8"/>
    </row>
    <row r="69" spans="1:63">
      <c r="A69" s="858">
        <v>2046</v>
      </c>
      <c r="B69" s="1648">
        <v>44</v>
      </c>
      <c r="C69" s="1481">
        <f>VLOOKUP(Community_Name,'Population Forecast'!$A$2:$BL$267,B69+13,FALSE)</f>
        <v>88.549318860648043</v>
      </c>
      <c r="D69" s="1583">
        <f>MROUND(C69/'Eff (res)'!$I$10,1)</f>
        <v>41</v>
      </c>
      <c r="E69" s="724">
        <f t="shared" si="3"/>
        <v>286724.87101762579</v>
      </c>
      <c r="F69" s="1861">
        <f>INDEX('Eff (com)'!G$74:BH$74,1,ROW()-37)*E69</f>
        <v>260412.55257756109</v>
      </c>
      <c r="G69" s="924">
        <f t="shared" si="4"/>
        <v>326000</v>
      </c>
      <c r="H69" s="924">
        <f t="shared" si="5"/>
        <v>30178.614197060968</v>
      </c>
      <c r="I69" s="923">
        <f t="shared" si="6"/>
        <v>37.236802798118688</v>
      </c>
      <c r="J69" s="1548">
        <f>INDEX('Eff (res)'!G$94:BH$94,1,ROW()-37)</f>
        <v>37522.908374907805</v>
      </c>
      <c r="K69" s="1865">
        <f>INDEX('Eff (com)'!F$98:BG$98,1,ROW()-36)*J69</f>
        <v>263200.40799296042</v>
      </c>
      <c r="L69" s="924">
        <f>INDEX('Eff (com)'!G$93:BH$93,1,ROW()-38)</f>
        <v>33964.482002250646</v>
      </c>
      <c r="M69" s="1865">
        <f>INDEX('Eff (com)'!G$98:BI$98,1,ROW()-37)*L69</f>
        <v>238240.20864651047</v>
      </c>
      <c r="N69" s="724">
        <f>INDEX('Eff (W &amp; WW)'!G$90:BH$90,1,ROW()-37)</f>
        <v>1213.8136239542825</v>
      </c>
      <c r="O69" s="1865">
        <f>INDEX('Eff (com)'!G$98:BK$98,1,ROW()-37)*N69</f>
        <v>8514.1652096941416</v>
      </c>
      <c r="P69" s="925">
        <f t="shared" si="8"/>
        <v>72701.204001112725</v>
      </c>
      <c r="Q69" s="1837">
        <f>INDEX('Eff (res)'!G$111:BH$111,1,ROW()-37)</f>
        <v>10022.409404618773</v>
      </c>
      <c r="R69" s="1838">
        <f>INDEX('Eff (com)'!G$109:BH$109,1,ROW()-26)</f>
        <v>4687.0985163105897</v>
      </c>
      <c r="S69" s="1839">
        <f>INDEX('Eff (W &amp; WW)'!G$100:BH$100,1,ROW()-37)</f>
        <v>167.50628010569102</v>
      </c>
      <c r="T69" s="1840">
        <f t="shared" si="7"/>
        <v>14877.014201035052</v>
      </c>
      <c r="BG69" s="8"/>
      <c r="BH69" s="8"/>
      <c r="BI69" s="8"/>
      <c r="BJ69" s="8"/>
      <c r="BK69" s="8"/>
    </row>
    <row r="70" spans="1:63">
      <c r="A70" s="858">
        <v>2047</v>
      </c>
      <c r="B70" s="1648">
        <v>45</v>
      </c>
      <c r="C70" s="1481">
        <f>VLOOKUP(Community_Name,'Population Forecast'!$A$2:$BL$267,B70+13,FALSE)</f>
        <v>88.506522607794139</v>
      </c>
      <c r="D70" s="1583">
        <f>MROUND(C70/'Eff (res)'!$I$10,1)</f>
        <v>41</v>
      </c>
      <c r="E70" s="724">
        <f t="shared" si="3"/>
        <v>286579.40449424024</v>
      </c>
      <c r="F70" s="1861">
        <f>INDEX('Eff (com)'!G$74:BH$74,1,ROW()-37)*E70</f>
        <v>260280.43530243609</v>
      </c>
      <c r="G70" s="924">
        <f t="shared" si="4"/>
        <v>326000</v>
      </c>
      <c r="H70" s="924">
        <f t="shared" si="5"/>
        <v>30178.614197060968</v>
      </c>
      <c r="I70" s="923">
        <f t="shared" si="6"/>
        <v>37.217911139973332</v>
      </c>
      <c r="J70" s="1548">
        <f>INDEX('Eff (res)'!G$94:BH$94,1,ROW()-37)</f>
        <v>37522.908374907805</v>
      </c>
      <c r="K70" s="1865">
        <f>INDEX('Eff (com)'!F$98:BG$98,1,ROW()-36)*J70</f>
        <v>263200.40799296042</v>
      </c>
      <c r="L70" s="924">
        <f>INDEX('Eff (com)'!G$93:BH$93,1,ROW()-38)</f>
        <v>33964.482002250646</v>
      </c>
      <c r="M70" s="1865">
        <f>INDEX('Eff (com)'!G$98:BI$98,1,ROW()-37)*L70</f>
        <v>238240.20864651047</v>
      </c>
      <c r="N70" s="724">
        <f>INDEX('Eff (W &amp; WW)'!G$90:BH$90,1,ROW()-37)</f>
        <v>1213.2269827984087</v>
      </c>
      <c r="O70" s="1865">
        <f>INDEX('Eff (com)'!G$98:BK$98,1,ROW()-37)*N70</f>
        <v>8510.0502783559641</v>
      </c>
      <c r="P70" s="925">
        <f t="shared" si="8"/>
        <v>72700.617359956857</v>
      </c>
      <c r="Q70" s="1837">
        <f>INDEX('Eff (res)'!G$111:BH$111,1,ROW()-37)</f>
        <v>10022.409404618773</v>
      </c>
      <c r="R70" s="1838">
        <f>INDEX('Eff (com)'!G$109:BH$109,1,ROW()-26)</f>
        <v>4687.0985163105897</v>
      </c>
      <c r="S70" s="1839">
        <f>INDEX('Eff (W &amp; WW)'!G$100:BH$100,1,ROW()-37)</f>
        <v>167.42532362618041</v>
      </c>
      <c r="T70" s="1840">
        <f t="shared" si="7"/>
        <v>14876.933244555543</v>
      </c>
      <c r="BG70" s="8"/>
      <c r="BH70" s="8"/>
      <c r="BI70" s="8"/>
      <c r="BJ70" s="8"/>
      <c r="BK70" s="8"/>
    </row>
    <row r="71" spans="1:63">
      <c r="A71" s="858">
        <v>2048</v>
      </c>
      <c r="B71" s="1648">
        <v>46</v>
      </c>
      <c r="C71" s="1481">
        <f>VLOOKUP(Community_Name,'Population Forecast'!$A$2:$BL$267,B71+13,FALSE)</f>
        <v>88.463747038546643</v>
      </c>
      <c r="D71" s="1583">
        <f>MROUND(C71/'Eff (res)'!$I$10,1)</f>
        <v>41</v>
      </c>
      <c r="E71" s="724">
        <f t="shared" si="3"/>
        <v>286434.00827542844</v>
      </c>
      <c r="F71" s="1861">
        <f>INDEX('Eff (com)'!G$74:BH$74,1,ROW()-37)*E71</f>
        <v>260148.38188013781</v>
      </c>
      <c r="G71" s="924">
        <f t="shared" si="4"/>
        <v>326000</v>
      </c>
      <c r="H71" s="924">
        <f t="shared" si="5"/>
        <v>30178.614197060968</v>
      </c>
      <c r="I71" s="923">
        <f t="shared" si="6"/>
        <v>37.199028612244668</v>
      </c>
      <c r="J71" s="1548">
        <f>INDEX('Eff (res)'!G$94:BH$94,1,ROW()-37)</f>
        <v>37522.908374907805</v>
      </c>
      <c r="K71" s="1865">
        <f>INDEX('Eff (com)'!F$98:BG$98,1,ROW()-36)*J71</f>
        <v>263200.40799296042</v>
      </c>
      <c r="L71" s="924">
        <f>INDEX('Eff (com)'!G$93:BH$93,1,ROW()-38)</f>
        <v>33964.482002250646</v>
      </c>
      <c r="M71" s="1865">
        <f>INDEX('Eff (com)'!G$98:BI$98,1,ROW()-37)*L71</f>
        <v>238240.20864651047</v>
      </c>
      <c r="N71" s="724">
        <f>INDEX('Eff (W &amp; WW)'!G$90:BH$90,1,ROW()-37)</f>
        <v>1212.6406251686371</v>
      </c>
      <c r="O71" s="1865">
        <f>INDEX('Eff (com)'!G$98:BK$98,1,ROW()-37)*N71</f>
        <v>8505.9373357811601</v>
      </c>
      <c r="P71" s="925">
        <f t="shared" si="8"/>
        <v>72700.031002327087</v>
      </c>
      <c r="Q71" s="1837">
        <f>INDEX('Eff (res)'!G$111:BH$111,1,ROW()-37)</f>
        <v>10022.409404618773</v>
      </c>
      <c r="R71" s="1838">
        <f>INDEX('Eff (com)'!G$109:BH$109,1,ROW()-26)</f>
        <v>4687.0985163105897</v>
      </c>
      <c r="S71" s="1839">
        <f>INDEX('Eff (W &amp; WW)'!G$100:BH$100,1,ROW()-37)</f>
        <v>167.34440627327194</v>
      </c>
      <c r="T71" s="1840">
        <f t="shared" si="7"/>
        <v>14876.852327202634</v>
      </c>
      <c r="BG71" s="8"/>
      <c r="BH71" s="8"/>
      <c r="BI71" s="8"/>
      <c r="BJ71" s="8"/>
      <c r="BK71" s="8"/>
    </row>
    <row r="72" spans="1:63">
      <c r="A72" s="858">
        <v>2049</v>
      </c>
      <c r="B72" s="1648">
        <v>47</v>
      </c>
      <c r="C72" s="1481">
        <f>VLOOKUP(Community_Name,'Population Forecast'!$A$2:$BL$267,B72+13,FALSE)</f>
        <v>88.420992142909085</v>
      </c>
      <c r="D72" s="1583">
        <f>MROUND(C72/'Eff (res)'!$I$10,1)</f>
        <v>41</v>
      </c>
      <c r="E72" s="724">
        <f t="shared" si="3"/>
        <v>286288.68232721195</v>
      </c>
      <c r="F72" s="1861">
        <f>INDEX('Eff (com)'!G$74:BH$74,1,ROW()-37)*E72</f>
        <v>260016.39227980599</v>
      </c>
      <c r="G72" s="924">
        <f t="shared" si="4"/>
        <v>326000</v>
      </c>
      <c r="H72" s="924">
        <f t="shared" si="5"/>
        <v>30178.614197060968</v>
      </c>
      <c r="I72" s="923">
        <f t="shared" si="6"/>
        <v>37.180155210519935</v>
      </c>
      <c r="J72" s="1548">
        <f>INDEX('Eff (res)'!G$94:BH$94,1,ROW()-37)</f>
        <v>37522.908374907805</v>
      </c>
      <c r="K72" s="1865">
        <f>INDEX('Eff (com)'!F$98:BG$98,1,ROW()-36)*J72</f>
        <v>263200.40799296042</v>
      </c>
      <c r="L72" s="924">
        <f>INDEX('Eff (com)'!G$93:BH$93,1,ROW()-38)</f>
        <v>33964.482002250646</v>
      </c>
      <c r="M72" s="1865">
        <f>INDEX('Eff (com)'!G$98:BI$98,1,ROW()-37)*L72</f>
        <v>238240.20864651047</v>
      </c>
      <c r="N72" s="724">
        <f>INDEX('Eff (W &amp; WW)'!G$90:BH$90,1,ROW()-37)</f>
        <v>1212.0545509279389</v>
      </c>
      <c r="O72" s="1865">
        <f>INDEX('Eff (com)'!G$98:BK$98,1,ROW()-37)*N72</f>
        <v>8501.8263810085518</v>
      </c>
      <c r="P72" s="925">
        <f t="shared" si="8"/>
        <v>72699.444928086377</v>
      </c>
      <c r="Q72" s="1837">
        <f>INDEX('Eff (res)'!G$111:BH$111,1,ROW()-37)</f>
        <v>10022.409404618773</v>
      </c>
      <c r="R72" s="1838">
        <f>INDEX('Eff (com)'!G$109:BH$109,1,ROW()-26)</f>
        <v>4687.0985163105897</v>
      </c>
      <c r="S72" s="1839">
        <f>INDEX('Eff (W &amp; WW)'!G$100:BH$100,1,ROW()-37)</f>
        <v>167.26352802805559</v>
      </c>
      <c r="T72" s="1840">
        <f t="shared" si="7"/>
        <v>14876.771448957417</v>
      </c>
      <c r="BG72" s="8"/>
      <c r="BH72" s="8"/>
      <c r="BI72" s="8"/>
      <c r="BJ72" s="8"/>
      <c r="BK72" s="8"/>
    </row>
    <row r="73" spans="1:63">
      <c r="A73" s="858">
        <v>2050</v>
      </c>
      <c r="B73" s="1648">
        <v>48</v>
      </c>
      <c r="C73" s="1481">
        <f>VLOOKUP(Community_Name,'Population Forecast'!$A$2:$BL$267,B73+13,FALSE)</f>
        <v>88.378257910889801</v>
      </c>
      <c r="D73" s="1583">
        <f>MROUND(C73/'Eff (res)'!$I$10,1)</f>
        <v>41</v>
      </c>
      <c r="E73" s="724">
        <f t="shared" si="3"/>
        <v>286143.42661562859</v>
      </c>
      <c r="F73" s="1861">
        <f>INDEX('Eff (com)'!G$74:BH$74,1,ROW()-37)*E73</f>
        <v>259884.4664705951</v>
      </c>
      <c r="G73" s="924">
        <f t="shared" si="4"/>
        <v>326000</v>
      </c>
      <c r="H73" s="924">
        <f t="shared" si="5"/>
        <v>30178.614197060968</v>
      </c>
      <c r="I73" s="923">
        <f t="shared" si="6"/>
        <v>37.161290930388489</v>
      </c>
      <c r="J73" s="1548">
        <f>INDEX('Eff (res)'!G$94:BH$94,1,ROW()-37)</f>
        <v>37522.908374907805</v>
      </c>
      <c r="K73" s="1865">
        <f>INDEX('Eff (com)'!F$98:BG$98,1,ROW()-36)*J73</f>
        <v>263200.40799296042</v>
      </c>
      <c r="L73" s="924">
        <f>INDEX('Eff (com)'!G$93:BH$93,1,ROW()-38)</f>
        <v>33964.482002250646</v>
      </c>
      <c r="M73" s="1865">
        <f>INDEX('Eff (com)'!G$98:BI$98,1,ROW()-37)*L73</f>
        <v>238240.20864651047</v>
      </c>
      <c r="N73" s="724">
        <f>INDEX('Eff (W &amp; WW)'!G$90:BH$90,1,ROW()-37)</f>
        <v>1211.4687599393501</v>
      </c>
      <c r="O73" s="1865">
        <f>INDEX('Eff (com)'!G$98:BK$98,1,ROW()-37)*N73</f>
        <v>8497.7174130774238</v>
      </c>
      <c r="P73" s="925">
        <f t="shared" si="8"/>
        <v>72698.859137097796</v>
      </c>
      <c r="Q73" s="1837">
        <f>INDEX('Eff (res)'!G$111:BH$111,1,ROW()-37)</f>
        <v>10022.409404618773</v>
      </c>
      <c r="R73" s="1838">
        <f>INDEX('Eff (com)'!G$109:BH$109,1,ROW()-26)</f>
        <v>4687.0985163105897</v>
      </c>
      <c r="S73" s="1839">
        <f>INDEX('Eff (W &amp; WW)'!G$100:BH$100,1,ROW()-37)</f>
        <v>167.18268887163032</v>
      </c>
      <c r="T73" s="1840">
        <f t="shared" si="7"/>
        <v>14876.690609800991</v>
      </c>
      <c r="BG73" s="8"/>
      <c r="BH73" s="8"/>
      <c r="BI73" s="8"/>
      <c r="BJ73" s="8"/>
      <c r="BK73" s="8"/>
    </row>
    <row r="74" spans="1:63">
      <c r="A74" s="858">
        <v>2051</v>
      </c>
      <c r="B74" s="1648">
        <v>49</v>
      </c>
      <c r="C74" s="1481">
        <f>VLOOKUP(Community_Name,'Population Forecast'!$A$2:$BL$267,B74+13,FALSE)</f>
        <v>88.335544332501982</v>
      </c>
      <c r="D74" s="1583">
        <f>MROUND(C74/'Eff (res)'!$I$10,1)</f>
        <v>41</v>
      </c>
      <c r="E74" s="724">
        <f t="shared" si="3"/>
        <v>285998.24110673269</v>
      </c>
      <c r="F74" s="1861">
        <f>INDEX('Eff (com)'!G$74:BH$74,1,ROW()-37)*E74</f>
        <v>259752.60442167456</v>
      </c>
      <c r="G74" s="924">
        <f t="shared" si="4"/>
        <v>325000</v>
      </c>
      <c r="H74" s="924">
        <f t="shared" si="5"/>
        <v>30086.041760873664</v>
      </c>
      <c r="I74" s="923">
        <f t="shared" si="6"/>
        <v>37.142435767441818</v>
      </c>
      <c r="J74" s="1548">
        <f>INDEX('Eff (res)'!G$94:BH$94,1,ROW()-37)</f>
        <v>37522.908374907805</v>
      </c>
      <c r="K74" s="1865">
        <f>INDEX('Eff (com)'!F$98:BG$98,1,ROW()-36)*J74</f>
        <v>263200.40799296042</v>
      </c>
      <c r="L74" s="924">
        <f>INDEX('Eff (com)'!G$93:BH$93,1,ROW()-38)</f>
        <v>33964.482002250646</v>
      </c>
      <c r="M74" s="1865">
        <f>INDEX('Eff (com)'!G$98:BI$98,1,ROW()-37)*L74</f>
        <v>238240.20864651047</v>
      </c>
      <c r="N74" s="724">
        <f>INDEX('Eff (W &amp; WW)'!G$90:BH$90,1,ROW()-37)</f>
        <v>1210.8832520659744</v>
      </c>
      <c r="O74" s="1865">
        <f>INDEX('Eff (com)'!G$98:BK$98,1,ROW()-37)*N74</f>
        <v>8493.6104310275296</v>
      </c>
      <c r="P74" s="925">
        <f t="shared" si="8"/>
        <v>72698.273629224423</v>
      </c>
      <c r="Q74" s="1837">
        <f>INDEX('Eff (res)'!G$111:BH$111,1,ROW()-37)</f>
        <v>10022.409404618773</v>
      </c>
      <c r="R74" s="1838">
        <f>INDEX('Eff (com)'!G$109:BH$109,1,ROW()-26)</f>
        <v>4687.0985163105897</v>
      </c>
      <c r="S74" s="1839">
        <f>INDEX('Eff (W &amp; WW)'!G$100:BH$100,1,ROW()-37)</f>
        <v>167.10188878510448</v>
      </c>
      <c r="T74" s="1840">
        <f t="shared" si="7"/>
        <v>14876.609809714466</v>
      </c>
      <c r="BG74" s="8"/>
      <c r="BH74" s="8"/>
      <c r="BI74" s="8"/>
      <c r="BJ74" s="8"/>
      <c r="BK74" s="8"/>
    </row>
    <row r="75" spans="1:63">
      <c r="A75" s="858">
        <v>2052</v>
      </c>
      <c r="B75" s="1648">
        <v>50</v>
      </c>
      <c r="C75" s="1481">
        <f>VLOOKUP(Community_Name,'Population Forecast'!$A$2:$BL$267,B75+13,FALSE)</f>
        <v>88.29285139776367</v>
      </c>
      <c r="D75" s="1583">
        <f>MROUND(C75/'Eff (res)'!$I$10,1)</f>
        <v>41</v>
      </c>
      <c r="E75" s="724">
        <f t="shared" si="3"/>
        <v>285853.12576659513</v>
      </c>
      <c r="F75" s="1861">
        <f>INDEX('Eff (com)'!G$74:BH$74,1,ROW()-37)*E75</f>
        <v>259620.80610222896</v>
      </c>
      <c r="G75" s="924">
        <f t="shared" si="4"/>
        <v>325000</v>
      </c>
      <c r="H75" s="924">
        <f t="shared" si="5"/>
        <v>30086.041760873664</v>
      </c>
      <c r="I75" s="923">
        <f t="shared" si="6"/>
        <v>37.12358971727356</v>
      </c>
      <c r="J75" s="1548">
        <f>INDEX('Eff (res)'!G$94:BH$94,1,ROW()-37)</f>
        <v>37522.908374907805</v>
      </c>
      <c r="K75" s="1865">
        <f>INDEX('Eff (com)'!F$98:BG$98,1,ROW()-36)*J75</f>
        <v>263200.40799296042</v>
      </c>
      <c r="L75" s="924">
        <f>INDEX('Eff (com)'!G$93:BH$93,1,ROW()-38)</f>
        <v>33964.482002250646</v>
      </c>
      <c r="M75" s="1865">
        <f>INDEX('Eff (com)'!G$98:BI$98,1,ROW()-37)*L75</f>
        <v>238240.20864651047</v>
      </c>
      <c r="N75" s="724">
        <f>INDEX('Eff (W &amp; WW)'!G$90:BH$90,1,ROW()-37)</f>
        <v>1210.298027170981</v>
      </c>
      <c r="O75" s="1865">
        <f>INDEX('Eff (com)'!G$98:BK$98,1,ROW()-37)*N75</f>
        <v>8489.5054338990849</v>
      </c>
      <c r="P75" s="925">
        <f t="shared" si="8"/>
        <v>72697.688404329427</v>
      </c>
      <c r="Q75" s="1837">
        <f>INDEX('Eff (res)'!G$111:BH$111,1,ROW()-37)</f>
        <v>10022.409404618773</v>
      </c>
      <c r="R75" s="1838">
        <f>INDEX('Eff (com)'!G$109:BH$109,1,ROW()-26)</f>
        <v>4687.0985163105897</v>
      </c>
      <c r="S75" s="1839">
        <f>INDEX('Eff (W &amp; WW)'!G$100:BH$100,1,ROW()-37)</f>
        <v>167.02112774959539</v>
      </c>
      <c r="T75" s="1840">
        <f t="shared" si="7"/>
        <v>14876.529048678956</v>
      </c>
      <c r="BG75" s="8"/>
      <c r="BH75" s="8"/>
      <c r="BI75" s="8"/>
      <c r="BJ75" s="8"/>
      <c r="BK75" s="8"/>
    </row>
    <row r="76" spans="1:63" ht="13.5" thickBot="1">
      <c r="A76" s="859">
        <v>2053</v>
      </c>
      <c r="B76" s="1648">
        <v>51</v>
      </c>
      <c r="C76" s="1481">
        <f>VLOOKUP(Community_Name,'Population Forecast'!$A$2:$BL$267,B76+13,FALSE)</f>
        <v>88.250179096697664</v>
      </c>
      <c r="D76" s="1584">
        <f>MROUND(C76/'Eff (res)'!$I$10,1)</f>
        <v>41</v>
      </c>
      <c r="E76" s="724">
        <f t="shared" si="3"/>
        <v>285708.08056130289</v>
      </c>
      <c r="F76" s="1861">
        <f>INDEX('Eff (com)'!G$74:BH$74,1,ROW()-37)*E76</f>
        <v>259489.07148145739</v>
      </c>
      <c r="G76" s="927">
        <f t="shared" si="4"/>
        <v>325000</v>
      </c>
      <c r="H76" s="924">
        <f t="shared" si="5"/>
        <v>30086.041760873664</v>
      </c>
      <c r="I76" s="926">
        <f t="shared" si="6"/>
        <v>37.104752775479461</v>
      </c>
      <c r="J76" s="1548">
        <f>INDEX('Eff (res)'!G$94:BH$94,1,ROW()-37)</f>
        <v>37522.908374907805</v>
      </c>
      <c r="K76" s="1865">
        <f>INDEX('Eff (com)'!F$98:BG$98,1,ROW()-36)*J76</f>
        <v>263200.40799296042</v>
      </c>
      <c r="L76" s="924">
        <f>INDEX('Eff (com)'!G$93:BH$93,1,ROW()-38)</f>
        <v>33964.482002250646</v>
      </c>
      <c r="M76" s="1865">
        <f>INDEX('Eff (com)'!G$98:BI$98,1,ROW()-37)*L76</f>
        <v>238240.20864651047</v>
      </c>
      <c r="N76" s="724">
        <f>INDEX('Eff (W &amp; WW)'!G$90:BH$90,1,ROW()-37)</f>
        <v>1209.713085117605</v>
      </c>
      <c r="O76" s="1865">
        <f>INDEX('Eff (com)'!G$98:BK$98,1,ROW()-37)*N76</f>
        <v>8485.4024207327657</v>
      </c>
      <c r="P76" s="925">
        <f t="shared" si="8"/>
        <v>72697.103462276049</v>
      </c>
      <c r="Q76" s="1837">
        <f>INDEX('Eff (res)'!G$111:BH$111,1,ROW()-37)</f>
        <v>10022.409404618773</v>
      </c>
      <c r="R76" s="1838">
        <f>INDEX('Eff (com)'!G$109:BH$109,1,ROW()-26)</f>
        <v>4687.0985163105897</v>
      </c>
      <c r="S76" s="1839">
        <f>INDEX('Eff (W &amp; WW)'!G$100:BH$100,1,ROW()-37)</f>
        <v>166.94040574622952</v>
      </c>
      <c r="T76" s="1840">
        <f t="shared" si="7"/>
        <v>14876.448326675591</v>
      </c>
      <c r="BG76" s="8"/>
      <c r="BH76" s="8"/>
      <c r="BI76" s="8"/>
      <c r="BJ76" s="8"/>
      <c r="BK76" s="8"/>
    </row>
    <row r="77" spans="1:63">
      <c r="J77" s="8"/>
      <c r="K77" s="8"/>
      <c r="L77" s="8"/>
      <c r="M77" s="8"/>
      <c r="N77" s="8"/>
      <c r="O77" s="8"/>
      <c r="P77" s="8"/>
    </row>
    <row r="78" spans="1:63">
      <c r="J78" s="8"/>
      <c r="K78" s="8"/>
      <c r="L78" s="8"/>
      <c r="M78" s="8"/>
      <c r="N78" s="8"/>
      <c r="O78" s="8"/>
      <c r="P78" s="8"/>
    </row>
    <row r="79" spans="1:63">
      <c r="J79" s="8"/>
      <c r="K79" s="8"/>
      <c r="L79" s="8"/>
      <c r="M79" s="8"/>
      <c r="N79" s="8"/>
      <c r="O79" s="8"/>
      <c r="P79" s="8"/>
    </row>
    <row r="80" spans="1:63">
      <c r="J80" s="8"/>
      <c r="K80" s="8"/>
      <c r="L80" s="8"/>
      <c r="M80" s="8"/>
      <c r="N80" s="8"/>
      <c r="O80" s="8"/>
      <c r="P80" s="8"/>
    </row>
    <row r="81" spans="10:16">
      <c r="J81" s="8"/>
      <c r="K81" s="8"/>
      <c r="L81" s="8"/>
      <c r="M81" s="8"/>
      <c r="N81" s="8"/>
      <c r="O81" s="8"/>
      <c r="P81" s="8"/>
    </row>
    <row r="82" spans="10:16">
      <c r="J82" s="8"/>
      <c r="K82" s="8"/>
      <c r="L82" s="8"/>
      <c r="M82" s="8"/>
      <c r="N82" s="8"/>
      <c r="O82" s="8"/>
      <c r="P82" s="8"/>
    </row>
    <row r="83" spans="10:16">
      <c r="J83" s="8"/>
      <c r="K83" s="8"/>
      <c r="L83" s="8"/>
      <c r="M83" s="8"/>
      <c r="N83" s="8"/>
      <c r="O83" s="8"/>
      <c r="P83" s="8"/>
    </row>
    <row r="84" spans="10:16">
      <c r="J84" s="8"/>
      <c r="K84" s="8"/>
      <c r="L84" s="8"/>
      <c r="M84" s="8"/>
      <c r="N84" s="8"/>
      <c r="O84" s="8"/>
      <c r="P84" s="8"/>
    </row>
    <row r="85" spans="10:16">
      <c r="J85" s="8"/>
      <c r="K85" s="8"/>
      <c r="L85" s="8"/>
      <c r="M85" s="8"/>
      <c r="N85" s="8"/>
      <c r="O85" s="8"/>
      <c r="P85" s="8"/>
    </row>
    <row r="86" spans="10:16">
      <c r="J86" s="8"/>
      <c r="K86" s="8"/>
      <c r="L86" s="8"/>
      <c r="M86" s="8"/>
      <c r="N86" s="8"/>
      <c r="O86" s="8"/>
      <c r="P86" s="8"/>
    </row>
    <row r="87" spans="10:16">
      <c r="J87" s="8"/>
      <c r="K87" s="8"/>
      <c r="L87" s="8"/>
      <c r="M87" s="8"/>
      <c r="N87" s="8"/>
      <c r="O87" s="8"/>
      <c r="P87" s="8"/>
    </row>
    <row r="88" spans="10:16">
      <c r="J88" s="8"/>
      <c r="K88" s="8"/>
      <c r="L88" s="8"/>
      <c r="M88" s="8"/>
      <c r="N88" s="8"/>
      <c r="O88" s="8"/>
      <c r="P88" s="8"/>
    </row>
    <row r="89" spans="10:16">
      <c r="J89" s="8"/>
      <c r="K89" s="8"/>
      <c r="L89" s="8"/>
      <c r="M89" s="8"/>
      <c r="N89" s="8"/>
      <c r="O89" s="8"/>
      <c r="P89" s="8"/>
    </row>
    <row r="90" spans="10:16">
      <c r="J90" s="8"/>
      <c r="K90" s="8"/>
      <c r="L90" s="8"/>
      <c r="M90" s="8"/>
      <c r="N90" s="8"/>
      <c r="O90" s="8"/>
      <c r="P90" s="8"/>
    </row>
    <row r="91" spans="10:16">
      <c r="J91" s="8"/>
      <c r="K91" s="8"/>
      <c r="L91" s="8"/>
      <c r="M91" s="8"/>
      <c r="N91" s="8"/>
      <c r="O91" s="8"/>
      <c r="P91" s="8"/>
    </row>
    <row r="92" spans="10:16">
      <c r="J92" s="8"/>
      <c r="K92" s="8"/>
      <c r="L92" s="8"/>
      <c r="M92" s="8"/>
      <c r="N92" s="8"/>
      <c r="O92" s="8"/>
      <c r="P92" s="8"/>
    </row>
    <row r="93" spans="10:16">
      <c r="J93" s="8"/>
      <c r="K93" s="8"/>
      <c r="L93" s="8"/>
      <c r="M93" s="8"/>
      <c r="N93" s="8"/>
      <c r="O93" s="8"/>
      <c r="P93" s="8"/>
    </row>
    <row r="94" spans="10:16">
      <c r="J94" s="8"/>
      <c r="K94" s="8"/>
      <c r="L94" s="8"/>
      <c r="M94" s="8"/>
      <c r="N94" s="8"/>
      <c r="O94" s="8"/>
      <c r="P94" s="8"/>
    </row>
    <row r="95" spans="10:16">
      <c r="J95" s="8"/>
      <c r="K95" s="8"/>
      <c r="L95" s="8"/>
      <c r="M95" s="8"/>
      <c r="N95" s="8"/>
      <c r="O95" s="8"/>
      <c r="P95" s="8"/>
    </row>
    <row r="96" spans="10:16">
      <c r="K96" s="8"/>
      <c r="L96" s="8"/>
    </row>
  </sheetData>
  <mergeCells count="10">
    <mergeCell ref="A1:P1"/>
    <mergeCell ref="O19:P19"/>
    <mergeCell ref="O20:P20"/>
    <mergeCell ref="O21:P21"/>
    <mergeCell ref="O22:P22"/>
    <mergeCell ref="A32:B32"/>
    <mergeCell ref="Q36:T36"/>
    <mergeCell ref="J36:P36"/>
    <mergeCell ref="A4:H4"/>
    <mergeCell ref="A31:H31"/>
  </mergeCells>
  <pageMargins left="0.7" right="0.7" top="0.75" bottom="0.75" header="0.3" footer="0.3"/>
  <pageSetup paperSize="5" scale="78"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BK96"/>
  <sheetViews>
    <sheetView topLeftCell="A25" workbookViewId="0">
      <selection activeCell="U39" sqref="U39"/>
    </sheetView>
  </sheetViews>
  <sheetFormatPr defaultRowHeight="12.75"/>
  <cols>
    <col min="1" max="2" width="17.5703125" style="90" customWidth="1"/>
    <col min="3" max="3" width="12.5703125" style="90" customWidth="1"/>
    <col min="4" max="4" width="10.7109375" style="90" customWidth="1"/>
    <col min="5" max="5" width="13.28515625" style="90" customWidth="1"/>
    <col min="6" max="6" width="13.5703125" style="90" customWidth="1"/>
    <col min="7" max="7" width="11.5703125" style="90" customWidth="1"/>
    <col min="8" max="8" width="10.140625" style="90" customWidth="1"/>
    <col min="9" max="9" width="12.28515625" style="90" customWidth="1"/>
    <col min="10" max="10" width="13.7109375" style="90" customWidth="1"/>
    <col min="11" max="11" width="12.28515625" style="90" customWidth="1"/>
    <col min="12" max="12" width="12" style="90" bestFit="1" customWidth="1"/>
    <col min="13" max="13" width="12.5703125" style="90" customWidth="1"/>
    <col min="14" max="14" width="9.5703125" style="90" customWidth="1"/>
    <col min="15" max="15" width="13.85546875" style="90" customWidth="1"/>
    <col min="16" max="16" width="12.140625" style="90" customWidth="1"/>
    <col min="17" max="58" width="9.140625" style="8"/>
    <col min="59" max="16384" width="9.140625" style="90"/>
  </cols>
  <sheetData>
    <row r="1" spans="1:59" ht="15.75" thickBot="1">
      <c r="A1" s="1956" t="s">
        <v>1184</v>
      </c>
      <c r="B1" s="1957"/>
      <c r="C1" s="1957"/>
      <c r="D1" s="1957"/>
      <c r="E1" s="1957"/>
      <c r="F1" s="1957"/>
      <c r="G1" s="1957"/>
      <c r="H1" s="1957"/>
      <c r="I1" s="1957"/>
      <c r="J1" s="1957"/>
      <c r="K1" s="1957"/>
      <c r="L1" s="1957"/>
      <c r="M1" s="1957"/>
      <c r="N1" s="1957"/>
      <c r="O1" s="1957"/>
      <c r="P1" s="1958"/>
    </row>
    <row r="3" spans="1:59">
      <c r="A3" s="9"/>
      <c r="B3" s="9"/>
      <c r="C3" s="8"/>
      <c r="O3" s="8"/>
      <c r="P3" s="8"/>
    </row>
    <row r="4" spans="1:59" ht="12.75" customHeight="1" thickBot="1">
      <c r="A4" s="1980" t="s">
        <v>1185</v>
      </c>
      <c r="B4" s="1980"/>
      <c r="C4" s="1981"/>
      <c r="D4" s="1981"/>
      <c r="E4" s="1981"/>
      <c r="F4" s="1981"/>
      <c r="G4" s="1981"/>
      <c r="H4" s="1981"/>
      <c r="O4" s="582"/>
      <c r="P4" s="582"/>
      <c r="Q4" s="582"/>
    </row>
    <row r="5" spans="1:59" ht="13.5" customHeight="1">
      <c r="A5" s="1653" t="s">
        <v>1971</v>
      </c>
      <c r="B5" s="1652" t="s">
        <v>1186</v>
      </c>
      <c r="C5" s="849" t="s">
        <v>644</v>
      </c>
      <c r="D5" s="1851" t="s">
        <v>1187</v>
      </c>
      <c r="E5" s="1851" t="s">
        <v>1200</v>
      </c>
      <c r="F5" s="1851" t="s">
        <v>375</v>
      </c>
      <c r="G5" s="1851" t="s">
        <v>659</v>
      </c>
      <c r="H5" s="850" t="s">
        <v>1188</v>
      </c>
      <c r="I5" s="1337" t="s">
        <v>1189</v>
      </c>
      <c r="J5" s="1852" t="s">
        <v>2308</v>
      </c>
      <c r="P5" s="851"/>
      <c r="Q5" s="851"/>
      <c r="R5" s="851"/>
      <c r="BG5" s="8"/>
    </row>
    <row r="6" spans="1:59" ht="13.5" customHeight="1">
      <c r="A6" s="852">
        <v>1991</v>
      </c>
      <c r="B6" s="1866">
        <v>-11</v>
      </c>
      <c r="C6" s="498">
        <f>VLOOKUP(Community_Name,'Population Forecast'!$A$2:$AZ$267,B6+13,FALSE)</f>
        <v>105</v>
      </c>
      <c r="D6" s="1848"/>
      <c r="E6" s="1848"/>
      <c r="F6" s="1848"/>
      <c r="G6" s="1848"/>
      <c r="H6" s="1852"/>
      <c r="I6" s="1867"/>
      <c r="J6" s="1852"/>
      <c r="P6" s="851"/>
      <c r="Q6" s="851"/>
      <c r="R6" s="851"/>
      <c r="BG6" s="8"/>
    </row>
    <row r="7" spans="1:59" ht="13.5" customHeight="1">
      <c r="A7" s="852">
        <v>1992</v>
      </c>
      <c r="B7" s="1866">
        <v>-10</v>
      </c>
      <c r="C7" s="498">
        <f>VLOOKUP(Community_Name,'Population Forecast'!$A$2:$AZ$267,B7+13,FALSE)</f>
        <v>107</v>
      </c>
      <c r="D7" s="1848"/>
      <c r="E7" s="1848"/>
      <c r="F7" s="1848"/>
      <c r="G7" s="1848"/>
      <c r="H7" s="1852"/>
      <c r="I7" s="1867"/>
      <c r="J7" s="1852"/>
      <c r="P7" s="851"/>
      <c r="Q7" s="851"/>
      <c r="R7" s="851"/>
      <c r="BG7" s="8"/>
    </row>
    <row r="8" spans="1:59" ht="13.5" customHeight="1">
      <c r="A8" s="852">
        <v>1993</v>
      </c>
      <c r="B8" s="1866">
        <v>-9</v>
      </c>
      <c r="C8" s="498">
        <f>VLOOKUP(Community_Name,'Population Forecast'!$A$2:$AZ$267,B8+13,FALSE)</f>
        <v>109</v>
      </c>
      <c r="D8" s="1848"/>
      <c r="E8" s="1848"/>
      <c r="F8" s="1848"/>
      <c r="G8" s="1848"/>
      <c r="H8" s="1852"/>
      <c r="I8" s="1867"/>
      <c r="J8" s="1852"/>
      <c r="P8" s="851"/>
      <c r="Q8" s="851"/>
      <c r="R8" s="851"/>
      <c r="BG8" s="8"/>
    </row>
    <row r="9" spans="1:59" ht="13.5" customHeight="1">
      <c r="A9" s="852">
        <v>1994</v>
      </c>
      <c r="B9" s="1866">
        <v>-8</v>
      </c>
      <c r="C9" s="498">
        <f>VLOOKUP(Community_Name,'Population Forecast'!$A$2:$AZ$267,B9+13,FALSE)</f>
        <v>106</v>
      </c>
      <c r="D9" s="1848"/>
      <c r="E9" s="1848"/>
      <c r="F9" s="1848"/>
      <c r="G9" s="1848"/>
      <c r="H9" s="1852"/>
      <c r="I9" s="1867"/>
      <c r="J9" s="1852"/>
      <c r="P9" s="851"/>
      <c r="Q9" s="851"/>
      <c r="R9" s="851"/>
      <c r="BG9" s="8"/>
    </row>
    <row r="10" spans="1:59" ht="13.5" customHeight="1">
      <c r="A10" s="852">
        <v>1995</v>
      </c>
      <c r="B10" s="1866">
        <v>-7</v>
      </c>
      <c r="C10" s="498">
        <f>VLOOKUP(Community_Name,'Population Forecast'!$A$2:$AZ$267,B10+13,FALSE)</f>
        <v>95</v>
      </c>
      <c r="D10" s="1848"/>
      <c r="E10" s="1848"/>
      <c r="F10" s="1848"/>
      <c r="G10" s="1848"/>
      <c r="H10" s="1852"/>
      <c r="I10" s="1867"/>
      <c r="J10" s="1852"/>
      <c r="P10" s="851"/>
      <c r="Q10" s="851"/>
      <c r="R10" s="851"/>
      <c r="BG10" s="8"/>
    </row>
    <row r="11" spans="1:59" ht="13.5" customHeight="1">
      <c r="A11" s="852">
        <v>1996</v>
      </c>
      <c r="B11" s="1866">
        <v>-6</v>
      </c>
      <c r="C11" s="498">
        <f>VLOOKUP(Community_Name,'Population Forecast'!$A$2:$AZ$267,B11+13,FALSE)</f>
        <v>99</v>
      </c>
      <c r="D11" s="1848"/>
      <c r="E11" s="1848"/>
      <c r="F11" s="1848"/>
      <c r="G11" s="1848"/>
      <c r="H11" s="1852"/>
      <c r="I11" s="1867"/>
      <c r="J11" s="1852"/>
      <c r="P11" s="851"/>
      <c r="Q11" s="851"/>
      <c r="R11" s="851"/>
      <c r="BG11" s="8"/>
    </row>
    <row r="12" spans="1:59" ht="13.5" customHeight="1">
      <c r="A12" s="852">
        <v>1997</v>
      </c>
      <c r="B12" s="1866">
        <v>-5</v>
      </c>
      <c r="C12" s="498">
        <f>VLOOKUP(Community_Name,'Population Forecast'!$A$2:$AZ$267,B12+13,FALSE)</f>
        <v>90</v>
      </c>
      <c r="D12" s="1848"/>
      <c r="E12" s="1848"/>
      <c r="F12" s="1848"/>
      <c r="G12" s="1848"/>
      <c r="H12" s="1852"/>
      <c r="I12" s="1867"/>
      <c r="J12" s="1852"/>
      <c r="P12" s="851"/>
      <c r="Q12" s="851"/>
      <c r="R12" s="851"/>
      <c r="BG12" s="8"/>
    </row>
    <row r="13" spans="1:59" ht="13.5" customHeight="1">
      <c r="A13" s="852">
        <v>1998</v>
      </c>
      <c r="B13" s="1866">
        <v>-4</v>
      </c>
      <c r="C13" s="498">
        <f>VLOOKUP(Community_Name,'Population Forecast'!$A$2:$AZ$267,B13+13,FALSE)</f>
        <v>95</v>
      </c>
      <c r="D13" s="1848"/>
      <c r="E13" s="1848"/>
      <c r="F13" s="1848"/>
      <c r="G13" s="1848"/>
      <c r="H13" s="1852"/>
      <c r="I13" s="1867"/>
      <c r="J13" s="1852"/>
      <c r="P13" s="851"/>
      <c r="Q13" s="851"/>
      <c r="R13" s="851"/>
      <c r="BG13" s="8"/>
    </row>
    <row r="14" spans="1:59" ht="13.5" customHeight="1">
      <c r="A14" s="852">
        <v>1999</v>
      </c>
      <c r="B14" s="1866">
        <v>-3</v>
      </c>
      <c r="C14" s="498">
        <f>VLOOKUP(Community_Name,'Population Forecast'!$A$2:$AZ$267,B14+13,FALSE)</f>
        <v>88</v>
      </c>
      <c r="D14" s="1848"/>
      <c r="E14" s="1848"/>
      <c r="F14" s="1848"/>
      <c r="G14" s="1848"/>
      <c r="H14" s="1852"/>
      <c r="I14" s="1867"/>
      <c r="J14" s="1852"/>
      <c r="P14" s="851"/>
      <c r="Q14" s="851"/>
      <c r="R14" s="851"/>
      <c r="BG14" s="8"/>
    </row>
    <row r="15" spans="1:59" ht="13.5" customHeight="1">
      <c r="A15" s="852">
        <v>2000</v>
      </c>
      <c r="B15" s="1866">
        <v>-2</v>
      </c>
      <c r="C15" s="498">
        <f>VLOOKUP(Community_Name,'Population Forecast'!$A$2:$AZ$267,B15+13,FALSE)</f>
        <v>72</v>
      </c>
      <c r="D15" s="1848"/>
      <c r="E15" s="1848"/>
      <c r="F15" s="1848"/>
      <c r="G15" s="1848"/>
      <c r="H15" s="1852"/>
      <c r="I15" s="1867"/>
      <c r="J15" s="1852"/>
      <c r="P15" s="851"/>
      <c r="Q15" s="851"/>
      <c r="R15" s="851"/>
      <c r="BG15" s="8"/>
    </row>
    <row r="16" spans="1:59" ht="13.5" customHeight="1">
      <c r="A16" s="852">
        <v>2001</v>
      </c>
      <c r="B16" s="1866">
        <v>-1</v>
      </c>
      <c r="C16" s="498">
        <f>VLOOKUP(Community_Name,'Population Forecast'!$A$2:$AZ$267,B16+13,FALSE)</f>
        <v>74</v>
      </c>
      <c r="D16" s="1848"/>
      <c r="E16" s="1848"/>
      <c r="F16" s="1848"/>
      <c r="G16" s="1848"/>
      <c r="H16" s="1852"/>
      <c r="I16" s="1867"/>
      <c r="J16" s="1852"/>
      <c r="P16" s="851"/>
      <c r="Q16" s="851"/>
      <c r="R16" s="851"/>
      <c r="BG16" s="8"/>
    </row>
    <row r="17" spans="1:59" ht="13.5" customHeight="1">
      <c r="A17" s="852">
        <v>2002</v>
      </c>
      <c r="B17" s="1866">
        <v>0</v>
      </c>
      <c r="C17" s="498">
        <f>VLOOKUP(Community_Name,'Population Forecast'!$A$2:$AZ$267,B17+13,FALSE)</f>
        <v>73</v>
      </c>
      <c r="D17" s="1848"/>
      <c r="E17" s="1848"/>
      <c r="F17" s="1848"/>
      <c r="G17" s="1848"/>
      <c r="H17" s="1852"/>
      <c r="I17" s="1867"/>
      <c r="J17" s="1852"/>
      <c r="P17" s="851"/>
      <c r="Q17" s="851"/>
      <c r="R17" s="851"/>
      <c r="BG17" s="8"/>
    </row>
    <row r="18" spans="1:59" ht="15">
      <c r="A18" s="852">
        <v>2003</v>
      </c>
      <c r="B18" s="1650">
        <v>1</v>
      </c>
      <c r="C18" s="498">
        <f>VLOOKUP(Community_Name,'Population Forecast'!$A$2:$AZ$267,B18+13,FALSE)</f>
        <v>71</v>
      </c>
      <c r="D18" s="225">
        <v>124943</v>
      </c>
      <c r="E18" s="232">
        <f>SUM(F18:H18)</f>
        <v>119078</v>
      </c>
      <c r="F18" s="225">
        <v>107254</v>
      </c>
      <c r="G18" s="225">
        <v>3096</v>
      </c>
      <c r="H18" s="225">
        <v>8728</v>
      </c>
      <c r="I18" s="1338"/>
      <c r="J18" s="232">
        <f>SUM(D18:E18)</f>
        <v>244021</v>
      </c>
      <c r="P18" s="8"/>
      <c r="R18" s="853"/>
      <c r="BG18" s="8"/>
    </row>
    <row r="19" spans="1:59">
      <c r="A19" s="852">
        <v>2004</v>
      </c>
      <c r="B19" s="1650">
        <v>2</v>
      </c>
      <c r="C19" s="498">
        <f>VLOOKUP(Community_Name,'Population Forecast'!$A$2:$AZ$267,B19+13,FALSE)</f>
        <v>75</v>
      </c>
      <c r="D19" s="225">
        <v>125867</v>
      </c>
      <c r="E19" s="232">
        <f t="shared" ref="E19:E28" si="0">SUM(F19:H19)</f>
        <v>119493</v>
      </c>
      <c r="F19" s="225">
        <v>104899</v>
      </c>
      <c r="G19" s="225">
        <v>5057</v>
      </c>
      <c r="H19" s="225">
        <v>9537</v>
      </c>
      <c r="I19" s="1339"/>
      <c r="J19" s="232">
        <f t="shared" ref="J19:J27" si="1">SUM(D19:E19)</f>
        <v>245360</v>
      </c>
      <c r="N19" s="223"/>
      <c r="O19" s="1974" t="s">
        <v>639</v>
      </c>
      <c r="P19" s="1974"/>
      <c r="Q19" s="286"/>
      <c r="R19" s="286"/>
      <c r="BG19" s="8"/>
    </row>
    <row r="20" spans="1:59">
      <c r="A20" s="852">
        <v>2005</v>
      </c>
      <c r="B20" s="1650">
        <v>3</v>
      </c>
      <c r="C20" s="498">
        <f>VLOOKUP(Community_Name,'Population Forecast'!$A$2:$AZ$267,B20+13,FALSE)</f>
        <v>76</v>
      </c>
      <c r="D20" s="225">
        <v>121817</v>
      </c>
      <c r="E20" s="232">
        <f t="shared" si="0"/>
        <v>118511</v>
      </c>
      <c r="F20" s="225">
        <v>98198</v>
      </c>
      <c r="G20" s="225">
        <v>5129</v>
      </c>
      <c r="H20" s="225">
        <v>15184</v>
      </c>
      <c r="I20" s="1338"/>
      <c r="J20" s="232">
        <f t="shared" si="1"/>
        <v>240328</v>
      </c>
      <c r="N20" s="225"/>
      <c r="O20" s="1974" t="s">
        <v>640</v>
      </c>
      <c r="P20" s="1974"/>
      <c r="Q20" s="286"/>
      <c r="BG20" s="8"/>
    </row>
    <row r="21" spans="1:59">
      <c r="A21" s="852">
        <v>2006</v>
      </c>
      <c r="B21" s="1650">
        <v>4</v>
      </c>
      <c r="C21" s="498">
        <f>VLOOKUP(Community_Name,'Population Forecast'!$A$2:$AZ$267,B21+13,FALSE)</f>
        <v>82</v>
      </c>
      <c r="D21" s="225">
        <v>115990</v>
      </c>
      <c r="E21" s="232">
        <f t="shared" si="0"/>
        <v>114459</v>
      </c>
      <c r="F21" s="225">
        <v>95902</v>
      </c>
      <c r="G21" s="225">
        <v>5230</v>
      </c>
      <c r="H21" s="225">
        <v>13327</v>
      </c>
      <c r="I21" s="1338"/>
      <c r="J21" s="232">
        <f t="shared" si="1"/>
        <v>230449</v>
      </c>
      <c r="N21" s="232"/>
      <c r="O21" s="1975" t="s">
        <v>641</v>
      </c>
      <c r="P21" s="1976"/>
      <c r="BG21" s="8"/>
    </row>
    <row r="22" spans="1:59">
      <c r="A22" s="852">
        <v>2007</v>
      </c>
      <c r="B22" s="1650">
        <v>5</v>
      </c>
      <c r="C22" s="498">
        <f>VLOOKUP(Community_Name,'Population Forecast'!$A$2:$AZ$267,B22+13,FALSE)</f>
        <v>76</v>
      </c>
      <c r="D22" s="225">
        <v>112628</v>
      </c>
      <c r="E22" s="232">
        <f t="shared" si="0"/>
        <v>110733</v>
      </c>
      <c r="F22" s="225">
        <v>92973</v>
      </c>
      <c r="G22" s="225">
        <v>4331</v>
      </c>
      <c r="H22" s="225">
        <v>13429</v>
      </c>
      <c r="I22" s="1340"/>
      <c r="J22" s="232">
        <f t="shared" si="1"/>
        <v>223361</v>
      </c>
      <c r="N22" s="612"/>
      <c r="O22" s="1977" t="s">
        <v>957</v>
      </c>
      <c r="P22" s="1978"/>
      <c r="BG22" s="8"/>
    </row>
    <row r="23" spans="1:59">
      <c r="A23" s="852">
        <v>2008</v>
      </c>
      <c r="B23" s="1650">
        <v>6</v>
      </c>
      <c r="C23" s="498">
        <f>VLOOKUP(Community_Name,'Population Forecast'!$A$2:$AZ$267,B23+13,FALSE)</f>
        <v>81</v>
      </c>
      <c r="D23" s="225">
        <v>110554</v>
      </c>
      <c r="E23" s="232">
        <f t="shared" si="0"/>
        <v>132766</v>
      </c>
      <c r="F23" s="225">
        <v>109814</v>
      </c>
      <c r="G23" s="225">
        <v>5154</v>
      </c>
      <c r="H23" s="225">
        <v>17798</v>
      </c>
      <c r="I23" s="1340"/>
      <c r="J23" s="232">
        <f t="shared" si="1"/>
        <v>243320</v>
      </c>
      <c r="P23" s="8"/>
      <c r="BG23" s="8"/>
    </row>
    <row r="24" spans="1:59">
      <c r="A24" s="852">
        <v>2009</v>
      </c>
      <c r="B24" s="1650">
        <v>7</v>
      </c>
      <c r="C24" s="498">
        <f>VLOOKUP(Community_Name,'Population Forecast'!$A$2:$AZ$267,B24+13,FALSE)</f>
        <v>85</v>
      </c>
      <c r="D24" s="225">
        <v>110465</v>
      </c>
      <c r="E24" s="232">
        <f t="shared" si="0"/>
        <v>164454</v>
      </c>
      <c r="F24" s="225">
        <v>142871</v>
      </c>
      <c r="G24" s="225">
        <v>4634</v>
      </c>
      <c r="H24" s="225">
        <v>16949</v>
      </c>
      <c r="I24" s="1340"/>
      <c r="J24" s="232">
        <f t="shared" si="1"/>
        <v>274919</v>
      </c>
      <c r="P24" s="8"/>
      <c r="BG24" s="8"/>
    </row>
    <row r="25" spans="1:59">
      <c r="A25" s="852">
        <v>2010</v>
      </c>
      <c r="B25" s="1650">
        <v>8</v>
      </c>
      <c r="C25" s="498">
        <f>VLOOKUP(Community_Name,'Population Forecast'!$A$2:$AZ$267,B25+13,FALSE)</f>
        <v>89</v>
      </c>
      <c r="D25" s="225">
        <v>124966</v>
      </c>
      <c r="E25" s="232">
        <f t="shared" si="0"/>
        <v>176060</v>
      </c>
      <c r="F25" s="225">
        <v>153216</v>
      </c>
      <c r="G25" s="225">
        <v>8225</v>
      </c>
      <c r="H25" s="225">
        <v>14619</v>
      </c>
      <c r="I25" s="1340"/>
      <c r="J25" s="232">
        <f t="shared" si="1"/>
        <v>301026</v>
      </c>
      <c r="P25" s="8"/>
      <c r="BG25" s="8"/>
    </row>
    <row r="26" spans="1:59">
      <c r="A26" s="852">
        <v>2011</v>
      </c>
      <c r="B26" s="1650">
        <v>9</v>
      </c>
      <c r="C26" s="498">
        <f>VLOOKUP(Community_Name,'Population Forecast'!$A$2:$AZ$267,B26+13,FALSE)</f>
        <v>94</v>
      </c>
      <c r="D26" s="225">
        <v>164364</v>
      </c>
      <c r="E26" s="232">
        <f t="shared" si="0"/>
        <v>185197</v>
      </c>
      <c r="F26" s="225">
        <v>168710</v>
      </c>
      <c r="G26" s="225">
        <v>4440</v>
      </c>
      <c r="H26" s="225">
        <v>12047</v>
      </c>
      <c r="I26" s="1340"/>
      <c r="J26" s="232">
        <f t="shared" si="1"/>
        <v>349561</v>
      </c>
      <c r="P26" s="8"/>
      <c r="BG26" s="8"/>
    </row>
    <row r="27" spans="1:59">
      <c r="A27" s="852">
        <v>2012</v>
      </c>
      <c r="B27" s="1650">
        <v>10</v>
      </c>
      <c r="C27" s="498">
        <f>VLOOKUP(Community_Name,'Population Forecast'!$A$2:$AZ$267,B27+13,FALSE)</f>
        <v>116</v>
      </c>
      <c r="D27" s="225">
        <v>209675</v>
      </c>
      <c r="E27" s="232">
        <f t="shared" si="0"/>
        <v>210593</v>
      </c>
      <c r="F27" s="225">
        <v>185798</v>
      </c>
      <c r="G27" s="225">
        <v>5857</v>
      </c>
      <c r="H27" s="225">
        <v>18938</v>
      </c>
      <c r="I27" s="1340"/>
      <c r="J27" s="232">
        <f t="shared" si="1"/>
        <v>420268</v>
      </c>
      <c r="P27" s="8"/>
      <c r="BG27" s="8"/>
    </row>
    <row r="28" spans="1:59">
      <c r="A28" s="852">
        <v>2013</v>
      </c>
      <c r="B28" s="1650">
        <v>11</v>
      </c>
      <c r="C28" s="498">
        <f>VLOOKUP(Community_Name,'Population Forecast'!$A$2:$AZ$267,B28+13,FALSE)</f>
        <v>127</v>
      </c>
      <c r="D28" s="1397">
        <v>93291</v>
      </c>
      <c r="E28" s="232">
        <f t="shared" si="0"/>
        <v>93918</v>
      </c>
      <c r="F28" s="1397">
        <v>79853</v>
      </c>
      <c r="G28" s="1397">
        <v>3226</v>
      </c>
      <c r="H28" s="1397">
        <v>10839</v>
      </c>
      <c r="I28" s="215"/>
      <c r="J28" s="232">
        <f>SUM(D28:E28)*2</f>
        <v>374418</v>
      </c>
      <c r="P28" s="8"/>
      <c r="BG28" s="8"/>
    </row>
    <row r="29" spans="1:59" ht="13.5" thickBot="1">
      <c r="A29" s="854">
        <v>2014</v>
      </c>
      <c r="B29" s="1650">
        <v>12</v>
      </c>
      <c r="C29" s="498">
        <f>VLOOKUP(Community_Name,'Population Forecast'!$A$2:$AZ$267,B29+13,FALSE)</f>
        <v>117</v>
      </c>
      <c r="D29" s="1341"/>
      <c r="E29" s="1697"/>
      <c r="F29" s="1341"/>
      <c r="G29" s="1341"/>
      <c r="H29" s="1341"/>
      <c r="I29" s="1342"/>
      <c r="J29" s="1341"/>
      <c r="K29" s="855"/>
      <c r="M29" s="9"/>
      <c r="N29" s="9"/>
      <c r="O29" s="856"/>
      <c r="P29" s="8"/>
      <c r="BG29" s="8"/>
    </row>
    <row r="30" spans="1:59" ht="13.5" thickBot="1">
      <c r="A30" s="1343" t="s">
        <v>1190</v>
      </c>
      <c r="B30" s="1651"/>
      <c r="C30" s="1344"/>
      <c r="D30" s="1344">
        <f t="shared" ref="D30:J30" si="2">LOGEST(D18:D27)</f>
        <v>1.0401166298833873</v>
      </c>
      <c r="E30" s="1344"/>
      <c r="F30" s="1344">
        <f t="shared" si="2"/>
        <v>1.0745124818938117</v>
      </c>
      <c r="G30" s="1344">
        <f t="shared" si="2"/>
        <v>1.0433322440750121</v>
      </c>
      <c r="H30" s="1344">
        <f t="shared" si="2"/>
        <v>1.0587551615482531</v>
      </c>
      <c r="I30" s="1344" t="e">
        <f t="shared" si="2"/>
        <v>#VALUE!</v>
      </c>
      <c r="J30" s="1344">
        <f t="shared" si="2"/>
        <v>1.056773044776675</v>
      </c>
      <c r="P30" s="8"/>
      <c r="BG30" s="8"/>
    </row>
    <row r="31" spans="1:59" ht="34.5" customHeight="1">
      <c r="A31" s="1982" t="s">
        <v>1191</v>
      </c>
      <c r="B31" s="1983"/>
      <c r="C31" s="1983"/>
      <c r="D31" s="1983"/>
      <c r="E31" s="1983"/>
      <c r="F31" s="1983"/>
      <c r="G31" s="1983"/>
      <c r="H31" s="1983"/>
      <c r="O31" s="8"/>
      <c r="P31" s="8"/>
    </row>
    <row r="32" spans="1:59" ht="13.5" thickBot="1">
      <c r="A32" s="1949" t="s">
        <v>2099</v>
      </c>
      <c r="B32" s="1949"/>
    </row>
    <row r="33" spans="1:59">
      <c r="A33" s="1850" t="s">
        <v>420</v>
      </c>
      <c r="B33" s="1671">
        <f>INDEX(LINEST(J18:J28,C18:C28,TRUE,TRUE),1)</f>
        <v>3399.0481335391305</v>
      </c>
      <c r="C33" s="1849"/>
      <c r="J33" s="8"/>
      <c r="M33" s="286"/>
      <c r="N33" s="286"/>
      <c r="O33" s="8"/>
      <c r="P33" s="8"/>
    </row>
    <row r="34" spans="1:59" ht="13.5" thickBot="1">
      <c r="A34" s="1670" t="s">
        <v>396</v>
      </c>
      <c r="B34" s="1672">
        <f>INDEX(LINEST(J18:J28,C18:C28,TRUE),2)</f>
        <v>-14258.525981821294</v>
      </c>
      <c r="C34" s="1849"/>
      <c r="O34" s="8"/>
      <c r="P34" s="8"/>
    </row>
    <row r="35" spans="1:59" ht="33" customHeight="1" thickBot="1">
      <c r="A35" s="1849"/>
      <c r="B35" s="1849"/>
      <c r="C35" s="1849"/>
      <c r="O35" s="8"/>
      <c r="P35" s="8"/>
    </row>
    <row r="36" spans="1:59" ht="13.5" customHeight="1" thickBot="1">
      <c r="A36" s="866"/>
      <c r="B36" s="1256"/>
      <c r="C36" s="921"/>
      <c r="D36" s="1392"/>
      <c r="E36" s="1858" t="s">
        <v>1202</v>
      </c>
      <c r="F36" s="1859"/>
      <c r="G36" s="1859"/>
      <c r="H36" s="1859"/>
      <c r="I36" s="1860"/>
      <c r="J36" s="1862" t="s">
        <v>1192</v>
      </c>
      <c r="K36" s="1863"/>
      <c r="L36" s="1863"/>
      <c r="M36" s="1863"/>
      <c r="N36" s="1863"/>
      <c r="O36" s="1863"/>
      <c r="P36" s="1864"/>
      <c r="Q36" s="1946" t="s">
        <v>2320</v>
      </c>
      <c r="R36" s="1947"/>
      <c r="S36" s="1947"/>
      <c r="T36" s="1948"/>
      <c r="BG36" s="8"/>
    </row>
    <row r="37" spans="1:59" ht="63.75">
      <c r="A37" s="1850" t="s">
        <v>1972</v>
      </c>
      <c r="B37" s="1851"/>
      <c r="C37" s="1580" t="s">
        <v>1194</v>
      </c>
      <c r="D37" s="1853" t="s">
        <v>1353</v>
      </c>
      <c r="E37" s="1124" t="s">
        <v>2308</v>
      </c>
      <c r="F37" s="1582" t="s">
        <v>2371</v>
      </c>
      <c r="G37" s="1582" t="s">
        <v>2309</v>
      </c>
      <c r="H37" s="1582" t="s">
        <v>2370</v>
      </c>
      <c r="I37" s="1580" t="s">
        <v>1193</v>
      </c>
      <c r="J37" s="491" t="s">
        <v>2372</v>
      </c>
      <c r="K37" s="491" t="s">
        <v>2375</v>
      </c>
      <c r="L37" s="1846" t="s">
        <v>2373</v>
      </c>
      <c r="M37" s="1846" t="s">
        <v>2376</v>
      </c>
      <c r="N37" s="1846" t="s">
        <v>2374</v>
      </c>
      <c r="O37" s="1846" t="s">
        <v>2377</v>
      </c>
      <c r="P37" s="857" t="s">
        <v>1195</v>
      </c>
      <c r="Q37" s="1834" t="s">
        <v>2326</v>
      </c>
      <c r="R37" s="1835" t="s">
        <v>2327</v>
      </c>
      <c r="S37" s="1835" t="s">
        <v>2328</v>
      </c>
      <c r="T37" s="1836" t="s">
        <v>1195</v>
      </c>
    </row>
    <row r="38" spans="1:59">
      <c r="A38" s="858">
        <v>2015</v>
      </c>
      <c r="B38" s="1849">
        <v>13</v>
      </c>
      <c r="C38" s="1481">
        <f>VLOOKUP(Community_Name,'Population Forecast'!$A$2:$BL$267,B38+13,FALSE)</f>
        <v>89.886316533466839</v>
      </c>
      <c r="D38" s="1583">
        <f>MROUND(C38/'Eff (res)'!$I$10,1)</f>
        <v>41</v>
      </c>
      <c r="E38" s="724">
        <f>C38*$B$33+$B$34-IF(Eff_Com_B_C_Ratio&gt;1,'Eff (com)'!$D$33,0)-IF('Eff (W &amp; WW)'!C15&gt;1,'Eff (W &amp; WW)'!$D$37,0)</f>
        <v>229341.04780094538</v>
      </c>
      <c r="F38" s="1861">
        <f>INDEX('Eff (com)'!G$74:BH$74,1,ROW()-37)*E38</f>
        <v>148670.29582284615</v>
      </c>
      <c r="G38" s="924">
        <f t="shared" ref="G38:G76" si="3">MROUND(E38/(1-Line_Loss),1000)</f>
        <v>261000</v>
      </c>
      <c r="H38" s="924">
        <f t="shared" ref="H38:H76" si="4">G38/Generation_Efficiency</f>
        <v>24161.405844886234</v>
      </c>
      <c r="I38" s="923">
        <f t="shared" ref="I38:I76" si="5">E38/8760/(1-Line_Loss)</f>
        <v>29.784396938320498</v>
      </c>
      <c r="J38" s="1548">
        <f>IF(EE_Res_B_C_Ratio&gt;1,INDEX('Eff (res)'!G$81:BH$81,1,ROW()-37),Forecast!J38)</f>
        <v>25469.084818585528</v>
      </c>
      <c r="K38" s="1865">
        <f>INDEX('Eff (com)'!G$98:BG$98,1,ROW()-37)*J38</f>
        <v>107122.44664664823</v>
      </c>
      <c r="L38" s="924">
        <f>IF(Eff_Com_B_C_Ratio&gt;1,INDEX('Eff (com)'!G$81:BH$81,1,ROW()-38),Forecast!L38)</f>
        <v>25133.716681665479</v>
      </c>
      <c r="M38" s="1865">
        <f>INDEX('Eff (com)'!G$98:BI$98,1,ROW()-37)*L38</f>
        <v>105711.89516393504</v>
      </c>
      <c r="N38" s="724">
        <f>IF(Eff_WW_B_C_Ratio&gt;1,INDEX('Eff (W &amp; WW)'!G$81:BH$81,1,ROW()-37),Forecast!N38)</f>
        <v>1232.140879446971</v>
      </c>
      <c r="O38" s="1865">
        <f>INDEX('Eff (com)'!G$98:BK$98,1,ROW()-37)*N38</f>
        <v>5182.3591840801237</v>
      </c>
      <c r="P38" s="925">
        <f>J38+L38+N38</f>
        <v>51834.942379697975</v>
      </c>
      <c r="Q38" s="1837">
        <f>INDEX('Eff (res)'!G$111:BH$111,1,ROW()-25)</f>
        <v>10022.409404618773</v>
      </c>
      <c r="R38" s="1838">
        <f>INDEX('Eff (com)'!G$109:BH$109,1,ROW()-26)</f>
        <v>4687.0985163105897</v>
      </c>
      <c r="S38" s="1839">
        <f>INDEX('Eff (W &amp; WW)'!G$100:BH$100,1,ROW()-25)</f>
        <v>169.05191248816365</v>
      </c>
      <c r="T38" s="1840">
        <f t="shared" ref="T38:T76" si="6">SUM(Q38:S38)</f>
        <v>14878.559833417525</v>
      </c>
      <c r="U38" s="8">
        <f>(P38+H38)/C38</f>
        <v>845.47182658540635</v>
      </c>
    </row>
    <row r="39" spans="1:59">
      <c r="A39" s="858">
        <v>2016</v>
      </c>
      <c r="B39" s="1849">
        <v>14</v>
      </c>
      <c r="C39" s="1481">
        <f>VLOOKUP(Community_Name,'Population Forecast'!$A$2:$BL$267,B39+13,FALSE)</f>
        <v>89.842874104095642</v>
      </c>
      <c r="D39" s="1583">
        <f>MROUND(C39/'Eff (res)'!$I$10,1)</f>
        <v>41</v>
      </c>
      <c r="E39" s="724">
        <f>C39*$B$33+$B$34-IF(Eff_Com_B_C_Ratio&gt;1,'Eff (com)'!$D$33,0)-IF('Eff (W &amp; WW)'!C16&gt;1,'Eff (W &amp; WW)'!$D$37,0)</f>
        <v>229193.38489247483</v>
      </c>
      <c r="F39" s="1861">
        <f>INDEX('Eff (com)'!G$74:BH$74,1,ROW()-37)*E39</f>
        <v>158489.18745979265</v>
      </c>
      <c r="G39" s="924">
        <f t="shared" si="3"/>
        <v>261000</v>
      </c>
      <c r="H39" s="924">
        <f t="shared" si="4"/>
        <v>24161.405844886234</v>
      </c>
      <c r="I39" s="923">
        <f t="shared" si="5"/>
        <v>29.765220036840699</v>
      </c>
      <c r="J39" s="1548">
        <f>IF(EE_Res_B_C_Ratio&gt;1,INDEX('Eff (res)'!G$81:BH$81,1,ROW()-37),Forecast!J39)</f>
        <v>25469.084818585528</v>
      </c>
      <c r="K39" s="1865">
        <f>INDEX('Eff (com)'!G$98:BG$98,1,ROW()-37)*J39</f>
        <v>119024.0475475463</v>
      </c>
      <c r="L39" s="924">
        <f>IF(Eff_Com_B_C_Ratio&gt;1,INDEX('Eff (com)'!G$81:BH$81,1,ROW()-38),Forecast!L39)</f>
        <v>25133.716681665479</v>
      </c>
      <c r="M39" s="1865">
        <f>INDEX('Eff (com)'!G$98:BI$98,1,ROW()-37)*L39</f>
        <v>117456.77988327689</v>
      </c>
      <c r="N39" s="724">
        <f>IF(Eff_WW_B_C_Ratio&gt;1,INDEX('Eff (W &amp; WW)'!G$81:BH$81,1,ROW()-37),Forecast!N39)</f>
        <v>1231.5453806525486</v>
      </c>
      <c r="O39" s="1865">
        <f>INDEX('Eff (com)'!G$98:BK$98,1,ROW()-37)*N39</f>
        <v>5755.3507315969091</v>
      </c>
      <c r="P39" s="925">
        <f t="shared" ref="P39:P53" si="7">J39+L39+N39</f>
        <v>51834.346880903555</v>
      </c>
      <c r="Q39" s="1837">
        <f>INDEX('Eff (res)'!G$111:BH$111,1,ROW()-25)</f>
        <v>10022.409404618773</v>
      </c>
      <c r="R39" s="1838">
        <f>INDEX('Eff (com)'!G$109:BH$109,1,ROW()-26)</f>
        <v>4687.0985163105897</v>
      </c>
      <c r="S39" s="1839">
        <f>INDEX('Eff (W &amp; WW)'!G$100:BH$100,1,ROW()-25)</f>
        <v>168.97020899811577</v>
      </c>
      <c r="T39" s="1840">
        <f t="shared" si="6"/>
        <v>14878.478129927478</v>
      </c>
    </row>
    <row r="40" spans="1:59">
      <c r="A40" s="858">
        <v>2017</v>
      </c>
      <c r="B40" s="1849">
        <v>15</v>
      </c>
      <c r="C40" s="1481">
        <f>VLOOKUP(Community_Name,'Population Forecast'!$A$2:$BL$267,B40+13,FALSE)</f>
        <v>89.799452670630629</v>
      </c>
      <c r="D40" s="1583">
        <f>MROUND(C40/'Eff (res)'!$I$10,1)</f>
        <v>41</v>
      </c>
      <c r="E40" s="724">
        <f>C40*$B$33+$B$34-IF(Eff_Com_B_C_Ratio&gt;1,'Eff (com)'!$D$33,0)-IF('Eff (W &amp; WW)'!C17&gt;1,'Eff (W &amp; WW)'!$D$37,0)</f>
        <v>229045.79335009996</v>
      </c>
      <c r="F40" s="1861">
        <f>INDEX('Eff (com)'!G$74:BH$74,1,ROW()-37)*E40</f>
        <v>161871.70030665127</v>
      </c>
      <c r="G40" s="924">
        <f t="shared" si="3"/>
        <v>261000</v>
      </c>
      <c r="H40" s="924">
        <f t="shared" si="4"/>
        <v>24161.405844886234</v>
      </c>
      <c r="I40" s="923">
        <f t="shared" si="5"/>
        <v>29.74605240363686</v>
      </c>
      <c r="J40" s="1548">
        <f>IF(EE_Res_B_C_Ratio&gt;1,INDEX('Eff (res)'!G$81:BH$81,1,ROW()-37),Forecast!J40)</f>
        <v>25469.084818585528</v>
      </c>
      <c r="K40" s="1865">
        <f>INDEX('Eff (com)'!G$98:BG$98,1,ROW()-37)*J40</f>
        <v>123209.65963452736</v>
      </c>
      <c r="L40" s="924">
        <f>IF(Eff_Com_B_C_Ratio&gt;1,INDEX('Eff (com)'!G$81:BH$81,1,ROW()-38),Forecast!L40)</f>
        <v>25133.716681665479</v>
      </c>
      <c r="M40" s="1865">
        <f>INDEX('Eff (com)'!G$98:BI$98,1,ROW()-37)*L40</f>
        <v>121587.27727189013</v>
      </c>
      <c r="N40" s="724">
        <f>IF(Eff_WW_B_C_Ratio&gt;1,INDEX('Eff (W &amp; WW)'!G$81:BH$81,1,ROW()-37),Forecast!N40)</f>
        <v>1230.9501696651621</v>
      </c>
      <c r="O40" s="1865">
        <f>INDEX('Eff (com)'!G$98:BK$98,1,ROW()-37)*N40</f>
        <v>5954.8645941464702</v>
      </c>
      <c r="P40" s="925">
        <f t="shared" si="7"/>
        <v>51833.751669916172</v>
      </c>
      <c r="Q40" s="1837">
        <f>INDEX('Eff (res)'!G$111:BH$111,1,ROW()-25)</f>
        <v>10022.409404618773</v>
      </c>
      <c r="R40" s="1838">
        <f>INDEX('Eff (com)'!G$109:BH$109,1,ROW()-26)</f>
        <v>4687.0985163105897</v>
      </c>
      <c r="S40" s="1839">
        <f>INDEX('Eff (W &amp; WW)'!G$100:BH$100,1,ROW()-25)</f>
        <v>168.88854499570331</v>
      </c>
      <c r="T40" s="1840">
        <f t="shared" si="6"/>
        <v>14878.396465925065</v>
      </c>
    </row>
    <row r="41" spans="1:59">
      <c r="A41" s="858">
        <v>2018</v>
      </c>
      <c r="B41" s="1849">
        <v>16</v>
      </c>
      <c r="C41" s="1481">
        <f>VLOOKUP(Community_Name,'Population Forecast'!$A$2:$BL$267,B41+13,FALSE)</f>
        <v>89.756052222924396</v>
      </c>
      <c r="D41" s="1583">
        <f>MROUND(C41/'Eff (res)'!$I$10,1)</f>
        <v>41</v>
      </c>
      <c r="E41" s="724">
        <f>C41*$B$33+$B$34-IF(Eff_Com_B_C_Ratio&gt;1,'Eff (com)'!$D$33,0)-IF('Eff (W &amp; WW)'!C18&gt;1,'Eff (W &amp; WW)'!$D$37,0)</f>
        <v>228898.27313932937</v>
      </c>
      <c r="F41" s="1861">
        <f>INDEX('Eff (com)'!G$74:BH$74,1,ROW()-37)*E41</f>
        <v>162022.14220269755</v>
      </c>
      <c r="G41" s="924">
        <f t="shared" si="3"/>
        <v>260000</v>
      </c>
      <c r="H41" s="924">
        <f t="shared" si="4"/>
        <v>24068.833408698931</v>
      </c>
      <c r="I41" s="923">
        <f t="shared" si="5"/>
        <v>29.726894034229609</v>
      </c>
      <c r="J41" s="1548">
        <f>IF(EE_Res_B_C_Ratio&gt;1,INDEX('Eff (res)'!G$81:BH$81,1,ROW()-37),Forecast!J41)</f>
        <v>25469.084818585528</v>
      </c>
      <c r="K41" s="1865">
        <f>INDEX('Eff (com)'!G$98:BG$98,1,ROW()-37)*J41</f>
        <v>123515.79542708394</v>
      </c>
      <c r="L41" s="924">
        <f>IF(Eff_Com_B_C_Ratio&gt;1,INDEX('Eff (com)'!G$81:BH$81,1,ROW()-38),Forecast!L41)</f>
        <v>25133.716681665479</v>
      </c>
      <c r="M41" s="1865">
        <f>INDEX('Eff (com)'!G$98:BI$98,1,ROW()-37)*L41</f>
        <v>121889.38197376853</v>
      </c>
      <c r="N41" s="724">
        <f>IF(Eff_WW_B_C_Ratio&gt;1,INDEX('Eff (W &amp; WW)'!G$81:BH$81,1,ROW()-37),Forecast!N41)</f>
        <v>1230.3552463457129</v>
      </c>
      <c r="O41" s="1865">
        <f>INDEX('Eff (com)'!G$98:BK$98,1,ROW()-37)*N41</f>
        <v>5966.7753275288824</v>
      </c>
      <c r="P41" s="925">
        <f t="shared" si="7"/>
        <v>51833.156746596724</v>
      </c>
      <c r="Q41" s="1837">
        <f>INDEX('Eff (res)'!G$111:BH$111,1,ROW()-25)</f>
        <v>10022.409404618773</v>
      </c>
      <c r="R41" s="1838">
        <f>INDEX('Eff (com)'!G$109:BH$109,1,ROW()-26)</f>
        <v>4687.0985163105897</v>
      </c>
      <c r="S41" s="1839">
        <f>INDEX('Eff (W &amp; WW)'!G$100:BH$100,1,ROW()-25)</f>
        <v>168.80692046184168</v>
      </c>
      <c r="T41" s="1840">
        <f t="shared" si="6"/>
        <v>14878.314841391204</v>
      </c>
    </row>
    <row r="42" spans="1:59">
      <c r="A42" s="858">
        <v>2019</v>
      </c>
      <c r="B42" s="1849">
        <v>17</v>
      </c>
      <c r="C42" s="1481">
        <f>VLOOKUP(Community_Name,'Population Forecast'!$A$2:$BL$267,B42+13,FALSE)</f>
        <v>89.712672750834443</v>
      </c>
      <c r="D42" s="1583">
        <f>MROUND(C42/'Eff (res)'!$I$10,1)</f>
        <v>41</v>
      </c>
      <c r="E42" s="724">
        <f>C42*$B$33+$B$34-IF(Eff_Com_B_C_Ratio&gt;1,'Eff (com)'!$D$33,0)-IF('Eff (W &amp; WW)'!C19&gt;1,'Eff (W &amp; WW)'!$D$37,0)</f>
        <v>226876.55727520207</v>
      </c>
      <c r="F42" s="1861">
        <f>INDEX('Eff (com)'!G$74:BH$74,1,ROW()-37)*E42</f>
        <v>161767.06045134569</v>
      </c>
      <c r="G42" s="924">
        <f t="shared" si="3"/>
        <v>258000</v>
      </c>
      <c r="H42" s="924">
        <f t="shared" si="4"/>
        <v>23883.688536324324</v>
      </c>
      <c r="I42" s="923">
        <f t="shared" si="5"/>
        <v>29.464334896338471</v>
      </c>
      <c r="J42" s="1548">
        <f>IF(EE_Res_B_C_Ratio&gt;1,INDEX('Eff (res)'!G$81:BH$81,1,ROW()-37),Forecast!J42)</f>
        <v>25469.084818585528</v>
      </c>
      <c r="K42" s="1865">
        <f>INDEX('Eff (com)'!G$98:BG$98,1,ROW()-37)*J42</f>
        <v>124941.84350902282</v>
      </c>
      <c r="L42" s="924">
        <f>IF(Eff_Com_B_C_Ratio&gt;1,INDEX('Eff (com)'!G$81:BH$81,1,ROW()-38),Forecast!L42)</f>
        <v>25133.716681665479</v>
      </c>
      <c r="M42" s="1865">
        <f>INDEX('Eff (com)'!G$98:BI$98,1,ROW()-37)*L42</f>
        <v>123296.6523457188</v>
      </c>
      <c r="N42" s="724">
        <f>IF(Eff_WW_B_C_Ratio&gt;1,INDEX('Eff (W &amp; WW)'!G$81:BH$81,1,ROW()-37),Forecast!N42)</f>
        <v>1229.7606105551702</v>
      </c>
      <c r="O42" s="1865">
        <f>INDEX('Eff (com)'!G$98:BK$98,1,ROW()-37)*N42</f>
        <v>6032.7474996440633</v>
      </c>
      <c r="P42" s="925">
        <f t="shared" si="7"/>
        <v>51832.562110806175</v>
      </c>
      <c r="Q42" s="1837">
        <f>INDEX('Eff (res)'!G$111:BH$111,1,ROW()-25)</f>
        <v>10022.409404618773</v>
      </c>
      <c r="R42" s="1838">
        <f>INDEX('Eff (com)'!G$109:BH$109,1,ROW()-26)</f>
        <v>4687.0985163105897</v>
      </c>
      <c r="S42" s="1839">
        <f>INDEX('Eff (W &amp; WW)'!G$100:BH$100,1,ROW()-25)</f>
        <v>168.72533537745562</v>
      </c>
      <c r="T42" s="1840">
        <f t="shared" si="6"/>
        <v>14878.233256306818</v>
      </c>
    </row>
    <row r="43" spans="1:59">
      <c r="A43" s="858">
        <v>2020</v>
      </c>
      <c r="B43" s="1849">
        <v>18</v>
      </c>
      <c r="C43" s="1481">
        <f>VLOOKUP(Community_Name,'Population Forecast'!$A$2:$BL$267,B43+13,FALSE)</f>
        <v>89.669314244223159</v>
      </c>
      <c r="D43" s="1583">
        <f>MROUND(C43/'Eff (res)'!$I$10,1)</f>
        <v>41</v>
      </c>
      <c r="E43" s="724">
        <f>C43*$B$33+$B$34-IF(Eff_Com_B_C_Ratio&gt;1,'Eff (com)'!$D$33,0)-IF('Eff (W &amp; WW)'!C20&gt;1,'Eff (W &amp; WW)'!$D$37,0)</f>
        <v>226729.17962423194</v>
      </c>
      <c r="F43" s="1861">
        <f>INDEX('Eff (com)'!G$74:BH$74,1,ROW()-37)*E43</f>
        <v>162843.30266056588</v>
      </c>
      <c r="G43" s="924">
        <f t="shared" si="3"/>
        <v>258000</v>
      </c>
      <c r="H43" s="924">
        <f t="shared" si="4"/>
        <v>23883.688536324324</v>
      </c>
      <c r="I43" s="923">
        <f t="shared" si="5"/>
        <v>29.445195041094841</v>
      </c>
      <c r="J43" s="1548">
        <f>IF(EE_Res_B_C_Ratio&gt;1,INDEX('Eff (res)'!G$81:BH$81,1,ROW()-37),Forecast!J43)</f>
        <v>25469.084818585528</v>
      </c>
      <c r="K43" s="1865">
        <f>INDEX('Eff (com)'!G$98:BG$98,1,ROW()-37)*J43</f>
        <v>126375.33021492389</v>
      </c>
      <c r="L43" s="924">
        <f>IF(Eff_Com_B_C_Ratio&gt;1,INDEX('Eff (com)'!G$81:BH$81,1,ROW()-38),Forecast!L43)</f>
        <v>25133.716681665479</v>
      </c>
      <c r="M43" s="1865">
        <f>INDEX('Eff (com)'!G$98:BI$98,1,ROW()-37)*L43</f>
        <v>124711.26339239292</v>
      </c>
      <c r="N43" s="724">
        <f>IF(Eff_WW_B_C_Ratio&gt;1,INDEX('Eff (W &amp; WW)'!G$81:BH$81,1,ROW()-37),Forecast!N43)</f>
        <v>1229.1662621545695</v>
      </c>
      <c r="O43" s="1865">
        <f>INDEX('Eff (com)'!G$98:BK$98,1,ROW()-37)*N43</f>
        <v>6099.013505011143</v>
      </c>
      <c r="P43" s="925">
        <f t="shared" si="7"/>
        <v>51831.967762405577</v>
      </c>
      <c r="Q43" s="1837">
        <f>INDEX('Eff (res)'!G$111:BH$111,1,ROW()-25)</f>
        <v>10022.409404618773</v>
      </c>
      <c r="R43" s="1838">
        <f>INDEX('Eff (com)'!G$109:BH$109,1,ROW()-26)</f>
        <v>4687.0985163105897</v>
      </c>
      <c r="S43" s="1839">
        <f>INDEX('Eff (W &amp; WW)'!G$100:BH$100,1,ROW()-25)</f>
        <v>168.64378972347907</v>
      </c>
      <c r="T43" s="1840">
        <f t="shared" si="6"/>
        <v>14878.151710652841</v>
      </c>
    </row>
    <row r="44" spans="1:59">
      <c r="A44" s="858">
        <v>2021</v>
      </c>
      <c r="B44" s="1849">
        <v>19</v>
      </c>
      <c r="C44" s="1481">
        <f>VLOOKUP(Community_Name,'Population Forecast'!$A$2:$BL$267,B44+13,FALSE)</f>
        <v>89.625976692957863</v>
      </c>
      <c r="D44" s="1583">
        <f>MROUND(C44/'Eff (res)'!$I$10,1)</f>
        <v>41</v>
      </c>
      <c r="E44" s="724">
        <f>C44*$B$33+$B$34-IF(Eff_Com_B_C_Ratio&gt;1,'Eff (com)'!$D$33,0)-IF('Eff (W &amp; WW)'!C21&gt;1,'Eff (W &amp; WW)'!$D$37,0)</f>
        <v>226581.87320149149</v>
      </c>
      <c r="F44" s="1861">
        <f>INDEX('Eff (com)'!G$74:BH$74,1,ROW()-37)*E44</f>
        <v>164337.20942940703</v>
      </c>
      <c r="G44" s="924">
        <f t="shared" si="3"/>
        <v>258000</v>
      </c>
      <c r="H44" s="924">
        <f t="shared" si="4"/>
        <v>23883.688536324324</v>
      </c>
      <c r="I44" s="923">
        <f t="shared" si="5"/>
        <v>29.4260644362226</v>
      </c>
      <c r="J44" s="1548">
        <f>IF(EE_Res_B_C_Ratio&gt;1,INDEX('Eff (res)'!G$81:BH$81,1,ROW()-37),Forecast!J44)</f>
        <v>25469.084818585528</v>
      </c>
      <c r="K44" s="1865">
        <f>INDEX('Eff (com)'!G$98:BG$98,1,ROW()-37)*J44</f>
        <v>128317.76643258854</v>
      </c>
      <c r="L44" s="924">
        <f>IF(Eff_Com_B_C_Ratio&gt;1,INDEX('Eff (com)'!G$81:BH$81,1,ROW()-38),Forecast!L44)</f>
        <v>25133.716681665479</v>
      </c>
      <c r="M44" s="1865">
        <f>INDEX('Eff (com)'!G$98:BI$98,1,ROW()-37)*L44</f>
        <v>126628.12227895031</v>
      </c>
      <c r="N44" s="724">
        <f>IF(Eff_WW_B_C_Ratio&gt;1,INDEX('Eff (W &amp; WW)'!G$81:BH$81,1,ROW()-37),Forecast!N44)</f>
        <v>1228.5722010050149</v>
      </c>
      <c r="O44" s="1865">
        <f>INDEX('Eff (com)'!G$98:BK$98,1,ROW()-37)*N44</f>
        <v>6189.7646443539534</v>
      </c>
      <c r="P44" s="925">
        <f t="shared" si="7"/>
        <v>51831.373701256023</v>
      </c>
      <c r="Q44" s="1837">
        <f>INDEX('Eff (res)'!G$111:BH$111,1,ROW()-25)</f>
        <v>10022.409404618773</v>
      </c>
      <c r="R44" s="1838">
        <f>INDEX('Eff (com)'!G$109:BH$109,1,ROW()-26)</f>
        <v>4687.0985163105897</v>
      </c>
      <c r="S44" s="1839">
        <f>INDEX('Eff (W &amp; WW)'!G$100:BH$100,1,ROW()-25)</f>
        <v>168.56228348085509</v>
      </c>
      <c r="T44" s="1840">
        <f t="shared" si="6"/>
        <v>14878.070204410216</v>
      </c>
    </row>
    <row r="45" spans="1:59">
      <c r="A45" s="858">
        <v>2022</v>
      </c>
      <c r="B45" s="1849">
        <v>20</v>
      </c>
      <c r="C45" s="1481">
        <f>VLOOKUP(Community_Name,'Population Forecast'!$A$2:$BL$267,B45+13,FALSE)</f>
        <v>89.582660086910721</v>
      </c>
      <c r="D45" s="1583">
        <f>MROUND(C45/'Eff (res)'!$I$10,1)</f>
        <v>41</v>
      </c>
      <c r="E45" s="724">
        <f>C45*$B$33+$B$34-IF(Eff_Com_B_C_Ratio&gt;1,'Eff (com)'!$D$33,0)-IF('Eff (W &amp; WW)'!C22&gt;1,'Eff (W &amp; WW)'!$D$37,0)</f>
        <v>226434.63797255571</v>
      </c>
      <c r="F45" s="1861">
        <f>INDEX('Eff (com)'!G$74:BH$74,1,ROW()-37)*E45</f>
        <v>165944.10081737014</v>
      </c>
      <c r="G45" s="924">
        <f t="shared" si="3"/>
        <v>258000</v>
      </c>
      <c r="H45" s="924">
        <f t="shared" si="4"/>
        <v>23883.688536324324</v>
      </c>
      <c r="I45" s="923">
        <f t="shared" si="5"/>
        <v>29.40694307725099</v>
      </c>
      <c r="J45" s="1548">
        <f>IF(EE_Res_B_C_Ratio&gt;1,INDEX('Eff (res)'!G$81:BH$81,1,ROW()-37),Forecast!J45)</f>
        <v>25469.084818585528</v>
      </c>
      <c r="K45" s="1865">
        <f>INDEX('Eff (com)'!G$98:BG$98,1,ROW()-37)*J45</f>
        <v>130399.9468583868</v>
      </c>
      <c r="L45" s="924">
        <f>IF(Eff_Com_B_C_Ratio&gt;1,INDEX('Eff (com)'!G$81:BH$81,1,ROW()-38),Forecast!L45)</f>
        <v>25133.716681665479</v>
      </c>
      <c r="M45" s="1865">
        <f>INDEX('Eff (com)'!G$98:BI$98,1,ROW()-37)*L45</f>
        <v>128682.88527003879</v>
      </c>
      <c r="N45" s="724">
        <f>IF(Eff_WW_B_C_Ratio&gt;1,INDEX('Eff (W &amp; WW)'!G$81:BH$81,1,ROW()-37),Forecast!N45)</f>
        <v>1227.9784269676763</v>
      </c>
      <c r="O45" s="1865">
        <f>INDEX('Eff (com)'!G$98:BK$98,1,ROW()-37)*N45</f>
        <v>6287.1643312043998</v>
      </c>
      <c r="P45" s="925">
        <f t="shared" si="7"/>
        <v>51830.779927218682</v>
      </c>
      <c r="Q45" s="1837">
        <f>INDEX('Eff (res)'!G$111:BH$111,1,ROW()-25)</f>
        <v>10022.409404618773</v>
      </c>
      <c r="R45" s="1838">
        <f>INDEX('Eff (com)'!G$109:BH$109,1,ROW()-26)</f>
        <v>4687.0985163105897</v>
      </c>
      <c r="S45" s="1839">
        <f>INDEX('Eff (W &amp; WW)'!G$100:BH$100,1,ROW()-25)</f>
        <v>168.480816630536</v>
      </c>
      <c r="T45" s="1840">
        <f t="shared" si="6"/>
        <v>14877.988737559897</v>
      </c>
    </row>
    <row r="46" spans="1:59">
      <c r="A46" s="858">
        <v>2023</v>
      </c>
      <c r="B46" s="1849">
        <v>21</v>
      </c>
      <c r="C46" s="1481">
        <f>VLOOKUP(Community_Name,'Population Forecast'!$A$2:$BL$267,B46+13,FALSE)</f>
        <v>89.539364415958843</v>
      </c>
      <c r="D46" s="1583">
        <f>MROUND(C46/'Eff (res)'!$I$10,1)</f>
        <v>41</v>
      </c>
      <c r="E46" s="724">
        <f>C46*$B$33+$B$34-IF(Eff_Com_B_C_Ratio&gt;1,'Eff (com)'!$D$33,0)-IF('Eff (W &amp; WW)'!C23&gt;1,'Eff (W &amp; WW)'!$D$37,0)</f>
        <v>226287.47390301636</v>
      </c>
      <c r="F46" s="1861">
        <f>INDEX('Eff (com)'!G$74:BH$74,1,ROW()-37)*E46</f>
        <v>167609.99149144659</v>
      </c>
      <c r="G46" s="924">
        <f t="shared" si="3"/>
        <v>257000</v>
      </c>
      <c r="H46" s="924">
        <f t="shared" si="4"/>
        <v>23791.11610013702</v>
      </c>
      <c r="I46" s="923">
        <f t="shared" si="5"/>
        <v>29.387830959711426</v>
      </c>
      <c r="J46" s="1548">
        <f>IF(EE_Res_B_C_Ratio&gt;1,INDEX('Eff (res)'!G$81:BH$81,1,ROW()-37),Forecast!J46)</f>
        <v>25469.084818585528</v>
      </c>
      <c r="K46" s="1865">
        <f>INDEX('Eff (com)'!G$98:BG$98,1,ROW()-37)*J46</f>
        <v>132556.50560707849</v>
      </c>
      <c r="L46" s="924">
        <f>IF(Eff_Com_B_C_Ratio&gt;1,INDEX('Eff (com)'!G$81:BH$81,1,ROW()-38),Forecast!L46)</f>
        <v>25133.716681665479</v>
      </c>
      <c r="M46" s="1865">
        <f>INDEX('Eff (com)'!G$98:BI$98,1,ROW()-37)*L46</f>
        <v>130811.04719588197</v>
      </c>
      <c r="N46" s="724">
        <f>IF(Eff_WW_B_C_Ratio&gt;1,INDEX('Eff (W &amp; WW)'!G$81:BH$81,1,ROW()-37),Forecast!N46)</f>
        <v>1227.3849399037911</v>
      </c>
      <c r="O46" s="1865">
        <f>INDEX('Eff (com)'!G$98:BK$98,1,ROW()-37)*N46</f>
        <v>6388.0528031252716</v>
      </c>
      <c r="P46" s="925">
        <f t="shared" si="7"/>
        <v>51830.186440154801</v>
      </c>
      <c r="Q46" s="1837">
        <f>INDEX('Eff (res)'!G$111:BH$111,1,ROW()-25)</f>
        <v>10022.409404618773</v>
      </c>
      <c r="R46" s="1838">
        <f>INDEX('Eff (com)'!G$109:BH$109,1,ROW()-26)</f>
        <v>4687.0985163105897</v>
      </c>
      <c r="S46" s="1839">
        <f>INDEX('Eff (W &amp; WW)'!G$100:BH$100,1,ROW()-25)</f>
        <v>168.39938915348336</v>
      </c>
      <c r="T46" s="1840">
        <f t="shared" si="6"/>
        <v>14877.907310082845</v>
      </c>
    </row>
    <row r="47" spans="1:59">
      <c r="A47" s="858">
        <v>2024</v>
      </c>
      <c r="B47" s="1849">
        <v>22</v>
      </c>
      <c r="C47" s="1481">
        <f>VLOOKUP(Community_Name,'Population Forecast'!$A$2:$BL$267,B47+13,FALSE)</f>
        <v>89.496089669984187</v>
      </c>
      <c r="D47" s="1583">
        <f>MROUND(C47/'Eff (res)'!$I$10,1)</f>
        <v>41</v>
      </c>
      <c r="E47" s="724">
        <f>C47*$B$33+$B$34-IF(Eff_Com_B_C_Ratio&gt;1,'Eff (com)'!$D$33,0)-IF('Eff (W &amp; WW)'!C24&gt;1,'Eff (W &amp; WW)'!$D$37,0)</f>
        <v>228014.64790896789</v>
      </c>
      <c r="F47" s="1861">
        <f>INDEX('Eff (com)'!G$74:BH$74,1,ROW()-37)*E47</f>
        <v>170714.47772536907</v>
      </c>
      <c r="G47" s="924">
        <f t="shared" si="3"/>
        <v>259000</v>
      </c>
      <c r="H47" s="924">
        <f t="shared" si="4"/>
        <v>23976.260972511627</v>
      </c>
      <c r="I47" s="923">
        <f t="shared" si="5"/>
        <v>29.612138106940726</v>
      </c>
      <c r="J47" s="1548">
        <f>IF(EE_Res_B_C_Ratio&gt;1,INDEX('Eff (res)'!G$81:BH$81,1,ROW()-37),Forecast!J47)</f>
        <v>25469.084818585528</v>
      </c>
      <c r="K47" s="1865">
        <f>INDEX('Eff (com)'!G$98:BG$98,1,ROW()-37)*J47</f>
        <v>134758.79264598782</v>
      </c>
      <c r="L47" s="924">
        <f>IF(Eff_Com_B_C_Ratio&gt;1,INDEX('Eff (com)'!G$81:BH$81,1,ROW()-38),Forecast!L47)</f>
        <v>25133.716681665479</v>
      </c>
      <c r="M47" s="1865">
        <f>INDEX('Eff (com)'!G$98:BI$98,1,ROW()-37)*L47</f>
        <v>132984.33527756674</v>
      </c>
      <c r="N47" s="724">
        <f>IF(Eff_WW_B_C_Ratio&gt;1,INDEX('Eff (W &amp; WW)'!G$81:BH$81,1,ROW()-37),Forecast!N47)</f>
        <v>1226.7917396746639</v>
      </c>
      <c r="O47" s="1865">
        <f>INDEX('Eff (com)'!G$98:BK$98,1,ROW()-37)*N47</f>
        <v>6491.0449214880782</v>
      </c>
      <c r="P47" s="925">
        <f t="shared" si="7"/>
        <v>51829.593239925671</v>
      </c>
      <c r="Q47" s="1837">
        <f>INDEX('Eff (res)'!G$111:BH$111,1,ROW()-25)</f>
        <v>10022.409404618773</v>
      </c>
      <c r="R47" s="1838">
        <f>INDEX('Eff (com)'!G$109:BH$109,1,ROW()-26)</f>
        <v>4687.0985163105897</v>
      </c>
      <c r="S47" s="1839">
        <f>INDEX('Eff (W &amp; WW)'!G$100:BH$100,1,ROW()-25)</f>
        <v>168.31800103066792</v>
      </c>
      <c r="T47" s="1840">
        <f t="shared" si="6"/>
        <v>14877.82592196003</v>
      </c>
    </row>
    <row r="48" spans="1:59">
      <c r="A48" s="858">
        <v>2025</v>
      </c>
      <c r="B48" s="1849">
        <v>23</v>
      </c>
      <c r="C48" s="1481">
        <f>VLOOKUP(Community_Name,'Population Forecast'!$A$2:$BL$267,B48+13,FALSE)</f>
        <v>89.452835838873639</v>
      </c>
      <c r="D48" s="1583">
        <f>MROUND(C48/'Eff (res)'!$I$10,1)</f>
        <v>41</v>
      </c>
      <c r="E48" s="724">
        <f>C48*$B$33+$B$34-IF(Eff_Com_B_C_Ratio&gt;1,'Eff (com)'!$D$33,0)-IF('Eff (W &amp; WW)'!C25&gt;1,'Eff (W &amp; WW)'!$D$37,0)</f>
        <v>227867.62605506313</v>
      </c>
      <c r="F48" s="1861">
        <f>INDEX('Eff (com)'!G$74:BH$74,1,ROW()-37)*E48</f>
        <v>172436.96121229572</v>
      </c>
      <c r="G48" s="924">
        <f t="shared" si="3"/>
        <v>259000</v>
      </c>
      <c r="H48" s="924">
        <f t="shared" si="4"/>
        <v>23976.260972511627</v>
      </c>
      <c r="I48" s="923">
        <f t="shared" si="5"/>
        <v>29.593044458868153</v>
      </c>
      <c r="J48" s="1548">
        <f>IF(EE_Res_B_C_Ratio&gt;1,INDEX('Eff (res)'!G$81:BH$81,1,ROW()-37),Forecast!J48)</f>
        <v>25469.084818585528</v>
      </c>
      <c r="K48" s="1865">
        <f>INDEX('Eff (com)'!G$98:BG$98,1,ROW()-37)*J48</f>
        <v>136971.41304285877</v>
      </c>
      <c r="L48" s="924">
        <f>IF(Eff_Com_B_C_Ratio&gt;1,INDEX('Eff (com)'!G$81:BH$81,1,ROW()-38),Forecast!L48)</f>
        <v>25133.716681665479</v>
      </c>
      <c r="M48" s="1865">
        <f>INDEX('Eff (com)'!G$98:BI$98,1,ROW()-37)*L48</f>
        <v>135167.82065111451</v>
      </c>
      <c r="N48" s="724">
        <f>IF(Eff_WW_B_C_Ratio&gt;1,INDEX('Eff (W &amp; WW)'!G$81:BH$81,1,ROW()-37),Forecast!N48)</f>
        <v>1226.1988261416664</v>
      </c>
      <c r="O48" s="1865">
        <f>INDEX('Eff (com)'!G$98:BK$98,1,ROW()-37)*N48</f>
        <v>6594.4334900309295</v>
      </c>
      <c r="P48" s="925">
        <f t="shared" si="7"/>
        <v>51829.000326392677</v>
      </c>
      <c r="Q48" s="1837">
        <f>INDEX('Eff (res)'!G$111:BH$111,1,ROW()-25)</f>
        <v>10022.409404618773</v>
      </c>
      <c r="R48" s="1838">
        <f>INDEX('Eff (com)'!G$109:BH$109,1,ROW()-26)</f>
        <v>4687.0985163105897</v>
      </c>
      <c r="S48" s="1839">
        <f>INDEX('Eff (W &amp; WW)'!G$100:BH$100,1,ROW()-25)</f>
        <v>168.23665224306959</v>
      </c>
      <c r="T48" s="1840">
        <f t="shared" si="6"/>
        <v>14877.744573172431</v>
      </c>
    </row>
    <row r="49" spans="1:63">
      <c r="A49" s="858">
        <v>2026</v>
      </c>
      <c r="B49" s="1849">
        <v>24</v>
      </c>
      <c r="C49" s="1481">
        <f>VLOOKUP(Community_Name,'Population Forecast'!$A$2:$BL$267,B49+13,FALSE)</f>
        <v>89.409602912518977</v>
      </c>
      <c r="D49" s="1583">
        <f>MROUND(C49/'Eff (res)'!$I$10,1)</f>
        <v>41</v>
      </c>
      <c r="E49" s="724">
        <f>C49*$B$33+$B$34-IF(Eff_Com_B_C_Ratio&gt;1,'Eff (com)'!$D$33,0)-IF('Eff (W &amp; WW)'!C26&gt;1,'Eff (W &amp; WW)'!$D$37,0)</f>
        <v>227720.67525742992</v>
      </c>
      <c r="F49" s="1861">
        <f>INDEX('Eff (com)'!G$74:BH$74,1,ROW()-37)*E49</f>
        <v>174276.74559170537</v>
      </c>
      <c r="G49" s="924">
        <f t="shared" si="3"/>
        <v>259000</v>
      </c>
      <c r="H49" s="924">
        <f t="shared" si="4"/>
        <v>23976.260972511627</v>
      </c>
      <c r="I49" s="923">
        <f t="shared" si="5"/>
        <v>29.573960038834851</v>
      </c>
      <c r="J49" s="1548">
        <f>IF(EE_Res_B_C_Ratio&gt;1,INDEX('Eff (res)'!G$81:BH$81,1,ROW()-37),Forecast!J49)</f>
        <v>25469.084818585528</v>
      </c>
      <c r="K49" s="1865">
        <f>INDEX('Eff (com)'!G$98:BG$98,1,ROW()-37)*J49</f>
        <v>139328.54461448762</v>
      </c>
      <c r="L49" s="924">
        <f>IF(Eff_Com_B_C_Ratio&gt;1,INDEX('Eff (com)'!G$81:BH$81,1,ROW()-38),Forecast!L49)</f>
        <v>0</v>
      </c>
      <c r="M49" s="1865">
        <f>INDEX('Eff (com)'!G$98:BI$98,1,ROW()-37)*L49</f>
        <v>0</v>
      </c>
      <c r="N49" s="724">
        <f>IF(Eff_WW_B_C_Ratio&gt;1,INDEX('Eff (W &amp; WW)'!G$81:BH$81,1,ROW()-37),Forecast!N49)</f>
        <v>1225.606199166237</v>
      </c>
      <c r="O49" s="1865">
        <f>INDEX('Eff (com)'!G$98:BK$98,1,ROW()-37)*N49</f>
        <v>6704.6746758531244</v>
      </c>
      <c r="P49" s="925">
        <f t="shared" si="7"/>
        <v>26694.691017751764</v>
      </c>
      <c r="Q49" s="1837">
        <f>INDEX('Eff (res)'!G$111:BH$111,1,ROW()-25)</f>
        <v>10022.409404618773</v>
      </c>
      <c r="R49" s="1838">
        <f>INDEX('Eff (com)'!G$109:BH$109,1,ROW()-26)</f>
        <v>4687.0985163105897</v>
      </c>
      <c r="S49" s="1839">
        <f>INDEX('Eff (W &amp; WW)'!G$100:BH$100,1,ROW()-25)</f>
        <v>168.15534277167751</v>
      </c>
      <c r="T49" s="1840">
        <f t="shared" si="6"/>
        <v>14877.663263701039</v>
      </c>
    </row>
    <row r="50" spans="1:63">
      <c r="A50" s="858">
        <v>2027</v>
      </c>
      <c r="B50" s="1849">
        <v>25</v>
      </c>
      <c r="C50" s="1481">
        <f>VLOOKUP(Community_Name,'Population Forecast'!$A$2:$BL$267,B50+13,FALSE)</f>
        <v>89.366390880816823</v>
      </c>
      <c r="D50" s="1583">
        <f>MROUND(C50/'Eff (res)'!$I$10,1)</f>
        <v>41</v>
      </c>
      <c r="E50" s="724">
        <f>C50*$B$33+$B$34-IF(Eff_Com_B_C_Ratio&gt;1,'Eff (com)'!$D$33,0)-IF('Eff (W &amp; WW)'!C27&gt;1,'Eff (W &amp; WW)'!$D$37,0)</f>
        <v>227573.79548172627</v>
      </c>
      <c r="F50" s="1861">
        <f>INDEX('Eff (com)'!G$74:BH$74,1,ROW()-37)*E50</f>
        <v>176161.75514702729</v>
      </c>
      <c r="G50" s="924">
        <f t="shared" si="3"/>
        <v>259000</v>
      </c>
      <c r="H50" s="924">
        <f t="shared" si="4"/>
        <v>23976.260972511627</v>
      </c>
      <c r="I50" s="923">
        <f t="shared" si="5"/>
        <v>29.554884842380854</v>
      </c>
      <c r="J50" s="1548">
        <f>IF(EE_Res_B_C_Ratio&gt;1,INDEX('Eff (res)'!G$81:BH$81,1,ROW()-37),Forecast!J50)</f>
        <v>25469.084818585528</v>
      </c>
      <c r="K50" s="1865">
        <f>INDEX('Eff (com)'!G$98:BG$98,1,ROW()-37)*J50</f>
        <v>141743.32898078475</v>
      </c>
      <c r="L50" s="924">
        <f>IF(Eff_Com_B_C_Ratio&gt;1,INDEX('Eff (com)'!G$81:BH$81,1,ROW()-38),Forecast!L50)</f>
        <v>0</v>
      </c>
      <c r="M50" s="1865">
        <f>INDEX('Eff (com)'!G$98:BI$98,1,ROW()-37)*L50</f>
        <v>0</v>
      </c>
      <c r="N50" s="724">
        <f>IF(Eff_WW_B_C_Ratio&gt;1,INDEX('Eff (W &amp; WW)'!G$81:BH$81,1,ROW()-37),Forecast!N50)</f>
        <v>1225.0138586098815</v>
      </c>
      <c r="O50" s="1865">
        <f>INDEX('Eff (com)'!G$98:BK$98,1,ROW()-37)*N50</f>
        <v>6817.5807495152949</v>
      </c>
      <c r="P50" s="925">
        <f t="shared" si="7"/>
        <v>26694.098677195409</v>
      </c>
      <c r="Q50" s="1837">
        <f>INDEX('Eff (res)'!G$111:BH$111,1,ROW()-25)</f>
        <v>10022.409404618773</v>
      </c>
      <c r="R50" s="1838">
        <f>INDEX('Eff (com)'!G$109:BH$109,1,ROW()-26)</f>
        <v>4687.0985163105897</v>
      </c>
      <c r="S50" s="1839">
        <f>INDEX('Eff (W &amp; WW)'!G$100:BH$100,1,ROW()-25)</f>
        <v>168.07407259748999</v>
      </c>
      <c r="T50" s="1840">
        <f t="shared" si="6"/>
        <v>14877.581993526852</v>
      </c>
    </row>
    <row r="51" spans="1:63">
      <c r="A51" s="858">
        <v>2028</v>
      </c>
      <c r="B51" s="1849">
        <v>26</v>
      </c>
      <c r="C51" s="1481">
        <f>VLOOKUP(Community_Name,'Population Forecast'!$A$2:$BL$267,B51+13,FALSE)</f>
        <v>89.323199733668702</v>
      </c>
      <c r="D51" s="1583">
        <f>MROUND(C51/'Eff (res)'!$I$10,1)</f>
        <v>41</v>
      </c>
      <c r="E51" s="724">
        <f>C51*$B$33+$B$34-IF(Eff_Com_B_C_Ratio&gt;1,'Eff (com)'!$D$33,0)-IF('Eff (W &amp; WW)'!C28&gt;1,'Eff (W &amp; WW)'!$D$37,0)</f>
        <v>227426.986693627</v>
      </c>
      <c r="F51" s="1861">
        <f>INDEX('Eff (com)'!G$74:BH$74,1,ROW()-37)*E51</f>
        <v>178093.08668742047</v>
      </c>
      <c r="G51" s="924">
        <f t="shared" si="3"/>
        <v>259000</v>
      </c>
      <c r="H51" s="924">
        <f t="shared" si="4"/>
        <v>23976.260972511627</v>
      </c>
      <c r="I51" s="923">
        <f t="shared" si="5"/>
        <v>29.535818865048363</v>
      </c>
      <c r="J51" s="1548">
        <f>IF(EE_Res_B_C_Ratio&gt;1,INDEX('Eff (res)'!G$81:BH$81,1,ROW()-37),Forecast!J51)</f>
        <v>25469.084818585528</v>
      </c>
      <c r="K51" s="1865">
        <f>INDEX('Eff (com)'!G$98:BG$98,1,ROW()-37)*J51</f>
        <v>144217.20246074657</v>
      </c>
      <c r="L51" s="924">
        <f>IF(Eff_Com_B_C_Ratio&gt;1,INDEX('Eff (com)'!G$81:BH$81,1,ROW()-38),Forecast!L51)</f>
        <v>0</v>
      </c>
      <c r="M51" s="1865">
        <f>INDEX('Eff (com)'!G$98:BI$98,1,ROW()-37)*L51</f>
        <v>0</v>
      </c>
      <c r="N51" s="724">
        <f>IF(Eff_WW_B_C_Ratio&gt;1,INDEX('Eff (W &amp; WW)'!G$81:BH$81,1,ROW()-37),Forecast!N51)</f>
        <v>1224.4218043341721</v>
      </c>
      <c r="O51" s="1865">
        <f>INDEX('Eff (com)'!G$98:BK$98,1,ROW()-37)*N51</f>
        <v>6933.216819952494</v>
      </c>
      <c r="P51" s="925">
        <f t="shared" si="7"/>
        <v>26693.5066229197</v>
      </c>
      <c r="Q51" s="1837">
        <f>INDEX('Eff (res)'!G$111:BH$111,1,ROW()-25)</f>
        <v>10022.409404618773</v>
      </c>
      <c r="R51" s="1838">
        <f>INDEX('Eff (com)'!G$109:BH$109,1,ROW()-26)</f>
        <v>4687.0985163105897</v>
      </c>
      <c r="S51" s="1839">
        <f>INDEX('Eff (W &amp; WW)'!G$100:BH$100,1,ROW()-25)</f>
        <v>167.99284170151455</v>
      </c>
      <c r="T51" s="1840">
        <f t="shared" si="6"/>
        <v>14877.500762630876</v>
      </c>
    </row>
    <row r="52" spans="1:63">
      <c r="A52" s="858">
        <v>2029</v>
      </c>
      <c r="B52" s="1849">
        <v>27</v>
      </c>
      <c r="C52" s="1481">
        <f>VLOOKUP(Community_Name,'Population Forecast'!$A$2:$BL$267,B52+13,FALSE)</f>
        <v>89.280029460981041</v>
      </c>
      <c r="D52" s="1583">
        <f>MROUND(C52/'Eff (res)'!$I$10,1)</f>
        <v>41</v>
      </c>
      <c r="E52" s="724">
        <f>C52*$B$33+$B$34-IF(Eff_Com_B_C_Ratio&gt;1,'Eff (com)'!$D$33,0)-IF('Eff (W &amp; WW)'!C29&gt;1,'Eff (W &amp; WW)'!$D$37,0)</f>
        <v>225405.98190833762</v>
      </c>
      <c r="F52" s="1861">
        <f>INDEX('Eff (com)'!G$74:BH$74,1,ROW()-37)*E52</f>
        <v>178586.89419537509</v>
      </c>
      <c r="G52" s="924">
        <f t="shared" si="3"/>
        <v>256000</v>
      </c>
      <c r="H52" s="924">
        <f t="shared" si="4"/>
        <v>23698.543663949717</v>
      </c>
      <c r="I52" s="923">
        <f t="shared" si="5"/>
        <v>29.273352074578526</v>
      </c>
      <c r="J52" s="1548">
        <f>IF(EE_Res_B_C_Ratio&gt;1,INDEX('Eff (res)'!G$81:BH$81,1,ROW()-37),Forecast!J52)</f>
        <v>25469.084818585528</v>
      </c>
      <c r="K52" s="1865">
        <f>INDEX('Eff (com)'!G$98:BG$98,1,ROW()-37)*J52</f>
        <v>146751.62923759053</v>
      </c>
      <c r="L52" s="924">
        <f>IF(Eff_Com_B_C_Ratio&gt;1,INDEX('Eff (com)'!G$81:BH$81,1,ROW()-38),Forecast!L52)</f>
        <v>0</v>
      </c>
      <c r="M52" s="1865">
        <f>INDEX('Eff (com)'!G$98:BI$98,1,ROW()-37)*L52</f>
        <v>0</v>
      </c>
      <c r="N52" s="724">
        <f>IF(Eff_WW_B_C_Ratio&gt;1,INDEX('Eff (W &amp; WW)'!G$81:BH$81,1,ROW()-37),Forecast!N52)</f>
        <v>1223.8300362007485</v>
      </c>
      <c r="O52" s="1865">
        <f>INDEX('Eff (com)'!G$98:BK$98,1,ROW()-37)*N52</f>
        <v>7051.6492053652682</v>
      </c>
      <c r="P52" s="925">
        <f t="shared" si="7"/>
        <v>26692.914854786279</v>
      </c>
      <c r="Q52" s="1837">
        <f>INDEX('Eff (res)'!G$111:BH$111,1,ROW()-25)</f>
        <v>10022.409404618773</v>
      </c>
      <c r="R52" s="1838">
        <f>INDEX('Eff (com)'!G$109:BH$109,1,ROW()-26)</f>
        <v>4687.0985163105897</v>
      </c>
      <c r="S52" s="1839">
        <f>INDEX('Eff (W &amp; WW)'!G$100:BH$100,1,ROW()-25)</f>
        <v>167.91165006476783</v>
      </c>
      <c r="T52" s="1840">
        <f t="shared" si="6"/>
        <v>14877.419570994129</v>
      </c>
    </row>
    <row r="53" spans="1:63">
      <c r="A53" s="858">
        <v>2030</v>
      </c>
      <c r="B53" s="1849">
        <v>28</v>
      </c>
      <c r="C53" s="1481">
        <f>VLOOKUP(Community_Name,'Population Forecast'!$A$2:$BL$267,B53+13,FALSE)</f>
        <v>89.2368800526651</v>
      </c>
      <c r="D53" s="1583">
        <f>MROUND(C53/'Eff (res)'!$I$10,1)</f>
        <v>41</v>
      </c>
      <c r="E53" s="724">
        <f>C53*$B$33+$B$34-IF(Eff_Com_B_C_Ratio&gt;1,'Eff (com)'!$D$33,0)-IF('Eff (W &amp; WW)'!C30&gt;1,'Eff (W &amp; WW)'!$D$37,0)</f>
        <v>225259.31499253801</v>
      </c>
      <c r="F53" s="1861">
        <f>INDEX('Eff (com)'!G$74:BH$74,1,ROW()-37)*E53</f>
        <v>180596.55507106311</v>
      </c>
      <c r="G53" s="924">
        <f t="shared" si="3"/>
        <v>256000</v>
      </c>
      <c r="H53" s="924">
        <f t="shared" si="4"/>
        <v>23698.543663949717</v>
      </c>
      <c r="I53" s="923">
        <f t="shared" si="5"/>
        <v>29.254304522124304</v>
      </c>
      <c r="J53" s="1548">
        <f>IF(EE_Res_B_C_Ratio&gt;1,INDEX('Eff (res)'!G$81:BH$81,1,ROW()-37),Forecast!J53)</f>
        <v>25469.084818585528</v>
      </c>
      <c r="K53" s="1865">
        <f>INDEX('Eff (com)'!G$98:BG$98,1,ROW()-37)*J53</f>
        <v>149348.10506184245</v>
      </c>
      <c r="L53" s="924">
        <f>IF(Eff_Com_B_C_Ratio&gt;1,INDEX('Eff (com)'!G$81:BH$81,1,ROW()-38),Forecast!L53)</f>
        <v>0</v>
      </c>
      <c r="M53" s="1865">
        <f>INDEX('Eff (com)'!G$98:BI$98,1,ROW()-37)*L53</f>
        <v>0</v>
      </c>
      <c r="N53" s="724">
        <f>IF(Eff_WW_B_C_Ratio&gt;1,INDEX('Eff (W &amp; WW)'!G$81:BH$81,1,ROW()-37),Forecast!N53)</f>
        <v>1223.2385540713165</v>
      </c>
      <c r="O53" s="1865">
        <f>INDEX('Eff (com)'!G$98:BK$98,1,ROW()-37)*N53</f>
        <v>7172.9456079955498</v>
      </c>
      <c r="P53" s="925">
        <f t="shared" si="7"/>
        <v>26692.323372656843</v>
      </c>
      <c r="Q53" s="1837">
        <f>INDEX('Eff (res)'!G$111:BH$111,1,ROW()-25)</f>
        <v>10022.409404618773</v>
      </c>
      <c r="R53" s="1838">
        <f>INDEX('Eff (com)'!G$109:BH$109,1,ROW()-26)</f>
        <v>4687.0985163105897</v>
      </c>
      <c r="S53" s="1839">
        <f>INDEX('Eff (W &amp; WW)'!G$100:BH$100,1,ROW()-25)</f>
        <v>167.83049766827568</v>
      </c>
      <c r="T53" s="1840">
        <f t="shared" si="6"/>
        <v>14877.338418597637</v>
      </c>
    </row>
    <row r="54" spans="1:63">
      <c r="A54" s="858">
        <v>2031</v>
      </c>
      <c r="B54" s="1849">
        <v>29</v>
      </c>
      <c r="C54" s="1481">
        <f>VLOOKUP(Community_Name,'Population Forecast'!$A$2:$BL$267,B54+13,FALSE)</f>
        <v>89.19375149863707</v>
      </c>
      <c r="D54" s="1583">
        <f>MROUND(C54/'Eff (res)'!$I$10,1)</f>
        <v>41</v>
      </c>
      <c r="E54" s="724">
        <f>C54*$B$33+$B$34-IF(Eff_Com_B_C_Ratio&gt;1,'Eff (com)'!$D$33,0)-IF('Eff (W &amp; WW)'!C31&gt;1,'Eff (W &amp; WW)'!$D$37,0)</f>
        <v>225112.7189614668</v>
      </c>
      <c r="F54" s="1861">
        <f>INDEX('Eff (com)'!G$74:BH$74,1,ROW()-37)*E54</f>
        <v>182655.54241652507</v>
      </c>
      <c r="G54" s="924">
        <f t="shared" si="3"/>
        <v>256000</v>
      </c>
      <c r="H54" s="924">
        <f t="shared" si="4"/>
        <v>23698.543663949717</v>
      </c>
      <c r="I54" s="923">
        <f t="shared" si="5"/>
        <v>29.235266175431139</v>
      </c>
      <c r="J54" s="1548">
        <f>IF(EE_Res_B_C_Ratio&gt;1,INDEX('Eff (res)'!G$81:BH$81,1,ROW()-37),Forecast!J54)</f>
        <v>0</v>
      </c>
      <c r="K54" s="1865">
        <f>INDEX('Eff (com)'!G$98:BG$98,1,ROW()-37)*J54</f>
        <v>0</v>
      </c>
      <c r="L54" s="924">
        <f>IF(Eff_Com_B_C_Ratio&gt;1,INDEX('Eff (com)'!G$81:BH$81,1,ROW()-38),Forecast!L54)</f>
        <v>0</v>
      </c>
      <c r="M54" s="1865">
        <f>INDEX('Eff (com)'!G$98:BI$98,1,ROW()-37)*L54</f>
        <v>0</v>
      </c>
      <c r="N54" s="724">
        <f>IF(Eff_WW_B_C_Ratio&gt;1,INDEX('Eff (W &amp; WW)'!G$81:BH$81,1,ROW()-37),Forecast!N54)</f>
        <v>1222.6473578076493</v>
      </c>
      <c r="O54" s="1865">
        <f>INDEX('Eff (com)'!G$98:BK$98,1,ROW()-37)*N54</f>
        <v>7297.1761685447273</v>
      </c>
      <c r="P54" s="925">
        <f t="shared" ref="P54:P76" si="8">SUM(J54:N54)</f>
        <v>1222.6473578076493</v>
      </c>
      <c r="Q54" s="1837">
        <f>INDEX('Eff (res)'!G$111:BH$111,1,ROW()-25)</f>
        <v>10022.409404618773</v>
      </c>
      <c r="R54" s="1838">
        <f>INDEX('Eff (com)'!G$109:BH$109,1,ROW()-26)</f>
        <v>4687.0985163105897</v>
      </c>
      <c r="S54" s="1839">
        <f>INDEX('Eff (W &amp; WW)'!G$100:BH$100,1,ROW()-25)</f>
        <v>167.74938449307322</v>
      </c>
      <c r="T54" s="1840">
        <f t="shared" si="6"/>
        <v>14877.257305422436</v>
      </c>
    </row>
    <row r="55" spans="1:63">
      <c r="A55" s="858">
        <v>2032</v>
      </c>
      <c r="B55" s="1849">
        <v>30</v>
      </c>
      <c r="C55" s="1481">
        <f>VLOOKUP(Community_Name,'Population Forecast'!$A$2:$BL$267,B55+13,FALSE)</f>
        <v>89.150643788817987</v>
      </c>
      <c r="D55" s="1583">
        <f>MROUND(C55/'Eff (res)'!$I$10,1)</f>
        <v>41</v>
      </c>
      <c r="E55" s="724">
        <f>C55*$B$33+$B$34-IF(Eff_Com_B_C_Ratio&gt;1,'Eff (com)'!$D$33,0)-IF('Eff (W &amp; WW)'!C32&gt;1,'Eff (W &amp; WW)'!$D$37,0)</f>
        <v>224966.19378086511</v>
      </c>
      <c r="F55" s="1861">
        <f>INDEX('Eff (com)'!G$74:BH$74,1,ROW()-37)*E55</f>
        <v>184765.04231430293</v>
      </c>
      <c r="G55" s="924">
        <f t="shared" si="3"/>
        <v>256000</v>
      </c>
      <c r="H55" s="924">
        <f t="shared" si="4"/>
        <v>23698.543663949717</v>
      </c>
      <c r="I55" s="923">
        <f t="shared" si="5"/>
        <v>29.216237030049857</v>
      </c>
      <c r="J55" s="1548">
        <f>IF(EE_Res_B_C_Ratio&gt;1,INDEX('Eff (res)'!G$81:BH$81,1,ROW()-37),Forecast!J55)</f>
        <v>0</v>
      </c>
      <c r="K55" s="1865">
        <f>INDEX('Eff (com)'!G$98:BG$98,1,ROW()-37)*J55</f>
        <v>0</v>
      </c>
      <c r="L55" s="924">
        <f>IF(Eff_Com_B_C_Ratio&gt;1,INDEX('Eff (com)'!G$81:BH$81,1,ROW()-38),Forecast!L55)</f>
        <v>0</v>
      </c>
      <c r="M55" s="1865">
        <f>INDEX('Eff (com)'!G$98:BI$98,1,ROW()-37)*L55</f>
        <v>0</v>
      </c>
      <c r="N55" s="724">
        <f>IF(Eff_WW_B_C_Ratio&gt;1,INDEX('Eff (W &amp; WW)'!G$81:BH$81,1,ROW()-37),Forecast!N55)</f>
        <v>1222.0564472715873</v>
      </c>
      <c r="O55" s="1865">
        <f>INDEX('Eff (com)'!G$98:BK$98,1,ROW()-37)*N55</f>
        <v>7424.4119931725445</v>
      </c>
      <c r="P55" s="925">
        <f t="shared" si="8"/>
        <v>1222.0564472715873</v>
      </c>
      <c r="Q55" s="1837">
        <f>INDEX('Eff (res)'!G$111:BH$111,1,ROW()-25)</f>
        <v>10022.409404618773</v>
      </c>
      <c r="R55" s="1838">
        <f>INDEX('Eff (com)'!G$109:BH$109,1,ROW()-26)</f>
        <v>4687.0985163105897</v>
      </c>
      <c r="S55" s="1839">
        <f>INDEX('Eff (W &amp; WW)'!G$100:BH$100,1,ROW()-25)</f>
        <v>167.6683105202045</v>
      </c>
      <c r="T55" s="1840">
        <f t="shared" si="6"/>
        <v>14877.176231449566</v>
      </c>
    </row>
    <row r="56" spans="1:63">
      <c r="A56" s="858">
        <v>2033</v>
      </c>
      <c r="B56" s="1849">
        <v>31</v>
      </c>
      <c r="C56" s="1481">
        <f>VLOOKUP(Community_Name,'Population Forecast'!$A$2:$BL$267,B56+13,FALSE)</f>
        <v>89.107556913133735</v>
      </c>
      <c r="D56" s="1583">
        <f>MROUND(C56/'Eff (res)'!$I$10,1)</f>
        <v>41</v>
      </c>
      <c r="E56" s="724">
        <f>C56*$B$33+$B$34-IF(Eff_Com_B_C_Ratio&gt;1,'Eff (com)'!$D$33,0)-IF('Eff (W &amp; WW)'!C33&gt;1,'Eff (W &amp; WW)'!$D$37,0)</f>
        <v>224819.73941649048</v>
      </c>
      <c r="F56" s="1861">
        <f>INDEX('Eff (com)'!G$74:BH$74,1,ROW()-37)*E56</f>
        <v>186923.16980704453</v>
      </c>
      <c r="G56" s="924">
        <f t="shared" si="3"/>
        <v>256000</v>
      </c>
      <c r="H56" s="924">
        <f t="shared" si="4"/>
        <v>23698.543663949717</v>
      </c>
      <c r="I56" s="923">
        <f t="shared" si="5"/>
        <v>29.197217081533402</v>
      </c>
      <c r="J56" s="1548">
        <f>IF(EE_Res_B_C_Ratio&gt;1,INDEX('Eff (res)'!G$81:BH$81,1,ROW()-37),Forecast!J56)</f>
        <v>0</v>
      </c>
      <c r="K56" s="1865">
        <f>INDEX('Eff (com)'!G$98:BG$98,1,ROW()-37)*J56</f>
        <v>0</v>
      </c>
      <c r="L56" s="924">
        <f>IF(Eff_Com_B_C_Ratio&gt;1,INDEX('Eff (com)'!G$81:BH$81,1,ROW()-38),Forecast!L56)</f>
        <v>0</v>
      </c>
      <c r="M56" s="1865">
        <f>INDEX('Eff (com)'!G$98:BI$98,1,ROW()-37)*L56</f>
        <v>0</v>
      </c>
      <c r="N56" s="724">
        <f>IF(Eff_WW_B_C_Ratio&gt;1,INDEX('Eff (W &amp; WW)'!G$81:BH$81,1,ROW()-37),Forecast!N56)</f>
        <v>1221.4658223250367</v>
      </c>
      <c r="O56" s="1865">
        <f>INDEX('Eff (com)'!G$98:BK$98,1,ROW()-37)*N56</f>
        <v>7554.5439974367846</v>
      </c>
      <c r="P56" s="925">
        <f t="shared" si="8"/>
        <v>1221.4658223250367</v>
      </c>
      <c r="Q56" s="1837">
        <f>INDEX('Eff (res)'!G$111:BH$111,1,ROW()-25)</f>
        <v>10022.409404618773</v>
      </c>
      <c r="R56" s="1838">
        <f>INDEX('Eff (com)'!G$109:BH$109,1,ROW()-26)</f>
        <v>4687.0985163105897</v>
      </c>
      <c r="S56" s="1839">
        <f>INDEX('Eff (W &amp; WW)'!G$100:BH$100,1,ROW()-25)</f>
        <v>167.58727573072292</v>
      </c>
      <c r="T56" s="1840">
        <f t="shared" si="6"/>
        <v>14877.095196660084</v>
      </c>
    </row>
    <row r="57" spans="1:63">
      <c r="A57" s="858">
        <v>2034</v>
      </c>
      <c r="B57" s="1849">
        <v>32</v>
      </c>
      <c r="C57" s="1481">
        <f>VLOOKUP(Community_Name,'Population Forecast'!$A$2:$BL$267,B57+13,FALSE)</f>
        <v>89.064490861515097</v>
      </c>
      <c r="D57" s="1583">
        <f>MROUND(C57/'Eff (res)'!$I$10,1)</f>
        <v>41</v>
      </c>
      <c r="E57" s="724">
        <f>C57*$B$33+$B$34-IF(Eff_Com_B_C_Ratio&gt;1,'Eff (com)'!$D$33,0)-IF('Eff (W &amp; WW)'!C34&gt;1,'Eff (W &amp; WW)'!$D$37,0)</f>
        <v>224673.35583411728</v>
      </c>
      <c r="F57" s="1861">
        <f>INDEX('Eff (com)'!G$74:BH$74,1,ROW()-37)*E57</f>
        <v>189039.40874533902</v>
      </c>
      <c r="G57" s="924">
        <f t="shared" si="3"/>
        <v>256000</v>
      </c>
      <c r="H57" s="924">
        <f t="shared" si="4"/>
        <v>23698.543663949717</v>
      </c>
      <c r="I57" s="923">
        <f t="shared" si="5"/>
        <v>29.178206325436918</v>
      </c>
      <c r="J57" s="1548">
        <f>IF(EE_Res_B_C_Ratio&gt;1,INDEX('Eff (res)'!G$81:BH$81,1,ROW()-37),Forecast!J57)</f>
        <v>0</v>
      </c>
      <c r="K57" s="1865">
        <f>INDEX('Eff (com)'!G$98:BG$98,1,ROW()-37)*J57</f>
        <v>0</v>
      </c>
      <c r="L57" s="924">
        <f>IF(Eff_Com_B_C_Ratio&gt;1,INDEX('Eff (com)'!G$81:BH$81,1,ROW()-38),Forecast!L57)</f>
        <v>0</v>
      </c>
      <c r="M57" s="1865">
        <f>INDEX('Eff (com)'!G$98:BI$98,1,ROW()-37)*L57</f>
        <v>0</v>
      </c>
      <c r="N57" s="724">
        <f>IF(Eff_WW_B_C_Ratio&gt;1,INDEX('Eff (W &amp; WW)'!G$81:BH$81,1,ROW()-37),Forecast!N57)</f>
        <v>1220.8754828299709</v>
      </c>
      <c r="O57" s="1865">
        <f>INDEX('Eff (com)'!G$98:BK$98,1,ROW()-37)*N57</f>
        <v>7682.2603740618897</v>
      </c>
      <c r="P57" s="925">
        <f t="shared" si="8"/>
        <v>1220.8754828299709</v>
      </c>
      <c r="Q57" s="1837">
        <f>INDEX('Eff (res)'!G$111:BH$111,1,ROW()-25)</f>
        <v>10022.409404618773</v>
      </c>
      <c r="R57" s="1838">
        <f>INDEX('Eff (com)'!G$109:BH$109,1,ROW()-26)</f>
        <v>4687.0985163105897</v>
      </c>
      <c r="S57" s="1839">
        <f>INDEX('Eff (W &amp; WW)'!G$100:BH$100,1,ROW()-25)</f>
        <v>167.50628010569102</v>
      </c>
      <c r="T57" s="1840">
        <f t="shared" si="6"/>
        <v>14877.014201035052</v>
      </c>
    </row>
    <row r="58" spans="1:63">
      <c r="A58" s="858">
        <v>2035</v>
      </c>
      <c r="B58" s="1849">
        <v>33</v>
      </c>
      <c r="C58" s="1481">
        <f>VLOOKUP(Community_Name,'Population Forecast'!$A$2:$BL$267,B58+13,FALSE)</f>
        <v>89.021445623897719</v>
      </c>
      <c r="D58" s="1583">
        <f>MROUND(C58/'Eff (res)'!$I$10,1)</f>
        <v>41</v>
      </c>
      <c r="E58" s="724">
        <f>C58*$B$33+$B$34-IF(Eff_Com_B_C_Ratio&gt;1,'Eff (com)'!$D$33,0)-IF('Eff (W &amp; WW)'!C35&gt;1,'Eff (W &amp; WW)'!$D$37,0)</f>
        <v>224527.04299953615</v>
      </c>
      <c r="F58" s="1861">
        <f>INDEX('Eff (com)'!G$74:BH$74,1,ROW()-37)*E58</f>
        <v>191269.27713050033</v>
      </c>
      <c r="G58" s="924">
        <f t="shared" si="3"/>
        <v>255000</v>
      </c>
      <c r="H58" s="924">
        <f t="shared" si="4"/>
        <v>23605.971227762413</v>
      </c>
      <c r="I58" s="923">
        <f t="shared" si="5"/>
        <v>29.159204757317642</v>
      </c>
      <c r="J58" s="1548">
        <f>IF(EE_Res_B_C_Ratio&gt;1,INDEX('Eff (res)'!G$81:BH$81,1,ROW()-37),Forecast!J58)</f>
        <v>0</v>
      </c>
      <c r="K58" s="1865">
        <f>INDEX('Eff (com)'!G$98:BG$98,1,ROW()-37)*J58</f>
        <v>0</v>
      </c>
      <c r="L58" s="924">
        <f>IF(Eff_Com_B_C_Ratio&gt;1,INDEX('Eff (com)'!G$81:BH$81,1,ROW()-38),Forecast!L58)</f>
        <v>0</v>
      </c>
      <c r="M58" s="1865">
        <f>INDEX('Eff (com)'!G$98:BI$98,1,ROW()-37)*L58</f>
        <v>0</v>
      </c>
      <c r="N58" s="724">
        <f>IF(Eff_WW_B_C_Ratio&gt;1,INDEX('Eff (W &amp; WW)'!G$81:BH$81,1,ROW()-37),Forecast!N58)</f>
        <v>1220.2854286484301</v>
      </c>
      <c r="O58" s="1865">
        <f>INDEX('Eff (com)'!G$98:BK$98,1,ROW()-37)*N58</f>
        <v>7816.6903786033017</v>
      </c>
      <c r="P58" s="925">
        <f t="shared" si="8"/>
        <v>1220.2854286484301</v>
      </c>
      <c r="Q58" s="1837">
        <f>INDEX('Eff (res)'!G$111:BH$111,1,ROW()-25)</f>
        <v>10022.409404618773</v>
      </c>
      <c r="R58" s="1838">
        <f>INDEX('Eff (com)'!G$109:BH$109,1,ROW()-26)</f>
        <v>4687.0985163105897</v>
      </c>
      <c r="S58" s="1839">
        <f>INDEX('Eff (W &amp; WW)'!G$100:BH$100,1,ROW()-25)</f>
        <v>167.42532362618041</v>
      </c>
      <c r="T58" s="1840">
        <f t="shared" si="6"/>
        <v>14876.933244555543</v>
      </c>
    </row>
    <row r="59" spans="1:63">
      <c r="A59" s="858">
        <v>2036</v>
      </c>
      <c r="B59" s="1849">
        <v>34</v>
      </c>
      <c r="C59" s="1481">
        <f>VLOOKUP(Community_Name,'Population Forecast'!$A$2:$BL$267,B59+13,FALSE)</f>
        <v>88.978421190222122</v>
      </c>
      <c r="D59" s="1583">
        <f>MROUND(C59/'Eff (res)'!$I$10,1)</f>
        <v>41</v>
      </c>
      <c r="E59" s="724">
        <f>C59*$B$33+$B$34-IF(Eff_Com_B_C_Ratio&gt;1,'Eff (com)'!$D$33,0)-IF('Eff (W &amp; WW)'!C36&gt;1,'Eff (W &amp; WW)'!$D$37,0)</f>
        <v>224380.80087855458</v>
      </c>
      <c r="F59" s="1861">
        <f>INDEX('Eff (com)'!G$74:BH$74,1,ROW()-37)*E59</f>
        <v>193561.01095716321</v>
      </c>
      <c r="G59" s="924">
        <f t="shared" si="3"/>
        <v>255000</v>
      </c>
      <c r="H59" s="924">
        <f t="shared" si="4"/>
        <v>23605.971227762413</v>
      </c>
      <c r="I59" s="923">
        <f t="shared" si="5"/>
        <v>29.140212372735022</v>
      </c>
      <c r="J59" s="1548">
        <f>IF(EE_Res_B_C_Ratio&gt;1,INDEX('Eff (res)'!G$81:BH$81,1,ROW()-37),Forecast!J59)</f>
        <v>0</v>
      </c>
      <c r="K59" s="1865">
        <f>INDEX('Eff (com)'!G$98:BG$98,1,ROW()-37)*J59</f>
        <v>0</v>
      </c>
      <c r="L59" s="924">
        <f>IF(Eff_Com_B_C_Ratio&gt;1,INDEX('Eff (com)'!G$81:BH$81,1,ROW()-38),Forecast!L59)</f>
        <v>0</v>
      </c>
      <c r="M59" s="1865">
        <f>INDEX('Eff (com)'!G$98:BI$98,1,ROW()-37)*L59</f>
        <v>0</v>
      </c>
      <c r="N59" s="724">
        <f>IF(Eff_WW_B_C_Ratio&gt;1,INDEX('Eff (W &amp; WW)'!G$81:BH$81,1,ROW()-37),Forecast!N59)</f>
        <v>1219.6956596425209</v>
      </c>
      <c r="O59" s="1865">
        <f>INDEX('Eff (com)'!G$98:BK$98,1,ROW()-37)*N59</f>
        <v>7954.7978607811929</v>
      </c>
      <c r="P59" s="925">
        <f t="shared" si="8"/>
        <v>1219.6956596425209</v>
      </c>
      <c r="Q59" s="1837">
        <f>INDEX('Eff (res)'!G$111:BH$111,1,ROW()-25)</f>
        <v>10022.409404618773</v>
      </c>
      <c r="R59" s="1838">
        <f>INDEX('Eff (com)'!G$109:BH$109,1,ROW()-26)</f>
        <v>4687.0985163105897</v>
      </c>
      <c r="S59" s="1839">
        <f>INDEX('Eff (W &amp; WW)'!G$100:BH$100,1,ROW()-25)</f>
        <v>167.34440627327194</v>
      </c>
      <c r="T59" s="1840">
        <f t="shared" si="6"/>
        <v>14876.852327202634</v>
      </c>
      <c r="BG59" s="8"/>
      <c r="BH59" s="8"/>
      <c r="BI59" s="8"/>
      <c r="BJ59" s="8"/>
      <c r="BK59" s="8"/>
    </row>
    <row r="60" spans="1:63">
      <c r="A60" s="858">
        <v>2037</v>
      </c>
      <c r="B60" s="1849">
        <v>35</v>
      </c>
      <c r="C60" s="1481">
        <f>VLOOKUP(Community_Name,'Population Forecast'!$A$2:$BL$267,B60+13,FALSE)</f>
        <v>88.935417550433655</v>
      </c>
      <c r="D60" s="1583">
        <f>MROUND(C60/'Eff (res)'!$I$10,1)</f>
        <v>41</v>
      </c>
      <c r="E60" s="724">
        <f>C60*$B$33+$B$34-IF(Eff_Com_B_C_Ratio&gt;1,'Eff (com)'!$D$33,0)-IF('Eff (W &amp; WW)'!C37&gt;1,'Eff (W &amp; WW)'!$D$37,0)</f>
        <v>224234.62943699618</v>
      </c>
      <c r="F60" s="1861">
        <f>INDEX('Eff (com)'!G$74:BH$74,1,ROW()-37)*E60</f>
        <v>195803.13939598325</v>
      </c>
      <c r="G60" s="924">
        <f t="shared" si="3"/>
        <v>255000</v>
      </c>
      <c r="H60" s="924">
        <f t="shared" si="4"/>
        <v>23605.971227762413</v>
      </c>
      <c r="I60" s="923">
        <f t="shared" si="5"/>
        <v>29.121229167250586</v>
      </c>
      <c r="J60" s="1548">
        <f>IF(EE_Res_B_C_Ratio&gt;1,INDEX('Eff (res)'!G$81:BH$81,1,ROW()-37),Forecast!J60)</f>
        <v>0</v>
      </c>
      <c r="K60" s="1865">
        <f>INDEX('Eff (com)'!G$98:BG$98,1,ROW()-37)*J60</f>
        <v>0</v>
      </c>
      <c r="L60" s="924">
        <f>IF(Eff_Com_B_C_Ratio&gt;1,INDEX('Eff (com)'!G$81:BH$81,1,ROW()-38),Forecast!L60)</f>
        <v>0</v>
      </c>
      <c r="M60" s="1865">
        <f>INDEX('Eff (com)'!G$98:BI$98,1,ROW()-37)*L60</f>
        <v>0</v>
      </c>
      <c r="N60" s="724">
        <f>IF(Eff_WW_B_C_Ratio&gt;1,INDEX('Eff (W &amp; WW)'!G$81:BH$81,1,ROW()-37),Forecast!N60)</f>
        <v>1219.1061756744173</v>
      </c>
      <c r="O60" s="1865">
        <f>INDEX('Eff (com)'!G$98:BK$98,1,ROW()-37)*N60</f>
        <v>8090.0380714985058</v>
      </c>
      <c r="P60" s="925">
        <f t="shared" si="8"/>
        <v>1219.1061756744173</v>
      </c>
      <c r="Q60" s="1837">
        <f>INDEX('Eff (res)'!G$111:BH$111,1,ROW()-25)</f>
        <v>10022.409404618773</v>
      </c>
      <c r="R60" s="1838">
        <f>INDEX('Eff (com)'!G$109:BH$109,1,ROW()-26)</f>
        <v>4687.0985163105897</v>
      </c>
      <c r="S60" s="1839">
        <f>INDEX('Eff (W &amp; WW)'!G$100:BH$100,1,ROW()-25)</f>
        <v>167.26352802805559</v>
      </c>
      <c r="T60" s="1840">
        <f t="shared" si="6"/>
        <v>14876.771448957417</v>
      </c>
      <c r="BG60" s="8"/>
      <c r="BH60" s="8"/>
      <c r="BI60" s="8"/>
      <c r="BJ60" s="8"/>
      <c r="BK60" s="8"/>
    </row>
    <row r="61" spans="1:63">
      <c r="A61" s="858">
        <v>2038</v>
      </c>
      <c r="B61" s="1849">
        <v>36</v>
      </c>
      <c r="C61" s="1481">
        <f>VLOOKUP(Community_Name,'Population Forecast'!$A$2:$BL$267,B61+13,FALSE)</f>
        <v>88.892434694482546</v>
      </c>
      <c r="D61" s="1583">
        <f>MROUND(C61/'Eff (res)'!$I$10,1)</f>
        <v>41</v>
      </c>
      <c r="E61" s="724">
        <f>C61*$B$33+$B$34-IF(Eff_Com_B_C_Ratio&gt;1,'Eff (com)'!$D$33,0)-IF('Eff (W &amp; WW)'!C38&gt;1,'Eff (W &amp; WW)'!$D$37,0)</f>
        <v>224088.52864070138</v>
      </c>
      <c r="F61" s="1861">
        <f>INDEX('Eff (com)'!G$74:BH$74,1,ROW()-37)*E61</f>
        <v>198220.11637994813</v>
      </c>
      <c r="G61" s="924">
        <f t="shared" si="3"/>
        <v>255000</v>
      </c>
      <c r="H61" s="924">
        <f t="shared" si="4"/>
        <v>23605.971227762413</v>
      </c>
      <c r="I61" s="923">
        <f t="shared" si="5"/>
        <v>29.102255136428042</v>
      </c>
      <c r="J61" s="1548">
        <f>IF(EE_Res_B_C_Ratio&gt;1,INDEX('Eff (res)'!G$81:BH$81,1,ROW()-37),Forecast!J61)</f>
        <v>0</v>
      </c>
      <c r="K61" s="1865">
        <f>INDEX('Eff (com)'!G$98:BG$98,1,ROW()-37)*J61</f>
        <v>0</v>
      </c>
      <c r="L61" s="924">
        <f>IF(Eff_Com_B_C_Ratio&gt;1,INDEX('Eff (com)'!G$81:BH$81,1,ROW()-38),Forecast!L61)</f>
        <v>0</v>
      </c>
      <c r="M61" s="1865">
        <f>INDEX('Eff (com)'!G$98:BI$98,1,ROW()-37)*L61</f>
        <v>0</v>
      </c>
      <c r="N61" s="724">
        <f>IF(Eff_WW_B_C_Ratio&gt;1,INDEX('Eff (W &amp; WW)'!G$81:BH$81,1,ROW()-37),Forecast!N61)</f>
        <v>1218.5169766063586</v>
      </c>
      <c r="O61" s="1865">
        <f>INDEX('Eff (com)'!G$98:BK$98,1,ROW()-37)*N61</f>
        <v>8235.5939095306858</v>
      </c>
      <c r="P61" s="925">
        <f t="shared" si="8"/>
        <v>1218.5169766063586</v>
      </c>
      <c r="Q61" s="1837">
        <f>INDEX('Eff (res)'!G$111:BH$111,1,ROW()-25)</f>
        <v>10022.409404618773</v>
      </c>
      <c r="R61" s="1838">
        <f>INDEX('Eff (com)'!G$109:BH$109,1,ROW()-26)</f>
        <v>4687.0985163105897</v>
      </c>
      <c r="S61" s="1839">
        <f>INDEX('Eff (W &amp; WW)'!G$100:BH$100,1,ROW()-25)</f>
        <v>167.18268887163032</v>
      </c>
      <c r="T61" s="1840">
        <f t="shared" si="6"/>
        <v>14876.690609800991</v>
      </c>
      <c r="U61" s="1847"/>
      <c r="V61" s="1847"/>
      <c r="W61" s="1847"/>
      <c r="X61" s="1847"/>
      <c r="Y61" s="1847"/>
      <c r="Z61" s="1847"/>
      <c r="AA61" s="1847"/>
      <c r="AB61" s="1847"/>
      <c r="AC61" s="1847"/>
      <c r="AD61" s="9"/>
      <c r="AE61" s="9"/>
      <c r="BG61" s="8"/>
      <c r="BH61" s="8"/>
      <c r="BI61" s="8"/>
      <c r="BJ61" s="8"/>
      <c r="BK61" s="8"/>
    </row>
    <row r="62" spans="1:63">
      <c r="A62" s="858">
        <v>2039</v>
      </c>
      <c r="B62" s="1849">
        <v>37</v>
      </c>
      <c r="C62" s="1481">
        <f>VLOOKUP(Community_Name,'Population Forecast'!$A$2:$BL$267,B62+13,FALSE)</f>
        <v>88.849472612323908</v>
      </c>
      <c r="D62" s="1583">
        <f>MROUND(C62/'Eff (res)'!$I$10,1)</f>
        <v>41</v>
      </c>
      <c r="E62" s="724">
        <f>C62*$B$33+$B$34-IF(Eff_Com_B_C_Ratio&gt;1,'Eff (com)'!$D$33,0)-IF('Eff (W &amp; WW)'!C39&gt;1,'Eff (W &amp; WW)'!$D$37,0)</f>
        <v>223942.49845552712</v>
      </c>
      <c r="F62" s="1861">
        <f>INDEX('Eff (com)'!G$74:BH$74,1,ROW()-37)*E62</f>
        <v>200834.38798627435</v>
      </c>
      <c r="G62" s="924">
        <f t="shared" si="3"/>
        <v>255000</v>
      </c>
      <c r="H62" s="924">
        <f t="shared" si="4"/>
        <v>23605.971227762413</v>
      </c>
      <c r="I62" s="923">
        <f t="shared" si="5"/>
        <v>29.083290275833257</v>
      </c>
      <c r="J62" s="1548">
        <f>IF(EE_Res_B_C_Ratio&gt;1,INDEX('Eff (res)'!G$81:BH$81,1,ROW()-37),Forecast!J62)</f>
        <v>0</v>
      </c>
      <c r="K62" s="1865">
        <f>INDEX('Eff (com)'!G$98:BG$98,1,ROW()-37)*J62</f>
        <v>0</v>
      </c>
      <c r="L62" s="924">
        <f>IF(Eff_Com_B_C_Ratio&gt;1,INDEX('Eff (com)'!G$81:BH$81,1,ROW()-38),Forecast!L62)</f>
        <v>0</v>
      </c>
      <c r="M62" s="1865">
        <f>INDEX('Eff (com)'!G$98:BI$98,1,ROW()-37)*L62</f>
        <v>0</v>
      </c>
      <c r="N62" s="724">
        <f>IF(Eff_WW_B_C_Ratio&gt;1,INDEX('Eff (W &amp; WW)'!G$81:BH$81,1,ROW()-37),Forecast!N62)</f>
        <v>1217.9280623006521</v>
      </c>
      <c r="O62" s="1865">
        <f>INDEX('Eff (com)'!G$98:BK$98,1,ROW()-37)*N62</f>
        <v>8392.7893158577735</v>
      </c>
      <c r="P62" s="925">
        <f t="shared" si="8"/>
        <v>1217.9280623006521</v>
      </c>
      <c r="Q62" s="1837">
        <f>INDEX('Eff (res)'!G$111:BH$111,1,ROW()-25)</f>
        <v>10022.409404618773</v>
      </c>
      <c r="R62" s="1838">
        <f>INDEX('Eff (com)'!G$109:BH$109,1,ROW()-26)</f>
        <v>4687.0985163105897</v>
      </c>
      <c r="S62" s="1839">
        <f>INDEX('Eff (W &amp; WW)'!G$100:BH$100,1,ROW()-25)</f>
        <v>167.10188878510448</v>
      </c>
      <c r="T62" s="1840">
        <f t="shared" si="6"/>
        <v>14876.609809714466</v>
      </c>
      <c r="U62" s="385"/>
      <c r="V62" s="385"/>
      <c r="W62" s="385"/>
      <c r="X62" s="385"/>
      <c r="Y62" s="385"/>
      <c r="Z62" s="385"/>
      <c r="AA62" s="385"/>
      <c r="AB62" s="385"/>
      <c r="AC62" s="385"/>
      <c r="AD62" s="9"/>
      <c r="AE62" s="9"/>
      <c r="BG62" s="8"/>
      <c r="BH62" s="8"/>
      <c r="BI62" s="8"/>
      <c r="BJ62" s="8"/>
      <c r="BK62" s="8"/>
    </row>
    <row r="63" spans="1:63">
      <c r="A63" s="858">
        <v>2040</v>
      </c>
      <c r="B63" s="1849">
        <v>38</v>
      </c>
      <c r="C63" s="1481">
        <f>VLOOKUP(Community_Name,'Population Forecast'!$A$2:$BL$267,B63+13,FALSE)</f>
        <v>88.806531293917644</v>
      </c>
      <c r="D63" s="1583">
        <f>MROUND(C63/'Eff (res)'!$I$10,1)</f>
        <v>41</v>
      </c>
      <c r="E63" s="724">
        <f>C63*$B$33+$B$34-IF(Eff_Com_B_C_Ratio&gt;1,'Eff (com)'!$D$33,0)-IF('Eff (W &amp; WW)'!C40&gt;1,'Eff (W &amp; WW)'!$D$37,0)</f>
        <v>223796.53884734656</v>
      </c>
      <c r="F63" s="1861">
        <f>INDEX('Eff (com)'!G$74:BH$74,1,ROW()-37)*E63</f>
        <v>203259.06061939854</v>
      </c>
      <c r="G63" s="924">
        <f t="shared" si="3"/>
        <v>255000</v>
      </c>
      <c r="H63" s="924">
        <f t="shared" si="4"/>
        <v>23605.971227762413</v>
      </c>
      <c r="I63" s="923">
        <f t="shared" si="5"/>
        <v>29.064334581034196</v>
      </c>
      <c r="J63" s="1548">
        <f>IF(EE_Res_B_C_Ratio&gt;1,INDEX('Eff (res)'!G$81:BH$81,1,ROW()-37),Forecast!J63)</f>
        <v>0</v>
      </c>
      <c r="K63" s="1865">
        <f>INDEX('Eff (com)'!G$98:BG$98,1,ROW()-37)*J63</f>
        <v>0</v>
      </c>
      <c r="L63" s="924">
        <f>IF(Eff_Com_B_C_Ratio&gt;1,INDEX('Eff (com)'!G$81:BH$81,1,ROW()-38),Forecast!L63)</f>
        <v>0</v>
      </c>
      <c r="M63" s="1865">
        <f>INDEX('Eff (com)'!G$98:BI$98,1,ROW()-37)*L63</f>
        <v>0</v>
      </c>
      <c r="N63" s="724">
        <f>IF(Eff_WW_B_C_Ratio&gt;1,INDEX('Eff (W &amp; WW)'!G$81:BH$81,1,ROW()-37),Forecast!N63)</f>
        <v>1217.3394326196706</v>
      </c>
      <c r="O63" s="1865">
        <f>INDEX('Eff (com)'!G$98:BK$98,1,ROW()-37)*N63</f>
        <v>8538.896615638565</v>
      </c>
      <c r="P63" s="925">
        <f t="shared" si="8"/>
        <v>1217.3394326196706</v>
      </c>
      <c r="Q63" s="1837">
        <f>INDEX('Eff (res)'!G$111:BH$111,1,ROW()-25)</f>
        <v>10022.409404618773</v>
      </c>
      <c r="R63" s="1838">
        <f>INDEX('Eff (com)'!G$109:BH$109,1,ROW()-26)</f>
        <v>4687.0985163105897</v>
      </c>
      <c r="S63" s="1839">
        <f>INDEX('Eff (W &amp; WW)'!G$100:BH$100,1,ROW()-25)</f>
        <v>167.02112774959539</v>
      </c>
      <c r="T63" s="1840">
        <f t="shared" si="6"/>
        <v>14876.529048678956</v>
      </c>
      <c r="U63" s="9"/>
      <c r="V63" s="9"/>
      <c r="W63" s="9"/>
      <c r="X63" s="9"/>
      <c r="Y63" s="9"/>
      <c r="Z63" s="9"/>
      <c r="AA63" s="9"/>
      <c r="AB63" s="9"/>
      <c r="AC63" s="9"/>
      <c r="AD63" s="9"/>
      <c r="AE63" s="9"/>
      <c r="BG63" s="8"/>
      <c r="BH63" s="8"/>
      <c r="BI63" s="8"/>
      <c r="BJ63" s="8"/>
      <c r="BK63" s="8"/>
    </row>
    <row r="64" spans="1:63">
      <c r="A64" s="858">
        <v>2041</v>
      </c>
      <c r="B64" s="1849">
        <v>39</v>
      </c>
      <c r="C64" s="1481">
        <f>VLOOKUP(Community_Name,'Population Forecast'!$A$2:$BL$267,B64+13,FALSE)</f>
        <v>88.76361072922856</v>
      </c>
      <c r="D64" s="1583">
        <f>MROUND(C64/'Eff (res)'!$I$10,1)</f>
        <v>41</v>
      </c>
      <c r="E64" s="724">
        <f>C64*$B$33+$B$34-IF(Eff_Com_B_C_Ratio&gt;1,'Eff (com)'!$D$33,0)-IF('Eff (W &amp; WW)'!C41&gt;1,'Eff (W &amp; WW)'!$D$37,0)</f>
        <v>225524.91673253573</v>
      </c>
      <c r="F64" s="1861">
        <f>INDEX('Eff (com)'!G$74:BH$74,1,ROW()-37)*E64</f>
        <v>204828.827815747</v>
      </c>
      <c r="G64" s="924">
        <f t="shared" si="3"/>
        <v>257000</v>
      </c>
      <c r="H64" s="924">
        <f t="shared" si="4"/>
        <v>23791.11610013702</v>
      </c>
      <c r="I64" s="923">
        <f t="shared" si="5"/>
        <v>29.288798075404245</v>
      </c>
      <c r="J64" s="1548">
        <f>IF(EE_Res_B_C_Ratio&gt;1,INDEX('Eff (res)'!G$81:BH$81,1,ROW()-37),Forecast!J64)</f>
        <v>0</v>
      </c>
      <c r="K64" s="1865">
        <f>INDEX('Eff (com)'!G$98:BG$98,1,ROW()-37)*J64</f>
        <v>0</v>
      </c>
      <c r="L64" s="924">
        <f>IF(Eff_Com_B_C_Ratio&gt;1,INDEX('Eff (com)'!G$81:BH$81,1,ROW()-38),Forecast!L64)</f>
        <v>0</v>
      </c>
      <c r="M64" s="1865">
        <f>INDEX('Eff (com)'!G$98:BI$98,1,ROW()-37)*L64</f>
        <v>0</v>
      </c>
      <c r="N64" s="724">
        <f>IF(Eff_WW_B_C_Ratio&gt;1,INDEX('Eff (W &amp; WW)'!G$81:BH$81,1,ROW()-37),Forecast!N64)</f>
        <v>1216.7510874258537</v>
      </c>
      <c r="O64" s="1865">
        <f>INDEX('Eff (com)'!G$98:BK$98,1,ROW()-37)*N64</f>
        <v>8534.7697315093792</v>
      </c>
      <c r="P64" s="925">
        <f t="shared" si="8"/>
        <v>1216.7510874258537</v>
      </c>
      <c r="Q64" s="1837">
        <f>INDEX('Eff (res)'!G$111:BH$111,1,ROW()-25)</f>
        <v>10022.409404618773</v>
      </c>
      <c r="R64" s="1838">
        <f>INDEX('Eff (com)'!G$109:BH$109,1,ROW()-26)</f>
        <v>4687.0985163105897</v>
      </c>
      <c r="S64" s="1839">
        <f>INDEX('Eff (W &amp; WW)'!G$100:BH$100,1,ROW()-25)</f>
        <v>166.94040574622952</v>
      </c>
      <c r="T64" s="1840">
        <f t="shared" si="6"/>
        <v>14876.448326675591</v>
      </c>
      <c r="BG64" s="8"/>
      <c r="BH64" s="8"/>
      <c r="BI64" s="8"/>
      <c r="BJ64" s="8"/>
      <c r="BK64" s="8"/>
    </row>
    <row r="65" spans="1:63">
      <c r="A65" s="858">
        <v>2042</v>
      </c>
      <c r="B65" s="1849">
        <v>40</v>
      </c>
      <c r="C65" s="1481">
        <f>VLOOKUP(Community_Name,'Population Forecast'!$A$2:$BL$267,B65+13,FALSE)</f>
        <v>88.720710908226309</v>
      </c>
      <c r="D65" s="1583">
        <f>MROUND(C65/'Eff (res)'!$I$10,1)</f>
        <v>41</v>
      </c>
      <c r="E65" s="724">
        <f>C65*$B$33+$B$34-IF(Eff_Com_B_C_Ratio&gt;1,'Eff (com)'!$D$33,0)-IF('Eff (W &amp; WW)'!C42&gt;1,'Eff (W &amp; WW)'!$D$37,0)</f>
        <v>223504.83122554282</v>
      </c>
      <c r="F65" s="1861">
        <f>INDEX('Eff (com)'!G$74:BH$74,1,ROW()-37)*E65</f>
        <v>202994.122575724</v>
      </c>
      <c r="G65" s="924">
        <f t="shared" si="3"/>
        <v>254000</v>
      </c>
      <c r="H65" s="924">
        <f t="shared" si="4"/>
        <v>23513.398791575109</v>
      </c>
      <c r="I65" s="923">
        <f t="shared" si="5"/>
        <v>29.026450671105973</v>
      </c>
      <c r="J65" s="1548">
        <f>IF(EE_Res_B_C_Ratio&gt;1,INDEX('Eff (res)'!G$81:BH$81,1,ROW()-37),Forecast!J65)</f>
        <v>0</v>
      </c>
      <c r="K65" s="1865">
        <f>INDEX('Eff (com)'!G$98:BG$98,1,ROW()-37)*J65</f>
        <v>0</v>
      </c>
      <c r="L65" s="924">
        <f>IF(Eff_Com_B_C_Ratio&gt;1,INDEX('Eff (com)'!G$81:BH$81,1,ROW()-38),Forecast!L65)</f>
        <v>0</v>
      </c>
      <c r="M65" s="1865">
        <f>INDEX('Eff (com)'!G$98:BI$98,1,ROW()-37)*L65</f>
        <v>0</v>
      </c>
      <c r="N65" s="724">
        <f>IF(Eff_WW_B_C_Ratio&gt;1,INDEX('Eff (W &amp; WW)'!G$81:BH$81,1,ROW()-37),Forecast!N65)</f>
        <v>1216.1630265817078</v>
      </c>
      <c r="O65" s="1865">
        <f>INDEX('Eff (com)'!G$98:BK$98,1,ROW()-37)*N65</f>
        <v>8530.6448419203989</v>
      </c>
      <c r="P65" s="925">
        <f t="shared" si="8"/>
        <v>1216.1630265817078</v>
      </c>
      <c r="Q65" s="1837">
        <f>INDEX('Eff (res)'!G$111:BH$111,1,ROW()-25)</f>
        <v>0</v>
      </c>
      <c r="R65" s="1838">
        <f>INDEX('Eff (com)'!G$109:BH$109,1,ROW()-26)</f>
        <v>4687.0985163105897</v>
      </c>
      <c r="S65" s="1839">
        <f>INDEX('Eff (W &amp; WW)'!G$100:BH$100,1,ROW()-25)</f>
        <v>0</v>
      </c>
      <c r="T65" s="1840">
        <f t="shared" si="6"/>
        <v>4687.0985163105897</v>
      </c>
      <c r="BG65" s="8"/>
      <c r="BH65" s="8"/>
      <c r="BI65" s="8"/>
      <c r="BJ65" s="8"/>
      <c r="BK65" s="8"/>
    </row>
    <row r="66" spans="1:63">
      <c r="A66" s="858">
        <v>2043</v>
      </c>
      <c r="B66" s="1849">
        <v>41</v>
      </c>
      <c r="C66" s="1481">
        <f>VLOOKUP(Community_Name,'Population Forecast'!$A$2:$BL$267,B66+13,FALSE)</f>
        <v>88.677831820885388</v>
      </c>
      <c r="D66" s="1583">
        <f>MROUND(C66/'Eff (res)'!$I$10,1)</f>
        <v>41</v>
      </c>
      <c r="E66" s="724">
        <f>C66*$B$33+$B$34-IF(Eff_Com_B_C_Ratio&gt;1,'Eff (com)'!$D$33,0)-IF('Eff (W &amp; WW)'!C43&gt;1,'Eff (W &amp; WW)'!$D$37,0)</f>
        <v>223359.08314374881</v>
      </c>
      <c r="F66" s="1861">
        <f>INDEX('Eff (com)'!G$74:BH$74,1,ROW()-37)*E66</f>
        <v>202861.74958039034</v>
      </c>
      <c r="G66" s="924">
        <f t="shared" si="3"/>
        <v>254000</v>
      </c>
      <c r="H66" s="924">
        <f t="shared" si="4"/>
        <v>23513.398791575109</v>
      </c>
      <c r="I66" s="923">
        <f t="shared" si="5"/>
        <v>29.007522447123495</v>
      </c>
      <c r="J66" s="1548">
        <f>IF(EE_Res_B_C_Ratio&gt;1,INDEX('Eff (res)'!G$81:BH$81,1,ROW()-37),Forecast!J66)</f>
        <v>0</v>
      </c>
      <c r="K66" s="1865">
        <f>INDEX('Eff (com)'!G$98:BG$98,1,ROW()-37)*J66</f>
        <v>0</v>
      </c>
      <c r="L66" s="924">
        <f>IF(Eff_Com_B_C_Ratio&gt;1,INDEX('Eff (com)'!G$81:BH$81,1,ROW()-38),Forecast!L66)</f>
        <v>0</v>
      </c>
      <c r="M66" s="1865">
        <f>INDEX('Eff (com)'!G$98:BI$98,1,ROW()-37)*L66</f>
        <v>0</v>
      </c>
      <c r="N66" s="724">
        <f>IF(Eff_WW_B_C_Ratio&gt;1,INDEX('Eff (W &amp; WW)'!G$81:BH$81,1,ROW()-37),Forecast!N66)</f>
        <v>1215.5752499498058</v>
      </c>
      <c r="O66" s="1865">
        <f>INDEX('Eff (com)'!G$98:BK$98,1,ROW()-37)*N66</f>
        <v>8526.5219459076598</v>
      </c>
      <c r="P66" s="925">
        <f t="shared" si="8"/>
        <v>1215.5752499498058</v>
      </c>
      <c r="Q66" s="1837">
        <f>INDEX('Eff (res)'!G$111:BH$111,1,ROW()-25)</f>
        <v>0</v>
      </c>
      <c r="R66" s="1838">
        <f>INDEX('Eff (com)'!G$109:BH$109,1,ROW()-26)</f>
        <v>4687.0985163105897</v>
      </c>
      <c r="S66" s="1839">
        <f>INDEX('Eff (W &amp; WW)'!G$100:BH$100,1,ROW()-25)</f>
        <v>0</v>
      </c>
      <c r="T66" s="1840">
        <f t="shared" si="6"/>
        <v>4687.0985163105897</v>
      </c>
      <c r="BG66" s="8"/>
      <c r="BH66" s="8"/>
      <c r="BI66" s="8"/>
      <c r="BJ66" s="8"/>
      <c r="BK66" s="8"/>
    </row>
    <row r="67" spans="1:63">
      <c r="A67" s="858">
        <v>2044</v>
      </c>
      <c r="B67" s="1849">
        <v>42</v>
      </c>
      <c r="C67" s="1481">
        <f>VLOOKUP(Community_Name,'Population Forecast'!$A$2:$BL$267,B67+13,FALSE)</f>
        <v>88.634973457185112</v>
      </c>
      <c r="D67" s="1583">
        <f>MROUND(C67/'Eff (res)'!$I$10,1)</f>
        <v>41</v>
      </c>
      <c r="E67" s="724">
        <f>C67*$B$33+$B$34-IF(Eff_Com_B_C_Ratio&gt;1,'Eff (com)'!$D$33,0)-IF('Eff (W &amp; WW)'!C44&gt;1,'Eff (W &amp; WW)'!$D$37,0)</f>
        <v>223213.40550260688</v>
      </c>
      <c r="F67" s="1861">
        <f>INDEX('Eff (com)'!G$74:BH$74,1,ROW()-37)*E67</f>
        <v>202729.44056147404</v>
      </c>
      <c r="G67" s="924">
        <f t="shared" si="3"/>
        <v>254000</v>
      </c>
      <c r="H67" s="924">
        <f t="shared" si="4"/>
        <v>23513.398791575109</v>
      </c>
      <c r="I67" s="923">
        <f t="shared" si="5"/>
        <v>28.988603371230134</v>
      </c>
      <c r="J67" s="1548">
        <f>IF(EE_Res_B_C_Ratio&gt;1,INDEX('Eff (res)'!G$81:BH$81,1,ROW()-37),Forecast!J67)</f>
        <v>0</v>
      </c>
      <c r="K67" s="1865">
        <f>INDEX('Eff (com)'!G$98:BG$98,1,ROW()-37)*J67</f>
        <v>0</v>
      </c>
      <c r="L67" s="924">
        <f>IF(Eff_Com_B_C_Ratio&gt;1,INDEX('Eff (com)'!G$81:BH$81,1,ROW()-38),Forecast!L67)</f>
        <v>0</v>
      </c>
      <c r="M67" s="1865">
        <f>INDEX('Eff (com)'!G$98:BI$98,1,ROW()-37)*L67</f>
        <v>0</v>
      </c>
      <c r="N67" s="724">
        <f>IF(Eff_WW_B_C_Ratio&gt;1,INDEX('Eff (W &amp; WW)'!G$81:BH$81,1,ROW()-37),Forecast!N67)</f>
        <v>1214.9877573927861</v>
      </c>
      <c r="O67" s="1865">
        <f>INDEX('Eff (com)'!G$98:BK$98,1,ROW()-37)*N67</f>
        <v>8522.4010425076503</v>
      </c>
      <c r="P67" s="925">
        <f t="shared" si="8"/>
        <v>1214.9877573927861</v>
      </c>
      <c r="Q67" s="1837">
        <f>INDEX('Eff (res)'!G$111:BH$111,1,ROW()-25)</f>
        <v>0</v>
      </c>
      <c r="R67" s="1838">
        <f>INDEX('Eff (com)'!G$109:BH$109,1,ROW()-26)</f>
        <v>4687.0985163105897</v>
      </c>
      <c r="S67" s="1839">
        <f>INDEX('Eff (W &amp; WW)'!G$100:BH$100,1,ROW()-25)</f>
        <v>0</v>
      </c>
      <c r="T67" s="1840">
        <f t="shared" si="6"/>
        <v>4687.0985163105897</v>
      </c>
      <c r="BG67" s="8"/>
      <c r="BH67" s="8"/>
      <c r="BI67" s="8"/>
      <c r="BJ67" s="8"/>
      <c r="BK67" s="8"/>
    </row>
    <row r="68" spans="1:63">
      <c r="A68" s="858">
        <v>2045</v>
      </c>
      <c r="B68" s="1849">
        <v>43</v>
      </c>
      <c r="C68" s="1481">
        <f>VLOOKUP(Community_Name,'Population Forecast'!$A$2:$BL$267,B68+13,FALSE)</f>
        <v>88.592135807109642</v>
      </c>
      <c r="D68" s="1583">
        <f>MROUND(C68/'Eff (res)'!$I$10,1)</f>
        <v>41</v>
      </c>
      <c r="E68" s="724">
        <f>C68*$B$33+$B$34-IF(Eff_Com_B_C_Ratio&gt;1,'Eff (com)'!$D$33,0)-IF('Eff (W &amp; WW)'!C45&gt;1,'Eff (W &amp; WW)'!$D$37,0)</f>
        <v>224942.06521855868</v>
      </c>
      <c r="F68" s="1861">
        <f>INDEX('Eff (com)'!G$74:BH$74,1,ROW()-37)*E68</f>
        <v>204299.4637253918</v>
      </c>
      <c r="G68" s="924">
        <f t="shared" si="3"/>
        <v>256000</v>
      </c>
      <c r="H68" s="924">
        <f t="shared" si="4"/>
        <v>23698.543663949717</v>
      </c>
      <c r="I68" s="923">
        <f t="shared" si="5"/>
        <v>29.213103466807794</v>
      </c>
      <c r="J68" s="1548">
        <f>IF(EE_Res_B_C_Ratio&gt;1,INDEX('Eff (res)'!G$81:BH$81,1,ROW()-37),Forecast!J68)</f>
        <v>0</v>
      </c>
      <c r="K68" s="1865">
        <f>INDEX('Eff (com)'!G$98:BG$98,1,ROW()-37)*J68</f>
        <v>0</v>
      </c>
      <c r="L68" s="924">
        <f>IF(Eff_Com_B_C_Ratio&gt;1,INDEX('Eff (com)'!G$81:BH$81,1,ROW()-38),Forecast!L68)</f>
        <v>0</v>
      </c>
      <c r="M68" s="1865">
        <f>INDEX('Eff (com)'!G$98:BI$98,1,ROW()-37)*L68</f>
        <v>0</v>
      </c>
      <c r="N68" s="724">
        <f>IF(Eff_WW_B_C_Ratio&gt;1,INDEX('Eff (W &amp; WW)'!G$81:BH$81,1,ROW()-37),Forecast!N68)</f>
        <v>1214.4005487733543</v>
      </c>
      <c r="O68" s="1865">
        <f>INDEX('Eff (com)'!G$98:BK$98,1,ROW()-37)*N68</f>
        <v>8518.282130757334</v>
      </c>
      <c r="P68" s="925">
        <f t="shared" si="8"/>
        <v>1214.4005487733543</v>
      </c>
      <c r="Q68" s="1837">
        <f>INDEX('Eff (res)'!G$111:BH$111,1,ROW()-25)</f>
        <v>0</v>
      </c>
      <c r="R68" s="1838">
        <f>INDEX('Eff (com)'!G$109:BH$109,1,ROW()-26)</f>
        <v>4687.0985163105897</v>
      </c>
      <c r="S68" s="1839">
        <f>INDEX('Eff (W &amp; WW)'!G$100:BH$100,1,ROW()-25)</f>
        <v>0</v>
      </c>
      <c r="T68" s="1840">
        <f t="shared" si="6"/>
        <v>4687.0985163105897</v>
      </c>
      <c r="BG68" s="8"/>
      <c r="BH68" s="8"/>
      <c r="BI68" s="8"/>
      <c r="BJ68" s="8"/>
      <c r="BK68" s="8"/>
    </row>
    <row r="69" spans="1:63">
      <c r="A69" s="858">
        <v>2046</v>
      </c>
      <c r="B69" s="1849">
        <v>44</v>
      </c>
      <c r="C69" s="1481">
        <f>VLOOKUP(Community_Name,'Population Forecast'!$A$2:$BL$267,B69+13,FALSE)</f>
        <v>88.549318860648043</v>
      </c>
      <c r="D69" s="1583">
        <f>MROUND(C69/'Eff (res)'!$I$10,1)</f>
        <v>41</v>
      </c>
      <c r="E69" s="724">
        <f>C69*$B$33+$B$34-IF(Eff_Com_B_C_Ratio&gt;1,'Eff (com)'!$D$33,0)-IF('Eff (W &amp; WW)'!C46&gt;1,'Eff (W &amp; WW)'!$D$37,0)</f>
        <v>222922.26140611852</v>
      </c>
      <c r="F69" s="1861">
        <f>INDEX('Eff (com)'!G$74:BH$74,1,ROW()-37)*E69</f>
        <v>202465.014329228</v>
      </c>
      <c r="G69" s="924">
        <f t="shared" si="3"/>
        <v>254000</v>
      </c>
      <c r="H69" s="924">
        <f t="shared" si="4"/>
        <v>23513.398791575109</v>
      </c>
      <c r="I69" s="923">
        <f t="shared" si="5"/>
        <v>28.950792646027619</v>
      </c>
      <c r="J69" s="1548">
        <f>IF(EE_Res_B_C_Ratio&gt;1,INDEX('Eff (res)'!G$81:BH$81,1,ROW()-37),Forecast!J69)</f>
        <v>0</v>
      </c>
      <c r="K69" s="1865">
        <f>INDEX('Eff (com)'!G$98:BG$98,1,ROW()-37)*J69</f>
        <v>0</v>
      </c>
      <c r="L69" s="924">
        <f>IF(Eff_Com_B_C_Ratio&gt;1,INDEX('Eff (com)'!G$81:BH$81,1,ROW()-38),Forecast!L69)</f>
        <v>0</v>
      </c>
      <c r="M69" s="1865">
        <f>INDEX('Eff (com)'!G$98:BI$98,1,ROW()-37)*L69</f>
        <v>0</v>
      </c>
      <c r="N69" s="724">
        <f>IF(Eff_WW_B_C_Ratio&gt;1,INDEX('Eff (W &amp; WW)'!G$81:BH$81,1,ROW()-37),Forecast!N69)</f>
        <v>1213.8136239542825</v>
      </c>
      <c r="O69" s="1865">
        <f>INDEX('Eff (com)'!G$98:BK$98,1,ROW()-37)*N69</f>
        <v>8514.1652096941416</v>
      </c>
      <c r="P69" s="925">
        <f t="shared" si="8"/>
        <v>1213.8136239542825</v>
      </c>
      <c r="Q69" s="1837">
        <f>INDEX('Eff (res)'!G$111:BH$111,1,ROW()-25)</f>
        <v>0</v>
      </c>
      <c r="R69" s="1838">
        <f>INDEX('Eff (com)'!G$109:BH$109,1,ROW()-26)</f>
        <v>4687.0985163105897</v>
      </c>
      <c r="S69" s="1839">
        <f>INDEX('Eff (W &amp; WW)'!G$100:BH$100,1,ROW()-25)</f>
        <v>0</v>
      </c>
      <c r="T69" s="1840">
        <f t="shared" si="6"/>
        <v>4687.0985163105897</v>
      </c>
      <c r="BG69" s="8"/>
      <c r="BH69" s="8"/>
      <c r="BI69" s="8"/>
      <c r="BJ69" s="8"/>
      <c r="BK69" s="8"/>
    </row>
    <row r="70" spans="1:63">
      <c r="A70" s="858">
        <v>2047</v>
      </c>
      <c r="B70" s="1849">
        <v>45</v>
      </c>
      <c r="C70" s="1481">
        <f>VLOOKUP(Community_Name,'Population Forecast'!$A$2:$BL$267,B70+13,FALSE)</f>
        <v>88.506522607794139</v>
      </c>
      <c r="D70" s="1583">
        <f>MROUND(C70/'Eff (res)'!$I$10,1)</f>
        <v>41</v>
      </c>
      <c r="E70" s="724">
        <f>C70*$B$33+$B$34-IF(Eff_Com_B_C_Ratio&gt;1,'Eff (com)'!$D$33,0)-IF('Eff (W &amp; WW)'!C47&gt;1,'Eff (W &amp; WW)'!$D$37,0)</f>
        <v>222776.79488273297</v>
      </c>
      <c r="F70" s="1861">
        <f>INDEX('Eff (com)'!G$74:BH$74,1,ROW()-37)*E70</f>
        <v>202332.897054103</v>
      </c>
      <c r="G70" s="924">
        <f t="shared" si="3"/>
        <v>253000</v>
      </c>
      <c r="H70" s="924">
        <f t="shared" si="4"/>
        <v>23420.826355387806</v>
      </c>
      <c r="I70" s="923">
        <f t="shared" si="5"/>
        <v>28.931900987882265</v>
      </c>
      <c r="J70" s="1548">
        <f>IF(EE_Res_B_C_Ratio&gt;1,INDEX('Eff (res)'!G$81:BH$81,1,ROW()-37),Forecast!J70)</f>
        <v>0</v>
      </c>
      <c r="K70" s="1865">
        <f>INDEX('Eff (com)'!G$98:BG$98,1,ROW()-37)*J70</f>
        <v>0</v>
      </c>
      <c r="L70" s="924">
        <f>IF(Eff_Com_B_C_Ratio&gt;1,INDEX('Eff (com)'!G$81:BH$81,1,ROW()-38),Forecast!L70)</f>
        <v>0</v>
      </c>
      <c r="M70" s="1865">
        <f>INDEX('Eff (com)'!G$98:BI$98,1,ROW()-37)*L70</f>
        <v>0</v>
      </c>
      <c r="N70" s="724">
        <f>IF(Eff_WW_B_C_Ratio&gt;1,INDEX('Eff (W &amp; WW)'!G$81:BH$81,1,ROW()-37),Forecast!N70)</f>
        <v>1213.2269827984087</v>
      </c>
      <c r="O70" s="1865">
        <f>INDEX('Eff (com)'!G$98:BK$98,1,ROW()-37)*N70</f>
        <v>8510.0502783559641</v>
      </c>
      <c r="P70" s="925">
        <f t="shared" si="8"/>
        <v>1213.2269827984087</v>
      </c>
      <c r="Q70" s="1837">
        <f>INDEX('Eff (res)'!G$111:BH$111,1,ROW()-25)</f>
        <v>0</v>
      </c>
      <c r="R70" s="1838">
        <f>INDEX('Eff (com)'!G$109:BH$109,1,ROW()-26)</f>
        <v>4687.0985163105897</v>
      </c>
      <c r="S70" s="1839">
        <f>INDEX('Eff (W &amp; WW)'!G$100:BH$100,1,ROW()-25)</f>
        <v>0</v>
      </c>
      <c r="T70" s="1840">
        <f t="shared" si="6"/>
        <v>4687.0985163105897</v>
      </c>
      <c r="BG70" s="8"/>
      <c r="BH70" s="8"/>
      <c r="BI70" s="8"/>
      <c r="BJ70" s="8"/>
      <c r="BK70" s="8"/>
    </row>
    <row r="71" spans="1:63">
      <c r="A71" s="858">
        <v>2048</v>
      </c>
      <c r="B71" s="1849">
        <v>46</v>
      </c>
      <c r="C71" s="1481">
        <f>VLOOKUP(Community_Name,'Population Forecast'!$A$2:$BL$267,B71+13,FALSE)</f>
        <v>88.463747038546643</v>
      </c>
      <c r="D71" s="1583">
        <f>MROUND(C71/'Eff (res)'!$I$10,1)</f>
        <v>41</v>
      </c>
      <c r="E71" s="724">
        <f>C71*$B$33+$B$34-IF(Eff_Com_B_C_Ratio&gt;1,'Eff (com)'!$D$33,0)-IF('Eff (W &amp; WW)'!C48&gt;1,'Eff (W &amp; WW)'!$D$37,0)</f>
        <v>222631.39866392117</v>
      </c>
      <c r="F71" s="1861">
        <f>INDEX('Eff (com)'!G$74:BH$74,1,ROW()-37)*E71</f>
        <v>202200.84363180472</v>
      </c>
      <c r="G71" s="924">
        <f t="shared" si="3"/>
        <v>253000</v>
      </c>
      <c r="H71" s="924">
        <f t="shared" si="4"/>
        <v>23420.826355387806</v>
      </c>
      <c r="I71" s="923">
        <f t="shared" si="5"/>
        <v>28.913018460153605</v>
      </c>
      <c r="J71" s="1548">
        <f>IF(EE_Res_B_C_Ratio&gt;1,INDEX('Eff (res)'!G$81:BH$81,1,ROW()-37),Forecast!J71)</f>
        <v>0</v>
      </c>
      <c r="K71" s="1865">
        <f>INDEX('Eff (com)'!G$98:BG$98,1,ROW()-37)*J71</f>
        <v>0</v>
      </c>
      <c r="L71" s="924">
        <f>IF(Eff_Com_B_C_Ratio&gt;1,INDEX('Eff (com)'!G$81:BH$81,1,ROW()-38),Forecast!L71)</f>
        <v>0</v>
      </c>
      <c r="M71" s="1865">
        <f>INDEX('Eff (com)'!G$98:BI$98,1,ROW()-37)*L71</f>
        <v>0</v>
      </c>
      <c r="N71" s="724">
        <f>IF(Eff_WW_B_C_Ratio&gt;1,INDEX('Eff (W &amp; WW)'!G$81:BH$81,1,ROW()-37),Forecast!N71)</f>
        <v>1212.6406251686371</v>
      </c>
      <c r="O71" s="1865">
        <f>INDEX('Eff (com)'!G$98:BK$98,1,ROW()-37)*N71</f>
        <v>8505.9373357811601</v>
      </c>
      <c r="P71" s="925">
        <f t="shared" si="8"/>
        <v>1212.6406251686371</v>
      </c>
      <c r="Q71" s="1837">
        <f>INDEX('Eff (res)'!G$111:BH$111,1,ROW()-25)</f>
        <v>0</v>
      </c>
      <c r="R71" s="1838">
        <f>INDEX('Eff (com)'!G$109:BH$109,1,ROW()-26)</f>
        <v>4687.0985163105897</v>
      </c>
      <c r="S71" s="1839">
        <f>INDEX('Eff (W &amp; WW)'!G$100:BH$100,1,ROW()-25)</f>
        <v>0</v>
      </c>
      <c r="T71" s="1840">
        <f t="shared" si="6"/>
        <v>4687.0985163105897</v>
      </c>
      <c r="BG71" s="8"/>
      <c r="BH71" s="8"/>
      <c r="BI71" s="8"/>
      <c r="BJ71" s="8"/>
      <c r="BK71" s="8"/>
    </row>
    <row r="72" spans="1:63">
      <c r="A72" s="858">
        <v>2049</v>
      </c>
      <c r="B72" s="1849">
        <v>47</v>
      </c>
      <c r="C72" s="1481">
        <f>VLOOKUP(Community_Name,'Population Forecast'!$A$2:$BL$267,B72+13,FALSE)</f>
        <v>88.420992142909085</v>
      </c>
      <c r="D72" s="1583">
        <f>MROUND(C72/'Eff (res)'!$I$10,1)</f>
        <v>41</v>
      </c>
      <c r="E72" s="724">
        <f>C72*$B$33+$B$34-IF(Eff_Com_B_C_Ratio&gt;1,'Eff (com)'!$D$33,0)-IF('Eff (W &amp; WW)'!C49&gt;1,'Eff (W &amp; WW)'!$D$37,0)</f>
        <v>222486.07271570468</v>
      </c>
      <c r="F72" s="1861">
        <f>INDEX('Eff (com)'!G$74:BH$74,1,ROW()-37)*E72</f>
        <v>202068.8540314729</v>
      </c>
      <c r="G72" s="924">
        <f t="shared" si="3"/>
        <v>253000</v>
      </c>
      <c r="H72" s="924">
        <f t="shared" si="4"/>
        <v>23420.826355387806</v>
      </c>
      <c r="I72" s="923">
        <f t="shared" si="5"/>
        <v>28.894145058428876</v>
      </c>
      <c r="J72" s="1548">
        <f>IF(EE_Res_B_C_Ratio&gt;1,INDEX('Eff (res)'!G$81:BH$81,1,ROW()-37),Forecast!J72)</f>
        <v>0</v>
      </c>
      <c r="K72" s="1865">
        <f>INDEX('Eff (com)'!G$98:BG$98,1,ROW()-37)*J72</f>
        <v>0</v>
      </c>
      <c r="L72" s="924">
        <f>IF(Eff_Com_B_C_Ratio&gt;1,INDEX('Eff (com)'!G$81:BH$81,1,ROW()-38),Forecast!L72)</f>
        <v>0</v>
      </c>
      <c r="M72" s="1865">
        <f>INDEX('Eff (com)'!G$98:BI$98,1,ROW()-37)*L72</f>
        <v>0</v>
      </c>
      <c r="N72" s="724">
        <f>IF(Eff_WW_B_C_Ratio&gt;1,INDEX('Eff (W &amp; WW)'!G$81:BH$81,1,ROW()-37),Forecast!N72)</f>
        <v>1212.0545509279389</v>
      </c>
      <c r="O72" s="1865">
        <f>INDEX('Eff (com)'!G$98:BK$98,1,ROW()-37)*N72</f>
        <v>8501.8263810085518</v>
      </c>
      <c r="P72" s="925">
        <f t="shared" si="8"/>
        <v>1212.0545509279389</v>
      </c>
      <c r="Q72" s="1837">
        <f>INDEX('Eff (res)'!G$111:BH$111,1,ROW()-25)</f>
        <v>0</v>
      </c>
      <c r="R72" s="1838">
        <f>INDEX('Eff (com)'!G$109:BH$109,1,ROW()-26)</f>
        <v>4687.0985163105897</v>
      </c>
      <c r="S72" s="1839">
        <f>INDEX('Eff (W &amp; WW)'!G$100:BH$100,1,ROW()-25)</f>
        <v>0</v>
      </c>
      <c r="T72" s="1840">
        <f t="shared" si="6"/>
        <v>4687.0985163105897</v>
      </c>
      <c r="BG72" s="8"/>
      <c r="BH72" s="8"/>
      <c r="BI72" s="8"/>
      <c r="BJ72" s="8"/>
      <c r="BK72" s="8"/>
    </row>
    <row r="73" spans="1:63">
      <c r="A73" s="858">
        <v>2050</v>
      </c>
      <c r="B73" s="1849">
        <v>48</v>
      </c>
      <c r="C73" s="1481">
        <f>VLOOKUP(Community_Name,'Population Forecast'!$A$2:$BL$267,B73+13,FALSE)</f>
        <v>88.378257910889801</v>
      </c>
      <c r="D73" s="1583">
        <f>MROUND(C73/'Eff (res)'!$I$10,1)</f>
        <v>41</v>
      </c>
      <c r="E73" s="724">
        <f>C73*$B$33+$B$34-IF(Eff_Com_B_C_Ratio&gt;1,'Eff (com)'!$D$33,0)-IF('Eff (W &amp; WW)'!C50&gt;1,'Eff (W &amp; WW)'!$D$37,0)</f>
        <v>222340.81700412132</v>
      </c>
      <c r="F73" s="1861">
        <f>INDEX('Eff (com)'!G$74:BH$74,1,ROW()-37)*E73</f>
        <v>201936.92822226201</v>
      </c>
      <c r="G73" s="924">
        <f t="shared" si="3"/>
        <v>253000</v>
      </c>
      <c r="H73" s="924">
        <f t="shared" si="4"/>
        <v>23420.826355387806</v>
      </c>
      <c r="I73" s="923">
        <f t="shared" si="5"/>
        <v>28.875280778297427</v>
      </c>
      <c r="J73" s="1548">
        <f>IF(EE_Res_B_C_Ratio&gt;1,INDEX('Eff (res)'!G$81:BH$81,1,ROW()-37),Forecast!J73)</f>
        <v>0</v>
      </c>
      <c r="K73" s="1865">
        <f>INDEX('Eff (com)'!G$98:BG$98,1,ROW()-37)*J73</f>
        <v>0</v>
      </c>
      <c r="L73" s="924">
        <f>IF(Eff_Com_B_C_Ratio&gt;1,INDEX('Eff (com)'!G$81:BH$81,1,ROW()-38),Forecast!L73)</f>
        <v>0</v>
      </c>
      <c r="M73" s="1865">
        <f>INDEX('Eff (com)'!G$98:BI$98,1,ROW()-37)*L73</f>
        <v>0</v>
      </c>
      <c r="N73" s="724">
        <f>IF(Eff_WW_B_C_Ratio&gt;1,INDEX('Eff (W &amp; WW)'!G$81:BH$81,1,ROW()-37),Forecast!N73)</f>
        <v>1211.4687599393501</v>
      </c>
      <c r="O73" s="1865">
        <f>INDEX('Eff (com)'!G$98:BK$98,1,ROW()-37)*N73</f>
        <v>8497.7174130774238</v>
      </c>
      <c r="P73" s="925">
        <f t="shared" si="8"/>
        <v>1211.4687599393501</v>
      </c>
      <c r="Q73" s="1837">
        <f>INDEX('Eff (res)'!G$111:BH$111,1,ROW()-25)</f>
        <v>0</v>
      </c>
      <c r="R73" s="1838">
        <f>INDEX('Eff (com)'!G$109:BH$109,1,ROW()-26)</f>
        <v>4687.0985163105897</v>
      </c>
      <c r="S73" s="1839">
        <f>INDEX('Eff (W &amp; WW)'!G$100:BH$100,1,ROW()-25)</f>
        <v>0</v>
      </c>
      <c r="T73" s="1840">
        <f t="shared" si="6"/>
        <v>4687.0985163105897</v>
      </c>
      <c r="BG73" s="8"/>
      <c r="BH73" s="8"/>
      <c r="BI73" s="8"/>
      <c r="BJ73" s="8"/>
      <c r="BK73" s="8"/>
    </row>
    <row r="74" spans="1:63">
      <c r="A74" s="858">
        <v>2051</v>
      </c>
      <c r="B74" s="1849">
        <v>49</v>
      </c>
      <c r="C74" s="1481">
        <f>VLOOKUP(Community_Name,'Population Forecast'!$A$2:$BL$267,B74+13,FALSE)</f>
        <v>88.335544332501982</v>
      </c>
      <c r="D74" s="1583">
        <f>MROUND(C74/'Eff (res)'!$I$10,1)</f>
        <v>41</v>
      </c>
      <c r="E74" s="724">
        <f>C74*$B$33+$B$34-IF(Eff_Com_B_C_Ratio&gt;1,'Eff (com)'!$D$33,0)-IF('Eff (W &amp; WW)'!C51&gt;1,'Eff (W &amp; WW)'!$D$37,0)</f>
        <v>224069.89844571144</v>
      </c>
      <c r="F74" s="1861">
        <f>INDEX('Eff (com)'!G$74:BH$74,1,ROW()-37)*E74</f>
        <v>203507.33441067839</v>
      </c>
      <c r="G74" s="924">
        <f t="shared" si="3"/>
        <v>255000</v>
      </c>
      <c r="H74" s="924">
        <f t="shared" si="4"/>
        <v>23605.971227762413</v>
      </c>
      <c r="I74" s="923">
        <f t="shared" si="5"/>
        <v>29.099835643153988</v>
      </c>
      <c r="J74" s="1548">
        <f>IF(EE_Res_B_C_Ratio&gt;1,INDEX('Eff (res)'!G$81:BH$81,1,ROW()-37),Forecast!J74)</f>
        <v>0</v>
      </c>
      <c r="K74" s="1865">
        <f>INDEX('Eff (com)'!G$98:BG$98,1,ROW()-37)*J74</f>
        <v>0</v>
      </c>
      <c r="L74" s="924">
        <f>IF(Eff_Com_B_C_Ratio&gt;1,INDEX('Eff (com)'!G$81:BH$81,1,ROW()-38),Forecast!L74)</f>
        <v>0</v>
      </c>
      <c r="M74" s="1865">
        <f>INDEX('Eff (com)'!G$98:BI$98,1,ROW()-37)*L74</f>
        <v>0</v>
      </c>
      <c r="N74" s="724">
        <f>IF(Eff_WW_B_C_Ratio&gt;1,INDEX('Eff (W &amp; WW)'!G$81:BH$81,1,ROW()-37),Forecast!N74)</f>
        <v>1210.8832520659744</v>
      </c>
      <c r="O74" s="1865">
        <f>INDEX('Eff (com)'!G$98:BK$98,1,ROW()-37)*N74</f>
        <v>8493.6104310275296</v>
      </c>
      <c r="P74" s="925">
        <f t="shared" si="8"/>
        <v>1210.8832520659744</v>
      </c>
      <c r="Q74" s="1837">
        <f>INDEX('Eff (res)'!G$111:BH$111,1,ROW()-25)</f>
        <v>0</v>
      </c>
      <c r="R74" s="1838">
        <f>INDEX('Eff (com)'!G$109:BH$109,1,ROW()-26)</f>
        <v>4687.0985163105897</v>
      </c>
      <c r="S74" s="1839">
        <f>INDEX('Eff (W &amp; WW)'!G$100:BH$100,1,ROW()-25)</f>
        <v>0</v>
      </c>
      <c r="T74" s="1840">
        <f t="shared" si="6"/>
        <v>4687.0985163105897</v>
      </c>
      <c r="BG74" s="8"/>
      <c r="BH74" s="8"/>
      <c r="BI74" s="8"/>
      <c r="BJ74" s="8"/>
      <c r="BK74" s="8"/>
    </row>
    <row r="75" spans="1:63">
      <c r="A75" s="858">
        <v>2052</v>
      </c>
      <c r="B75" s="1849">
        <v>50</v>
      </c>
      <c r="C75" s="1481">
        <f>VLOOKUP(Community_Name,'Population Forecast'!$A$2:$BL$267,B75+13,FALSE)</f>
        <v>88.29285139776367</v>
      </c>
      <c r="D75" s="1583">
        <f>MROUND(C75/'Eff (res)'!$I$10,1)</f>
        <v>41</v>
      </c>
      <c r="E75" s="724">
        <f>C75*$B$33+$B$34-IF(Eff_Com_B_C_Ratio&gt;1,'Eff (com)'!$D$33,0)-IF('Eff (W &amp; WW)'!C52&gt;1,'Eff (W &amp; WW)'!$D$37,0)</f>
        <v>223924.78310557388</v>
      </c>
      <c r="F75" s="1861">
        <f>INDEX('Eff (com)'!G$74:BH$74,1,ROW()-37)*E75</f>
        <v>203375.53609123279</v>
      </c>
      <c r="G75" s="924">
        <f t="shared" si="3"/>
        <v>255000</v>
      </c>
      <c r="H75" s="924">
        <f t="shared" si="4"/>
        <v>23605.971227762413</v>
      </c>
      <c r="I75" s="923">
        <f t="shared" si="5"/>
        <v>29.080989592985734</v>
      </c>
      <c r="J75" s="1548">
        <f>IF(EE_Res_B_C_Ratio&gt;1,INDEX('Eff (res)'!G$81:BH$81,1,ROW()-37),Forecast!J75)</f>
        <v>0</v>
      </c>
      <c r="K75" s="1865">
        <f>INDEX('Eff (com)'!G$98:BG$98,1,ROW()-37)*J75</f>
        <v>0</v>
      </c>
      <c r="L75" s="924">
        <f>IF(Eff_Com_B_C_Ratio&gt;1,INDEX('Eff (com)'!G$81:BH$81,1,ROW()-38),Forecast!L75)</f>
        <v>0</v>
      </c>
      <c r="M75" s="1865">
        <f>INDEX('Eff (com)'!G$98:BI$98,1,ROW()-37)*L75</f>
        <v>0</v>
      </c>
      <c r="N75" s="724">
        <f>IF(Eff_WW_B_C_Ratio&gt;1,INDEX('Eff (W &amp; WW)'!G$81:BH$81,1,ROW()-37),Forecast!N75)</f>
        <v>1210.298027170981</v>
      </c>
      <c r="O75" s="1865">
        <f>INDEX('Eff (com)'!G$98:BK$98,1,ROW()-37)*N75</f>
        <v>8489.5054338990849</v>
      </c>
      <c r="P75" s="925">
        <f t="shared" si="8"/>
        <v>1210.298027170981</v>
      </c>
      <c r="Q75" s="1837">
        <f>INDEX('Eff (res)'!G$111:BH$111,1,ROW()-25)</f>
        <v>0</v>
      </c>
      <c r="R75" s="1838">
        <f>INDEX('Eff (com)'!G$109:BH$109,1,ROW()-26)</f>
        <v>4687.0985163105897</v>
      </c>
      <c r="S75" s="1839">
        <f>INDEX('Eff (W &amp; WW)'!G$100:BH$100,1,ROW()-25)</f>
        <v>0</v>
      </c>
      <c r="T75" s="1840">
        <f t="shared" si="6"/>
        <v>4687.0985163105897</v>
      </c>
      <c r="BG75" s="8"/>
      <c r="BH75" s="8"/>
      <c r="BI75" s="8"/>
      <c r="BJ75" s="8"/>
      <c r="BK75" s="8"/>
    </row>
    <row r="76" spans="1:63" ht="13.5" thickBot="1">
      <c r="A76" s="859">
        <v>2053</v>
      </c>
      <c r="B76" s="1849">
        <v>51</v>
      </c>
      <c r="C76" s="1481">
        <f>VLOOKUP(Community_Name,'Population Forecast'!$A$2:$BL$267,B76+13,FALSE)</f>
        <v>88.250179096697664</v>
      </c>
      <c r="D76" s="1584">
        <f>MROUND(C76/'Eff (res)'!$I$10,1)</f>
        <v>41</v>
      </c>
      <c r="E76" s="724">
        <f>C76*$B$33+$B$34-IF(Eff_Com_B_C_Ratio&gt;1,'Eff (com)'!$D$33,0)-IF('Eff (W &amp; WW)'!C53&gt;1,'Eff (W &amp; WW)'!$D$37,0)</f>
        <v>223779.73790028165</v>
      </c>
      <c r="F76" s="1861">
        <f>INDEX('Eff (com)'!G$74:BH$74,1,ROW()-37)*E76</f>
        <v>203243.80147046121</v>
      </c>
      <c r="G76" s="927">
        <f t="shared" si="3"/>
        <v>255000</v>
      </c>
      <c r="H76" s="924">
        <f t="shared" si="4"/>
        <v>23605.971227762413</v>
      </c>
      <c r="I76" s="926">
        <f t="shared" si="5"/>
        <v>29.062152651191635</v>
      </c>
      <c r="J76" s="1548">
        <f>IF(EE_Res_B_C_Ratio&gt;1,INDEX('Eff (res)'!G$81:BH$81,1,ROW()-37),Forecast!J76)</f>
        <v>0</v>
      </c>
      <c r="K76" s="1865">
        <f>INDEX('Eff (com)'!G$98:BG$98,1,ROW()-37)*J76</f>
        <v>0</v>
      </c>
      <c r="L76" s="924">
        <f>IF(Eff_Com_B_C_Ratio&gt;1,INDEX('Eff (com)'!G$81:BH$81,1,ROW()-38),Forecast!L76)</f>
        <v>0</v>
      </c>
      <c r="M76" s="1865">
        <f>INDEX('Eff (com)'!G$98:BI$98,1,ROW()-37)*L76</f>
        <v>0</v>
      </c>
      <c r="N76" s="724">
        <f>IF(Eff_WW_B_C_Ratio&gt;1,INDEX('Eff (W &amp; WW)'!G$81:BH$81,1,ROW()-37),Forecast!N76)</f>
        <v>1209.713085117605</v>
      </c>
      <c r="O76" s="1865">
        <f>INDEX('Eff (com)'!G$98:BK$98,1,ROW()-37)*N76</f>
        <v>8485.4024207327657</v>
      </c>
      <c r="P76" s="928">
        <f t="shared" si="8"/>
        <v>1209.713085117605</v>
      </c>
      <c r="Q76" s="1837">
        <f>INDEX('Eff (res)'!G$111:BH$111,1,ROW()-25)</f>
        <v>0</v>
      </c>
      <c r="R76" s="1838">
        <f>INDEX('Eff (com)'!G$109:BH$109,1,ROW()-26)</f>
        <v>4687.0985163105897</v>
      </c>
      <c r="S76" s="1839">
        <f>INDEX('Eff (W &amp; WW)'!G$100:BH$100,1,ROW()-25)</f>
        <v>0</v>
      </c>
      <c r="T76" s="1840">
        <f t="shared" si="6"/>
        <v>4687.0985163105897</v>
      </c>
      <c r="BG76" s="8"/>
      <c r="BH76" s="8"/>
      <c r="BI76" s="8"/>
      <c r="BJ76" s="8"/>
      <c r="BK76" s="8"/>
    </row>
    <row r="77" spans="1:63">
      <c r="J77" s="8"/>
      <c r="K77" s="8"/>
      <c r="L77" s="8"/>
      <c r="M77" s="8"/>
      <c r="N77" s="8"/>
      <c r="O77" s="8"/>
      <c r="P77" s="8"/>
    </row>
    <row r="78" spans="1:63">
      <c r="J78" s="8"/>
      <c r="K78" s="8"/>
      <c r="L78" s="8"/>
      <c r="M78" s="8"/>
      <c r="N78" s="8"/>
      <c r="O78" s="8"/>
      <c r="P78" s="8"/>
    </row>
    <row r="79" spans="1:63">
      <c r="J79" s="8"/>
      <c r="K79" s="8"/>
      <c r="L79" s="8"/>
      <c r="M79" s="8"/>
      <c r="N79" s="8"/>
      <c r="O79" s="8"/>
      <c r="P79" s="8"/>
    </row>
    <row r="80" spans="1:63">
      <c r="J80" s="8"/>
      <c r="K80" s="8"/>
      <c r="L80" s="8"/>
      <c r="M80" s="8"/>
      <c r="N80" s="8"/>
      <c r="O80" s="8"/>
      <c r="P80" s="8"/>
    </row>
    <row r="81" spans="10:16">
      <c r="J81" s="8"/>
      <c r="K81" s="8"/>
      <c r="L81" s="8"/>
      <c r="M81" s="8"/>
      <c r="N81" s="8"/>
      <c r="O81" s="8"/>
      <c r="P81" s="8"/>
    </row>
    <row r="82" spans="10:16">
      <c r="J82" s="8"/>
      <c r="K82" s="8"/>
      <c r="L82" s="8"/>
      <c r="M82" s="8"/>
      <c r="N82" s="8"/>
      <c r="O82" s="8"/>
      <c r="P82" s="8"/>
    </row>
    <row r="83" spans="10:16">
      <c r="J83" s="8"/>
      <c r="K83" s="8"/>
      <c r="L83" s="8"/>
      <c r="M83" s="8"/>
      <c r="N83" s="8"/>
      <c r="O83" s="8"/>
      <c r="P83" s="8"/>
    </row>
    <row r="84" spans="10:16">
      <c r="J84" s="8"/>
      <c r="K84" s="8"/>
      <c r="L84" s="8"/>
      <c r="M84" s="8"/>
      <c r="N84" s="8"/>
      <c r="O84" s="8"/>
      <c r="P84" s="8"/>
    </row>
    <row r="85" spans="10:16">
      <c r="J85" s="8"/>
      <c r="K85" s="8"/>
      <c r="L85" s="8"/>
      <c r="M85" s="8"/>
      <c r="N85" s="8"/>
      <c r="O85" s="8"/>
      <c r="P85" s="8"/>
    </row>
    <row r="86" spans="10:16">
      <c r="J86" s="8"/>
      <c r="K86" s="8"/>
      <c r="L86" s="8"/>
      <c r="M86" s="8"/>
      <c r="N86" s="8"/>
      <c r="O86" s="8"/>
      <c r="P86" s="8"/>
    </row>
    <row r="87" spans="10:16">
      <c r="J87" s="8"/>
      <c r="K87" s="8"/>
      <c r="L87" s="8"/>
      <c r="M87" s="8"/>
      <c r="N87" s="8"/>
      <c r="O87" s="8"/>
      <c r="P87" s="8"/>
    </row>
    <row r="88" spans="10:16">
      <c r="J88" s="8"/>
      <c r="K88" s="8"/>
      <c r="L88" s="8"/>
      <c r="M88" s="8"/>
      <c r="N88" s="8"/>
      <c r="O88" s="8"/>
      <c r="P88" s="8"/>
    </row>
    <row r="89" spans="10:16">
      <c r="J89" s="8"/>
      <c r="K89" s="8"/>
      <c r="L89" s="8"/>
      <c r="M89" s="8"/>
      <c r="N89" s="8"/>
      <c r="O89" s="8"/>
      <c r="P89" s="8"/>
    </row>
    <row r="90" spans="10:16">
      <c r="J90" s="8"/>
      <c r="K90" s="8"/>
      <c r="L90" s="8"/>
      <c r="M90" s="8"/>
      <c r="N90" s="8"/>
      <c r="O90" s="8"/>
      <c r="P90" s="8"/>
    </row>
    <row r="91" spans="10:16">
      <c r="J91" s="8"/>
      <c r="K91" s="8"/>
      <c r="L91" s="8"/>
      <c r="M91" s="8"/>
      <c r="N91" s="8"/>
      <c r="O91" s="8"/>
      <c r="P91" s="8"/>
    </row>
    <row r="92" spans="10:16">
      <c r="J92" s="8"/>
      <c r="K92" s="8"/>
      <c r="L92" s="8"/>
      <c r="M92" s="8"/>
      <c r="N92" s="8"/>
      <c r="O92" s="8"/>
      <c r="P92" s="8"/>
    </row>
    <row r="93" spans="10:16">
      <c r="J93" s="8"/>
      <c r="K93" s="8"/>
      <c r="L93" s="8"/>
      <c r="M93" s="8"/>
      <c r="N93" s="8"/>
      <c r="O93" s="8"/>
      <c r="P93" s="8"/>
    </row>
    <row r="94" spans="10:16">
      <c r="J94" s="8"/>
      <c r="K94" s="8"/>
      <c r="L94" s="8"/>
      <c r="M94" s="8"/>
      <c r="N94" s="8"/>
      <c r="O94" s="8"/>
      <c r="P94" s="8"/>
    </row>
    <row r="95" spans="10:16">
      <c r="J95" s="8"/>
      <c r="K95" s="8"/>
      <c r="L95" s="8"/>
      <c r="M95" s="8"/>
      <c r="N95" s="8"/>
      <c r="O95" s="8"/>
      <c r="P95" s="8"/>
    </row>
    <row r="96" spans="10:16">
      <c r="K96" s="8"/>
      <c r="L96" s="8"/>
    </row>
  </sheetData>
  <mergeCells count="9">
    <mergeCell ref="Q36:T36"/>
    <mergeCell ref="A1:P1"/>
    <mergeCell ref="A4:H4"/>
    <mergeCell ref="O19:P19"/>
    <mergeCell ref="O20:P20"/>
    <mergeCell ref="O21:P21"/>
    <mergeCell ref="O22:P22"/>
    <mergeCell ref="A31:H31"/>
    <mergeCell ref="A32:B32"/>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BL267"/>
  <sheetViews>
    <sheetView workbookViewId="0">
      <selection activeCell="BA1" sqref="BA1:BL1048576"/>
    </sheetView>
  </sheetViews>
  <sheetFormatPr defaultRowHeight="12.75"/>
  <cols>
    <col min="1" max="1" width="23.28515625" bestFit="1" customWidth="1"/>
    <col min="25" max="52" width="10.5703125" style="216" bestFit="1" customWidth="1"/>
    <col min="53" max="64" width="9.140625" style="216"/>
  </cols>
  <sheetData>
    <row r="1" spans="1:64">
      <c r="A1" t="s">
        <v>375</v>
      </c>
      <c r="B1">
        <v>1991</v>
      </c>
      <c r="C1">
        <v>1992</v>
      </c>
      <c r="D1">
        <v>1993</v>
      </c>
      <c r="E1">
        <v>1994</v>
      </c>
      <c r="F1">
        <v>1995</v>
      </c>
      <c r="G1">
        <v>1996</v>
      </c>
      <c r="H1">
        <v>1997</v>
      </c>
      <c r="I1">
        <v>1998</v>
      </c>
      <c r="J1">
        <v>1999</v>
      </c>
      <c r="K1">
        <v>2000</v>
      </c>
      <c r="L1">
        <v>2001</v>
      </c>
      <c r="M1">
        <v>2002</v>
      </c>
      <c r="N1">
        <v>2003</v>
      </c>
      <c r="O1">
        <v>2004</v>
      </c>
      <c r="P1">
        <v>2005</v>
      </c>
      <c r="Q1">
        <v>2006</v>
      </c>
      <c r="R1">
        <v>2007</v>
      </c>
      <c r="S1">
        <v>2008</v>
      </c>
      <c r="T1">
        <v>2009</v>
      </c>
      <c r="U1">
        <v>2010</v>
      </c>
      <c r="V1">
        <v>2011</v>
      </c>
      <c r="W1">
        <v>2012</v>
      </c>
      <c r="X1">
        <v>2013</v>
      </c>
      <c r="Y1" s="216">
        <v>2014</v>
      </c>
      <c r="Z1" s="216">
        <v>2015</v>
      </c>
      <c r="AA1" s="216">
        <v>2016</v>
      </c>
      <c r="AB1" s="216">
        <v>2017</v>
      </c>
      <c r="AC1" s="216">
        <v>2018</v>
      </c>
      <c r="AD1" s="216">
        <v>2019</v>
      </c>
      <c r="AE1" s="216">
        <v>2020</v>
      </c>
      <c r="AF1" s="216">
        <v>2021</v>
      </c>
      <c r="AG1" s="216">
        <v>2022</v>
      </c>
      <c r="AH1" s="216">
        <v>2023</v>
      </c>
      <c r="AI1" s="216">
        <v>2024</v>
      </c>
      <c r="AJ1" s="216">
        <v>2025</v>
      </c>
      <c r="AK1" s="216">
        <v>2026</v>
      </c>
      <c r="AL1" s="216">
        <v>2027</v>
      </c>
      <c r="AM1" s="216">
        <v>2028</v>
      </c>
      <c r="AN1" s="216">
        <v>2029</v>
      </c>
      <c r="AO1" s="216">
        <v>2030</v>
      </c>
      <c r="AP1" s="216">
        <v>2031</v>
      </c>
      <c r="AQ1" s="216">
        <v>2032</v>
      </c>
      <c r="AR1" s="216">
        <v>2033</v>
      </c>
      <c r="AS1" s="216">
        <v>2034</v>
      </c>
      <c r="AT1" s="216">
        <v>2035</v>
      </c>
      <c r="AU1" s="216">
        <v>2036</v>
      </c>
      <c r="AV1" s="216">
        <v>2037</v>
      </c>
      <c r="AW1" s="216">
        <v>2038</v>
      </c>
      <c r="AX1" s="216">
        <v>2039</v>
      </c>
      <c r="AY1" s="216">
        <v>2040</v>
      </c>
      <c r="AZ1" s="216">
        <v>2041</v>
      </c>
      <c r="BA1" s="216">
        <v>2042</v>
      </c>
      <c r="BB1" s="216">
        <v>2043</v>
      </c>
      <c r="BC1" s="216">
        <v>2044</v>
      </c>
      <c r="BD1" s="216">
        <v>2045</v>
      </c>
      <c r="BE1" s="216">
        <v>2046</v>
      </c>
      <c r="BF1" s="216">
        <v>2047</v>
      </c>
      <c r="BG1" s="216">
        <v>2048</v>
      </c>
      <c r="BH1" s="216">
        <v>2049</v>
      </c>
      <c r="BI1" s="216">
        <v>2050</v>
      </c>
      <c r="BJ1" s="216">
        <v>2051</v>
      </c>
      <c r="BK1" s="216">
        <v>2052</v>
      </c>
      <c r="BL1" s="216">
        <v>2053</v>
      </c>
    </row>
    <row r="2" spans="1:64">
      <c r="A2" t="s">
        <v>969</v>
      </c>
      <c r="B2">
        <v>4665</v>
      </c>
      <c r="C2">
        <v>4583</v>
      </c>
      <c r="D2">
        <v>4017</v>
      </c>
      <c r="E2">
        <v>627</v>
      </c>
      <c r="F2">
        <v>601</v>
      </c>
      <c r="G2">
        <v>546</v>
      </c>
      <c r="H2">
        <v>0</v>
      </c>
      <c r="I2">
        <v>7</v>
      </c>
      <c r="J2">
        <v>106</v>
      </c>
      <c r="K2">
        <v>316</v>
      </c>
      <c r="L2">
        <v>143</v>
      </c>
      <c r="M2">
        <v>148</v>
      </c>
      <c r="N2">
        <v>62</v>
      </c>
      <c r="O2">
        <v>56</v>
      </c>
      <c r="P2">
        <v>126</v>
      </c>
      <c r="Q2">
        <v>105</v>
      </c>
      <c r="R2">
        <v>95</v>
      </c>
      <c r="S2">
        <v>119</v>
      </c>
      <c r="T2">
        <v>105</v>
      </c>
      <c r="U2">
        <v>326</v>
      </c>
      <c r="V2">
        <v>331</v>
      </c>
      <c r="W2">
        <v>321</v>
      </c>
      <c r="X2">
        <v>282</v>
      </c>
      <c r="Y2" s="216">
        <v>247</v>
      </c>
      <c r="Z2" s="216">
        <v>241.72038864248904</v>
      </c>
      <c r="AA2" s="216">
        <v>225.03561980551561</v>
      </c>
      <c r="AB2" s="216">
        <v>209.502518449745</v>
      </c>
      <c r="AC2" s="216">
        <v>195.0415906367102</v>
      </c>
      <c r="AD2" s="216">
        <v>181.57882950329915</v>
      </c>
      <c r="AE2" s="216">
        <v>169.0453365159467</v>
      </c>
      <c r="AF2" s="216">
        <v>157.37696886778554</v>
      </c>
      <c r="AG2" s="216">
        <v>146.5140112142374</v>
      </c>
      <c r="AH2" s="216">
        <v>136.40087006707981</v>
      </c>
      <c r="AI2" s="216">
        <v>126.98578928298728</v>
      </c>
      <c r="AJ2" s="216">
        <v>118.22058519049797</v>
      </c>
      <c r="AK2" s="216">
        <v>110.06039999986208</v>
      </c>
      <c r="AL2" s="216">
        <v>102.46347223379554</v>
      </c>
      <c r="AM2" s="216">
        <v>95.390923004268046</v>
      </c>
      <c r="AN2" s="216">
        <v>88.806557041553461</v>
      </c>
      <c r="AO2" s="216">
        <v>82.676677457265242</v>
      </c>
      <c r="AP2" s="216">
        <v>76.969913293387819</v>
      </c>
      <c r="AQ2" s="216">
        <v>71.657058974749972</v>
      </c>
      <c r="AR2" s="216">
        <v>66.710924843303715</v>
      </c>
      <c r="AS2" s="216">
        <v>62.106198009286132</v>
      </c>
      <c r="AT2" s="216">
        <v>57.819312807141067</v>
      </c>
      <c r="AU2" s="216">
        <v>53.828330193230819</v>
      </c>
      <c r="AV2" s="216">
        <v>50.112825468130161</v>
      </c>
      <c r="AW2" s="216">
        <v>46.653783748898149</v>
      </c>
      <c r="AX2" s="216">
        <v>43.433502656384292</v>
      </c>
      <c r="AY2" s="216">
        <v>40.435501719551183</v>
      </c>
      <c r="AZ2" s="216">
        <v>37.644438033171021</v>
      </c>
      <c r="BA2" s="216">
        <v>35.046027737255969</v>
      </c>
      <c r="BB2" s="216">
        <v>32.626972916377326</v>
      </c>
      <c r="BC2" s="216">
        <v>30.37489354476466</v>
      </c>
      <c r="BD2" s="216">
        <v>28.278264128900013</v>
      </c>
      <c r="BE2" s="216">
        <v>26.326354723362037</v>
      </c>
      <c r="BF2" s="216">
        <v>24.509176018055868</v>
      </c>
      <c r="BG2" s="216">
        <v>22.817428215801701</v>
      </c>
      <c r="BH2" s="216">
        <v>21.24245343865141</v>
      </c>
      <c r="BI2" s="216">
        <v>19.776191419363194</v>
      </c>
      <c r="BJ2" s="216">
        <v>18.411138251275528</v>
      </c>
      <c r="BK2" s="216">
        <v>17.140307985474369</v>
      </c>
      <c r="BL2" s="216">
        <v>15.957196878718936</v>
      </c>
    </row>
    <row r="3" spans="1:64">
      <c r="A3" t="s">
        <v>970</v>
      </c>
      <c r="B3">
        <v>85</v>
      </c>
      <c r="C3">
        <v>89</v>
      </c>
      <c r="D3">
        <v>85</v>
      </c>
      <c r="E3">
        <v>84</v>
      </c>
      <c r="F3">
        <v>81</v>
      </c>
      <c r="G3">
        <v>84</v>
      </c>
      <c r="H3">
        <v>100</v>
      </c>
      <c r="I3">
        <v>110</v>
      </c>
      <c r="J3">
        <v>101</v>
      </c>
      <c r="K3">
        <v>80</v>
      </c>
      <c r="L3">
        <v>59</v>
      </c>
      <c r="M3">
        <v>52</v>
      </c>
      <c r="N3">
        <v>55</v>
      </c>
      <c r="O3">
        <v>63</v>
      </c>
      <c r="P3">
        <v>48</v>
      </c>
      <c r="Q3">
        <v>48</v>
      </c>
      <c r="R3">
        <v>43</v>
      </c>
      <c r="S3">
        <v>58</v>
      </c>
      <c r="T3">
        <v>64</v>
      </c>
      <c r="U3">
        <v>71</v>
      </c>
      <c r="V3">
        <v>81</v>
      </c>
      <c r="W3">
        <v>87</v>
      </c>
      <c r="X3">
        <v>85</v>
      </c>
      <c r="Y3" s="216">
        <v>81</v>
      </c>
      <c r="Z3" s="216">
        <v>61.659505345879218</v>
      </c>
      <c r="AA3" s="216">
        <v>60.867973202401529</v>
      </c>
      <c r="AB3" s="216">
        <v>60.086602073525597</v>
      </c>
      <c r="AC3" s="216">
        <v>59.315261520811809</v>
      </c>
      <c r="AD3" s="216">
        <v>58.553822780277926</v>
      </c>
      <c r="AE3" s="216">
        <v>57.802158740903913</v>
      </c>
      <c r="AF3" s="216">
        <v>57.060143923412618</v>
      </c>
      <c r="AG3" s="216">
        <v>56.327654459322822</v>
      </c>
      <c r="AH3" s="216">
        <v>55.604568070271227</v>
      </c>
      <c r="AI3" s="216">
        <v>54.890764047599895</v>
      </c>
      <c r="AJ3" s="216">
        <v>54.186123232205645</v>
      </c>
      <c r="AK3" s="216">
        <v>53.490527994648318</v>
      </c>
      <c r="AL3" s="216">
        <v>52.803862215514108</v>
      </c>
      <c r="AM3" s="216">
        <v>52.126011266031249</v>
      </c>
      <c r="AN3" s="216">
        <v>51.456861988934399</v>
      </c>
      <c r="AO3" s="216">
        <v>50.796302679574652</v>
      </c>
      <c r="AP3" s="216">
        <v>50.144223067272137</v>
      </c>
      <c r="AQ3" s="216">
        <v>49.500514296907916</v>
      </c>
      <c r="AR3" s="216">
        <v>48.865068910752235</v>
      </c>
      <c r="AS3" s="216">
        <v>48.237780830526049</v>
      </c>
      <c r="AT3" s="216">
        <v>47.618545339692744</v>
      </c>
      <c r="AU3" s="216">
        <v>47.007259065977344</v>
      </c>
      <c r="AV3" s="216">
        <v>46.403819964109957</v>
      </c>
      <c r="AW3" s="216">
        <v>45.808127298790843</v>
      </c>
      <c r="AX3" s="216">
        <v>45.220081627874102</v>
      </c>
      <c r="AY3" s="216">
        <v>44.639584785767347</v>
      </c>
      <c r="AZ3" s="216">
        <v>44.066539867044284</v>
      </c>
      <c r="BA3" s="216">
        <v>43.500851210267903</v>
      </c>
      <c r="BB3" s="216">
        <v>42.942424382021059</v>
      </c>
      <c r="BC3" s="216">
        <v>42.391166161142358</v>
      </c>
      <c r="BD3" s="216">
        <v>41.846984523164117</v>
      </c>
      <c r="BE3" s="216">
        <v>41.309788624950315</v>
      </c>
      <c r="BF3" s="216">
        <v>40.779488789531626</v>
      </c>
      <c r="BG3" s="216">
        <v>40.255996491135164</v>
      </c>
      <c r="BH3" s="216">
        <v>39.739224340406444</v>
      </c>
      <c r="BI3" s="216">
        <v>39.229086069820958</v>
      </c>
      <c r="BJ3" s="216">
        <v>38.725496519283126</v>
      </c>
      <c r="BK3" s="216">
        <v>38.228371621910021</v>
      </c>
      <c r="BL3" s="216">
        <v>37.737628389997688</v>
      </c>
    </row>
    <row r="4" spans="1:64">
      <c r="A4" t="s">
        <v>49</v>
      </c>
      <c r="B4">
        <v>487</v>
      </c>
      <c r="C4">
        <v>511</v>
      </c>
      <c r="D4">
        <v>525</v>
      </c>
      <c r="E4">
        <v>527</v>
      </c>
      <c r="F4">
        <v>547</v>
      </c>
      <c r="G4">
        <v>549</v>
      </c>
      <c r="H4">
        <v>554</v>
      </c>
      <c r="I4">
        <v>567</v>
      </c>
      <c r="J4">
        <v>560</v>
      </c>
      <c r="K4">
        <v>585</v>
      </c>
      <c r="L4">
        <v>594</v>
      </c>
      <c r="M4">
        <v>619</v>
      </c>
      <c r="N4">
        <v>625</v>
      </c>
      <c r="O4">
        <v>609</v>
      </c>
      <c r="P4">
        <v>632</v>
      </c>
      <c r="Q4">
        <v>619</v>
      </c>
      <c r="R4">
        <v>609</v>
      </c>
      <c r="S4">
        <v>636</v>
      </c>
      <c r="T4">
        <v>624</v>
      </c>
      <c r="U4">
        <v>627</v>
      </c>
      <c r="V4">
        <v>656</v>
      </c>
      <c r="W4">
        <v>662</v>
      </c>
      <c r="X4">
        <v>674</v>
      </c>
      <c r="Y4" s="216">
        <v>671</v>
      </c>
      <c r="Z4" s="216">
        <v>672.36943376743716</v>
      </c>
      <c r="AA4" s="216">
        <v>678.00393960703536</v>
      </c>
      <c r="AB4" s="216">
        <v>683.68566302444435</v>
      </c>
      <c r="AC4" s="216">
        <v>689.41499970647635</v>
      </c>
      <c r="AD4" s="216">
        <v>695.19234865582837</v>
      </c>
      <c r="AE4" s="216">
        <v>701.01811221887021</v>
      </c>
      <c r="AF4" s="216">
        <v>706.89269611366331</v>
      </c>
      <c r="AG4" s="216">
        <v>712.81650945821741</v>
      </c>
      <c r="AH4" s="216">
        <v>718.78996479898103</v>
      </c>
      <c r="AI4" s="216">
        <v>724.81347813957314</v>
      </c>
      <c r="AJ4" s="216">
        <v>730.88746896975351</v>
      </c>
      <c r="AK4" s="216">
        <v>737.01236029463735</v>
      </c>
      <c r="AL4" s="216">
        <v>743.18857866415453</v>
      </c>
      <c r="AM4" s="216">
        <v>749.41655420275447</v>
      </c>
      <c r="AN4" s="216">
        <v>755.69672063936196</v>
      </c>
      <c r="AO4" s="216">
        <v>762.0295153375821</v>
      </c>
      <c r="AP4" s="216">
        <v>768.41537932615972</v>
      </c>
      <c r="AQ4" s="216">
        <v>774.85475732969326</v>
      </c>
      <c r="AR4" s="216">
        <v>781.34809779960642</v>
      </c>
      <c r="AS4" s="216">
        <v>787.89585294537892</v>
      </c>
      <c r="AT4" s="216">
        <v>794.49847876603985</v>
      </c>
      <c r="AU4" s="216">
        <v>801.15643508192375</v>
      </c>
      <c r="AV4" s="216">
        <v>807.87018556669398</v>
      </c>
      <c r="AW4" s="216">
        <v>814.64019777963358</v>
      </c>
      <c r="AX4" s="216">
        <v>821.46694319820733</v>
      </c>
      <c r="AY4" s="216">
        <v>828.35089725089585</v>
      </c>
      <c r="AZ4" s="216">
        <v>835.29253935030601</v>
      </c>
      <c r="BA4" s="216">
        <v>842.29235292655801</v>
      </c>
      <c r="BB4" s="216">
        <v>849.35082546095214</v>
      </c>
      <c r="BC4" s="216">
        <v>856.46844851991864</v>
      </c>
      <c r="BD4" s="216">
        <v>863.64571778925063</v>
      </c>
      <c r="BE4" s="216">
        <v>870.8831331086252</v>
      </c>
      <c r="BF4" s="216">
        <v>878.18119850641278</v>
      </c>
      <c r="BG4" s="216">
        <v>885.54042223477938</v>
      </c>
      <c r="BH4" s="216">
        <v>892.96131680508188</v>
      </c>
      <c r="BI4" s="216">
        <v>900.44439902356055</v>
      </c>
      <c r="BJ4" s="216">
        <v>907.99019002732985</v>
      </c>
      <c r="BK4" s="216">
        <v>915.59921532067256</v>
      </c>
      <c r="BL4" s="216">
        <v>923.27200481163595</v>
      </c>
    </row>
    <row r="5" spans="1:64">
      <c r="A5" t="s">
        <v>51</v>
      </c>
      <c r="B5">
        <v>290</v>
      </c>
      <c r="C5">
        <v>313</v>
      </c>
      <c r="D5">
        <v>299</v>
      </c>
      <c r="E5">
        <v>307</v>
      </c>
      <c r="F5">
        <v>317</v>
      </c>
      <c r="G5">
        <v>327</v>
      </c>
      <c r="H5">
        <v>327</v>
      </c>
      <c r="I5">
        <v>319</v>
      </c>
      <c r="J5">
        <v>338</v>
      </c>
      <c r="K5">
        <v>309</v>
      </c>
      <c r="L5">
        <v>300</v>
      </c>
      <c r="M5">
        <v>343</v>
      </c>
      <c r="N5">
        <v>343</v>
      </c>
      <c r="O5">
        <v>365</v>
      </c>
      <c r="P5">
        <v>374</v>
      </c>
      <c r="Q5">
        <v>359</v>
      </c>
      <c r="R5">
        <v>344</v>
      </c>
      <c r="S5">
        <v>334</v>
      </c>
      <c r="T5">
        <v>339</v>
      </c>
      <c r="U5">
        <v>346</v>
      </c>
      <c r="V5">
        <v>366</v>
      </c>
      <c r="W5">
        <v>360</v>
      </c>
      <c r="X5">
        <v>355</v>
      </c>
      <c r="Y5" s="216">
        <v>389</v>
      </c>
      <c r="Z5" s="216">
        <v>374.63213418040323</v>
      </c>
      <c r="AA5" s="216">
        <v>377.99827493684461</v>
      </c>
      <c r="AB5" s="216">
        <v>381.39466110620816</v>
      </c>
      <c r="AC5" s="216">
        <v>384.82156444926346</v>
      </c>
      <c r="AD5" s="216">
        <v>388.27925916860227</v>
      </c>
      <c r="AE5" s="216">
        <v>391.76802193057858</v>
      </c>
      <c r="AF5" s="216">
        <v>395.28813188744607</v>
      </c>
      <c r="AG5" s="216">
        <v>398.8398706996943</v>
      </c>
      <c r="AH5" s="216">
        <v>402.42352255858572</v>
      </c>
      <c r="AI5" s="216">
        <v>406.03937420889525</v>
      </c>
      <c r="AJ5" s="216">
        <v>409.68771497185378</v>
      </c>
      <c r="AK5" s="216">
        <v>413.36883676829859</v>
      </c>
      <c r="AL5" s="216">
        <v>417.08303414203078</v>
      </c>
      <c r="AM5" s="216">
        <v>420.83060428338354</v>
      </c>
      <c r="AN5" s="216">
        <v>424.61184705300138</v>
      </c>
      <c r="AO5" s="216">
        <v>428.42706500583375</v>
      </c>
      <c r="AP5" s="216">
        <v>432.2765634153435</v>
      </c>
      <c r="AQ5" s="216">
        <v>436.16065029793361</v>
      </c>
      <c r="AR5" s="216">
        <v>440.07963643759257</v>
      </c>
      <c r="AS5" s="216">
        <v>444.03383541076221</v>
      </c>
      <c r="AT5" s="216">
        <v>448.02356361142802</v>
      </c>
      <c r="AU5" s="216">
        <v>452.04914027643537</v>
      </c>
      <c r="AV5" s="216">
        <v>456.11088751103341</v>
      </c>
      <c r="AW5" s="216">
        <v>460.20913031464784</v>
      </c>
      <c r="AX5" s="216">
        <v>464.34419660688587</v>
      </c>
      <c r="AY5" s="216">
        <v>468.5164172537747</v>
      </c>
      <c r="AZ5" s="216">
        <v>472.72612609423527</v>
      </c>
      <c r="BA5" s="216">
        <v>476.97365996679463</v>
      </c>
      <c r="BB5" s="216">
        <v>481.25935873653782</v>
      </c>
      <c r="BC5" s="216">
        <v>485.58356532230238</v>
      </c>
      <c r="BD5" s="216">
        <v>489.94662572411625</v>
      </c>
      <c r="BE5" s="216">
        <v>494.34888905088337</v>
      </c>
      <c r="BF5" s="216">
        <v>498.79070754831747</v>
      </c>
      <c r="BG5" s="216">
        <v>503.27243662712658</v>
      </c>
      <c r="BH5" s="216">
        <v>507.7944348914516</v>
      </c>
      <c r="BI5" s="216">
        <v>512.35706416755932</v>
      </c>
      <c r="BJ5" s="216">
        <v>516.9606895327945</v>
      </c>
      <c r="BK5" s="216">
        <v>521.60567934479081</v>
      </c>
      <c r="BL5" s="216">
        <v>526.2924052709451</v>
      </c>
    </row>
    <row r="6" spans="1:64">
      <c r="A6" t="s">
        <v>53</v>
      </c>
      <c r="B6">
        <v>420</v>
      </c>
      <c r="C6">
        <v>419</v>
      </c>
      <c r="D6">
        <v>420</v>
      </c>
      <c r="E6">
        <v>420</v>
      </c>
      <c r="F6">
        <v>425</v>
      </c>
      <c r="G6">
        <v>418</v>
      </c>
      <c r="H6">
        <v>421</v>
      </c>
      <c r="I6">
        <v>406</v>
      </c>
      <c r="J6">
        <v>408</v>
      </c>
      <c r="K6">
        <v>713</v>
      </c>
      <c r="L6">
        <v>706</v>
      </c>
      <c r="M6">
        <v>739</v>
      </c>
      <c r="N6">
        <v>786</v>
      </c>
      <c r="O6">
        <v>767</v>
      </c>
      <c r="P6">
        <v>750</v>
      </c>
      <c r="Q6">
        <v>727</v>
      </c>
      <c r="R6">
        <v>804</v>
      </c>
      <c r="S6">
        <v>757</v>
      </c>
      <c r="T6">
        <v>812</v>
      </c>
      <c r="U6">
        <v>1027</v>
      </c>
      <c r="V6">
        <v>1109</v>
      </c>
      <c r="W6">
        <v>1106</v>
      </c>
      <c r="X6">
        <v>1154</v>
      </c>
      <c r="Y6" s="216">
        <v>1052</v>
      </c>
      <c r="Z6" s="216">
        <v>1100</v>
      </c>
      <c r="AA6" s="216">
        <v>1100</v>
      </c>
      <c r="AB6" s="216">
        <v>1100</v>
      </c>
      <c r="AC6" s="216">
        <v>1100</v>
      </c>
      <c r="AD6" s="216">
        <v>1100</v>
      </c>
      <c r="AE6" s="216">
        <v>1100</v>
      </c>
      <c r="AF6" s="216">
        <v>1100</v>
      </c>
      <c r="AG6" s="216">
        <v>1100</v>
      </c>
      <c r="AH6" s="216">
        <v>1100</v>
      </c>
      <c r="AI6" s="216">
        <v>1100</v>
      </c>
      <c r="AJ6" s="216">
        <v>1100</v>
      </c>
      <c r="AK6" s="216">
        <v>1100</v>
      </c>
      <c r="AL6" s="216">
        <v>1100</v>
      </c>
      <c r="AM6" s="216">
        <v>1100</v>
      </c>
      <c r="AN6" s="216">
        <v>1100</v>
      </c>
      <c r="AO6" s="216">
        <v>1100</v>
      </c>
      <c r="AP6" s="216">
        <v>1100</v>
      </c>
      <c r="AQ6" s="216">
        <v>1100</v>
      </c>
      <c r="AR6" s="216">
        <v>1100</v>
      </c>
      <c r="AS6" s="216">
        <v>1100</v>
      </c>
      <c r="AT6" s="216">
        <v>1100</v>
      </c>
      <c r="AU6" s="216">
        <v>1100</v>
      </c>
      <c r="AV6" s="216">
        <v>1100</v>
      </c>
      <c r="AW6" s="216">
        <v>1100</v>
      </c>
      <c r="AX6" s="216">
        <v>1100</v>
      </c>
      <c r="AY6" s="216">
        <v>1100</v>
      </c>
      <c r="AZ6" s="216">
        <v>1100</v>
      </c>
      <c r="BA6" s="216">
        <v>1100</v>
      </c>
      <c r="BB6" s="216">
        <v>1100</v>
      </c>
      <c r="BC6" s="216">
        <v>1100</v>
      </c>
      <c r="BD6" s="216">
        <v>1100</v>
      </c>
      <c r="BE6" s="216">
        <v>1100</v>
      </c>
      <c r="BF6" s="216">
        <v>1100</v>
      </c>
      <c r="BG6" s="216">
        <v>1100</v>
      </c>
      <c r="BH6" s="216">
        <v>1100</v>
      </c>
      <c r="BI6" s="216">
        <v>1100</v>
      </c>
      <c r="BJ6" s="216">
        <v>1100</v>
      </c>
      <c r="BK6" s="216">
        <v>1100</v>
      </c>
      <c r="BL6" s="216">
        <v>1100</v>
      </c>
    </row>
    <row r="7" spans="1:64">
      <c r="A7" t="s">
        <v>70</v>
      </c>
      <c r="B7">
        <v>568</v>
      </c>
      <c r="C7">
        <v>581</v>
      </c>
      <c r="D7">
        <v>593</v>
      </c>
      <c r="E7">
        <v>608</v>
      </c>
      <c r="F7">
        <v>601</v>
      </c>
      <c r="G7">
        <v>633</v>
      </c>
      <c r="H7">
        <v>648</v>
      </c>
      <c r="I7">
        <v>666</v>
      </c>
      <c r="J7">
        <v>658</v>
      </c>
      <c r="K7">
        <v>652</v>
      </c>
      <c r="L7">
        <v>653</v>
      </c>
      <c r="M7">
        <v>660</v>
      </c>
      <c r="N7">
        <v>664</v>
      </c>
      <c r="O7">
        <v>672</v>
      </c>
      <c r="P7">
        <v>681</v>
      </c>
      <c r="Q7">
        <v>669</v>
      </c>
      <c r="R7">
        <v>685</v>
      </c>
      <c r="S7">
        <v>676</v>
      </c>
      <c r="T7">
        <v>695</v>
      </c>
      <c r="U7">
        <v>677</v>
      </c>
      <c r="V7">
        <v>686</v>
      </c>
      <c r="W7">
        <v>705</v>
      </c>
      <c r="X7">
        <v>703</v>
      </c>
      <c r="Y7" s="216">
        <v>730</v>
      </c>
      <c r="Z7" s="216">
        <v>727.90323549938626</v>
      </c>
      <c r="AA7" s="216">
        <v>734.02361136465834</v>
      </c>
      <c r="AB7" s="216">
        <v>740.19544874144106</v>
      </c>
      <c r="AC7" s="216">
        <v>746.41918032982085</v>
      </c>
      <c r="AD7" s="216">
        <v>752.69524246812512</v>
      </c>
      <c r="AE7" s="216">
        <v>759.02407516351298</v>
      </c>
      <c r="AF7" s="216">
        <v>765.40612212282372</v>
      </c>
      <c r="AG7" s="216">
        <v>771.8418307836846</v>
      </c>
      <c r="AH7" s="216">
        <v>778.33165234588034</v>
      </c>
      <c r="AI7" s="216">
        <v>784.87604180298592</v>
      </c>
      <c r="AJ7" s="216">
        <v>791.4754579742654</v>
      </c>
      <c r="AK7" s="216">
        <v>798.13036353683992</v>
      </c>
      <c r="AL7" s="216">
        <v>804.84122505812502</v>
      </c>
      <c r="AM7" s="216">
        <v>811.60851302854098</v>
      </c>
      <c r="AN7" s="216">
        <v>818.43270189449845</v>
      </c>
      <c r="AO7" s="216">
        <v>825.31427009166134</v>
      </c>
      <c r="AP7" s="216">
        <v>832.2537000784896</v>
      </c>
      <c r="AQ7" s="216">
        <v>839.2514783700633</v>
      </c>
      <c r="AR7" s="216">
        <v>846.30809557219186</v>
      </c>
      <c r="AS7" s="216">
        <v>853.42404641581049</v>
      </c>
      <c r="AT7" s="216">
        <v>860.59982979166375</v>
      </c>
      <c r="AU7" s="216">
        <v>867.83594878528322</v>
      </c>
      <c r="AV7" s="216">
        <v>875.13291071225819</v>
      </c>
      <c r="AW7" s="216">
        <v>882.49122715380292</v>
      </c>
      <c r="AX7" s="216">
        <v>889.91141399262233</v>
      </c>
      <c r="AY7" s="216">
        <v>897.39399144908043</v>
      </c>
      <c r="AZ7" s="216">
        <v>904.93948411767269</v>
      </c>
      <c r="BA7" s="216">
        <v>912.54842100380415</v>
      </c>
      <c r="BB7" s="216">
        <v>920.22133556087726</v>
      </c>
      <c r="BC7" s="216">
        <v>927.95876572769237</v>
      </c>
      <c r="BD7" s="216">
        <v>935.76125396616146</v>
      </c>
      <c r="BE7" s="216">
        <v>943.62934729933932</v>
      </c>
      <c r="BF7" s="216">
        <v>951.56359734977514</v>
      </c>
      <c r="BG7" s="216">
        <v>959.56456037818589</v>
      </c>
      <c r="BH7" s="216">
        <v>967.63279732245485</v>
      </c>
      <c r="BI7" s="216">
        <v>975.76887383695907</v>
      </c>
      <c r="BJ7" s="216">
        <v>983.97336033222552</v>
      </c>
      <c r="BK7" s="216">
        <v>992.24683201492314</v>
      </c>
      <c r="BL7" s="216">
        <v>1000.5898689281888</v>
      </c>
    </row>
    <row r="8" spans="1:64">
      <c r="A8" t="s">
        <v>971</v>
      </c>
      <c r="K8">
        <v>35</v>
      </c>
      <c r="L8">
        <v>37</v>
      </c>
      <c r="M8">
        <v>37</v>
      </c>
      <c r="N8">
        <v>38</v>
      </c>
      <c r="O8">
        <v>35</v>
      </c>
      <c r="P8">
        <v>35</v>
      </c>
      <c r="Q8">
        <v>40</v>
      </c>
      <c r="R8">
        <v>34</v>
      </c>
      <c r="S8">
        <v>33</v>
      </c>
      <c r="T8">
        <v>25</v>
      </c>
      <c r="U8">
        <v>37</v>
      </c>
      <c r="V8">
        <v>37</v>
      </c>
      <c r="W8">
        <v>27</v>
      </c>
      <c r="X8">
        <v>26</v>
      </c>
      <c r="Y8" s="216">
        <v>21</v>
      </c>
      <c r="Z8" s="216">
        <v>25.904681848816416</v>
      </c>
      <c r="AA8" s="216">
        <v>25.168423511671804</v>
      </c>
      <c r="AB8" s="216">
        <v>24.453090980224346</v>
      </c>
      <c r="AC8" s="216">
        <v>23.758089504884143</v>
      </c>
      <c r="AD8" s="216">
        <v>23.082841239930133</v>
      </c>
      <c r="AE8" s="216">
        <v>22.426784763071279</v>
      </c>
      <c r="AF8" s="216">
        <v>21.789374608662708</v>
      </c>
      <c r="AG8" s="216">
        <v>21.170080814188715</v>
      </c>
      <c r="AH8" s="216">
        <v>20.568388479635534</v>
      </c>
      <c r="AI8" s="216">
        <v>19.98379733938755</v>
      </c>
      <c r="AJ8" s="216">
        <v>19.415821346290972</v>
      </c>
      <c r="AK8" s="216">
        <v>18.863988267539217</v>
      </c>
      <c r="AL8" s="216">
        <v>18.32783929204394</v>
      </c>
      <c r="AM8" s="216">
        <v>17.806928648965322</v>
      </c>
      <c r="AN8" s="216">
        <v>17.30082323708438</v>
      </c>
      <c r="AO8" s="216">
        <v>16.809102264709239</v>
      </c>
      <c r="AP8" s="216">
        <v>16.331356899815905</v>
      </c>
      <c r="AQ8" s="216">
        <v>15.867189930132657</v>
      </c>
      <c r="AR8" s="216">
        <v>15.416215432885513</v>
      </c>
      <c r="AS8" s="216">
        <v>14.978058453930068</v>
      </c>
      <c r="AT8" s="216">
        <v>14.552354696003032</v>
      </c>
      <c r="AU8" s="216">
        <v>14.138750215834236</v>
      </c>
      <c r="AV8" s="216">
        <v>13.736901129867222</v>
      </c>
      <c r="AW8" s="216">
        <v>13.346473328343841</v>
      </c>
      <c r="AX8" s="216">
        <v>12.967142197515058</v>
      </c>
      <c r="AY8" s="216">
        <v>12.59859234974704</v>
      </c>
      <c r="AZ8" s="216">
        <v>12.240517361298133</v>
      </c>
      <c r="BA8" s="216">
        <v>11.892619517548667</v>
      </c>
      <c r="BB8" s="216">
        <v>11.554609565471836</v>
      </c>
      <c r="BC8" s="216">
        <v>11.226206473139776</v>
      </c>
      <c r="BD8" s="216">
        <v>10.907137196064919</v>
      </c>
      <c r="BE8" s="216">
        <v>10.597136450182381</v>
      </c>
      <c r="BF8" s="216">
        <v>10.295946491284571</v>
      </c>
      <c r="BG8" s="216">
        <v>10.003316900724689</v>
      </c>
      <c r="BH8" s="216">
        <v>9.7190043772109274</v>
      </c>
      <c r="BI8" s="216">
        <v>9.4427725345182338</v>
      </c>
      <c r="BJ8" s="216">
        <v>9.1743917049495103</v>
      </c>
      <c r="BK8" s="216">
        <v>8.9136387483827768</v>
      </c>
      <c r="BL8" s="216">
        <v>8.6602968667455809</v>
      </c>
    </row>
    <row r="9" spans="1:64">
      <c r="A9" t="s">
        <v>1377</v>
      </c>
      <c r="B9">
        <v>17</v>
      </c>
      <c r="C9">
        <v>20</v>
      </c>
      <c r="D9">
        <v>37</v>
      </c>
      <c r="E9">
        <v>26</v>
      </c>
      <c r="F9">
        <v>25</v>
      </c>
      <c r="G9">
        <v>22</v>
      </c>
      <c r="H9">
        <v>14</v>
      </c>
      <c r="I9">
        <v>15</v>
      </c>
      <c r="J9">
        <v>23</v>
      </c>
      <c r="K9">
        <v>21</v>
      </c>
      <c r="L9">
        <v>11</v>
      </c>
      <c r="M9">
        <v>11</v>
      </c>
      <c r="N9">
        <v>16</v>
      </c>
      <c r="O9">
        <v>21</v>
      </c>
      <c r="P9">
        <v>12</v>
      </c>
      <c r="Q9">
        <v>13</v>
      </c>
      <c r="R9">
        <v>20</v>
      </c>
      <c r="S9">
        <v>13</v>
      </c>
      <c r="T9">
        <v>32</v>
      </c>
      <c r="U9">
        <v>33</v>
      </c>
      <c r="V9">
        <v>25</v>
      </c>
      <c r="W9">
        <v>15</v>
      </c>
      <c r="X9">
        <v>27</v>
      </c>
      <c r="Y9" s="216">
        <v>26</v>
      </c>
      <c r="Z9" s="216">
        <v>19.918553969146892</v>
      </c>
      <c r="AA9" s="216">
        <v>19.958304206042467</v>
      </c>
      <c r="AB9" s="216">
        <v>19.998133770048621</v>
      </c>
      <c r="AC9" s="216">
        <v>20.038042819473606</v>
      </c>
      <c r="AD9" s="216">
        <v>20.078031512941592</v>
      </c>
      <c r="AE9" s="216">
        <v>20.11810000939332</v>
      </c>
      <c r="AF9" s="216">
        <v>20.158248468086708</v>
      </c>
      <c r="AG9" s="216">
        <v>20.198477048597496</v>
      </c>
      <c r="AH9" s="216">
        <v>20.238785910819889</v>
      </c>
      <c r="AI9" s="216">
        <v>20.279175214967172</v>
      </c>
      <c r="AJ9" s="216">
        <v>20.319645121572368</v>
      </c>
      <c r="AK9" s="216">
        <v>20.360195791488852</v>
      </c>
      <c r="AL9" s="216">
        <v>20.400827385891017</v>
      </c>
      <c r="AM9" s="216">
        <v>20.441540066274897</v>
      </c>
      <c r="AN9" s="216">
        <v>20.482333994458813</v>
      </c>
      <c r="AO9" s="216">
        <v>20.52320933258402</v>
      </c>
      <c r="AP9" s="216">
        <v>20.564166243115348</v>
      </c>
      <c r="AQ9" s="216">
        <v>20.605204888841843</v>
      </c>
      <c r="AR9" s="216">
        <v>20.646325432877422</v>
      </c>
      <c r="AS9" s="216">
        <v>20.687528038661519</v>
      </c>
      <c r="AT9" s="216">
        <v>20.728812869959739</v>
      </c>
      <c r="AU9" s="216">
        <v>20.770180090864496</v>
      </c>
      <c r="AV9" s="216">
        <v>20.811629865795673</v>
      </c>
      <c r="AW9" s="216">
        <v>20.853162359501283</v>
      </c>
      <c r="AX9" s="216">
        <v>20.89477773705811</v>
      </c>
      <c r="AY9" s="216">
        <v>20.936476163872378</v>
      </c>
      <c r="AZ9" s="216">
        <v>20.978257805680393</v>
      </c>
      <c r="BA9" s="216">
        <v>21.020122828549219</v>
      </c>
      <c r="BB9" s="216">
        <v>21.062071398877329</v>
      </c>
      <c r="BC9" s="216">
        <v>21.104103683395255</v>
      </c>
      <c r="BD9" s="216">
        <v>21.146219849166286</v>
      </c>
      <c r="BE9" s="216">
        <v>21.188420063587092</v>
      </c>
      <c r="BF9" s="216">
        <v>21.230704494388402</v>
      </c>
      <c r="BG9" s="216">
        <v>21.273073309635691</v>
      </c>
      <c r="BH9" s="216">
        <v>21.315526677729824</v>
      </c>
      <c r="BI9" s="216">
        <v>21.358064767407726</v>
      </c>
      <c r="BJ9" s="216">
        <v>21.400687747743074</v>
      </c>
      <c r="BK9" s="216">
        <v>21.443395788146951</v>
      </c>
      <c r="BL9" s="216">
        <v>21.48618905836851</v>
      </c>
    </row>
    <row r="10" spans="1:64">
      <c r="A10" t="s">
        <v>972</v>
      </c>
      <c r="B10">
        <v>203</v>
      </c>
      <c r="C10">
        <v>192</v>
      </c>
      <c r="D10">
        <v>177</v>
      </c>
      <c r="E10">
        <v>167</v>
      </c>
      <c r="F10">
        <v>179</v>
      </c>
      <c r="G10">
        <v>187</v>
      </c>
      <c r="H10">
        <v>183</v>
      </c>
      <c r="I10">
        <v>202</v>
      </c>
      <c r="J10">
        <v>187</v>
      </c>
      <c r="K10">
        <v>223</v>
      </c>
      <c r="L10">
        <v>219</v>
      </c>
      <c r="M10">
        <v>217</v>
      </c>
      <c r="N10">
        <v>236</v>
      </c>
      <c r="O10">
        <v>229</v>
      </c>
      <c r="P10">
        <v>233</v>
      </c>
      <c r="Q10">
        <v>235</v>
      </c>
      <c r="R10">
        <v>224</v>
      </c>
      <c r="S10">
        <v>241</v>
      </c>
      <c r="T10">
        <v>221</v>
      </c>
      <c r="U10">
        <v>219</v>
      </c>
      <c r="V10">
        <v>232</v>
      </c>
      <c r="W10">
        <v>204</v>
      </c>
      <c r="X10">
        <v>211</v>
      </c>
      <c r="Y10" s="216">
        <v>197</v>
      </c>
      <c r="Z10" s="216">
        <v>211.97054039308196</v>
      </c>
      <c r="AA10" s="216">
        <v>210.70040796668786</v>
      </c>
      <c r="AB10" s="216">
        <v>209.43788620344336</v>
      </c>
      <c r="AC10" s="216">
        <v>208.18292950007728</v>
      </c>
      <c r="AD10" s="216">
        <v>206.93549252657417</v>
      </c>
      <c r="AE10" s="216">
        <v>205.69553022453715</v>
      </c>
      <c r="AF10" s="216">
        <v>204.46299780556032</v>
      </c>
      <c r="AG10" s="216">
        <v>203.23785074961091</v>
      </c>
      <c r="AH10" s="216">
        <v>202.02004480342126</v>
      </c>
      <c r="AI10" s="216">
        <v>200.80953597889035</v>
      </c>
      <c r="AJ10" s="216">
        <v>199.60628055149482</v>
      </c>
      <c r="AK10" s="216">
        <v>198.4102350587097</v>
      </c>
      <c r="AL10" s="216">
        <v>197.22135629843848</v>
      </c>
      <c r="AM10" s="216">
        <v>196.03960132745266</v>
      </c>
      <c r="AN10" s="216">
        <v>194.86492745984057</v>
      </c>
      <c r="AO10" s="216">
        <v>193.69729226546545</v>
      </c>
      <c r="AP10" s="216">
        <v>192.53665356843294</v>
      </c>
      <c r="AQ10" s="216">
        <v>191.38296944556765</v>
      </c>
      <c r="AR10" s="216">
        <v>190.2361982248988</v>
      </c>
      <c r="AS10" s="216">
        <v>189.09629848415506</v>
      </c>
      <c r="AT10" s="216">
        <v>187.96322904926836</v>
      </c>
      <c r="AU10" s="216">
        <v>186.83694899288648</v>
      </c>
      <c r="AV10" s="216">
        <v>185.71741763289495</v>
      </c>
      <c r="AW10" s="216">
        <v>184.60459453094745</v>
      </c>
      <c r="AX10" s="216">
        <v>183.4984394910052</v>
      </c>
      <c r="AY10" s="216">
        <v>182.39891255788496</v>
      </c>
      <c r="AZ10" s="216">
        <v>181.30597401581599</v>
      </c>
      <c r="BA10" s="216">
        <v>180.21958438700523</v>
      </c>
      <c r="BB10" s="216">
        <v>179.13970443021159</v>
      </c>
      <c r="BC10" s="216">
        <v>178.06629513932839</v>
      </c>
      <c r="BD10" s="216">
        <v>176.99931774197444</v>
      </c>
      <c r="BE10" s="216">
        <v>175.93873369809353</v>
      </c>
      <c r="BF10" s="216">
        <v>174.88450469856241</v>
      </c>
      <c r="BG10" s="216">
        <v>173.83659266380704</v>
      </c>
      <c r="BH10" s="216">
        <v>172.79495974242695</v>
      </c>
      <c r="BI10" s="216">
        <v>171.75956830982818</v>
      </c>
      <c r="BJ10" s="216">
        <v>170.73038096686435</v>
      </c>
      <c r="BK10" s="216">
        <v>169.70736053848549</v>
      </c>
      <c r="BL10" s="216">
        <v>168.69047007239541</v>
      </c>
    </row>
    <row r="11" spans="1:64">
      <c r="A11" t="s">
        <v>1360</v>
      </c>
      <c r="K11">
        <v>68</v>
      </c>
      <c r="L11">
        <v>83</v>
      </c>
      <c r="M11">
        <v>86</v>
      </c>
      <c r="N11">
        <v>50</v>
      </c>
      <c r="O11">
        <v>35</v>
      </c>
      <c r="P11">
        <v>35</v>
      </c>
      <c r="Q11">
        <v>33</v>
      </c>
      <c r="R11">
        <v>42</v>
      </c>
      <c r="S11">
        <v>37</v>
      </c>
      <c r="T11">
        <v>42</v>
      </c>
      <c r="U11">
        <v>37</v>
      </c>
      <c r="V11">
        <v>46</v>
      </c>
      <c r="W11">
        <v>37</v>
      </c>
      <c r="X11">
        <v>44</v>
      </c>
      <c r="Y11" s="216">
        <v>21</v>
      </c>
      <c r="Z11" s="216">
        <v>27.56264331286005</v>
      </c>
      <c r="AA11" s="216">
        <v>26.037581820691248</v>
      </c>
      <c r="AB11" s="216">
        <v>24.596903111715477</v>
      </c>
      <c r="AC11" s="216">
        <v>23.235938223968944</v>
      </c>
      <c r="AD11" s="216">
        <v>21.950276532615316</v>
      </c>
      <c r="AE11" s="216">
        <v>20.735751455960958</v>
      </c>
      <c r="AF11" s="216">
        <v>19.58842695236682</v>
      </c>
      <c r="AG11" s="216">
        <v>18.504584764296347</v>
      </c>
      <c r="AH11" s="216">
        <v>17.480712368159544</v>
      </c>
      <c r="AI11" s="216">
        <v>16.513491590901197</v>
      </c>
      <c r="AJ11" s="216">
        <v>15.599787856441646</v>
      </c>
      <c r="AK11" s="216">
        <v>14.736640027120007</v>
      </c>
      <c r="AL11" s="216">
        <v>13.921250807217856</v>
      </c>
      <c r="AM11" s="216">
        <v>13.150977677463056</v>
      </c>
      <c r="AN11" s="216">
        <v>12.42332433113423</v>
      </c>
      <c r="AO11" s="216">
        <v>11.735932584011891</v>
      </c>
      <c r="AP11" s="216">
        <v>11.086574731958025</v>
      </c>
      <c r="AQ11" s="216">
        <v>10.4731463313564</v>
      </c>
      <c r="AR11" s="216">
        <v>9.8936593790165084</v>
      </c>
      <c r="AS11" s="216">
        <v>9.3462358694384964</v>
      </c>
      <c r="AT11" s="216">
        <v>8.8291017085593317</v>
      </c>
      <c r="AU11" s="216">
        <v>8.3405809642560005</v>
      </c>
      <c r="AV11" s="216">
        <v>7.879090434972543</v>
      </c>
      <c r="AW11" s="216">
        <v>7.4431345188690301</v>
      </c>
      <c r="AX11" s="216">
        <v>7.031300366864337</v>
      </c>
      <c r="AY11" s="216">
        <v>6.642253303864611</v>
      </c>
      <c r="AZ11" s="216">
        <v>6.2747325033386101</v>
      </c>
      <c r="BA11" s="216">
        <v>5.927546901221965</v>
      </c>
      <c r="BB11" s="216">
        <v>5.5995713359081529</v>
      </c>
      <c r="BC11" s="216">
        <v>5.2897429018166617</v>
      </c>
      <c r="BD11" s="216">
        <v>4.9970575047208801</v>
      </c>
      <c r="BE11" s="216">
        <v>4.7205666076722901</v>
      </c>
      <c r="BF11" s="216">
        <v>4.4593741569750813</v>
      </c>
      <c r="BG11" s="216">
        <v>4.2126336782488503</v>
      </c>
      <c r="BH11" s="216">
        <v>3.9795455331683223</v>
      </c>
      <c r="BI11" s="216">
        <v>3.7593543279896919</v>
      </c>
      <c r="BJ11" s="216">
        <v>3.5513464654651181</v>
      </c>
      <c r="BK11" s="216">
        <v>3.3548478322116213</v>
      </c>
      <c r="BL11" s="216">
        <v>3.1692216140395493</v>
      </c>
    </row>
    <row r="12" spans="1:64">
      <c r="A12" t="s">
        <v>973</v>
      </c>
      <c r="B12">
        <v>171</v>
      </c>
      <c r="C12">
        <v>172</v>
      </c>
      <c r="D12">
        <v>170</v>
      </c>
      <c r="E12">
        <v>170</v>
      </c>
      <c r="F12">
        <v>146</v>
      </c>
      <c r="G12">
        <v>176</v>
      </c>
      <c r="H12">
        <v>182</v>
      </c>
      <c r="I12">
        <v>175</v>
      </c>
      <c r="J12">
        <v>187</v>
      </c>
      <c r="K12">
        <v>97</v>
      </c>
      <c r="L12">
        <v>100</v>
      </c>
      <c r="M12">
        <v>92</v>
      </c>
      <c r="N12">
        <v>97</v>
      </c>
      <c r="O12">
        <v>94</v>
      </c>
      <c r="P12">
        <v>96</v>
      </c>
      <c r="Q12">
        <v>95</v>
      </c>
      <c r="R12">
        <v>96</v>
      </c>
      <c r="S12">
        <v>100</v>
      </c>
      <c r="T12">
        <v>105</v>
      </c>
      <c r="U12">
        <v>105</v>
      </c>
      <c r="V12">
        <v>105</v>
      </c>
      <c r="W12">
        <v>107</v>
      </c>
      <c r="X12">
        <v>112</v>
      </c>
      <c r="Y12" s="216">
        <v>111</v>
      </c>
      <c r="Z12" s="216">
        <v>86.597023566670202</v>
      </c>
      <c r="AA12" s="216">
        <v>84.201858906260398</v>
      </c>
      <c r="AB12" s="216">
        <v>81.872941485238215</v>
      </c>
      <c r="AC12" s="216">
        <v>79.608438988356582</v>
      </c>
      <c r="AD12" s="216">
        <v>77.406569779901602</v>
      </c>
      <c r="AE12" s="216">
        <v>75.265601501960418</v>
      </c>
      <c r="AF12" s="216">
        <v>73.183849711459303</v>
      </c>
      <c r="AG12" s="216">
        <v>71.159676554899519</v>
      </c>
      <c r="AH12" s="216">
        <v>69.191489479748284</v>
      </c>
      <c r="AI12" s="216">
        <v>67.277739981471129</v>
      </c>
      <c r="AJ12" s="216">
        <v>65.416922385219706</v>
      </c>
      <c r="AK12" s="216">
        <v>63.607572661216551</v>
      </c>
      <c r="AL12" s="216">
        <v>61.848267272904884</v>
      </c>
      <c r="AM12" s="216">
        <v>60.137622056957106</v>
      </c>
      <c r="AN12" s="216">
        <v>58.474291134260781</v>
      </c>
      <c r="AO12" s="216">
        <v>56.856965851025514</v>
      </c>
      <c r="AP12" s="216">
        <v>55.284373749177369</v>
      </c>
      <c r="AQ12" s="216">
        <v>53.755277565230912</v>
      </c>
      <c r="AR12" s="216">
        <v>52.268474256851199</v>
      </c>
      <c r="AS12" s="216">
        <v>50.822794056339859</v>
      </c>
      <c r="AT12" s="216">
        <v>49.417099550300485</v>
      </c>
      <c r="AU12" s="216">
        <v>48.050284784759413</v>
      </c>
      <c r="AV12" s="216">
        <v>46.721274395037675</v>
      </c>
      <c r="AW12" s="216">
        <v>45.429022759689623</v>
      </c>
      <c r="AX12" s="216">
        <v>44.172513177842518</v>
      </c>
      <c r="AY12" s="216">
        <v>42.950757069289885</v>
      </c>
      <c r="AZ12" s="216">
        <v>41.762793196709353</v>
      </c>
      <c r="BA12" s="216">
        <v>40.60768690939279</v>
      </c>
      <c r="BB12" s="216">
        <v>39.484529407894115</v>
      </c>
      <c r="BC12" s="216">
        <v>38.392437029015881</v>
      </c>
      <c r="BD12" s="216">
        <v>37.330550550572291</v>
      </c>
      <c r="BE12" s="216">
        <v>36.298034515381609</v>
      </c>
      <c r="BF12" s="216">
        <v>35.294076573956019</v>
      </c>
      <c r="BG12" s="216">
        <v>34.317886845371945</v>
      </c>
      <c r="BH12" s="216">
        <v>33.368697295817803</v>
      </c>
      <c r="BI12" s="216">
        <v>32.445761134330418</v>
      </c>
      <c r="BJ12" s="216">
        <v>31.548352225244582</v>
      </c>
      <c r="BK12" s="216">
        <v>30.675764516893484</v>
      </c>
      <c r="BL12" s="216">
        <v>29.827311486110617</v>
      </c>
    </row>
    <row r="13" spans="1:64">
      <c r="A13" t="s">
        <v>30</v>
      </c>
      <c r="B13">
        <v>300</v>
      </c>
      <c r="C13">
        <v>309</v>
      </c>
      <c r="D13">
        <v>293</v>
      </c>
      <c r="E13">
        <v>332</v>
      </c>
      <c r="F13">
        <v>311</v>
      </c>
      <c r="G13">
        <v>303</v>
      </c>
      <c r="H13">
        <v>331</v>
      </c>
      <c r="I13">
        <v>313</v>
      </c>
      <c r="J13">
        <v>286</v>
      </c>
      <c r="K13">
        <v>309</v>
      </c>
      <c r="L13">
        <v>283</v>
      </c>
      <c r="M13">
        <v>294</v>
      </c>
      <c r="N13">
        <v>289</v>
      </c>
      <c r="O13">
        <v>274</v>
      </c>
      <c r="P13">
        <v>281</v>
      </c>
      <c r="Q13">
        <v>274</v>
      </c>
      <c r="R13">
        <v>274</v>
      </c>
      <c r="S13">
        <v>255</v>
      </c>
      <c r="T13">
        <v>258</v>
      </c>
      <c r="U13">
        <v>258</v>
      </c>
      <c r="V13">
        <v>271</v>
      </c>
      <c r="W13">
        <v>270</v>
      </c>
      <c r="X13">
        <v>262</v>
      </c>
      <c r="Y13" s="216">
        <v>274</v>
      </c>
      <c r="Z13" s="216">
        <v>256.75256512446418</v>
      </c>
      <c r="AA13" s="216">
        <v>254.4849926245592</v>
      </c>
      <c r="AB13" s="216">
        <v>252.23744674070704</v>
      </c>
      <c r="AC13" s="216">
        <v>250.00975060299484</v>
      </c>
      <c r="AD13" s="216">
        <v>247.80172890357917</v>
      </c>
      <c r="AE13" s="216">
        <v>245.61320788289038</v>
      </c>
      <c r="AF13" s="216">
        <v>243.4440153159585</v>
      </c>
      <c r="AG13" s="216">
        <v>241.29398049886012</v>
      </c>
      <c r="AH13" s="216">
        <v>239.16293423528498</v>
      </c>
      <c r="AI13" s="216">
        <v>237.05070882322102</v>
      </c>
      <c r="AJ13" s="216">
        <v>234.95713804175696</v>
      </c>
      <c r="AK13" s="216">
        <v>232.88205713800207</v>
      </c>
      <c r="AL13" s="216">
        <v>230.82530281412045</v>
      </c>
      <c r="AM13" s="216">
        <v>228.78671321448081</v>
      </c>
      <c r="AN13" s="216">
        <v>226.76612791291893</v>
      </c>
      <c r="AO13" s="216">
        <v>224.76338790011323</v>
      </c>
      <c r="AP13" s="216">
        <v>222.77833557107144</v>
      </c>
      <c r="AQ13" s="216">
        <v>220.81081471272802</v>
      </c>
      <c r="AR13" s="216">
        <v>218.86067049165092</v>
      </c>
      <c r="AS13" s="216">
        <v>216.92774944185715</v>
      </c>
      <c r="AT13" s="216">
        <v>215.01189945273558</v>
      </c>
      <c r="AU13" s="216">
        <v>213.11296975707702</v>
      </c>
      <c r="AV13" s="216">
        <v>211.23081091920926</v>
      </c>
      <c r="AW13" s="216">
        <v>209.36527482323751</v>
      </c>
      <c r="AX13" s="216">
        <v>207.5162146613884</v>
      </c>
      <c r="AY13" s="216">
        <v>205.68348492245693</v>
      </c>
      <c r="AZ13" s="216">
        <v>203.86694138035566</v>
      </c>
      <c r="BA13" s="216">
        <v>202.06644108276475</v>
      </c>
      <c r="BB13" s="216">
        <v>200.28184233988236</v>
      </c>
      <c r="BC13" s="216">
        <v>198.51300471327454</v>
      </c>
      <c r="BD13" s="216">
        <v>196.75978900482346</v>
      </c>
      <c r="BE13" s="216">
        <v>195.02205724577306</v>
      </c>
      <c r="BF13" s="216">
        <v>193.29967268587185</v>
      </c>
      <c r="BG13" s="216">
        <v>191.59249978261133</v>
      </c>
      <c r="BH13" s="216">
        <v>189.90040419055953</v>
      </c>
      <c r="BI13" s="216">
        <v>188.22325275078867</v>
      </c>
      <c r="BJ13" s="216">
        <v>186.56091348039638</v>
      </c>
      <c r="BK13" s="216">
        <v>184.91325556211925</v>
      </c>
      <c r="BL13" s="216">
        <v>183.2801493340381</v>
      </c>
    </row>
    <row r="14" spans="1:64">
      <c r="A14" t="s">
        <v>206</v>
      </c>
      <c r="B14">
        <v>270</v>
      </c>
      <c r="C14">
        <v>271</v>
      </c>
      <c r="D14">
        <v>295</v>
      </c>
      <c r="E14">
        <v>286</v>
      </c>
      <c r="F14">
        <v>278</v>
      </c>
      <c r="G14">
        <v>306</v>
      </c>
      <c r="H14">
        <v>299</v>
      </c>
      <c r="I14">
        <v>309</v>
      </c>
      <c r="J14">
        <v>314</v>
      </c>
      <c r="K14">
        <v>282</v>
      </c>
      <c r="L14">
        <v>302</v>
      </c>
      <c r="M14">
        <v>308</v>
      </c>
      <c r="N14">
        <v>326</v>
      </c>
      <c r="O14">
        <v>311</v>
      </c>
      <c r="P14">
        <v>321</v>
      </c>
      <c r="Q14">
        <v>314</v>
      </c>
      <c r="R14">
        <v>293</v>
      </c>
      <c r="S14">
        <v>303</v>
      </c>
      <c r="T14">
        <v>309</v>
      </c>
      <c r="U14">
        <v>324</v>
      </c>
      <c r="V14">
        <v>324</v>
      </c>
      <c r="W14">
        <v>343</v>
      </c>
      <c r="X14">
        <v>358</v>
      </c>
      <c r="Y14" s="216">
        <v>324</v>
      </c>
      <c r="Z14" s="216">
        <v>337.6967936826349</v>
      </c>
      <c r="AA14" s="216">
        <v>340.33655792123994</v>
      </c>
      <c r="AB14" s="216">
        <v>342.99695710624007</v>
      </c>
      <c r="AC14" s="216">
        <v>345.67815254030256</v>
      </c>
      <c r="AD14" s="216">
        <v>348.38030678699209</v>
      </c>
      <c r="AE14" s="216">
        <v>351.10358368062714</v>
      </c>
      <c r="AF14" s="216">
        <v>353.84814833621351</v>
      </c>
      <c r="AG14" s="216">
        <v>356.61416715945529</v>
      </c>
      <c r="AH14" s="216">
        <v>359.40180785684419</v>
      </c>
      <c r="AI14" s="216">
        <v>362.21123944582797</v>
      </c>
      <c r="AJ14" s="216">
        <v>365.0426322650577</v>
      </c>
      <c r="AK14" s="216">
        <v>367.89615798471601</v>
      </c>
      <c r="AL14" s="216">
        <v>370.77198961692557</v>
      </c>
      <c r="AM14" s="216">
        <v>373.67030152623863</v>
      </c>
      <c r="AN14" s="216">
        <v>376.59126944020932</v>
      </c>
      <c r="AO14" s="216">
        <v>379.53507046004785</v>
      </c>
      <c r="AP14" s="216">
        <v>382.50188307135875</v>
      </c>
      <c r="AQ14" s="216">
        <v>385.49188715496223</v>
      </c>
      <c r="AR14" s="216">
        <v>388.50526399780068</v>
      </c>
      <c r="AS14" s="216">
        <v>391.54219630393044</v>
      </c>
      <c r="AT14" s="216">
        <v>394.60286820559901</v>
      </c>
      <c r="AU14" s="216">
        <v>397.68746527440948</v>
      </c>
      <c r="AV14" s="216">
        <v>400.79617453257163</v>
      </c>
      <c r="AW14" s="216">
        <v>403.92918446424153</v>
      </c>
      <c r="AX14" s="216">
        <v>407.08668502694957</v>
      </c>
      <c r="AY14" s="216">
        <v>410.26886766311748</v>
      </c>
      <c r="AZ14" s="216">
        <v>413.47592531166566</v>
      </c>
      <c r="BA14" s="216">
        <v>416.70805241971169</v>
      </c>
      <c r="BB14" s="216">
        <v>419.96544495435955</v>
      </c>
      <c r="BC14" s="216">
        <v>423.24830041458125</v>
      </c>
      <c r="BD14" s="216">
        <v>426.55681784319148</v>
      </c>
      <c r="BE14" s="216">
        <v>429.89119783891579</v>
      </c>
      <c r="BF14" s="216">
        <v>433.25164256855322</v>
      </c>
      <c r="BG14" s="216">
        <v>436.63835577923362</v>
      </c>
      <c r="BH14" s="216">
        <v>440.05154281077102</v>
      </c>
      <c r="BI14" s="216">
        <v>443.49141060811405</v>
      </c>
      <c r="BJ14" s="216">
        <v>446.95816773389248</v>
      </c>
      <c r="BK14" s="216">
        <v>450.45202438106344</v>
      </c>
      <c r="BL14" s="216">
        <v>453.97319238565484</v>
      </c>
    </row>
    <row r="15" spans="1:64">
      <c r="A15" t="s">
        <v>40</v>
      </c>
      <c r="B15">
        <v>665</v>
      </c>
      <c r="C15">
        <v>636</v>
      </c>
      <c r="D15">
        <v>636</v>
      </c>
      <c r="E15">
        <v>610</v>
      </c>
      <c r="F15">
        <v>601</v>
      </c>
      <c r="G15">
        <v>605</v>
      </c>
      <c r="H15">
        <v>570</v>
      </c>
      <c r="I15">
        <v>586</v>
      </c>
      <c r="J15">
        <v>576</v>
      </c>
      <c r="K15">
        <v>572</v>
      </c>
      <c r="L15">
        <v>532</v>
      </c>
      <c r="M15">
        <v>520</v>
      </c>
      <c r="N15">
        <v>480</v>
      </c>
      <c r="O15">
        <v>464</v>
      </c>
      <c r="P15">
        <v>478</v>
      </c>
      <c r="Q15">
        <v>467</v>
      </c>
      <c r="R15">
        <v>468</v>
      </c>
      <c r="S15">
        <v>431</v>
      </c>
      <c r="T15">
        <v>450</v>
      </c>
      <c r="U15">
        <v>459</v>
      </c>
      <c r="V15">
        <v>474</v>
      </c>
      <c r="W15">
        <v>455</v>
      </c>
      <c r="X15">
        <v>438</v>
      </c>
      <c r="Y15" s="216">
        <v>416</v>
      </c>
      <c r="Z15" s="216">
        <v>406.3631429170527</v>
      </c>
      <c r="AA15" s="216">
        <v>398.46919466925402</v>
      </c>
      <c r="AB15" s="216">
        <v>390.72859305248005</v>
      </c>
      <c r="AC15" s="216">
        <v>383.13835917853578</v>
      </c>
      <c r="AD15" s="216">
        <v>375.69557202665283</v>
      </c>
      <c r="AE15" s="216">
        <v>368.397367319365</v>
      </c>
      <c r="AF15" s="216">
        <v>361.24093642022234</v>
      </c>
      <c r="AG15" s="216">
        <v>354.22352525291672</v>
      </c>
      <c r="AH15" s="216">
        <v>347.34243324140493</v>
      </c>
      <c r="AI15" s="216">
        <v>340.59501227062123</v>
      </c>
      <c r="AJ15" s="216">
        <v>333.97866566737764</v>
      </c>
      <c r="AK15" s="216">
        <v>327.49084720106254</v>
      </c>
      <c r="AL15" s="216">
        <v>321.12906010375031</v>
      </c>
      <c r="AM15" s="216">
        <v>314.89085610934757</v>
      </c>
      <c r="AN15" s="216">
        <v>308.77383451140315</v>
      </c>
      <c r="AO15" s="216">
        <v>302.77564123922224</v>
      </c>
      <c r="AP15" s="216">
        <v>296.89396795192727</v>
      </c>
      <c r="AQ15" s="216">
        <v>291.12655115011728</v>
      </c>
      <c r="AR15" s="216">
        <v>285.47117130478466</v>
      </c>
      <c r="AS15" s="216">
        <v>279.92565200315249</v>
      </c>
      <c r="AT15" s="216">
        <v>274.48785911110565</v>
      </c>
      <c r="AU15" s="216">
        <v>269.15569995189173</v>
      </c>
      <c r="AV15" s="216">
        <v>263.92712250077687</v>
      </c>
      <c r="AW15" s="216">
        <v>258.8001145953458</v>
      </c>
      <c r="AX15" s="216">
        <v>253.77270316114243</v>
      </c>
      <c r="AY15" s="216">
        <v>248.84295345235319</v>
      </c>
      <c r="AZ15" s="216">
        <v>244.00896830724071</v>
      </c>
      <c r="BA15" s="216">
        <v>239.2688874180414</v>
      </c>
      <c r="BB15" s="216">
        <v>234.62088661504558</v>
      </c>
      <c r="BC15" s="216">
        <v>230.06317716458528</v>
      </c>
      <c r="BD15" s="216">
        <v>225.59400508065914</v>
      </c>
      <c r="BE15" s="216">
        <v>221.21165044992966</v>
      </c>
      <c r="BF15" s="216">
        <v>216.91442676983249</v>
      </c>
      <c r="BG15" s="216">
        <v>212.70068029954427</v>
      </c>
      <c r="BH15" s="216">
        <v>208.56878942355775</v>
      </c>
      <c r="BI15" s="216">
        <v>204.51716402762057</v>
      </c>
      <c r="BJ15" s="216">
        <v>200.54424488679652</v>
      </c>
      <c r="BK15" s="216">
        <v>196.64850306541447</v>
      </c>
      <c r="BL15" s="216">
        <v>192.82843932867365</v>
      </c>
    </row>
    <row r="16" spans="1:64">
      <c r="A16" t="s">
        <v>115</v>
      </c>
      <c r="B16">
        <v>513</v>
      </c>
      <c r="C16">
        <v>544</v>
      </c>
      <c r="D16">
        <v>531</v>
      </c>
      <c r="E16">
        <v>534</v>
      </c>
      <c r="F16">
        <v>580</v>
      </c>
      <c r="G16">
        <v>591</v>
      </c>
      <c r="H16">
        <v>584</v>
      </c>
      <c r="I16">
        <v>569</v>
      </c>
      <c r="J16">
        <v>604</v>
      </c>
      <c r="K16">
        <v>572</v>
      </c>
      <c r="L16">
        <v>565</v>
      </c>
      <c r="M16">
        <v>542</v>
      </c>
      <c r="N16">
        <v>544</v>
      </c>
      <c r="O16">
        <v>538</v>
      </c>
      <c r="P16">
        <v>532</v>
      </c>
      <c r="Q16">
        <v>521</v>
      </c>
      <c r="R16">
        <v>512</v>
      </c>
      <c r="S16">
        <v>498</v>
      </c>
      <c r="T16">
        <v>494</v>
      </c>
      <c r="U16">
        <v>501</v>
      </c>
      <c r="V16">
        <v>526</v>
      </c>
      <c r="W16">
        <v>540</v>
      </c>
      <c r="X16">
        <v>545</v>
      </c>
      <c r="Y16" s="216">
        <v>533</v>
      </c>
      <c r="Z16" s="216">
        <v>518.99207548493973</v>
      </c>
      <c r="AA16" s="216">
        <v>517.23751267118541</v>
      </c>
      <c r="AB16" s="216">
        <v>515.48888152924803</v>
      </c>
      <c r="AC16" s="216">
        <v>513.74616200585285</v>
      </c>
      <c r="AD16" s="216">
        <v>512.00933411551898</v>
      </c>
      <c r="AE16" s="216">
        <v>510.2783779403311</v>
      </c>
      <c r="AF16" s="216">
        <v>508.55327362971047</v>
      </c>
      <c r="AG16" s="216">
        <v>506.83400140018756</v>
      </c>
      <c r="AH16" s="216">
        <v>505.12054153517488</v>
      </c>
      <c r="AI16" s="216">
        <v>503.41287438474103</v>
      </c>
      <c r="AJ16" s="216">
        <v>501.71098036538564</v>
      </c>
      <c r="AK16" s="216">
        <v>500.01483995981431</v>
      </c>
      <c r="AL16" s="216">
        <v>498.32443371671496</v>
      </c>
      <c r="AM16" s="216">
        <v>496.63974225053494</v>
      </c>
      <c r="AN16" s="216">
        <v>494.96074624125845</v>
      </c>
      <c r="AO16" s="216">
        <v>493.28742643418519</v>
      </c>
      <c r="AP16" s="216">
        <v>491.61976363970939</v>
      </c>
      <c r="AQ16" s="216">
        <v>489.95773873309986</v>
      </c>
      <c r="AR16" s="216">
        <v>488.3013326542806</v>
      </c>
      <c r="AS16" s="216">
        <v>486.65052640761229</v>
      </c>
      <c r="AT16" s="216">
        <v>485.00530106167434</v>
      </c>
      <c r="AU16" s="216">
        <v>483.36563774904778</v>
      </c>
      <c r="AV16" s="216">
        <v>481.73151766609914</v>
      </c>
      <c r="AW16" s="216">
        <v>480.1029220727645</v>
      </c>
      <c r="AX16" s="216">
        <v>478.47983229233466</v>
      </c>
      <c r="AY16" s="216">
        <v>476.86222971124107</v>
      </c>
      <c r="AZ16" s="216">
        <v>475.25009577884231</v>
      </c>
      <c r="BA16" s="216">
        <v>473.64341200721128</v>
      </c>
      <c r="BB16" s="216">
        <v>472.04215997092336</v>
      </c>
      <c r="BC16" s="216">
        <v>470.44632130684471</v>
      </c>
      <c r="BD16" s="216">
        <v>468.85587771392233</v>
      </c>
      <c r="BE16" s="216">
        <v>467.27081095297353</v>
      </c>
      <c r="BF16" s="216">
        <v>465.69110284647718</v>
      </c>
      <c r="BG16" s="216">
        <v>464.11673527836507</v>
      </c>
      <c r="BH16" s="216">
        <v>462.54769019381416</v>
      </c>
      <c r="BI16" s="216">
        <v>460.98394959903976</v>
      </c>
      <c r="BJ16" s="216">
        <v>459.42549556108872</v>
      </c>
      <c r="BK16" s="216">
        <v>457.87231020763426</v>
      </c>
      <c r="BL16" s="216">
        <v>456.3243757267706</v>
      </c>
    </row>
    <row r="17" spans="1:64">
      <c r="A17" t="s">
        <v>71</v>
      </c>
      <c r="B17">
        <v>81</v>
      </c>
      <c r="C17">
        <v>85</v>
      </c>
      <c r="D17">
        <v>90</v>
      </c>
      <c r="E17">
        <v>98</v>
      </c>
      <c r="F17">
        <v>87</v>
      </c>
      <c r="G17">
        <v>90</v>
      </c>
      <c r="H17">
        <v>84</v>
      </c>
      <c r="I17">
        <v>99</v>
      </c>
      <c r="J17">
        <v>93</v>
      </c>
      <c r="K17">
        <v>104</v>
      </c>
      <c r="L17">
        <v>102</v>
      </c>
      <c r="M17">
        <v>106</v>
      </c>
      <c r="N17">
        <v>104</v>
      </c>
      <c r="O17">
        <v>99</v>
      </c>
      <c r="P17">
        <v>97</v>
      </c>
      <c r="Q17">
        <v>86</v>
      </c>
      <c r="R17">
        <v>99</v>
      </c>
      <c r="S17">
        <v>81</v>
      </c>
      <c r="T17">
        <v>72</v>
      </c>
      <c r="U17">
        <v>85</v>
      </c>
      <c r="V17">
        <v>79</v>
      </c>
      <c r="W17">
        <v>85</v>
      </c>
      <c r="X17">
        <v>80</v>
      </c>
      <c r="Y17" s="216">
        <v>79</v>
      </c>
      <c r="Z17" s="216">
        <v>84.395164396173186</v>
      </c>
      <c r="AA17" s="216">
        <v>83.983277661619354</v>
      </c>
      <c r="AB17" s="216">
        <v>83.573401121409191</v>
      </c>
      <c r="AC17" s="216">
        <v>83.165524964881257</v>
      </c>
      <c r="AD17" s="216">
        <v>82.759639429254605</v>
      </c>
      <c r="AE17" s="216">
        <v>82.355734799395108</v>
      </c>
      <c r="AF17" s="216">
        <v>81.953801407582887</v>
      </c>
      <c r="AG17" s="216">
        <v>81.553829633280927</v>
      </c>
      <c r="AH17" s="216">
        <v>81.155809902904835</v>
      </c>
      <c r="AI17" s="216">
        <v>80.759732689593619</v>
      </c>
      <c r="AJ17" s="216">
        <v>80.365588512981702</v>
      </c>
      <c r="AK17" s="216">
        <v>79.973367938972018</v>
      </c>
      <c r="AL17" s="216">
        <v>79.583061579510158</v>
      </c>
      <c r="AM17" s="216">
        <v>79.194660092359712</v>
      </c>
      <c r="AN17" s="216">
        <v>78.808154180878589</v>
      </c>
      <c r="AO17" s="216">
        <v>78.42353459379656</v>
      </c>
      <c r="AP17" s="216">
        <v>78.040792124993757</v>
      </c>
      <c r="AQ17" s="216">
        <v>77.659917613280456</v>
      </c>
      <c r="AR17" s="216">
        <v>77.280901942177564</v>
      </c>
      <c r="AS17" s="216">
        <v>76.903736039698671</v>
      </c>
      <c r="AT17" s="216">
        <v>76.528410878132689</v>
      </c>
      <c r="AU17" s="216">
        <v>76.154917473827908</v>
      </c>
      <c r="AV17" s="216">
        <v>75.783246886976926</v>
      </c>
      <c r="AW17" s="216">
        <v>75.413390221402622</v>
      </c>
      <c r="AX17" s="216">
        <v>75.045338624345305</v>
      </c>
      <c r="AY17" s="216">
        <v>74.67908328625073</v>
      </c>
      <c r="AZ17" s="216">
        <v>74.314615440559294</v>
      </c>
      <c r="BA17" s="216">
        <v>73.951926363496213</v>
      </c>
      <c r="BB17" s="216">
        <v>73.591007373862638</v>
      </c>
      <c r="BC17" s="216">
        <v>73.231849832827976</v>
      </c>
      <c r="BD17" s="216">
        <v>72.874445143722966</v>
      </c>
      <c r="BE17" s="216">
        <v>72.518784751834076</v>
      </c>
      <c r="BF17" s="216">
        <v>72.164860144198627</v>
      </c>
      <c r="BG17" s="216">
        <v>71.812662849401065</v>
      </c>
      <c r="BH17" s="216">
        <v>71.462184437370198</v>
      </c>
      <c r="BI17" s="216">
        <v>71.113416519177406</v>
      </c>
      <c r="BJ17" s="216">
        <v>70.766350746835855</v>
      </c>
      <c r="BK17" s="216">
        <v>70.420978813100675</v>
      </c>
      <c r="BL17" s="216">
        <v>70.077292451270111</v>
      </c>
    </row>
    <row r="18" spans="1:64">
      <c r="A18" t="s">
        <v>398</v>
      </c>
      <c r="B18">
        <v>106</v>
      </c>
      <c r="C18">
        <v>99</v>
      </c>
      <c r="D18">
        <v>106</v>
      </c>
      <c r="E18">
        <v>122</v>
      </c>
      <c r="F18">
        <v>133</v>
      </c>
      <c r="G18">
        <v>121</v>
      </c>
      <c r="H18">
        <v>123</v>
      </c>
      <c r="I18">
        <v>117</v>
      </c>
      <c r="J18">
        <v>138</v>
      </c>
      <c r="K18">
        <v>152</v>
      </c>
      <c r="L18">
        <v>161</v>
      </c>
      <c r="M18">
        <v>172</v>
      </c>
      <c r="N18">
        <v>167</v>
      </c>
      <c r="O18">
        <v>152</v>
      </c>
      <c r="P18">
        <v>156</v>
      </c>
      <c r="Q18">
        <v>154</v>
      </c>
      <c r="R18">
        <v>165</v>
      </c>
      <c r="S18">
        <v>169</v>
      </c>
      <c r="T18">
        <v>150</v>
      </c>
      <c r="U18">
        <v>152</v>
      </c>
      <c r="V18">
        <v>167</v>
      </c>
      <c r="W18">
        <v>178</v>
      </c>
      <c r="X18">
        <v>175</v>
      </c>
      <c r="Y18" s="216">
        <v>192</v>
      </c>
      <c r="Z18" s="216">
        <v>192.85651183824743</v>
      </c>
      <c r="AA18" s="216">
        <v>197.34299916833882</v>
      </c>
      <c r="AB18" s="216">
        <v>201.93385719543807</v>
      </c>
      <c r="AC18" s="216">
        <v>206.63151393094756</v>
      </c>
      <c r="AD18" s="216">
        <v>211.43845386993354</v>
      </c>
      <c r="AE18" s="216">
        <v>216.357219305125</v>
      </c>
      <c r="AF18" s="216">
        <v>221.39041167148062</v>
      </c>
      <c r="AG18" s="216">
        <v>226.54069292203482</v>
      </c>
      <c r="AH18" s="216">
        <v>231.81078693575046</v>
      </c>
      <c r="AI18" s="216">
        <v>237.20348095812304</v>
      </c>
      <c r="AJ18" s="216">
        <v>242.7216270752983</v>
      </c>
      <c r="AK18" s="216">
        <v>248.36814372248222</v>
      </c>
      <c r="AL18" s="216">
        <v>254.14601722744229</v>
      </c>
      <c r="AM18" s="216">
        <v>260.05830338991535</v>
      </c>
      <c r="AN18" s="216">
        <v>266.10812909775814</v>
      </c>
      <c r="AO18" s="216">
        <v>272.29869398069422</v>
      </c>
      <c r="AP18" s="216">
        <v>278.63327210253357</v>
      </c>
      <c r="AQ18" s="216">
        <v>285.11521369275783</v>
      </c>
      <c r="AR18" s="216">
        <v>291.74794691838889</v>
      </c>
      <c r="AS18" s="216">
        <v>298.53497969707638</v>
      </c>
      <c r="AT18" s="216">
        <v>305.47990155236414</v>
      </c>
      <c r="AU18" s="216">
        <v>312.58638551211624</v>
      </c>
      <c r="AV18" s="216">
        <v>319.85819005110631</v>
      </c>
      <c r="AW18" s="216">
        <v>327.29916107879882</v>
      </c>
      <c r="AX18" s="216">
        <v>334.9132339733722</v>
      </c>
      <c r="AY18" s="216">
        <v>342.70443566306</v>
      </c>
      <c r="AZ18" s="216">
        <v>350.67688675591182</v>
      </c>
      <c r="BA18" s="216">
        <v>358.83480371909872</v>
      </c>
      <c r="BB18" s="216">
        <v>367.18250110891671</v>
      </c>
      <c r="BC18" s="216">
        <v>375.72439385266858</v>
      </c>
      <c r="BD18" s="216">
        <v>384.46499958362813</v>
      </c>
      <c r="BE18" s="216">
        <v>393.4089410303252</v>
      </c>
      <c r="BF18" s="216">
        <v>402.56094846141252</v>
      </c>
      <c r="BG18" s="216">
        <v>411.92586218740831</v>
      </c>
      <c r="BH18" s="216">
        <v>421.50863512063864</v>
      </c>
      <c r="BI18" s="216">
        <v>431.3143353947313</v>
      </c>
      <c r="BJ18" s="216">
        <v>441.34814904504884</v>
      </c>
      <c r="BK18" s="216">
        <v>451.61538275147734</v>
      </c>
      <c r="BL18" s="216">
        <v>462.1214666450212</v>
      </c>
    </row>
    <row r="19" spans="1:64">
      <c r="A19" t="s">
        <v>24</v>
      </c>
      <c r="B19">
        <v>103</v>
      </c>
      <c r="C19">
        <v>100</v>
      </c>
      <c r="D19">
        <v>100</v>
      </c>
      <c r="E19">
        <v>89</v>
      </c>
      <c r="F19">
        <v>102</v>
      </c>
      <c r="G19">
        <v>107</v>
      </c>
      <c r="H19">
        <v>109</v>
      </c>
      <c r="I19">
        <v>115</v>
      </c>
      <c r="J19">
        <v>105</v>
      </c>
      <c r="K19">
        <v>92</v>
      </c>
      <c r="L19">
        <v>90</v>
      </c>
      <c r="M19">
        <v>99</v>
      </c>
      <c r="N19">
        <v>89</v>
      </c>
      <c r="O19">
        <v>86</v>
      </c>
      <c r="P19">
        <v>82</v>
      </c>
      <c r="Q19">
        <v>66</v>
      </c>
      <c r="R19">
        <v>67</v>
      </c>
      <c r="S19">
        <v>66</v>
      </c>
      <c r="T19">
        <v>63</v>
      </c>
      <c r="U19">
        <v>61</v>
      </c>
      <c r="V19">
        <v>56</v>
      </c>
      <c r="W19">
        <v>59</v>
      </c>
      <c r="X19">
        <v>67</v>
      </c>
      <c r="Y19" s="216">
        <v>70</v>
      </c>
      <c r="Z19" s="216">
        <v>58.613124117870974</v>
      </c>
      <c r="AA19" s="216">
        <v>56.998662446253455</v>
      </c>
      <c r="AB19" s="216">
        <v>55.428670106860579</v>
      </c>
      <c r="AC19" s="216">
        <v>53.901922219880539</v>
      </c>
      <c r="AD19" s="216">
        <v>52.417227644046243</v>
      </c>
      <c r="AE19" s="216">
        <v>50.973428047328255</v>
      </c>
      <c r="AF19" s="216">
        <v>49.569397003225056</v>
      </c>
      <c r="AG19" s="216">
        <v>48.204039111945221</v>
      </c>
      <c r="AH19" s="216">
        <v>46.876289145796264</v>
      </c>
      <c r="AI19" s="216">
        <v>45.585111218113106</v>
      </c>
      <c r="AJ19" s="216">
        <v>44.329497975077892</v>
      </c>
      <c r="AK19" s="216">
        <v>43.108469809800674</v>
      </c>
      <c r="AL19" s="216">
        <v>41.921074098047718</v>
      </c>
      <c r="AM19" s="216">
        <v>40.766384455021154</v>
      </c>
      <c r="AN19" s="216">
        <v>39.643500012610254</v>
      </c>
      <c r="AO19" s="216">
        <v>38.551544716550318</v>
      </c>
      <c r="AP19" s="216">
        <v>37.489666642940804</v>
      </c>
      <c r="AQ19" s="216">
        <v>36.457037333589739</v>
      </c>
      <c r="AR19" s="216">
        <v>35.452851149665385</v>
      </c>
      <c r="AS19" s="216">
        <v>34.476324643151379</v>
      </c>
      <c r="AT19" s="216">
        <v>33.526695945614676</v>
      </c>
      <c r="AU19" s="216">
        <v>32.603224173809465</v>
      </c>
      <c r="AV19" s="216">
        <v>31.705188851653343</v>
      </c>
      <c r="AW19" s="216">
        <v>30.831889348124868</v>
      </c>
      <c r="AX19" s="216">
        <v>29.982644330643819</v>
      </c>
      <c r="AY19" s="216">
        <v>29.15679123350775</v>
      </c>
      <c r="AZ19" s="216">
        <v>28.353685740970121</v>
      </c>
      <c r="BA19" s="216">
        <v>27.57270128455675</v>
      </c>
      <c r="BB19" s="216">
        <v>26.813228554228367</v>
      </c>
      <c r="BC19" s="216">
        <v>26.074675023007817</v>
      </c>
      <c r="BD19" s="216">
        <v>25.356464484701196</v>
      </c>
      <c r="BE19" s="216">
        <v>24.658036604352134</v>
      </c>
      <c r="BF19" s="216">
        <v>23.978846481078524</v>
      </c>
      <c r="BG19" s="216">
        <v>23.318364222950628</v>
      </c>
      <c r="BH19" s="216">
        <v>22.676074533578944</v>
      </c>
      <c r="BI19" s="216">
        <v>22.051476310089214</v>
      </c>
      <c r="BJ19" s="216">
        <v>21.444082252170947</v>
      </c>
      <c r="BK19" s="216">
        <v>20.853418481894494</v>
      </c>
      <c r="BL19" s="216">
        <v>20.279024173999986</v>
      </c>
    </row>
    <row r="20" spans="1:64">
      <c r="A20" t="s">
        <v>117</v>
      </c>
      <c r="B20">
        <v>284</v>
      </c>
      <c r="C20">
        <v>263</v>
      </c>
      <c r="D20">
        <v>275</v>
      </c>
      <c r="E20">
        <v>278</v>
      </c>
      <c r="F20">
        <v>280</v>
      </c>
      <c r="G20">
        <v>305</v>
      </c>
      <c r="H20">
        <v>291</v>
      </c>
      <c r="I20">
        <v>288</v>
      </c>
      <c r="J20">
        <v>296</v>
      </c>
      <c r="K20">
        <v>294</v>
      </c>
      <c r="L20">
        <v>298</v>
      </c>
      <c r="M20">
        <v>284</v>
      </c>
      <c r="N20">
        <v>270</v>
      </c>
      <c r="O20">
        <v>273</v>
      </c>
      <c r="P20">
        <v>287</v>
      </c>
      <c r="Q20">
        <v>277</v>
      </c>
      <c r="R20">
        <v>282</v>
      </c>
      <c r="S20">
        <v>280</v>
      </c>
      <c r="T20">
        <v>269</v>
      </c>
      <c r="U20">
        <v>277</v>
      </c>
      <c r="V20">
        <v>275</v>
      </c>
      <c r="W20">
        <v>301</v>
      </c>
      <c r="X20">
        <v>304</v>
      </c>
      <c r="Y20" s="216">
        <v>319</v>
      </c>
      <c r="Z20" s="216">
        <v>291.29302650624197</v>
      </c>
      <c r="AA20" s="216">
        <v>291.79261574569352</v>
      </c>
      <c r="AB20" s="216">
        <v>292.29306181790616</v>
      </c>
      <c r="AC20" s="216">
        <v>292.79436619241187</v>
      </c>
      <c r="AD20" s="216">
        <v>293.29653034126306</v>
      </c>
      <c r="AE20" s="216">
        <v>293.79955573903663</v>
      </c>
      <c r="AF20" s="216">
        <v>294.30344386283878</v>
      </c>
      <c r="AG20" s="216">
        <v>294.80819619230886</v>
      </c>
      <c r="AH20" s="216">
        <v>295.31381420962401</v>
      </c>
      <c r="AI20" s="216">
        <v>295.82029939950337</v>
      </c>
      <c r="AJ20" s="216">
        <v>296.3276532492124</v>
      </c>
      <c r="AK20" s="216">
        <v>296.83587724856744</v>
      </c>
      <c r="AL20" s="216">
        <v>297.3449728899401</v>
      </c>
      <c r="AM20" s="216">
        <v>297.85494166826118</v>
      </c>
      <c r="AN20" s="216">
        <v>298.36578508102565</v>
      </c>
      <c r="AO20" s="216">
        <v>298.87750462829678</v>
      </c>
      <c r="AP20" s="216">
        <v>299.39010181271044</v>
      </c>
      <c r="AQ20" s="216">
        <v>299.90357813947981</v>
      </c>
      <c r="AR20" s="216">
        <v>300.41793511639941</v>
      </c>
      <c r="AS20" s="216">
        <v>300.93317425384987</v>
      </c>
      <c r="AT20" s="216">
        <v>301.44929706480229</v>
      </c>
      <c r="AU20" s="216">
        <v>301.96630506482251</v>
      </c>
      <c r="AV20" s="216">
        <v>302.48419977207573</v>
      </c>
      <c r="AW20" s="216">
        <v>303.00298270733077</v>
      </c>
      <c r="AX20" s="216">
        <v>303.52265539396507</v>
      </c>
      <c r="AY20" s="216">
        <v>304.04321935796833</v>
      </c>
      <c r="AZ20" s="216">
        <v>304.56467612794768</v>
      </c>
      <c r="BA20" s="216">
        <v>305.08702723513193</v>
      </c>
      <c r="BB20" s="216">
        <v>305.61027421337593</v>
      </c>
      <c r="BC20" s="216">
        <v>306.13441859916537</v>
      </c>
      <c r="BD20" s="216">
        <v>306.65946193162097</v>
      </c>
      <c r="BE20" s="216">
        <v>307.18540575250324</v>
      </c>
      <c r="BF20" s="216">
        <v>307.71225160621685</v>
      </c>
      <c r="BG20" s="216">
        <v>308.24000103981547</v>
      </c>
      <c r="BH20" s="216">
        <v>308.76865560300581</v>
      </c>
      <c r="BI20" s="216">
        <v>309.29821684815249</v>
      </c>
      <c r="BJ20" s="216">
        <v>309.82868633028272</v>
      </c>
      <c r="BK20" s="216">
        <v>310.36006560709046</v>
      </c>
      <c r="BL20" s="216">
        <v>310.89235623894143</v>
      </c>
    </row>
    <row r="21" spans="1:64">
      <c r="A21" t="s">
        <v>207</v>
      </c>
      <c r="B21">
        <v>212</v>
      </c>
      <c r="C21">
        <v>217</v>
      </c>
      <c r="D21">
        <v>232</v>
      </c>
      <c r="E21">
        <v>224</v>
      </c>
      <c r="F21">
        <v>230</v>
      </c>
      <c r="G21">
        <v>225</v>
      </c>
      <c r="H21">
        <v>238</v>
      </c>
      <c r="I21">
        <v>259</v>
      </c>
      <c r="J21">
        <v>274</v>
      </c>
      <c r="K21">
        <v>228</v>
      </c>
      <c r="L21">
        <v>236</v>
      </c>
      <c r="M21">
        <v>234</v>
      </c>
      <c r="N21">
        <v>232</v>
      </c>
      <c r="O21">
        <v>224</v>
      </c>
      <c r="P21">
        <v>233</v>
      </c>
      <c r="Q21">
        <v>245</v>
      </c>
      <c r="R21">
        <v>231</v>
      </c>
      <c r="S21">
        <v>229</v>
      </c>
      <c r="T21">
        <v>212</v>
      </c>
      <c r="U21">
        <v>233</v>
      </c>
      <c r="V21">
        <v>243</v>
      </c>
      <c r="W21">
        <v>234</v>
      </c>
      <c r="X21">
        <v>248</v>
      </c>
      <c r="Y21" s="216">
        <v>229</v>
      </c>
      <c r="Z21" s="216">
        <v>237.20315986963072</v>
      </c>
      <c r="AA21" s="216">
        <v>237.5388480941852</v>
      </c>
      <c r="AB21" s="216">
        <v>237.87501138232722</v>
      </c>
      <c r="AC21" s="216">
        <v>238.21165040636336</v>
      </c>
      <c r="AD21" s="216">
        <v>238.54876583955175</v>
      </c>
      <c r="AE21" s="216">
        <v>238.88635835610316</v>
      </c>
      <c r="AF21" s="216">
        <v>239.22442863118258</v>
      </c>
      <c r="AG21" s="216">
        <v>239.56297734091052</v>
      </c>
      <c r="AH21" s="216">
        <v>239.9020051623643</v>
      </c>
      <c r="AI21" s="216">
        <v>240.24151277357936</v>
      </c>
      <c r="AJ21" s="216">
        <v>240.58150085355081</v>
      </c>
      <c r="AK21" s="216">
        <v>240.92197008223462</v>
      </c>
      <c r="AL21" s="216">
        <v>241.26292114054903</v>
      </c>
      <c r="AM21" s="216">
        <v>241.60435471037587</v>
      </c>
      <c r="AN21" s="216">
        <v>241.94627147456197</v>
      </c>
      <c r="AO21" s="216">
        <v>242.28867211692065</v>
      </c>
      <c r="AP21" s="216">
        <v>242.63155732223279</v>
      </c>
      <c r="AQ21" s="216">
        <v>242.97492777624845</v>
      </c>
      <c r="AR21" s="216">
        <v>243.31878416568813</v>
      </c>
      <c r="AS21" s="216">
        <v>243.6631271782442</v>
      </c>
      <c r="AT21" s="216">
        <v>244.00795750258226</v>
      </c>
      <c r="AU21" s="216">
        <v>244.35327582834242</v>
      </c>
      <c r="AV21" s="216">
        <v>244.69908284614084</v>
      </c>
      <c r="AW21" s="216">
        <v>245.04537924757105</v>
      </c>
      <c r="AX21" s="216">
        <v>245.39216572520527</v>
      </c>
      <c r="AY21" s="216">
        <v>245.73944297259581</v>
      </c>
      <c r="AZ21" s="216">
        <v>246.08721168427658</v>
      </c>
      <c r="BA21" s="216">
        <v>246.43547255576433</v>
      </c>
      <c r="BB21" s="216">
        <v>246.7842262835602</v>
      </c>
      <c r="BC21" s="216">
        <v>247.13347356515081</v>
      </c>
      <c r="BD21" s="216">
        <v>247.48321509901007</v>
      </c>
      <c r="BE21" s="216">
        <v>247.83345158460014</v>
      </c>
      <c r="BF21" s="216">
        <v>248.1841837223734</v>
      </c>
      <c r="BG21" s="216">
        <v>248.5354122137731</v>
      </c>
      <c r="BH21" s="216">
        <v>248.88713776123549</v>
      </c>
      <c r="BI21" s="216">
        <v>249.2393610681907</v>
      </c>
      <c r="BJ21" s="216">
        <v>249.59208283906449</v>
      </c>
      <c r="BK21" s="216">
        <v>249.94530377927939</v>
      </c>
      <c r="BL21" s="216">
        <v>250.29902459525633</v>
      </c>
    </row>
    <row r="22" spans="1:64">
      <c r="A22" t="s">
        <v>1486</v>
      </c>
      <c r="K22">
        <v>20</v>
      </c>
      <c r="L22">
        <v>25</v>
      </c>
      <c r="M22">
        <v>25</v>
      </c>
      <c r="N22">
        <v>26</v>
      </c>
      <c r="O22">
        <v>19</v>
      </c>
      <c r="P22">
        <v>19</v>
      </c>
      <c r="Q22">
        <v>19</v>
      </c>
      <c r="R22">
        <v>19</v>
      </c>
      <c r="S22">
        <v>19</v>
      </c>
      <c r="T22">
        <v>19</v>
      </c>
      <c r="U22">
        <v>21</v>
      </c>
      <c r="V22">
        <v>0</v>
      </c>
      <c r="W22">
        <v>0</v>
      </c>
      <c r="X22">
        <v>0</v>
      </c>
      <c r="Y22" s="216">
        <v>0</v>
      </c>
      <c r="Z22" s="216">
        <v>0</v>
      </c>
      <c r="AA22" s="216">
        <v>0</v>
      </c>
      <c r="AB22" s="216">
        <v>0</v>
      </c>
      <c r="AC22" s="216">
        <v>0</v>
      </c>
      <c r="AD22" s="216">
        <v>0</v>
      </c>
      <c r="AE22" s="216">
        <v>0</v>
      </c>
      <c r="AF22" s="216">
        <v>0</v>
      </c>
      <c r="AG22" s="216">
        <v>0</v>
      </c>
      <c r="AH22" s="216">
        <v>0</v>
      </c>
      <c r="AI22" s="216">
        <v>0</v>
      </c>
      <c r="AJ22" s="216">
        <v>0</v>
      </c>
      <c r="AK22" s="216">
        <v>0</v>
      </c>
      <c r="AL22" s="216">
        <v>0</v>
      </c>
      <c r="AM22" s="216">
        <v>0</v>
      </c>
      <c r="AN22" s="216">
        <v>0</v>
      </c>
      <c r="AO22" s="216">
        <v>0</v>
      </c>
      <c r="AP22" s="216">
        <v>0</v>
      </c>
      <c r="AQ22" s="216">
        <v>0</v>
      </c>
      <c r="AR22" s="216">
        <v>0</v>
      </c>
      <c r="AS22" s="216">
        <v>0</v>
      </c>
      <c r="AT22" s="216">
        <v>0</v>
      </c>
      <c r="AU22" s="216">
        <v>0</v>
      </c>
      <c r="AV22" s="216">
        <v>0</v>
      </c>
      <c r="AW22" s="216">
        <v>0</v>
      </c>
      <c r="AX22" s="216">
        <v>0</v>
      </c>
      <c r="AY22" s="216">
        <v>0</v>
      </c>
      <c r="AZ22" s="216">
        <v>0</v>
      </c>
      <c r="BA22" s="216">
        <v>0</v>
      </c>
      <c r="BB22" s="216">
        <v>0</v>
      </c>
      <c r="BC22" s="216">
        <v>0</v>
      </c>
      <c r="BD22" s="216">
        <v>0</v>
      </c>
      <c r="BE22" s="216">
        <v>0</v>
      </c>
      <c r="BF22" s="216">
        <v>0</v>
      </c>
      <c r="BG22" s="216">
        <v>0</v>
      </c>
      <c r="BH22" s="216">
        <v>0</v>
      </c>
      <c r="BI22" s="216">
        <v>0</v>
      </c>
      <c r="BJ22" s="216">
        <v>0</v>
      </c>
      <c r="BK22" s="216">
        <v>0</v>
      </c>
      <c r="BL22" s="216">
        <v>0</v>
      </c>
    </row>
    <row r="23" spans="1:64">
      <c r="A23" t="s">
        <v>978</v>
      </c>
      <c r="B23">
        <v>3606</v>
      </c>
      <c r="C23">
        <v>3799</v>
      </c>
      <c r="D23">
        <v>3938</v>
      </c>
      <c r="E23">
        <v>4084</v>
      </c>
      <c r="F23">
        <v>4178</v>
      </c>
      <c r="G23">
        <v>4253</v>
      </c>
      <c r="H23">
        <v>4359</v>
      </c>
      <c r="I23">
        <v>4374</v>
      </c>
      <c r="J23">
        <v>4438</v>
      </c>
      <c r="K23">
        <v>4581</v>
      </c>
      <c r="L23">
        <v>4450</v>
      </c>
      <c r="M23">
        <v>4449</v>
      </c>
      <c r="N23">
        <v>4428</v>
      </c>
      <c r="O23">
        <v>4388</v>
      </c>
      <c r="P23">
        <v>4201</v>
      </c>
      <c r="Q23">
        <v>4095</v>
      </c>
      <c r="R23">
        <v>4067</v>
      </c>
      <c r="S23">
        <v>4082</v>
      </c>
      <c r="T23">
        <v>4171</v>
      </c>
      <c r="U23">
        <v>4212</v>
      </c>
      <c r="V23">
        <v>4322</v>
      </c>
      <c r="W23">
        <v>4436</v>
      </c>
      <c r="X23">
        <v>4509</v>
      </c>
      <c r="Y23" s="216">
        <v>4469</v>
      </c>
      <c r="Z23" s="216">
        <v>4456.2325038833087</v>
      </c>
      <c r="AA23" s="216">
        <v>4474.1067115610258</v>
      </c>
      <c r="AB23" s="216">
        <v>4492.0526137250226</v>
      </c>
      <c r="AC23" s="216">
        <v>4510.0704979460506</v>
      </c>
      <c r="AD23" s="216">
        <v>4528.1606529483288</v>
      </c>
      <c r="AE23" s="216">
        <v>4546.3233686141593</v>
      </c>
      <c r="AF23" s="216">
        <v>4564.5589359885853</v>
      </c>
      <c r="AG23" s="216">
        <v>4582.8676472840452</v>
      </c>
      <c r="AH23" s="216">
        <v>4601.2497958850581</v>
      </c>
      <c r="AI23" s="216">
        <v>4619.7056763529281</v>
      </c>
      <c r="AJ23" s="216">
        <v>4638.2355844304593</v>
      </c>
      <c r="AK23" s="216">
        <v>4656.839817046698</v>
      </c>
      <c r="AL23" s="216">
        <v>4675.5186723216912</v>
      </c>
      <c r="AM23" s="216">
        <v>4694.2724495712619</v>
      </c>
      <c r="AN23" s="216">
        <v>4713.1014493118064</v>
      </c>
      <c r="AO23" s="216">
        <v>4732.0059732651098</v>
      </c>
      <c r="AP23" s="216">
        <v>4750.9863243631808</v>
      </c>
      <c r="AQ23" s="216">
        <v>4770.0428067531057</v>
      </c>
      <c r="AR23" s="216">
        <v>4789.1757258019234</v>
      </c>
      <c r="AS23" s="216">
        <v>4808.3853881015157</v>
      </c>
      <c r="AT23" s="216">
        <v>4827.6721014735258</v>
      </c>
      <c r="AU23" s="216">
        <v>4847.0361749742833</v>
      </c>
      <c r="AV23" s="216">
        <v>4866.4779188997636</v>
      </c>
      <c r="AW23" s="216">
        <v>4885.9976447905565</v>
      </c>
      <c r="AX23" s="216">
        <v>4905.5956654368574</v>
      </c>
      <c r="AY23" s="216">
        <v>4925.2722948834853</v>
      </c>
      <c r="AZ23" s="216">
        <v>4945.0278484349083</v>
      </c>
      <c r="BA23" s="216">
        <v>4964.8626426602978</v>
      </c>
      <c r="BB23" s="216">
        <v>4984.7769953986081</v>
      </c>
      <c r="BC23" s="216">
        <v>5004.7712257636576</v>
      </c>
      <c r="BD23" s="216">
        <v>5024.8456541492524</v>
      </c>
      <c r="BE23" s="216">
        <v>5045.0006022343159</v>
      </c>
      <c r="BF23" s="216">
        <v>5065.2363929880439</v>
      </c>
      <c r="BG23" s="216">
        <v>5085.5533506750826</v>
      </c>
      <c r="BH23" s="216">
        <v>5105.9518008607192</v>
      </c>
      <c r="BI23" s="216">
        <v>5126.4320704161046</v>
      </c>
      <c r="BJ23" s="216">
        <v>5146.9944875234887</v>
      </c>
      <c r="BK23" s="216">
        <v>5167.6393816814771</v>
      </c>
      <c r="BL23" s="216">
        <v>5188.3670837103182</v>
      </c>
    </row>
    <row r="24" spans="1:64">
      <c r="A24" t="s">
        <v>119</v>
      </c>
      <c r="B24">
        <v>102</v>
      </c>
      <c r="C24">
        <v>100</v>
      </c>
      <c r="D24">
        <v>125</v>
      </c>
      <c r="E24">
        <v>114</v>
      </c>
      <c r="F24">
        <v>101</v>
      </c>
      <c r="G24">
        <v>109</v>
      </c>
      <c r="H24">
        <v>117</v>
      </c>
      <c r="I24">
        <v>126</v>
      </c>
      <c r="J24">
        <v>126</v>
      </c>
      <c r="K24">
        <v>84</v>
      </c>
      <c r="L24">
        <v>83</v>
      </c>
      <c r="M24">
        <v>80</v>
      </c>
      <c r="N24">
        <v>68</v>
      </c>
      <c r="O24">
        <v>75</v>
      </c>
      <c r="P24">
        <v>73</v>
      </c>
      <c r="Q24">
        <v>84</v>
      </c>
      <c r="R24">
        <v>77</v>
      </c>
      <c r="S24">
        <v>79</v>
      </c>
      <c r="T24">
        <v>73</v>
      </c>
      <c r="U24">
        <v>84</v>
      </c>
      <c r="V24">
        <v>77</v>
      </c>
      <c r="W24">
        <v>87</v>
      </c>
      <c r="X24">
        <v>77</v>
      </c>
      <c r="Y24" s="216">
        <v>58</v>
      </c>
      <c r="Z24" s="216">
        <v>66.664154857075246</v>
      </c>
      <c r="AA24" s="216">
        <v>65.152223307152795</v>
      </c>
      <c r="AB24" s="216">
        <v>63.674582104367445</v>
      </c>
      <c r="AC24" s="216">
        <v>62.230453549552301</v>
      </c>
      <c r="AD24" s="216">
        <v>60.819077581623624</v>
      </c>
      <c r="AE24" s="216">
        <v>59.439711377552129</v>
      </c>
      <c r="AF24" s="216">
        <v>58.091628961406897</v>
      </c>
      <c r="AG24" s="216">
        <v>56.774120822266084</v>
      </c>
      <c r="AH24" s="216">
        <v>55.48649354079334</v>
      </c>
      <c r="AI24" s="216">
        <v>54.228069424283447</v>
      </c>
      <c r="AJ24" s="216">
        <v>52.998186149984981</v>
      </c>
      <c r="AK24" s="216">
        <v>51.796196416512487</v>
      </c>
      <c r="AL24" s="216">
        <v>50.621467603164383</v>
      </c>
      <c r="AM24" s="216">
        <v>49.473381436967699</v>
      </c>
      <c r="AN24" s="216">
        <v>48.351333667273963</v>
      </c>
      <c r="AO24" s="216">
        <v>47.25473374773533</v>
      </c>
      <c r="AP24" s="216">
        <v>46.183004525493438</v>
      </c>
      <c r="AQ24" s="216">
        <v>45.135581937417314</v>
      </c>
      <c r="AR24" s="216">
        <v>44.111914713230661</v>
      </c>
      <c r="AS24" s="216">
        <v>43.111464085372091</v>
      </c>
      <c r="AT24" s="216">
        <v>42.133703505435712</v>
      </c>
      <c r="AU24" s="216">
        <v>41.178118367042764</v>
      </c>
      <c r="AV24" s="216">
        <v>40.244205734998566</v>
      </c>
      <c r="AW24" s="216">
        <v>39.331474080591988</v>
      </c>
      <c r="AX24" s="216">
        <v>38.439443022898423</v>
      </c>
      <c r="AY24" s="216">
        <v>37.567643075949896</v>
      </c>
      <c r="AZ24" s="216">
        <v>36.715615401639312</v>
      </c>
      <c r="BA24" s="216">
        <v>35.88291156822882</v>
      </c>
      <c r="BB24" s="216">
        <v>35.069093314335142</v>
      </c>
      <c r="BC24" s="216">
        <v>34.27373231826769</v>
      </c>
      <c r="BD24" s="216">
        <v>33.496409972598052</v>
      </c>
      <c r="BE24" s="216">
        <v>32.736717163842179</v>
      </c>
      <c r="BF24" s="216">
        <v>31.994254057139369</v>
      </c>
      <c r="BG24" s="216">
        <v>31.268629885814718</v>
      </c>
      <c r="BH24" s="216">
        <v>30.559462745714178</v>
      </c>
      <c r="BI24" s="216">
        <v>29.866379394204152</v>
      </c>
      <c r="BJ24" s="216">
        <v>29.189015053729676</v>
      </c>
      <c r="BK24" s="216">
        <v>28.527013219827911</v>
      </c>
      <c r="BL24" s="216">
        <v>27.880025473495813</v>
      </c>
    </row>
    <row r="25" spans="1:64">
      <c r="A25" t="s">
        <v>26</v>
      </c>
      <c r="B25">
        <v>4753</v>
      </c>
      <c r="C25">
        <v>4817</v>
      </c>
      <c r="D25">
        <v>4957</v>
      </c>
      <c r="E25">
        <v>5046</v>
      </c>
      <c r="F25">
        <v>5071</v>
      </c>
      <c r="G25">
        <v>5077</v>
      </c>
      <c r="H25">
        <v>5297</v>
      </c>
      <c r="I25">
        <v>5446</v>
      </c>
      <c r="J25">
        <v>5471</v>
      </c>
      <c r="K25">
        <v>5471</v>
      </c>
      <c r="L25">
        <v>5482</v>
      </c>
      <c r="M25">
        <v>5774</v>
      </c>
      <c r="N25">
        <v>5934</v>
      </c>
      <c r="O25">
        <v>5938</v>
      </c>
      <c r="P25">
        <v>6046</v>
      </c>
      <c r="Q25">
        <v>5908</v>
      </c>
      <c r="R25">
        <v>5747</v>
      </c>
      <c r="S25">
        <v>5776</v>
      </c>
      <c r="T25">
        <v>5966</v>
      </c>
      <c r="U25">
        <v>6080</v>
      </c>
      <c r="V25">
        <v>6182</v>
      </c>
      <c r="W25">
        <v>6100</v>
      </c>
      <c r="X25">
        <v>6271</v>
      </c>
      <c r="Y25" s="216">
        <v>6241</v>
      </c>
      <c r="Z25" s="216">
        <v>6305.158191793792</v>
      </c>
      <c r="AA25" s="216">
        <v>6354.6351338462009</v>
      </c>
      <c r="AB25" s="216">
        <v>6404.500324332731</v>
      </c>
      <c r="AC25" s="216">
        <v>6454.7568098613674</v>
      </c>
      <c r="AD25" s="216">
        <v>6505.4076609469985</v>
      </c>
      <c r="AE25" s="216">
        <v>6556.4559721990272</v>
      </c>
      <c r="AF25" s="216">
        <v>6607.9048625104342</v>
      </c>
      <c r="AG25" s="216">
        <v>6659.7574752483297</v>
      </c>
      <c r="AH25" s="216">
        <v>6712.0169784460149</v>
      </c>
      <c r="AI25" s="216">
        <v>6764.6865649965266</v>
      </c>
      <c r="AJ25" s="216">
        <v>6817.7694528477232</v>
      </c>
      <c r="AK25" s="216">
        <v>6871.2688851988814</v>
      </c>
      <c r="AL25" s="216">
        <v>6925.1881306988562</v>
      </c>
      <c r="AM25" s="216">
        <v>6979.5304836457744</v>
      </c>
      <c r="AN25" s="216">
        <v>7034.2992641883166</v>
      </c>
      <c r="AO25" s="216">
        <v>7089.4978185285572</v>
      </c>
      <c r="AP25" s="216">
        <v>7145.1295191264171</v>
      </c>
      <c r="AQ25" s="216">
        <v>7201.1977649057026</v>
      </c>
      <c r="AR25" s="216">
        <v>7257.7059814617742</v>
      </c>
      <c r="AS25" s="216">
        <v>7314.6576212708378</v>
      </c>
      <c r="AT25" s="216">
        <v>7372.0561639008783</v>
      </c>
      <c r="AU25" s="216">
        <v>7429.905116224254</v>
      </c>
      <c r="AV25" s="216">
        <v>7488.2080126319561</v>
      </c>
      <c r="AW25" s="216">
        <v>7546.9684152495411</v>
      </c>
      <c r="AX25" s="216">
        <v>7606.1899141547783</v>
      </c>
      <c r="AY25" s="216">
        <v>7665.8761275969791</v>
      </c>
      <c r="AZ25" s="216">
        <v>7726.0307022180732</v>
      </c>
      <c r="BA25" s="216">
        <v>7786.6573132753956</v>
      </c>
      <c r="BB25" s="216">
        <v>7847.759664866242</v>
      </c>
      <c r="BC25" s="216">
        <v>7909.3414901541737</v>
      </c>
      <c r="BD25" s="216">
        <v>7971.4065515971033</v>
      </c>
      <c r="BE25" s="216">
        <v>8033.958641177167</v>
      </c>
      <c r="BF25" s="216">
        <v>8097.0015806324072</v>
      </c>
      <c r="BG25" s="216">
        <v>8160.5392216902655</v>
      </c>
      <c r="BH25" s="216">
        <v>8224.5754463029134</v>
      </c>
      <c r="BI25" s="216">
        <v>8289.1141668844211</v>
      </c>
      <c r="BJ25" s="216">
        <v>8354.1593265498068</v>
      </c>
      <c r="BK25" s="216">
        <v>8419.7148993559349</v>
      </c>
      <c r="BL25" s="216">
        <v>8485.7848905443261</v>
      </c>
    </row>
    <row r="26" spans="1:64">
      <c r="A26" t="s">
        <v>979</v>
      </c>
      <c r="B26">
        <v>28</v>
      </c>
      <c r="C26">
        <v>26</v>
      </c>
      <c r="D26">
        <v>26</v>
      </c>
      <c r="E26">
        <v>29</v>
      </c>
      <c r="F26">
        <v>31</v>
      </c>
      <c r="G26">
        <v>27</v>
      </c>
      <c r="H26">
        <v>23</v>
      </c>
      <c r="I26">
        <v>26</v>
      </c>
      <c r="J26">
        <v>26</v>
      </c>
      <c r="K26">
        <v>43</v>
      </c>
      <c r="L26">
        <v>39</v>
      </c>
      <c r="M26">
        <v>28</v>
      </c>
      <c r="N26">
        <v>28</v>
      </c>
      <c r="O26">
        <v>25</v>
      </c>
      <c r="P26">
        <v>24</v>
      </c>
      <c r="Q26">
        <v>19</v>
      </c>
      <c r="R26">
        <v>21</v>
      </c>
      <c r="S26">
        <v>16</v>
      </c>
      <c r="T26">
        <v>13</v>
      </c>
      <c r="U26">
        <v>12</v>
      </c>
      <c r="V26">
        <v>14</v>
      </c>
      <c r="W26">
        <v>14</v>
      </c>
      <c r="X26">
        <v>13</v>
      </c>
      <c r="Y26" s="216">
        <v>13</v>
      </c>
      <c r="Z26" s="216">
        <v>13.377103621941096</v>
      </c>
      <c r="AA26" s="216">
        <v>12.850110059970634</v>
      </c>
      <c r="AB26" s="216">
        <v>12.343877510414154</v>
      </c>
      <c r="AC26" s="216">
        <v>11.85758808920712</v>
      </c>
      <c r="AD26" s="216">
        <v>11.390456132984516</v>
      </c>
      <c r="AE26" s="216">
        <v>10.941726929740236</v>
      </c>
      <c r="AF26" s="216">
        <v>10.510675499492343</v>
      </c>
      <c r="AG26" s="216">
        <v>10.096605422984302</v>
      </c>
      <c r="AH26" s="216">
        <v>9.6988477165297056</v>
      </c>
      <c r="AI26" s="216">
        <v>9.3167597511827296</v>
      </c>
      <c r="AJ26" s="216">
        <v>8.9497242144881</v>
      </c>
      <c r="AK26" s="216">
        <v>8.5971481131330574</v>
      </c>
      <c r="AL26" s="216">
        <v>8.2584618148901043</v>
      </c>
      <c r="AM26" s="216">
        <v>7.933118128302552</v>
      </c>
      <c r="AN26" s="216">
        <v>7.620591418626069</v>
      </c>
      <c r="AO26" s="216">
        <v>7.320376758597849</v>
      </c>
      <c r="AP26" s="216">
        <v>7.03198911266142</v>
      </c>
      <c r="AQ26" s="216">
        <v>6.7549625533290474</v>
      </c>
      <c r="AR26" s="216">
        <v>6.4888495084157096</v>
      </c>
      <c r="AS26" s="216">
        <v>6.2332200379284295</v>
      </c>
      <c r="AT26" s="216">
        <v>5.9876611394426797</v>
      </c>
      <c r="AU26" s="216">
        <v>5.7517760808436389</v>
      </c>
      <c r="AV26" s="216">
        <v>5.5251837593542081</v>
      </c>
      <c r="AW26" s="216">
        <v>5.3075180858142641</v>
      </c>
      <c r="AX26" s="216">
        <v>5.0984273932163369</v>
      </c>
      <c r="AY26" s="216">
        <v>4.8975738685421364</v>
      </c>
      <c r="AZ26" s="216">
        <v>4.7046330069820037</v>
      </c>
      <c r="BA26" s="216">
        <v>4.5192930876554698</v>
      </c>
      <c r="BB26" s="216">
        <v>4.3412546699859158</v>
      </c>
      <c r="BC26" s="216">
        <v>4.1702301099156527</v>
      </c>
      <c r="BD26" s="216">
        <v>4.005943095179795</v>
      </c>
      <c r="BE26" s="216">
        <v>3.8481281988881086</v>
      </c>
      <c r="BF26" s="216">
        <v>3.6965304506935879</v>
      </c>
      <c r="BG26" s="216">
        <v>3.5509049248549363</v>
      </c>
      <c r="BH26" s="216">
        <v>3.4110163445273947</v>
      </c>
      <c r="BI26" s="216">
        <v>3.2766387016426095</v>
      </c>
      <c r="BJ26" s="216">
        <v>3.1475548917634155</v>
      </c>
      <c r="BK26" s="216">
        <v>3.023556363323574</v>
      </c>
      <c r="BL26" s="216">
        <v>2.9044427806857858</v>
      </c>
    </row>
    <row r="27" spans="1:64">
      <c r="A27" t="s">
        <v>1361</v>
      </c>
      <c r="B27">
        <v>417</v>
      </c>
      <c r="C27">
        <v>443</v>
      </c>
      <c r="D27">
        <v>455</v>
      </c>
      <c r="E27">
        <v>482</v>
      </c>
      <c r="F27">
        <v>496</v>
      </c>
      <c r="G27">
        <v>492</v>
      </c>
      <c r="H27">
        <v>500</v>
      </c>
      <c r="I27">
        <v>515</v>
      </c>
      <c r="J27">
        <v>511</v>
      </c>
      <c r="K27">
        <v>599</v>
      </c>
      <c r="L27">
        <v>643</v>
      </c>
      <c r="M27">
        <v>643</v>
      </c>
      <c r="N27">
        <v>604</v>
      </c>
      <c r="O27">
        <v>616</v>
      </c>
      <c r="P27">
        <v>617</v>
      </c>
      <c r="Q27">
        <v>608</v>
      </c>
      <c r="R27">
        <v>719</v>
      </c>
      <c r="S27">
        <v>724</v>
      </c>
      <c r="T27">
        <v>744</v>
      </c>
      <c r="U27">
        <v>591</v>
      </c>
      <c r="V27">
        <v>581</v>
      </c>
      <c r="W27">
        <v>586</v>
      </c>
      <c r="X27">
        <v>549</v>
      </c>
      <c r="Y27" s="216">
        <v>534</v>
      </c>
      <c r="Z27" s="216">
        <v>678.81735698815476</v>
      </c>
      <c r="AA27" s="216">
        <v>689.05538085911087</v>
      </c>
      <c r="AB27" s="216">
        <v>699.44781612173699</v>
      </c>
      <c r="AC27" s="216">
        <v>709.99699163150137</v>
      </c>
      <c r="AD27" s="216">
        <v>720.70527136801547</v>
      </c>
      <c r="AE27" s="216">
        <v>731.57505496478109</v>
      </c>
      <c r="AF27" s="216">
        <v>742.60877824692773</v>
      </c>
      <c r="AG27" s="216">
        <v>753.80891377706007</v>
      </c>
      <c r="AH27" s="216">
        <v>765.17797140933817</v>
      </c>
      <c r="AI27" s="216">
        <v>776.71849885191398</v>
      </c>
      <c r="AJ27" s="216">
        <v>788.43308223785095</v>
      </c>
      <c r="AK27" s="216">
        <v>800.32434670465432</v>
      </c>
      <c r="AL27" s="216">
        <v>812.39495698254166</v>
      </c>
      <c r="AM27" s="216">
        <v>824.64761799158646</v>
      </c>
      <c r="AN27" s="216">
        <v>837.08507544786698</v>
      </c>
      <c r="AO27" s="216">
        <v>849.71011647875787</v>
      </c>
      <c r="AP27" s="216">
        <v>862.52557024750149</v>
      </c>
      <c r="AQ27" s="216">
        <v>875.53430858719889</v>
      </c>
      <c r="AR27" s="216">
        <v>888.73924664436356</v>
      </c>
      <c r="AS27" s="216">
        <v>902.14334353217976</v>
      </c>
      <c r="AT27" s="216">
        <v>915.7496029936151</v>
      </c>
      <c r="AU27" s="216">
        <v>929.56107407453328</v>
      </c>
      <c r="AV27" s="216">
        <v>943.580851806959</v>
      </c>
      <c r="AW27" s="216">
        <v>957.81207790264841</v>
      </c>
      <c r="AX27" s="216">
        <v>972.25794145711927</v>
      </c>
      <c r="AY27" s="216">
        <v>986.92167966429986</v>
      </c>
      <c r="AZ27" s="216">
        <v>1001.8065785419572</v>
      </c>
      <c r="BA27" s="216">
        <v>1016.9159736680637</v>
      </c>
      <c r="BB27" s="216">
        <v>1032.2532509282737</v>
      </c>
      <c r="BC27" s="216">
        <v>1047.8218472746692</v>
      </c>
      <c r="BD27" s="216">
        <v>1063.6252514959531</v>
      </c>
      <c r="BE27" s="216">
        <v>1079.6670049992556</v>
      </c>
      <c r="BF27" s="216">
        <v>1095.9507026037334</v>
      </c>
      <c r="BG27" s="216">
        <v>1112.4799933461386</v>
      </c>
      <c r="BH27" s="216">
        <v>1129.2585812985344</v>
      </c>
      <c r="BI27" s="216">
        <v>1146.2902263983492</v>
      </c>
      <c r="BJ27" s="216">
        <v>1163.5787452909426</v>
      </c>
      <c r="BK27" s="216">
        <v>1181.1280121848852</v>
      </c>
      <c r="BL27" s="216">
        <v>1198.9419597201347</v>
      </c>
    </row>
    <row r="28" spans="1:64">
      <c r="A28" t="s">
        <v>399</v>
      </c>
      <c r="B28">
        <v>39</v>
      </c>
      <c r="C28">
        <v>40</v>
      </c>
      <c r="D28">
        <v>37</v>
      </c>
      <c r="E28">
        <v>38</v>
      </c>
      <c r="F28">
        <v>36</v>
      </c>
      <c r="G28">
        <v>40</v>
      </c>
      <c r="H28">
        <v>39</v>
      </c>
      <c r="I28">
        <v>35</v>
      </c>
      <c r="J28">
        <v>35</v>
      </c>
      <c r="K28">
        <v>28</v>
      </c>
      <c r="L28">
        <v>37</v>
      </c>
      <c r="M28">
        <v>40</v>
      </c>
      <c r="N28">
        <v>35</v>
      </c>
      <c r="O28">
        <v>48</v>
      </c>
      <c r="P28">
        <v>38</v>
      </c>
      <c r="Q28">
        <v>35</v>
      </c>
      <c r="R28">
        <v>33</v>
      </c>
      <c r="S28">
        <v>28</v>
      </c>
      <c r="T28">
        <v>39</v>
      </c>
      <c r="U28">
        <v>33</v>
      </c>
      <c r="V28">
        <v>29</v>
      </c>
      <c r="W28">
        <v>29</v>
      </c>
      <c r="X28">
        <v>24</v>
      </c>
      <c r="Y28" s="216">
        <v>22</v>
      </c>
      <c r="Z28" s="216">
        <v>28.145860972633926</v>
      </c>
      <c r="AA28" s="216">
        <v>27.699669490013914</v>
      </c>
      <c r="AB28" s="216">
        <v>27.260551404059797</v>
      </c>
      <c r="AC28" s="216">
        <v>26.828394581433443</v>
      </c>
      <c r="AD28" s="216">
        <v>26.403088666427205</v>
      </c>
      <c r="AE28" s="216">
        <v>25.984525052783436</v>
      </c>
      <c r="AF28" s="216">
        <v>25.572596855960779</v>
      </c>
      <c r="AG28" s="216">
        <v>25.167198885840083</v>
      </c>
      <c r="AH28" s="216">
        <v>24.768227619863033</v>
      </c>
      <c r="AI28" s="216">
        <v>24.375581176596587</v>
      </c>
      <c r="AJ28" s="216">
        <v>23.989159289716493</v>
      </c>
      <c r="AK28" s="216">
        <v>23.608863282403249</v>
      </c>
      <c r="AL28" s="216">
        <v>23.234596042143984</v>
      </c>
      <c r="AM28" s="216">
        <v>22.866261995933737</v>
      </c>
      <c r="AN28" s="216">
        <v>22.503767085869931</v>
      </c>
      <c r="AO28" s="216">
        <v>22.1470187451337</v>
      </c>
      <c r="AP28" s="216">
        <v>21.795925874352008</v>
      </c>
      <c r="AQ28" s="216">
        <v>21.450398818334477</v>
      </c>
      <c r="AR28" s="216">
        <v>21.110349343178999</v>
      </c>
      <c r="AS28" s="216">
        <v>20.775690613740316</v>
      </c>
      <c r="AT28" s="216">
        <v>20.446337171455763</v>
      </c>
      <c r="AU28" s="216">
        <v>20.122204912522527</v>
      </c>
      <c r="AV28" s="216">
        <v>19.803211066420904</v>
      </c>
      <c r="AW28" s="216">
        <v>19.48927417477795</v>
      </c>
      <c r="AX28" s="216">
        <v>19.180314070566283</v>
      </c>
      <c r="AY28" s="216">
        <v>18.876251857632578</v>
      </c>
      <c r="AZ28" s="216">
        <v>18.577009890550638</v>
      </c>
      <c r="BA28" s="216">
        <v>18.282511754793813</v>
      </c>
      <c r="BB28" s="216">
        <v>17.992682247221786</v>
      </c>
      <c r="BC28" s="216">
        <v>17.707447356876649</v>
      </c>
      <c r="BD28" s="216">
        <v>17.426734246083463</v>
      </c>
      <c r="BE28" s="216">
        <v>17.150471231850389</v>
      </c>
      <c r="BF28" s="216">
        <v>16.878587767563697</v>
      </c>
      <c r="BG28" s="216">
        <v>16.611014424972982</v>
      </c>
      <c r="BH28" s="216">
        <v>16.347682876461906</v>
      </c>
      <c r="BI28" s="216">
        <v>16.08852587760007</v>
      </c>
      <c r="BJ28" s="216">
        <v>15.83347724997143</v>
      </c>
      <c r="BK28" s="216">
        <v>15.582471864274966</v>
      </c>
      <c r="BL28" s="216">
        <v>15.335445623693246</v>
      </c>
    </row>
    <row r="29" spans="1:64">
      <c r="A29" t="s">
        <v>72</v>
      </c>
      <c r="B29">
        <v>220</v>
      </c>
      <c r="C29">
        <v>229</v>
      </c>
      <c r="D29">
        <v>243</v>
      </c>
      <c r="E29">
        <v>258</v>
      </c>
      <c r="F29">
        <v>264</v>
      </c>
      <c r="G29">
        <v>263</v>
      </c>
      <c r="H29">
        <v>259</v>
      </c>
      <c r="I29">
        <v>273</v>
      </c>
      <c r="J29">
        <v>279</v>
      </c>
      <c r="K29">
        <v>276</v>
      </c>
      <c r="L29">
        <v>285</v>
      </c>
      <c r="M29">
        <v>308</v>
      </c>
      <c r="N29">
        <v>313</v>
      </c>
      <c r="O29">
        <v>319</v>
      </c>
      <c r="P29">
        <v>328</v>
      </c>
      <c r="Q29">
        <v>325</v>
      </c>
      <c r="R29">
        <v>327</v>
      </c>
      <c r="S29">
        <v>349</v>
      </c>
      <c r="T29">
        <v>358</v>
      </c>
      <c r="U29">
        <v>388</v>
      </c>
      <c r="V29">
        <v>410</v>
      </c>
      <c r="W29">
        <v>416</v>
      </c>
      <c r="X29">
        <v>445</v>
      </c>
      <c r="Y29" s="216">
        <v>411</v>
      </c>
      <c r="Z29" s="216">
        <v>435.36764411166661</v>
      </c>
      <c r="AA29" s="216">
        <v>447.53368307586231</v>
      </c>
      <c r="AB29" s="216">
        <v>460.0396933403606</v>
      </c>
      <c r="AC29" s="216">
        <v>472.89517516119139</v>
      </c>
      <c r="AD29" s="216">
        <v>486.10989427227798</v>
      </c>
      <c r="AE29" s="216">
        <v>499.693889304028</v>
      </c>
      <c r="AF29" s="216">
        <v>513.6574794092312</v>
      </c>
      <c r="AG29" s="216">
        <v>528.011272102058</v>
      </c>
      <c r="AH29" s="216">
        <v>542.76617131611295</v>
      </c>
      <c r="AI29" s="216">
        <v>557.9333856876649</v>
      </c>
      <c r="AJ29" s="216">
        <v>573.52443707034581</v>
      </c>
      <c r="AK29" s="216">
        <v>589.55116928778773</v>
      </c>
      <c r="AL29" s="216">
        <v>606.02575713084457</v>
      </c>
      <c r="AM29" s="216">
        <v>622.96071560623602</v>
      </c>
      <c r="AN29" s="216">
        <v>640.36890944363745</v>
      </c>
      <c r="AO29" s="216">
        <v>658.26356286843941</v>
      </c>
      <c r="AP29" s="216">
        <v>676.65826964759913</v>
      </c>
      <c r="AQ29" s="216">
        <v>695.56700341621718</v>
      </c>
      <c r="AR29" s="216">
        <v>715.00412829268157</v>
      </c>
      <c r="AS29" s="216">
        <v>734.98440979044574</v>
      </c>
      <c r="AT29" s="216">
        <v>755.52302603472845</v>
      </c>
      <c r="AU29" s="216">
        <v>776.63557929265494</v>
      </c>
      <c r="AV29" s="216">
        <v>798.33810782560147</v>
      </c>
      <c r="AW29" s="216">
        <v>820.6470980727438</v>
      </c>
      <c r="AX29" s="216">
        <v>843.57949717506722</v>
      </c>
      <c r="AY29" s="216">
        <v>867.1527258493511</v>
      </c>
      <c r="AZ29" s="216">
        <v>891.38469162190574</v>
      </c>
      <c r="BA29" s="216">
        <v>916.29380243212074</v>
      </c>
      <c r="BB29" s="216">
        <v>941.89898061614986</v>
      </c>
      <c r="BC29" s="216">
        <v>968.2196772813644</v>
      </c>
      <c r="BD29" s="216">
        <v>995.27588708248777</v>
      </c>
      <c r="BE29" s="216">
        <v>1023.088163410639</v>
      </c>
      <c r="BF29" s="216">
        <v>1051.6776340068252</v>
      </c>
      <c r="BG29" s="216">
        <v>1081.0660170117378</v>
      </c>
      <c r="BH29" s="216">
        <v>1111.2756374640544</v>
      </c>
      <c r="BI29" s="216">
        <v>1142.3294442597689</v>
      </c>
      <c r="BJ29" s="216">
        <v>1174.2510275854418</v>
      </c>
      <c r="BK29" s="216">
        <v>1207.0646368386069</v>
      </c>
      <c r="BL29" s="216">
        <v>1240.7951990489551</v>
      </c>
    </row>
    <row r="30" spans="1:64">
      <c r="A30" t="s">
        <v>41</v>
      </c>
      <c r="B30">
        <v>349</v>
      </c>
      <c r="C30">
        <v>371</v>
      </c>
      <c r="D30">
        <v>386</v>
      </c>
      <c r="E30">
        <v>386</v>
      </c>
      <c r="F30">
        <v>409</v>
      </c>
      <c r="G30">
        <v>411</v>
      </c>
      <c r="H30">
        <v>415</v>
      </c>
      <c r="I30">
        <v>406</v>
      </c>
      <c r="J30">
        <v>428</v>
      </c>
      <c r="K30">
        <v>406</v>
      </c>
      <c r="L30">
        <v>399</v>
      </c>
      <c r="M30">
        <v>416</v>
      </c>
      <c r="N30">
        <v>395</v>
      </c>
      <c r="O30">
        <v>418</v>
      </c>
      <c r="P30">
        <v>410</v>
      </c>
      <c r="Q30">
        <v>390</v>
      </c>
      <c r="R30">
        <v>424</v>
      </c>
      <c r="S30">
        <v>418</v>
      </c>
      <c r="T30">
        <v>392</v>
      </c>
      <c r="U30">
        <v>416</v>
      </c>
      <c r="V30">
        <v>439</v>
      </c>
      <c r="W30">
        <v>452</v>
      </c>
      <c r="X30">
        <v>487</v>
      </c>
      <c r="Y30" s="216">
        <v>482</v>
      </c>
      <c r="Z30" s="216">
        <v>453.74205486584043</v>
      </c>
      <c r="AA30" s="216">
        <v>457.29120733115536</v>
      </c>
      <c r="AB30" s="216">
        <v>460.86812112713596</v>
      </c>
      <c r="AC30" s="216">
        <v>464.47301340181633</v>
      </c>
      <c r="AD30" s="216">
        <v>468.1061030017537</v>
      </c>
      <c r="AE30" s="216">
        <v>471.76761048531472</v>
      </c>
      <c r="AF30" s="216">
        <v>475.4577581360648</v>
      </c>
      <c r="AG30" s="216">
        <v>479.17676997626256</v>
      </c>
      <c r="AH30" s="216">
        <v>482.92487178046008</v>
      </c>
      <c r="AI30" s="216">
        <v>486.7022910892087</v>
      </c>
      <c r="AJ30" s="216">
        <v>490.50925722287343</v>
      </c>
      <c r="AK30" s="216">
        <v>494.34600129555389</v>
      </c>
      <c r="AL30" s="216">
        <v>498.21275622911509</v>
      </c>
      <c r="AM30" s="216">
        <v>502.10975676732778</v>
      </c>
      <c r="AN30" s="216">
        <v>506.03723949011919</v>
      </c>
      <c r="AO30" s="216">
        <v>509.99544282793528</v>
      </c>
      <c r="AP30" s="216">
        <v>513.98460707621587</v>
      </c>
      <c r="AQ30" s="216">
        <v>518.00497440998174</v>
      </c>
      <c r="AR30" s="216">
        <v>522.05678889853789</v>
      </c>
      <c r="AS30" s="216">
        <v>526.14029652028887</v>
      </c>
      <c r="AT30" s="216">
        <v>530.25574517767348</v>
      </c>
      <c r="AU30" s="216">
        <v>534.40338471221287</v>
      </c>
      <c r="AV30" s="216">
        <v>538.58346691967938</v>
      </c>
      <c r="AW30" s="216">
        <v>542.7962455653817</v>
      </c>
      <c r="AX30" s="216">
        <v>547.04197639957044</v>
      </c>
      <c r="AY30" s="216">
        <v>551.32091717296498</v>
      </c>
      <c r="AZ30" s="216">
        <v>555.63332765240068</v>
      </c>
      <c r="BA30" s="216">
        <v>559.97946963659854</v>
      </c>
      <c r="BB30" s="216">
        <v>564.35960697205917</v>
      </c>
      <c r="BC30" s="216">
        <v>568.7740055690798</v>
      </c>
      <c r="BD30" s="216">
        <v>573.22293341789793</v>
      </c>
      <c r="BE30" s="216">
        <v>577.70666060495955</v>
      </c>
      <c r="BF30" s="216">
        <v>582.22545932931666</v>
      </c>
      <c r="BG30" s="216">
        <v>586.77960391915144</v>
      </c>
      <c r="BH30" s="216">
        <v>591.36937084843021</v>
      </c>
      <c r="BI30" s="216">
        <v>595.99503875368748</v>
      </c>
      <c r="BJ30" s="216">
        <v>600.65688845094235</v>
      </c>
      <c r="BK30" s="216">
        <v>605.35520295274534</v>
      </c>
      <c r="BL30" s="216">
        <v>610.09026748536007</v>
      </c>
    </row>
    <row r="31" spans="1:64">
      <c r="A31" t="s">
        <v>123</v>
      </c>
      <c r="B31">
        <v>49</v>
      </c>
      <c r="C31">
        <v>48</v>
      </c>
      <c r="D31">
        <v>43</v>
      </c>
      <c r="E31">
        <v>49</v>
      </c>
      <c r="F31">
        <v>58</v>
      </c>
      <c r="G31">
        <v>53</v>
      </c>
      <c r="H31">
        <v>57</v>
      </c>
      <c r="I31">
        <v>61</v>
      </c>
      <c r="J31">
        <v>62</v>
      </c>
      <c r="K31">
        <v>134</v>
      </c>
      <c r="L31">
        <v>136</v>
      </c>
      <c r="M31">
        <v>120</v>
      </c>
      <c r="N31">
        <v>111</v>
      </c>
      <c r="O31">
        <v>102</v>
      </c>
      <c r="P31">
        <v>98</v>
      </c>
      <c r="Q31">
        <v>88</v>
      </c>
      <c r="R31">
        <v>93</v>
      </c>
      <c r="S31">
        <v>95</v>
      </c>
      <c r="T31">
        <v>96</v>
      </c>
      <c r="U31">
        <v>96</v>
      </c>
      <c r="V31">
        <v>101</v>
      </c>
      <c r="W31">
        <v>91</v>
      </c>
      <c r="X31">
        <v>91</v>
      </c>
      <c r="Y31" s="216">
        <v>86</v>
      </c>
      <c r="Z31" s="216">
        <v>82.105321294468212</v>
      </c>
      <c r="AA31" s="216">
        <v>79.957366327175635</v>
      </c>
      <c r="AB31" s="216">
        <v>77.865603948484846</v>
      </c>
      <c r="AC31" s="216">
        <v>75.82856410568904</v>
      </c>
      <c r="AD31" s="216">
        <v>73.844815204088292</v>
      </c>
      <c r="AE31" s="216">
        <v>71.912963100890821</v>
      </c>
      <c r="AF31" s="216">
        <v>70.031650125434595</v>
      </c>
      <c r="AG31" s="216">
        <v>68.199554125041047</v>
      </c>
      <c r="AH31" s="216">
        <v>66.415387535830106</v>
      </c>
      <c r="AI31" s="216">
        <v>64.677896477843603</v>
      </c>
      <c r="AJ31" s="216">
        <v>62.9858598738412</v>
      </c>
      <c r="AK31" s="216">
        <v>61.338088591149365</v>
      </c>
      <c r="AL31" s="216">
        <v>59.733424605960543</v>
      </c>
      <c r="AM31" s="216">
        <v>58.170740189494914</v>
      </c>
      <c r="AN31" s="216">
        <v>56.648937115453116</v>
      </c>
      <c r="AO31" s="216">
        <v>55.166945888202662</v>
      </c>
      <c r="AP31" s="216">
        <v>53.723724991155784</v>
      </c>
      <c r="AQ31" s="216">
        <v>52.318260154810424</v>
      </c>
      <c r="AR31" s="216">
        <v>50.949563643940046</v>
      </c>
      <c r="AS31" s="216">
        <v>49.616673563431185</v>
      </c>
      <c r="AT31" s="216">
        <v>48.318653182280983</v>
      </c>
      <c r="AU31" s="216">
        <v>47.054590275279615</v>
      </c>
      <c r="AV31" s="216">
        <v>45.823596481914926</v>
      </c>
      <c r="AW31" s="216">
        <v>44.624806682048799</v>
      </c>
      <c r="AX31" s="216">
        <v>43.457378387926354</v>
      </c>
      <c r="AY31" s="216">
        <v>42.320491152090781</v>
      </c>
      <c r="AZ31" s="216">
        <v>41.213345990787836</v>
      </c>
      <c r="BA31" s="216">
        <v>40.135164822454428</v>
      </c>
      <c r="BB31" s="216">
        <v>39.085189920897037</v>
      </c>
      <c r="BC31" s="216">
        <v>38.062683382775489</v>
      </c>
      <c r="BD31" s="216">
        <v>37.06692660901782</v>
      </c>
      <c r="BE31" s="216">
        <v>36.09721979980187</v>
      </c>
      <c r="BF31" s="216">
        <v>35.152881462748681</v>
      </c>
      <c r="BG31" s="216">
        <v>34.233247933981957</v>
      </c>
      <c r="BH31" s="216">
        <v>33.337672911717121</v>
      </c>
      <c r="BI31" s="216">
        <v>32.46552700205217</v>
      </c>
      <c r="BJ31" s="216">
        <v>31.616197276640971</v>
      </c>
      <c r="BK31" s="216">
        <v>30.789086841938389</v>
      </c>
      <c r="BL31" s="216">
        <v>29.983614419714289</v>
      </c>
    </row>
    <row r="32" spans="1:64">
      <c r="A32" t="s">
        <v>985</v>
      </c>
      <c r="B32">
        <v>82</v>
      </c>
      <c r="C32">
        <v>94</v>
      </c>
      <c r="D32">
        <v>90</v>
      </c>
      <c r="E32">
        <v>83</v>
      </c>
      <c r="F32">
        <v>84</v>
      </c>
      <c r="G32">
        <v>90</v>
      </c>
      <c r="H32">
        <v>90</v>
      </c>
      <c r="I32">
        <v>97</v>
      </c>
      <c r="J32">
        <v>102</v>
      </c>
      <c r="K32">
        <v>83</v>
      </c>
      <c r="L32">
        <v>82</v>
      </c>
      <c r="M32">
        <v>89</v>
      </c>
      <c r="N32">
        <v>87</v>
      </c>
      <c r="O32">
        <v>91</v>
      </c>
      <c r="P32">
        <v>87</v>
      </c>
      <c r="Q32">
        <v>73</v>
      </c>
      <c r="R32">
        <v>82</v>
      </c>
      <c r="S32">
        <v>83</v>
      </c>
      <c r="T32">
        <v>71</v>
      </c>
      <c r="U32">
        <v>69</v>
      </c>
      <c r="V32">
        <v>74</v>
      </c>
      <c r="W32">
        <v>68</v>
      </c>
      <c r="X32">
        <v>72</v>
      </c>
      <c r="Y32" s="216">
        <v>77</v>
      </c>
      <c r="Z32" s="216">
        <v>72.502753800051011</v>
      </c>
      <c r="AA32" s="216">
        <v>71.732181863822007</v>
      </c>
      <c r="AB32" s="216">
        <v>70.969799700777912</v>
      </c>
      <c r="AC32" s="216">
        <v>70.21552026857826</v>
      </c>
      <c r="AD32" s="216">
        <v>69.469257449983814</v>
      </c>
      <c r="AE32" s="216">
        <v>68.730926043024382</v>
      </c>
      <c r="AF32" s="216">
        <v>68.000441751271183</v>
      </c>
      <c r="AG32" s="216">
        <v>67.277721174212672</v>
      </c>
      <c r="AH32" s="216">
        <v>66.562681797732424</v>
      </c>
      <c r="AI32" s="216">
        <v>65.855241984688561</v>
      </c>
      <c r="AJ32" s="216">
        <v>65.155320965592935</v>
      </c>
      <c r="AK32" s="216">
        <v>64.462838829389653</v>
      </c>
      <c r="AL32" s="216">
        <v>63.777716514331516</v>
      </c>
      <c r="AM32" s="216">
        <v>63.099875798953363</v>
      </c>
      <c r="AN32" s="216">
        <v>62.429239293141421</v>
      </c>
      <c r="AO32" s="216">
        <v>61.765730429297591</v>
      </c>
      <c r="AP32" s="216">
        <v>61.109273453597609</v>
      </c>
      <c r="AQ32" s="216">
        <v>60.459793417342027</v>
      </c>
      <c r="AR32" s="216">
        <v>59.81721616839932</v>
      </c>
      <c r="AS32" s="216">
        <v>59.181468342739755</v>
      </c>
      <c r="AT32" s="216">
        <v>58.552477356059356</v>
      </c>
      <c r="AU32" s="216">
        <v>57.930171395492764</v>
      </c>
      <c r="AV32" s="216">
        <v>57.314479411414339</v>
      </c>
      <c r="AW32" s="216">
        <v>56.705331109326259</v>
      </c>
      <c r="AX32" s="216">
        <v>56.102656941832919</v>
      </c>
      <c r="AY32" s="216">
        <v>55.506388100700576</v>
      </c>
      <c r="AZ32" s="216">
        <v>54.916456509001421</v>
      </c>
      <c r="BA32" s="216">
        <v>54.332794813341145</v>
      </c>
      <c r="BB32" s="216">
        <v>53.755336376169062</v>
      </c>
      <c r="BC32" s="216">
        <v>53.184015268170036</v>
      </c>
      <c r="BD32" s="216">
        <v>52.618766260737182</v>
      </c>
      <c r="BE32" s="216">
        <v>52.059524818524693</v>
      </c>
      <c r="BF32" s="216">
        <v>51.506227092079648</v>
      </c>
      <c r="BG32" s="216">
        <v>50.958809910552311</v>
      </c>
      <c r="BH32" s="216">
        <v>50.417210774483742</v>
      </c>
      <c r="BI32" s="216">
        <v>49.881367848670166</v>
      </c>
      <c r="BJ32" s="216">
        <v>49.351219955103204</v>
      </c>
      <c r="BK32" s="216">
        <v>48.826706565985006</v>
      </c>
      <c r="BL32" s="216">
        <v>48.307767796817721</v>
      </c>
    </row>
    <row r="33" spans="1:64">
      <c r="A33" t="s">
        <v>199</v>
      </c>
      <c r="B33">
        <v>325</v>
      </c>
      <c r="C33">
        <v>341</v>
      </c>
      <c r="D33">
        <v>327</v>
      </c>
      <c r="E33">
        <v>352</v>
      </c>
      <c r="F33">
        <v>369</v>
      </c>
      <c r="G33">
        <v>387</v>
      </c>
      <c r="H33">
        <v>404</v>
      </c>
      <c r="I33">
        <v>421</v>
      </c>
      <c r="J33">
        <v>416</v>
      </c>
      <c r="K33">
        <v>394</v>
      </c>
      <c r="L33">
        <v>392</v>
      </c>
      <c r="M33">
        <v>410</v>
      </c>
      <c r="N33">
        <v>417</v>
      </c>
      <c r="O33">
        <v>420</v>
      </c>
      <c r="P33">
        <v>432</v>
      </c>
      <c r="Q33">
        <v>429</v>
      </c>
      <c r="R33">
        <v>413</v>
      </c>
      <c r="S33">
        <v>429</v>
      </c>
      <c r="T33">
        <v>430</v>
      </c>
      <c r="U33">
        <v>418</v>
      </c>
      <c r="V33">
        <v>436</v>
      </c>
      <c r="W33">
        <v>433</v>
      </c>
      <c r="X33">
        <v>436</v>
      </c>
      <c r="Y33" s="216">
        <v>420</v>
      </c>
      <c r="Z33" s="216">
        <v>438.95425325963083</v>
      </c>
      <c r="AA33" s="216">
        <v>441.33280726550066</v>
      </c>
      <c r="AB33" s="216">
        <v>443.72424990182992</v>
      </c>
      <c r="AC33" s="216">
        <v>446.12865100802298</v>
      </c>
      <c r="AD33" s="216">
        <v>448.54608080192185</v>
      </c>
      <c r="AE33" s="216">
        <v>450.97660988185669</v>
      </c>
      <c r="AF33" s="216">
        <v>453.42030922870788</v>
      </c>
      <c r="AG33" s="216">
        <v>455.87725020797842</v>
      </c>
      <c r="AH33" s="216">
        <v>458.34750457187857</v>
      </c>
      <c r="AI33" s="216">
        <v>460.83114446142088</v>
      </c>
      <c r="AJ33" s="216">
        <v>463.32824240852739</v>
      </c>
      <c r="AK33" s="216">
        <v>465.83887133814761</v>
      </c>
      <c r="AL33" s="216">
        <v>468.36310457038809</v>
      </c>
      <c r="AM33" s="216">
        <v>470.90101582265385</v>
      </c>
      <c r="AN33" s="216">
        <v>473.45267921180124</v>
      </c>
      <c r="AO33" s="216">
        <v>476.01816925630249</v>
      </c>
      <c r="AP33" s="216">
        <v>478.59756087842152</v>
      </c>
      <c r="AQ33" s="216">
        <v>481.19092940640252</v>
      </c>
      <c r="AR33" s="216">
        <v>483.79835057666935</v>
      </c>
      <c r="AS33" s="216">
        <v>486.41990053603774</v>
      </c>
      <c r="AT33" s="216">
        <v>489.05565584393872</v>
      </c>
      <c r="AU33" s="216">
        <v>491.70569347465482</v>
      </c>
      <c r="AV33" s="216">
        <v>494.37009081956774</v>
      </c>
      <c r="AW33" s="216">
        <v>497.04892568941824</v>
      </c>
      <c r="AX33" s="216">
        <v>499.74227631657948</v>
      </c>
      <c r="AY33" s="216">
        <v>502.45022135734035</v>
      </c>
      <c r="AZ33" s="216">
        <v>505.17283989420372</v>
      </c>
      <c r="BA33" s="216">
        <v>507.9102114381954</v>
      </c>
      <c r="BB33" s="216">
        <v>510.6624159311861</v>
      </c>
      <c r="BC33" s="216">
        <v>513.42953374822628</v>
      </c>
      <c r="BD33" s="216">
        <v>516.21164569989344</v>
      </c>
      <c r="BE33" s="216">
        <v>519.00883303465173</v>
      </c>
      <c r="BF33" s="216">
        <v>521.82117744122536</v>
      </c>
      <c r="BG33" s="216">
        <v>524.64876105098347</v>
      </c>
      <c r="BH33" s="216">
        <v>527.49166644033937</v>
      </c>
      <c r="BI33" s="216">
        <v>530.34997663316153</v>
      </c>
      <c r="BJ33" s="216">
        <v>533.22377510319848</v>
      </c>
      <c r="BK33" s="216">
        <v>536.11314577651694</v>
      </c>
      <c r="BL33" s="216">
        <v>539.01817303395194</v>
      </c>
    </row>
    <row r="34" spans="1:64">
      <c r="A34" t="s">
        <v>1356</v>
      </c>
      <c r="B34">
        <v>95</v>
      </c>
      <c r="C34">
        <v>96</v>
      </c>
      <c r="D34">
        <v>95</v>
      </c>
      <c r="E34">
        <v>94</v>
      </c>
      <c r="F34">
        <v>93</v>
      </c>
      <c r="G34">
        <v>93</v>
      </c>
      <c r="H34">
        <v>72</v>
      </c>
      <c r="I34">
        <v>35</v>
      </c>
      <c r="J34">
        <v>69</v>
      </c>
      <c r="K34">
        <v>86</v>
      </c>
      <c r="L34">
        <v>52</v>
      </c>
      <c r="M34">
        <v>62</v>
      </c>
      <c r="N34">
        <v>82</v>
      </c>
      <c r="O34">
        <v>53</v>
      </c>
      <c r="P34">
        <v>47</v>
      </c>
      <c r="Q34">
        <v>93</v>
      </c>
      <c r="R34">
        <v>77</v>
      </c>
      <c r="S34">
        <v>86</v>
      </c>
      <c r="T34">
        <v>80</v>
      </c>
      <c r="U34">
        <v>76</v>
      </c>
      <c r="V34">
        <v>83</v>
      </c>
      <c r="W34">
        <v>68</v>
      </c>
      <c r="X34">
        <v>63</v>
      </c>
      <c r="Y34" s="216">
        <v>57</v>
      </c>
      <c r="Z34" s="216">
        <v>63.530409850407153</v>
      </c>
      <c r="AA34" s="216">
        <v>62.827404636899196</v>
      </c>
      <c r="AB34" s="216">
        <v>62.13217863229896</v>
      </c>
      <c r="AC34" s="216">
        <v>61.444645754611514</v>
      </c>
      <c r="AD34" s="216">
        <v>60.764720874395046</v>
      </c>
      <c r="AE34" s="216">
        <v>60.092319804220274</v>
      </c>
      <c r="AF34" s="216">
        <v>59.427359288246471</v>
      </c>
      <c r="AG34" s="216">
        <v>58.769756991912793</v>
      </c>
      <c r="AH34" s="216">
        <v>58.119431491743747</v>
      </c>
      <c r="AI34" s="216">
        <v>57.476302265267456</v>
      </c>
      <c r="AJ34" s="216">
        <v>56.840289681045427</v>
      </c>
      <c r="AK34" s="216">
        <v>56.211314988812731</v>
      </c>
      <c r="AL34" s="216">
        <v>55.5893003097272</v>
      </c>
      <c r="AM34" s="216">
        <v>54.974168626726616</v>
      </c>
      <c r="AN34" s="216">
        <v>54.365843774992541</v>
      </c>
      <c r="AO34" s="216">
        <v>53.764250432519646</v>
      </c>
      <c r="AP34" s="216">
        <v>53.169314110789529</v>
      </c>
      <c r="AQ34" s="216">
        <v>52.580961145547519</v>
      </c>
      <c r="AR34" s="216">
        <v>51.999118687681779</v>
      </c>
      <c r="AS34" s="216">
        <v>51.423714694203127</v>
      </c>
      <c r="AT34" s="216">
        <v>50.854677919324864</v>
      </c>
      <c r="AU34" s="216">
        <v>50.291937905641106</v>
      </c>
      <c r="AV34" s="216">
        <v>49.7354249754029</v>
      </c>
      <c r="AW34" s="216">
        <v>49.185070221890832</v>
      </c>
      <c r="AX34" s="216">
        <v>48.640805500883012</v>
      </c>
      <c r="AY34" s="216">
        <v>48.102563422217621</v>
      </c>
      <c r="AZ34" s="216">
        <v>47.570277341448701</v>
      </c>
      <c r="BA34" s="216">
        <v>47.043881351594358</v>
      </c>
      <c r="BB34" s="216">
        <v>46.523310274976183</v>
      </c>
      <c r="BC34" s="216">
        <v>46.008499655149095</v>
      </c>
      <c r="BD34" s="216">
        <v>45.499385748920439</v>
      </c>
      <c r="BE34" s="216">
        <v>44.995905518457299</v>
      </c>
      <c r="BF34" s="216">
        <v>44.497996623481335</v>
      </c>
      <c r="BG34" s="216">
        <v>44.0055974135498</v>
      </c>
      <c r="BH34" s="216">
        <v>43.51864692042215</v>
      </c>
      <c r="BI34" s="216">
        <v>43.037084850510958</v>
      </c>
      <c r="BJ34" s="216">
        <v>42.560851577416472</v>
      </c>
      <c r="BK34" s="216">
        <v>42.089888134543763</v>
      </c>
      <c r="BL34" s="216">
        <v>41.624136207801534</v>
      </c>
    </row>
    <row r="35" spans="1:64">
      <c r="A35" t="s">
        <v>73</v>
      </c>
      <c r="B35">
        <v>605</v>
      </c>
      <c r="C35">
        <v>622</v>
      </c>
      <c r="D35">
        <v>655</v>
      </c>
      <c r="E35">
        <v>664</v>
      </c>
      <c r="F35">
        <v>680</v>
      </c>
      <c r="G35">
        <v>699</v>
      </c>
      <c r="H35">
        <v>716</v>
      </c>
      <c r="I35">
        <v>743</v>
      </c>
      <c r="J35">
        <v>763</v>
      </c>
      <c r="K35">
        <v>765</v>
      </c>
      <c r="L35">
        <v>831</v>
      </c>
      <c r="M35">
        <v>851</v>
      </c>
      <c r="N35">
        <v>878</v>
      </c>
      <c r="O35">
        <v>896</v>
      </c>
      <c r="P35">
        <v>907</v>
      </c>
      <c r="Q35">
        <v>904</v>
      </c>
      <c r="R35">
        <v>927</v>
      </c>
      <c r="S35">
        <v>906</v>
      </c>
      <c r="T35">
        <v>931</v>
      </c>
      <c r="U35">
        <v>938</v>
      </c>
      <c r="V35">
        <v>972</v>
      </c>
      <c r="W35">
        <v>968</v>
      </c>
      <c r="X35">
        <v>983</v>
      </c>
      <c r="Y35" s="216">
        <v>989</v>
      </c>
      <c r="Z35" s="216">
        <v>1070.9839300592489</v>
      </c>
      <c r="AA35" s="216">
        <v>1094.6357427250139</v>
      </c>
      <c r="AB35" s="216">
        <v>1118.8098865170223</v>
      </c>
      <c r="AC35" s="216">
        <v>1143.5178966951419</v>
      </c>
      <c r="AD35" s="216">
        <v>1168.7715632661116</v>
      </c>
      <c r="AE35" s="216">
        <v>1194.5829366094206</v>
      </c>
      <c r="AF35" s="216">
        <v>1220.9643332274279</v>
      </c>
      <c r="AG35" s="216">
        <v>1247.9283416224732</v>
      </c>
      <c r="AH35" s="216">
        <v>1275.4878283037724</v>
      </c>
      <c r="AI35" s="216">
        <v>1303.6559439269784</v>
      </c>
      <c r="AJ35" s="216">
        <v>1332.4461295693213</v>
      </c>
      <c r="AK35" s="216">
        <v>1361.8721231433367</v>
      </c>
      <c r="AL35" s="216">
        <v>1391.9479659522312</v>
      </c>
      <c r="AM35" s="216">
        <v>1422.6880093900195</v>
      </c>
      <c r="AN35" s="216">
        <v>1454.1069217896309</v>
      </c>
      <c r="AO35" s="216">
        <v>1486.2196954222456</v>
      </c>
      <c r="AP35" s="216">
        <v>1519.0416536512105</v>
      </c>
      <c r="AQ35" s="216">
        <v>1552.588458243941</v>
      </c>
      <c r="AR35" s="216">
        <v>1586.8761168453013</v>
      </c>
      <c r="AS35" s="216">
        <v>1621.9209906160265</v>
      </c>
      <c r="AT35" s="216">
        <v>1657.7398020398359</v>
      </c>
      <c r="AU35" s="216">
        <v>1694.3496429029565</v>
      </c>
      <c r="AV35" s="216">
        <v>1731.7679824498716</v>
      </c>
      <c r="AW35" s="216">
        <v>1770.0126757191799</v>
      </c>
      <c r="AX35" s="216">
        <v>1809.1019720635459</v>
      </c>
      <c r="AY35" s="216">
        <v>1849.0545238578063</v>
      </c>
      <c r="AZ35" s="216">
        <v>1889.8893953993902</v>
      </c>
      <c r="BA35" s="216">
        <v>1931.626072005294</v>
      </c>
      <c r="BB35" s="216">
        <v>1974.2844693099566</v>
      </c>
      <c r="BC35" s="216">
        <v>2017.8849427684754</v>
      </c>
      <c r="BD35" s="216">
        <v>2062.4482973696859</v>
      </c>
      <c r="BE35" s="216">
        <v>2107.9957975637503</v>
      </c>
      <c r="BF35" s="216">
        <v>2154.5491774089919</v>
      </c>
      <c r="BG35" s="216">
        <v>2202.1306509428068</v>
      </c>
      <c r="BH35" s="216">
        <v>2250.7629227816169</v>
      </c>
      <c r="BI35" s="216">
        <v>2300.4691989549074</v>
      </c>
      <c r="BJ35" s="216">
        <v>2351.2731979785285</v>
      </c>
      <c r="BK35" s="216">
        <v>2403.1991621725433</v>
      </c>
      <c r="BL35" s="216">
        <v>2456.27186922902</v>
      </c>
    </row>
    <row r="36" spans="1:64">
      <c r="A36" t="s">
        <v>989</v>
      </c>
      <c r="K36">
        <v>17</v>
      </c>
      <c r="L36">
        <v>15</v>
      </c>
      <c r="M36">
        <v>18</v>
      </c>
      <c r="N36">
        <v>14</v>
      </c>
      <c r="O36">
        <v>12</v>
      </c>
      <c r="P36">
        <v>7</v>
      </c>
      <c r="Q36">
        <v>10</v>
      </c>
      <c r="R36">
        <v>8</v>
      </c>
      <c r="S36">
        <v>7</v>
      </c>
      <c r="T36">
        <v>7</v>
      </c>
      <c r="U36">
        <v>7</v>
      </c>
      <c r="V36">
        <v>8</v>
      </c>
      <c r="W36">
        <v>7</v>
      </c>
      <c r="X36">
        <v>7</v>
      </c>
      <c r="Y36" s="216">
        <v>6</v>
      </c>
      <c r="Z36" s="216">
        <v>5.1452446014213686</v>
      </c>
      <c r="AA36" s="216">
        <v>4.7769214533439728</v>
      </c>
      <c r="AB36" s="216">
        <v>4.4349647760408066</v>
      </c>
      <c r="AC36" s="216">
        <v>4.117487121533876</v>
      </c>
      <c r="AD36" s="216">
        <v>3.8227361551070245</v>
      </c>
      <c r="AE36" s="216">
        <v>3.5490849832017388</v>
      </c>
      <c r="AF36" s="216">
        <v>3.2950231736920488</v>
      </c>
      <c r="AG36" s="216">
        <v>3.059148418974468</v>
      </c>
      <c r="AH36" s="216">
        <v>2.8401587958569596</v>
      </c>
      <c r="AI36" s="216">
        <v>2.6368455795249783</v>
      </c>
      <c r="AJ36" s="216">
        <v>2.4480865719208866</v>
      </c>
      <c r="AK36" s="216">
        <v>2.2728399077123846</v>
      </c>
      <c r="AL36" s="216">
        <v>2.1101383036616657</v>
      </c>
      <c r="AM36" s="216">
        <v>1.9590837196543947</v>
      </c>
      <c r="AN36" s="216">
        <v>1.8188424019197726</v>
      </c>
      <c r="AO36" s="216">
        <v>1.6886402810824708</v>
      </c>
      <c r="AP36" s="216">
        <v>1.5677586996457449</v>
      </c>
      <c r="AQ36" s="216">
        <v>1.4555304453233502</v>
      </c>
      <c r="AR36" s="216">
        <v>1.3513360683260169</v>
      </c>
      <c r="AS36" s="216">
        <v>1.2546004622755542</v>
      </c>
      <c r="AT36" s="216">
        <v>1.1647896898747567</v>
      </c>
      <c r="AU36" s="216">
        <v>1.0814080358122369</v>
      </c>
      <c r="AV36" s="216">
        <v>1.0039952706355288</v>
      </c>
      <c r="AW36" s="216">
        <v>0.93212411049026822</v>
      </c>
      <c r="AX36" s="216">
        <v>0.86539785870434249</v>
      </c>
      <c r="AY36" s="216">
        <v>0.80344821619961737</v>
      </c>
      <c r="AZ36" s="216">
        <v>0.74593324864568178</v>
      </c>
      <c r="BA36" s="216">
        <v>0.69253549913521595</v>
      </c>
      <c r="BB36" s="216">
        <v>0.64296023596378815</v>
      </c>
      <c r="BC36" s="216">
        <v>0.59693382584261545</v>
      </c>
      <c r="BD36" s="216">
        <v>0.55420222356514592</v>
      </c>
      <c r="BE36" s="216">
        <v>0.51452956979109277</v>
      </c>
      <c r="BF36" s="216">
        <v>0.47769688920832509</v>
      </c>
      <c r="BG36" s="216">
        <v>0.44350088188704373</v>
      </c>
      <c r="BH36" s="216">
        <v>0.41175280115505819</v>
      </c>
      <c r="BI36" s="216">
        <v>0.3822774118005422</v>
      </c>
      <c r="BJ36" s="216">
        <v>0.35491202285200557</v>
      </c>
      <c r="BK36" s="216">
        <v>0.3295055895968681</v>
      </c>
      <c r="BL36" s="216">
        <v>0.3059178798821755</v>
      </c>
    </row>
    <row r="37" spans="1:64">
      <c r="A37" t="s">
        <v>990</v>
      </c>
      <c r="B37">
        <v>176</v>
      </c>
      <c r="C37">
        <v>167</v>
      </c>
      <c r="D37">
        <v>178</v>
      </c>
      <c r="E37">
        <v>158</v>
      </c>
      <c r="F37">
        <v>139</v>
      </c>
      <c r="G37">
        <v>104</v>
      </c>
      <c r="H37">
        <v>126</v>
      </c>
      <c r="I37">
        <v>114</v>
      </c>
      <c r="J37">
        <v>103</v>
      </c>
      <c r="K37">
        <v>79</v>
      </c>
      <c r="L37">
        <v>79</v>
      </c>
      <c r="M37">
        <v>83</v>
      </c>
      <c r="N37">
        <v>101</v>
      </c>
      <c r="O37">
        <v>105</v>
      </c>
      <c r="P37">
        <v>112</v>
      </c>
      <c r="Q37">
        <v>102</v>
      </c>
      <c r="R37">
        <v>101</v>
      </c>
      <c r="S37">
        <v>77</v>
      </c>
      <c r="T37">
        <v>84</v>
      </c>
      <c r="U37">
        <v>91</v>
      </c>
      <c r="V37">
        <v>98</v>
      </c>
      <c r="W37">
        <v>90</v>
      </c>
      <c r="X37">
        <v>92</v>
      </c>
      <c r="Y37" s="216">
        <v>96</v>
      </c>
      <c r="Z37" s="216">
        <v>95.51329510267901</v>
      </c>
      <c r="AA37" s="216">
        <v>95.94981170349439</v>
      </c>
      <c r="AB37" s="216">
        <v>96.388323280428892</v>
      </c>
      <c r="AC37" s="216">
        <v>96.828838950958698</v>
      </c>
      <c r="AD37" s="216">
        <v>97.271367874228858</v>
      </c>
      <c r="AE37" s="216">
        <v>97.715919251243719</v>
      </c>
      <c r="AF37" s="216">
        <v>98.162502325058199</v>
      </c>
      <c r="AG37" s="216">
        <v>98.61112638097002</v>
      </c>
      <c r="AH37" s="216">
        <v>99.061800746712748</v>
      </c>
      <c r="AI37" s="216">
        <v>99.514534792649712</v>
      </c>
      <c r="AJ37" s="216">
        <v>99.969337931968823</v>
      </c>
      <c r="AK37" s="216">
        <v>100.42621962087837</v>
      </c>
      <c r="AL37" s="216">
        <v>100.88518935880353</v>
      </c>
      <c r="AM37" s="216">
        <v>101.34625668858398</v>
      </c>
      <c r="AN37" s="216">
        <v>101.80943119667215</v>
      </c>
      <c r="AO37" s="216">
        <v>102.27472251333278</v>
      </c>
      <c r="AP37" s="216">
        <v>102.74214031284292</v>
      </c>
      <c r="AQ37" s="216">
        <v>103.21169431369324</v>
      </c>
      <c r="AR37" s="216">
        <v>103.68339427879</v>
      </c>
      <c r="AS37" s="216">
        <v>104.15725001565808</v>
      </c>
      <c r="AT37" s="216">
        <v>104.63327137664491</v>
      </c>
      <c r="AU37" s="216">
        <v>105.11146825912526</v>
      </c>
      <c r="AV37" s="216">
        <v>105.59185060570711</v>
      </c>
      <c r="AW37" s="216">
        <v>106.07442840443825</v>
      </c>
      <c r="AX37" s="216">
        <v>106.55921168901411</v>
      </c>
      <c r="AY37" s="216">
        <v>107.04621053898627</v>
      </c>
      <c r="AZ37" s="216">
        <v>107.53543507997206</v>
      </c>
      <c r="BA37" s="216">
        <v>108.02689548386505</v>
      </c>
      <c r="BB37" s="216">
        <v>108.52060196904664</v>
      </c>
      <c r="BC37" s="216">
        <v>109.01656480059846</v>
      </c>
      <c r="BD37" s="216">
        <v>109.51479429051575</v>
      </c>
      <c r="BE37" s="216">
        <v>110.01530079792187</v>
      </c>
      <c r="BF37" s="216">
        <v>110.51809472928363</v>
      </c>
      <c r="BG37" s="216">
        <v>111.02318653862763</v>
      </c>
      <c r="BH37" s="216">
        <v>111.53058672775771</v>
      </c>
      <c r="BI37" s="216">
        <v>112.04030584647315</v>
      </c>
      <c r="BJ37" s="216">
        <v>112.55235449278824</v>
      </c>
      <c r="BK37" s="216">
        <v>113.06674331315239</v>
      </c>
      <c r="BL37" s="216">
        <v>113.58348300267168</v>
      </c>
    </row>
    <row r="38" spans="1:64">
      <c r="A38" t="s">
        <v>9</v>
      </c>
      <c r="B38">
        <v>55</v>
      </c>
      <c r="C38">
        <v>58</v>
      </c>
      <c r="D38">
        <v>61</v>
      </c>
      <c r="E38">
        <v>61</v>
      </c>
      <c r="F38">
        <v>68</v>
      </c>
      <c r="G38">
        <v>74</v>
      </c>
      <c r="H38">
        <v>76</v>
      </c>
      <c r="I38">
        <v>72</v>
      </c>
      <c r="J38">
        <v>68</v>
      </c>
      <c r="K38">
        <v>103</v>
      </c>
      <c r="L38">
        <v>106</v>
      </c>
      <c r="M38">
        <v>90</v>
      </c>
      <c r="N38">
        <v>96</v>
      </c>
      <c r="O38">
        <v>86</v>
      </c>
      <c r="P38">
        <v>92</v>
      </c>
      <c r="Q38">
        <v>77</v>
      </c>
      <c r="R38">
        <v>73</v>
      </c>
      <c r="S38">
        <v>79</v>
      </c>
      <c r="T38">
        <v>82</v>
      </c>
      <c r="U38">
        <v>78</v>
      </c>
      <c r="V38">
        <v>79</v>
      </c>
      <c r="W38">
        <v>82</v>
      </c>
      <c r="X38">
        <v>78</v>
      </c>
      <c r="Y38" s="216">
        <v>72</v>
      </c>
      <c r="Z38" s="216">
        <v>88.388752870703996</v>
      </c>
      <c r="AA38" s="216">
        <v>89.398194090178009</v>
      </c>
      <c r="AB38" s="216">
        <v>90.419163604174585</v>
      </c>
      <c r="AC38" s="216">
        <v>91.451793071250933</v>
      </c>
      <c r="AD38" s="216">
        <v>92.496215653567148</v>
      </c>
      <c r="AE38" s="216">
        <v>93.55256603405789</v>
      </c>
      <c r="AF38" s="216">
        <v>94.620980433800412</v>
      </c>
      <c r="AG38" s="216">
        <v>95.701596629580919</v>
      </c>
      <c r="AH38" s="216">
        <v>96.794553971661429</v>
      </c>
      <c r="AI38" s="216">
        <v>97.89999340174964</v>
      </c>
      <c r="AJ38" s="216">
        <v>99.018057471173975</v>
      </c>
      <c r="AK38" s="216">
        <v>100.14889035926625</v>
      </c>
      <c r="AL38" s="216">
        <v>101.29263789195414</v>
      </c>
      <c r="AM38" s="216">
        <v>102.44944756056626</v>
      </c>
      <c r="AN38" s="216">
        <v>103.61946854085157</v>
      </c>
      <c r="AO38" s="216">
        <v>104.80285171221654</v>
      </c>
      <c r="AP38" s="216">
        <v>105.9997496771815</v>
      </c>
      <c r="AQ38" s="216">
        <v>107.21031678105949</v>
      </c>
      <c r="AR38" s="216">
        <v>108.4347091318598</v>
      </c>
      <c r="AS38" s="216">
        <v>109.67308462041876</v>
      </c>
      <c r="AT38" s="216">
        <v>110.9256029407605</v>
      </c>
      <c r="AU38" s="216">
        <v>112.19242561069009</v>
      </c>
      <c r="AV38" s="216">
        <v>113.47371599262218</v>
      </c>
      <c r="AW38" s="216">
        <v>114.76963931464709</v>
      </c>
      <c r="AX38" s="216">
        <v>116.08036269183789</v>
      </c>
      <c r="AY38" s="216">
        <v>117.4060551478005</v>
      </c>
      <c r="AZ38" s="216">
        <v>118.74688763647012</v>
      </c>
      <c r="BA38" s="216">
        <v>120.10303306415648</v>
      </c>
      <c r="BB38" s="216">
        <v>121.47466631184081</v>
      </c>
      <c r="BC38" s="216">
        <v>122.86196425772762</v>
      </c>
      <c r="BD38" s="216">
        <v>124.26510580005389</v>
      </c>
      <c r="BE38" s="216">
        <v>125.68427188015878</v>
      </c>
      <c r="BF38" s="216">
        <v>127.11964550581679</v>
      </c>
      <c r="BG38" s="216">
        <v>128.57141177483754</v>
      </c>
      <c r="BH38" s="216">
        <v>130.03975789893479</v>
      </c>
      <c r="BI38" s="216">
        <v>131.52487322786843</v>
      </c>
      <c r="BJ38" s="216">
        <v>133.02694927386173</v>
      </c>
      <c r="BK38" s="216">
        <v>134.54617973629792</v>
      </c>
      <c r="BL38" s="216">
        <v>136.08276052669839</v>
      </c>
    </row>
    <row r="39" spans="1:64">
      <c r="A39" t="s">
        <v>255</v>
      </c>
      <c r="B39">
        <v>130</v>
      </c>
      <c r="C39">
        <v>135</v>
      </c>
      <c r="D39">
        <v>133</v>
      </c>
      <c r="E39">
        <v>144</v>
      </c>
      <c r="F39">
        <v>153</v>
      </c>
      <c r="G39">
        <v>151</v>
      </c>
      <c r="H39">
        <v>131</v>
      </c>
      <c r="I39">
        <v>136</v>
      </c>
      <c r="J39">
        <v>136</v>
      </c>
      <c r="K39">
        <v>145</v>
      </c>
      <c r="L39">
        <v>134</v>
      </c>
      <c r="M39">
        <v>106</v>
      </c>
      <c r="N39">
        <v>101</v>
      </c>
      <c r="O39">
        <v>97</v>
      </c>
      <c r="P39">
        <v>97</v>
      </c>
      <c r="Q39">
        <v>99</v>
      </c>
      <c r="R39">
        <v>98</v>
      </c>
      <c r="S39">
        <v>78</v>
      </c>
      <c r="T39">
        <v>77</v>
      </c>
      <c r="U39">
        <v>73</v>
      </c>
      <c r="V39">
        <v>70</v>
      </c>
      <c r="W39">
        <v>70</v>
      </c>
      <c r="X39">
        <v>76</v>
      </c>
      <c r="Y39" s="216">
        <v>70</v>
      </c>
      <c r="Z39" s="216">
        <v>66.983833148717167</v>
      </c>
      <c r="AA39" s="216">
        <v>64.56703319617651</v>
      </c>
      <c r="AB39" s="216">
        <v>62.237432224883037</v>
      </c>
      <c r="AC39" s="216">
        <v>59.991884065323433</v>
      </c>
      <c r="AD39" s="216">
        <v>57.827356062872525</v>
      </c>
      <c r="AE39" s="216">
        <v>55.740924982136747</v>
      </c>
      <c r="AF39" s="216">
        <v>53.729773059070361</v>
      </c>
      <c r="AG39" s="216">
        <v>51.791184195532487</v>
      </c>
      <c r="AH39" s="216">
        <v>49.922540291146063</v>
      </c>
      <c r="AI39" s="216">
        <v>48.121317707504446</v>
      </c>
      <c r="AJ39" s="216">
        <v>46.385083859950768</v>
      </c>
      <c r="AK39" s="216">
        <v>44.711493932327016</v>
      </c>
      <c r="AL39" s="216">
        <v>43.098287710256109</v>
      </c>
      <c r="AM39" s="216">
        <v>41.543286528680312</v>
      </c>
      <c r="AN39" s="216">
        <v>40.044390329533485</v>
      </c>
      <c r="AO39" s="216">
        <v>38.599574825573484</v>
      </c>
      <c r="AP39" s="216">
        <v>37.206888766544594</v>
      </c>
      <c r="AQ39" s="216">
        <v>35.86445130397766</v>
      </c>
      <c r="AR39" s="216">
        <v>34.570449451069216</v>
      </c>
      <c r="AS39" s="216">
        <v>33.323135634209009</v>
      </c>
      <c r="AT39" s="216">
        <v>32.120825332849307</v>
      </c>
      <c r="AU39" s="216">
        <v>30.961894804528477</v>
      </c>
      <c r="AV39" s="216">
        <v>29.844778891976578</v>
      </c>
      <c r="AW39" s="216">
        <v>28.767968909341288</v>
      </c>
      <c r="AX39" s="216">
        <v>27.730010604679549</v>
      </c>
      <c r="AY39" s="216">
        <v>26.729502195963242</v>
      </c>
      <c r="AZ39" s="216">
        <v>25.765092477946428</v>
      </c>
      <c r="BA39" s="216">
        <v>24.8354789973375</v>
      </c>
      <c r="BB39" s="216">
        <v>23.939406293811729</v>
      </c>
      <c r="BC39" s="216">
        <v>23.075664204488735</v>
      </c>
      <c r="BD39" s="216">
        <v>22.243086229584943</v>
      </c>
      <c r="BE39" s="216">
        <v>21.4405479570339</v>
      </c>
      <c r="BF39" s="216">
        <v>20.666965543946841</v>
      </c>
      <c r="BG39" s="216">
        <v>19.921294252862683</v>
      </c>
      <c r="BH39" s="216">
        <v>19.202527040810576</v>
      </c>
      <c r="BI39" s="216">
        <v>18.509693199279653</v>
      </c>
      <c r="BJ39" s="216">
        <v>17.8418570432591</v>
      </c>
      <c r="BK39" s="216">
        <v>17.198116647578093</v>
      </c>
      <c r="BL39" s="216">
        <v>16.577602628839056</v>
      </c>
    </row>
    <row r="40" spans="1:64">
      <c r="A40" t="s">
        <v>991</v>
      </c>
      <c r="B40">
        <v>72</v>
      </c>
      <c r="C40">
        <v>77</v>
      </c>
      <c r="D40">
        <v>78</v>
      </c>
      <c r="E40">
        <v>79</v>
      </c>
      <c r="F40">
        <v>77</v>
      </c>
      <c r="G40">
        <v>74</v>
      </c>
      <c r="H40">
        <v>74</v>
      </c>
      <c r="I40">
        <v>74</v>
      </c>
      <c r="J40">
        <v>75</v>
      </c>
      <c r="K40">
        <v>50</v>
      </c>
      <c r="L40">
        <v>53</v>
      </c>
      <c r="M40">
        <v>56</v>
      </c>
      <c r="N40">
        <v>49</v>
      </c>
      <c r="O40">
        <v>51</v>
      </c>
      <c r="P40">
        <v>53</v>
      </c>
      <c r="Q40">
        <v>42</v>
      </c>
      <c r="R40">
        <v>45</v>
      </c>
      <c r="S40">
        <v>45</v>
      </c>
      <c r="T40">
        <v>49</v>
      </c>
      <c r="U40">
        <v>47</v>
      </c>
      <c r="V40">
        <v>44</v>
      </c>
      <c r="W40">
        <v>44</v>
      </c>
      <c r="X40">
        <v>48</v>
      </c>
      <c r="Y40" s="216">
        <v>48</v>
      </c>
      <c r="Z40" s="216">
        <v>39.632571761317209</v>
      </c>
      <c r="AA40" s="216">
        <v>38.497957416372451</v>
      </c>
      <c r="AB40" s="216">
        <v>37.395825185369404</v>
      </c>
      <c r="AC40" s="216">
        <v>36.325245159629581</v>
      </c>
      <c r="AD40" s="216">
        <v>35.285314052207013</v>
      </c>
      <c r="AE40" s="216">
        <v>34.275154435752576</v>
      </c>
      <c r="AF40" s="216">
        <v>33.293914002196892</v>
      </c>
      <c r="AG40" s="216">
        <v>32.340764843627269</v>
      </c>
      <c r="AH40" s="216">
        <v>31.414902753751996</v>
      </c>
      <c r="AI40" s="216">
        <v>30.515546549362529</v>
      </c>
      <c r="AJ40" s="216">
        <v>29.641937411221004</v>
      </c>
      <c r="AK40" s="216">
        <v>28.793338243817182</v>
      </c>
      <c r="AL40" s="216">
        <v>27.969033053454339</v>
      </c>
      <c r="AM40" s="216">
        <v>27.168326344139636</v>
      </c>
      <c r="AN40" s="216">
        <v>26.390542530769029</v>
      </c>
      <c r="AO40" s="216">
        <v>25.63502536911184</v>
      </c>
      <c r="AP40" s="216">
        <v>24.901137402113793</v>
      </c>
      <c r="AQ40" s="216">
        <v>24.188259422051576</v>
      </c>
      <c r="AR40" s="216">
        <v>23.495789948084919</v>
      </c>
      <c r="AS40" s="216">
        <v>22.82314471876559</v>
      </c>
      <c r="AT40" s="216">
        <v>22.169756199074914</v>
      </c>
      <c r="AU40" s="216">
        <v>21.535073101574039</v>
      </c>
      <c r="AV40" s="216">
        <v>20.918559921262883</v>
      </c>
      <c r="AW40" s="216">
        <v>20.319696483755223</v>
      </c>
      <c r="AX40" s="216">
        <v>19.737977506388862</v>
      </c>
      <c r="AY40" s="216">
        <v>19.172912171900428</v>
      </c>
      <c r="AZ40" s="216">
        <v>18.624023714305132</v>
      </c>
      <c r="BA40" s="216">
        <v>18.090849016632177</v>
      </c>
      <c r="BB40" s="216">
        <v>17.572938220176244</v>
      </c>
      <c r="BC40" s="216">
        <v>17.069854344935511</v>
      </c>
      <c r="BD40" s="216">
        <v>16.581172920915858</v>
      </c>
      <c r="BE40" s="216">
        <v>16.106481629990274</v>
      </c>
      <c r="BF40" s="216">
        <v>15.645379958011141</v>
      </c>
      <c r="BG40" s="216">
        <v>15.197478856882075</v>
      </c>
      <c r="BH40" s="216">
        <v>14.762400416303988</v>
      </c>
      <c r="BI40" s="216">
        <v>14.339777544918556</v>
      </c>
      <c r="BJ40" s="216">
        <v>13.929253660580029</v>
      </c>
      <c r="BK40" s="216">
        <v>13.53048238949401</v>
      </c>
      <c r="BL40" s="216">
        <v>13.143127273969403</v>
      </c>
    </row>
    <row r="41" spans="1:64">
      <c r="A41" t="s">
        <v>1388</v>
      </c>
      <c r="K41">
        <v>0</v>
      </c>
      <c r="L41">
        <v>4</v>
      </c>
      <c r="M41">
        <v>2</v>
      </c>
      <c r="N41">
        <v>1</v>
      </c>
      <c r="O41">
        <v>0</v>
      </c>
      <c r="P41">
        <v>0</v>
      </c>
      <c r="Q41">
        <v>0</v>
      </c>
      <c r="R41">
        <v>0</v>
      </c>
      <c r="S41">
        <v>0</v>
      </c>
      <c r="T41">
        <v>0</v>
      </c>
      <c r="U41">
        <v>0</v>
      </c>
      <c r="V41">
        <v>0</v>
      </c>
      <c r="W41">
        <v>0</v>
      </c>
      <c r="X41">
        <v>0</v>
      </c>
      <c r="Y41" s="216">
        <v>0</v>
      </c>
      <c r="Z41" s="216">
        <v>0</v>
      </c>
      <c r="AA41" s="216">
        <v>0</v>
      </c>
      <c r="AB41" s="216">
        <v>0</v>
      </c>
      <c r="AC41" s="216">
        <v>0</v>
      </c>
      <c r="AD41" s="216">
        <v>0</v>
      </c>
      <c r="AE41" s="216">
        <v>0</v>
      </c>
      <c r="AF41" s="216">
        <v>0</v>
      </c>
      <c r="AG41" s="216">
        <v>0</v>
      </c>
      <c r="AH41" s="216">
        <v>0</v>
      </c>
      <c r="AI41" s="216">
        <v>0</v>
      </c>
      <c r="AJ41" s="216">
        <v>0</v>
      </c>
      <c r="AK41" s="216">
        <v>0</v>
      </c>
      <c r="AL41" s="216">
        <v>0</v>
      </c>
      <c r="AM41" s="216">
        <v>0</v>
      </c>
      <c r="AN41" s="216">
        <v>0</v>
      </c>
      <c r="AO41" s="216">
        <v>0</v>
      </c>
      <c r="AP41" s="216">
        <v>0</v>
      </c>
      <c r="AQ41" s="216">
        <v>0</v>
      </c>
      <c r="AR41" s="216">
        <v>0</v>
      </c>
      <c r="AS41" s="216">
        <v>0</v>
      </c>
      <c r="AT41" s="216">
        <v>0</v>
      </c>
      <c r="AU41" s="216">
        <v>0</v>
      </c>
      <c r="AV41" s="216">
        <v>0</v>
      </c>
      <c r="AW41" s="216">
        <v>0</v>
      </c>
      <c r="AX41" s="216">
        <v>0</v>
      </c>
      <c r="AY41" s="216">
        <v>0</v>
      </c>
      <c r="AZ41" s="216">
        <v>0</v>
      </c>
      <c r="BA41" s="216">
        <v>0</v>
      </c>
      <c r="BB41" s="216">
        <v>0</v>
      </c>
      <c r="BC41" s="216">
        <v>0</v>
      </c>
      <c r="BD41" s="216">
        <v>0</v>
      </c>
      <c r="BE41" s="216">
        <v>0</v>
      </c>
      <c r="BF41" s="216">
        <v>0</v>
      </c>
      <c r="BG41" s="216">
        <v>0</v>
      </c>
      <c r="BH41" s="216">
        <v>0</v>
      </c>
      <c r="BI41" s="216">
        <v>0</v>
      </c>
      <c r="BJ41" s="216">
        <v>0</v>
      </c>
      <c r="BK41" s="216">
        <v>0</v>
      </c>
      <c r="BL41" s="216">
        <v>0</v>
      </c>
    </row>
    <row r="42" spans="1:64">
      <c r="A42" t="s">
        <v>10</v>
      </c>
      <c r="B42">
        <v>64</v>
      </c>
      <c r="C42">
        <v>63</v>
      </c>
      <c r="D42">
        <v>62</v>
      </c>
      <c r="E42">
        <v>59</v>
      </c>
      <c r="F42">
        <v>57</v>
      </c>
      <c r="G42">
        <v>57</v>
      </c>
      <c r="H42">
        <v>55</v>
      </c>
      <c r="I42">
        <v>55</v>
      </c>
      <c r="J42">
        <v>52</v>
      </c>
      <c r="K42">
        <v>93</v>
      </c>
      <c r="L42">
        <v>95</v>
      </c>
      <c r="M42">
        <v>88</v>
      </c>
      <c r="N42">
        <v>86</v>
      </c>
      <c r="O42">
        <v>109</v>
      </c>
      <c r="P42">
        <v>106</v>
      </c>
      <c r="Q42">
        <v>105</v>
      </c>
      <c r="R42">
        <v>99</v>
      </c>
      <c r="S42">
        <v>99</v>
      </c>
      <c r="T42">
        <v>93</v>
      </c>
      <c r="U42">
        <v>93</v>
      </c>
      <c r="V42">
        <v>104</v>
      </c>
      <c r="W42">
        <v>94</v>
      </c>
      <c r="X42">
        <v>95</v>
      </c>
      <c r="Y42" s="216">
        <v>94</v>
      </c>
      <c r="Z42" s="216">
        <v>97.676706037660608</v>
      </c>
      <c r="AA42" s="216">
        <v>97.805188730375576</v>
      </c>
      <c r="AB42" s="216">
        <v>97.933840427584983</v>
      </c>
      <c r="AC42" s="216">
        <v>98.062661351595253</v>
      </c>
      <c r="AD42" s="216">
        <v>98.191651725005144</v>
      </c>
      <c r="AE42" s="216">
        <v>98.320811770706243</v>
      </c>
      <c r="AF42" s="216">
        <v>98.45014171188329</v>
      </c>
      <c r="AG42" s="216">
        <v>98.579641772014654</v>
      </c>
      <c r="AH42" s="216">
        <v>98.709312174872622</v>
      </c>
      <c r="AI42" s="216">
        <v>98.839153144523834</v>
      </c>
      <c r="AJ42" s="216">
        <v>98.969164905329677</v>
      </c>
      <c r="AK42" s="216">
        <v>99.099347681946682</v>
      </c>
      <c r="AL42" s="216">
        <v>99.229701699326839</v>
      </c>
      <c r="AM42" s="216">
        <v>99.360227182718091</v>
      </c>
      <c r="AN42" s="216">
        <v>99.490924357664611</v>
      </c>
      <c r="AO42" s="216">
        <v>99.621793450007289</v>
      </c>
      <c r="AP42" s="216">
        <v>99.752834685884054</v>
      </c>
      <c r="AQ42" s="216">
        <v>99.884048291730366</v>
      </c>
      <c r="AR42" s="216">
        <v>100.01543449427945</v>
      </c>
      <c r="AS42" s="216">
        <v>100.14699352056277</v>
      </c>
      <c r="AT42" s="216">
        <v>100.27872559791055</v>
      </c>
      <c r="AU42" s="216">
        <v>100.41063095395188</v>
      </c>
      <c r="AV42" s="216">
        <v>100.54270981661536</v>
      </c>
      <c r="AW42" s="216">
        <v>100.67496241412938</v>
      </c>
      <c r="AX42" s="216">
        <v>100.80738897502256</v>
      </c>
      <c r="AY42" s="216">
        <v>100.93998972812412</v>
      </c>
      <c r="AZ42" s="216">
        <v>101.07276490256424</v>
      </c>
      <c r="BA42" s="216">
        <v>101.20571472777456</v>
      </c>
      <c r="BB42" s="216">
        <v>101.33883943348843</v>
      </c>
      <c r="BC42" s="216">
        <v>101.47213924974146</v>
      </c>
      <c r="BD42" s="216">
        <v>101.60561440687182</v>
      </c>
      <c r="BE42" s="216">
        <v>101.73926513552063</v>
      </c>
      <c r="BF42" s="216">
        <v>101.87309166663249</v>
      </c>
      <c r="BG42" s="216">
        <v>102.00709423145562</v>
      </c>
      <c r="BH42" s="216">
        <v>102.14127306154262</v>
      </c>
      <c r="BI42" s="216">
        <v>102.27562838875052</v>
      </c>
      <c r="BJ42" s="216">
        <v>102.41016044524137</v>
      </c>
      <c r="BK42" s="216">
        <v>102.54486946348263</v>
      </c>
      <c r="BL42" s="216">
        <v>102.67975567624751</v>
      </c>
    </row>
    <row r="43" spans="1:64">
      <c r="A43" t="s">
        <v>992</v>
      </c>
      <c r="B43">
        <v>56</v>
      </c>
      <c r="C43">
        <v>69</v>
      </c>
      <c r="D43">
        <v>57</v>
      </c>
      <c r="E43">
        <v>60</v>
      </c>
      <c r="F43">
        <v>69</v>
      </c>
      <c r="G43">
        <v>78</v>
      </c>
      <c r="H43">
        <v>85</v>
      </c>
      <c r="I43">
        <v>86</v>
      </c>
      <c r="J43">
        <v>94</v>
      </c>
      <c r="K43">
        <v>123</v>
      </c>
      <c r="L43">
        <v>116</v>
      </c>
      <c r="M43">
        <v>144</v>
      </c>
      <c r="N43">
        <v>144</v>
      </c>
      <c r="O43">
        <v>127</v>
      </c>
      <c r="P43">
        <v>122</v>
      </c>
      <c r="Q43">
        <v>128</v>
      </c>
      <c r="R43">
        <v>139</v>
      </c>
      <c r="S43">
        <v>140</v>
      </c>
      <c r="T43">
        <v>133</v>
      </c>
      <c r="U43">
        <v>126</v>
      </c>
      <c r="V43">
        <v>128</v>
      </c>
      <c r="W43">
        <v>139</v>
      </c>
      <c r="X43">
        <v>132</v>
      </c>
      <c r="Y43" s="216">
        <v>116</v>
      </c>
      <c r="Z43" s="216">
        <v>129.9942684299269</v>
      </c>
      <c r="AA43" s="216">
        <v>129.97376579623298</v>
      </c>
      <c r="AB43" s="216">
        <v>129.95326639620464</v>
      </c>
      <c r="AC43" s="216">
        <v>129.93277022933182</v>
      </c>
      <c r="AD43" s="216">
        <v>129.91227729510462</v>
      </c>
      <c r="AE43" s="216">
        <v>129.89178759301316</v>
      </c>
      <c r="AF43" s="216">
        <v>129.87130112254772</v>
      </c>
      <c r="AG43" s="216">
        <v>129.85081788319857</v>
      </c>
      <c r="AH43" s="216">
        <v>129.83033787445612</v>
      </c>
      <c r="AI43" s="216">
        <v>129.80986109581082</v>
      </c>
      <c r="AJ43" s="216">
        <v>129.78938754675323</v>
      </c>
      <c r="AK43" s="216">
        <v>129.76891722677397</v>
      </c>
      <c r="AL43" s="216">
        <v>129.74845013536378</v>
      </c>
      <c r="AM43" s="216">
        <v>129.72798627201342</v>
      </c>
      <c r="AN43" s="216">
        <v>129.7075256362138</v>
      </c>
      <c r="AO43" s="216">
        <v>129.68706822745582</v>
      </c>
      <c r="AP43" s="216">
        <v>129.66661404523057</v>
      </c>
      <c r="AQ43" s="216">
        <v>129.64616308902913</v>
      </c>
      <c r="AR43" s="216">
        <v>129.62571535834269</v>
      </c>
      <c r="AS43" s="216">
        <v>129.60527085266253</v>
      </c>
      <c r="AT43" s="216">
        <v>129.58482957147999</v>
      </c>
      <c r="AU43" s="216">
        <v>129.56439151428654</v>
      </c>
      <c r="AV43" s="216">
        <v>129.54395668057367</v>
      </c>
      <c r="AW43" s="216">
        <v>129.52352506983297</v>
      </c>
      <c r="AX43" s="216">
        <v>129.50309668155612</v>
      </c>
      <c r="AY43" s="216">
        <v>129.48267151523487</v>
      </c>
      <c r="AZ43" s="216">
        <v>129.46224957036108</v>
      </c>
      <c r="BA43" s="216">
        <v>129.44183084642663</v>
      </c>
      <c r="BB43" s="216">
        <v>129.42141534292352</v>
      </c>
      <c r="BC43" s="216">
        <v>129.40100305934382</v>
      </c>
      <c r="BD43" s="216">
        <v>129.38059399517974</v>
      </c>
      <c r="BE43" s="216">
        <v>129.36018814992346</v>
      </c>
      <c r="BF43" s="216">
        <v>129.33978552306732</v>
      </c>
      <c r="BG43" s="216">
        <v>129.31938611410368</v>
      </c>
      <c r="BH43" s="216">
        <v>129.29898992252507</v>
      </c>
      <c r="BI43" s="216">
        <v>129.27859694782401</v>
      </c>
      <c r="BJ43" s="216">
        <v>129.25820718949313</v>
      </c>
      <c r="BK43" s="216">
        <v>129.23782064702516</v>
      </c>
      <c r="BL43" s="216">
        <v>129.2174373199129</v>
      </c>
    </row>
    <row r="44" spans="1:64">
      <c r="A44" t="s">
        <v>188</v>
      </c>
      <c r="B44">
        <v>128</v>
      </c>
      <c r="C44">
        <v>101</v>
      </c>
      <c r="D44">
        <v>116</v>
      </c>
      <c r="E44">
        <v>121</v>
      </c>
      <c r="F44">
        <v>124</v>
      </c>
      <c r="G44">
        <v>122</v>
      </c>
      <c r="H44">
        <v>114</v>
      </c>
      <c r="I44">
        <v>113</v>
      </c>
      <c r="J44">
        <v>105</v>
      </c>
      <c r="K44">
        <v>119</v>
      </c>
      <c r="L44">
        <v>109</v>
      </c>
      <c r="M44">
        <v>100</v>
      </c>
      <c r="N44">
        <v>105</v>
      </c>
      <c r="O44">
        <v>109</v>
      </c>
      <c r="P44">
        <v>100</v>
      </c>
      <c r="Q44">
        <v>105</v>
      </c>
      <c r="R44">
        <v>96</v>
      </c>
      <c r="S44">
        <v>94</v>
      </c>
      <c r="T44">
        <v>107</v>
      </c>
      <c r="U44">
        <v>118</v>
      </c>
      <c r="V44">
        <v>135</v>
      </c>
      <c r="W44">
        <v>138</v>
      </c>
      <c r="X44">
        <v>127</v>
      </c>
      <c r="Y44" s="216">
        <v>134</v>
      </c>
      <c r="Z44" s="216">
        <v>116.10292808822044</v>
      </c>
      <c r="AA44" s="216">
        <v>116.31337237325107</v>
      </c>
      <c r="AB44" s="216">
        <v>116.5241981025556</v>
      </c>
      <c r="AC44" s="216">
        <v>116.73540596752717</v>
      </c>
      <c r="AD44" s="216">
        <v>116.9469966608121</v>
      </c>
      <c r="AE44" s="216">
        <v>117.15897087631218</v>
      </c>
      <c r="AF44" s="216">
        <v>117.37132930918699</v>
      </c>
      <c r="AG44" s="216">
        <v>117.58407265585608</v>
      </c>
      <c r="AH44" s="216">
        <v>117.7972016140013</v>
      </c>
      <c r="AI44" s="216">
        <v>118.01071688256913</v>
      </c>
      <c r="AJ44" s="216">
        <v>118.22461916177292</v>
      </c>
      <c r="AK44" s="216">
        <v>118.43890915309522</v>
      </c>
      <c r="AL44" s="216">
        <v>118.65358755929006</v>
      </c>
      <c r="AM44" s="216">
        <v>118.8686550843852</v>
      </c>
      <c r="AN44" s="216">
        <v>119.08411243368461</v>
      </c>
      <c r="AO44" s="216">
        <v>119.29996031377054</v>
      </c>
      <c r="AP44" s="216">
        <v>119.5161994325061</v>
      </c>
      <c r="AQ44" s="216">
        <v>119.73283049903736</v>
      </c>
      <c r="AR44" s="216">
        <v>119.94985422379577</v>
      </c>
      <c r="AS44" s="216">
        <v>120.16727131850053</v>
      </c>
      <c r="AT44" s="216">
        <v>120.38508249616082</v>
      </c>
      <c r="AU44" s="216">
        <v>120.60328847107824</v>
      </c>
      <c r="AV44" s="216">
        <v>120.82188995884913</v>
      </c>
      <c r="AW44" s="216">
        <v>121.04088767636682</v>
      </c>
      <c r="AX44" s="216">
        <v>121.26028234182411</v>
      </c>
      <c r="AY44" s="216">
        <v>121.48007467471554</v>
      </c>
      <c r="AZ44" s="216">
        <v>121.70026539583984</v>
      </c>
      <c r="BA44" s="216">
        <v>121.92085522730221</v>
      </c>
      <c r="BB44" s="216">
        <v>122.14184489251664</v>
      </c>
      <c r="BC44" s="216">
        <v>122.36323511620847</v>
      </c>
      <c r="BD44" s="216">
        <v>122.58502662441661</v>
      </c>
      <c r="BE44" s="216">
        <v>122.80722014449591</v>
      </c>
      <c r="BF44" s="216">
        <v>123.02981640511969</v>
      </c>
      <c r="BG44" s="216">
        <v>123.25281613628195</v>
      </c>
      <c r="BH44" s="216">
        <v>123.47622006929994</v>
      </c>
      <c r="BI44" s="216">
        <v>123.70002893681638</v>
      </c>
      <c r="BJ44" s="216">
        <v>123.92424347280205</v>
      </c>
      <c r="BK44" s="216">
        <v>124.14886441255803</v>
      </c>
      <c r="BL44" s="216">
        <v>124.37389249271818</v>
      </c>
    </row>
    <row r="45" spans="1:64">
      <c r="A45" t="s">
        <v>132</v>
      </c>
      <c r="B45">
        <v>87</v>
      </c>
      <c r="C45">
        <v>94</v>
      </c>
      <c r="D45">
        <v>81</v>
      </c>
      <c r="E45">
        <v>90</v>
      </c>
      <c r="F45">
        <v>91</v>
      </c>
      <c r="G45">
        <v>85</v>
      </c>
      <c r="H45">
        <v>82</v>
      </c>
      <c r="I45">
        <v>87</v>
      </c>
      <c r="J45">
        <v>89</v>
      </c>
      <c r="K45">
        <v>100</v>
      </c>
      <c r="L45">
        <v>97</v>
      </c>
      <c r="M45">
        <v>85</v>
      </c>
      <c r="N45">
        <v>98</v>
      </c>
      <c r="O45">
        <v>105</v>
      </c>
      <c r="P45">
        <v>98</v>
      </c>
      <c r="Q45">
        <v>105</v>
      </c>
      <c r="R45">
        <v>114</v>
      </c>
      <c r="S45">
        <v>107</v>
      </c>
      <c r="T45">
        <v>115</v>
      </c>
      <c r="U45">
        <v>104</v>
      </c>
      <c r="V45">
        <v>101</v>
      </c>
      <c r="W45">
        <v>113</v>
      </c>
      <c r="X45">
        <v>107</v>
      </c>
      <c r="Y45" s="216">
        <v>119</v>
      </c>
      <c r="Z45" s="216">
        <v>115.32914045106831</v>
      </c>
      <c r="AA45" s="216">
        <v>116.89100166005281</v>
      </c>
      <c r="AB45" s="216">
        <v>118.47401459553581</v>
      </c>
      <c r="AC45" s="216">
        <v>120.07846570776739</v>
      </c>
      <c r="AD45" s="216">
        <v>121.70464532629066</v>
      </c>
      <c r="AE45" s="216">
        <v>123.35284771247768</v>
      </c>
      <c r="AF45" s="216">
        <v>125.02337111277677</v>
      </c>
      <c r="AG45" s="216">
        <v>126.716517812681</v>
      </c>
      <c r="AH45" s="216">
        <v>128.43259419142751</v>
      </c>
      <c r="AI45" s="216">
        <v>130.17191077743766</v>
      </c>
      <c r="AJ45" s="216">
        <v>131.93478230450788</v>
      </c>
      <c r="AK45" s="216">
        <v>133.72152776876158</v>
      </c>
      <c r="AL45" s="216">
        <v>135.53247048637232</v>
      </c>
      <c r="AM45" s="216">
        <v>137.36793815206877</v>
      </c>
      <c r="AN45" s="216">
        <v>139.22826289843178</v>
      </c>
      <c r="AO45" s="216">
        <v>141.11378135599469</v>
      </c>
      <c r="AP45" s="216">
        <v>143.02483471415752</v>
      </c>
      <c r="AQ45" s="216">
        <v>144.96176878292599</v>
      </c>
      <c r="AR45" s="216">
        <v>146.92493405548686</v>
      </c>
      <c r="AS45" s="216">
        <v>148.91468577163039</v>
      </c>
      <c r="AT45" s="216">
        <v>150.93138398203195</v>
      </c>
      <c r="AU45" s="216">
        <v>152.97539361340429</v>
      </c>
      <c r="AV45" s="216">
        <v>155.04708453453173</v>
      </c>
      <c r="AW45" s="216">
        <v>157.14683162319895</v>
      </c>
      <c r="AX45" s="216">
        <v>159.27501483402611</v>
      </c>
      <c r="AY45" s="216">
        <v>161.43201926722259</v>
      </c>
      <c r="AZ45" s="216">
        <v>163.61823523827186</v>
      </c>
      <c r="BA45" s="216">
        <v>165.83405834856009</v>
      </c>
      <c r="BB45" s="216">
        <v>168.07988955696126</v>
      </c>
      <c r="BC45" s="216">
        <v>170.35613525239151</v>
      </c>
      <c r="BD45" s="216">
        <v>172.6632073273465</v>
      </c>
      <c r="BE45" s="216">
        <v>175.0015232524344</v>
      </c>
      <c r="BF45" s="216">
        <v>177.371506151918</v>
      </c>
      <c r="BG45" s="216">
        <v>179.7735848802804</v>
      </c>
      <c r="BH45" s="216">
        <v>182.2081940998273</v>
      </c>
      <c r="BI45" s="216">
        <v>184.67577435934012</v>
      </c>
      <c r="BJ45" s="216">
        <v>187.17677217379452</v>
      </c>
      <c r="BK45" s="216">
        <v>189.71164010515841</v>
      </c>
      <c r="BL45" s="216">
        <v>192.28083684428427</v>
      </c>
    </row>
    <row r="46" spans="1:64">
      <c r="A46" t="s">
        <v>996</v>
      </c>
      <c r="B46">
        <v>55</v>
      </c>
      <c r="C46">
        <v>71</v>
      </c>
      <c r="D46">
        <v>55</v>
      </c>
      <c r="E46">
        <v>61</v>
      </c>
      <c r="F46">
        <v>62</v>
      </c>
      <c r="G46">
        <v>66</v>
      </c>
      <c r="H46">
        <v>66</v>
      </c>
      <c r="I46">
        <v>64</v>
      </c>
      <c r="J46">
        <v>68</v>
      </c>
      <c r="K46">
        <v>75</v>
      </c>
      <c r="L46">
        <v>69</v>
      </c>
      <c r="M46">
        <v>65</v>
      </c>
      <c r="N46">
        <v>66</v>
      </c>
      <c r="O46">
        <v>63</v>
      </c>
      <c r="P46">
        <v>66</v>
      </c>
      <c r="Q46">
        <v>70</v>
      </c>
      <c r="R46">
        <v>67</v>
      </c>
      <c r="S46">
        <v>55</v>
      </c>
      <c r="T46">
        <v>62</v>
      </c>
      <c r="U46">
        <v>62</v>
      </c>
      <c r="V46">
        <v>59</v>
      </c>
      <c r="W46">
        <v>59</v>
      </c>
      <c r="X46">
        <v>54</v>
      </c>
      <c r="Y46" s="216">
        <v>48</v>
      </c>
      <c r="Z46" s="216">
        <v>58.823937625025046</v>
      </c>
      <c r="AA46" s="216">
        <v>58.537896566388909</v>
      </c>
      <c r="AB46" s="216">
        <v>58.253246429383147</v>
      </c>
      <c r="AC46" s="216">
        <v>57.969980450422852</v>
      </c>
      <c r="AD46" s="216">
        <v>57.688091898812175</v>
      </c>
      <c r="AE46" s="216">
        <v>57.407574076584396</v>
      </c>
      <c r="AF46" s="216">
        <v>57.128420318342748</v>
      </c>
      <c r="AG46" s="216">
        <v>56.850623991102033</v>
      </c>
      <c r="AH46" s="216">
        <v>56.574178494131061</v>
      </c>
      <c r="AI46" s="216">
        <v>56.299077258795762</v>
      </c>
      <c r="AJ46" s="216">
        <v>56.02531374840315</v>
      </c>
      <c r="AK46" s="216">
        <v>55.752881458045941</v>
      </c>
      <c r="AL46" s="216">
        <v>55.481773914448084</v>
      </c>
      <c r="AM46" s="216">
        <v>55.211984675810854</v>
      </c>
      <c r="AN46" s="216">
        <v>54.943507331659866</v>
      </c>
      <c r="AO46" s="216">
        <v>54.676335502692666</v>
      </c>
      <c r="AP46" s="216">
        <v>54.410462840627261</v>
      </c>
      <c r="AQ46" s="216">
        <v>54.145883028051202</v>
      </c>
      <c r="AR46" s="216">
        <v>53.882589778271495</v>
      </c>
      <c r="AS46" s="216">
        <v>53.62057683516521</v>
      </c>
      <c r="AT46" s="216">
        <v>53.359837973030864</v>
      </c>
      <c r="AU46" s="216">
        <v>53.100366996440464</v>
      </c>
      <c r="AV46" s="216">
        <v>52.842157740092297</v>
      </c>
      <c r="AW46" s="216">
        <v>52.585204068664432</v>
      </c>
      <c r="AX46" s="216">
        <v>52.329499876668983</v>
      </c>
      <c r="AY46" s="216">
        <v>52.075039088306973</v>
      </c>
      <c r="AZ46" s="216">
        <v>51.821815657324002</v>
      </c>
      <c r="BA46" s="216">
        <v>51.569823566866567</v>
      </c>
      <c r="BB46" s="216">
        <v>51.319056829339125</v>
      </c>
      <c r="BC46" s="216">
        <v>51.069509486261794</v>
      </c>
      <c r="BD46" s="216">
        <v>50.821175608128755</v>
      </c>
      <c r="BE46" s="216">
        <v>50.574049294267418</v>
      </c>
      <c r="BF46" s="216">
        <v>50.328124672698159</v>
      </c>
      <c r="BG46" s="216">
        <v>50.083395899994827</v>
      </c>
      <c r="BH46" s="216">
        <v>49.839857161145886</v>
      </c>
      <c r="BI46" s="216">
        <v>49.597502669416272</v>
      </c>
      <c r="BJ46" s="216">
        <v>49.356326666209831</v>
      </c>
      <c r="BK46" s="216">
        <v>49.116323420932567</v>
      </c>
      <c r="BL46" s="216">
        <v>48.877487230856417</v>
      </c>
    </row>
    <row r="47" spans="1:64">
      <c r="A47" t="s">
        <v>12</v>
      </c>
      <c r="B47">
        <v>194</v>
      </c>
      <c r="C47">
        <v>226</v>
      </c>
      <c r="D47">
        <v>226</v>
      </c>
      <c r="E47">
        <v>243</v>
      </c>
      <c r="F47">
        <v>251</v>
      </c>
      <c r="G47">
        <v>238</v>
      </c>
      <c r="H47">
        <v>251</v>
      </c>
      <c r="I47">
        <v>236</v>
      </c>
      <c r="J47">
        <v>228</v>
      </c>
      <c r="K47">
        <v>199</v>
      </c>
      <c r="L47">
        <v>180</v>
      </c>
      <c r="M47">
        <v>170</v>
      </c>
      <c r="N47">
        <v>179</v>
      </c>
      <c r="O47">
        <v>203</v>
      </c>
      <c r="P47">
        <v>185</v>
      </c>
      <c r="Q47">
        <v>200</v>
      </c>
      <c r="R47">
        <v>185</v>
      </c>
      <c r="S47">
        <v>183</v>
      </c>
      <c r="T47">
        <v>207</v>
      </c>
      <c r="U47">
        <v>176</v>
      </c>
      <c r="V47">
        <v>175</v>
      </c>
      <c r="W47">
        <v>180</v>
      </c>
      <c r="X47">
        <v>162</v>
      </c>
      <c r="Y47" s="216">
        <v>174</v>
      </c>
      <c r="Z47" s="216">
        <v>167.35696688740904</v>
      </c>
      <c r="AA47" s="216">
        <v>164.96758867826065</v>
      </c>
      <c r="AB47" s="216">
        <v>162.6123239472216</v>
      </c>
      <c r="AC47" s="216">
        <v>160.29068565151883</v>
      </c>
      <c r="AD47" s="216">
        <v>158.00219370195538</v>
      </c>
      <c r="AE47" s="216">
        <v>155.74637486363312</v>
      </c>
      <c r="AF47" s="216">
        <v>153.52276265809297</v>
      </c>
      <c r="AG47" s="216">
        <v>151.33089726685239</v>
      </c>
      <c r="AH47" s="216">
        <v>149.17032543631993</v>
      </c>
      <c r="AI47" s="216">
        <v>147.04060038406737</v>
      </c>
      <c r="AJ47" s="216">
        <v>144.94128170644009</v>
      </c>
      <c r="AK47" s="216">
        <v>142.87193528748645</v>
      </c>
      <c r="AL47" s="216">
        <v>140.8321332091873</v>
      </c>
      <c r="AM47" s="216">
        <v>138.8214536629674</v>
      </c>
      <c r="AN47" s="216">
        <v>136.83948086246994</v>
      </c>
      <c r="AO47" s="216">
        <v>134.8858049575766</v>
      </c>
      <c r="AP47" s="216">
        <v>132.96002194965499</v>
      </c>
      <c r="AQ47" s="216">
        <v>131.0617336080162</v>
      </c>
      <c r="AR47" s="216">
        <v>129.19054738756518</v>
      </c>
      <c r="AS47" s="216">
        <v>127.34607634762649</v>
      </c>
      <c r="AT47" s="216">
        <v>125.52793907192962</v>
      </c>
      <c r="AU47" s="216">
        <v>123.73575958973598</v>
      </c>
      <c r="AV47" s="216">
        <v>121.96916729809246</v>
      </c>
      <c r="AW47" s="216">
        <v>120.22779688519475</v>
      </c>
      <c r="AX47" s="216">
        <v>118.51128825484496</v>
      </c>
      <c r="AY47" s="216">
        <v>116.81928645198762</v>
      </c>
      <c r="AZ47" s="216">
        <v>115.15144158930899</v>
      </c>
      <c r="BA47" s="216">
        <v>113.50740877488413</v>
      </c>
      <c r="BB47" s="216">
        <v>111.88684804085705</v>
      </c>
      <c r="BC47" s="216">
        <v>110.28942427313916</v>
      </c>
      <c r="BD47" s="216">
        <v>108.7148071421114</v>
      </c>
      <c r="BE47" s="216">
        <v>107.16267103431562</v>
      </c>
      <c r="BF47" s="216">
        <v>105.63269498512138</v>
      </c>
      <c r="BG47" s="216">
        <v>104.12456261235396</v>
      </c>
      <c r="BH47" s="216">
        <v>102.63796205087006</v>
      </c>
      <c r="BI47" s="216">
        <v>101.17258588806749</v>
      </c>
      <c r="BJ47" s="216">
        <v>99.728131100315665</v>
      </c>
      <c r="BK47" s="216">
        <v>98.304298990293631</v>
      </c>
      <c r="BL47" s="216">
        <v>96.900795125222771</v>
      </c>
    </row>
    <row r="48" spans="1:64">
      <c r="A48" t="s">
        <v>145</v>
      </c>
      <c r="B48">
        <v>128</v>
      </c>
      <c r="C48">
        <v>128</v>
      </c>
      <c r="D48">
        <v>124</v>
      </c>
      <c r="E48">
        <v>102</v>
      </c>
      <c r="F48">
        <v>93</v>
      </c>
      <c r="G48">
        <v>91</v>
      </c>
      <c r="H48">
        <v>83</v>
      </c>
      <c r="I48">
        <v>77</v>
      </c>
      <c r="J48">
        <v>71</v>
      </c>
      <c r="K48">
        <v>88</v>
      </c>
      <c r="L48">
        <v>77</v>
      </c>
      <c r="M48">
        <v>124</v>
      </c>
      <c r="N48">
        <v>103</v>
      </c>
      <c r="O48">
        <v>99</v>
      </c>
      <c r="P48">
        <v>101</v>
      </c>
      <c r="Q48">
        <v>101</v>
      </c>
      <c r="R48">
        <v>87</v>
      </c>
      <c r="S48">
        <v>109</v>
      </c>
      <c r="T48">
        <v>110</v>
      </c>
      <c r="U48">
        <v>108</v>
      </c>
      <c r="V48">
        <v>93</v>
      </c>
      <c r="W48">
        <v>97</v>
      </c>
      <c r="X48">
        <v>85</v>
      </c>
      <c r="Y48" s="216">
        <v>89</v>
      </c>
      <c r="Z48" s="216">
        <v>91.940309892978831</v>
      </c>
      <c r="AA48" s="216">
        <v>91.515082544974675</v>
      </c>
      <c r="AB48" s="216">
        <v>91.091821889248365</v>
      </c>
      <c r="AC48" s="216">
        <v>90.670518829775105</v>
      </c>
      <c r="AD48" s="216">
        <v>90.251164312599471</v>
      </c>
      <c r="AE48" s="216">
        <v>89.833749325641008</v>
      </c>
      <c r="AF48" s="216">
        <v>89.418264898500425</v>
      </c>
      <c r="AG48" s="216">
        <v>89.004702102266833</v>
      </c>
      <c r="AH48" s="216">
        <v>88.593052049325934</v>
      </c>
      <c r="AI48" s="216">
        <v>88.183305893168949</v>
      </c>
      <c r="AJ48" s="216">
        <v>87.775454828202555</v>
      </c>
      <c r="AK48" s="216">
        <v>87.369490089559591</v>
      </c>
      <c r="AL48" s="216">
        <v>86.965402952910765</v>
      </c>
      <c r="AM48" s="216">
        <v>86.563184734277115</v>
      </c>
      <c r="AN48" s="216">
        <v>86.162826789843407</v>
      </c>
      <c r="AO48" s="216">
        <v>85.764320515772368</v>
      </c>
      <c r="AP48" s="216">
        <v>85.367657348019804</v>
      </c>
      <c r="AQ48" s="216">
        <v>84.972828762150556</v>
      </c>
      <c r="AR48" s="216">
        <v>84.579826273155234</v>
      </c>
      <c r="AS48" s="216">
        <v>84.188641435268011</v>
      </c>
      <c r="AT48" s="216">
        <v>83.799265841784973</v>
      </c>
      <c r="AU48" s="216">
        <v>83.411691124883575</v>
      </c>
      <c r="AV48" s="216">
        <v>83.025908955442731</v>
      </c>
      <c r="AW48" s="216">
        <v>82.641911042863867</v>
      </c>
      <c r="AX48" s="216">
        <v>82.25968913489271</v>
      </c>
      <c r="AY48" s="216">
        <v>81.879235017442014</v>
      </c>
      <c r="AZ48" s="216">
        <v>81.500540514414951</v>
      </c>
      <c r="BA48" s="216">
        <v>81.123597487529437</v>
      </c>
      <c r="BB48" s="216">
        <v>80.748397836143297</v>
      </c>
      <c r="BC48" s="216">
        <v>80.374933497080093</v>
      </c>
      <c r="BD48" s="216">
        <v>80.003196444455853</v>
      </c>
      <c r="BE48" s="216">
        <v>79.633178689506678</v>
      </c>
      <c r="BF48" s="216">
        <v>79.264872280416938</v>
      </c>
      <c r="BG48" s="216">
        <v>78.898269302148478</v>
      </c>
      <c r="BH48" s="216">
        <v>78.533361876270504</v>
      </c>
      <c r="BI48" s="216">
        <v>78.170142160790206</v>
      </c>
      <c r="BJ48" s="216">
        <v>77.808602349984326</v>
      </c>
      <c r="BK48" s="216">
        <v>77.44873467423136</v>
      </c>
      <c r="BL48" s="216">
        <v>77.090531399844565</v>
      </c>
    </row>
    <row r="49" spans="1:64">
      <c r="A49" t="s">
        <v>998</v>
      </c>
      <c r="K49">
        <v>13</v>
      </c>
      <c r="L49">
        <v>14</v>
      </c>
      <c r="M49">
        <v>11</v>
      </c>
      <c r="N49">
        <v>16</v>
      </c>
      <c r="O49">
        <v>11</v>
      </c>
      <c r="P49">
        <v>12</v>
      </c>
      <c r="Q49">
        <v>14</v>
      </c>
      <c r="R49">
        <v>12</v>
      </c>
      <c r="S49">
        <v>13</v>
      </c>
      <c r="T49">
        <v>14</v>
      </c>
      <c r="U49">
        <v>10</v>
      </c>
      <c r="V49">
        <v>12</v>
      </c>
      <c r="W49">
        <v>14</v>
      </c>
      <c r="X49">
        <v>11</v>
      </c>
      <c r="Y49" s="216">
        <v>9</v>
      </c>
      <c r="Z49" s="216">
        <v>10.939032508495474</v>
      </c>
      <c r="AA49" s="216">
        <v>10.783189836743356</v>
      </c>
      <c r="AB49" s="216">
        <v>10.62956737398321</v>
      </c>
      <c r="AC49" s="216">
        <v>10.478133490059363</v>
      </c>
      <c r="AD49" s="216">
        <v>10.328857005434417</v>
      </c>
      <c r="AE49" s="216">
        <v>10.181707184769531</v>
      </c>
      <c r="AF49" s="216">
        <v>10.036653730596143</v>
      </c>
      <c r="AG49" s="216">
        <v>9.8936667770778843</v>
      </c>
      <c r="AH49" s="216">
        <v>9.7527168838613179</v>
      </c>
      <c r="AI49" s="216">
        <v>9.6137750300143203</v>
      </c>
      <c r="AJ49" s="216">
        <v>9.4768126080507979</v>
      </c>
      <c r="AK49" s="216">
        <v>9.3418014180405446</v>
      </c>
      <c r="AL49" s="216">
        <v>9.2087136618030065</v>
      </c>
      <c r="AM49" s="216">
        <v>9.0775219371837501</v>
      </c>
      <c r="AN49" s="216">
        <v>8.9481992324125095</v>
      </c>
      <c r="AO49" s="216">
        <v>8.8207189205415624</v>
      </c>
      <c r="AP49" s="216">
        <v>8.6950547539633867</v>
      </c>
      <c r="AQ49" s="216">
        <v>8.5711808590063825</v>
      </c>
      <c r="AR49" s="216">
        <v>8.4490717306076153</v>
      </c>
      <c r="AS49" s="216">
        <v>8.3287022270614273</v>
      </c>
      <c r="AT49" s="216">
        <v>8.2100475648428972</v>
      </c>
      <c r="AU49" s="216">
        <v>8.0930833135049998</v>
      </c>
      <c r="AV49" s="216">
        <v>7.9777853906485134</v>
      </c>
      <c r="AW49" s="216">
        <v>7.8641300569635542</v>
      </c>
      <c r="AX49" s="216">
        <v>7.7520939113417588</v>
      </c>
      <c r="AY49" s="216">
        <v>7.6416538860581165</v>
      </c>
      <c r="AZ49" s="216">
        <v>7.532787242021417</v>
      </c>
      <c r="BA49" s="216">
        <v>7.425471564092387</v>
      </c>
      <c r="BB49" s="216">
        <v>7.3196847564685097</v>
      </c>
      <c r="BC49" s="216">
        <v>7.215405038134608</v>
      </c>
      <c r="BD49" s="216">
        <v>7.1126109383782259</v>
      </c>
      <c r="BE49" s="216">
        <v>7.0112812923689134</v>
      </c>
      <c r="BF49" s="216">
        <v>6.9113952368004856</v>
      </c>
      <c r="BG49" s="216">
        <v>6.8129322055953621</v>
      </c>
      <c r="BH49" s="216">
        <v>6.7158719256701058</v>
      </c>
      <c r="BI49" s="216">
        <v>6.6201944127612959</v>
      </c>
      <c r="BJ49" s="216">
        <v>6.5258799673108481</v>
      </c>
      <c r="BK49" s="216">
        <v>6.4329091704099781</v>
      </c>
      <c r="BL49" s="216">
        <v>6.3412628798009294</v>
      </c>
    </row>
    <row r="50" spans="1:64">
      <c r="A50" t="s">
        <v>1000</v>
      </c>
      <c r="B50">
        <v>455</v>
      </c>
      <c r="C50">
        <v>473</v>
      </c>
      <c r="D50">
        <v>483</v>
      </c>
      <c r="E50">
        <v>490</v>
      </c>
      <c r="F50">
        <v>497</v>
      </c>
      <c r="G50">
        <v>527</v>
      </c>
      <c r="H50">
        <v>532</v>
      </c>
      <c r="I50">
        <v>520</v>
      </c>
      <c r="J50">
        <v>553</v>
      </c>
      <c r="K50">
        <v>362</v>
      </c>
      <c r="L50">
        <v>397</v>
      </c>
      <c r="M50">
        <v>401</v>
      </c>
      <c r="N50">
        <v>476</v>
      </c>
      <c r="O50">
        <v>464</v>
      </c>
      <c r="P50">
        <v>460</v>
      </c>
      <c r="Q50">
        <v>393</v>
      </c>
      <c r="R50">
        <v>347</v>
      </c>
      <c r="S50">
        <v>323</v>
      </c>
      <c r="T50">
        <v>330</v>
      </c>
      <c r="U50">
        <v>328</v>
      </c>
      <c r="V50">
        <v>339</v>
      </c>
      <c r="W50">
        <v>321</v>
      </c>
      <c r="X50">
        <v>315</v>
      </c>
      <c r="Y50" s="216">
        <v>283</v>
      </c>
      <c r="Z50" s="216">
        <v>294.66287983342335</v>
      </c>
      <c r="AA50" s="216">
        <v>286.89244085286765</v>
      </c>
      <c r="AB50" s="216">
        <v>279.32691306433134</v>
      </c>
      <c r="AC50" s="216">
        <v>271.96089283531444</v>
      </c>
      <c r="AD50" s="216">
        <v>264.78911903038551</v>
      </c>
      <c r="AE50" s="216">
        <v>257.80646925344774</v>
      </c>
      <c r="AF50" s="216">
        <v>251.00795618909805</v>
      </c>
      <c r="AG50" s="216">
        <v>244.38872404046774</v>
      </c>
      <c r="AH50" s="216">
        <v>237.94404506099852</v>
      </c>
      <c r="AI50" s="216">
        <v>231.66931617767835</v>
      </c>
      <c r="AJ50" s="216">
        <v>225.56005570332417</v>
      </c>
      <c r="AK50" s="216">
        <v>219.61190013556399</v>
      </c>
      <c r="AL50" s="216">
        <v>213.82060104023176</v>
      </c>
      <c r="AM50" s="216">
        <v>208.18202201694885</v>
      </c>
      <c r="AN50" s="216">
        <v>202.69213574472522</v>
      </c>
      <c r="AO50" s="216">
        <v>197.34702110546939</v>
      </c>
      <c r="AP50" s="216">
        <v>192.1428603833541</v>
      </c>
      <c r="AQ50" s="216">
        <v>187.07593653803531</v>
      </c>
      <c r="AR50" s="216">
        <v>182.14263054977883</v>
      </c>
      <c r="AS50" s="216">
        <v>177.33941883459758</v>
      </c>
      <c r="AT50" s="216">
        <v>172.66287072755244</v>
      </c>
      <c r="AU50" s="216">
        <v>168.10964603242124</v>
      </c>
      <c r="AV50" s="216">
        <v>163.67649263598324</v>
      </c>
      <c r="AW50" s="216">
        <v>159.36024418521717</v>
      </c>
      <c r="AX50" s="216">
        <v>155.15781782575272</v>
      </c>
      <c r="AY50" s="216">
        <v>151.06621199996033</v>
      </c>
      <c r="AZ50" s="216">
        <v>147.08250430310699</v>
      </c>
      <c r="BA50" s="216">
        <v>143.20384939604608</v>
      </c>
      <c r="BB50" s="216">
        <v>139.42747697295115</v>
      </c>
      <c r="BC50" s="216">
        <v>135.75068978264196</v>
      </c>
      <c r="BD50" s="216">
        <v>132.17086170208876</v>
      </c>
      <c r="BE50" s="216">
        <v>128.68543586071999</v>
      </c>
      <c r="BF50" s="216">
        <v>125.29192281419301</v>
      </c>
      <c r="BG50" s="216">
        <v>121.98789876632326</v>
      </c>
      <c r="BH50" s="216">
        <v>118.77100383790275</v>
      </c>
      <c r="BI50" s="216">
        <v>115.63894038117046</v>
      </c>
      <c r="BJ50" s="216">
        <v>112.58947133873126</v>
      </c>
      <c r="BK50" s="216">
        <v>109.62041864575137</v>
      </c>
      <c r="BL50" s="216">
        <v>106.72966167428852</v>
      </c>
    </row>
    <row r="51" spans="1:64">
      <c r="A51" t="s">
        <v>11</v>
      </c>
      <c r="B51">
        <v>2140</v>
      </c>
      <c r="C51">
        <v>2149</v>
      </c>
      <c r="D51">
        <v>2573</v>
      </c>
      <c r="E51">
        <v>2557</v>
      </c>
      <c r="F51">
        <v>2508</v>
      </c>
      <c r="G51">
        <v>2523</v>
      </c>
      <c r="H51">
        <v>2492</v>
      </c>
      <c r="I51">
        <v>2534</v>
      </c>
      <c r="J51">
        <v>2435</v>
      </c>
      <c r="K51">
        <v>2454</v>
      </c>
      <c r="L51">
        <v>2478</v>
      </c>
      <c r="M51">
        <v>2406</v>
      </c>
      <c r="N51">
        <v>2400</v>
      </c>
      <c r="O51">
        <v>2427</v>
      </c>
      <c r="P51">
        <v>2417</v>
      </c>
      <c r="Q51">
        <v>2359</v>
      </c>
      <c r="R51">
        <v>2314</v>
      </c>
      <c r="S51">
        <v>2278</v>
      </c>
      <c r="T51">
        <v>2266</v>
      </c>
      <c r="U51">
        <v>2239</v>
      </c>
      <c r="V51">
        <v>2290</v>
      </c>
      <c r="W51">
        <v>2311</v>
      </c>
      <c r="X51">
        <v>2299</v>
      </c>
      <c r="Y51" s="216">
        <v>2286</v>
      </c>
      <c r="Z51" s="216">
        <v>2298.1537726426845</v>
      </c>
      <c r="AA51" s="216">
        <v>2291.9205134111648</v>
      </c>
      <c r="AB51" s="216">
        <v>2285.7041605856098</v>
      </c>
      <c r="AC51" s="216">
        <v>2279.504668310944</v>
      </c>
      <c r="AD51" s="216">
        <v>2273.3219908564661</v>
      </c>
      <c r="AE51" s="216">
        <v>2267.1560826155101</v>
      </c>
      <c r="AF51" s="216">
        <v>2261.0068981051077</v>
      </c>
      <c r="AG51" s="216">
        <v>2254.8743919656526</v>
      </c>
      <c r="AH51" s="216">
        <v>2248.7585189605688</v>
      </c>
      <c r="AI51" s="216">
        <v>2242.6592339759745</v>
      </c>
      <c r="AJ51" s="216">
        <v>2236.5764920203492</v>
      </c>
      <c r="AK51" s="216">
        <v>2230.5102482242023</v>
      </c>
      <c r="AL51" s="216">
        <v>2224.4604578397434</v>
      </c>
      <c r="AM51" s="216">
        <v>2218.4270762405499</v>
      </c>
      <c r="AN51" s="216">
        <v>2212.4100589212403</v>
      </c>
      <c r="AO51" s="216">
        <v>2206.4093614971425</v>
      </c>
      <c r="AP51" s="216">
        <v>2200.4249397039707</v>
      </c>
      <c r="AQ51" s="216">
        <v>2194.4567493974955</v>
      </c>
      <c r="AR51" s="216">
        <v>2188.5047465532202</v>
      </c>
      <c r="AS51" s="216">
        <v>2182.5688872660544</v>
      </c>
      <c r="AT51" s="216">
        <v>2176.6491277499913</v>
      </c>
      <c r="AU51" s="216">
        <v>2170.7454243377847</v>
      </c>
      <c r="AV51" s="216">
        <v>2164.8577334806264</v>
      </c>
      <c r="AW51" s="216">
        <v>2158.9860117478256</v>
      </c>
      <c r="AX51" s="216">
        <v>2153.130215826488</v>
      </c>
      <c r="AY51" s="216">
        <v>2147.2903025211958</v>
      </c>
      <c r="AZ51" s="216">
        <v>2141.4662287536903</v>
      </c>
      <c r="BA51" s="216">
        <v>2135.6579515625531</v>
      </c>
      <c r="BB51" s="216">
        <v>2129.8654281028907</v>
      </c>
      <c r="BC51" s="216">
        <v>2124.088615646016</v>
      </c>
      <c r="BD51" s="216">
        <v>2118.3274715791354</v>
      </c>
      <c r="BE51" s="216">
        <v>2112.5819534050324</v>
      </c>
      <c r="BF51" s="216">
        <v>2106.8520187417566</v>
      </c>
      <c r="BG51" s="216">
        <v>2101.1376253223093</v>
      </c>
      <c r="BH51" s="216">
        <v>2095.4387309943322</v>
      </c>
      <c r="BI51" s="216">
        <v>2089.7552937197961</v>
      </c>
      <c r="BJ51" s="216">
        <v>2084.0872715746909</v>
      </c>
      <c r="BK51" s="216">
        <v>2078.4346227487176</v>
      </c>
      <c r="BL51" s="216">
        <v>2072.7973055449784</v>
      </c>
    </row>
    <row r="52" spans="1:64">
      <c r="A52" t="s">
        <v>1173</v>
      </c>
      <c r="B52">
        <v>49</v>
      </c>
      <c r="C52">
        <v>47</v>
      </c>
      <c r="D52">
        <v>53</v>
      </c>
      <c r="E52">
        <v>56</v>
      </c>
      <c r="F52">
        <v>59</v>
      </c>
      <c r="G52">
        <v>53</v>
      </c>
      <c r="H52">
        <v>55</v>
      </c>
      <c r="I52">
        <v>56</v>
      </c>
      <c r="J52">
        <v>67</v>
      </c>
      <c r="K52">
        <v>102</v>
      </c>
      <c r="L52">
        <v>79</v>
      </c>
      <c r="M52">
        <v>71</v>
      </c>
      <c r="N52">
        <v>76</v>
      </c>
      <c r="O52">
        <v>75</v>
      </c>
      <c r="P52">
        <v>72</v>
      </c>
      <c r="Q52">
        <v>81</v>
      </c>
      <c r="R52">
        <v>77</v>
      </c>
      <c r="S52">
        <v>80</v>
      </c>
      <c r="T52">
        <v>69</v>
      </c>
      <c r="U52">
        <v>86</v>
      </c>
      <c r="V52">
        <v>85</v>
      </c>
      <c r="W52">
        <v>83</v>
      </c>
      <c r="X52">
        <v>65</v>
      </c>
      <c r="Y52" s="216">
        <v>71</v>
      </c>
      <c r="Z52" s="216">
        <v>87.722967531417169</v>
      </c>
      <c r="AA52" s="216">
        <v>89.515469249082074</v>
      </c>
      <c r="AB52" s="216">
        <v>91.344598346078158</v>
      </c>
      <c r="AC52" s="216">
        <v>93.211103253998814</v>
      </c>
      <c r="AD52" s="216">
        <v>95.115747697637758</v>
      </c>
      <c r="AE52" s="216">
        <v>97.05931100748515</v>
      </c>
      <c r="AF52" s="216">
        <v>99.042588438609201</v>
      </c>
      <c r="AG52" s="216">
        <v>101.06639149605368</v>
      </c>
      <c r="AH52" s="216">
        <v>103.13154826688439</v>
      </c>
      <c r="AI52" s="216">
        <v>105.23890375902073</v>
      </c>
      <c r="AJ52" s="216">
        <v>107.38932024699072</v>
      </c>
      <c r="AK52" s="216">
        <v>109.58367762475106</v>
      </c>
      <c r="AL52" s="216">
        <v>111.82287376571668</v>
      </c>
      <c r="AM52" s="216">
        <v>114.10782489014696</v>
      </c>
      <c r="AN52" s="216">
        <v>116.43946594003894</v>
      </c>
      <c r="AO52" s="216">
        <v>118.8187509616811</v>
      </c>
      <c r="AP52" s="216">
        <v>121.24665349602402</v>
      </c>
      <c r="AQ52" s="216">
        <v>123.72416697702781</v>
      </c>
      <c r="AR52" s="216">
        <v>126.25230513814911</v>
      </c>
      <c r="AS52" s="216">
        <v>128.83210242713429</v>
      </c>
      <c r="AT52" s="216">
        <v>131.46461442928825</v>
      </c>
      <c r="AU52" s="216">
        <v>134.15091829939223</v>
      </c>
      <c r="AV52" s="216">
        <v>136.89211320244726</v>
      </c>
      <c r="AW52" s="216">
        <v>139.68932076342364</v>
      </c>
      <c r="AX52" s="216">
        <v>142.54368552620031</v>
      </c>
      <c r="AY52" s="216">
        <v>145.45637542188229</v>
      </c>
      <c r="AZ52" s="216">
        <v>148.4285822466874</v>
      </c>
      <c r="BA52" s="216">
        <v>151.46152214959784</v>
      </c>
      <c r="BB52" s="216">
        <v>154.55643612997659</v>
      </c>
      <c r="BC52" s="216">
        <v>157.71459054535163</v>
      </c>
      <c r="BD52" s="216">
        <v>160.9372776295763</v>
      </c>
      <c r="BE52" s="216">
        <v>164.22581602157734</v>
      </c>
      <c r="BF52" s="216">
        <v>167.58155130490744</v>
      </c>
      <c r="BG52" s="216">
        <v>171.00585655832253</v>
      </c>
      <c r="BH52" s="216">
        <v>174.50013291760973</v>
      </c>
      <c r="BI52" s="216">
        <v>178.06581014889522</v>
      </c>
      <c r="BJ52" s="216">
        <v>181.70434723366691</v>
      </c>
      <c r="BK52" s="216">
        <v>185.41723296575159</v>
      </c>
      <c r="BL52" s="216">
        <v>189.20598656049003</v>
      </c>
    </row>
    <row r="53" spans="1:64">
      <c r="A53" t="s">
        <v>57</v>
      </c>
      <c r="B53">
        <v>1415</v>
      </c>
      <c r="C53">
        <v>1413</v>
      </c>
      <c r="D53">
        <v>1695</v>
      </c>
      <c r="E53">
        <v>1798</v>
      </c>
      <c r="F53">
        <v>1900</v>
      </c>
      <c r="G53">
        <v>2062</v>
      </c>
      <c r="H53">
        <v>2041</v>
      </c>
      <c r="I53">
        <v>2144</v>
      </c>
      <c r="J53">
        <v>2136</v>
      </c>
      <c r="K53">
        <v>1397</v>
      </c>
      <c r="L53">
        <v>1250</v>
      </c>
      <c r="M53">
        <v>1215</v>
      </c>
      <c r="N53">
        <v>1192</v>
      </c>
      <c r="O53">
        <v>1174</v>
      </c>
      <c r="P53">
        <v>1146</v>
      </c>
      <c r="Q53">
        <v>1152</v>
      </c>
      <c r="R53">
        <v>1120</v>
      </c>
      <c r="S53">
        <v>1193</v>
      </c>
      <c r="T53">
        <v>1194</v>
      </c>
      <c r="U53">
        <v>1201</v>
      </c>
      <c r="V53">
        <v>1250</v>
      </c>
      <c r="W53">
        <v>1241</v>
      </c>
      <c r="X53">
        <v>1194</v>
      </c>
      <c r="Y53" s="216">
        <v>1198</v>
      </c>
      <c r="Z53" s="216">
        <v>1176.69603584475</v>
      </c>
      <c r="AA53" s="216">
        <v>1173.0473766545367</v>
      </c>
      <c r="AB53" s="216">
        <v>1169.4100311030888</v>
      </c>
      <c r="AC53" s="216">
        <v>1165.7839641094588</v>
      </c>
      <c r="AD53" s="216">
        <v>1162.1691407014766</v>
      </c>
      <c r="AE53" s="216">
        <v>1158.5655260154133</v>
      </c>
      <c r="AF53" s="216">
        <v>1154.9730852956432</v>
      </c>
      <c r="AG53" s="216">
        <v>1151.3917838943109</v>
      </c>
      <c r="AH53" s="216">
        <v>1147.821587270995</v>
      </c>
      <c r="AI53" s="216">
        <v>1144.2624609923762</v>
      </c>
      <c r="AJ53" s="216">
        <v>1140.7143707319049</v>
      </c>
      <c r="AK53" s="216">
        <v>1137.17728226947</v>
      </c>
      <c r="AL53" s="216">
        <v>1133.6511614910687</v>
      </c>
      <c r="AM53" s="216">
        <v>1130.1359743884786</v>
      </c>
      <c r="AN53" s="216">
        <v>1126.631687058928</v>
      </c>
      <c r="AO53" s="216">
        <v>1123.13826570477</v>
      </c>
      <c r="AP53" s="216">
        <v>1119.6556766331564</v>
      </c>
      <c r="AQ53" s="216">
        <v>1116.1838862557124</v>
      </c>
      <c r="AR53" s="216">
        <v>1112.7228610882134</v>
      </c>
      <c r="AS53" s="216">
        <v>1109.272567750261</v>
      </c>
      <c r="AT53" s="216">
        <v>1105.832972964962</v>
      </c>
      <c r="AU53" s="216">
        <v>1102.4040435586069</v>
      </c>
      <c r="AV53" s="216">
        <v>1098.9857464603501</v>
      </c>
      <c r="AW53" s="216">
        <v>1095.5780487018908</v>
      </c>
      <c r="AX53" s="216">
        <v>1092.1809174171556</v>
      </c>
      <c r="AY53" s="216">
        <v>1088.7943198419807</v>
      </c>
      <c r="AZ53" s="216">
        <v>1085.4182233137965</v>
      </c>
      <c r="BA53" s="216">
        <v>1082.0525952713124</v>
      </c>
      <c r="BB53" s="216">
        <v>1078.6974032542028</v>
      </c>
      <c r="BC53" s="216">
        <v>1075.3526149027937</v>
      </c>
      <c r="BD53" s="216">
        <v>1072.018197957751</v>
      </c>
      <c r="BE53" s="216">
        <v>1068.6941202597698</v>
      </c>
      <c r="BF53" s="216">
        <v>1065.3803497492629</v>
      </c>
      <c r="BG53" s="216">
        <v>1062.0768544660525</v>
      </c>
      <c r="BH53" s="216">
        <v>1058.7836025490624</v>
      </c>
      <c r="BI53" s="216">
        <v>1055.5005622360095</v>
      </c>
      <c r="BJ53" s="216">
        <v>1052.2277018630984</v>
      </c>
      <c r="BK53" s="216">
        <v>1048.9649898647158</v>
      </c>
      <c r="BL53" s="216">
        <v>1045.7123947731259</v>
      </c>
    </row>
    <row r="54" spans="1:64">
      <c r="A54" t="s">
        <v>189</v>
      </c>
      <c r="B54">
        <v>112</v>
      </c>
      <c r="C54">
        <v>106</v>
      </c>
      <c r="D54">
        <v>122</v>
      </c>
      <c r="E54">
        <v>110</v>
      </c>
      <c r="F54">
        <v>135</v>
      </c>
      <c r="G54">
        <v>133</v>
      </c>
      <c r="H54">
        <v>139</v>
      </c>
      <c r="I54">
        <v>141</v>
      </c>
      <c r="J54">
        <v>137</v>
      </c>
      <c r="K54">
        <v>137</v>
      </c>
      <c r="L54">
        <v>130</v>
      </c>
      <c r="M54">
        <v>139</v>
      </c>
      <c r="N54">
        <v>134</v>
      </c>
      <c r="O54">
        <v>133</v>
      </c>
      <c r="P54">
        <v>128</v>
      </c>
      <c r="Q54">
        <v>103</v>
      </c>
      <c r="R54">
        <v>108</v>
      </c>
      <c r="S54">
        <v>109</v>
      </c>
      <c r="T54">
        <v>106</v>
      </c>
      <c r="U54">
        <v>105</v>
      </c>
      <c r="V54">
        <v>103</v>
      </c>
      <c r="W54">
        <v>90</v>
      </c>
      <c r="X54">
        <v>93</v>
      </c>
      <c r="Y54" s="216">
        <v>105</v>
      </c>
      <c r="Z54" s="216">
        <v>102.87164934579289</v>
      </c>
      <c r="AA54" s="216">
        <v>101.74944266271167</v>
      </c>
      <c r="AB54" s="216">
        <v>100.63947791263689</v>
      </c>
      <c r="AC54" s="216">
        <v>99.541621550718034</v>
      </c>
      <c r="AD54" s="216">
        <v>98.455741488919202</v>
      </c>
      <c r="AE54" s="216">
        <v>97.381707080127057</v>
      </c>
      <c r="AF54" s="216">
        <v>96.319389102432027</v>
      </c>
      <c r="AG54" s="216">
        <v>95.26865974358104</v>
      </c>
      <c r="AH54" s="216">
        <v>94.229392585599868</v>
      </c>
      <c r="AI54" s="216">
        <v>93.201462589583244</v>
      </c>
      <c r="AJ54" s="216">
        <v>92.184746080650839</v>
      </c>
      <c r="AK54" s="216">
        <v>91.179120733067336</v>
      </c>
      <c r="AL54" s="216">
        <v>90.184465555524966</v>
      </c>
      <c r="AM54" s="216">
        <v>89.200660876586397</v>
      </c>
      <c r="AN54" s="216">
        <v>88.22758833028665</v>
      </c>
      <c r="AO54" s="216">
        <v>87.265130841891803</v>
      </c>
      <c r="AP54" s="216">
        <v>86.313172613813379</v>
      </c>
      <c r="AQ54" s="216">
        <v>85.371599111676019</v>
      </c>
      <c r="AR54" s="216">
        <v>84.440297050537524</v>
      </c>
      <c r="AS54" s="216">
        <v>83.519154381258929</v>
      </c>
      <c r="AT54" s="216">
        <v>82.608060277023355</v>
      </c>
      <c r="AU54" s="216">
        <v>81.706905120002034</v>
      </c>
      <c r="AV54" s="216">
        <v>80.815580488165565</v>
      </c>
      <c r="AW54" s="216">
        <v>79.933979142239295</v>
      </c>
      <c r="AX54" s="216">
        <v>79.061995012800779</v>
      </c>
      <c r="AY54" s="216">
        <v>78.199523187518167</v>
      </c>
      <c r="AZ54" s="216">
        <v>77.346459898527684</v>
      </c>
      <c r="BA54" s="216">
        <v>76.50270250994889</v>
      </c>
      <c r="BB54" s="216">
        <v>75.668149505536022</v>
      </c>
      <c r="BC54" s="216">
        <v>74.842700476464202</v>
      </c>
      <c r="BD54" s="216">
        <v>74.026256109248763</v>
      </c>
      <c r="BE54" s="216">
        <v>73.218718173796418</v>
      </c>
      <c r="BF54" s="216">
        <v>72.419989511586678</v>
      </c>
      <c r="BG54" s="216">
        <v>71.629974023982385</v>
      </c>
      <c r="BH54" s="216">
        <v>70.84857666066759</v>
      </c>
      <c r="BI54" s="216">
        <v>70.075703408211623</v>
      </c>
      <c r="BJ54" s="216">
        <v>69.311261278757925</v>
      </c>
      <c r="BK54" s="216">
        <v>68.555158298836275</v>
      </c>
      <c r="BL54" s="216">
        <v>67.807303498296989</v>
      </c>
    </row>
    <row r="55" spans="1:64">
      <c r="A55" t="s">
        <v>42</v>
      </c>
      <c r="B55">
        <v>154</v>
      </c>
      <c r="C55">
        <v>163</v>
      </c>
      <c r="D55">
        <v>159</v>
      </c>
      <c r="E55">
        <v>156</v>
      </c>
      <c r="F55">
        <v>151</v>
      </c>
      <c r="G55">
        <v>142</v>
      </c>
      <c r="H55">
        <v>159</v>
      </c>
      <c r="I55">
        <v>154</v>
      </c>
      <c r="J55">
        <v>148</v>
      </c>
      <c r="K55">
        <v>136</v>
      </c>
      <c r="L55">
        <v>138</v>
      </c>
      <c r="M55">
        <v>131</v>
      </c>
      <c r="N55">
        <v>134</v>
      </c>
      <c r="O55">
        <v>149</v>
      </c>
      <c r="P55">
        <v>144</v>
      </c>
      <c r="Q55">
        <v>143</v>
      </c>
      <c r="R55">
        <v>139</v>
      </c>
      <c r="S55">
        <v>140</v>
      </c>
      <c r="T55">
        <v>126</v>
      </c>
      <c r="U55">
        <v>122</v>
      </c>
      <c r="V55">
        <v>124</v>
      </c>
      <c r="W55">
        <v>143</v>
      </c>
      <c r="X55">
        <v>138</v>
      </c>
      <c r="Y55" s="216">
        <v>152</v>
      </c>
      <c r="Z55" s="216">
        <v>130.83622362509593</v>
      </c>
      <c r="AA55" s="216">
        <v>129.90141519858719</v>
      </c>
      <c r="AB55" s="216">
        <v>128.97328586117206</v>
      </c>
      <c r="AC55" s="216">
        <v>128.05178789159584</v>
      </c>
      <c r="AD55" s="216">
        <v>127.13687390956605</v>
      </c>
      <c r="AE55" s="216">
        <v>126.22849687331653</v>
      </c>
      <c r="AF55" s="216">
        <v>125.32661007718863</v>
      </c>
      <c r="AG55" s="216">
        <v>124.43116714922978</v>
      </c>
      <c r="AH55" s="216">
        <v>123.54212204880922</v>
      </c>
      <c r="AI55" s="216">
        <v>122.6594290642507</v>
      </c>
      <c r="AJ55" s="216">
        <v>121.7830428104822</v>
      </c>
      <c r="AK55" s="216">
        <v>120.91291822670233</v>
      </c>
      <c r="AL55" s="216">
        <v>120.0490105740635</v>
      </c>
      <c r="AM55" s="216">
        <v>119.19127543337154</v>
      </c>
      <c r="AN55" s="216">
        <v>118.33966870280194</v>
      </c>
      <c r="AO55" s="216">
        <v>117.4941465956321</v>
      </c>
      <c r="AP55" s="216">
        <v>116.65466563799015</v>
      </c>
      <c r="AQ55" s="216">
        <v>115.82118266661953</v>
      </c>
      <c r="AR55" s="216">
        <v>114.99365482665978</v>
      </c>
      <c r="AS55" s="216">
        <v>114.17203956944303</v>
      </c>
      <c r="AT55" s="216">
        <v>113.35629465030631</v>
      </c>
      <c r="AU55" s="216">
        <v>112.54637812641948</v>
      </c>
      <c r="AV55" s="216">
        <v>111.74224835462867</v>
      </c>
      <c r="AW55" s="216">
        <v>110.94386398931515</v>
      </c>
      <c r="AX55" s="216">
        <v>110.15118398026939</v>
      </c>
      <c r="AY55" s="216">
        <v>109.36416757058052</v>
      </c>
      <c r="AZ55" s="216">
        <v>108.58277429454067</v>
      </c>
      <c r="BA55" s="216">
        <v>107.8069639755644</v>
      </c>
      <c r="BB55" s="216">
        <v>107.03669672412293</v>
      </c>
      <c r="BC55" s="216">
        <v>106.27193293569316</v>
      </c>
      <c r="BD55" s="216">
        <v>105.51263328872136</v>
      </c>
      <c r="BE55" s="216">
        <v>104.75875874260133</v>
      </c>
      <c r="BF55" s="216">
        <v>104.01027053566719</v>
      </c>
      <c r="BG55" s="216">
        <v>103.26713018320025</v>
      </c>
      <c r="BH55" s="216">
        <v>102.52929947545032</v>
      </c>
      <c r="BI55" s="216">
        <v>101.79674047567109</v>
      </c>
      <c r="BJ55" s="216">
        <v>101.06941551816956</v>
      </c>
      <c r="BK55" s="216">
        <v>100.34728720636939</v>
      </c>
      <c r="BL55" s="216">
        <v>99.630318410888066</v>
      </c>
    </row>
    <row r="56" spans="1:64">
      <c r="A56" t="s">
        <v>1001</v>
      </c>
      <c r="B56">
        <v>681</v>
      </c>
      <c r="C56">
        <v>726</v>
      </c>
      <c r="D56">
        <v>746</v>
      </c>
      <c r="E56">
        <v>783</v>
      </c>
      <c r="F56">
        <v>807</v>
      </c>
      <c r="G56">
        <v>843</v>
      </c>
      <c r="H56">
        <v>838</v>
      </c>
      <c r="I56">
        <v>877</v>
      </c>
      <c r="J56">
        <v>889</v>
      </c>
      <c r="K56">
        <v>885</v>
      </c>
      <c r="L56">
        <v>851</v>
      </c>
      <c r="M56">
        <v>841</v>
      </c>
      <c r="N56">
        <v>890</v>
      </c>
      <c r="O56">
        <v>854</v>
      </c>
      <c r="P56">
        <v>863</v>
      </c>
      <c r="Q56">
        <v>832</v>
      </c>
      <c r="R56">
        <v>820</v>
      </c>
      <c r="S56">
        <v>854</v>
      </c>
      <c r="T56">
        <v>888</v>
      </c>
      <c r="U56">
        <v>958</v>
      </c>
      <c r="V56">
        <v>1017</v>
      </c>
      <c r="W56">
        <v>1094</v>
      </c>
      <c r="X56">
        <v>1101</v>
      </c>
      <c r="Y56" s="216">
        <v>1089</v>
      </c>
      <c r="Z56" s="216">
        <v>1044.1344021116533</v>
      </c>
      <c r="AA56" s="216">
        <v>1059.4959473881941</v>
      </c>
      <c r="AB56" s="216">
        <v>1075.083495249082</v>
      </c>
      <c r="AC56" s="216">
        <v>1090.9003706962758</v>
      </c>
      <c r="AD56" s="216">
        <v>1106.9499476499275</v>
      </c>
      <c r="AE56" s="216">
        <v>1123.2356496680766</v>
      </c>
      <c r="AF56" s="216">
        <v>1139.7609506769361</v>
      </c>
      <c r="AG56" s="216">
        <v>1156.5293757119198</v>
      </c>
      <c r="AH56" s="216">
        <v>1173.5445016695724</v>
      </c>
      <c r="AI56" s="216">
        <v>1190.8099580705623</v>
      </c>
      <c r="AJ56" s="216">
        <v>1208.3294278339006</v>
      </c>
      <c r="AK56" s="216">
        <v>1226.1066480625491</v>
      </c>
      <c r="AL56" s="216">
        <v>1244.1454108405867</v>
      </c>
      <c r="AM56" s="216">
        <v>1262.4495640421055</v>
      </c>
      <c r="AN56" s="216">
        <v>1281.0230121520051</v>
      </c>
      <c r="AO56" s="216">
        <v>1299.8697170988644</v>
      </c>
      <c r="AP56" s="216">
        <v>1318.9936991000654</v>
      </c>
      <c r="AQ56" s="216">
        <v>1338.3990375193537</v>
      </c>
      <c r="AR56" s="216">
        <v>1358.0898717370096</v>
      </c>
      <c r="AS56" s="216">
        <v>1378.0704020328292</v>
      </c>
      <c r="AT56" s="216">
        <v>1398.3448904820893</v>
      </c>
      <c r="AU56" s="216">
        <v>1418.9176618646982</v>
      </c>
      <c r="AV56" s="216">
        <v>1439.7931045877194</v>
      </c>
      <c r="AW56" s="216">
        <v>1460.9756716214702</v>
      </c>
      <c r="AX56" s="216">
        <v>1482.46988144939</v>
      </c>
      <c r="AY56" s="216">
        <v>1504.2803190318857</v>
      </c>
      <c r="AZ56" s="216">
        <v>1526.4116367843549</v>
      </c>
      <c r="BA56" s="216">
        <v>1548.8685555695997</v>
      </c>
      <c r="BB56" s="216">
        <v>1571.6558657048402</v>
      </c>
      <c r="BC56" s="216">
        <v>1594.778427983546</v>
      </c>
      <c r="BD56" s="216">
        <v>1618.2411747122951</v>
      </c>
      <c r="BE56" s="216">
        <v>1642.0491107628948</v>
      </c>
      <c r="BF56" s="216">
        <v>1666.2073146399757</v>
      </c>
      <c r="BG56" s="216">
        <v>1690.7209395642967</v>
      </c>
      <c r="BH56" s="216">
        <v>1715.5952145719841</v>
      </c>
      <c r="BI56" s="216">
        <v>1740.8354456299448</v>
      </c>
      <c r="BJ56" s="216">
        <v>1766.4470167676916</v>
      </c>
      <c r="BK56" s="216">
        <v>1792.4353912258157</v>
      </c>
      <c r="BL56" s="216">
        <v>1818.8061126213597</v>
      </c>
    </row>
    <row r="57" spans="1:64">
      <c r="A57" t="s">
        <v>1364</v>
      </c>
      <c r="K57">
        <v>1570</v>
      </c>
      <c r="L57">
        <v>1638</v>
      </c>
      <c r="M57">
        <v>1641</v>
      </c>
      <c r="N57">
        <v>1665</v>
      </c>
      <c r="O57">
        <v>1679</v>
      </c>
      <c r="P57">
        <v>1805</v>
      </c>
      <c r="Q57">
        <v>1768</v>
      </c>
      <c r="R57">
        <v>2021</v>
      </c>
      <c r="S57">
        <v>2044</v>
      </c>
      <c r="T57">
        <v>2148</v>
      </c>
      <c r="U57">
        <v>2251</v>
      </c>
      <c r="V57">
        <v>2323</v>
      </c>
      <c r="W57">
        <v>2311</v>
      </c>
      <c r="X57">
        <v>2306</v>
      </c>
      <c r="Y57" s="216">
        <v>2249</v>
      </c>
      <c r="Z57" s="216">
        <v>2509.2583536038483</v>
      </c>
      <c r="AA57" s="216">
        <v>2591.0812947378377</v>
      </c>
      <c r="AB57" s="216">
        <v>2675.5723524036307</v>
      </c>
      <c r="AC57" s="216">
        <v>2762.8185296559773</v>
      </c>
      <c r="AD57" s="216">
        <v>2852.9096665814604</v>
      </c>
      <c r="AE57" s="216">
        <v>2945.9385328096123</v>
      </c>
      <c r="AF57" s="216">
        <v>3042.000923040669</v>
      </c>
      <c r="AG57" s="216">
        <v>3141.1957556883376</v>
      </c>
      <c r="AH57" s="216">
        <v>3243.6251747391439</v>
      </c>
      <c r="AI57" s="216">
        <v>3349.3946549332541</v>
      </c>
      <c r="AJ57" s="216">
        <v>3458.6131103750768</v>
      </c>
      <c r="AK57" s="216">
        <v>3571.3930066854837</v>
      </c>
      <c r="AL57" s="216">
        <v>3687.8504768111375</v>
      </c>
      <c r="AM57" s="216">
        <v>3808.1054406101789</v>
      </c>
      <c r="AN57" s="216">
        <v>3932.2817283374111</v>
      </c>
      <c r="AO57" s="216">
        <v>4060.507208156143</v>
      </c>
      <c r="AP57" s="216">
        <v>4192.9139178079913</v>
      </c>
      <c r="AQ57" s="216">
        <v>4329.6382005762271</v>
      </c>
      <c r="AR57" s="216">
        <v>4470.820845682666</v>
      </c>
      <c r="AS57" s="216">
        <v>4616.6072332626918</v>
      </c>
      <c r="AT57" s="216">
        <v>4767.1474840676665</v>
      </c>
      <c r="AU57" s="216">
        <v>4922.5966140489218</v>
      </c>
      <c r="AV57" s="216">
        <v>5083.1146939824685</v>
      </c>
      <c r="AW57" s="216">
        <v>5248.8670142988276</v>
      </c>
      <c r="AX57" s="216">
        <v>5420.0242552876989</v>
      </c>
      <c r="AY57" s="216">
        <v>5596.7626628527323</v>
      </c>
      <c r="AZ57" s="216">
        <v>5779.2642299973832</v>
      </c>
      <c r="BA57" s="216">
        <v>5967.7168842287392</v>
      </c>
      <c r="BB57" s="216">
        <v>6162.314681072281</v>
      </c>
      <c r="BC57" s="216">
        <v>6363.2580038968636</v>
      </c>
      <c r="BD57" s="216">
        <v>6570.7537702556592</v>
      </c>
      <c r="BE57" s="216">
        <v>6785.0156449555689</v>
      </c>
      <c r="BF57" s="216">
        <v>7006.2642600744748</v>
      </c>
      <c r="BG57" s="216">
        <v>7234.7274421529173</v>
      </c>
      <c r="BH57" s="216">
        <v>7470.6404467941256</v>
      </c>
      <c r="BI57" s="216">
        <v>7714.2462009139917</v>
      </c>
      <c r="BJ57" s="216">
        <v>7965.7955528904195</v>
      </c>
      <c r="BK57" s="216">
        <v>8225.5475308696678</v>
      </c>
      <c r="BL57" s="216">
        <v>8493.7696094956264</v>
      </c>
    </row>
    <row r="58" spans="1:64">
      <c r="A58" t="s">
        <v>23</v>
      </c>
      <c r="B58">
        <v>2118</v>
      </c>
      <c r="C58">
        <v>2130</v>
      </c>
      <c r="D58">
        <v>2192</v>
      </c>
      <c r="E58">
        <v>2156</v>
      </c>
      <c r="F58">
        <v>2179</v>
      </c>
      <c r="G58">
        <v>2223</v>
      </c>
      <c r="H58">
        <v>2248</v>
      </c>
      <c r="I58">
        <v>2318</v>
      </c>
      <c r="J58">
        <v>2302</v>
      </c>
      <c r="K58">
        <v>2466</v>
      </c>
      <c r="L58">
        <v>2452</v>
      </c>
      <c r="M58">
        <v>2457</v>
      </c>
      <c r="N58">
        <v>2374</v>
      </c>
      <c r="O58">
        <v>2396</v>
      </c>
      <c r="P58">
        <v>2364</v>
      </c>
      <c r="Q58">
        <v>2389</v>
      </c>
      <c r="R58">
        <v>2379</v>
      </c>
      <c r="S58">
        <v>2309</v>
      </c>
      <c r="T58">
        <v>2245</v>
      </c>
      <c r="U58">
        <v>2329</v>
      </c>
      <c r="V58">
        <v>2369</v>
      </c>
      <c r="W58">
        <v>2401</v>
      </c>
      <c r="X58">
        <v>2395</v>
      </c>
      <c r="Y58" s="216">
        <v>2431</v>
      </c>
      <c r="Z58" s="216">
        <v>2343.3946551119097</v>
      </c>
      <c r="AA58" s="216">
        <v>2338.4841634779018</v>
      </c>
      <c r="AB58" s="216">
        <v>2333.5839615866121</v>
      </c>
      <c r="AC58" s="216">
        <v>2328.6940278762872</v>
      </c>
      <c r="AD58" s="216">
        <v>2323.8143408303581</v>
      </c>
      <c r="AE58" s="216">
        <v>2318.9448789773396</v>
      </c>
      <c r="AF58" s="216">
        <v>2314.0856208907412</v>
      </c>
      <c r="AG58" s="216">
        <v>2309.2365451889709</v>
      </c>
      <c r="AH58" s="216">
        <v>2304.3976305352403</v>
      </c>
      <c r="AI58" s="216">
        <v>2299.5688556374712</v>
      </c>
      <c r="AJ58" s="216">
        <v>2294.7501992482025</v>
      </c>
      <c r="AK58" s="216">
        <v>2289.9416401644967</v>
      </c>
      <c r="AL58" s="216">
        <v>2285.1431572278457</v>
      </c>
      <c r="AM58" s="216">
        <v>2280.3547293240781</v>
      </c>
      <c r="AN58" s="216">
        <v>2275.5763353832667</v>
      </c>
      <c r="AO58" s="216">
        <v>2270.8079543796362</v>
      </c>
      <c r="AP58" s="216">
        <v>2266.0495653314683</v>
      </c>
      <c r="AQ58" s="216">
        <v>2261.3011473010124</v>
      </c>
      <c r="AR58" s="216">
        <v>2256.562679394392</v>
      </c>
      <c r="AS58" s="216">
        <v>2251.8341407615121</v>
      </c>
      <c r="AT58" s="216">
        <v>2247.1155105959697</v>
      </c>
      <c r="AU58" s="216">
        <v>2242.4067681349588</v>
      </c>
      <c r="AV58" s="216">
        <v>2237.7078926591835</v>
      </c>
      <c r="AW58" s="216">
        <v>2233.0188634927617</v>
      </c>
      <c r="AX58" s="216">
        <v>2228.3396600031392</v>
      </c>
      <c r="AY58" s="216">
        <v>2223.6702616009948</v>
      </c>
      <c r="AZ58" s="216">
        <v>2219.0106477401523</v>
      </c>
      <c r="BA58" s="216">
        <v>2214.360797917489</v>
      </c>
      <c r="BB58" s="216">
        <v>2209.720691672846</v>
      </c>
      <c r="BC58" s="216">
        <v>2205.0903085889368</v>
      </c>
      <c r="BD58" s="216">
        <v>2200.4696282912591</v>
      </c>
      <c r="BE58" s="216">
        <v>2195.8586304480059</v>
      </c>
      <c r="BF58" s="216">
        <v>2191.2572947699728</v>
      </c>
      <c r="BG58" s="216">
        <v>2186.6656010104712</v>
      </c>
      <c r="BH58" s="216">
        <v>2182.0835289652391</v>
      </c>
      <c r="BI58" s="216">
        <v>2177.5110584723516</v>
      </c>
      <c r="BJ58" s="216">
        <v>2172.9481694121318</v>
      </c>
      <c r="BK58" s="216">
        <v>2168.3948417070628</v>
      </c>
      <c r="BL58" s="216">
        <v>2163.8510553217006</v>
      </c>
    </row>
    <row r="59" spans="1:64">
      <c r="A59" t="s">
        <v>135</v>
      </c>
      <c r="B59">
        <v>175</v>
      </c>
      <c r="C59">
        <v>182</v>
      </c>
      <c r="D59">
        <v>178</v>
      </c>
      <c r="E59">
        <v>170</v>
      </c>
      <c r="F59">
        <v>154</v>
      </c>
      <c r="G59">
        <v>170</v>
      </c>
      <c r="H59">
        <v>173</v>
      </c>
      <c r="I59">
        <v>175</v>
      </c>
      <c r="J59">
        <v>136</v>
      </c>
      <c r="K59">
        <v>146</v>
      </c>
      <c r="L59">
        <v>139</v>
      </c>
      <c r="M59">
        <v>128</v>
      </c>
      <c r="N59">
        <v>137</v>
      </c>
      <c r="O59">
        <v>142</v>
      </c>
      <c r="P59">
        <v>133</v>
      </c>
      <c r="Q59">
        <v>112</v>
      </c>
      <c r="R59">
        <v>144</v>
      </c>
      <c r="S59">
        <v>130</v>
      </c>
      <c r="T59">
        <v>118</v>
      </c>
      <c r="U59">
        <v>115</v>
      </c>
      <c r="V59">
        <v>114</v>
      </c>
      <c r="W59">
        <v>121</v>
      </c>
      <c r="X59">
        <v>119</v>
      </c>
      <c r="Y59" s="216">
        <v>111</v>
      </c>
      <c r="Z59" s="216">
        <v>107.66140697168684</v>
      </c>
      <c r="AA59" s="216">
        <v>105.38107182654366</v>
      </c>
      <c r="AB59" s="216">
        <v>103.14903558924907</v>
      </c>
      <c r="AC59" s="216">
        <v>100.96427525908128</v>
      </c>
      <c r="AD59" s="216">
        <v>98.825789503106151</v>
      </c>
      <c r="AE59" s="216">
        <v>96.73259819723998</v>
      </c>
      <c r="AF59" s="216">
        <v>94.683741977032952</v>
      </c>
      <c r="AG59" s="216">
        <v>92.678281797967315</v>
      </c>
      <c r="AH59" s="216">
        <v>90.715298505068617</v>
      </c>
      <c r="AI59" s="216">
        <v>88.793892411632882</v>
      </c>
      <c r="AJ59" s="216">
        <v>86.913182886876641</v>
      </c>
      <c r="AK59" s="216">
        <v>85.072307952320728</v>
      </c>
      <c r="AL59" s="216">
        <v>83.270423886722938</v>
      </c>
      <c r="AM59" s="216">
        <v>81.5067048393785</v>
      </c>
      <c r="AN59" s="216">
        <v>79.780342451611034</v>
      </c>
      <c r="AO59" s="216">
        <v>78.090545486280533</v>
      </c>
      <c r="AP59" s="216">
        <v>76.436539465138736</v>
      </c>
      <c r="AQ59" s="216">
        <v>74.817566313865342</v>
      </c>
      <c r="AR59" s="216">
        <v>73.232884014622712</v>
      </c>
      <c r="AS59" s="216">
        <v>71.681766265969713</v>
      </c>
      <c r="AT59" s="216">
        <v>70.163502149978555</v>
      </c>
      <c r="AU59" s="216">
        <v>68.677395806402714</v>
      </c>
      <c r="AV59" s="216">
        <v>67.222766113745664</v>
      </c>
      <c r="AW59" s="216">
        <v>65.798946377085286</v>
      </c>
      <c r="AX59" s="216">
        <v>64.405284022509903</v>
      </c>
      <c r="AY59" s="216">
        <v>63.041140298026697</v>
      </c>
      <c r="AZ59" s="216">
        <v>61.705889980804869</v>
      </c>
      <c r="BA59" s="216">
        <v>60.398921090619631</v>
      </c>
      <c r="BB59" s="216">
        <v>59.119634609365576</v>
      </c>
      <c r="BC59" s="216">
        <v>57.867444206511053</v>
      </c>
      <c r="BD59" s="216">
        <v>56.641775970367519</v>
      </c>
      <c r="BE59" s="216">
        <v>55.442068145050655</v>
      </c>
      <c r="BF59" s="216">
        <v>54.267770873013049</v>
      </c>
      <c r="BG59" s="216">
        <v>53.118345943029979</v>
      </c>
      <c r="BH59" s="216">
        <v>51.993266543523163</v>
      </c>
      <c r="BI59" s="216">
        <v>50.892017021109126</v>
      </c>
      <c r="BJ59" s="216">
        <v>49.814092644261819</v>
      </c>
      <c r="BK59" s="216">
        <v>48.758999371980849</v>
      </c>
      <c r="BL59" s="216">
        <v>47.72625362735964</v>
      </c>
    </row>
    <row r="60" spans="1:64">
      <c r="A60" t="s">
        <v>58</v>
      </c>
      <c r="B60">
        <v>65</v>
      </c>
      <c r="C60">
        <v>81</v>
      </c>
      <c r="D60">
        <v>72</v>
      </c>
      <c r="E60">
        <v>81</v>
      </c>
      <c r="F60">
        <v>80</v>
      </c>
      <c r="G60">
        <v>70</v>
      </c>
      <c r="H60">
        <v>80</v>
      </c>
      <c r="I60">
        <v>63</v>
      </c>
      <c r="J60">
        <v>61</v>
      </c>
      <c r="K60">
        <v>19</v>
      </c>
      <c r="L60">
        <v>23</v>
      </c>
      <c r="M60">
        <v>15</v>
      </c>
      <c r="N60">
        <v>23</v>
      </c>
      <c r="O60">
        <v>20</v>
      </c>
      <c r="P60">
        <v>17</v>
      </c>
      <c r="Q60">
        <v>11</v>
      </c>
      <c r="R60">
        <v>11</v>
      </c>
      <c r="S60">
        <v>12</v>
      </c>
      <c r="T60">
        <v>8</v>
      </c>
      <c r="U60">
        <v>13</v>
      </c>
      <c r="V60">
        <v>12</v>
      </c>
      <c r="W60">
        <v>17</v>
      </c>
      <c r="X60">
        <v>19</v>
      </c>
      <c r="Y60" s="216">
        <v>11</v>
      </c>
      <c r="Z60" s="216">
        <v>7.4175747722936842</v>
      </c>
      <c r="AA60" s="216">
        <v>6.694895774649706</v>
      </c>
      <c r="AB60" s="216">
        <v>6.04262589988865</v>
      </c>
      <c r="AC60" s="216">
        <v>5.4539053325166336</v>
      </c>
      <c r="AD60" s="216">
        <v>4.92254259470233</v>
      </c>
      <c r="AE60" s="216">
        <v>4.4429494315181817</v>
      </c>
      <c r="AF60" s="216">
        <v>4.0100820401781423</v>
      </c>
      <c r="AG60" s="216">
        <v>3.6193880251894748</v>
      </c>
      <c r="AH60" s="216">
        <v>3.2667585215545909</v>
      </c>
      <c r="AI60" s="216">
        <v>2.9484849825105099</v>
      </c>
      <c r="AJ60" s="216">
        <v>2.6612201773496551</v>
      </c>
      <c r="AK60" s="216">
        <v>2.4019429891424524</v>
      </c>
      <c r="AL60" s="216">
        <v>2.167926642145158</v>
      </c>
      <c r="AM60" s="216">
        <v>1.9567100247457381</v>
      </c>
      <c r="AN60" s="216">
        <v>1.7660718063559411</v>
      </c>
      <c r="AO60" s="216">
        <v>1.5940070760411362</v>
      </c>
      <c r="AP60" s="216">
        <v>1.4387062572002356</v>
      </c>
      <c r="AQ60" s="216">
        <v>1.2985360765448031</v>
      </c>
      <c r="AR60" s="216">
        <v>1.1720223872312583</v>
      </c>
      <c r="AS60" s="216">
        <v>1.0578346654998496</v>
      </c>
      <c r="AT60" s="216">
        <v>0.95477201777407594</v>
      </c>
      <c r="AU60" s="216">
        <v>0.86175055105954146</v>
      </c>
      <c r="AV60" s="216">
        <v>0.77779197381876486</v>
      </c>
      <c r="AW60" s="216">
        <v>0.70201330743923218</v>
      </c>
      <c r="AX60" s="216">
        <v>0.63361760009187773</v>
      </c>
      <c r="AY60" s="216">
        <v>0.57188554531915703</v>
      </c>
      <c r="AZ60" s="216">
        <v>0.516167917206791</v>
      </c>
      <c r="BA60" s="216">
        <v>0.46587874258110179</v>
      </c>
      <c r="BB60" s="216">
        <v>0.42048913842507374</v>
      </c>
      <c r="BC60" s="216">
        <v>0.37952174970224378</v>
      </c>
      <c r="BD60" s="216">
        <v>0.34254572909192577</v>
      </c>
      <c r="BE60" s="216">
        <v>0.30917220583847127</v>
      </c>
      <c r="BF60" s="216">
        <v>0.27905019606119286</v>
      </c>
      <c r="BG60" s="216">
        <v>0.25186291151434614</v>
      </c>
      <c r="BH60" s="216">
        <v>0.22732442797701091</v>
      </c>
      <c r="BI60" s="216">
        <v>0.20517667823486482</v>
      </c>
      <c r="BJ60" s="216">
        <v>0.18518673802953761</v>
      </c>
      <c r="BK60" s="216">
        <v>0.16714437643231694</v>
      </c>
      <c r="BL60" s="216">
        <v>0.15085984487988557</v>
      </c>
    </row>
    <row r="61" spans="1:64">
      <c r="A61" t="s">
        <v>1177</v>
      </c>
      <c r="K61">
        <v>38</v>
      </c>
      <c r="L61">
        <v>32</v>
      </c>
      <c r="M61">
        <v>37</v>
      </c>
      <c r="N61">
        <v>44</v>
      </c>
      <c r="O61">
        <v>37</v>
      </c>
      <c r="P61">
        <v>38</v>
      </c>
      <c r="Q61">
        <v>41</v>
      </c>
      <c r="R61">
        <v>73</v>
      </c>
      <c r="S61">
        <v>54</v>
      </c>
      <c r="T61">
        <v>50</v>
      </c>
      <c r="U61">
        <v>62</v>
      </c>
      <c r="V61">
        <v>53</v>
      </c>
      <c r="W61">
        <v>54</v>
      </c>
      <c r="X61">
        <v>50</v>
      </c>
      <c r="Y61" s="216">
        <v>41</v>
      </c>
      <c r="Z61" s="216">
        <v>57.918980388443153</v>
      </c>
      <c r="AA61" s="216">
        <v>59.64394532226197</v>
      </c>
      <c r="AB61" s="216">
        <v>61.420283812779267</v>
      </c>
      <c r="AC61" s="216">
        <v>63.249525886650169</v>
      </c>
      <c r="AD61" s="216">
        <v>65.133247138361057</v>
      </c>
      <c r="AE61" s="216">
        <v>67.073070087348015</v>
      </c>
      <c r="AF61" s="216">
        <v>69.070665575533312</v>
      </c>
      <c r="AG61" s="216">
        <v>71.127754206483971</v>
      </c>
      <c r="AH61" s="216">
        <v>73.246107827431857</v>
      </c>
      <c r="AI61" s="216">
        <v>75.42755105543182</v>
      </c>
      <c r="AJ61" s="216">
        <v>77.673962848972465</v>
      </c>
      <c r="AK61" s="216">
        <v>79.987278126393278</v>
      </c>
      <c r="AL61" s="216">
        <v>82.369489432502036</v>
      </c>
      <c r="AM61" s="216">
        <v>84.822648654828001</v>
      </c>
      <c r="AN61" s="216">
        <v>87.348868790989215</v>
      </c>
      <c r="AO61" s="216">
        <v>89.950325768696317</v>
      </c>
      <c r="AP61" s="216">
        <v>92.629260319960252</v>
      </c>
      <c r="AQ61" s="216">
        <v>95.387979911118478</v>
      </c>
      <c r="AR61" s="216">
        <v>98.228860730341665</v>
      </c>
      <c r="AS61" s="216">
        <v>101.15434973433352</v>
      </c>
      <c r="AT61" s="216">
        <v>104.16696675598581</v>
      </c>
      <c r="AU61" s="216">
        <v>107.26930667480454</v>
      </c>
      <c r="AV61" s="216">
        <v>110.46404165197649</v>
      </c>
      <c r="AW61" s="216">
        <v>113.75392343200137</v>
      </c>
      <c r="AX61" s="216">
        <v>117.14178571287236</v>
      </c>
      <c r="AY61" s="216">
        <v>120.63054658684558</v>
      </c>
      <c r="AZ61" s="216">
        <v>124.22321105390216</v>
      </c>
      <c r="BA61" s="216">
        <v>127.92287361006673</v>
      </c>
      <c r="BB61" s="216">
        <v>131.73272091281257</v>
      </c>
      <c r="BC61" s="216">
        <v>135.65603452584855</v>
      </c>
      <c r="BD61" s="216">
        <v>139.69619374565232</v>
      </c>
      <c r="BE61" s="216">
        <v>143.85667851218477</v>
      </c>
      <c r="BF61" s="216">
        <v>148.14107240629204</v>
      </c>
      <c r="BG61" s="216">
        <v>152.55306573637759</v>
      </c>
      <c r="BH61" s="216">
        <v>157.09645871700258</v>
      </c>
      <c r="BI61" s="216">
        <v>161.77516474215241</v>
      </c>
      <c r="BJ61" s="216">
        <v>166.59321375598921</v>
      </c>
      <c r="BK61" s="216">
        <v>171.55475572399328</v>
      </c>
      <c r="BL61" s="216">
        <v>176.66406420748288</v>
      </c>
    </row>
    <row r="62" spans="1:64">
      <c r="A62" t="s">
        <v>1004</v>
      </c>
      <c r="B62">
        <v>102</v>
      </c>
      <c r="C62">
        <v>96</v>
      </c>
      <c r="D62">
        <v>96</v>
      </c>
      <c r="E62">
        <v>104</v>
      </c>
      <c r="F62">
        <v>105</v>
      </c>
      <c r="G62">
        <v>112</v>
      </c>
      <c r="H62">
        <v>110</v>
      </c>
      <c r="I62">
        <v>118</v>
      </c>
      <c r="J62">
        <v>115</v>
      </c>
      <c r="K62">
        <v>128</v>
      </c>
      <c r="L62">
        <v>134</v>
      </c>
      <c r="M62">
        <v>126</v>
      </c>
      <c r="N62">
        <v>113</v>
      </c>
      <c r="O62">
        <v>106</v>
      </c>
      <c r="P62">
        <v>105</v>
      </c>
      <c r="Q62">
        <v>99</v>
      </c>
      <c r="R62">
        <v>104</v>
      </c>
      <c r="S62">
        <v>93</v>
      </c>
      <c r="T62">
        <v>94</v>
      </c>
      <c r="U62">
        <v>94</v>
      </c>
      <c r="V62">
        <v>98</v>
      </c>
      <c r="W62">
        <v>111</v>
      </c>
      <c r="X62">
        <v>104</v>
      </c>
      <c r="Y62" s="216">
        <v>102</v>
      </c>
      <c r="Z62" s="216">
        <v>102.91111739024112</v>
      </c>
      <c r="AA62" s="216">
        <v>102.62769988808637</v>
      </c>
      <c r="AB62" s="216">
        <v>102.34506291851709</v>
      </c>
      <c r="AC62" s="216">
        <v>102.06320433194433</v>
      </c>
      <c r="AD62" s="216">
        <v>101.7821219846992</v>
      </c>
      <c r="AE62" s="216">
        <v>101.50181373901643</v>
      </c>
      <c r="AF62" s="216">
        <v>101.22227746301817</v>
      </c>
      <c r="AG62" s="216">
        <v>100.94351103069778</v>
      </c>
      <c r="AH62" s="216">
        <v>100.66551232190363</v>
      </c>
      <c r="AI62" s="216">
        <v>100.38827922232302</v>
      </c>
      <c r="AJ62" s="216">
        <v>100.11180962346604</v>
      </c>
      <c r="AK62" s="216">
        <v>99.836101422649605</v>
      </c>
      <c r="AL62" s="216">
        <v>99.561152522981374</v>
      </c>
      <c r="AM62" s="216">
        <v>99.286960833343898</v>
      </c>
      <c r="AN62" s="216">
        <v>99.01352426837866</v>
      </c>
      <c r="AO62" s="216">
        <v>98.740840748470234</v>
      </c>
      <c r="AP62" s="216">
        <v>98.468908199730421</v>
      </c>
      <c r="AQ62" s="216">
        <v>98.197724553982553</v>
      </c>
      <c r="AR62" s="216">
        <v>97.927287748745727</v>
      </c>
      <c r="AS62" s="216">
        <v>97.657595727219103</v>
      </c>
      <c r="AT62" s="216">
        <v>97.388646438266278</v>
      </c>
      <c r="AU62" s="216">
        <v>97.120437836399688</v>
      </c>
      <c r="AV62" s="216">
        <v>96.852967881765068</v>
      </c>
      <c r="AW62" s="216">
        <v>96.586234540125872</v>
      </c>
      <c r="AX62" s="216">
        <v>96.320235782847874</v>
      </c>
      <c r="AY62" s="216">
        <v>96.054969586883715</v>
      </c>
      <c r="AZ62" s="216">
        <v>95.790433934757516</v>
      </c>
      <c r="BA62" s="216">
        <v>95.526626814549502</v>
      </c>
      <c r="BB62" s="216">
        <v>95.263546219880766</v>
      </c>
      <c r="BC62" s="216">
        <v>95.001190149897994</v>
      </c>
      <c r="BD62" s="216">
        <v>94.739556609258145</v>
      </c>
      <c r="BE62" s="216">
        <v>94.47864360811343</v>
      </c>
      <c r="BF62" s="216">
        <v>94.218449162096093</v>
      </c>
      <c r="BG62" s="216">
        <v>93.958971292303318</v>
      </c>
      <c r="BH62" s="216">
        <v>93.700208025282194</v>
      </c>
      <c r="BI62" s="216">
        <v>93.442157393014696</v>
      </c>
      <c r="BJ62" s="216">
        <v>93.184817432902776</v>
      </c>
      <c r="BK62" s="216">
        <v>92.92818618775334</v>
      </c>
      <c r="BL62" s="216">
        <v>92.67226170576339</v>
      </c>
    </row>
    <row r="63" spans="1:64">
      <c r="A63" t="s">
        <v>1006</v>
      </c>
      <c r="B63">
        <v>165</v>
      </c>
      <c r="C63">
        <v>156</v>
      </c>
      <c r="D63">
        <v>156</v>
      </c>
      <c r="E63">
        <v>142</v>
      </c>
      <c r="F63">
        <v>137</v>
      </c>
      <c r="G63">
        <v>148</v>
      </c>
      <c r="H63">
        <v>154</v>
      </c>
      <c r="I63">
        <v>156</v>
      </c>
      <c r="J63">
        <v>152</v>
      </c>
      <c r="K63">
        <v>129</v>
      </c>
      <c r="L63">
        <v>132</v>
      </c>
      <c r="M63">
        <v>133</v>
      </c>
      <c r="N63">
        <v>103</v>
      </c>
      <c r="O63">
        <v>89</v>
      </c>
      <c r="P63">
        <v>98</v>
      </c>
      <c r="Q63">
        <v>73</v>
      </c>
      <c r="R63">
        <v>80</v>
      </c>
      <c r="S63">
        <v>82</v>
      </c>
      <c r="T63">
        <v>82</v>
      </c>
      <c r="U63">
        <v>86</v>
      </c>
      <c r="V63">
        <v>82</v>
      </c>
      <c r="W63">
        <v>87</v>
      </c>
      <c r="X63">
        <v>92</v>
      </c>
      <c r="Y63" s="216">
        <v>81</v>
      </c>
      <c r="Z63" s="216">
        <v>71.215691921731363</v>
      </c>
      <c r="AA63" s="216">
        <v>68.6785946884346</v>
      </c>
      <c r="AB63" s="216">
        <v>66.231882905275384</v>
      </c>
      <c r="AC63" s="216">
        <v>63.872336542099042</v>
      </c>
      <c r="AD63" s="216">
        <v>61.596850284052742</v>
      </c>
      <c r="AE63" s="216">
        <v>59.40242944479138</v>
      </c>
      <c r="AF63" s="216">
        <v>57.286186025277573</v>
      </c>
      <c r="AG63" s="216">
        <v>55.245334912989158</v>
      </c>
      <c r="AH63" s="216">
        <v>53.277190216531793</v>
      </c>
      <c r="AI63" s="216">
        <v>51.379161730833111</v>
      </c>
      <c r="AJ63" s="216">
        <v>49.548751528266138</v>
      </c>
      <c r="AK63" s="216">
        <v>47.783550671215806</v>
      </c>
      <c r="AL63" s="216">
        <v>46.081236041762033</v>
      </c>
      <c r="AM63" s="216">
        <v>44.439567284307003</v>
      </c>
      <c r="AN63" s="216">
        <v>42.856383857123092</v>
      </c>
      <c r="AO63" s="216">
        <v>41.329602188940889</v>
      </c>
      <c r="AP63" s="216">
        <v>39.857212936835332</v>
      </c>
      <c r="AQ63" s="216">
        <v>38.437278341801132</v>
      </c>
      <c r="AR63" s="216">
        <v>37.067929678537176</v>
      </c>
      <c r="AS63" s="216">
        <v>35.747364796083815</v>
      </c>
      <c r="AT63" s="216">
        <v>34.473845746076265</v>
      </c>
      <c r="AU63" s="216">
        <v>33.245696495492631</v>
      </c>
      <c r="AV63" s="216">
        <v>32.061300720886678</v>
      </c>
      <c r="AW63" s="216">
        <v>30.919099681202116</v>
      </c>
      <c r="AX63" s="216">
        <v>29.817590166369094</v>
      </c>
      <c r="AY63" s="216">
        <v>28.755322518982986</v>
      </c>
      <c r="AZ63" s="216">
        <v>27.730898726461977</v>
      </c>
      <c r="BA63" s="216">
        <v>26.742970581172557</v>
      </c>
      <c r="BB63" s="216">
        <v>25.790237906101471</v>
      </c>
      <c r="BC63" s="216">
        <v>24.871446843739154</v>
      </c>
      <c r="BD63" s="216">
        <v>23.985388205922529</v>
      </c>
      <c r="BE63" s="216">
        <v>23.13089588246558</v>
      </c>
      <c r="BF63" s="216">
        <v>22.306845306483307</v>
      </c>
      <c r="BG63" s="216">
        <v>21.512151974389344</v>
      </c>
      <c r="BH63" s="216">
        <v>20.74577001861946</v>
      </c>
      <c r="BI63" s="216">
        <v>20.006690831202491</v>
      </c>
      <c r="BJ63" s="216">
        <v>19.293941736367419</v>
      </c>
      <c r="BK63" s="216">
        <v>18.606584710439407</v>
      </c>
      <c r="BL63" s="216">
        <v>17.943715147340324</v>
      </c>
    </row>
    <row r="64" spans="1:64">
      <c r="A64" t="s">
        <v>1178</v>
      </c>
      <c r="B64">
        <v>34</v>
      </c>
      <c r="C64">
        <v>32</v>
      </c>
      <c r="D64">
        <v>32</v>
      </c>
      <c r="E64">
        <v>29</v>
      </c>
      <c r="F64">
        <v>28</v>
      </c>
      <c r="G64">
        <v>31</v>
      </c>
      <c r="H64">
        <v>32</v>
      </c>
      <c r="I64">
        <v>33</v>
      </c>
      <c r="J64">
        <v>32</v>
      </c>
      <c r="K64">
        <v>68</v>
      </c>
      <c r="L64">
        <v>67</v>
      </c>
      <c r="M64">
        <v>72</v>
      </c>
      <c r="N64">
        <v>69</v>
      </c>
      <c r="O64">
        <v>80</v>
      </c>
      <c r="P64">
        <v>83</v>
      </c>
      <c r="Q64">
        <v>83</v>
      </c>
      <c r="R64">
        <v>91</v>
      </c>
      <c r="S64">
        <v>82</v>
      </c>
      <c r="T64">
        <v>84</v>
      </c>
      <c r="U64">
        <v>67</v>
      </c>
      <c r="V64">
        <v>67</v>
      </c>
      <c r="W64">
        <v>74</v>
      </c>
      <c r="X64">
        <v>53</v>
      </c>
      <c r="Y64" s="216">
        <v>65</v>
      </c>
      <c r="Z64" s="216">
        <v>68.527184159677091</v>
      </c>
      <c r="AA64" s="216">
        <v>67.985262097033512</v>
      </c>
      <c r="AB64" s="216">
        <v>67.447625625948703</v>
      </c>
      <c r="AC64" s="216">
        <v>66.914240855396088</v>
      </c>
      <c r="AD64" s="216">
        <v>66.385074162363892</v>
      </c>
      <c r="AE64" s="216">
        <v>65.860092189735525</v>
      </c>
      <c r="AF64" s="216">
        <v>65.339261844186922</v>
      </c>
      <c r="AG64" s="216">
        <v>64.822550294100424</v>
      </c>
      <c r="AH64" s="216">
        <v>64.309924967495135</v>
      </c>
      <c r="AI64" s="216">
        <v>63.801353549973712</v>
      </c>
      <c r="AJ64" s="216">
        <v>63.296803982685375</v>
      </c>
      <c r="AK64" s="216">
        <v>62.796244460304955</v>
      </c>
      <c r="AL64" s="216">
        <v>62.299643429028045</v>
      </c>
      <c r="AM64" s="216">
        <v>61.806969584581886</v>
      </c>
      <c r="AN64" s="216">
        <v>61.318191870252079</v>
      </c>
      <c r="AO64" s="216">
        <v>60.833279474924815</v>
      </c>
      <c r="AP64" s="216">
        <v>60.352201831144697</v>
      </c>
      <c r="AQ64" s="216">
        <v>59.874928613187791</v>
      </c>
      <c r="AR64" s="216">
        <v>59.401429735150003</v>
      </c>
      <c r="AS64" s="216">
        <v>58.931675349050607</v>
      </c>
      <c r="AT64" s="216">
        <v>58.465635842950626</v>
      </c>
      <c r="AU64" s="216">
        <v>58.00328183908622</v>
      </c>
      <c r="AV64" s="216">
        <v>57.544584192016842</v>
      </c>
      <c r="AW64" s="216">
        <v>57.089513986787921</v>
      </c>
      <c r="AX64" s="216">
        <v>56.638042537108198</v>
      </c>
      <c r="AY64" s="216">
        <v>56.190141383541395</v>
      </c>
      <c r="AZ64" s="216">
        <v>55.745782291712246</v>
      </c>
      <c r="BA64" s="216">
        <v>55.30493725052667</v>
      </c>
      <c r="BB64" s="216">
        <v>54.867578470406045</v>
      </c>
      <c r="BC64" s="216">
        <v>54.433678381535373</v>
      </c>
      <c r="BD64" s="216">
        <v>54.003209632125468</v>
      </c>
      <c r="BE64" s="216">
        <v>53.57614508668869</v>
      </c>
      <c r="BF64" s="216">
        <v>53.152457824328451</v>
      </c>
      <c r="BG64" s="216">
        <v>52.732121137042171</v>
      </c>
      <c r="BH64" s="216">
        <v>52.315108528037712</v>
      </c>
      <c r="BI64" s="216">
        <v>51.901393710063047</v>
      </c>
      <c r="BJ64" s="216">
        <v>51.490950603749283</v>
      </c>
      <c r="BK64" s="216">
        <v>51.083753335966591</v>
      </c>
      <c r="BL64" s="216">
        <v>50.679776238193298</v>
      </c>
    </row>
    <row r="65" spans="1:64">
      <c r="A65" t="s">
        <v>1372</v>
      </c>
      <c r="B65">
        <v>95</v>
      </c>
      <c r="C65">
        <v>84</v>
      </c>
      <c r="D65">
        <v>81</v>
      </c>
      <c r="E65">
        <v>78</v>
      </c>
      <c r="F65">
        <v>75</v>
      </c>
      <c r="G65">
        <v>76</v>
      </c>
      <c r="H65">
        <v>68</v>
      </c>
      <c r="I65">
        <v>58</v>
      </c>
      <c r="J65">
        <v>55</v>
      </c>
      <c r="K65">
        <v>49</v>
      </c>
      <c r="L65">
        <v>39</v>
      </c>
      <c r="M65">
        <v>39</v>
      </c>
      <c r="N65">
        <v>43</v>
      </c>
      <c r="O65">
        <v>42</v>
      </c>
      <c r="P65">
        <v>40</v>
      </c>
      <c r="Q65">
        <v>39</v>
      </c>
      <c r="R65">
        <v>40</v>
      </c>
      <c r="S65">
        <v>37</v>
      </c>
      <c r="T65">
        <v>46</v>
      </c>
      <c r="U65">
        <v>42</v>
      </c>
      <c r="V65">
        <v>50</v>
      </c>
      <c r="W65">
        <v>39</v>
      </c>
      <c r="X65">
        <v>49</v>
      </c>
      <c r="Y65" s="216">
        <v>46</v>
      </c>
      <c r="Z65" s="216">
        <v>34.173242028625985</v>
      </c>
      <c r="AA65" s="216">
        <v>33.036482761313771</v>
      </c>
      <c r="AB65" s="216">
        <v>31.93753733767311</v>
      </c>
      <c r="AC65" s="216">
        <v>30.875147895274939</v>
      </c>
      <c r="AD65" s="216">
        <v>29.848098413982278</v>
      </c>
      <c r="AE65" s="216">
        <v>28.855213324083024</v>
      </c>
      <c r="AF65" s="216">
        <v>27.895356160722724</v>
      </c>
      <c r="AG65" s="216">
        <v>26.967428263097048</v>
      </c>
      <c r="AH65" s="216">
        <v>26.070367516915184</v>
      </c>
      <c r="AI65" s="216">
        <v>25.203147138694604</v>
      </c>
      <c r="AJ65" s="216">
        <v>24.364774500495827</v>
      </c>
      <c r="AK65" s="216">
        <v>23.554289993751929</v>
      </c>
      <c r="AL65" s="216">
        <v>22.770765930892239</v>
      </c>
      <c r="AM65" s="216">
        <v>22.013305483503142</v>
      </c>
      <c r="AN65" s="216">
        <v>21.281041655810558</v>
      </c>
      <c r="AO65" s="216">
        <v>20.573136292309037</v>
      </c>
      <c r="AP65" s="216">
        <v>19.888779118401771</v>
      </c>
      <c r="AQ65" s="216">
        <v>19.22718681295326</v>
      </c>
      <c r="AR65" s="216">
        <v>18.587602111693165</v>
      </c>
      <c r="AS65" s="216">
        <v>17.969292940445101</v>
      </c>
      <c r="AT65" s="216">
        <v>17.371551577188207</v>
      </c>
      <c r="AU65" s="216">
        <v>16.793693841992376</v>
      </c>
      <c r="AV65" s="216">
        <v>16.235058313900037</v>
      </c>
      <c r="AW65" s="216">
        <v>15.695005573857976</v>
      </c>
      <c r="AX65" s="216">
        <v>15.172917472832777</v>
      </c>
      <c r="AY65" s="216">
        <v>14.6681964242721</v>
      </c>
      <c r="AZ65" s="216">
        <v>14.180264720101928</v>
      </c>
      <c r="BA65" s="216">
        <v>13.708563869476947</v>
      </c>
      <c r="BB65" s="216">
        <v>13.252553959527068</v>
      </c>
      <c r="BC65" s="216">
        <v>12.811713037368497</v>
      </c>
      <c r="BD65" s="216">
        <v>12.385536512671965</v>
      </c>
      <c r="BE65" s="216">
        <v>11.973536580104268</v>
      </c>
      <c r="BF65" s="216">
        <v>11.575241660982055</v>
      </c>
      <c r="BG65" s="216">
        <v>11.190195863498825</v>
      </c>
      <c r="BH65" s="216">
        <v>10.817958460907191</v>
      </c>
      <c r="BI65" s="216">
        <v>10.45810338705925</v>
      </c>
      <c r="BJ65" s="216">
        <v>10.110218748727592</v>
      </c>
      <c r="BK65" s="216">
        <v>9.7739063541487443</v>
      </c>
      <c r="BL65" s="216">
        <v>9.4487812572494452</v>
      </c>
    </row>
    <row r="66" spans="1:64">
      <c r="A66" t="s">
        <v>74</v>
      </c>
      <c r="B66">
        <v>282</v>
      </c>
      <c r="C66">
        <v>270</v>
      </c>
      <c r="D66">
        <v>266</v>
      </c>
      <c r="E66">
        <v>271</v>
      </c>
      <c r="F66">
        <v>283</v>
      </c>
      <c r="G66">
        <v>285</v>
      </c>
      <c r="H66">
        <v>276</v>
      </c>
      <c r="I66">
        <v>307</v>
      </c>
      <c r="J66">
        <v>281</v>
      </c>
      <c r="K66">
        <v>280</v>
      </c>
      <c r="L66">
        <v>271</v>
      </c>
      <c r="M66">
        <v>290</v>
      </c>
      <c r="N66">
        <v>290</v>
      </c>
      <c r="O66">
        <v>292</v>
      </c>
      <c r="P66">
        <v>292</v>
      </c>
      <c r="Q66">
        <v>287</v>
      </c>
      <c r="R66">
        <v>285</v>
      </c>
      <c r="S66">
        <v>272</v>
      </c>
      <c r="T66">
        <v>283</v>
      </c>
      <c r="U66">
        <v>296</v>
      </c>
      <c r="V66">
        <v>324</v>
      </c>
      <c r="W66">
        <v>338</v>
      </c>
      <c r="X66">
        <v>356</v>
      </c>
      <c r="Y66" s="216">
        <v>349</v>
      </c>
      <c r="Z66" s="216">
        <v>322.91348429927399</v>
      </c>
      <c r="AA66" s="216">
        <v>325.53991501892637</v>
      </c>
      <c r="AB66" s="216">
        <v>328.18770792585349</v>
      </c>
      <c r="AC66" s="216">
        <v>330.85703677032478</v>
      </c>
      <c r="AD66" s="216">
        <v>333.54807671581489</v>
      </c>
      <c r="AE66" s="216">
        <v>336.2610043504983</v>
      </c>
      <c r="AF66" s="216">
        <v>338.99599769883679</v>
      </c>
      <c r="AG66" s="216">
        <v>341.75323623326193</v>
      </c>
      <c r="AH66" s="216">
        <v>344.5329008859519</v>
      </c>
      <c r="AI66" s="216">
        <v>347.33517406070479</v>
      </c>
      <c r="AJ66" s="216">
        <v>350.16023964490739</v>
      </c>
      <c r="AK66" s="216">
        <v>353.00828302160295</v>
      </c>
      <c r="AL66" s="216">
        <v>355.87949108165543</v>
      </c>
      <c r="AM66" s="216">
        <v>358.77405223601357</v>
      </c>
      <c r="AN66" s="216">
        <v>361.69215642807495</v>
      </c>
      <c r="AO66" s="216">
        <v>364.63399514614969</v>
      </c>
      <c r="AP66" s="216">
        <v>367.59976143602643</v>
      </c>
      <c r="AQ66" s="216">
        <v>370.58964991364007</v>
      </c>
      <c r="AR66" s="216">
        <v>373.60385677784257</v>
      </c>
      <c r="AS66" s="216">
        <v>376.64257982327763</v>
      </c>
      <c r="AT66" s="216">
        <v>379.70601845336034</v>
      </c>
      <c r="AU66" s="216">
        <v>382.79437369336182</v>
      </c>
      <c r="AV66" s="216">
        <v>385.90784820360119</v>
      </c>
      <c r="AW66" s="216">
        <v>389.04664629274362</v>
      </c>
      <c r="AX66" s="216">
        <v>392.21097393120795</v>
      </c>
      <c r="AY66" s="216">
        <v>395.40103876468208</v>
      </c>
      <c r="AZ66" s="216">
        <v>398.61705012774911</v>
      </c>
      <c r="BA66" s="216">
        <v>401.85921905762405</v>
      </c>
      <c r="BB66" s="216">
        <v>405.12775830800189</v>
      </c>
      <c r="BC66" s="216">
        <v>408.42288236301943</v>
      </c>
      <c r="BD66" s="216">
        <v>411.744807451329</v>
      </c>
      <c r="BE66" s="216">
        <v>415.09375156028818</v>
      </c>
      <c r="BF66" s="216">
        <v>418.46993445026408</v>
      </c>
      <c r="BG66" s="216">
        <v>421.8735776690541</v>
      </c>
      <c r="BH66" s="216">
        <v>425.30490456642445</v>
      </c>
      <c r="BI66" s="216">
        <v>428.76414030876606</v>
      </c>
      <c r="BJ66" s="216">
        <v>432.25151189387032</v>
      </c>
      <c r="BK66" s="216">
        <v>435.76724816582504</v>
      </c>
      <c r="BL66" s="216">
        <v>439.31157983003146</v>
      </c>
    </row>
    <row r="67" spans="1:64">
      <c r="A67" t="s">
        <v>137</v>
      </c>
      <c r="B67">
        <v>126</v>
      </c>
      <c r="C67">
        <v>130</v>
      </c>
      <c r="D67">
        <v>125</v>
      </c>
      <c r="E67">
        <v>136</v>
      </c>
      <c r="F67">
        <v>138</v>
      </c>
      <c r="G67">
        <v>136</v>
      </c>
      <c r="H67">
        <v>126</v>
      </c>
      <c r="I67">
        <v>130</v>
      </c>
      <c r="J67">
        <v>117</v>
      </c>
      <c r="K67">
        <v>116</v>
      </c>
      <c r="L67">
        <v>80</v>
      </c>
      <c r="M67">
        <v>87</v>
      </c>
      <c r="N67">
        <v>82</v>
      </c>
      <c r="O67">
        <v>77</v>
      </c>
      <c r="P67">
        <v>81</v>
      </c>
      <c r="Q67">
        <v>76</v>
      </c>
      <c r="R67">
        <v>63</v>
      </c>
      <c r="S67">
        <v>63</v>
      </c>
      <c r="T67">
        <v>73</v>
      </c>
      <c r="U67">
        <v>109</v>
      </c>
      <c r="V67">
        <v>113</v>
      </c>
      <c r="W67">
        <v>106</v>
      </c>
      <c r="X67">
        <v>112</v>
      </c>
      <c r="Y67" s="216">
        <v>106</v>
      </c>
      <c r="Z67" s="216">
        <v>79.805728066830881</v>
      </c>
      <c r="AA67" s="216">
        <v>78.28847323966491</v>
      </c>
      <c r="AB67" s="216">
        <v>76.800064239312647</v>
      </c>
      <c r="AC67" s="216">
        <v>75.339952653134603</v>
      </c>
      <c r="AD67" s="216">
        <v>73.907600494832138</v>
      </c>
      <c r="AE67" s="216">
        <v>72.50248000622345</v>
      </c>
      <c r="AF67" s="216">
        <v>71.124073462788033</v>
      </c>
      <c r="AG67" s="216">
        <v>69.771872982908263</v>
      </c>
      <c r="AH67" s="216">
        <v>68.445380340737557</v>
      </c>
      <c r="AI67" s="216">
        <v>67.144106782626167</v>
      </c>
      <c r="AJ67" s="216">
        <v>65.86757284703728</v>
      </c>
      <c r="AK67" s="216">
        <v>64.615308187886711</v>
      </c>
      <c r="AL67" s="216">
        <v>63.386851401241152</v>
      </c>
      <c r="AM67" s="216">
        <v>62.181749855311423</v>
      </c>
      <c r="AN67" s="216">
        <v>60.999559523677689</v>
      </c>
      <c r="AO67" s="216">
        <v>59.839844821685446</v>
      </c>
      <c r="AP67" s="216">
        <v>58.702178445951944</v>
      </c>
      <c r="AQ67" s="216">
        <v>57.586141216923814</v>
      </c>
      <c r="AR67" s="216">
        <v>56.491321924428021</v>
      </c>
      <c r="AS67" s="216">
        <v>55.417317176159216</v>
      </c>
      <c r="AT67" s="216">
        <v>54.363731249047525</v>
      </c>
      <c r="AU67" s="216">
        <v>53.330175943452197</v>
      </c>
      <c r="AV67" s="216">
        <v>52.316270440127255</v>
      </c>
      <c r="AW67" s="216">
        <v>51.321641159906513</v>
      </c>
      <c r="AX67" s="216">
        <v>50.345921626056274</v>
      </c>
      <c r="AY67" s="216">
        <v>49.388752329244831</v>
      </c>
      <c r="AZ67" s="216">
        <v>48.449780595079339</v>
      </c>
      <c r="BA67" s="216">
        <v>47.528660454160921</v>
      </c>
      <c r="BB67" s="216">
        <v>46.625052514610275</v>
      </c>
      <c r="BC67" s="216">
        <v>45.738623837016881</v>
      </c>
      <c r="BD67" s="216">
        <v>44.869047811765547</v>
      </c>
      <c r="BE67" s="216">
        <v>44.016004038695378</v>
      </c>
      <c r="BF67" s="216">
        <v>43.179178209046384</v>
      </c>
      <c r="BG67" s="216">
        <v>42.358261989650792</v>
      </c>
      <c r="BH67" s="216">
        <v>41.552952909325896</v>
      </c>
      <c r="BI67" s="216">
        <v>40.762954247426855</v>
      </c>
      <c r="BJ67" s="216">
        <v>39.987974924518326</v>
      </c>
      <c r="BK67" s="216">
        <v>39.227729395124626</v>
      </c>
      <c r="BL67" s="216">
        <v>38.481937542518878</v>
      </c>
    </row>
    <row r="68" spans="1:64">
      <c r="A68" t="s">
        <v>139</v>
      </c>
      <c r="B68">
        <v>104</v>
      </c>
      <c r="C68">
        <v>107</v>
      </c>
      <c r="D68">
        <v>129</v>
      </c>
      <c r="E68">
        <v>121</v>
      </c>
      <c r="F68">
        <v>115</v>
      </c>
      <c r="G68">
        <v>116</v>
      </c>
      <c r="H68">
        <v>120</v>
      </c>
      <c r="I68">
        <v>121</v>
      </c>
      <c r="J68">
        <v>125</v>
      </c>
      <c r="K68">
        <v>130</v>
      </c>
      <c r="L68">
        <v>120</v>
      </c>
      <c r="M68">
        <v>118</v>
      </c>
      <c r="N68">
        <v>131</v>
      </c>
      <c r="O68">
        <v>131</v>
      </c>
      <c r="P68">
        <v>123</v>
      </c>
      <c r="Q68">
        <v>121</v>
      </c>
      <c r="R68">
        <v>113</v>
      </c>
      <c r="S68">
        <v>128</v>
      </c>
      <c r="T68">
        <v>117</v>
      </c>
      <c r="U68">
        <v>115</v>
      </c>
      <c r="V68">
        <v>123</v>
      </c>
      <c r="W68">
        <v>118</v>
      </c>
      <c r="X68">
        <v>115</v>
      </c>
      <c r="Y68" s="216">
        <v>119</v>
      </c>
      <c r="Z68" s="216">
        <v>121.9499211776664</v>
      </c>
      <c r="AA68" s="216">
        <v>122.12328689272924</v>
      </c>
      <c r="AB68" s="216">
        <v>122.29689906691951</v>
      </c>
      <c r="AC68" s="216">
        <v>122.4707580506069</v>
      </c>
      <c r="AD68" s="216">
        <v>122.64486419465926</v>
      </c>
      <c r="AE68" s="216">
        <v>122.81921785044325</v>
      </c>
      <c r="AF68" s="216">
        <v>122.99381936982499</v>
      </c>
      <c r="AG68" s="216">
        <v>123.16866910517081</v>
      </c>
      <c r="AH68" s="216">
        <v>123.34376740934808</v>
      </c>
      <c r="AI68" s="216">
        <v>123.51911463572564</v>
      </c>
      <c r="AJ68" s="216">
        <v>123.69471113817484</v>
      </c>
      <c r="AK68" s="216">
        <v>123.87055727107001</v>
      </c>
      <c r="AL68" s="216">
        <v>124.0466533892893</v>
      </c>
      <c r="AM68" s="216">
        <v>124.2229998482153</v>
      </c>
      <c r="AN68" s="216">
        <v>124.39959700373592</v>
      </c>
      <c r="AO68" s="216">
        <v>124.57644521224492</v>
      </c>
      <c r="AP68" s="216">
        <v>124.75354483064274</v>
      </c>
      <c r="AQ68" s="216">
        <v>124.93089621633723</v>
      </c>
      <c r="AR68" s="216">
        <v>125.10849972724425</v>
      </c>
      <c r="AS68" s="216">
        <v>125.28635572178857</v>
      </c>
      <c r="AT68" s="216">
        <v>125.46446455890445</v>
      </c>
      <c r="AU68" s="216">
        <v>125.64282659803644</v>
      </c>
      <c r="AV68" s="216">
        <v>125.82144219914005</v>
      </c>
      <c r="AW68" s="216">
        <v>126.00031172268254</v>
      </c>
      <c r="AX68" s="216">
        <v>126.1794355296436</v>
      </c>
      <c r="AY68" s="216">
        <v>126.35881398151611</v>
      </c>
      <c r="AZ68" s="216">
        <v>126.53844744030685</v>
      </c>
      <c r="BA68" s="216">
        <v>126.71833626853719</v>
      </c>
      <c r="BB68" s="216">
        <v>126.89848082924391</v>
      </c>
      <c r="BC68" s="216">
        <v>127.07888148597989</v>
      </c>
      <c r="BD68" s="216">
        <v>127.25953860281481</v>
      </c>
      <c r="BE68" s="216">
        <v>127.44045254433598</v>
      </c>
      <c r="BF68" s="216">
        <v>127.62162367564892</v>
      </c>
      <c r="BG68" s="216">
        <v>127.80305236237828</v>
      </c>
      <c r="BH68" s="216">
        <v>127.98473897066842</v>
      </c>
      <c r="BI68" s="216">
        <v>128.16668386718425</v>
      </c>
      <c r="BJ68" s="216">
        <v>128.34888741911189</v>
      </c>
      <c r="BK68" s="216">
        <v>128.53134999415957</v>
      </c>
      <c r="BL68" s="216">
        <v>128.71407196055813</v>
      </c>
    </row>
    <row r="69" spans="1:64">
      <c r="A69" t="s">
        <v>141</v>
      </c>
      <c r="B69">
        <v>57</v>
      </c>
      <c r="C69">
        <v>57</v>
      </c>
      <c r="D69">
        <v>65</v>
      </c>
      <c r="E69">
        <v>56</v>
      </c>
      <c r="F69">
        <v>44</v>
      </c>
      <c r="G69">
        <v>52</v>
      </c>
      <c r="H69">
        <v>52</v>
      </c>
      <c r="I69">
        <v>50</v>
      </c>
      <c r="J69">
        <v>50</v>
      </c>
      <c r="K69">
        <v>32</v>
      </c>
      <c r="L69">
        <v>26</v>
      </c>
      <c r="M69">
        <v>30</v>
      </c>
      <c r="N69">
        <v>29</v>
      </c>
      <c r="O69">
        <v>24</v>
      </c>
      <c r="P69">
        <v>26</v>
      </c>
      <c r="Q69">
        <v>23</v>
      </c>
      <c r="R69">
        <v>19</v>
      </c>
      <c r="S69">
        <v>20</v>
      </c>
      <c r="T69">
        <v>23</v>
      </c>
      <c r="U69">
        <v>20</v>
      </c>
      <c r="V69">
        <v>17</v>
      </c>
      <c r="W69">
        <v>20</v>
      </c>
      <c r="X69">
        <v>16</v>
      </c>
      <c r="Y69" s="216">
        <v>16</v>
      </c>
      <c r="Z69" s="216">
        <v>13.883841853274047</v>
      </c>
      <c r="AA69" s="216">
        <v>13.024474550570213</v>
      </c>
      <c r="AB69" s="216">
        <v>12.218299452787836</v>
      </c>
      <c r="AC69" s="216">
        <v>11.462024125300296</v>
      </c>
      <c r="AD69" s="216">
        <v>10.752559925103951</v>
      </c>
      <c r="AE69" s="216">
        <v>10.087009386740618</v>
      </c>
      <c r="AF69" s="216">
        <v>9.4626543889928314</v>
      </c>
      <c r="AG69" s="216">
        <v>8.8769450540244446</v>
      </c>
      <c r="AH69" s="216">
        <v>8.3274893336304388</v>
      </c>
      <c r="AI69" s="216">
        <v>7.8120432400659707</v>
      </c>
      <c r="AJ69" s="216">
        <v>7.3285016815572179</v>
      </c>
      <c r="AK69" s="216">
        <v>6.874889865066006</v>
      </c>
      <c r="AL69" s="216">
        <v>6.449355231197031</v>
      </c>
      <c r="AM69" s="216">
        <v>6.0501598883095973</v>
      </c>
      <c r="AN69" s="216">
        <v>5.6756735149346751</v>
      </c>
      <c r="AO69" s="216">
        <v>5.3243667015106357</v>
      </c>
      <c r="AP69" s="216">
        <v>4.9948047042451371</v>
      </c>
      <c r="AQ69" s="216">
        <v>4.6856415855938414</v>
      </c>
      <c r="AR69" s="216">
        <v>4.3956147174255671</v>
      </c>
      <c r="AS69" s="216">
        <v>4.1235396244246694</v>
      </c>
      <c r="AT69" s="216">
        <v>3.8683051466710516</v>
      </c>
      <c r="AU69" s="216">
        <v>3.6288689016416456</v>
      </c>
      <c r="AV69" s="216">
        <v>3.4042530271001037</v>
      </c>
      <c r="AW69" s="216">
        <v>3.1935401874886016</v>
      </c>
      <c r="AX69" s="216">
        <v>2.9958698275117484</v>
      </c>
      <c r="AY69" s="216">
        <v>2.8104346576121824</v>
      </c>
      <c r="AZ69" s="216">
        <v>2.6364773569844742</v>
      </c>
      <c r="BA69" s="216">
        <v>2.4732874806623673</v>
      </c>
      <c r="BB69" s="216">
        <v>2.3201985580478559</v>
      </c>
      <c r="BC69" s="216">
        <v>2.1765853710324254</v>
      </c>
      <c r="BD69" s="216">
        <v>2.0418614005942524</v>
      </c>
      <c r="BE69" s="216">
        <v>1.9154764314432264</v>
      </c>
      <c r="BF69" s="216">
        <v>1.7969143049311072</v>
      </c>
      <c r="BG69" s="216">
        <v>1.6856908110496613</v>
      </c>
      <c r="BH69" s="216">
        <v>1.5813517109076665</v>
      </c>
      <c r="BI69" s="216">
        <v>1.4834708816105255</v>
      </c>
      <c r="BJ69" s="216">
        <v>1.3916485759661632</v>
      </c>
      <c r="BK69" s="216">
        <v>1.3055097899097918</v>
      </c>
      <c r="BL69" s="216">
        <v>1.2247027309800855</v>
      </c>
    </row>
    <row r="70" spans="1:64">
      <c r="A70" t="s">
        <v>75</v>
      </c>
      <c r="B70">
        <v>268</v>
      </c>
      <c r="C70">
        <v>265</v>
      </c>
      <c r="D70">
        <v>275</v>
      </c>
      <c r="E70">
        <v>273</v>
      </c>
      <c r="F70">
        <v>279</v>
      </c>
      <c r="G70">
        <v>286</v>
      </c>
      <c r="H70">
        <v>291</v>
      </c>
      <c r="I70">
        <v>303</v>
      </c>
      <c r="J70">
        <v>306</v>
      </c>
      <c r="K70">
        <v>313</v>
      </c>
      <c r="L70">
        <v>319</v>
      </c>
      <c r="M70">
        <v>344</v>
      </c>
      <c r="N70">
        <v>347</v>
      </c>
      <c r="O70">
        <v>326</v>
      </c>
      <c r="P70">
        <v>311</v>
      </c>
      <c r="Q70">
        <v>303</v>
      </c>
      <c r="R70">
        <v>320</v>
      </c>
      <c r="S70">
        <v>291</v>
      </c>
      <c r="T70">
        <v>302</v>
      </c>
      <c r="U70">
        <v>330</v>
      </c>
      <c r="V70">
        <v>333</v>
      </c>
      <c r="W70">
        <v>364</v>
      </c>
      <c r="X70">
        <v>352</v>
      </c>
      <c r="Y70" s="216">
        <v>350</v>
      </c>
      <c r="Z70" s="216">
        <v>353.21408456779517</v>
      </c>
      <c r="AA70" s="216">
        <v>356.99612099781979</v>
      </c>
      <c r="AB70" s="216">
        <v>360.81865354672237</v>
      </c>
      <c r="AC70" s="216">
        <v>364.68211582630829</v>
      </c>
      <c r="AD70" s="216">
        <v>368.58694609127707</v>
      </c>
      <c r="AE70" s="216">
        <v>372.53358728893625</v>
      </c>
      <c r="AF70" s="216">
        <v>376.52248710944747</v>
      </c>
      <c r="AG70" s="216">
        <v>380.55409803661053</v>
      </c>
      <c r="AH70" s="216">
        <v>384.62887739919108</v>
      </c>
      <c r="AI70" s="216">
        <v>388.74728742279819</v>
      </c>
      <c r="AJ70" s="216">
        <v>392.90979528231725</v>
      </c>
      <c r="AK70" s="216">
        <v>397.11687315490423</v>
      </c>
      <c r="AL70" s="216">
        <v>401.3689982735475</v>
      </c>
      <c r="AM70" s="216">
        <v>405.66665298120319</v>
      </c>
      <c r="AN70" s="216">
        <v>410.01032478550968</v>
      </c>
      <c r="AO70" s="216">
        <v>414.40050641408914</v>
      </c>
      <c r="AP70" s="216">
        <v>418.83769587043969</v>
      </c>
      <c r="AQ70" s="216">
        <v>423.32239649042742</v>
      </c>
      <c r="AR70" s="216">
        <v>427.85511699938218</v>
      </c>
      <c r="AS70" s="216">
        <v>432.43637156980549</v>
      </c>
      <c r="AT70" s="216">
        <v>437.06667987969615</v>
      </c>
      <c r="AU70" s="216">
        <v>441.74656717149992</v>
      </c>
      <c r="AV70" s="216">
        <v>446.47656431169116</v>
      </c>
      <c r="AW70" s="216">
        <v>451.2572078509919</v>
      </c>
      <c r="AX70" s="216">
        <v>456.08904008523587</v>
      </c>
      <c r="AY70" s="216">
        <v>460.97260911688431</v>
      </c>
      <c r="AZ70" s="216">
        <v>465.9084689172002</v>
      </c>
      <c r="BA70" s="216">
        <v>470.89717938908865</v>
      </c>
      <c r="BB70" s="216">
        <v>475.93930643060969</v>
      </c>
      <c r="BC70" s="216">
        <v>481.03542199917143</v>
      </c>
      <c r="BD70" s="216">
        <v>486.18610417641042</v>
      </c>
      <c r="BE70" s="216">
        <v>491.39193723376695</v>
      </c>
      <c r="BF70" s="216">
        <v>496.65351169876192</v>
      </c>
      <c r="BG70" s="216">
        <v>501.97142442198418</v>
      </c>
      <c r="BH70" s="216">
        <v>507.34627864479455</v>
      </c>
      <c r="BI70" s="216">
        <v>512.77868406775474</v>
      </c>
      <c r="BJ70" s="216">
        <v>518.26925691978977</v>
      </c>
      <c r="BK70" s="216">
        <v>523.81862002808975</v>
      </c>
      <c r="BL70" s="216">
        <v>529.42740288876075</v>
      </c>
    </row>
    <row r="71" spans="1:64">
      <c r="A71" t="s">
        <v>76</v>
      </c>
      <c r="B71">
        <v>686</v>
      </c>
      <c r="C71">
        <v>722</v>
      </c>
      <c r="D71">
        <v>741</v>
      </c>
      <c r="E71">
        <v>770</v>
      </c>
      <c r="F71">
        <v>758</v>
      </c>
      <c r="G71">
        <v>780</v>
      </c>
      <c r="H71">
        <v>798</v>
      </c>
      <c r="I71">
        <v>837</v>
      </c>
      <c r="J71">
        <v>818</v>
      </c>
      <c r="K71">
        <v>767</v>
      </c>
      <c r="L71">
        <v>763</v>
      </c>
      <c r="M71">
        <v>742</v>
      </c>
      <c r="N71">
        <v>754</v>
      </c>
      <c r="O71">
        <v>759</v>
      </c>
      <c r="P71">
        <v>734</v>
      </c>
      <c r="Q71">
        <v>751</v>
      </c>
      <c r="R71">
        <v>767</v>
      </c>
      <c r="S71">
        <v>782</v>
      </c>
      <c r="T71">
        <v>766</v>
      </c>
      <c r="U71">
        <v>762</v>
      </c>
      <c r="V71">
        <v>781</v>
      </c>
      <c r="W71">
        <v>753</v>
      </c>
      <c r="X71">
        <v>810</v>
      </c>
      <c r="Y71" s="216">
        <v>841</v>
      </c>
      <c r="Z71" s="216">
        <v>791.65336056189574</v>
      </c>
      <c r="AA71" s="216">
        <v>793.60523883841927</v>
      </c>
      <c r="AB71" s="216">
        <v>795.56192961116426</v>
      </c>
      <c r="AC71" s="216">
        <v>797.52344474568611</v>
      </c>
      <c r="AD71" s="216">
        <v>799.48979613679546</v>
      </c>
      <c r="AE71" s="216">
        <v>801.460995708631</v>
      </c>
      <c r="AF71" s="216">
        <v>803.43705541473037</v>
      </c>
      <c r="AG71" s="216">
        <v>805.4179872381045</v>
      </c>
      <c r="AH71" s="216">
        <v>807.40380319130827</v>
      </c>
      <c r="AI71" s="216">
        <v>809.39451531651559</v>
      </c>
      <c r="AJ71" s="216">
        <v>811.39013568559017</v>
      </c>
      <c r="AK71" s="216">
        <v>813.39067640016003</v>
      </c>
      <c r="AL71" s="216">
        <v>815.39614959169103</v>
      </c>
      <c r="AM71" s="216">
        <v>817.40656742155954</v>
      </c>
      <c r="AN71" s="216">
        <v>819.42194208112687</v>
      </c>
      <c r="AO71" s="216">
        <v>821.44228579181322</v>
      </c>
      <c r="AP71" s="216">
        <v>823.46761080517115</v>
      </c>
      <c r="AQ71" s="216">
        <v>825.49792940296049</v>
      </c>
      <c r="AR71" s="216">
        <v>827.53325389722306</v>
      </c>
      <c r="AS71" s="216">
        <v>829.57359663035606</v>
      </c>
      <c r="AT71" s="216">
        <v>831.61896997518852</v>
      </c>
      <c r="AU71" s="216">
        <v>833.66938633505504</v>
      </c>
      <c r="AV71" s="216">
        <v>835.72485814387187</v>
      </c>
      <c r="AW71" s="216">
        <v>837.78539786621184</v>
      </c>
      <c r="AX71" s="216">
        <v>839.85101799738015</v>
      </c>
      <c r="AY71" s="216">
        <v>841.92173106349003</v>
      </c>
      <c r="AZ71" s="216">
        <v>843.99754962153861</v>
      </c>
      <c r="BA71" s="216">
        <v>846.07848625948338</v>
      </c>
      <c r="BB71" s="216">
        <v>848.16455359631834</v>
      </c>
      <c r="BC71" s="216">
        <v>850.25576428215038</v>
      </c>
      <c r="BD71" s="216">
        <v>852.35213099827649</v>
      </c>
      <c r="BE71" s="216">
        <v>854.45366645725983</v>
      </c>
      <c r="BF71" s="216">
        <v>856.56038340300745</v>
      </c>
      <c r="BG71" s="216">
        <v>858.67229461084753</v>
      </c>
      <c r="BH71" s="216">
        <v>860.78941288760689</v>
      </c>
      <c r="BI71" s="216">
        <v>862.91175107168817</v>
      </c>
      <c r="BJ71" s="216">
        <v>865.0393220331481</v>
      </c>
      <c r="BK71" s="216">
        <v>867.17213867377575</v>
      </c>
      <c r="BL71" s="216">
        <v>869.31021392717003</v>
      </c>
    </row>
    <row r="72" spans="1:64">
      <c r="A72" t="s">
        <v>1010</v>
      </c>
      <c r="B72">
        <v>26</v>
      </c>
      <c r="C72">
        <v>23</v>
      </c>
      <c r="D72">
        <v>23</v>
      </c>
      <c r="E72">
        <v>27</v>
      </c>
      <c r="F72">
        <v>29</v>
      </c>
      <c r="G72">
        <v>25</v>
      </c>
      <c r="H72">
        <v>21</v>
      </c>
      <c r="I72">
        <v>24</v>
      </c>
      <c r="J72">
        <v>24</v>
      </c>
      <c r="K72">
        <v>28</v>
      </c>
      <c r="L72">
        <v>28</v>
      </c>
      <c r="M72">
        <v>22</v>
      </c>
      <c r="N72">
        <v>23</v>
      </c>
      <c r="O72">
        <v>22</v>
      </c>
      <c r="P72">
        <v>24</v>
      </c>
      <c r="Q72">
        <v>21</v>
      </c>
      <c r="R72">
        <v>21</v>
      </c>
      <c r="S72">
        <v>17</v>
      </c>
      <c r="T72">
        <v>16</v>
      </c>
      <c r="U72">
        <v>15</v>
      </c>
      <c r="V72">
        <v>10</v>
      </c>
      <c r="W72">
        <v>10</v>
      </c>
      <c r="X72">
        <v>8</v>
      </c>
      <c r="Y72" s="216">
        <v>8</v>
      </c>
      <c r="Z72" s="216">
        <v>11.035104096971189</v>
      </c>
      <c r="AA72" s="216">
        <v>10.549083009375682</v>
      </c>
      <c r="AB72" s="216">
        <v>10.084467836532932</v>
      </c>
      <c r="AC72" s="216">
        <v>9.6403157938640369</v>
      </c>
      <c r="AD72" s="216">
        <v>9.2157256200220061</v>
      </c>
      <c r="AE72" s="216">
        <v>8.8098357480765088</v>
      </c>
      <c r="AF72" s="216">
        <v>8.4218225572455214</v>
      </c>
      <c r="AG72" s="216">
        <v>8.0508987016262257</v>
      </c>
      <c r="AH72" s="216">
        <v>7.6963115125339536</v>
      </c>
      <c r="AI72" s="216">
        <v>7.3573414712071816</v>
      </c>
      <c r="AJ72" s="216">
        <v>7.0333007487794621</v>
      </c>
      <c r="AK72" s="216">
        <v>6.7235318105556434</v>
      </c>
      <c r="AL72" s="216">
        <v>6.4274060817601955</v>
      </c>
      <c r="AM72" s="216">
        <v>6.1443226720502269</v>
      </c>
      <c r="AN72" s="216">
        <v>5.8737071562050049</v>
      </c>
      <c r="AO72" s="216">
        <v>5.6150104085177954</v>
      </c>
      <c r="AP72" s="216">
        <v>5.3677074885247755</v>
      </c>
      <c r="AQ72" s="216">
        <v>5.1312965758100155</v>
      </c>
      <c r="AR72" s="216">
        <v>4.9052979517250117</v>
      </c>
      <c r="AS72" s="216">
        <v>4.6892530259565506</v>
      </c>
      <c r="AT72" s="216">
        <v>4.4827234059676044</v>
      </c>
      <c r="AU72" s="216">
        <v>4.2852900074230282</v>
      </c>
      <c r="AV72" s="216">
        <v>4.0965522037949196</v>
      </c>
      <c r="AW72" s="216">
        <v>3.9161270134220745</v>
      </c>
      <c r="AX72" s="216">
        <v>3.7436483223739376</v>
      </c>
      <c r="AY72" s="216">
        <v>3.5787661415420717</v>
      </c>
      <c r="AZ72" s="216">
        <v>3.4211458964517094</v>
      </c>
      <c r="BA72" s="216">
        <v>3.2704677483522517</v>
      </c>
      <c r="BB72" s="216">
        <v>3.1264259452090939</v>
      </c>
      <c r="BC72" s="216">
        <v>2.9887282012798471</v>
      </c>
      <c r="BD72" s="216">
        <v>2.8570951040159898</v>
      </c>
      <c r="BE72" s="216">
        <v>2.7312595470864651</v>
      </c>
      <c r="BF72" s="216">
        <v>2.6109661883727115</v>
      </c>
      <c r="BG72" s="216">
        <v>2.4959709318353229</v>
      </c>
      <c r="BH72" s="216">
        <v>2.3860404322009479</v>
      </c>
      <c r="BI72" s="216">
        <v>2.2809516214643604</v>
      </c>
      <c r="BJ72" s="216">
        <v>2.1804912562448684</v>
      </c>
      <c r="BK72" s="216">
        <v>2.0844554850786055</v>
      </c>
      <c r="BL72" s="216">
        <v>1.9926494347686321</v>
      </c>
    </row>
    <row r="73" spans="1:64">
      <c r="A73" t="s">
        <v>1373</v>
      </c>
      <c r="K73">
        <v>10</v>
      </c>
      <c r="L73">
        <v>15</v>
      </c>
      <c r="M73">
        <v>10</v>
      </c>
      <c r="N73">
        <v>13</v>
      </c>
      <c r="O73">
        <v>11</v>
      </c>
      <c r="P73">
        <v>11</v>
      </c>
      <c r="Q73">
        <v>10</v>
      </c>
      <c r="R73">
        <v>15</v>
      </c>
      <c r="S73">
        <v>15</v>
      </c>
      <c r="T73">
        <v>13</v>
      </c>
      <c r="U73">
        <v>12</v>
      </c>
      <c r="V73">
        <v>15</v>
      </c>
      <c r="W73">
        <v>12</v>
      </c>
      <c r="X73">
        <v>8</v>
      </c>
      <c r="Y73" s="216">
        <v>9</v>
      </c>
      <c r="Z73" s="216">
        <v>11.055895684736907</v>
      </c>
      <c r="AA73" s="216">
        <v>10.976243671152735</v>
      </c>
      <c r="AB73" s="216">
        <v>10.897165509154084</v>
      </c>
      <c r="AC73" s="216">
        <v>10.818657064436902</v>
      </c>
      <c r="AD73" s="216">
        <v>10.740714232482667</v>
      </c>
      <c r="AE73" s="216">
        <v>10.663332938343787</v>
      </c>
      <c r="AF73" s="216">
        <v>10.586509136430562</v>
      </c>
      <c r="AG73" s="216">
        <v>10.510238810299681</v>
      </c>
      <c r="AH73" s="216">
        <v>10.434517972444217</v>
      </c>
      <c r="AI73" s="216">
        <v>10.359342664085185</v>
      </c>
      <c r="AJ73" s="216">
        <v>10.284708954964545</v>
      </c>
      <c r="AK73" s="216">
        <v>10.210612943139742</v>
      </c>
      <c r="AL73" s="216">
        <v>10.137050754779692</v>
      </c>
      <c r="AM73" s="216">
        <v>10.06401854396227</v>
      </c>
      <c r="AN73" s="216">
        <v>9.9915124924732268</v>
      </c>
      <c r="AO73" s="216">
        <v>9.9195288096065752</v>
      </c>
      <c r="AP73" s="216">
        <v>9.8480637319664037</v>
      </c>
      <c r="AQ73" s="216">
        <v>9.7771135232701258</v>
      </c>
      <c r="AR73" s="216">
        <v>9.7066744741531377</v>
      </c>
      <c r="AS73" s="216">
        <v>9.6367429019748876</v>
      </c>
      <c r="AT73" s="216">
        <v>9.567315150626353</v>
      </c>
      <c r="AU73" s="216">
        <v>9.4983875903388792</v>
      </c>
      <c r="AV73" s="216">
        <v>9.4299566174944207</v>
      </c>
      <c r="AW73" s="216">
        <v>9.3620186544371418</v>
      </c>
      <c r="AX73" s="216">
        <v>9.2945701492863595</v>
      </c>
      <c r="AY73" s="216">
        <v>9.2276075757508629</v>
      </c>
      <c r="AZ73" s="216">
        <v>9.1611274329445411</v>
      </c>
      <c r="BA73" s="216">
        <v>9.0951262452033621</v>
      </c>
      <c r="BB73" s="216">
        <v>9.0296005619036528</v>
      </c>
      <c r="BC73" s="216">
        <v>8.9645469572817049</v>
      </c>
      <c r="BD73" s="216">
        <v>8.8999620302546614</v>
      </c>
      <c r="BE73" s="216">
        <v>8.8358424042427135</v>
      </c>
      <c r="BF73" s="216">
        <v>8.7721847269925632</v>
      </c>
      <c r="BG73" s="216">
        <v>8.7089856704021607</v>
      </c>
      <c r="BH73" s="216">
        <v>8.6462419303467186</v>
      </c>
      <c r="BI73" s="216">
        <v>8.5839502265059551</v>
      </c>
      <c r="BJ73" s="216">
        <v>8.5221073021926035</v>
      </c>
      <c r="BK73" s="216">
        <v>8.4607099241821437</v>
      </c>
      <c r="BL73" s="216">
        <v>8.3997548825437676</v>
      </c>
    </row>
    <row r="74" spans="1:64">
      <c r="A74" t="s">
        <v>143</v>
      </c>
      <c r="B74">
        <v>62</v>
      </c>
      <c r="C74">
        <v>68</v>
      </c>
      <c r="D74">
        <v>62</v>
      </c>
      <c r="E74">
        <v>66</v>
      </c>
      <c r="F74">
        <v>73</v>
      </c>
      <c r="G74">
        <v>70</v>
      </c>
      <c r="H74">
        <v>63</v>
      </c>
      <c r="I74">
        <v>58</v>
      </c>
      <c r="J74">
        <v>48</v>
      </c>
      <c r="K74">
        <v>64</v>
      </c>
      <c r="L74">
        <v>69</v>
      </c>
      <c r="M74">
        <v>79</v>
      </c>
      <c r="N74">
        <v>70</v>
      </c>
      <c r="O74">
        <v>64</v>
      </c>
      <c r="P74">
        <v>64</v>
      </c>
      <c r="Q74">
        <v>54</v>
      </c>
      <c r="R74">
        <v>46</v>
      </c>
      <c r="S74">
        <v>40</v>
      </c>
      <c r="T74">
        <v>43</v>
      </c>
      <c r="U74">
        <v>35</v>
      </c>
      <c r="V74">
        <v>27</v>
      </c>
      <c r="W74">
        <v>26</v>
      </c>
      <c r="X74">
        <v>40</v>
      </c>
      <c r="Y74" s="216">
        <v>34</v>
      </c>
      <c r="Z74" s="216">
        <v>34.067956940041526</v>
      </c>
      <c r="AA74" s="216">
        <v>32.894283138591554</v>
      </c>
      <c r="AB74" s="216">
        <v>31.761043525626501</v>
      </c>
      <c r="AC74" s="216">
        <v>30.66684510456043</v>
      </c>
      <c r="AD74" s="216">
        <v>29.61034286887622</v>
      </c>
      <c r="AE74" s="216">
        <v>28.590238148821683</v>
      </c>
      <c r="AF74" s="216">
        <v>27.605277015063518</v>
      </c>
      <c r="AG74" s="216">
        <v>26.654248737336985</v>
      </c>
      <c r="AH74" s="216">
        <v>25.735984296196552</v>
      </c>
      <c r="AI74" s="216">
        <v>24.849354946038137</v>
      </c>
      <c r="AJ74" s="216">
        <v>23.993270827626635</v>
      </c>
      <c r="AK74" s="216">
        <v>23.166679628423211</v>
      </c>
      <c r="AL74" s="216">
        <v>22.368565289065589</v>
      </c>
      <c r="AM74" s="216">
        <v>21.597946754411314</v>
      </c>
      <c r="AN74" s="216">
        <v>20.853876767608835</v>
      </c>
      <c r="AO74" s="216">
        <v>20.135440705713926</v>
      </c>
      <c r="AP74" s="216">
        <v>19.441755455420278</v>
      </c>
      <c r="AQ74" s="216">
        <v>18.771968327522252</v>
      </c>
      <c r="AR74" s="216">
        <v>18.125256008775416</v>
      </c>
      <c r="AS74" s="216">
        <v>17.500823549866492</v>
      </c>
      <c r="AT74" s="216">
        <v>16.897903388248722</v>
      </c>
      <c r="AU74" s="216">
        <v>16.315754404641481</v>
      </c>
      <c r="AV74" s="216">
        <v>15.753661012034405</v>
      </c>
      <c r="AW74" s="216">
        <v>15.210932276076154</v>
      </c>
      <c r="AX74" s="216">
        <v>14.686901065766696</v>
      </c>
      <c r="AY74" s="216">
        <v>14.180923233408985</v>
      </c>
      <c r="AZ74" s="216">
        <v>13.692376822812131</v>
      </c>
      <c r="BA74" s="216">
        <v>13.220661304772737</v>
      </c>
      <c r="BB74" s="216">
        <v>12.765196838894603</v>
      </c>
      <c r="BC74" s="216">
        <v>12.325423560839486</v>
      </c>
      <c r="BD74" s="216">
        <v>11.90080089413272</v>
      </c>
      <c r="BE74" s="216">
        <v>11.490806885677834</v>
      </c>
      <c r="BF74" s="216">
        <v>11.094937564163288</v>
      </c>
      <c r="BG74" s="216">
        <v>10.712706320572726</v>
      </c>
      <c r="BH74" s="216">
        <v>10.343643310037276</v>
      </c>
      <c r="BI74" s="216">
        <v>9.9872948742945589</v>
      </c>
      <c r="BJ74" s="216">
        <v>9.6432229840445736</v>
      </c>
      <c r="BK74" s="216">
        <v>9.3110047005169552</v>
      </c>
      <c r="BL74" s="216">
        <v>8.9902316555877455</v>
      </c>
    </row>
    <row r="75" spans="1:64">
      <c r="A75" t="s">
        <v>1524</v>
      </c>
      <c r="K75">
        <v>4</v>
      </c>
      <c r="L75">
        <v>1</v>
      </c>
      <c r="M75">
        <v>0</v>
      </c>
      <c r="N75">
        <v>0</v>
      </c>
      <c r="O75">
        <v>0</v>
      </c>
      <c r="P75">
        <v>0</v>
      </c>
      <c r="Q75">
        <v>0</v>
      </c>
      <c r="R75">
        <v>0</v>
      </c>
      <c r="S75">
        <v>0</v>
      </c>
      <c r="T75">
        <v>0</v>
      </c>
      <c r="U75">
        <v>0</v>
      </c>
      <c r="V75">
        <v>0</v>
      </c>
      <c r="W75">
        <v>0</v>
      </c>
      <c r="X75">
        <v>0</v>
      </c>
      <c r="Y75" s="216">
        <v>0</v>
      </c>
      <c r="Z75" s="216">
        <v>0</v>
      </c>
      <c r="AA75" s="216">
        <v>0</v>
      </c>
      <c r="AB75" s="216">
        <v>0</v>
      </c>
      <c r="AC75" s="216">
        <v>0</v>
      </c>
      <c r="AD75" s="216">
        <v>0</v>
      </c>
      <c r="AE75" s="216">
        <v>0</v>
      </c>
      <c r="AF75" s="216">
        <v>0</v>
      </c>
      <c r="AG75" s="216">
        <v>0</v>
      </c>
      <c r="AH75" s="216">
        <v>0</v>
      </c>
      <c r="AI75" s="216">
        <v>0</v>
      </c>
      <c r="AJ75" s="216">
        <v>0</v>
      </c>
      <c r="AK75" s="216">
        <v>0</v>
      </c>
      <c r="AL75" s="216">
        <v>0</v>
      </c>
      <c r="AM75" s="216">
        <v>0</v>
      </c>
      <c r="AN75" s="216">
        <v>0</v>
      </c>
      <c r="AO75" s="216">
        <v>0</v>
      </c>
      <c r="AP75" s="216">
        <v>0</v>
      </c>
      <c r="AQ75" s="216">
        <v>0</v>
      </c>
      <c r="AR75" s="216">
        <v>0</v>
      </c>
      <c r="AS75" s="216">
        <v>0</v>
      </c>
      <c r="AT75" s="216">
        <v>0</v>
      </c>
      <c r="AU75" s="216">
        <v>0</v>
      </c>
      <c r="AV75" s="216">
        <v>0</v>
      </c>
      <c r="AW75" s="216">
        <v>0</v>
      </c>
      <c r="AX75" s="216">
        <v>0</v>
      </c>
      <c r="AY75" s="216">
        <v>0</v>
      </c>
      <c r="AZ75" s="216">
        <v>0</v>
      </c>
      <c r="BA75" s="216">
        <v>0</v>
      </c>
      <c r="BB75" s="216">
        <v>0</v>
      </c>
      <c r="BC75" s="216">
        <v>0</v>
      </c>
      <c r="BD75" s="216">
        <v>0</v>
      </c>
      <c r="BE75" s="216">
        <v>0</v>
      </c>
      <c r="BF75" s="216">
        <v>0</v>
      </c>
      <c r="BG75" s="216">
        <v>0</v>
      </c>
      <c r="BH75" s="216">
        <v>0</v>
      </c>
      <c r="BI75" s="216">
        <v>0</v>
      </c>
      <c r="BJ75" s="216">
        <v>0</v>
      </c>
      <c r="BK75" s="216">
        <v>0</v>
      </c>
      <c r="BL75" s="216">
        <v>0</v>
      </c>
    </row>
    <row r="76" spans="1:64">
      <c r="A76" t="s">
        <v>1590</v>
      </c>
      <c r="B76">
        <v>1200</v>
      </c>
      <c r="C76">
        <v>1060</v>
      </c>
      <c r="D76">
        <v>1133</v>
      </c>
      <c r="E76">
        <v>960</v>
      </c>
      <c r="F76">
        <v>915</v>
      </c>
      <c r="G76">
        <v>809</v>
      </c>
      <c r="H76">
        <v>721</v>
      </c>
      <c r="I76">
        <v>684</v>
      </c>
      <c r="J76">
        <v>635</v>
      </c>
      <c r="K76">
        <v>461</v>
      </c>
      <c r="L76">
        <v>51</v>
      </c>
      <c r="M76">
        <v>51</v>
      </c>
      <c r="N76">
        <v>51</v>
      </c>
      <c r="O76">
        <v>329</v>
      </c>
      <c r="P76">
        <v>481</v>
      </c>
      <c r="Q76">
        <v>1010</v>
      </c>
      <c r="R76">
        <v>597</v>
      </c>
      <c r="S76">
        <v>795</v>
      </c>
      <c r="T76">
        <v>646</v>
      </c>
      <c r="U76">
        <v>539</v>
      </c>
      <c r="V76">
        <v>502</v>
      </c>
      <c r="W76">
        <v>529</v>
      </c>
      <c r="X76">
        <v>455</v>
      </c>
      <c r="Y76" s="216">
        <v>463</v>
      </c>
      <c r="Z76" s="216">
        <v>440.0031116342617</v>
      </c>
      <c r="AA76" s="216">
        <v>422.65397798774916</v>
      </c>
      <c r="AB76" s="216">
        <v>405.98891322694658</v>
      </c>
      <c r="AC76" s="216">
        <v>389.98094480959725</v>
      </c>
      <c r="AD76" s="216">
        <v>374.60416370919722</v>
      </c>
      <c r="AE76" s="216">
        <v>359.83368248102579</v>
      </c>
      <c r="AF76" s="216">
        <v>345.64559498161464</v>
      </c>
      <c r="AG76" s="216">
        <v>332.01693767646151</v>
      </c>
      <c r="AH76" s="216">
        <v>318.92565247336341</v>
      </c>
      <c r="AI76" s="216">
        <v>306.35055102121549</v>
      </c>
      <c r="AJ76" s="216">
        <v>294.27128041649388</v>
      </c>
      <c r="AK76" s="216">
        <v>282.66829026191567</v>
      </c>
      <c r="AL76" s="216">
        <v>271.52280102396338</v>
      </c>
      <c r="AM76" s="216">
        <v>260.81677363805761</v>
      </c>
      <c r="AN76" s="216">
        <v>250.53288031218477</v>
      </c>
      <c r="AO76" s="216">
        <v>240.65447648172568</v>
      </c>
      <c r="AP76" s="216">
        <v>231.16557387009274</v>
      </c>
      <c r="AQ76" s="216">
        <v>222.05081461157499</v>
      </c>
      <c r="AR76" s="216">
        <v>213.29544639450802</v>
      </c>
      <c r="AS76" s="216">
        <v>204.88529858453802</v>
      </c>
      <c r="AT76" s="216">
        <v>196.80675928933547</v>
      </c>
      <c r="AU76" s="216">
        <v>189.04675332763716</v>
      </c>
      <c r="AV76" s="216">
        <v>181.5927210669592</v>
      </c>
      <c r="AW76" s="216">
        <v>174.43259809573058</v>
      </c>
      <c r="AX76" s="216">
        <v>167.55479569694504</v>
      </c>
      <c r="AY76" s="216">
        <v>160.9481820917288</v>
      </c>
      <c r="AZ76" s="216">
        <v>154.60206442246633</v>
      </c>
      <c r="BA76" s="216">
        <v>148.50617144632395</v>
      </c>
      <c r="BB76" s="216">
        <v>142.65063691115958</v>
      </c>
      <c r="BC76" s="216">
        <v>137.02598358691452</v>
      </c>
      <c r="BD76" s="216">
        <v>131.62310792663911</v>
      </c>
      <c r="BE76" s="216">
        <v>126.43326533232867</v>
      </c>
      <c r="BF76" s="216">
        <v>121.448056001721</v>
      </c>
      <c r="BG76" s="216">
        <v>116.65941133314783</v>
      </c>
      <c r="BH76" s="216">
        <v>112.05958086643835</v>
      </c>
      <c r="BI76" s="216">
        <v>107.64111973873614</v>
      </c>
      <c r="BJ76" s="216">
        <v>103.39687663492853</v>
      </c>
      <c r="BK76" s="216">
        <v>99.319982213185398</v>
      </c>
      <c r="BL76" s="216">
        <v>95.403837986873455</v>
      </c>
    </row>
    <row r="77" spans="1:64">
      <c r="A77" t="s">
        <v>17</v>
      </c>
      <c r="B77">
        <v>600</v>
      </c>
      <c r="C77">
        <v>621</v>
      </c>
      <c r="D77">
        <v>604</v>
      </c>
      <c r="E77">
        <v>591</v>
      </c>
      <c r="F77">
        <v>586</v>
      </c>
      <c r="G77">
        <v>572</v>
      </c>
      <c r="H77">
        <v>579</v>
      </c>
      <c r="I77">
        <v>550</v>
      </c>
      <c r="J77">
        <v>570</v>
      </c>
      <c r="K77">
        <v>595</v>
      </c>
      <c r="L77">
        <v>571</v>
      </c>
      <c r="M77">
        <v>576</v>
      </c>
      <c r="N77">
        <v>568</v>
      </c>
      <c r="O77">
        <v>605</v>
      </c>
      <c r="P77">
        <v>583</v>
      </c>
      <c r="Q77">
        <v>608</v>
      </c>
      <c r="R77">
        <v>602</v>
      </c>
      <c r="S77">
        <v>600</v>
      </c>
      <c r="T77">
        <v>604</v>
      </c>
      <c r="U77">
        <v>583</v>
      </c>
      <c r="V77">
        <v>585</v>
      </c>
      <c r="W77">
        <v>584</v>
      </c>
      <c r="X77">
        <v>588</v>
      </c>
      <c r="Y77" s="216">
        <v>576</v>
      </c>
      <c r="Z77" s="216">
        <v>585.56365778996803</v>
      </c>
      <c r="AA77" s="216">
        <v>585.42268006771587</v>
      </c>
      <c r="AB77" s="216">
        <v>585.28173628663785</v>
      </c>
      <c r="AC77" s="216">
        <v>585.14082643856273</v>
      </c>
      <c r="AD77" s="216">
        <v>584.99995051532073</v>
      </c>
      <c r="AE77" s="216">
        <v>584.8591085087445</v>
      </c>
      <c r="AF77" s="216">
        <v>584.71830041066801</v>
      </c>
      <c r="AG77" s="216">
        <v>584.57752621292809</v>
      </c>
      <c r="AH77" s="216">
        <v>584.43678590736261</v>
      </c>
      <c r="AI77" s="216">
        <v>584.29607948581213</v>
      </c>
      <c r="AJ77" s="216">
        <v>584.15540694011884</v>
      </c>
      <c r="AK77" s="216">
        <v>584.01476826212684</v>
      </c>
      <c r="AL77" s="216">
        <v>583.87416344368228</v>
      </c>
      <c r="AM77" s="216">
        <v>583.73359247663336</v>
      </c>
      <c r="AN77" s="216">
        <v>583.59305535283022</v>
      </c>
      <c r="AO77" s="216">
        <v>583.4525520641248</v>
      </c>
      <c r="AP77" s="216">
        <v>583.31208260237122</v>
      </c>
      <c r="AQ77" s="216">
        <v>583.17164695942529</v>
      </c>
      <c r="AR77" s="216">
        <v>583.03124512714498</v>
      </c>
      <c r="AS77" s="216">
        <v>582.89087709739033</v>
      </c>
      <c r="AT77" s="216">
        <v>582.75054286202305</v>
      </c>
      <c r="AU77" s="216">
        <v>582.61024241290704</v>
      </c>
      <c r="AV77" s="216">
        <v>582.46997574190812</v>
      </c>
      <c r="AW77" s="216">
        <v>582.3297428408938</v>
      </c>
      <c r="AX77" s="216">
        <v>582.18954370173401</v>
      </c>
      <c r="AY77" s="216">
        <v>582.04937831630014</v>
      </c>
      <c r="AZ77" s="216">
        <v>581.90924667646607</v>
      </c>
      <c r="BA77" s="216">
        <v>581.76914877410718</v>
      </c>
      <c r="BB77" s="216">
        <v>581.62908460110111</v>
      </c>
      <c r="BC77" s="216">
        <v>581.48905414932722</v>
      </c>
      <c r="BD77" s="216">
        <v>581.34905741066689</v>
      </c>
      <c r="BE77" s="216">
        <v>581.20909437700357</v>
      </c>
      <c r="BF77" s="216">
        <v>581.06916504022274</v>
      </c>
      <c r="BG77" s="216">
        <v>580.92926939221138</v>
      </c>
      <c r="BH77" s="216">
        <v>580.78940742485906</v>
      </c>
      <c r="BI77" s="216">
        <v>580.64957913005674</v>
      </c>
      <c r="BJ77" s="216">
        <v>580.5097844996975</v>
      </c>
      <c r="BK77" s="216">
        <v>580.37002352567686</v>
      </c>
      <c r="BL77" s="216">
        <v>580.23029619989131</v>
      </c>
    </row>
    <row r="78" spans="1:64">
      <c r="A78" t="s">
        <v>1591</v>
      </c>
      <c r="K78">
        <v>38</v>
      </c>
      <c r="L78">
        <v>43</v>
      </c>
      <c r="M78">
        <v>40</v>
      </c>
      <c r="N78">
        <v>41</v>
      </c>
      <c r="O78">
        <v>31</v>
      </c>
      <c r="P78">
        <v>33</v>
      </c>
      <c r="Q78">
        <v>42</v>
      </c>
      <c r="R78">
        <v>38</v>
      </c>
      <c r="S78">
        <v>44</v>
      </c>
      <c r="T78">
        <v>44</v>
      </c>
      <c r="U78">
        <v>43</v>
      </c>
      <c r="V78">
        <v>44</v>
      </c>
      <c r="W78">
        <v>38</v>
      </c>
      <c r="X78">
        <v>26</v>
      </c>
      <c r="Y78" s="216">
        <v>31</v>
      </c>
      <c r="Z78" s="216">
        <v>35.032876090157302</v>
      </c>
      <c r="AA78" s="216">
        <v>34.682523370726422</v>
      </c>
      <c r="AB78" s="216">
        <v>34.335674418091514</v>
      </c>
      <c r="AC78" s="216">
        <v>33.992294192188467</v>
      </c>
      <c r="AD78" s="216">
        <v>33.652348003377725</v>
      </c>
      <c r="AE78" s="216">
        <v>33.31580150893987</v>
      </c>
      <c r="AF78" s="216">
        <v>32.982620709606181</v>
      </c>
      <c r="AG78" s="216">
        <v>32.652771946123856</v>
      </c>
      <c r="AH78" s="216">
        <v>32.326221895855639</v>
      </c>
      <c r="AI78" s="216">
        <v>32.002937569413447</v>
      </c>
      <c r="AJ78" s="216">
        <v>31.682886307325628</v>
      </c>
      <c r="AK78" s="216">
        <v>31.366035776737593</v>
      </c>
      <c r="AL78" s="216">
        <v>31.052353968145411</v>
      </c>
      <c r="AM78" s="216">
        <v>30.741809192162062</v>
      </c>
      <c r="AN78" s="216">
        <v>30.434370076316092</v>
      </c>
      <c r="AO78" s="216">
        <v>30.1300055618822</v>
      </c>
      <c r="AP78" s="216">
        <v>29.828684900743593</v>
      </c>
      <c r="AQ78" s="216">
        <v>29.530377652285654</v>
      </c>
      <c r="AR78" s="216">
        <v>29.23505368032076</v>
      </c>
      <c r="AS78" s="216">
        <v>28.942683150043742</v>
      </c>
      <c r="AT78" s="216">
        <v>28.653236525017906</v>
      </c>
      <c r="AU78" s="216">
        <v>28.366684564191122</v>
      </c>
      <c r="AV78" s="216">
        <v>28.082998318941765</v>
      </c>
      <c r="AW78" s="216">
        <v>27.802149130154248</v>
      </c>
      <c r="AX78" s="216">
        <v>27.52410862532372</v>
      </c>
      <c r="AY78" s="216">
        <v>27.248848715689792</v>
      </c>
      <c r="AZ78" s="216">
        <v>26.976341593398882</v>
      </c>
      <c r="BA78" s="216">
        <v>26.70655972869497</v>
      </c>
      <c r="BB78" s="216">
        <v>26.439475867138409</v>
      </c>
      <c r="BC78" s="216">
        <v>26.175063026852602</v>
      </c>
      <c r="BD78" s="216">
        <v>25.913294495798159</v>
      </c>
      <c r="BE78" s="216">
        <v>25.654143829074368</v>
      </c>
      <c r="BF78" s="216">
        <v>25.397584846247593</v>
      </c>
      <c r="BG78" s="216">
        <v>25.143591628706435</v>
      </c>
      <c r="BH78" s="216">
        <v>24.89213851704336</v>
      </c>
      <c r="BI78" s="216">
        <v>24.643200108462437</v>
      </c>
      <c r="BJ78" s="216">
        <v>24.396751254213068</v>
      </c>
      <c r="BK78" s="216">
        <v>24.152767057049367</v>
      </c>
      <c r="BL78" s="216">
        <v>23.911222868714933</v>
      </c>
    </row>
    <row r="79" spans="1:64">
      <c r="A79" t="s">
        <v>1012</v>
      </c>
      <c r="B79">
        <v>27</v>
      </c>
      <c r="C79">
        <v>26</v>
      </c>
      <c r="D79">
        <v>26</v>
      </c>
      <c r="E79">
        <v>25</v>
      </c>
      <c r="F79">
        <v>26</v>
      </c>
      <c r="G79">
        <v>25</v>
      </c>
      <c r="H79">
        <v>23</v>
      </c>
      <c r="I79">
        <v>23</v>
      </c>
      <c r="J79">
        <v>22</v>
      </c>
      <c r="K79">
        <v>215</v>
      </c>
      <c r="L79">
        <v>226</v>
      </c>
      <c r="M79">
        <v>250</v>
      </c>
      <c r="N79">
        <v>231</v>
      </c>
      <c r="O79">
        <v>238</v>
      </c>
      <c r="P79">
        <v>227</v>
      </c>
      <c r="Q79">
        <v>249</v>
      </c>
      <c r="R79">
        <v>240</v>
      </c>
      <c r="S79">
        <v>223</v>
      </c>
      <c r="T79">
        <v>210</v>
      </c>
      <c r="U79">
        <v>218</v>
      </c>
      <c r="V79">
        <v>224</v>
      </c>
      <c r="W79">
        <v>213</v>
      </c>
      <c r="X79">
        <v>217</v>
      </c>
      <c r="Y79" s="216">
        <v>205</v>
      </c>
      <c r="Z79" s="216">
        <v>212.6511172527355</v>
      </c>
      <c r="AA79" s="216">
        <v>211.11463597630555</v>
      </c>
      <c r="AB79" s="216">
        <v>209.58925633312032</v>
      </c>
      <c r="AC79" s="216">
        <v>208.07489810986218</v>
      </c>
      <c r="AD79" s="216">
        <v>206.57148167278368</v>
      </c>
      <c r="AE79" s="216">
        <v>205.07892796352004</v>
      </c>
      <c r="AF79" s="216">
        <v>203.59715849493188</v>
      </c>
      <c r="AG79" s="216">
        <v>202.12609534697759</v>
      </c>
      <c r="AH79" s="216">
        <v>200.66566116261626</v>
      </c>
      <c r="AI79" s="216">
        <v>199.2157791437395</v>
      </c>
      <c r="AJ79" s="216">
        <v>197.77637304713309</v>
      </c>
      <c r="AK79" s="216">
        <v>196.34736718046753</v>
      </c>
      <c r="AL79" s="216">
        <v>194.92868639831789</v>
      </c>
      <c r="AM79" s="216">
        <v>193.52025609821212</v>
      </c>
      <c r="AN79" s="216">
        <v>192.12200221670798</v>
      </c>
      <c r="AO79" s="216">
        <v>190.73385122549846</v>
      </c>
      <c r="AP79" s="216">
        <v>189.35573012754509</v>
      </c>
      <c r="AQ79" s="216">
        <v>187.98756645323945</v>
      </c>
      <c r="AR79" s="216">
        <v>186.62928825659236</v>
      </c>
      <c r="AS79" s="216">
        <v>185.28082411145039</v>
      </c>
      <c r="AT79" s="216">
        <v>183.94210310773985</v>
      </c>
      <c r="AU79" s="216">
        <v>182.61305484773803</v>
      </c>
      <c r="AV79" s="216">
        <v>181.29360944237129</v>
      </c>
      <c r="AW79" s="216">
        <v>179.98369750753983</v>
      </c>
      <c r="AX79" s="216">
        <v>178.68325016046902</v>
      </c>
      <c r="AY79" s="216">
        <v>177.39219901608723</v>
      </c>
      <c r="AZ79" s="216">
        <v>176.11047618342977</v>
      </c>
      <c r="BA79" s="216">
        <v>174.83801426206867</v>
      </c>
      <c r="BB79" s="216">
        <v>173.57474633856847</v>
      </c>
      <c r="BC79" s="216">
        <v>172.32060598296755</v>
      </c>
      <c r="BD79" s="216">
        <v>171.07552724528466</v>
      </c>
      <c r="BE79" s="216">
        <v>169.83944465205116</v>
      </c>
      <c r="BF79" s="216">
        <v>168.6122932028679</v>
      </c>
      <c r="BG79" s="216">
        <v>167.39400836698709</v>
      </c>
      <c r="BH79" s="216">
        <v>166.18452607991895</v>
      </c>
      <c r="BI79" s="216">
        <v>164.98378274006285</v>
      </c>
      <c r="BJ79" s="216">
        <v>163.79171520536275</v>
      </c>
      <c r="BK79" s="216">
        <v>162.60826078998679</v>
      </c>
      <c r="BL79" s="216">
        <v>161.43335726103086</v>
      </c>
    </row>
    <row r="80" spans="1:64">
      <c r="A80" t="s">
        <v>256</v>
      </c>
      <c r="B80">
        <v>849</v>
      </c>
      <c r="C80">
        <v>840</v>
      </c>
      <c r="D80">
        <v>714</v>
      </c>
      <c r="E80">
        <v>521</v>
      </c>
      <c r="F80">
        <v>528</v>
      </c>
      <c r="G80">
        <v>526</v>
      </c>
      <c r="H80">
        <v>539</v>
      </c>
      <c r="I80">
        <v>544</v>
      </c>
      <c r="J80">
        <v>563</v>
      </c>
      <c r="K80">
        <v>675</v>
      </c>
      <c r="L80">
        <v>674</v>
      </c>
      <c r="M80">
        <v>693</v>
      </c>
      <c r="N80">
        <v>708</v>
      </c>
      <c r="O80">
        <v>680</v>
      </c>
      <c r="P80">
        <v>640</v>
      </c>
      <c r="Q80">
        <v>616</v>
      </c>
      <c r="R80">
        <v>584</v>
      </c>
      <c r="S80">
        <v>556</v>
      </c>
      <c r="T80">
        <v>539</v>
      </c>
      <c r="U80">
        <v>470</v>
      </c>
      <c r="V80">
        <v>487</v>
      </c>
      <c r="W80">
        <v>483</v>
      </c>
      <c r="X80">
        <v>483</v>
      </c>
      <c r="Y80" s="216">
        <v>449</v>
      </c>
      <c r="Z80" s="216">
        <v>487.381656202817</v>
      </c>
      <c r="AA80" s="216">
        <v>480.04554065072068</v>
      </c>
      <c r="AB80" s="216">
        <v>472.81984901529984</v>
      </c>
      <c r="AC80" s="216">
        <v>465.70291918514323</v>
      </c>
      <c r="AD80" s="216">
        <v>458.69311406710017</v>
      </c>
      <c r="AE80" s="216">
        <v>451.78882120970377</v>
      </c>
      <c r="AF80" s="216">
        <v>444.98845243226145</v>
      </c>
      <c r="AG80" s="216">
        <v>438.29044345952917</v>
      </c>
      <c r="AH80" s="216">
        <v>431.69325356188426</v>
      </c>
      <c r="AI80" s="216">
        <v>425.19536520091458</v>
      </c>
      <c r="AJ80" s="216">
        <v>418.79528368034204</v>
      </c>
      <c r="AK80" s="216">
        <v>412.49153680220053</v>
      </c>
      <c r="AL80" s="216">
        <v>406.28267452818932</v>
      </c>
      <c r="AM80" s="216">
        <v>400.16726864612383</v>
      </c>
      <c r="AN80" s="216">
        <v>394.14391244140631</v>
      </c>
      <c r="AO80" s="216">
        <v>388.21122037344253</v>
      </c>
      <c r="AP80" s="216">
        <v>382.36782775692859</v>
      </c>
      <c r="AQ80" s="216">
        <v>376.61239044793473</v>
      </c>
      <c r="AR80" s="216">
        <v>370.94358453471517</v>
      </c>
      <c r="AS80" s="216">
        <v>365.36010603317089</v>
      </c>
      <c r="AT80" s="216">
        <v>359.86067058689684</v>
      </c>
      <c r="AU80" s="216">
        <v>354.44401317174425</v>
      </c>
      <c r="AV80" s="216">
        <v>349.10888780482935</v>
      </c>
      <c r="AW80" s="216">
        <v>343.85406725792245</v>
      </c>
      <c r="AX80" s="216">
        <v>338.67834277515141</v>
      </c>
      <c r="AY80" s="216">
        <v>333.58052379495354</v>
      </c>
      <c r="AZ80" s="216">
        <v>328.55943767621329</v>
      </c>
      <c r="BA80" s="216">
        <v>323.61392942852194</v>
      </c>
      <c r="BB80" s="216">
        <v>318.7428614464975</v>
      </c>
      <c r="BC80" s="216">
        <v>313.94511324810355</v>
      </c>
      <c r="BD80" s="216">
        <v>309.21958121690693</v>
      </c>
      <c r="BE80" s="216">
        <v>304.56517834821534</v>
      </c>
      <c r="BF80" s="216">
        <v>299.98083399903544</v>
      </c>
      <c r="BG80" s="216">
        <v>295.46549364179521</v>
      </c>
      <c r="BH80" s="216">
        <v>291.01811862177311</v>
      </c>
      <c r="BI80" s="216">
        <v>286.63768591817842</v>
      </c>
      <c r="BJ80" s="216">
        <v>282.32318790882738</v>
      </c>
      <c r="BK80" s="216">
        <v>278.0736321383626</v>
      </c>
      <c r="BL80" s="216">
        <v>273.88804108995998</v>
      </c>
    </row>
    <row r="81" spans="1:64">
      <c r="A81" t="s">
        <v>77</v>
      </c>
      <c r="B81">
        <v>551</v>
      </c>
      <c r="C81">
        <v>580</v>
      </c>
      <c r="D81">
        <v>589</v>
      </c>
      <c r="E81">
        <v>616</v>
      </c>
      <c r="F81">
        <v>623</v>
      </c>
      <c r="G81">
        <v>633</v>
      </c>
      <c r="H81">
        <v>647</v>
      </c>
      <c r="I81">
        <v>670</v>
      </c>
      <c r="J81">
        <v>668</v>
      </c>
      <c r="K81">
        <v>649</v>
      </c>
      <c r="L81">
        <v>644</v>
      </c>
      <c r="M81">
        <v>644</v>
      </c>
      <c r="N81">
        <v>651</v>
      </c>
      <c r="O81">
        <v>657</v>
      </c>
      <c r="P81">
        <v>667</v>
      </c>
      <c r="Q81">
        <v>653</v>
      </c>
      <c r="R81">
        <v>671</v>
      </c>
      <c r="S81">
        <v>683</v>
      </c>
      <c r="T81">
        <v>680</v>
      </c>
      <c r="U81">
        <v>681</v>
      </c>
      <c r="V81">
        <v>676</v>
      </c>
      <c r="W81">
        <v>694</v>
      </c>
      <c r="X81">
        <v>721</v>
      </c>
      <c r="Y81" s="216">
        <v>713</v>
      </c>
      <c r="Z81" s="216">
        <v>718.73418290612972</v>
      </c>
      <c r="AA81" s="216">
        <v>724.41858112470561</v>
      </c>
      <c r="AB81" s="216">
        <v>730.1479366917365</v>
      </c>
      <c r="AC81" s="216">
        <v>735.92260517048544</v>
      </c>
      <c r="AD81" s="216">
        <v>741.74294493633067</v>
      </c>
      <c r="AE81" s="216">
        <v>747.60931719900645</v>
      </c>
      <c r="AF81" s="216">
        <v>753.52208602501867</v>
      </c>
      <c r="AG81" s="216">
        <v>759.48161836024042</v>
      </c>
      <c r="AH81" s="216">
        <v>765.48828405268318</v>
      </c>
      <c r="AI81" s="216">
        <v>771.54245587545029</v>
      </c>
      <c r="AJ81" s="216">
        <v>777.64450954987103</v>
      </c>
      <c r="AK81" s="216">
        <v>783.79482376881788</v>
      </c>
      <c r="AL81" s="216">
        <v>789.9937802202079</v>
      </c>
      <c r="AM81" s="216">
        <v>796.24176361069078</v>
      </c>
      <c r="AN81" s="216">
        <v>802.53916168952344</v>
      </c>
      <c r="AO81" s="216">
        <v>808.88636527263338</v>
      </c>
      <c r="AP81" s="216">
        <v>815.28376826687304</v>
      </c>
      <c r="AQ81" s="216">
        <v>821.73176769446582</v>
      </c>
      <c r="AR81" s="216">
        <v>828.23076371764489</v>
      </c>
      <c r="AS81" s="216">
        <v>834.78115966348685</v>
      </c>
      <c r="AT81" s="216">
        <v>841.38336204894313</v>
      </c>
      <c r="AU81" s="216">
        <v>848.03778060606794</v>
      </c>
      <c r="AV81" s="216">
        <v>854.74482830744569</v>
      </c>
      <c r="AW81" s="216">
        <v>861.50492139182109</v>
      </c>
      <c r="AX81" s="216">
        <v>868.31847938992973</v>
      </c>
      <c r="AY81" s="216">
        <v>875.18592515053479</v>
      </c>
      <c r="AZ81" s="216">
        <v>882.10768486666916</v>
      </c>
      <c r="BA81" s="216">
        <v>889.08418810208468</v>
      </c>
      <c r="BB81" s="216">
        <v>896.11586781791027</v>
      </c>
      <c r="BC81" s="216">
        <v>903.20316039952252</v>
      </c>
      <c r="BD81" s="216">
        <v>910.34650568362702</v>
      </c>
      <c r="BE81" s="216">
        <v>917.54634698555481</v>
      </c>
      <c r="BF81" s="216">
        <v>924.80313112677425</v>
      </c>
      <c r="BG81" s="216">
        <v>932.11730846262128</v>
      </c>
      <c r="BH81" s="216">
        <v>939.48933291024753</v>
      </c>
      <c r="BI81" s="216">
        <v>946.91966197679153</v>
      </c>
      <c r="BJ81" s="216">
        <v>954.40875678777036</v>
      </c>
      <c r="BK81" s="216">
        <v>961.95708211569797</v>
      </c>
      <c r="BL81" s="216">
        <v>969.5651064089285</v>
      </c>
    </row>
    <row r="82" spans="1:64">
      <c r="A82" t="s">
        <v>1374</v>
      </c>
      <c r="B82">
        <v>67</v>
      </c>
      <c r="C82">
        <v>66</v>
      </c>
      <c r="D82">
        <v>71</v>
      </c>
      <c r="E82">
        <v>76</v>
      </c>
      <c r="F82">
        <v>75</v>
      </c>
      <c r="G82">
        <v>74</v>
      </c>
      <c r="H82">
        <v>70</v>
      </c>
      <c r="I82">
        <v>61</v>
      </c>
      <c r="J82">
        <v>50</v>
      </c>
      <c r="K82">
        <v>35</v>
      </c>
      <c r="L82">
        <v>34</v>
      </c>
      <c r="M82">
        <v>34</v>
      </c>
      <c r="N82">
        <v>34</v>
      </c>
      <c r="O82">
        <v>25</v>
      </c>
      <c r="P82">
        <v>20</v>
      </c>
      <c r="Q82">
        <v>20</v>
      </c>
      <c r="R82">
        <v>19</v>
      </c>
      <c r="S82">
        <v>18</v>
      </c>
      <c r="T82">
        <v>16</v>
      </c>
      <c r="U82">
        <v>18</v>
      </c>
      <c r="V82">
        <v>14</v>
      </c>
      <c r="W82">
        <v>19</v>
      </c>
      <c r="X82">
        <v>27</v>
      </c>
      <c r="Y82" s="216">
        <v>18</v>
      </c>
      <c r="Z82" s="216">
        <v>12.729861361967483</v>
      </c>
      <c r="AA82" s="216">
        <v>11.773172075347748</v>
      </c>
      <c r="AB82" s="216">
        <v>10.888381010170349</v>
      </c>
      <c r="AC82" s="216">
        <v>10.070084788014652</v>
      </c>
      <c r="AD82" s="216">
        <v>9.3132861114140564</v>
      </c>
      <c r="AE82" s="216">
        <v>8.6133632455897651</v>
      </c>
      <c r="AF82" s="216">
        <v>7.9660417937286159</v>
      </c>
      <c r="AG82" s="216">
        <v>7.367368593437976</v>
      </c>
      <c r="AH82" s="216">
        <v>6.8136875749644599</v>
      </c>
      <c r="AI82" s="216">
        <v>6.3016174337437683</v>
      </c>
      <c r="AJ82" s="216">
        <v>5.8280309809289319</v>
      </c>
      <c r="AK82" s="216">
        <v>5.3900360457915628</v>
      </c>
      <c r="AL82" s="216">
        <v>4.9849578133679842</v>
      </c>
      <c r="AM82" s="216">
        <v>4.6103224894870172</v>
      </c>
      <c r="AN82" s="216">
        <v>4.2638421934225388</v>
      </c>
      <c r="AO82" s="216">
        <v>3.9434009859109058</v>
      </c>
      <c r="AP82" s="216">
        <v>3.6470419472070001</v>
      </c>
      <c r="AQ82" s="216">
        <v>3.3729552262651725</v>
      </c>
      <c r="AR82" s="216">
        <v>3.1194669880619874</v>
      </c>
      <c r="AS82" s="216">
        <v>2.8850291915625612</v>
      </c>
      <c r="AT82" s="216">
        <v>2.6682101359050288</v>
      </c>
      <c r="AU82" s="216">
        <v>2.4676857170690956</v>
      </c>
      <c r="AV82" s="216">
        <v>2.2822313416335671</v>
      </c>
      <c r="AW82" s="216">
        <v>2.1107144482405369</v>
      </c>
      <c r="AX82" s="216">
        <v>1.9520875910951645</v>
      </c>
      <c r="AY82" s="216">
        <v>1.8053820432622829</v>
      </c>
      <c r="AZ82" s="216">
        <v>1.6697018806954749</v>
      </c>
      <c r="BA82" s="216">
        <v>1.5442185108700472</v>
      </c>
      <c r="BB82" s="216">
        <v>1.4281656126065165</v>
      </c>
      <c r="BC82" s="216">
        <v>1.3208344561823442</v>
      </c>
      <c r="BD82" s="216">
        <v>1.2215695751520486</v>
      </c>
      <c r="BE82" s="216">
        <v>1.1297647634437176</v>
      </c>
      <c r="BF82" s="216">
        <v>1.0448593732863465</v>
      </c>
      <c r="BG82" s="216">
        <v>0.96633489135964246</v>
      </c>
      <c r="BH82" s="216">
        <v>0.89371177225697485</v>
      </c>
      <c r="BI82" s="216">
        <v>0.82654650992358814</v>
      </c>
      <c r="BJ82" s="216">
        <v>0.76442892918548877</v>
      </c>
      <c r="BK82" s="216">
        <v>0.70697968082848006</v>
      </c>
      <c r="BL82" s="216">
        <v>0.65384792492992982</v>
      </c>
    </row>
    <row r="83" spans="1:64">
      <c r="A83" t="s">
        <v>1167</v>
      </c>
      <c r="B83">
        <v>460</v>
      </c>
      <c r="C83">
        <v>486</v>
      </c>
      <c r="D83">
        <v>478</v>
      </c>
      <c r="E83">
        <v>475</v>
      </c>
      <c r="F83">
        <v>487</v>
      </c>
      <c r="G83">
        <v>494</v>
      </c>
      <c r="H83">
        <v>507</v>
      </c>
      <c r="I83">
        <v>485</v>
      </c>
      <c r="J83">
        <v>494</v>
      </c>
      <c r="K83">
        <v>554</v>
      </c>
      <c r="L83">
        <v>564</v>
      </c>
      <c r="M83">
        <v>544</v>
      </c>
      <c r="N83">
        <v>603</v>
      </c>
      <c r="O83">
        <v>567</v>
      </c>
      <c r="P83">
        <v>602</v>
      </c>
      <c r="Q83">
        <v>530</v>
      </c>
      <c r="R83">
        <v>515</v>
      </c>
      <c r="S83">
        <v>461</v>
      </c>
      <c r="T83">
        <v>481</v>
      </c>
      <c r="U83">
        <v>483</v>
      </c>
      <c r="V83">
        <v>486</v>
      </c>
      <c r="W83">
        <v>491</v>
      </c>
      <c r="X83">
        <v>512</v>
      </c>
      <c r="Y83" s="216">
        <v>473</v>
      </c>
      <c r="Z83" s="216">
        <v>515.571755283632</v>
      </c>
      <c r="AA83" s="216">
        <v>516.17391512592985</v>
      </c>
      <c r="AB83" s="216">
        <v>516.77677825825867</v>
      </c>
      <c r="AC83" s="216">
        <v>517.38034550202303</v>
      </c>
      <c r="AD83" s="216">
        <v>517.98461767958668</v>
      </c>
      <c r="AE83" s="216">
        <v>518.58959561427423</v>
      </c>
      <c r="AF83" s="216">
        <v>519.19528013037166</v>
      </c>
      <c r="AG83" s="216">
        <v>519.80167205312762</v>
      </c>
      <c r="AH83" s="216">
        <v>520.40877220875495</v>
      </c>
      <c r="AI83" s="216">
        <v>521.01658142443091</v>
      </c>
      <c r="AJ83" s="216">
        <v>521.62510052829964</v>
      </c>
      <c r="AK83" s="216">
        <v>522.23433034947163</v>
      </c>
      <c r="AL83" s="216">
        <v>522.84427171802622</v>
      </c>
      <c r="AM83" s="216">
        <v>523.45492546501225</v>
      </c>
      <c r="AN83" s="216">
        <v>524.06629242244912</v>
      </c>
      <c r="AO83" s="216">
        <v>524.67837342332768</v>
      </c>
      <c r="AP83" s="216">
        <v>525.29116930161217</v>
      </c>
      <c r="AQ83" s="216">
        <v>525.90468089224066</v>
      </c>
      <c r="AR83" s="216">
        <v>526.51890903112621</v>
      </c>
      <c r="AS83" s="216">
        <v>527.13385455515834</v>
      </c>
      <c r="AT83" s="216">
        <v>527.74951830220414</v>
      </c>
      <c r="AU83" s="216">
        <v>528.36590111110888</v>
      </c>
      <c r="AV83" s="216">
        <v>528.98300382169793</v>
      </c>
      <c r="AW83" s="216">
        <v>529.60082727477732</v>
      </c>
      <c r="AX83" s="216">
        <v>530.21937231213531</v>
      </c>
      <c r="AY83" s="216">
        <v>530.83863977654323</v>
      </c>
      <c r="AZ83" s="216">
        <v>531.4586305117565</v>
      </c>
      <c r="BA83" s="216">
        <v>532.07934536251628</v>
      </c>
      <c r="BB83" s="216">
        <v>532.70078517455022</v>
      </c>
      <c r="BC83" s="216">
        <v>533.3229507945739</v>
      </c>
      <c r="BD83" s="216">
        <v>533.94584307029163</v>
      </c>
      <c r="BE83" s="216">
        <v>534.56946285039749</v>
      </c>
      <c r="BF83" s="216">
        <v>535.19381098457768</v>
      </c>
      <c r="BG83" s="216">
        <v>535.8188883235099</v>
      </c>
      <c r="BH83" s="216">
        <v>536.44469571886589</v>
      </c>
      <c r="BI83" s="216">
        <v>537.07123402331183</v>
      </c>
      <c r="BJ83" s="216">
        <v>537.69850409051003</v>
      </c>
      <c r="BK83" s="216">
        <v>538.32650677511958</v>
      </c>
      <c r="BL83" s="216">
        <v>538.95524293279789</v>
      </c>
    </row>
    <row r="84" spans="1:64">
      <c r="A84" t="s">
        <v>148</v>
      </c>
      <c r="B84">
        <v>145</v>
      </c>
      <c r="C84">
        <v>149</v>
      </c>
      <c r="D84">
        <v>154</v>
      </c>
      <c r="E84">
        <v>157</v>
      </c>
      <c r="F84">
        <v>148</v>
      </c>
      <c r="G84">
        <v>160</v>
      </c>
      <c r="H84">
        <v>150</v>
      </c>
      <c r="I84">
        <v>143</v>
      </c>
      <c r="J84">
        <v>141</v>
      </c>
      <c r="K84">
        <v>144</v>
      </c>
      <c r="L84">
        <v>155</v>
      </c>
      <c r="M84">
        <v>149</v>
      </c>
      <c r="N84">
        <v>156</v>
      </c>
      <c r="O84">
        <v>161</v>
      </c>
      <c r="P84">
        <v>150</v>
      </c>
      <c r="Q84">
        <v>154</v>
      </c>
      <c r="R84">
        <v>166</v>
      </c>
      <c r="S84">
        <v>160</v>
      </c>
      <c r="T84">
        <v>154</v>
      </c>
      <c r="U84">
        <v>156</v>
      </c>
      <c r="V84">
        <v>170</v>
      </c>
      <c r="W84">
        <v>173</v>
      </c>
      <c r="X84">
        <v>180</v>
      </c>
      <c r="Y84" s="216">
        <v>171</v>
      </c>
      <c r="Z84" s="216">
        <v>168.68866217951623</v>
      </c>
      <c r="AA84" s="216">
        <v>169.76669340259693</v>
      </c>
      <c r="AB84" s="216">
        <v>170.85161395245828</v>
      </c>
      <c r="AC84" s="216">
        <v>171.94346785641821</v>
      </c>
      <c r="AD84" s="216">
        <v>173.04229942315823</v>
      </c>
      <c r="AE84" s="216">
        <v>174.1481532445213</v>
      </c>
      <c r="AF84" s="216">
        <v>175.26107419732165</v>
      </c>
      <c r="AG84" s="216">
        <v>176.38110744516564</v>
      </c>
      <c r="AH84" s="216">
        <v>177.50829844028479</v>
      </c>
      <c r="AI84" s="216">
        <v>178.64269292538015</v>
      </c>
      <c r="AJ84" s="216">
        <v>179.78433693547871</v>
      </c>
      <c r="AK84" s="216">
        <v>180.9332767998014</v>
      </c>
      <c r="AL84" s="216">
        <v>182.08955914364333</v>
      </c>
      <c r="AM84" s="216">
        <v>183.25323089026585</v>
      </c>
      <c r="AN84" s="216">
        <v>184.42433926280063</v>
      </c>
      <c r="AO84" s="216">
        <v>185.60293178616629</v>
      </c>
      <c r="AP84" s="216">
        <v>186.78905628899673</v>
      </c>
      <c r="AQ84" s="216">
        <v>187.98276090558224</v>
      </c>
      <c r="AR84" s="216">
        <v>189.18409407782283</v>
      </c>
      <c r="AS84" s="216">
        <v>190.39310455719394</v>
      </c>
      <c r="AT84" s="216">
        <v>191.60984140672511</v>
      </c>
      <c r="AU84" s="216">
        <v>192.83435400299061</v>
      </c>
      <c r="AV84" s="216">
        <v>194.06669203811359</v>
      </c>
      <c r="AW84" s="216">
        <v>195.30690552178231</v>
      </c>
      <c r="AX84" s="216">
        <v>196.5550447832799</v>
      </c>
      <c r="AY84" s="216">
        <v>197.81116047352654</v>
      </c>
      <c r="AZ84" s="216">
        <v>199.07530356713505</v>
      </c>
      <c r="BA84" s="216">
        <v>200.34752536447945</v>
      </c>
      <c r="BB84" s="216">
        <v>201.62787749377679</v>
      </c>
      <c r="BC84" s="216">
        <v>202.9164119131824</v>
      </c>
      <c r="BD84" s="216">
        <v>204.21318091289817</v>
      </c>
      <c r="BE84" s="216">
        <v>205.51823711729472</v>
      </c>
      <c r="BF84" s="216">
        <v>206.83163348704707</v>
      </c>
      <c r="BG84" s="216">
        <v>208.15342332128347</v>
      </c>
      <c r="BH84" s="216">
        <v>209.48366025974872</v>
      </c>
      <c r="BI84" s="216">
        <v>210.82239828498081</v>
      </c>
      <c r="BJ84" s="216">
        <v>212.16969172450138</v>
      </c>
      <c r="BK84" s="216">
        <v>213.52559525302081</v>
      </c>
      <c r="BL84" s="216">
        <v>214.89016389465655</v>
      </c>
    </row>
    <row r="85" spans="1:64">
      <c r="A85" t="s">
        <v>78</v>
      </c>
      <c r="B85">
        <v>235</v>
      </c>
      <c r="C85">
        <v>244</v>
      </c>
      <c r="D85">
        <v>239</v>
      </c>
      <c r="E85">
        <v>262</v>
      </c>
      <c r="F85">
        <v>250</v>
      </c>
      <c r="G85">
        <v>252</v>
      </c>
      <c r="H85">
        <v>263</v>
      </c>
      <c r="I85">
        <v>256</v>
      </c>
      <c r="J85">
        <v>256</v>
      </c>
      <c r="K85">
        <v>230</v>
      </c>
      <c r="L85">
        <v>229</v>
      </c>
      <c r="M85">
        <v>236</v>
      </c>
      <c r="N85">
        <v>248</v>
      </c>
      <c r="O85">
        <v>241</v>
      </c>
      <c r="P85">
        <v>243</v>
      </c>
      <c r="Q85">
        <v>251</v>
      </c>
      <c r="R85">
        <v>242</v>
      </c>
      <c r="S85">
        <v>233</v>
      </c>
      <c r="T85">
        <v>247</v>
      </c>
      <c r="U85">
        <v>243</v>
      </c>
      <c r="V85">
        <v>243</v>
      </c>
      <c r="W85">
        <v>257</v>
      </c>
      <c r="X85">
        <v>267</v>
      </c>
      <c r="Y85" s="216">
        <v>259</v>
      </c>
      <c r="Z85" s="216">
        <v>249.45231713503259</v>
      </c>
      <c r="AA85" s="216">
        <v>249.67397302361508</v>
      </c>
      <c r="AB85" s="216">
        <v>249.89582586900877</v>
      </c>
      <c r="AC85" s="216">
        <v>250.11787584622371</v>
      </c>
      <c r="AD85" s="216">
        <v>250.34012313042527</v>
      </c>
      <c r="AE85" s="216">
        <v>250.56256789693464</v>
      </c>
      <c r="AF85" s="216">
        <v>250.78521032122859</v>
      </c>
      <c r="AG85" s="216">
        <v>251.00805057894007</v>
      </c>
      <c r="AH85" s="216">
        <v>251.23108884585793</v>
      </c>
      <c r="AI85" s="216">
        <v>251.45432529792708</v>
      </c>
      <c r="AJ85" s="216">
        <v>251.67776011124911</v>
      </c>
      <c r="AK85" s="216">
        <v>251.9013934620819</v>
      </c>
      <c r="AL85" s="216">
        <v>252.12522552683987</v>
      </c>
      <c r="AM85" s="216">
        <v>252.34925648209438</v>
      </c>
      <c r="AN85" s="216">
        <v>252.57348650457351</v>
      </c>
      <c r="AO85" s="216">
        <v>252.79791577116251</v>
      </c>
      <c r="AP85" s="216">
        <v>253.02254445890375</v>
      </c>
      <c r="AQ85" s="216">
        <v>253.24737274499688</v>
      </c>
      <c r="AR85" s="216">
        <v>253.47240080679904</v>
      </c>
      <c r="AS85" s="216">
        <v>253.69762882182511</v>
      </c>
      <c r="AT85" s="216">
        <v>253.92305696774736</v>
      </c>
      <c r="AU85" s="216">
        <v>254.14868542239626</v>
      </c>
      <c r="AV85" s="216">
        <v>254.37451436376011</v>
      </c>
      <c r="AW85" s="216">
        <v>254.60054396998547</v>
      </c>
      <c r="AX85" s="216">
        <v>254.8267744193771</v>
      </c>
      <c r="AY85" s="216">
        <v>255.05320589039829</v>
      </c>
      <c r="AZ85" s="216">
        <v>255.27983856167086</v>
      </c>
      <c r="BA85" s="216">
        <v>255.50667261197532</v>
      </c>
      <c r="BB85" s="216">
        <v>255.73370822025112</v>
      </c>
      <c r="BC85" s="216">
        <v>255.96094556559657</v>
      </c>
      <c r="BD85" s="216">
        <v>256.18838482726937</v>
      </c>
      <c r="BE85" s="216">
        <v>256.41602618468619</v>
      </c>
      <c r="BF85" s="216">
        <v>256.64386981742337</v>
      </c>
      <c r="BG85" s="216">
        <v>256.87191590521667</v>
      </c>
      <c r="BH85" s="216">
        <v>257.10016462796165</v>
      </c>
      <c r="BI85" s="216">
        <v>257.3286161657137</v>
      </c>
      <c r="BJ85" s="216">
        <v>257.55727069868817</v>
      </c>
      <c r="BK85" s="216">
        <v>257.78612840726049</v>
      </c>
      <c r="BL85" s="216">
        <v>258.01518947196655</v>
      </c>
    </row>
    <row r="86" spans="1:64">
      <c r="A86" t="s">
        <v>79</v>
      </c>
      <c r="B86">
        <v>197</v>
      </c>
      <c r="C86">
        <v>202</v>
      </c>
      <c r="D86">
        <v>189</v>
      </c>
      <c r="E86">
        <v>186</v>
      </c>
      <c r="F86">
        <v>210</v>
      </c>
      <c r="G86">
        <v>203</v>
      </c>
      <c r="H86">
        <v>189</v>
      </c>
      <c r="I86">
        <v>190</v>
      </c>
      <c r="J86">
        <v>184</v>
      </c>
      <c r="K86">
        <v>194</v>
      </c>
      <c r="L86">
        <v>204</v>
      </c>
      <c r="M86">
        <v>190</v>
      </c>
      <c r="N86">
        <v>164</v>
      </c>
      <c r="O86">
        <v>185</v>
      </c>
      <c r="P86">
        <v>175</v>
      </c>
      <c r="Q86">
        <v>176</v>
      </c>
      <c r="R86">
        <v>167</v>
      </c>
      <c r="S86">
        <v>155</v>
      </c>
      <c r="T86">
        <v>182</v>
      </c>
      <c r="U86">
        <v>194</v>
      </c>
      <c r="V86">
        <v>191</v>
      </c>
      <c r="W86">
        <v>178</v>
      </c>
      <c r="X86">
        <v>188</v>
      </c>
      <c r="Y86" s="216">
        <v>191</v>
      </c>
      <c r="Z86" s="216">
        <v>176.40460918178783</v>
      </c>
      <c r="AA86" s="216">
        <v>175.62966007422105</v>
      </c>
      <c r="AB86" s="216">
        <v>174.85811533415978</v>
      </c>
      <c r="AC86" s="216">
        <v>174.08996000614692</v>
      </c>
      <c r="AD86" s="216">
        <v>173.32517920042508</v>
      </c>
      <c r="AE86" s="216">
        <v>172.56375809264776</v>
      </c>
      <c r="AF86" s="216">
        <v>171.80568192359226</v>
      </c>
      <c r="AG86" s="216">
        <v>171.05093599887334</v>
      </c>
      <c r="AH86" s="216">
        <v>170.29950568865857</v>
      </c>
      <c r="AI86" s="216">
        <v>169.55137642738464</v>
      </c>
      <c r="AJ86" s="216">
        <v>168.80653371347506</v>
      </c>
      <c r="AK86" s="216">
        <v>168.06496310905914</v>
      </c>
      <c r="AL86" s="216">
        <v>167.32665023969193</v>
      </c>
      <c r="AM86" s="216">
        <v>166.59158079407581</v>
      </c>
      <c r="AN86" s="216">
        <v>165.85974052378296</v>
      </c>
      <c r="AO86" s="216">
        <v>165.13111524297918</v>
      </c>
      <c r="AP86" s="216">
        <v>164.40569082814895</v>
      </c>
      <c r="AQ86" s="216">
        <v>163.68345321782166</v>
      </c>
      <c r="AR86" s="216">
        <v>162.96438841229903</v>
      </c>
      <c r="AS86" s="216">
        <v>162.24848247338375</v>
      </c>
      <c r="AT86" s="216">
        <v>161.53572152410922</v>
      </c>
      <c r="AU86" s="216">
        <v>160.82609174847076</v>
      </c>
      <c r="AV86" s="216">
        <v>160.1195793911576</v>
      </c>
      <c r="AW86" s="216">
        <v>159.41617075728641</v>
      </c>
      <c r="AX86" s="216">
        <v>158.7158522121357</v>
      </c>
      <c r="AY86" s="216">
        <v>158.01861018088161</v>
      </c>
      <c r="AZ86" s="216">
        <v>157.32443114833478</v>
      </c>
      <c r="BA86" s="216">
        <v>156.63330165867833</v>
      </c>
      <c r="BB86" s="216">
        <v>155.94520831520714</v>
      </c>
      <c r="BC86" s="216">
        <v>155.26013778006796</v>
      </c>
      <c r="BD86" s="216">
        <v>154.57807677400112</v>
      </c>
      <c r="BE86" s="216">
        <v>153.89901207608298</v>
      </c>
      <c r="BF86" s="216">
        <v>153.22293052346967</v>
      </c>
      <c r="BG86" s="216">
        <v>152.54981901114201</v>
      </c>
      <c r="BH86" s="216">
        <v>151.87966449165134</v>
      </c>
      <c r="BI86" s="216">
        <v>151.21245397486686</v>
      </c>
      <c r="BJ86" s="216">
        <v>150.54817452772357</v>
      </c>
      <c r="BK86" s="216">
        <v>149.88681327397177</v>
      </c>
      <c r="BL86" s="216">
        <v>149.22835739392733</v>
      </c>
    </row>
    <row r="87" spans="1:64">
      <c r="A87" t="s">
        <v>1015</v>
      </c>
      <c r="B87">
        <v>109</v>
      </c>
      <c r="C87">
        <v>108</v>
      </c>
      <c r="D87">
        <v>106</v>
      </c>
      <c r="E87">
        <v>102</v>
      </c>
      <c r="F87">
        <v>98</v>
      </c>
      <c r="G87">
        <v>99</v>
      </c>
      <c r="H87">
        <v>95</v>
      </c>
      <c r="I87">
        <v>94</v>
      </c>
      <c r="J87">
        <v>90</v>
      </c>
      <c r="K87">
        <v>88</v>
      </c>
      <c r="L87">
        <v>102</v>
      </c>
      <c r="M87">
        <v>85</v>
      </c>
      <c r="N87">
        <v>99</v>
      </c>
      <c r="O87">
        <v>107</v>
      </c>
      <c r="P87">
        <v>97</v>
      </c>
      <c r="Q87">
        <v>85</v>
      </c>
      <c r="R87">
        <v>113</v>
      </c>
      <c r="S87">
        <v>108</v>
      </c>
      <c r="T87">
        <v>119</v>
      </c>
      <c r="U87">
        <v>119</v>
      </c>
      <c r="V87">
        <v>134</v>
      </c>
      <c r="W87">
        <v>122</v>
      </c>
      <c r="X87">
        <v>117</v>
      </c>
      <c r="Y87" s="216">
        <v>114</v>
      </c>
      <c r="Z87" s="216">
        <v>115.03854878289533</v>
      </c>
      <c r="AA87" s="216">
        <v>115.98156145255842</v>
      </c>
      <c r="AB87" s="216">
        <v>116.93230433878418</v>
      </c>
      <c r="AC87" s="216">
        <v>117.89084080895887</v>
      </c>
      <c r="AD87" s="216">
        <v>118.85723474991421</v>
      </c>
      <c r="AE87" s="216">
        <v>119.83155057218539</v>
      </c>
      <c r="AF87" s="216">
        <v>120.81385321430415</v>
      </c>
      <c r="AG87" s="216">
        <v>121.80420814712686</v>
      </c>
      <c r="AH87" s="216">
        <v>122.80268137819826</v>
      </c>
      <c r="AI87" s="216">
        <v>123.80933945615084</v>
      </c>
      <c r="AJ87" s="216">
        <v>124.82424947514031</v>
      </c>
      <c r="AK87" s="216">
        <v>125.84747907931754</v>
      </c>
      <c r="AL87" s="216">
        <v>126.87909646733699</v>
      </c>
      <c r="AM87" s="216">
        <v>127.9191703969022</v>
      </c>
      <c r="AN87" s="216">
        <v>128.96777018934856</v>
      </c>
      <c r="AO87" s="216">
        <v>130.02496573426347</v>
      </c>
      <c r="AP87" s="216">
        <v>131.09082749414472</v>
      </c>
      <c r="AQ87" s="216">
        <v>132.16542650909665</v>
      </c>
      <c r="AR87" s="216">
        <v>133.24883440156512</v>
      </c>
      <c r="AS87" s="216">
        <v>134.34112338111106</v>
      </c>
      <c r="AT87" s="216">
        <v>135.44236624922345</v>
      </c>
      <c r="AU87" s="216">
        <v>136.55263640417135</v>
      </c>
      <c r="AV87" s="216">
        <v>137.6720078458961</v>
      </c>
      <c r="AW87" s="216">
        <v>138.80055518094335</v>
      </c>
      <c r="AX87" s="216">
        <v>139.93835362743562</v>
      </c>
      <c r="AY87" s="216">
        <v>141.08547902008561</v>
      </c>
      <c r="AZ87" s="216">
        <v>142.24200781525079</v>
      </c>
      <c r="BA87" s="216">
        <v>143.40801709602886</v>
      </c>
      <c r="BB87" s="216">
        <v>144.58358457739584</v>
      </c>
      <c r="BC87" s="216">
        <v>145.76878861138539</v>
      </c>
      <c r="BD87" s="216">
        <v>146.96370819231126</v>
      </c>
      <c r="BE87" s="216">
        <v>148.16842296203222</v>
      </c>
      <c r="BF87" s="216">
        <v>149.38301321526021</v>
      </c>
      <c r="BG87" s="216">
        <v>150.60755990491202</v>
      </c>
      <c r="BH87" s="216">
        <v>151.8421446475048</v>
      </c>
      <c r="BI87" s="216">
        <v>153.08684972859589</v>
      </c>
      <c r="BJ87" s="216">
        <v>154.34175810826716</v>
      </c>
      <c r="BK87" s="216">
        <v>155.60695342665434</v>
      </c>
      <c r="BL87" s="216">
        <v>156.88252000952164</v>
      </c>
    </row>
    <row r="88" spans="1:64">
      <c r="A88" t="s">
        <v>8</v>
      </c>
      <c r="B88">
        <v>256</v>
      </c>
      <c r="C88">
        <v>279</v>
      </c>
      <c r="D88">
        <v>288</v>
      </c>
      <c r="E88">
        <v>314</v>
      </c>
      <c r="F88">
        <v>319</v>
      </c>
      <c r="G88">
        <v>344</v>
      </c>
      <c r="H88">
        <v>340</v>
      </c>
      <c r="I88">
        <v>371</v>
      </c>
      <c r="J88">
        <v>377</v>
      </c>
      <c r="K88">
        <v>429</v>
      </c>
      <c r="L88">
        <v>399</v>
      </c>
      <c r="M88">
        <v>404</v>
      </c>
      <c r="N88">
        <v>416</v>
      </c>
      <c r="O88">
        <v>435</v>
      </c>
      <c r="P88">
        <v>445</v>
      </c>
      <c r="Q88">
        <v>431</v>
      </c>
      <c r="R88">
        <v>437</v>
      </c>
      <c r="S88">
        <v>452</v>
      </c>
      <c r="T88">
        <v>464</v>
      </c>
      <c r="U88">
        <v>442</v>
      </c>
      <c r="V88">
        <v>456</v>
      </c>
      <c r="W88">
        <v>488</v>
      </c>
      <c r="X88">
        <v>501</v>
      </c>
      <c r="Y88" s="216">
        <v>516</v>
      </c>
      <c r="Z88" s="216">
        <v>502.7240708462121</v>
      </c>
      <c r="AA88" s="216">
        <v>510.22925935375736</v>
      </c>
      <c r="AB88" s="216">
        <v>517.84649313186014</v>
      </c>
      <c r="AC88" s="216">
        <v>525.57744490901257</v>
      </c>
      <c r="AD88" s="216">
        <v>533.42381238593964</v>
      </c>
      <c r="AE88" s="216">
        <v>541.38731860841096</v>
      </c>
      <c r="AF88" s="216">
        <v>549.46971234561784</v>
      </c>
      <c r="AG88" s="216">
        <v>557.67276847419942</v>
      </c>
      <c r="AH88" s="216">
        <v>565.99828836800191</v>
      </c>
      <c r="AI88" s="216">
        <v>574.44810029365624</v>
      </c>
      <c r="AJ88" s="216">
        <v>583.02405981206164</v>
      </c>
      <c r="AK88" s="216">
        <v>591.72805018586337</v>
      </c>
      <c r="AL88" s="216">
        <v>600.56198279301248</v>
      </c>
      <c r="AM88" s="216">
        <v>609.52779754650078</v>
      </c>
      <c r="AN88" s="216">
        <v>618.62746332036181</v>
      </c>
      <c r="AO88" s="216">
        <v>627.86297838203097</v>
      </c>
      <c r="AP88" s="216">
        <v>637.23637083116125</v>
      </c>
      <c r="AQ88" s="216">
        <v>646.74969904498948</v>
      </c>
      <c r="AR88" s="216">
        <v>656.40505213035169</v>
      </c>
      <c r="AS88" s="216">
        <v>666.2045503824462</v>
      </c>
      <c r="AT88" s="216">
        <v>676.15034575044695</v>
      </c>
      <c r="AU88" s="216">
        <v>686.24462231006555</v>
      </c>
      <c r="AV88" s="216">
        <v>696.48959674317121</v>
      </c>
      <c r="AW88" s="216">
        <v>706.88751882456813</v>
      </c>
      <c r="AX88" s="216">
        <v>717.44067191604256</v>
      </c>
      <c r="AY88" s="216">
        <v>728.15137346778317</v>
      </c>
      <c r="AZ88" s="216">
        <v>739.0219755272883</v>
      </c>
      <c r="BA88" s="216">
        <v>750.05486525587173</v>
      </c>
      <c r="BB88" s="216">
        <v>761.25246545287666</v>
      </c>
      <c r="BC88" s="216">
        <v>772.61723508771911</v>
      </c>
      <c r="BD88" s="216">
        <v>784.15166983987081</v>
      </c>
      <c r="BE88" s="216">
        <v>795.85830264690617</v>
      </c>
      <c r="BF88" s="216">
        <v>807.73970426072947</v>
      </c>
      <c r="BG88" s="216">
        <v>819.79848381210695</v>
      </c>
      <c r="BH88" s="216">
        <v>832.03728938362656</v>
      </c>
      <c r="BI88" s="216">
        <v>844.45880859121064</v>
      </c>
      <c r="BJ88" s="216">
        <v>857.0657691743113</v>
      </c>
      <c r="BK88" s="216">
        <v>869.86093959491586</v>
      </c>
      <c r="BL88" s="216">
        <v>882.84712964549612</v>
      </c>
    </row>
    <row r="89" spans="1:64">
      <c r="A89" t="s">
        <v>18</v>
      </c>
      <c r="B89">
        <v>1305</v>
      </c>
      <c r="C89">
        <v>1308</v>
      </c>
      <c r="D89">
        <v>1349</v>
      </c>
      <c r="E89">
        <v>1380</v>
      </c>
      <c r="F89">
        <v>1338</v>
      </c>
      <c r="G89">
        <v>1387</v>
      </c>
      <c r="H89">
        <v>1417</v>
      </c>
      <c r="I89">
        <v>1454</v>
      </c>
      <c r="J89">
        <v>1775</v>
      </c>
      <c r="K89">
        <v>1811</v>
      </c>
      <c r="L89">
        <v>1774</v>
      </c>
      <c r="M89">
        <v>1803</v>
      </c>
      <c r="N89">
        <v>1745</v>
      </c>
      <c r="O89">
        <v>1682</v>
      </c>
      <c r="P89">
        <v>1676</v>
      </c>
      <c r="Q89">
        <v>1666</v>
      </c>
      <c r="R89">
        <v>1672</v>
      </c>
      <c r="S89">
        <v>1683</v>
      </c>
      <c r="T89">
        <v>1673</v>
      </c>
      <c r="U89">
        <v>1713</v>
      </c>
      <c r="V89">
        <v>1804</v>
      </c>
      <c r="W89">
        <v>1827</v>
      </c>
      <c r="X89">
        <v>1807</v>
      </c>
      <c r="Y89" s="216">
        <v>1805</v>
      </c>
      <c r="Z89" s="216">
        <v>1759.0476664392675</v>
      </c>
      <c r="AA89" s="216">
        <v>1761.2342513721201</v>
      </c>
      <c r="AB89" s="216">
        <v>1763.4235543402817</v>
      </c>
      <c r="AC89" s="216">
        <v>1765.6155787224084</v>
      </c>
      <c r="AD89" s="216">
        <v>1767.8103279013542</v>
      </c>
      <c r="AE89" s="216">
        <v>1770.0078052641791</v>
      </c>
      <c r="AF89" s="216">
        <v>1772.208014202153</v>
      </c>
      <c r="AG89" s="216">
        <v>1774.4109581107616</v>
      </c>
      <c r="AH89" s="216">
        <v>1776.6166403897116</v>
      </c>
      <c r="AI89" s="216">
        <v>1778.8250644429349</v>
      </c>
      <c r="AJ89" s="216">
        <v>1781.0362336785956</v>
      </c>
      <c r="AK89" s="216">
        <v>1783.2501515090939</v>
      </c>
      <c r="AL89" s="216">
        <v>1785.4668213510713</v>
      </c>
      <c r="AM89" s="216">
        <v>1787.6862466254172</v>
      </c>
      <c r="AN89" s="216">
        <v>1789.9084307572723</v>
      </c>
      <c r="AO89" s="216">
        <v>1792.1333771760367</v>
      </c>
      <c r="AP89" s="216">
        <v>1794.3610893153714</v>
      </c>
      <c r="AQ89" s="216">
        <v>1796.5915706132066</v>
      </c>
      <c r="AR89" s="216">
        <v>1798.8248245117463</v>
      </c>
      <c r="AS89" s="216">
        <v>1801.0608544574727</v>
      </c>
      <c r="AT89" s="216">
        <v>1803.2996639011526</v>
      </c>
      <c r="AU89" s="216">
        <v>1805.541256297842</v>
      </c>
      <c r="AV89" s="216">
        <v>1807.7856351068913</v>
      </c>
      <c r="AW89" s="216">
        <v>1810.0328037919523</v>
      </c>
      <c r="AX89" s="216">
        <v>1812.2827658209812</v>
      </c>
      <c r="AY89" s="216">
        <v>1814.5355246662452</v>
      </c>
      <c r="AZ89" s="216">
        <v>1816.7910838043285</v>
      </c>
      <c r="BA89" s="216">
        <v>1819.0494467161354</v>
      </c>
      <c r="BB89" s="216">
        <v>1821.3106168868987</v>
      </c>
      <c r="BC89" s="216">
        <v>1823.5745978061827</v>
      </c>
      <c r="BD89" s="216">
        <v>1825.8413929678891</v>
      </c>
      <c r="BE89" s="216">
        <v>1828.1110058702632</v>
      </c>
      <c r="BF89" s="216">
        <v>1830.3834400158989</v>
      </c>
      <c r="BG89" s="216">
        <v>1832.6586989117443</v>
      </c>
      <c r="BH89" s="216">
        <v>1834.9367860691052</v>
      </c>
      <c r="BI89" s="216">
        <v>1837.2177050036544</v>
      </c>
      <c r="BJ89" s="216">
        <v>1839.5014592354325</v>
      </c>
      <c r="BK89" s="216">
        <v>1841.7880522888581</v>
      </c>
      <c r="BL89" s="216">
        <v>1844.0774876927292</v>
      </c>
    </row>
    <row r="90" spans="1:64">
      <c r="A90" t="s">
        <v>60</v>
      </c>
      <c r="B90">
        <v>49</v>
      </c>
      <c r="C90">
        <v>52</v>
      </c>
      <c r="D90">
        <v>54</v>
      </c>
      <c r="E90">
        <v>57</v>
      </c>
      <c r="F90">
        <v>59</v>
      </c>
      <c r="G90">
        <v>58</v>
      </c>
      <c r="H90">
        <v>59</v>
      </c>
      <c r="I90">
        <v>61</v>
      </c>
      <c r="J90">
        <v>61</v>
      </c>
      <c r="K90">
        <v>37</v>
      </c>
      <c r="L90">
        <v>38</v>
      </c>
      <c r="M90">
        <v>40</v>
      </c>
      <c r="N90">
        <v>31</v>
      </c>
      <c r="O90">
        <v>30</v>
      </c>
      <c r="P90">
        <v>25</v>
      </c>
      <c r="Q90">
        <v>36</v>
      </c>
      <c r="R90">
        <v>34</v>
      </c>
      <c r="S90">
        <v>15</v>
      </c>
      <c r="T90">
        <v>8</v>
      </c>
      <c r="U90">
        <v>13</v>
      </c>
      <c r="V90">
        <v>17</v>
      </c>
      <c r="W90">
        <v>13</v>
      </c>
      <c r="X90">
        <v>13</v>
      </c>
      <c r="Y90" s="216">
        <v>7</v>
      </c>
      <c r="Z90" s="216">
        <v>10.310478502116403</v>
      </c>
      <c r="AA90" s="216">
        <v>9.4646429383255235</v>
      </c>
      <c r="AB90" s="216">
        <v>8.6881967632838286</v>
      </c>
      <c r="AC90" s="216">
        <v>7.9754475144405506</v>
      </c>
      <c r="AD90" s="216">
        <v>7.321169718945737</v>
      </c>
      <c r="AE90" s="216">
        <v>6.7205665834499362</v>
      </c>
      <c r="AF90" s="216">
        <v>6.1692348267385784</v>
      </c>
      <c r="AG90" s="216">
        <v>5.6631323973739658</v>
      </c>
      <c r="AH90" s="216">
        <v>5.1985488396688666</v>
      </c>
      <c r="AI90" s="216">
        <v>4.7720780907319327</v>
      </c>
      <c r="AJ90" s="216">
        <v>4.3805935091482757</v>
      </c>
      <c r="AK90" s="216">
        <v>4.0212249522196597</v>
      </c>
      <c r="AL90" s="216">
        <v>3.6913377337076878</v>
      </c>
      <c r="AM90" s="216">
        <v>3.388513307810066</v>
      </c>
      <c r="AN90" s="216">
        <v>3.1105315377558336</v>
      </c>
      <c r="AO90" s="216">
        <v>2.8553544190229889</v>
      </c>
      <c r="AP90" s="216">
        <v>2.6211111378463356</v>
      </c>
      <c r="AQ90" s="216">
        <v>2.4060843554730718</v>
      </c>
      <c r="AR90" s="216">
        <v>2.2086976176100115</v>
      </c>
      <c r="AS90" s="216">
        <v>2.0275037967556973</v>
      </c>
      <c r="AT90" s="216">
        <v>1.8611744826831278</v>
      </c>
      <c r="AU90" s="216">
        <v>1.7084902432901314</v>
      </c>
      <c r="AV90" s="216">
        <v>1.568331684415498</v>
      </c>
      <c r="AW90" s="216">
        <v>1.4396712430764873</v>
      </c>
      <c r="AX90" s="216">
        <v>1.3215656539604097</v>
      </c>
      <c r="AY90" s="216">
        <v>1.2131490339388651</v>
      </c>
      <c r="AZ90" s="216">
        <v>1.1136265339042251</v>
      </c>
      <c r="BA90" s="216">
        <v>1.0222685113872276</v>
      </c>
      <c r="BB90" s="216">
        <v>0.93840518123262939</v>
      </c>
      <c r="BC90" s="216">
        <v>0.86142170511469252</v>
      </c>
      <c r="BD90" s="216">
        <v>0.79075368389164047</v>
      </c>
      <c r="BE90" s="216">
        <v>0.72588301975157132</v>
      </c>
      <c r="BF90" s="216">
        <v>0.66633411781343432</v>
      </c>
      <c r="BG90" s="216">
        <v>0.61167039933537026</v>
      </c>
      <c r="BH90" s="216">
        <v>0.56149110096722732</v>
      </c>
      <c r="BI90" s="216">
        <v>0.51542833658120135</v>
      </c>
      <c r="BJ90" s="216">
        <v>0.47314440013960324</v>
      </c>
      <c r="BK90" s="216">
        <v>0.4343292898259129</v>
      </c>
      <c r="BL90" s="216">
        <v>0.39869843528745647</v>
      </c>
    </row>
    <row r="91" spans="1:64">
      <c r="A91" t="s">
        <v>1375</v>
      </c>
      <c r="B91">
        <v>108</v>
      </c>
      <c r="C91">
        <v>90</v>
      </c>
      <c r="D91">
        <v>83</v>
      </c>
      <c r="E91">
        <v>84</v>
      </c>
      <c r="F91">
        <v>77</v>
      </c>
      <c r="G91">
        <v>117</v>
      </c>
      <c r="H91">
        <v>105</v>
      </c>
      <c r="I91">
        <v>81</v>
      </c>
      <c r="J91">
        <v>48</v>
      </c>
      <c r="K91">
        <v>3</v>
      </c>
      <c r="L91">
        <v>0</v>
      </c>
      <c r="M91">
        <v>0</v>
      </c>
      <c r="N91">
        <v>0</v>
      </c>
      <c r="O91">
        <v>0</v>
      </c>
      <c r="P91">
        <v>3</v>
      </c>
      <c r="Q91">
        <v>2</v>
      </c>
      <c r="R91">
        <v>1</v>
      </c>
      <c r="S91">
        <v>1</v>
      </c>
      <c r="T91">
        <v>1</v>
      </c>
      <c r="U91">
        <v>1</v>
      </c>
      <c r="V91">
        <v>0</v>
      </c>
      <c r="W91">
        <v>0</v>
      </c>
      <c r="X91">
        <v>1</v>
      </c>
      <c r="Y91" s="216">
        <v>1</v>
      </c>
      <c r="Z91" s="216">
        <v>0</v>
      </c>
      <c r="AA91" s="216">
        <v>0</v>
      </c>
      <c r="AB91" s="216">
        <v>0</v>
      </c>
      <c r="AC91" s="216">
        <v>0</v>
      </c>
      <c r="AD91" s="216">
        <v>0</v>
      </c>
      <c r="AE91" s="216">
        <v>0</v>
      </c>
      <c r="AF91" s="216">
        <v>0</v>
      </c>
      <c r="AG91" s="216">
        <v>0</v>
      </c>
      <c r="AH91" s="216">
        <v>0</v>
      </c>
      <c r="AI91" s="216">
        <v>0</v>
      </c>
      <c r="AJ91" s="216">
        <v>0</v>
      </c>
      <c r="AK91" s="216">
        <v>0</v>
      </c>
      <c r="AL91" s="216">
        <v>0</v>
      </c>
      <c r="AM91" s="216">
        <v>0</v>
      </c>
      <c r="AN91" s="216">
        <v>0</v>
      </c>
      <c r="AO91" s="216">
        <v>0</v>
      </c>
      <c r="AP91" s="216">
        <v>0</v>
      </c>
      <c r="AQ91" s="216">
        <v>0</v>
      </c>
      <c r="AR91" s="216">
        <v>0</v>
      </c>
      <c r="AS91" s="216">
        <v>0</v>
      </c>
      <c r="AT91" s="216">
        <v>0</v>
      </c>
      <c r="AU91" s="216">
        <v>0</v>
      </c>
      <c r="AV91" s="216">
        <v>0</v>
      </c>
      <c r="AW91" s="216">
        <v>0</v>
      </c>
      <c r="AX91" s="216">
        <v>0</v>
      </c>
      <c r="AY91" s="216">
        <v>0</v>
      </c>
      <c r="AZ91" s="216">
        <v>0</v>
      </c>
      <c r="BA91" s="216">
        <v>0</v>
      </c>
      <c r="BB91" s="216">
        <v>0</v>
      </c>
      <c r="BC91" s="216">
        <v>0</v>
      </c>
      <c r="BD91" s="216">
        <v>0</v>
      </c>
      <c r="BE91" s="216">
        <v>0</v>
      </c>
      <c r="BF91" s="216">
        <v>0</v>
      </c>
      <c r="BG91" s="216">
        <v>0</v>
      </c>
      <c r="BH91" s="216">
        <v>0</v>
      </c>
      <c r="BI91" s="216">
        <v>0</v>
      </c>
      <c r="BJ91" s="216">
        <v>0</v>
      </c>
      <c r="BK91" s="216">
        <v>0</v>
      </c>
      <c r="BL91" s="216">
        <v>0</v>
      </c>
    </row>
    <row r="92" spans="1:64">
      <c r="A92" t="s">
        <v>61</v>
      </c>
      <c r="B92">
        <v>102</v>
      </c>
      <c r="C92">
        <v>112</v>
      </c>
      <c r="D92">
        <v>93</v>
      </c>
      <c r="E92">
        <v>106</v>
      </c>
      <c r="F92">
        <v>110</v>
      </c>
      <c r="G92">
        <v>166</v>
      </c>
      <c r="H92">
        <v>173</v>
      </c>
      <c r="I92">
        <v>195</v>
      </c>
      <c r="J92">
        <v>111</v>
      </c>
      <c r="K92">
        <v>139</v>
      </c>
      <c r="L92">
        <v>143</v>
      </c>
      <c r="M92">
        <v>131</v>
      </c>
      <c r="N92">
        <v>139</v>
      </c>
      <c r="O92">
        <v>116</v>
      </c>
      <c r="P92">
        <v>103</v>
      </c>
      <c r="Q92">
        <v>109</v>
      </c>
      <c r="R92">
        <v>127</v>
      </c>
      <c r="S92">
        <v>115</v>
      </c>
      <c r="T92">
        <v>118</v>
      </c>
      <c r="U92">
        <v>112</v>
      </c>
      <c r="V92">
        <v>110</v>
      </c>
      <c r="W92">
        <v>109</v>
      </c>
      <c r="X92">
        <v>119</v>
      </c>
      <c r="Y92" s="216">
        <v>94</v>
      </c>
      <c r="Z92" s="216">
        <v>113.41162921216247</v>
      </c>
      <c r="AA92" s="216">
        <v>112.83754901403113</v>
      </c>
      <c r="AB92" s="216">
        <v>112.26637476193174</v>
      </c>
      <c r="AC92" s="216">
        <v>111.69809174620812</v>
      </c>
      <c r="AD92" s="216">
        <v>111.13268533166313</v>
      </c>
      <c r="AE92" s="216">
        <v>110.57014095718176</v>
      </c>
      <c r="AF92" s="216">
        <v>110.01044413535618</v>
      </c>
      <c r="AG92" s="216">
        <v>109.4535804521126</v>
      </c>
      <c r="AH92" s="216">
        <v>108.89953556634003</v>
      </c>
      <c r="AI92" s="216">
        <v>108.34829520952104</v>
      </c>
      <c r="AJ92" s="216">
        <v>107.79984518536422</v>
      </c>
      <c r="AK92" s="216">
        <v>107.25417136943862</v>
      </c>
      <c r="AL92" s="216">
        <v>106.71125970880993</v>
      </c>
      <c r="AM92" s="216">
        <v>106.17109622167868</v>
      </c>
      <c r="AN92" s="216">
        <v>105.63366699702007</v>
      </c>
      <c r="AO92" s="216">
        <v>105.09895819422574</v>
      </c>
      <c r="AP92" s="216">
        <v>104.56695604274738</v>
      </c>
      <c r="AQ92" s="216">
        <v>104.03764684174197</v>
      </c>
      <c r="AR92" s="216">
        <v>103.51101695971907</v>
      </c>
      <c r="AS92" s="216">
        <v>102.98705283418971</v>
      </c>
      <c r="AT92" s="216">
        <v>102.46574097131708</v>
      </c>
      <c r="AU92" s="216">
        <v>101.94706794556902</v>
      </c>
      <c r="AV92" s="216">
        <v>101.43102039937237</v>
      </c>
      <c r="AW92" s="216">
        <v>100.91758504276882</v>
      </c>
      <c r="AX92" s="216">
        <v>100.40674865307277</v>
      </c>
      <c r="AY92" s="216">
        <v>99.898498074530707</v>
      </c>
      <c r="AZ92" s="216">
        <v>99.392820217982475</v>
      </c>
      <c r="BA92" s="216">
        <v>98.889702060524144</v>
      </c>
      <c r="BB92" s="216">
        <v>98.389130645172614</v>
      </c>
      <c r="BC92" s="216">
        <v>97.891093080531988</v>
      </c>
      <c r="BD92" s="216">
        <v>97.395576540461533</v>
      </c>
      <c r="BE92" s="216">
        <v>96.902568263745337</v>
      </c>
      <c r="BF92" s="216">
        <v>96.412055553763736</v>
      </c>
      <c r="BG92" s="216">
        <v>95.924025778166282</v>
      </c>
      <c r="BH92" s="216">
        <v>95.438466368546401</v>
      </c>
      <c r="BI92" s="216">
        <v>94.955364820117808</v>
      </c>
      <c r="BJ92" s="216">
        <v>94.474708691392337</v>
      </c>
      <c r="BK92" s="216">
        <v>93.996485603859639</v>
      </c>
      <c r="BL92" s="216">
        <v>93.520683241668323</v>
      </c>
    </row>
    <row r="93" spans="1:64">
      <c r="A93" t="s">
        <v>80</v>
      </c>
      <c r="B93">
        <v>266</v>
      </c>
      <c r="C93">
        <v>277</v>
      </c>
      <c r="D93">
        <v>276</v>
      </c>
      <c r="E93">
        <v>268</v>
      </c>
      <c r="F93">
        <v>285</v>
      </c>
      <c r="G93">
        <v>261</v>
      </c>
      <c r="H93">
        <v>262</v>
      </c>
      <c r="I93">
        <v>272</v>
      </c>
      <c r="J93">
        <v>247</v>
      </c>
      <c r="K93">
        <v>227</v>
      </c>
      <c r="L93">
        <v>228</v>
      </c>
      <c r="M93">
        <v>226</v>
      </c>
      <c r="N93">
        <v>203</v>
      </c>
      <c r="O93">
        <v>206</v>
      </c>
      <c r="P93">
        <v>206</v>
      </c>
      <c r="Q93">
        <v>203</v>
      </c>
      <c r="R93">
        <v>198</v>
      </c>
      <c r="S93">
        <v>192</v>
      </c>
      <c r="T93">
        <v>186</v>
      </c>
      <c r="U93">
        <v>178</v>
      </c>
      <c r="V93">
        <v>177</v>
      </c>
      <c r="W93">
        <v>181</v>
      </c>
      <c r="X93">
        <v>167</v>
      </c>
      <c r="Y93" s="216">
        <v>177</v>
      </c>
      <c r="Z93" s="216">
        <v>163.4399164086507</v>
      </c>
      <c r="AA93" s="216">
        <v>159.572653669126</v>
      </c>
      <c r="AB93" s="216">
        <v>155.79689685682604</v>
      </c>
      <c r="AC93" s="216">
        <v>152.11048078792939</v>
      </c>
      <c r="AD93" s="216">
        <v>148.51129151049767</v>
      </c>
      <c r="AE93" s="216">
        <v>144.99726509224357</v>
      </c>
      <c r="AF93" s="216">
        <v>141.5663864369817</v>
      </c>
      <c r="AG93" s="216">
        <v>138.21668812908464</v>
      </c>
      <c r="AH93" s="216">
        <v>134.94624930528073</v>
      </c>
      <c r="AI93" s="216">
        <v>131.75319455314732</v>
      </c>
      <c r="AJ93" s="216">
        <v>128.63569283566744</v>
      </c>
      <c r="AK93" s="216">
        <v>125.59195644123305</v>
      </c>
      <c r="AL93" s="216">
        <v>122.62023995849333</v>
      </c>
      <c r="AM93" s="216">
        <v>119.71883927545943</v>
      </c>
      <c r="AN93" s="216">
        <v>116.88609060229243</v>
      </c>
      <c r="AO93" s="216">
        <v>114.1203695172134</v>
      </c>
      <c r="AP93" s="216">
        <v>111.42009003498924</v>
      </c>
      <c r="AQ93" s="216">
        <v>108.7837036974593</v>
      </c>
      <c r="AR93" s="216">
        <v>106.20969868558196</v>
      </c>
      <c r="AS93" s="216">
        <v>103.69659895249153</v>
      </c>
      <c r="AT93" s="216">
        <v>101.24296337706865</v>
      </c>
      <c r="AU93" s="216">
        <v>98.847384937538322</v>
      </c>
      <c r="AV93" s="216">
        <v>96.508489904622323</v>
      </c>
      <c r="AW93" s="216">
        <v>94.224937053782824</v>
      </c>
      <c r="AX93" s="216">
        <v>91.995416896105667</v>
      </c>
      <c r="AY93" s="216">
        <v>89.818650927382237</v>
      </c>
      <c r="AZ93" s="216">
        <v>87.693390894959364</v>
      </c>
      <c r="BA93" s="216">
        <v>85.618418081936667</v>
      </c>
      <c r="BB93" s="216">
        <v>83.592542608301144</v>
      </c>
      <c r="BC93" s="216">
        <v>81.614602748598045</v>
      </c>
      <c r="BD93" s="216">
        <v>79.683464265746608</v>
      </c>
      <c r="BE93" s="216">
        <v>77.798019760619226</v>
      </c>
      <c r="BF93" s="216">
        <v>75.957188037010198</v>
      </c>
      <c r="BG93" s="216">
        <v>74.159913481630795</v>
      </c>
      <c r="BH93" s="216">
        <v>72.405165458774462</v>
      </c>
      <c r="BI93" s="216">
        <v>70.691937719305173</v>
      </c>
      <c r="BJ93" s="216">
        <v>69.019247823630465</v>
      </c>
      <c r="BK93" s="216">
        <v>67.386136578327452</v>
      </c>
      <c r="BL93" s="216">
        <v>65.791667486099655</v>
      </c>
    </row>
    <row r="94" spans="1:64">
      <c r="A94" t="s">
        <v>14</v>
      </c>
      <c r="B94">
        <v>796</v>
      </c>
      <c r="C94">
        <v>843</v>
      </c>
      <c r="D94">
        <v>871</v>
      </c>
      <c r="E94">
        <v>885</v>
      </c>
      <c r="F94">
        <v>877</v>
      </c>
      <c r="G94">
        <v>902</v>
      </c>
      <c r="H94">
        <v>890</v>
      </c>
      <c r="I94">
        <v>892</v>
      </c>
      <c r="J94">
        <v>877</v>
      </c>
      <c r="K94">
        <v>860</v>
      </c>
      <c r="L94">
        <v>832</v>
      </c>
      <c r="M94">
        <v>835</v>
      </c>
      <c r="N94">
        <v>801</v>
      </c>
      <c r="O94">
        <v>802</v>
      </c>
      <c r="P94">
        <v>818</v>
      </c>
      <c r="Q94">
        <v>792</v>
      </c>
      <c r="R94">
        <v>813</v>
      </c>
      <c r="S94">
        <v>808</v>
      </c>
      <c r="T94">
        <v>762</v>
      </c>
      <c r="U94">
        <v>760</v>
      </c>
      <c r="V94">
        <v>761</v>
      </c>
      <c r="W94">
        <v>775</v>
      </c>
      <c r="X94">
        <v>797</v>
      </c>
      <c r="Y94" s="216">
        <v>787</v>
      </c>
      <c r="Z94" s="216">
        <v>766.58406089177515</v>
      </c>
      <c r="AA94" s="216">
        <v>762.07154756807529</v>
      </c>
      <c r="AB94" s="216">
        <v>757.58559724970712</v>
      </c>
      <c r="AC94" s="216">
        <v>753.1260535729765</v>
      </c>
      <c r="AD94" s="216">
        <v>748.69276109462783</v>
      </c>
      <c r="AE94" s="216">
        <v>744.28556528642525</v>
      </c>
      <c r="AF94" s="216">
        <v>739.90431252976691</v>
      </c>
      <c r="AG94" s="216">
        <v>735.54885011032991</v>
      </c>
      <c r="AH94" s="216">
        <v>731.21902621274762</v>
      </c>
      <c r="AI94" s="216">
        <v>726.91468991531758</v>
      </c>
      <c r="AJ94" s="216">
        <v>722.63569118474118</v>
      </c>
      <c r="AK94" s="216">
        <v>718.38188087089418</v>
      </c>
      <c r="AL94" s="216">
        <v>714.1531107016275</v>
      </c>
      <c r="AM94" s="216">
        <v>709.94923327759943</v>
      </c>
      <c r="AN94" s="216">
        <v>705.77010206713726</v>
      </c>
      <c r="AO94" s="216">
        <v>701.61557140113041</v>
      </c>
      <c r="AP94" s="216">
        <v>697.48549646795254</v>
      </c>
      <c r="AQ94" s="216">
        <v>693.37973330841385</v>
      </c>
      <c r="AR94" s="216">
        <v>689.29813881074358</v>
      </c>
      <c r="AS94" s="216">
        <v>685.24057070560116</v>
      </c>
      <c r="AT94" s="216">
        <v>681.20688756111792</v>
      </c>
      <c r="AU94" s="216">
        <v>677.19694877796655</v>
      </c>
      <c r="AV94" s="216">
        <v>673.2106145844607</v>
      </c>
      <c r="AW94" s="216">
        <v>669.24774603168316</v>
      </c>
      <c r="AX94" s="216">
        <v>665.30820498864239</v>
      </c>
      <c r="AY94" s="216">
        <v>661.39185413745781</v>
      </c>
      <c r="AZ94" s="216">
        <v>657.49855696857355</v>
      </c>
      <c r="BA94" s="216">
        <v>653.62817777599992</v>
      </c>
      <c r="BB94" s="216">
        <v>649.78058165258369</v>
      </c>
      <c r="BC94" s="216">
        <v>645.9556344853055</v>
      </c>
      <c r="BD94" s="216">
        <v>642.15320295060462</v>
      </c>
      <c r="BE94" s="216">
        <v>638.3731545097329</v>
      </c>
      <c r="BF94" s="216">
        <v>634.61535740413387</v>
      </c>
      <c r="BG94" s="216">
        <v>630.8796806508509</v>
      </c>
      <c r="BH94" s="216">
        <v>627.16599403796113</v>
      </c>
      <c r="BI94" s="216">
        <v>623.47416812003701</v>
      </c>
      <c r="BJ94" s="216">
        <v>619.80407421363441</v>
      </c>
      <c r="BK94" s="216">
        <v>616.15558439280665</v>
      </c>
      <c r="BL94" s="216">
        <v>612.52857148464614</v>
      </c>
    </row>
    <row r="95" spans="1:64">
      <c r="A95" t="s">
        <v>19</v>
      </c>
      <c r="B95">
        <v>879</v>
      </c>
      <c r="C95">
        <v>906</v>
      </c>
      <c r="D95">
        <v>920</v>
      </c>
      <c r="E95">
        <v>949</v>
      </c>
      <c r="F95">
        <v>982</v>
      </c>
      <c r="G95">
        <v>993</v>
      </c>
      <c r="H95">
        <v>1015</v>
      </c>
      <c r="I95">
        <v>1032</v>
      </c>
      <c r="J95">
        <v>1028</v>
      </c>
      <c r="K95">
        <v>1014</v>
      </c>
      <c r="L95">
        <v>1030</v>
      </c>
      <c r="M95">
        <v>1050</v>
      </c>
      <c r="N95">
        <v>1071</v>
      </c>
      <c r="O95">
        <v>1080</v>
      </c>
      <c r="P95">
        <v>1073</v>
      </c>
      <c r="Q95">
        <v>1084</v>
      </c>
      <c r="R95">
        <v>1062</v>
      </c>
      <c r="S95">
        <v>1062</v>
      </c>
      <c r="T95">
        <v>1054</v>
      </c>
      <c r="U95">
        <v>1093</v>
      </c>
      <c r="V95">
        <v>1137</v>
      </c>
      <c r="W95">
        <v>1112</v>
      </c>
      <c r="X95">
        <v>1132</v>
      </c>
      <c r="Y95" s="216">
        <v>1178</v>
      </c>
      <c r="Z95" s="216">
        <v>1168.2920741085784</v>
      </c>
      <c r="AA95" s="216">
        <v>1179.5401569500293</v>
      </c>
      <c r="AB95" s="216">
        <v>1190.8965340874122</v>
      </c>
      <c r="AC95" s="216">
        <v>1202.3622481565869</v>
      </c>
      <c r="AD95" s="216">
        <v>1213.938351831704</v>
      </c>
      <c r="AE95" s="216">
        <v>1225.6259079218505</v>
      </c>
      <c r="AF95" s="216">
        <v>1237.4259894686268</v>
      </c>
      <c r="AG95" s="216">
        <v>1249.3396798446638</v>
      </c>
      <c r="AH95" s="216">
        <v>1261.3680728530876</v>
      </c>
      <c r="AI95" s="216">
        <v>1273.5122728279428</v>
      </c>
      <c r="AJ95" s="216">
        <v>1285.7733947355816</v>
      </c>
      <c r="AK95" s="216">
        <v>1298.1525642770291</v>
      </c>
      <c r="AL95" s="216">
        <v>1310.650917991336</v>
      </c>
      <c r="AM95" s="216">
        <v>1323.2696033599232</v>
      </c>
      <c r="AN95" s="216">
        <v>1336.0097789119343</v>
      </c>
      <c r="AO95" s="216">
        <v>1348.8726143305998</v>
      </c>
      <c r="AP95" s="216">
        <v>1361.8592905606272</v>
      </c>
      <c r="AQ95" s="216">
        <v>1374.9709999166232</v>
      </c>
      <c r="AR95" s="216">
        <v>1388.2089461925625</v>
      </c>
      <c r="AS95" s="216">
        <v>1401.5743447723069</v>
      </c>
      <c r="AT95" s="216">
        <v>1415.0684227411919</v>
      </c>
      <c r="AU95" s="216">
        <v>1428.6924189986853</v>
      </c>
      <c r="AV95" s="216">
        <v>1442.4475843721316</v>
      </c>
      <c r="AW95" s="216">
        <v>1456.3351817315918</v>
      </c>
      <c r="AX95" s="216">
        <v>1470.3564861057873</v>
      </c>
      <c r="AY95" s="216">
        <v>1484.5127847991616</v>
      </c>
      <c r="AZ95" s="216">
        <v>1498.8053775100682</v>
      </c>
      <c r="BA95" s="216">
        <v>1513.2355764500969</v>
      </c>
      <c r="BB95" s="216">
        <v>1527.8047064645489</v>
      </c>
      <c r="BC95" s="216">
        <v>1542.5141051540711</v>
      </c>
      <c r="BD95" s="216">
        <v>1557.3651229974628</v>
      </c>
      <c r="BE95" s="216">
        <v>1572.3591234756634</v>
      </c>
      <c r="BF95" s="216">
        <v>1587.4974831969346</v>
      </c>
      <c r="BG95" s="216">
        <v>1602.7815920232474</v>
      </c>
      <c r="BH95" s="216">
        <v>1618.2128531978865</v>
      </c>
      <c r="BI95" s="216">
        <v>1633.7926834742827</v>
      </c>
      <c r="BJ95" s="216">
        <v>1649.5225132460862</v>
      </c>
      <c r="BK95" s="216">
        <v>1665.4037866784918</v>
      </c>
      <c r="BL95" s="216">
        <v>1681.4379618408279</v>
      </c>
    </row>
    <row r="96" spans="1:64">
      <c r="A96" t="s">
        <v>152</v>
      </c>
      <c r="B96">
        <v>51</v>
      </c>
      <c r="C96">
        <v>60</v>
      </c>
      <c r="D96">
        <v>58</v>
      </c>
      <c r="E96">
        <v>60</v>
      </c>
      <c r="F96">
        <v>61</v>
      </c>
      <c r="G96">
        <v>54</v>
      </c>
      <c r="H96">
        <v>53</v>
      </c>
      <c r="I96">
        <v>53</v>
      </c>
      <c r="J96">
        <v>61</v>
      </c>
      <c r="K96">
        <v>78</v>
      </c>
      <c r="L96">
        <v>74</v>
      </c>
      <c r="M96">
        <v>66</v>
      </c>
      <c r="N96">
        <v>62</v>
      </c>
      <c r="O96">
        <v>69</v>
      </c>
      <c r="P96">
        <v>65</v>
      </c>
      <c r="Q96">
        <v>63</v>
      </c>
      <c r="R96">
        <v>71</v>
      </c>
      <c r="S96">
        <v>72</v>
      </c>
      <c r="T96">
        <v>71</v>
      </c>
      <c r="U96">
        <v>77</v>
      </c>
      <c r="V96">
        <v>78</v>
      </c>
      <c r="W96">
        <v>87</v>
      </c>
      <c r="X96">
        <v>88</v>
      </c>
      <c r="Y96" s="216">
        <v>86</v>
      </c>
      <c r="Z96" s="216">
        <v>84.713176793194535</v>
      </c>
      <c r="AA96" s="216">
        <v>86.361403876281116</v>
      </c>
      <c r="AB96" s="216">
        <v>88.041699789982474</v>
      </c>
      <c r="AC96" s="216">
        <v>89.754688483454359</v>
      </c>
      <c r="AD96" s="216">
        <v>91.501006045757308</v>
      </c>
      <c r="AE96" s="216">
        <v>93.281300942057342</v>
      </c>
      <c r="AF96" s="216">
        <v>95.096234254422512</v>
      </c>
      <c r="AG96" s="216">
        <v>96.946479927304395</v>
      </c>
      <c r="AH96" s="216">
        <v>98.832725017795795</v>
      </c>
      <c r="AI96" s="216">
        <v>100.75566995075771</v>
      </c>
      <c r="AJ96" s="216">
        <v>102.7160287789101</v>
      </c>
      <c r="AK96" s="216">
        <v>104.71452944798313</v>
      </c>
      <c r="AL96" s="216">
        <v>106.75191406702741</v>
      </c>
      <c r="AM96" s="216">
        <v>108.82893918398349</v>
      </c>
      <c r="AN96" s="216">
        <v>110.94637606661303</v>
      </c>
      <c r="AO96" s="216">
        <v>113.10501098889574</v>
      </c>
      <c r="AP96" s="216">
        <v>115.30564552299909</v>
      </c>
      <c r="AQ96" s="216">
        <v>117.54909683692803</v>
      </c>
      <c r="AR96" s="216">
        <v>119.83619799796674</v>
      </c>
      <c r="AS96" s="216">
        <v>122.16779828202365</v>
      </c>
      <c r="AT96" s="216">
        <v>124.54476348899564</v>
      </c>
      <c r="AU96" s="216">
        <v>126.96797626426803</v>
      </c>
      <c r="AV96" s="216">
        <v>129.43833642646976</v>
      </c>
      <c r="AW96" s="216">
        <v>131.95676130160584</v>
      </c>
      <c r="AX96" s="216">
        <v>134.52418606369048</v>
      </c>
      <c r="AY96" s="216">
        <v>137.14156408200799</v>
      </c>
      <c r="AZ96" s="216">
        <v>139.80986727513036</v>
      </c>
      <c r="BA96" s="216">
        <v>142.53008647182236</v>
      </c>
      <c r="BB96" s="216">
        <v>145.30323177896898</v>
      </c>
      <c r="BC96" s="216">
        <v>148.13033295666139</v>
      </c>
      <c r="BD96" s="216">
        <v>151.01243980058055</v>
      </c>
      <c r="BE96" s="216">
        <v>153.95062253182124</v>
      </c>
      <c r="BF96" s="216">
        <v>156.94597219429986</v>
      </c>
      <c r="BG96" s="216">
        <v>159.99960105989544</v>
      </c>
      <c r="BH96" s="216">
        <v>163.11264304147244</v>
      </c>
      <c r="BI96" s="216">
        <v>166.28625411394009</v>
      </c>
      <c r="BJ96" s="216">
        <v>169.52161274350374</v>
      </c>
      <c r="BK96" s="216">
        <v>172.81992032526833</v>
      </c>
      <c r="BL96" s="216">
        <v>176.18240162935584</v>
      </c>
    </row>
    <row r="97" spans="1:64">
      <c r="A97" t="s">
        <v>81</v>
      </c>
      <c r="B97">
        <v>198</v>
      </c>
      <c r="C97">
        <v>207</v>
      </c>
      <c r="D97">
        <v>219</v>
      </c>
      <c r="E97">
        <v>240</v>
      </c>
      <c r="F97">
        <v>245</v>
      </c>
      <c r="G97">
        <v>239</v>
      </c>
      <c r="H97">
        <v>232</v>
      </c>
      <c r="I97">
        <v>247</v>
      </c>
      <c r="J97">
        <v>272</v>
      </c>
      <c r="K97">
        <v>293</v>
      </c>
      <c r="L97">
        <v>282</v>
      </c>
      <c r="M97">
        <v>283</v>
      </c>
      <c r="N97">
        <v>285</v>
      </c>
      <c r="O97">
        <v>271</v>
      </c>
      <c r="P97">
        <v>262</v>
      </c>
      <c r="Q97">
        <v>259</v>
      </c>
      <c r="R97">
        <v>254</v>
      </c>
      <c r="S97">
        <v>278</v>
      </c>
      <c r="T97">
        <v>267</v>
      </c>
      <c r="U97">
        <v>275</v>
      </c>
      <c r="V97">
        <v>301</v>
      </c>
      <c r="W97">
        <v>315</v>
      </c>
      <c r="X97">
        <v>322</v>
      </c>
      <c r="Y97" s="216">
        <v>338</v>
      </c>
      <c r="Z97" s="216">
        <v>322.08272756351704</v>
      </c>
      <c r="AA97" s="216">
        <v>327.26821893750252</v>
      </c>
      <c r="AB97" s="216">
        <v>332.53719606992371</v>
      </c>
      <c r="AC97" s="216">
        <v>337.89100307098317</v>
      </c>
      <c r="AD97" s="216">
        <v>343.33100569088879</v>
      </c>
      <c r="AE97" s="216">
        <v>348.85859166825469</v>
      </c>
      <c r="AF97" s="216">
        <v>354.47517108411211</v>
      </c>
      <c r="AG97" s="216">
        <v>360.18217672161927</v>
      </c>
      <c r="AH97" s="216">
        <v>365.98106443156308</v>
      </c>
      <c r="AI97" s="216">
        <v>371.87331350374484</v>
      </c>
      <c r="AJ97" s="216">
        <v>377.86042704434527</v>
      </c>
      <c r="AK97" s="216">
        <v>383.94393235936565</v>
      </c>
      <c r="AL97" s="216">
        <v>390.12538134424148</v>
      </c>
      <c r="AM97" s="216">
        <v>396.40635087972953</v>
      </c>
      <c r="AN97" s="216">
        <v>402.78844323416826</v>
      </c>
      <c r="AO97" s="216">
        <v>409.27328647221464</v>
      </c>
      <c r="AP97" s="216">
        <v>415.86253487016182</v>
      </c>
      <c r="AQ97" s="216">
        <v>422.55786933794286</v>
      </c>
      <c r="AR97" s="216">
        <v>429.36099784792935</v>
      </c>
      <c r="AS97" s="216">
        <v>436.27365587063304</v>
      </c>
      <c r="AT97" s="216">
        <v>443.29760681742243</v>
      </c>
      <c r="AU97" s="216">
        <v>450.43464249036714</v>
      </c>
      <c r="AV97" s="216">
        <v>457.68658353932449</v>
      </c>
      <c r="AW97" s="216">
        <v>465.05527992638548</v>
      </c>
      <c r="AX97" s="216">
        <v>472.54261139779783</v>
      </c>
      <c r="AY97" s="216">
        <v>480.15048796348736</v>
      </c>
      <c r="AZ97" s="216">
        <v>487.88085038429915</v>
      </c>
      <c r="BA97" s="216">
        <v>495.73567066708364</v>
      </c>
      <c r="BB97" s="216">
        <v>503.71695256775348</v>
      </c>
      <c r="BC97" s="216">
        <v>511.82673210243905</v>
      </c>
      <c r="BD97" s="216">
        <v>520.06707806687439</v>
      </c>
      <c r="BE97" s="216">
        <v>528.44009256414449</v>
      </c>
      <c r="BF97" s="216">
        <v>536.94791154092911</v>
      </c>
      <c r="BG97" s="216">
        <v>545.592705332381</v>
      </c>
      <c r="BH97" s="216">
        <v>554.37667921577577</v>
      </c>
      <c r="BI97" s="216">
        <v>563.30207397307515</v>
      </c>
      <c r="BJ97" s="216">
        <v>572.3711664625489</v>
      </c>
      <c r="BK97" s="216">
        <v>581.58627019959795</v>
      </c>
      <c r="BL97" s="216">
        <v>590.94973594693045</v>
      </c>
    </row>
    <row r="98" spans="1:64">
      <c r="A98" t="s">
        <v>37</v>
      </c>
      <c r="B98">
        <v>409</v>
      </c>
      <c r="C98">
        <v>417</v>
      </c>
      <c r="D98">
        <v>427</v>
      </c>
      <c r="E98">
        <v>406</v>
      </c>
      <c r="F98">
        <v>405</v>
      </c>
      <c r="G98">
        <v>405</v>
      </c>
      <c r="H98">
        <v>404</v>
      </c>
      <c r="I98">
        <v>397</v>
      </c>
      <c r="J98">
        <v>369</v>
      </c>
      <c r="K98">
        <v>382</v>
      </c>
      <c r="L98">
        <v>355</v>
      </c>
      <c r="M98">
        <v>370</v>
      </c>
      <c r="N98">
        <v>380</v>
      </c>
      <c r="O98">
        <v>369</v>
      </c>
      <c r="P98">
        <v>396</v>
      </c>
      <c r="Q98">
        <v>382</v>
      </c>
      <c r="R98">
        <v>389</v>
      </c>
      <c r="S98">
        <v>379</v>
      </c>
      <c r="T98">
        <v>386</v>
      </c>
      <c r="U98">
        <v>376</v>
      </c>
      <c r="V98">
        <v>408</v>
      </c>
      <c r="W98">
        <v>366</v>
      </c>
      <c r="X98">
        <v>405</v>
      </c>
      <c r="Y98" s="216">
        <v>405</v>
      </c>
      <c r="Z98" s="216">
        <v>378.69643383220955</v>
      </c>
      <c r="AA98" s="216">
        <v>377.75177766202705</v>
      </c>
      <c r="AB98" s="216">
        <v>376.80947793146254</v>
      </c>
      <c r="AC98" s="216">
        <v>375.86952876239036</v>
      </c>
      <c r="AD98" s="216">
        <v>374.93192429134774</v>
      </c>
      <c r="AE98" s="216">
        <v>373.9966586694984</v>
      </c>
      <c r="AF98" s="216">
        <v>373.06372606259583</v>
      </c>
      <c r="AG98" s="216">
        <v>372.13312065094721</v>
      </c>
      <c r="AH98" s="216">
        <v>371.2048366293767</v>
      </c>
      <c r="AI98" s="216">
        <v>370.27886820718953</v>
      </c>
      <c r="AJ98" s="216">
        <v>369.35520960813579</v>
      </c>
      <c r="AK98" s="216">
        <v>368.43385507037436</v>
      </c>
      <c r="AL98" s="216">
        <v>367.51479884643709</v>
      </c>
      <c r="AM98" s="216">
        <v>366.59803520319275</v>
      </c>
      <c r="AN98" s="216">
        <v>365.68355842181143</v>
      </c>
      <c r="AO98" s="216">
        <v>364.77136279772873</v>
      </c>
      <c r="AP98" s="216">
        <v>363.86144264061045</v>
      </c>
      <c r="AQ98" s="216">
        <v>362.9537922743167</v>
      </c>
      <c r="AR98" s="216">
        <v>362.04840603686671</v>
      </c>
      <c r="AS98" s="216">
        <v>361.1452782804036</v>
      </c>
      <c r="AT98" s="216">
        <v>360.24440337115902</v>
      </c>
      <c r="AU98" s="216">
        <v>359.34577568941791</v>
      </c>
      <c r="AV98" s="216">
        <v>358.44938962948362</v>
      </c>
      <c r="AW98" s="216">
        <v>357.5552395996429</v>
      </c>
      <c r="AX98" s="216">
        <v>356.66332002213107</v>
      </c>
      <c r="AY98" s="216">
        <v>355.77362533309696</v>
      </c>
      <c r="AZ98" s="216">
        <v>354.8861499825685</v>
      </c>
      <c r="BA98" s="216">
        <v>354.00088843441813</v>
      </c>
      <c r="BB98" s="216">
        <v>353.11783516632789</v>
      </c>
      <c r="BC98" s="216">
        <v>352.23698466975537</v>
      </c>
      <c r="BD98" s="216">
        <v>351.35833144989908</v>
      </c>
      <c r="BE98" s="216">
        <v>350.48187002566442</v>
      </c>
      <c r="BF98" s="216">
        <v>349.60759492962922</v>
      </c>
      <c r="BG98" s="216">
        <v>348.73550070800991</v>
      </c>
      <c r="BH98" s="216">
        <v>347.86558192062711</v>
      </c>
      <c r="BI98" s="216">
        <v>346.99783314087216</v>
      </c>
      <c r="BJ98" s="216">
        <v>346.13224895567305</v>
      </c>
      <c r="BK98" s="216">
        <v>345.26882396546046</v>
      </c>
      <c r="BL98" s="216">
        <v>344.4075527841344</v>
      </c>
    </row>
    <row r="99" spans="1:64">
      <c r="A99" t="s">
        <v>1021</v>
      </c>
      <c r="B99">
        <v>113</v>
      </c>
      <c r="C99">
        <v>127</v>
      </c>
      <c r="D99">
        <v>121</v>
      </c>
      <c r="E99">
        <v>123</v>
      </c>
      <c r="F99">
        <v>130</v>
      </c>
      <c r="G99">
        <v>136</v>
      </c>
      <c r="H99">
        <v>149</v>
      </c>
      <c r="I99">
        <v>130</v>
      </c>
      <c r="J99">
        <v>126</v>
      </c>
      <c r="K99">
        <v>97</v>
      </c>
      <c r="L99">
        <v>103</v>
      </c>
      <c r="M99">
        <v>90</v>
      </c>
      <c r="N99">
        <v>79</v>
      </c>
      <c r="O99">
        <v>88</v>
      </c>
      <c r="P99">
        <v>97</v>
      </c>
      <c r="Q99">
        <v>98</v>
      </c>
      <c r="R99">
        <v>79</v>
      </c>
      <c r="S99">
        <v>103</v>
      </c>
      <c r="T99">
        <v>97</v>
      </c>
      <c r="U99">
        <v>87</v>
      </c>
      <c r="V99">
        <v>95</v>
      </c>
      <c r="W99">
        <v>97</v>
      </c>
      <c r="X99">
        <v>94</v>
      </c>
      <c r="Y99" s="216">
        <v>91</v>
      </c>
      <c r="Z99" s="216">
        <v>83.634640373398156</v>
      </c>
      <c r="AA99" s="216">
        <v>82.149320583709383</v>
      </c>
      <c r="AB99" s="216">
        <v>80.690379515418726</v>
      </c>
      <c r="AC99" s="216">
        <v>79.257348692345218</v>
      </c>
      <c r="AD99" s="216">
        <v>77.849767958268799</v>
      </c>
      <c r="AE99" s="216">
        <v>76.467185329171073</v>
      </c>
      <c r="AF99" s="216">
        <v>75.109156848099943</v>
      </c>
      <c r="AG99" s="216">
        <v>73.775246442611959</v>
      </c>
      <c r="AH99" s="216">
        <v>72.465025784746473</v>
      </c>
      <c r="AI99" s="216">
        <v>71.178074153486435</v>
      </c>
      <c r="AJ99" s="216">
        <v>69.913978299662034</v>
      </c>
      <c r="AK99" s="216">
        <v>68.672332313253392</v>
      </c>
      <c r="AL99" s="216">
        <v>67.452737493050122</v>
      </c>
      <c r="AM99" s="216">
        <v>66.254802218625528</v>
      </c>
      <c r="AN99" s="216">
        <v>65.078141824584534</v>
      </c>
      <c r="AO99" s="216">
        <v>63.922378477044951</v>
      </c>
      <c r="AP99" s="216">
        <v>62.787141052312386</v>
      </c>
      <c r="AQ99" s="216">
        <v>61.672065017709826</v>
      </c>
      <c r="AR99" s="216">
        <v>60.57679231452363</v>
      </c>
      <c r="AS99" s="216">
        <v>59.500971243028381</v>
      </c>
      <c r="AT99" s="216">
        <v>58.444256349553662</v>
      </c>
      <c r="AU99" s="216">
        <v>57.406308315556409</v>
      </c>
      <c r="AV99" s="216">
        <v>56.38679384866343</v>
      </c>
      <c r="AW99" s="216">
        <v>55.385385575648833</v>
      </c>
      <c r="AX99" s="216">
        <v>54.401761937312244</v>
      </c>
      <c r="AY99" s="216">
        <v>53.435607085223843</v>
      </c>
      <c r="AZ99" s="216">
        <v>52.486610780303266</v>
      </c>
      <c r="BA99" s="216">
        <v>51.554468293199648</v>
      </c>
      <c r="BB99" s="216">
        <v>50.638880306440896</v>
      </c>
      <c r="BC99" s="216">
        <v>49.739552818320774</v>
      </c>
      <c r="BD99" s="216">
        <v>48.856197048492881</v>
      </c>
      <c r="BE99" s="216">
        <v>47.988529345241282</v>
      </c>
      <c r="BF99" s="216">
        <v>47.136271094397898</v>
      </c>
      <c r="BG99" s="216">
        <v>46.299148629877642</v>
      </c>
      <c r="BH99" s="216">
        <v>45.476893145802265</v>
      </c>
      <c r="BI99" s="216">
        <v>44.669240610184893</v>
      </c>
      <c r="BJ99" s="216">
        <v>43.875931680147573</v>
      </c>
      <c r="BK99" s="216">
        <v>43.096711618644392</v>
      </c>
      <c r="BL99" s="216">
        <v>42.331330212663687</v>
      </c>
    </row>
    <row r="100" spans="1:64">
      <c r="A100" t="s">
        <v>154</v>
      </c>
      <c r="B100">
        <v>31</v>
      </c>
      <c r="C100">
        <v>44</v>
      </c>
      <c r="D100">
        <v>43</v>
      </c>
      <c r="E100">
        <v>40</v>
      </c>
      <c r="F100">
        <v>48</v>
      </c>
      <c r="G100">
        <v>47</v>
      </c>
      <c r="H100">
        <v>47</v>
      </c>
      <c r="I100">
        <v>54</v>
      </c>
      <c r="J100">
        <v>62</v>
      </c>
      <c r="K100">
        <v>53</v>
      </c>
      <c r="L100">
        <v>53</v>
      </c>
      <c r="M100">
        <v>41</v>
      </c>
      <c r="N100">
        <v>46</v>
      </c>
      <c r="O100">
        <v>50</v>
      </c>
      <c r="P100">
        <v>44</v>
      </c>
      <c r="Q100">
        <v>46</v>
      </c>
      <c r="R100">
        <v>27</v>
      </c>
      <c r="S100">
        <v>33</v>
      </c>
      <c r="T100">
        <v>39</v>
      </c>
      <c r="U100">
        <v>50</v>
      </c>
      <c r="V100">
        <v>44</v>
      </c>
      <c r="W100">
        <v>52</v>
      </c>
      <c r="X100">
        <v>44</v>
      </c>
      <c r="Y100" s="216">
        <v>53</v>
      </c>
      <c r="Z100" s="216">
        <v>45.364073943895008</v>
      </c>
      <c r="AA100" s="216">
        <v>45.414293272247178</v>
      </c>
      <c r="AB100" s="216">
        <v>45.464568194833326</v>
      </c>
      <c r="AC100" s="216">
        <v>45.514898773197835</v>
      </c>
      <c r="AD100" s="216">
        <v>45.565285068953237</v>
      </c>
      <c r="AE100" s="216">
        <v>45.615727143780312</v>
      </c>
      <c r="AF100" s="216">
        <v>45.666225059428058</v>
      </c>
      <c r="AG100" s="216">
        <v>45.716778877713878</v>
      </c>
      <c r="AH100" s="216">
        <v>45.767388660523579</v>
      </c>
      <c r="AI100" s="216">
        <v>45.8180544698115</v>
      </c>
      <c r="AJ100" s="216">
        <v>45.868776367600567</v>
      </c>
      <c r="AK100" s="216">
        <v>45.919554415982333</v>
      </c>
      <c r="AL100" s="216">
        <v>45.970388677117128</v>
      </c>
      <c r="AM100" s="216">
        <v>46.021279213234074</v>
      </c>
      <c r="AN100" s="216">
        <v>46.072226086631183</v>
      </c>
      <c r="AO100" s="216">
        <v>46.123229359675442</v>
      </c>
      <c r="AP100" s="216">
        <v>46.17428909480288</v>
      </c>
      <c r="AQ100" s="216">
        <v>46.225405354518621</v>
      </c>
      <c r="AR100" s="216">
        <v>46.276578201397022</v>
      </c>
      <c r="AS100" s="216">
        <v>46.327807698081678</v>
      </c>
      <c r="AT100" s="216">
        <v>46.379093907285558</v>
      </c>
      <c r="AU100" s="216">
        <v>46.430436891791032</v>
      </c>
      <c r="AV100" s="216">
        <v>46.48183671444999</v>
      </c>
      <c r="AW100" s="216">
        <v>46.533293438183897</v>
      </c>
      <c r="AX100" s="216">
        <v>46.584807125983865</v>
      </c>
      <c r="AY100" s="216">
        <v>46.636377840910754</v>
      </c>
      <c r="AZ100" s="216">
        <v>46.688005646095213</v>
      </c>
      <c r="BA100" s="216">
        <v>46.739690604737817</v>
      </c>
      <c r="BB100" s="216">
        <v>46.791432780109048</v>
      </c>
      <c r="BC100" s="216">
        <v>46.843232235549486</v>
      </c>
      <c r="BD100" s="216">
        <v>46.895089034469791</v>
      </c>
      <c r="BE100" s="216">
        <v>46.947003240350845</v>
      </c>
      <c r="BF100" s="216">
        <v>46.998974916743798</v>
      </c>
      <c r="BG100" s="216">
        <v>47.051004127270147</v>
      </c>
      <c r="BH100" s="216">
        <v>47.103090935621829</v>
      </c>
      <c r="BI100" s="216">
        <v>47.155235405561285</v>
      </c>
      <c r="BJ100" s="216">
        <v>47.207437600921537</v>
      </c>
      <c r="BK100" s="216">
        <v>47.25969758560629</v>
      </c>
      <c r="BL100" s="216">
        <v>47.312015423589969</v>
      </c>
    </row>
    <row r="101" spans="1:64">
      <c r="A101" t="s">
        <v>1022</v>
      </c>
      <c r="B101">
        <v>95</v>
      </c>
      <c r="C101">
        <v>96</v>
      </c>
      <c r="D101">
        <v>98</v>
      </c>
      <c r="E101">
        <v>101</v>
      </c>
      <c r="F101">
        <v>97</v>
      </c>
      <c r="G101">
        <v>103</v>
      </c>
      <c r="H101">
        <v>97</v>
      </c>
      <c r="I101">
        <v>102</v>
      </c>
      <c r="J101">
        <v>93</v>
      </c>
      <c r="K101">
        <v>102</v>
      </c>
      <c r="L101">
        <v>97</v>
      </c>
      <c r="M101">
        <v>102</v>
      </c>
      <c r="N101">
        <v>97</v>
      </c>
      <c r="O101">
        <v>96</v>
      </c>
      <c r="P101">
        <v>93</v>
      </c>
      <c r="Q101">
        <v>91</v>
      </c>
      <c r="R101">
        <v>98</v>
      </c>
      <c r="S101">
        <v>106</v>
      </c>
      <c r="T101">
        <v>106</v>
      </c>
      <c r="U101">
        <v>109</v>
      </c>
      <c r="V101">
        <v>108</v>
      </c>
      <c r="W101">
        <v>110</v>
      </c>
      <c r="X101">
        <v>95</v>
      </c>
      <c r="Y101" s="216">
        <v>97</v>
      </c>
      <c r="Z101" s="216">
        <v>102.50043065723395</v>
      </c>
      <c r="AA101" s="216">
        <v>102.75193442517831</v>
      </c>
      <c r="AB101" s="216">
        <v>103.00405530414243</v>
      </c>
      <c r="AC101" s="216">
        <v>103.25679480832237</v>
      </c>
      <c r="AD101" s="216">
        <v>103.51015445562952</v>
      </c>
      <c r="AE101" s="216">
        <v>103.76413576769981</v>
      </c>
      <c r="AF101" s="216">
        <v>104.01874026990266</v>
      </c>
      <c r="AG101" s="216">
        <v>104.27396949135043</v>
      </c>
      <c r="AH101" s="216">
        <v>104.52982496490728</v>
      </c>
      <c r="AI101" s="216">
        <v>104.78630822719865</v>
      </c>
      <c r="AJ101" s="216">
        <v>105.04342081862031</v>
      </c>
      <c r="AK101" s="216">
        <v>105.30116428334772</v>
      </c>
      <c r="AL101" s="216">
        <v>105.55954016934521</v>
      </c>
      <c r="AM101" s="216">
        <v>105.81855002837538</v>
      </c>
      <c r="AN101" s="216">
        <v>106.07819541600837</v>
      </c>
      <c r="AO101" s="216">
        <v>106.33847789163111</v>
      </c>
      <c r="AP101" s="216">
        <v>106.59939901845688</v>
      </c>
      <c r="AQ101" s="216">
        <v>106.86096036353455</v>
      </c>
      <c r="AR101" s="216">
        <v>107.12316349775799</v>
      </c>
      <c r="AS101" s="216">
        <v>107.38600999587564</v>
      </c>
      <c r="AT101" s="216">
        <v>107.64950143649979</v>
      </c>
      <c r="AU101" s="216">
        <v>107.91363940211623</v>
      </c>
      <c r="AV101" s="216">
        <v>108.17842547909359</v>
      </c>
      <c r="AW101" s="216">
        <v>108.44386125769302</v>
      </c>
      <c r="AX101" s="216">
        <v>108.7099483320776</v>
      </c>
      <c r="AY101" s="216">
        <v>108.97668830032204</v>
      </c>
      <c r="AZ101" s="216">
        <v>109.2440827644222</v>
      </c>
      <c r="BA101" s="216">
        <v>109.51213333030476</v>
      </c>
      <c r="BB101" s="216">
        <v>109.78084160783676</v>
      </c>
      <c r="BC101" s="216">
        <v>110.05020921083546</v>
      </c>
      <c r="BD101" s="216">
        <v>110.32023775707782</v>
      </c>
      <c r="BE101" s="216">
        <v>110.59092886831037</v>
      </c>
      <c r="BF101" s="216">
        <v>110.86228417025886</v>
      </c>
      <c r="BG101" s="216">
        <v>111.13430529263812</v>
      </c>
      <c r="BH101" s="216">
        <v>111.40699386916171</v>
      </c>
      <c r="BI101" s="216">
        <v>111.68035153755184</v>
      </c>
      <c r="BJ101" s="216">
        <v>111.9543799395492</v>
      </c>
      <c r="BK101" s="216">
        <v>112.22908072092279</v>
      </c>
      <c r="BL101" s="216">
        <v>112.50445553147973</v>
      </c>
    </row>
    <row r="102" spans="1:64">
      <c r="A102" t="s">
        <v>1024</v>
      </c>
      <c r="B102">
        <v>32</v>
      </c>
      <c r="C102">
        <v>41</v>
      </c>
      <c r="D102">
        <v>34</v>
      </c>
      <c r="E102">
        <v>32</v>
      </c>
      <c r="F102">
        <v>28</v>
      </c>
      <c r="G102">
        <v>28</v>
      </c>
      <c r="H102">
        <v>27</v>
      </c>
      <c r="I102">
        <v>32</v>
      </c>
      <c r="J102">
        <v>29</v>
      </c>
      <c r="K102">
        <v>22</v>
      </c>
      <c r="L102">
        <v>17</v>
      </c>
      <c r="M102">
        <v>5</v>
      </c>
      <c r="N102">
        <v>6</v>
      </c>
      <c r="O102">
        <v>11</v>
      </c>
      <c r="P102">
        <v>6</v>
      </c>
      <c r="Q102">
        <v>0</v>
      </c>
      <c r="R102">
        <v>0</v>
      </c>
      <c r="S102">
        <v>0</v>
      </c>
      <c r="T102">
        <v>0</v>
      </c>
      <c r="U102">
        <v>7</v>
      </c>
      <c r="V102">
        <v>7</v>
      </c>
      <c r="W102">
        <v>7</v>
      </c>
      <c r="X102">
        <v>7</v>
      </c>
      <c r="Y102" s="216">
        <v>7</v>
      </c>
      <c r="Z102" s="216">
        <v>7</v>
      </c>
      <c r="AA102" s="216">
        <v>7</v>
      </c>
      <c r="AB102" s="216">
        <v>7</v>
      </c>
      <c r="AC102" s="216">
        <v>7</v>
      </c>
      <c r="AD102" s="216">
        <v>7</v>
      </c>
      <c r="AE102" s="216">
        <v>7</v>
      </c>
      <c r="AF102" s="216">
        <v>7</v>
      </c>
      <c r="AG102" s="216">
        <v>7</v>
      </c>
      <c r="AH102" s="216">
        <v>7</v>
      </c>
      <c r="AI102" s="216">
        <v>7</v>
      </c>
      <c r="AJ102" s="216">
        <v>7</v>
      </c>
      <c r="AK102" s="216">
        <v>7</v>
      </c>
      <c r="AL102" s="216">
        <v>7</v>
      </c>
      <c r="AM102" s="216">
        <v>7</v>
      </c>
      <c r="AN102" s="216">
        <v>7</v>
      </c>
      <c r="AO102" s="216">
        <v>7</v>
      </c>
      <c r="AP102" s="216">
        <v>7</v>
      </c>
      <c r="AQ102" s="216">
        <v>7</v>
      </c>
      <c r="AR102" s="216">
        <v>7</v>
      </c>
      <c r="AS102" s="216">
        <v>7</v>
      </c>
      <c r="AT102" s="216">
        <v>7</v>
      </c>
      <c r="AU102" s="216">
        <v>7</v>
      </c>
      <c r="AV102" s="216">
        <v>7</v>
      </c>
      <c r="AW102" s="216">
        <v>7</v>
      </c>
      <c r="AX102" s="216">
        <v>7</v>
      </c>
      <c r="AY102" s="216">
        <v>7</v>
      </c>
      <c r="AZ102" s="216">
        <v>7</v>
      </c>
      <c r="BA102" s="216">
        <v>7</v>
      </c>
      <c r="BB102" s="216">
        <v>7</v>
      </c>
      <c r="BC102" s="216">
        <v>7</v>
      </c>
      <c r="BD102" s="216">
        <v>7</v>
      </c>
      <c r="BE102" s="216">
        <v>7</v>
      </c>
      <c r="BF102" s="216">
        <v>7</v>
      </c>
      <c r="BG102" s="216">
        <v>7</v>
      </c>
      <c r="BH102" s="216">
        <v>7</v>
      </c>
      <c r="BI102" s="216">
        <v>7</v>
      </c>
      <c r="BJ102" s="216">
        <v>7</v>
      </c>
      <c r="BK102" s="216">
        <v>7</v>
      </c>
      <c r="BL102" s="216">
        <v>7</v>
      </c>
    </row>
    <row r="103" spans="1:64">
      <c r="A103" t="s">
        <v>294</v>
      </c>
      <c r="B103">
        <v>27579</v>
      </c>
      <c r="C103">
        <v>28253</v>
      </c>
      <c r="D103">
        <v>28448</v>
      </c>
      <c r="E103">
        <v>28454</v>
      </c>
      <c r="F103">
        <v>28700</v>
      </c>
      <c r="G103">
        <v>29230</v>
      </c>
      <c r="H103">
        <v>29713</v>
      </c>
      <c r="I103">
        <v>30021</v>
      </c>
      <c r="J103">
        <v>30189</v>
      </c>
      <c r="K103">
        <v>30711</v>
      </c>
      <c r="L103">
        <v>30482</v>
      </c>
      <c r="M103">
        <v>31047</v>
      </c>
      <c r="N103">
        <v>31364</v>
      </c>
      <c r="O103">
        <v>31213</v>
      </c>
      <c r="P103">
        <v>31340</v>
      </c>
      <c r="Q103">
        <v>30943</v>
      </c>
      <c r="R103">
        <v>30350</v>
      </c>
      <c r="S103">
        <v>30554</v>
      </c>
      <c r="T103">
        <v>30946</v>
      </c>
      <c r="U103">
        <v>31275</v>
      </c>
      <c r="V103">
        <v>32379</v>
      </c>
      <c r="W103">
        <v>32806</v>
      </c>
      <c r="X103">
        <v>33030</v>
      </c>
      <c r="Y103" s="216">
        <v>33026</v>
      </c>
      <c r="Z103" s="216">
        <v>33075.563866814235</v>
      </c>
      <c r="AA103" s="216">
        <v>33293.742944169324</v>
      </c>
      <c r="AB103" s="216">
        <v>33513.361214216246</v>
      </c>
      <c r="AC103" s="216">
        <v>33734.42817042079</v>
      </c>
      <c r="AD103" s="216">
        <v>33956.953368871254</v>
      </c>
      <c r="AE103" s="216">
        <v>34180.946428691583</v>
      </c>
      <c r="AF103" s="216">
        <v>34406.417032457102</v>
      </c>
      <c r="AG103" s="216">
        <v>34633.374926613149</v>
      </c>
      <c r="AH103" s="216">
        <v>34861.829921896322</v>
      </c>
      <c r="AI103" s="216">
        <v>35091.791893758607</v>
      </c>
      <c r="AJ103" s="216">
        <v>35323.270782794229</v>
      </c>
      <c r="AK103" s="216">
        <v>35556.276595169409</v>
      </c>
      <c r="AL103" s="216">
        <v>35790.819403054833</v>
      </c>
      <c r="AM103" s="216">
        <v>36026.909345061111</v>
      </c>
      <c r="AN103" s="216">
        <v>36264.556626676997</v>
      </c>
      <c r="AO103" s="216">
        <v>36503.771520710543</v>
      </c>
      <c r="AP103" s="216">
        <v>36744.564367733197</v>
      </c>
      <c r="AQ103" s="216">
        <v>36986.945576526748</v>
      </c>
      <c r="AR103" s="216">
        <v>37230.925624533309</v>
      </c>
      <c r="AS103" s="216">
        <v>37476.515058308214</v>
      </c>
      <c r="AT103" s="216">
        <v>37723.724493975904</v>
      </c>
      <c r="AU103" s="216">
        <v>37972.564617688848</v>
      </c>
      <c r="AV103" s="216">
        <v>38223.04618608945</v>
      </c>
      <c r="AW103" s="216">
        <v>38475.180026775059</v>
      </c>
      <c r="AX103" s="216">
        <v>38728.977038765996</v>
      </c>
      <c r="AY103" s="216">
        <v>38984.448192976684</v>
      </c>
      <c r="AZ103" s="216">
        <v>39241.604532689904</v>
      </c>
      <c r="BA103" s="216">
        <v>39500.457174034163</v>
      </c>
      <c r="BB103" s="216">
        <v>39761.0173064642</v>
      </c>
      <c r="BC103" s="216">
        <v>40023.296193244656</v>
      </c>
      <c r="BD103" s="216">
        <v>40287.30517193702</v>
      </c>
      <c r="BE103" s="216">
        <v>40553.055654889649</v>
      </c>
      <c r="BF103" s="216">
        <v>40820.559129731111</v>
      </c>
      <c r="BG103" s="216">
        <v>41089.827159866778</v>
      </c>
      <c r="BH103" s="216">
        <v>41360.87138497868</v>
      </c>
      <c r="BI103" s="216">
        <v>41633.703521528631</v>
      </c>
      <c r="BJ103" s="216">
        <v>41908.335363264705</v>
      </c>
      <c r="BK103" s="216">
        <v>42184.778781731075</v>
      </c>
      <c r="BL103" s="216">
        <v>42463.045726781136</v>
      </c>
    </row>
    <row r="104" spans="1:64">
      <c r="A104" t="s">
        <v>15</v>
      </c>
      <c r="B104">
        <v>711</v>
      </c>
      <c r="C104">
        <v>727</v>
      </c>
      <c r="D104">
        <v>725</v>
      </c>
      <c r="E104">
        <v>695</v>
      </c>
      <c r="F104">
        <v>703</v>
      </c>
      <c r="G104">
        <v>727</v>
      </c>
      <c r="H104">
        <v>756</v>
      </c>
      <c r="I104">
        <v>775</v>
      </c>
      <c r="J104">
        <v>745</v>
      </c>
      <c r="K104">
        <v>710</v>
      </c>
      <c r="L104">
        <v>701</v>
      </c>
      <c r="M104">
        <v>680</v>
      </c>
      <c r="N104">
        <v>660</v>
      </c>
      <c r="O104">
        <v>659</v>
      </c>
      <c r="P104">
        <v>644</v>
      </c>
      <c r="Q104">
        <v>626</v>
      </c>
      <c r="R104">
        <v>609</v>
      </c>
      <c r="S104">
        <v>592</v>
      </c>
      <c r="T104">
        <v>578</v>
      </c>
      <c r="U104">
        <v>557</v>
      </c>
      <c r="V104">
        <v>577</v>
      </c>
      <c r="W104">
        <v>597</v>
      </c>
      <c r="X104">
        <v>621</v>
      </c>
      <c r="Y104" s="216">
        <v>626</v>
      </c>
      <c r="Z104" s="216">
        <v>575.2570928054289</v>
      </c>
      <c r="AA104" s="216">
        <v>568.7052574431151</v>
      </c>
      <c r="AB104" s="216">
        <v>562.22804357986979</v>
      </c>
      <c r="AC104" s="216">
        <v>555.82460132130223</v>
      </c>
      <c r="AD104" s="216">
        <v>549.49409045281197</v>
      </c>
      <c r="AE104" s="216">
        <v>543.23568032934259</v>
      </c>
      <c r="AF104" s="216">
        <v>537.04854976638887</v>
      </c>
      <c r="AG104" s="216">
        <v>530.93188693224829</v>
      </c>
      <c r="AH104" s="216">
        <v>524.88488924149715</v>
      </c>
      <c r="AI104" s="216">
        <v>518.90676324968126</v>
      </c>
      <c r="AJ104" s="216">
        <v>512.99672454920596</v>
      </c>
      <c r="AK104" s="216">
        <v>507.15399766641127</v>
      </c>
      <c r="AL104" s="216">
        <v>501.37781595982005</v>
      </c>
      <c r="AM104" s="216">
        <v>495.66742151954452</v>
      </c>
      <c r="AN104" s="216">
        <v>490.02206506783881</v>
      </c>
      <c r="AO104" s="216">
        <v>484.44100586078383</v>
      </c>
      <c r="AP104" s="216">
        <v>478.92351159109199</v>
      </c>
      <c r="AQ104" s="216">
        <v>473.46885829201949</v>
      </c>
      <c r="AR104" s="216">
        <v>468.07633024237202</v>
      </c>
      <c r="AS104" s="216">
        <v>462.74521987259288</v>
      </c>
      <c r="AT104" s="216">
        <v>457.47482767192105</v>
      </c>
      <c r="AU104" s="216">
        <v>452.264462096606</v>
      </c>
      <c r="AV104" s="216">
        <v>447.11343947916805</v>
      </c>
      <c r="AW104" s="216">
        <v>442.02108393869293</v>
      </c>
      <c r="AX104" s="216">
        <v>436.98672729214695</v>
      </c>
      <c r="AY104" s="216">
        <v>432.00970896670265</v>
      </c>
      <c r="AZ104" s="216">
        <v>427.08937591306352</v>
      </c>
      <c r="BA104" s="216">
        <v>422.22508251977524</v>
      </c>
      <c r="BB104" s="216">
        <v>417.41619052851286</v>
      </c>
      <c r="BC104" s="216">
        <v>412.66206895033355</v>
      </c>
      <c r="BD104" s="216">
        <v>407.96209398288221</v>
      </c>
      <c r="BE104" s="216">
        <v>403.31564892854078</v>
      </c>
      <c r="BF104" s="216">
        <v>398.72212411350949</v>
      </c>
      <c r="BG104" s="216">
        <v>394.18091680780952</v>
      </c>
      <c r="BH104" s="216">
        <v>389.69143114619743</v>
      </c>
      <c r="BI104" s="216">
        <v>385.25307804997948</v>
      </c>
      <c r="BJ104" s="216">
        <v>380.86527514971726</v>
      </c>
      <c r="BK104" s="216">
        <v>376.5274467088131</v>
      </c>
      <c r="BL104" s="216">
        <v>372.23902354796576</v>
      </c>
    </row>
    <row r="105" spans="1:64">
      <c r="A105" t="s">
        <v>208</v>
      </c>
      <c r="B105">
        <v>218</v>
      </c>
      <c r="C105">
        <v>217</v>
      </c>
      <c r="D105">
        <v>211</v>
      </c>
      <c r="E105">
        <v>209</v>
      </c>
      <c r="F105">
        <v>212</v>
      </c>
      <c r="G105">
        <v>220</v>
      </c>
      <c r="H105">
        <v>230</v>
      </c>
      <c r="I105">
        <v>247</v>
      </c>
      <c r="J105">
        <v>259</v>
      </c>
      <c r="K105">
        <v>293</v>
      </c>
      <c r="L105">
        <v>273</v>
      </c>
      <c r="M105">
        <v>295</v>
      </c>
      <c r="N105">
        <v>280</v>
      </c>
      <c r="O105">
        <v>265</v>
      </c>
      <c r="P105">
        <v>252</v>
      </c>
      <c r="Q105">
        <v>259</v>
      </c>
      <c r="R105">
        <v>252</v>
      </c>
      <c r="S105">
        <v>237</v>
      </c>
      <c r="T105">
        <v>245</v>
      </c>
      <c r="U105">
        <v>239</v>
      </c>
      <c r="V105">
        <v>247</v>
      </c>
      <c r="W105">
        <v>245</v>
      </c>
      <c r="X105">
        <v>261</v>
      </c>
      <c r="Y105" s="216">
        <v>251</v>
      </c>
      <c r="Z105" s="216">
        <v>267.09394933900967</v>
      </c>
      <c r="AA105" s="216">
        <v>268.91287225714643</v>
      </c>
      <c r="AB105" s="216">
        <v>270.74418212972489</v>
      </c>
      <c r="AC105" s="216">
        <v>272.58796331251347</v>
      </c>
      <c r="AD105" s="216">
        <v>274.44430073574739</v>
      </c>
      <c r="AE105" s="216">
        <v>276.31327990804107</v>
      </c>
      <c r="AF105" s="216">
        <v>278.1949869203267</v>
      </c>
      <c r="AG105" s="216">
        <v>280.08950844982002</v>
      </c>
      <c r="AH105" s="216">
        <v>281.99693176401269</v>
      </c>
      <c r="AI105" s="216">
        <v>283.91734472469261</v>
      </c>
      <c r="AJ105" s="216">
        <v>285.85083579199045</v>
      </c>
      <c r="AK105" s="216">
        <v>287.79749402845488</v>
      </c>
      <c r="AL105" s="216">
        <v>289.75740910315488</v>
      </c>
      <c r="AM105" s="216">
        <v>291.73067129581023</v>
      </c>
      <c r="AN105" s="216">
        <v>293.71737150094992</v>
      </c>
      <c r="AO105" s="216">
        <v>295.71760123209918</v>
      </c>
      <c r="AP105" s="216">
        <v>297.73145262599496</v>
      </c>
      <c r="AQ105" s="216">
        <v>299.75901844682983</v>
      </c>
      <c r="AR105" s="216">
        <v>301.80039209052501</v>
      </c>
      <c r="AS105" s="216">
        <v>303.85566758903269</v>
      </c>
      <c r="AT105" s="216">
        <v>305.92493961466715</v>
      </c>
      <c r="AU105" s="216">
        <v>308.00830348446584</v>
      </c>
      <c r="AV105" s="216">
        <v>310.10585516457979</v>
      </c>
      <c r="AW105" s="216">
        <v>312.21769127469446</v>
      </c>
      <c r="AX105" s="216">
        <v>314.34390909247992</v>
      </c>
      <c r="AY105" s="216">
        <v>316.48460655807202</v>
      </c>
      <c r="AZ105" s="216">
        <v>318.63988227858385</v>
      </c>
      <c r="BA105" s="216">
        <v>320.80983553264758</v>
      </c>
      <c r="BB105" s="216">
        <v>322.9945662749879</v>
      </c>
      <c r="BC105" s="216">
        <v>325.19417514102599</v>
      </c>
      <c r="BD105" s="216">
        <v>327.40876345151531</v>
      </c>
      <c r="BE105" s="216">
        <v>329.6384332172085</v>
      </c>
      <c r="BF105" s="216">
        <v>331.88328714355652</v>
      </c>
      <c r="BG105" s="216">
        <v>334.14342863543948</v>
      </c>
      <c r="BH105" s="216">
        <v>336.41896180192981</v>
      </c>
      <c r="BI105" s="216">
        <v>338.70999146108778</v>
      </c>
      <c r="BJ105" s="216">
        <v>341.01662314478989</v>
      </c>
      <c r="BK105" s="216">
        <v>343.33896310358978</v>
      </c>
      <c r="BL105" s="216">
        <v>345.67711831161279</v>
      </c>
    </row>
    <row r="106" spans="1:64">
      <c r="A106" t="s">
        <v>1490</v>
      </c>
      <c r="B106">
        <v>197</v>
      </c>
      <c r="C106">
        <v>203</v>
      </c>
      <c r="D106">
        <v>205</v>
      </c>
      <c r="E106">
        <v>200</v>
      </c>
      <c r="F106">
        <v>185</v>
      </c>
      <c r="G106">
        <v>197</v>
      </c>
      <c r="H106">
        <v>201</v>
      </c>
      <c r="I106">
        <v>263</v>
      </c>
      <c r="J106">
        <v>261</v>
      </c>
      <c r="K106">
        <v>230</v>
      </c>
      <c r="L106">
        <v>248</v>
      </c>
      <c r="M106">
        <v>238</v>
      </c>
      <c r="N106">
        <v>220</v>
      </c>
      <c r="O106">
        <v>249</v>
      </c>
      <c r="P106">
        <v>256</v>
      </c>
      <c r="Q106">
        <v>247</v>
      </c>
      <c r="R106">
        <v>219</v>
      </c>
      <c r="S106">
        <v>209</v>
      </c>
      <c r="T106">
        <v>196</v>
      </c>
      <c r="U106">
        <v>210</v>
      </c>
      <c r="V106">
        <v>211</v>
      </c>
      <c r="W106">
        <v>213</v>
      </c>
      <c r="X106">
        <v>221</v>
      </c>
      <c r="Y106" s="216">
        <v>231</v>
      </c>
      <c r="Z106" s="216">
        <v>229.63960948349856</v>
      </c>
      <c r="AA106" s="216">
        <v>230.41803253020328</v>
      </c>
      <c r="AB106" s="216">
        <v>231.19909424382186</v>
      </c>
      <c r="AC106" s="216">
        <v>231.98280356880045</v>
      </c>
      <c r="AD106" s="216">
        <v>232.7691694799048</v>
      </c>
      <c r="AE106" s="216">
        <v>233.558200982323</v>
      </c>
      <c r="AF106" s="216">
        <v>234.34990711176843</v>
      </c>
      <c r="AG106" s="216">
        <v>235.14429693458354</v>
      </c>
      <c r="AH106" s="216">
        <v>235.94137954784335</v>
      </c>
      <c r="AI106" s="216">
        <v>236.74116407945988</v>
      </c>
      <c r="AJ106" s="216">
        <v>237.54365968828648</v>
      </c>
      <c r="AK106" s="216">
        <v>238.34887556422294</v>
      </c>
      <c r="AL106" s="216">
        <v>239.15682092832046</v>
      </c>
      <c r="AM106" s="216">
        <v>239.96750503288752</v>
      </c>
      <c r="AN106" s="216">
        <v>240.78093716159552</v>
      </c>
      <c r="AO106" s="216">
        <v>241.59712662958549</v>
      </c>
      <c r="AP106" s="216">
        <v>242.41608278357438</v>
      </c>
      <c r="AQ106" s="216">
        <v>243.23781500196236</v>
      </c>
      <c r="AR106" s="216">
        <v>244.06233269494012</v>
      </c>
      <c r="AS106" s="216">
        <v>244.88964530459651</v>
      </c>
      <c r="AT106" s="216">
        <v>245.71976230502693</v>
      </c>
      <c r="AU106" s="216">
        <v>246.55269320244162</v>
      </c>
      <c r="AV106" s="216">
        <v>247.38844753527462</v>
      </c>
      <c r="AW106" s="216">
        <v>248.22703487429297</v>
      </c>
      <c r="AX106" s="216">
        <v>249.0684648227062</v>
      </c>
      <c r="AY106" s="216">
        <v>249.91274701627657</v>
      </c>
      <c r="AZ106" s="216">
        <v>250.75989112342916</v>
      </c>
      <c r="BA106" s="216">
        <v>251.60990684536273</v>
      </c>
      <c r="BB106" s="216">
        <v>252.46280391616074</v>
      </c>
      <c r="BC106" s="216">
        <v>253.31859210290281</v>
      </c>
      <c r="BD106" s="216">
        <v>254.17728120577675</v>
      </c>
      <c r="BE106" s="216">
        <v>255.03888105819053</v>
      </c>
      <c r="BF106" s="216">
        <v>255.90340152688498</v>
      </c>
      <c r="BG106" s="216">
        <v>256.77085251204699</v>
      </c>
      <c r="BH106" s="216">
        <v>257.64124394742248</v>
      </c>
      <c r="BI106" s="216">
        <v>258.5145858004305</v>
      </c>
      <c r="BJ106" s="216">
        <v>259.39088807227728</v>
      </c>
      <c r="BK106" s="216">
        <v>260.27016079807061</v>
      </c>
      <c r="BL106" s="216">
        <v>261.15241404693506</v>
      </c>
    </row>
    <row r="107" spans="1:64">
      <c r="A107" t="s">
        <v>82</v>
      </c>
      <c r="B107">
        <v>238</v>
      </c>
      <c r="C107">
        <v>258</v>
      </c>
      <c r="D107">
        <v>244</v>
      </c>
      <c r="E107">
        <v>243</v>
      </c>
      <c r="F107">
        <v>232</v>
      </c>
      <c r="G107">
        <v>232</v>
      </c>
      <c r="H107">
        <v>248</v>
      </c>
      <c r="I107">
        <v>246</v>
      </c>
      <c r="J107">
        <v>254</v>
      </c>
      <c r="K107">
        <v>230</v>
      </c>
      <c r="L107">
        <v>228</v>
      </c>
      <c r="M107">
        <v>223</v>
      </c>
      <c r="N107">
        <v>231</v>
      </c>
      <c r="O107">
        <v>220</v>
      </c>
      <c r="P107">
        <v>239</v>
      </c>
      <c r="Q107">
        <v>211</v>
      </c>
      <c r="R107">
        <v>196</v>
      </c>
      <c r="S107">
        <v>202</v>
      </c>
      <c r="T107">
        <v>187</v>
      </c>
      <c r="U107">
        <v>190</v>
      </c>
      <c r="V107">
        <v>205</v>
      </c>
      <c r="W107">
        <v>186</v>
      </c>
      <c r="X107">
        <v>183</v>
      </c>
      <c r="Y107" s="216">
        <v>182</v>
      </c>
      <c r="Z107" s="216">
        <v>184.04448455373731</v>
      </c>
      <c r="AA107" s="216">
        <v>181.44559081091296</v>
      </c>
      <c r="AB107" s="216">
        <v>178.88339606889198</v>
      </c>
      <c r="AC107" s="216">
        <v>176.35738210076966</v>
      </c>
      <c r="AD107" s="216">
        <v>173.86703799752786</v>
      </c>
      <c r="AE107" s="216">
        <v>171.41186006469911</v>
      </c>
      <c r="AF107" s="216">
        <v>168.99135172048977</v>
      </c>
      <c r="AG107" s="216">
        <v>166.60502339534199</v>
      </c>
      <c r="AH107" s="216">
        <v>164.25239243291381</v>
      </c>
      <c r="AI107" s="216">
        <v>161.93298299245762</v>
      </c>
      <c r="AJ107" s="216">
        <v>159.64632595257714</v>
      </c>
      <c r="AK107" s="216">
        <v>157.39195881634328</v>
      </c>
      <c r="AL107" s="216">
        <v>155.16942561775002</v>
      </c>
      <c r="AM107" s="216">
        <v>152.97827682949134</v>
      </c>
      <c r="AN107" s="216">
        <v>150.81806927204002</v>
      </c>
      <c r="AO107" s="216">
        <v>148.6883660240108</v>
      </c>
      <c r="AP107" s="216">
        <v>146.58873633378911</v>
      </c>
      <c r="AQ107" s="216">
        <v>144.51875553240748</v>
      </c>
      <c r="AR107" s="216">
        <v>142.47800494765269</v>
      </c>
      <c r="AS107" s="216">
        <v>140.46607181938535</v>
      </c>
      <c r="AT107" s="216">
        <v>138.48254921605556</v>
      </c>
      <c r="AU107" s="216">
        <v>136.52703595239737</v>
      </c>
      <c r="AV107" s="216">
        <v>134.59913650828531</v>
      </c>
      <c r="AW107" s="216">
        <v>132.69846094873705</v>
      </c>
      <c r="AX107" s="216">
        <v>130.82462484504552</v>
      </c>
      <c r="AY107" s="216">
        <v>128.97724919702463</v>
      </c>
      <c r="AZ107" s="216">
        <v>127.15596035635322</v>
      </c>
      <c r="BA107" s="216">
        <v>125.36038995100127</v>
      </c>
      <c r="BB107" s="216">
        <v>123.59017481072333</v>
      </c>
      <c r="BC107" s="216">
        <v>121.84495689360408</v>
      </c>
      <c r="BD107" s="216">
        <v>120.12438321364122</v>
      </c>
      <c r="BE107" s="216">
        <v>118.42810576935079</v>
      </c>
      <c r="BF107" s="216">
        <v>116.75578147338069</v>
      </c>
      <c r="BG107" s="216">
        <v>115.10707208311837</v>
      </c>
      <c r="BH107" s="216">
        <v>113.48164413227803</v>
      </c>
      <c r="BI107" s="216">
        <v>111.8791688634542</v>
      </c>
      <c r="BJ107" s="216">
        <v>110.29932216162747</v>
      </c>
      <c r="BK107" s="216">
        <v>108.74178448860951</v>
      </c>
      <c r="BL107" s="216">
        <v>107.20624081841338</v>
      </c>
    </row>
    <row r="108" spans="1:64">
      <c r="A108" t="s">
        <v>112</v>
      </c>
      <c r="B108">
        <v>72</v>
      </c>
      <c r="C108">
        <v>66</v>
      </c>
      <c r="D108">
        <v>64</v>
      </c>
      <c r="E108">
        <v>65</v>
      </c>
      <c r="F108">
        <v>56</v>
      </c>
      <c r="G108">
        <v>57</v>
      </c>
      <c r="H108">
        <v>49</v>
      </c>
      <c r="I108">
        <v>47</v>
      </c>
      <c r="J108">
        <v>41</v>
      </c>
      <c r="K108">
        <v>27</v>
      </c>
      <c r="L108">
        <v>29</v>
      </c>
      <c r="M108">
        <v>27</v>
      </c>
      <c r="N108">
        <v>28</v>
      </c>
      <c r="O108">
        <v>32</v>
      </c>
      <c r="P108">
        <v>35</v>
      </c>
      <c r="Q108">
        <v>34</v>
      </c>
      <c r="R108">
        <v>40</v>
      </c>
      <c r="S108">
        <v>38</v>
      </c>
      <c r="T108">
        <v>38</v>
      </c>
      <c r="U108">
        <v>37</v>
      </c>
      <c r="V108">
        <v>36</v>
      </c>
      <c r="W108">
        <v>42</v>
      </c>
      <c r="X108">
        <v>43</v>
      </c>
      <c r="Y108" s="216">
        <v>43</v>
      </c>
      <c r="Z108" s="216">
        <v>31.103609166284141</v>
      </c>
      <c r="AA108" s="216">
        <v>30.377657916524637</v>
      </c>
      <c r="AB108" s="216">
        <v>29.668650205831934</v>
      </c>
      <c r="AC108" s="216">
        <v>28.976190575810982</v>
      </c>
      <c r="AD108" s="216">
        <v>28.299892797976845</v>
      </c>
      <c r="AE108" s="216">
        <v>27.639379658330625</v>
      </c>
      <c r="AF108" s="216">
        <v>26.994282746963425</v>
      </c>
      <c r="AG108" s="216">
        <v>26.364242252570833</v>
      </c>
      <c r="AH108" s="216">
        <v>25.748906761763465</v>
      </c>
      <c r="AI108" s="216">
        <v>25.147933063061469</v>
      </c>
      <c r="AJ108" s="216">
        <v>24.560985955463831</v>
      </c>
      <c r="AK108" s="216">
        <v>23.987738061485594</v>
      </c>
      <c r="AL108" s="216">
        <v>23.42786964455874</v>
      </c>
      <c r="AM108" s="216">
        <v>22.881068430694917</v>
      </c>
      <c r="AN108" s="216">
        <v>22.347029434310492</v>
      </c>
      <c r="AO108" s="216">
        <v>21.825454788116847</v>
      </c>
      <c r="AP108" s="216">
        <v>21.316053576980941</v>
      </c>
      <c r="AQ108" s="216">
        <v>20.818541675663592</v>
      </c>
      <c r="AR108" s="216">
        <v>20.332641590344849</v>
      </c>
      <c r="AS108" s="216">
        <v>19.858082303848185</v>
      </c>
      <c r="AT108" s="216">
        <v>19.394599124477079</v>
      </c>
      <c r="AU108" s="216">
        <v>18.941933538379732</v>
      </c>
      <c r="AV108" s="216">
        <v>18.499833065359585</v>
      </c>
      <c r="AW108" s="216">
        <v>18.068051118051105</v>
      </c>
      <c r="AX108" s="216">
        <v>17.646346864382497</v>
      </c>
      <c r="AY108" s="216">
        <v>17.234485093248416</v>
      </c>
      <c r="AZ108" s="216">
        <v>16.832236083317841</v>
      </c>
      <c r="BA108" s="216">
        <v>16.43937547490404</v>
      </c>
      <c r="BB108" s="216">
        <v>16.05568414482493</v>
      </c>
      <c r="BC108" s="216">
        <v>15.680948084184287</v>
      </c>
      <c r="BD108" s="216">
        <v>15.314958279005435</v>
      </c>
      <c r="BE108" s="216">
        <v>14.957510593650953</v>
      </c>
      <c r="BF108" s="216">
        <v>14.60840565696334</v>
      </c>
      <c r="BG108" s="216">
        <v>14.267448751063107</v>
      </c>
      <c r="BH108" s="216">
        <v>13.934449702742334</v>
      </c>
      <c r="BI108" s="216">
        <v>13.60922277739304</v>
      </c>
      <c r="BJ108" s="216">
        <v>13.291586575411268</v>
      </c>
      <c r="BK108" s="216">
        <v>12.981363931019056</v>
      </c>
      <c r="BL108" s="216">
        <v>12.678381813447906</v>
      </c>
    </row>
    <row r="109" spans="1:64">
      <c r="A109" t="s">
        <v>1028</v>
      </c>
      <c r="B109">
        <v>52</v>
      </c>
      <c r="C109">
        <v>64</v>
      </c>
      <c r="D109">
        <v>43</v>
      </c>
      <c r="E109">
        <v>41</v>
      </c>
      <c r="F109">
        <v>41</v>
      </c>
      <c r="G109">
        <v>41</v>
      </c>
      <c r="H109">
        <v>42</v>
      </c>
      <c r="I109">
        <v>41</v>
      </c>
      <c r="J109">
        <v>48</v>
      </c>
      <c r="K109">
        <v>39</v>
      </c>
      <c r="L109">
        <v>48</v>
      </c>
      <c r="M109">
        <v>62</v>
      </c>
      <c r="N109">
        <v>64</v>
      </c>
      <c r="O109">
        <v>72</v>
      </c>
      <c r="P109">
        <v>75</v>
      </c>
      <c r="Q109">
        <v>75</v>
      </c>
      <c r="R109">
        <v>83</v>
      </c>
      <c r="S109">
        <v>75</v>
      </c>
      <c r="T109">
        <v>82</v>
      </c>
      <c r="U109">
        <v>49</v>
      </c>
      <c r="V109">
        <v>80</v>
      </c>
      <c r="W109">
        <v>80</v>
      </c>
      <c r="X109">
        <v>75</v>
      </c>
      <c r="Y109" s="216">
        <v>75</v>
      </c>
      <c r="Z109" s="216">
        <v>83.636252753919948</v>
      </c>
      <c r="AA109" s="216">
        <v>86.107158559633021</v>
      </c>
      <c r="AB109" s="216">
        <v>88.651063517025818</v>
      </c>
      <c r="AC109" s="216">
        <v>91.270124274940898</v>
      </c>
      <c r="AD109" s="216">
        <v>93.966561197128726</v>
      </c>
      <c r="AE109" s="216">
        <v>96.742660244607848</v>
      </c>
      <c r="AF109" s="216">
        <v>99.600774913636045</v>
      </c>
      <c r="AG109" s="216">
        <v>102.54332823093648</v>
      </c>
      <c r="AH109" s="216">
        <v>105.57281480786931</v>
      </c>
      <c r="AI109" s="216">
        <v>108.69180295529095</v>
      </c>
      <c r="AJ109" s="216">
        <v>111.9029368608934</v>
      </c>
      <c r="AK109" s="216">
        <v>115.20893883087005</v>
      </c>
      <c r="AL109" s="216">
        <v>118.61261159780783</v>
      </c>
      <c r="AM109" s="216">
        <v>122.11684069676251</v>
      </c>
      <c r="AN109" s="216">
        <v>125.72459691153178</v>
      </c>
      <c r="AO109" s="216">
        <v>129.43893879319958</v>
      </c>
      <c r="AP109" s="216">
        <v>133.26301525308696</v>
      </c>
      <c r="AQ109" s="216">
        <v>137.20006823230776</v>
      </c>
      <c r="AR109" s="216">
        <v>141.2534354501922</v>
      </c>
      <c r="AS109" s="216">
        <v>145.42655323390881</v>
      </c>
      <c r="AT109" s="216">
        <v>149.72295943168248</v>
      </c>
      <c r="AU109" s="216">
        <v>154.14629641208001</v>
      </c>
      <c r="AV109" s="216">
        <v>158.70031415190425</v>
      </c>
      <c r="AW109" s="216">
        <v>163.38887341531589</v>
      </c>
      <c r="AX109" s="216">
        <v>168.21594902687718</v>
      </c>
      <c r="AY109" s="216">
        <v>173.18563324129298</v>
      </c>
      <c r="AZ109" s="216">
        <v>178.30213921270558</v>
      </c>
      <c r="BA109" s="216">
        <v>183.56980456648469</v>
      </c>
      <c r="BB109" s="216">
        <v>188.99309507654027</v>
      </c>
      <c r="BC109" s="216">
        <v>194.5766084512762</v>
      </c>
      <c r="BD109" s="216">
        <v>200.32507823139417</v>
      </c>
      <c r="BE109" s="216">
        <v>206.24337780285217</v>
      </c>
      <c r="BF109" s="216">
        <v>212.33652452837973</v>
      </c>
      <c r="BG109" s="216">
        <v>218.60968400105256</v>
      </c>
      <c r="BH109" s="216">
        <v>225.06817442353247</v>
      </c>
      <c r="BI109" s="216">
        <v>231.71747111668549</v>
      </c>
      <c r="BJ109" s="216">
        <v>238.56321116139998</v>
      </c>
      <c r="BK109" s="216">
        <v>245.61119817754027</v>
      </c>
      <c r="BL109" s="216">
        <v>252.8674072440875</v>
      </c>
    </row>
    <row r="110" spans="1:64">
      <c r="A110" t="s">
        <v>83</v>
      </c>
      <c r="B110">
        <v>457</v>
      </c>
      <c r="C110">
        <v>457</v>
      </c>
      <c r="D110">
        <v>479</v>
      </c>
      <c r="E110">
        <v>487</v>
      </c>
      <c r="F110">
        <v>505</v>
      </c>
      <c r="G110">
        <v>506</v>
      </c>
      <c r="H110">
        <v>513</v>
      </c>
      <c r="I110">
        <v>521</v>
      </c>
      <c r="J110">
        <v>528</v>
      </c>
      <c r="K110">
        <v>543</v>
      </c>
      <c r="L110">
        <v>539</v>
      </c>
      <c r="M110">
        <v>523</v>
      </c>
      <c r="N110">
        <v>521</v>
      </c>
      <c r="O110">
        <v>521</v>
      </c>
      <c r="P110">
        <v>524</v>
      </c>
      <c r="Q110">
        <v>527</v>
      </c>
      <c r="R110">
        <v>528</v>
      </c>
      <c r="S110">
        <v>558</v>
      </c>
      <c r="T110">
        <v>548</v>
      </c>
      <c r="U110">
        <v>569</v>
      </c>
      <c r="V110">
        <v>569</v>
      </c>
      <c r="W110">
        <v>593</v>
      </c>
      <c r="X110">
        <v>598</v>
      </c>
      <c r="Y110" s="216">
        <v>600</v>
      </c>
      <c r="Z110" s="216">
        <v>596.08114482392421</v>
      </c>
      <c r="AA110" s="216">
        <v>601.85854294708315</v>
      </c>
      <c r="AB110" s="216">
        <v>607.69193735424369</v>
      </c>
      <c r="AC110" s="216">
        <v>613.58187077826824</v>
      </c>
      <c r="AD110" s="216">
        <v>619.52889121235</v>
      </c>
      <c r="AE110" s="216">
        <v>625.53355196099733</v>
      </c>
      <c r="AF110" s="216">
        <v>631.59641169151257</v>
      </c>
      <c r="AG110" s="216">
        <v>637.71803448597018</v>
      </c>
      <c r="AH110" s="216">
        <v>643.89898989369783</v>
      </c>
      <c r="AI110" s="216">
        <v>650.13985298426689</v>
      </c>
      <c r="AJ110" s="216">
        <v>656.44120440099664</v>
      </c>
      <c r="AK110" s="216">
        <v>662.8036304149764</v>
      </c>
      <c r="AL110" s="216">
        <v>669.22772297961126</v>
      </c>
      <c r="AM110" s="216">
        <v>675.71407978569755</v>
      </c>
      <c r="AN110" s="216">
        <v>682.2633043170307</v>
      </c>
      <c r="AO110" s="216">
        <v>688.87600590655302</v>
      </c>
      <c r="AP110" s="216">
        <v>695.55279979304544</v>
      </c>
      <c r="AQ110" s="216">
        <v>702.29430717836851</v>
      </c>
      <c r="AR110" s="216">
        <v>709.10115528525853</v>
      </c>
      <c r="AS110" s="216">
        <v>715.97397741568341</v>
      </c>
      <c r="AT110" s="216">
        <v>722.91341300976501</v>
      </c>
      <c r="AU110" s="216">
        <v>729.92010770527133</v>
      </c>
      <c r="AV110" s="216">
        <v>736.99471339768604</v>
      </c>
      <c r="AW110" s="216">
        <v>744.13788830086071</v>
      </c>
      <c r="AX110" s="216">
        <v>751.35029700825373</v>
      </c>
      <c r="AY110" s="216">
        <v>758.63261055476369</v>
      </c>
      <c r="AZ110" s="216">
        <v>765.98550647916159</v>
      </c>
      <c r="BA110" s="216">
        <v>773.40966888712842</v>
      </c>
      <c r="BB110" s="216">
        <v>780.90578851490397</v>
      </c>
      <c r="BC110" s="216">
        <v>788.4745627935514</v>
      </c>
      <c r="BD110" s="216">
        <v>796.11669591384612</v>
      </c>
      <c r="BE110" s="216">
        <v>803.83289889179275</v>
      </c>
      <c r="BF110" s="216">
        <v>811.62388963477724</v>
      </c>
      <c r="BG110" s="216">
        <v>819.4903930083608</v>
      </c>
      <c r="BH110" s="216">
        <v>827.43314090371973</v>
      </c>
      <c r="BI110" s="216">
        <v>835.45287230574002</v>
      </c>
      <c r="BJ110" s="216">
        <v>843.55033336177257</v>
      </c>
      <c r="BK110" s="216">
        <v>851.72627745105251</v>
      </c>
      <c r="BL110" s="216">
        <v>859.98146525479422</v>
      </c>
    </row>
    <row r="111" spans="1:64">
      <c r="A111" t="s">
        <v>1030</v>
      </c>
      <c r="B111">
        <v>427</v>
      </c>
      <c r="C111">
        <v>441</v>
      </c>
      <c r="D111">
        <v>449</v>
      </c>
      <c r="E111">
        <v>473</v>
      </c>
      <c r="F111">
        <v>472</v>
      </c>
      <c r="G111">
        <v>491</v>
      </c>
      <c r="H111">
        <v>489</v>
      </c>
      <c r="I111">
        <v>487</v>
      </c>
      <c r="J111">
        <v>507</v>
      </c>
      <c r="K111">
        <v>410</v>
      </c>
      <c r="L111">
        <v>417</v>
      </c>
      <c r="M111">
        <v>360</v>
      </c>
      <c r="N111">
        <v>361</v>
      </c>
      <c r="O111">
        <v>376</v>
      </c>
      <c r="P111">
        <v>388</v>
      </c>
      <c r="Q111">
        <v>374</v>
      </c>
      <c r="R111">
        <v>392</v>
      </c>
      <c r="S111">
        <v>370</v>
      </c>
      <c r="T111">
        <v>352</v>
      </c>
      <c r="U111">
        <v>355</v>
      </c>
      <c r="V111">
        <v>350</v>
      </c>
      <c r="W111">
        <v>357</v>
      </c>
      <c r="X111">
        <v>340</v>
      </c>
      <c r="Y111" s="216">
        <v>307</v>
      </c>
      <c r="Z111" s="216">
        <v>325.61065733279463</v>
      </c>
      <c r="AA111" s="216">
        <v>320.15545945682163</v>
      </c>
      <c r="AB111" s="216">
        <v>314.79165657421203</v>
      </c>
      <c r="AC111" s="216">
        <v>309.51771747656591</v>
      </c>
      <c r="AD111" s="216">
        <v>304.33213660895797</v>
      </c>
      <c r="AE111" s="216">
        <v>299.23343364014602</v>
      </c>
      <c r="AF111" s="216">
        <v>294.22015303997983</v>
      </c>
      <c r="AG111" s="216">
        <v>289.29086366389004</v>
      </c>
      <c r="AH111" s="216">
        <v>284.44415834433801</v>
      </c>
      <c r="AI111" s="216">
        <v>279.67865348911135</v>
      </c>
      <c r="AJ111" s="216">
        <v>274.99298868634838</v>
      </c>
      <c r="AK111" s="216">
        <v>270.38582631618056</v>
      </c>
      <c r="AL111" s="216">
        <v>265.85585116888154</v>
      </c>
      <c r="AM111" s="216">
        <v>261.40177006941315</v>
      </c>
      <c r="AN111" s="216">
        <v>257.02231150826168</v>
      </c>
      <c r="AO111" s="216">
        <v>252.71622527845955</v>
      </c>
      <c r="AP111" s="216">
        <v>248.48228211868778</v>
      </c>
      <c r="AQ111" s="216">
        <v>244.31927336235773</v>
      </c>
      <c r="AR111" s="216">
        <v>240.22601059257252</v>
      </c>
      <c r="AS111" s="216">
        <v>236.20132530286872</v>
      </c>
      <c r="AT111" s="216">
        <v>232.24406856364203</v>
      </c>
      <c r="AU111" s="216">
        <v>228.35311069416164</v>
      </c>
      <c r="AV111" s="216">
        <v>224.52734094007943</v>
      </c>
      <c r="AW111" s="216">
        <v>220.76566715634223</v>
      </c>
      <c r="AX111" s="216">
        <v>217.06701549541654</v>
      </c>
      <c r="AY111" s="216">
        <v>213.43033010073626</v>
      </c>
      <c r="AZ111" s="216">
        <v>209.85457280528703</v>
      </c>
      <c r="BA111" s="216">
        <v>206.33872283523957</v>
      </c>
      <c r="BB111" s="216">
        <v>202.88177651854903</v>
      </c>
      <c r="BC111" s="216">
        <v>199.48274699843583</v>
      </c>
      <c r="BD111" s="216">
        <v>196.14066395166716</v>
      </c>
      <c r="BE111" s="216">
        <v>192.85457331155803</v>
      </c>
      <c r="BF111" s="216">
        <v>189.62353699561325</v>
      </c>
      <c r="BG111" s="216">
        <v>186.44663263773251</v>
      </c>
      <c r="BH111" s="216">
        <v>183.32295332490173</v>
      </c>
      <c r="BI111" s="216">
        <v>180.25160733829605</v>
      </c>
      <c r="BJ111" s="216">
        <v>177.23171789872035</v>
      </c>
      <c r="BK111" s="216">
        <v>174.26242291631445</v>
      </c>
      <c r="BL111" s="216">
        <v>171.34287474445168</v>
      </c>
    </row>
    <row r="112" spans="1:64">
      <c r="A112" t="s">
        <v>296</v>
      </c>
      <c r="B112">
        <v>8499</v>
      </c>
      <c r="C112">
        <v>8681</v>
      </c>
      <c r="D112">
        <v>8748</v>
      </c>
      <c r="E112">
        <v>8698</v>
      </c>
      <c r="F112">
        <v>8616</v>
      </c>
      <c r="G112">
        <v>8666</v>
      </c>
      <c r="H112">
        <v>8507</v>
      </c>
      <c r="I112">
        <v>8402</v>
      </c>
      <c r="J112">
        <v>8320</v>
      </c>
      <c r="K112">
        <v>8345</v>
      </c>
      <c r="L112">
        <v>8293</v>
      </c>
      <c r="M112">
        <v>8289</v>
      </c>
      <c r="N112">
        <v>8148</v>
      </c>
      <c r="O112">
        <v>7882</v>
      </c>
      <c r="P112">
        <v>7920</v>
      </c>
      <c r="Q112">
        <v>7947</v>
      </c>
      <c r="R112">
        <v>7935</v>
      </c>
      <c r="S112">
        <v>7865</v>
      </c>
      <c r="T112">
        <v>7944</v>
      </c>
      <c r="U112">
        <v>8050</v>
      </c>
      <c r="V112">
        <v>8194</v>
      </c>
      <c r="W112">
        <v>8265</v>
      </c>
      <c r="X112">
        <v>8291</v>
      </c>
      <c r="Y112" s="216">
        <v>8314</v>
      </c>
      <c r="Z112" s="216">
        <v>7933.9524927947623</v>
      </c>
      <c r="AA112" s="216">
        <v>7906.9358077925435</v>
      </c>
      <c r="AB112" s="216">
        <v>7880.0111199719549</v>
      </c>
      <c r="AC112" s="216">
        <v>7853.1781160643068</v>
      </c>
      <c r="AD112" s="216">
        <v>7826.4364838676547</v>
      </c>
      <c r="AE112" s="216">
        <v>7799.7859122431664</v>
      </c>
      <c r="AF112" s="216">
        <v>7773.2260911114945</v>
      </c>
      <c r="AG112" s="216">
        <v>7746.7567114491767</v>
      </c>
      <c r="AH112" s="216">
        <v>7720.3774652850352</v>
      </c>
      <c r="AI112" s="216">
        <v>7694.0880456965951</v>
      </c>
      <c r="AJ112" s="216">
        <v>7667.8881468065165</v>
      </c>
      <c r="AK112" s="216">
        <v>7641.777463779028</v>
      </c>
      <c r="AL112" s="216">
        <v>7615.7556928163885</v>
      </c>
      <c r="AM112" s="216">
        <v>7589.8225311553479</v>
      </c>
      <c r="AN112" s="216">
        <v>7563.9776770636227</v>
      </c>
      <c r="AO112" s="216">
        <v>7538.2208298363903</v>
      </c>
      <c r="AP112" s="216">
        <v>7512.5516897927864</v>
      </c>
      <c r="AQ112" s="216">
        <v>7486.9699582724206</v>
      </c>
      <c r="AR112" s="216">
        <v>7461.4753376318995</v>
      </c>
      <c r="AS112" s="216">
        <v>7436.0675312413669</v>
      </c>
      <c r="AT112" s="216">
        <v>7410.7462434810459</v>
      </c>
      <c r="AU112" s="216">
        <v>7385.5111797378086</v>
      </c>
      <c r="AV112" s="216">
        <v>7360.3620464017395</v>
      </c>
      <c r="AW112" s="216">
        <v>7335.2985508627253</v>
      </c>
      <c r="AX112" s="216">
        <v>7310.320401507046</v>
      </c>
      <c r="AY112" s="216">
        <v>7285.4273077139887</v>
      </c>
      <c r="AZ112" s="216">
        <v>7260.6189798524574</v>
      </c>
      <c r="BA112" s="216">
        <v>7235.8951292776101</v>
      </c>
      <c r="BB112" s="216">
        <v>7211.2554683274957</v>
      </c>
      <c r="BC112" s="216">
        <v>7186.6997103197118</v>
      </c>
      <c r="BD112" s="216">
        <v>7162.227569548063</v>
      </c>
      <c r="BE112" s="216">
        <v>7137.8387612792458</v>
      </c>
      <c r="BF112" s="216">
        <v>7113.5330017495244</v>
      </c>
      <c r="BG112" s="216">
        <v>7089.3100081614384</v>
      </c>
      <c r="BH112" s="216">
        <v>7065.1694986805078</v>
      </c>
      <c r="BI112" s="216">
        <v>7041.1111924319539</v>
      </c>
      <c r="BJ112" s="216">
        <v>7017.1348094974364</v>
      </c>
      <c r="BK112" s="216">
        <v>6993.2400709117865</v>
      </c>
      <c r="BL112" s="216">
        <v>6969.4266986597731</v>
      </c>
    </row>
    <row r="113" spans="1:64">
      <c r="A113" t="s">
        <v>46</v>
      </c>
      <c r="B113">
        <v>401</v>
      </c>
      <c r="C113">
        <v>402</v>
      </c>
      <c r="D113">
        <v>395</v>
      </c>
      <c r="E113">
        <v>413</v>
      </c>
      <c r="F113">
        <v>415</v>
      </c>
      <c r="G113">
        <v>397</v>
      </c>
      <c r="H113">
        <v>413</v>
      </c>
      <c r="I113">
        <v>403</v>
      </c>
      <c r="J113">
        <v>398</v>
      </c>
      <c r="K113">
        <v>388</v>
      </c>
      <c r="L113">
        <v>401</v>
      </c>
      <c r="M113">
        <v>395</v>
      </c>
      <c r="N113">
        <v>401</v>
      </c>
      <c r="O113">
        <v>387</v>
      </c>
      <c r="P113">
        <v>370</v>
      </c>
      <c r="Q113">
        <v>385</v>
      </c>
      <c r="R113">
        <v>374</v>
      </c>
      <c r="S113">
        <v>366</v>
      </c>
      <c r="T113">
        <v>356</v>
      </c>
      <c r="U113">
        <v>361</v>
      </c>
      <c r="V113">
        <v>368</v>
      </c>
      <c r="W113">
        <v>383</v>
      </c>
      <c r="X113">
        <v>406</v>
      </c>
      <c r="Y113" s="216">
        <v>403</v>
      </c>
      <c r="Z113" s="216">
        <v>373.29479295452211</v>
      </c>
      <c r="AA113" s="216">
        <v>371.95081127902284</v>
      </c>
      <c r="AB113" s="216">
        <v>370.61166837110932</v>
      </c>
      <c r="AC113" s="216">
        <v>369.27734680965727</v>
      </c>
      <c r="AD113" s="216">
        <v>367.94782923626417</v>
      </c>
      <c r="AE113" s="216">
        <v>366.62309835502327</v>
      </c>
      <c r="AF113" s="216">
        <v>365.30313693229874</v>
      </c>
      <c r="AG113" s="216">
        <v>363.98792779650125</v>
      </c>
      <c r="AH113" s="216">
        <v>362.6774538378649</v>
      </c>
      <c r="AI113" s="216">
        <v>361.37169800822431</v>
      </c>
      <c r="AJ113" s="216">
        <v>360.07064332079318</v>
      </c>
      <c r="AK113" s="216">
        <v>358.77427284994297</v>
      </c>
      <c r="AL113" s="216">
        <v>357.4825697309829</v>
      </c>
      <c r="AM113" s="216">
        <v>356.19551715994055</v>
      </c>
      <c r="AN113" s="216">
        <v>354.9130983933432</v>
      </c>
      <c r="AO113" s="216">
        <v>353.63529674800003</v>
      </c>
      <c r="AP113" s="216">
        <v>352.3620956007851</v>
      </c>
      <c r="AQ113" s="216">
        <v>351.09347838842103</v>
      </c>
      <c r="AR113" s="216">
        <v>349.82942860726371</v>
      </c>
      <c r="AS113" s="216">
        <v>348.5699298130873</v>
      </c>
      <c r="AT113" s="216">
        <v>347.31496562087062</v>
      </c>
      <c r="AU113" s="216">
        <v>346.0645197045838</v>
      </c>
      <c r="AV113" s="216">
        <v>344.81857579697595</v>
      </c>
      <c r="AW113" s="216">
        <v>343.57711768936349</v>
      </c>
      <c r="AX113" s="216">
        <v>342.34012923141938</v>
      </c>
      <c r="AY113" s="216">
        <v>341.10759433096302</v>
      </c>
      <c r="AZ113" s="216">
        <v>339.87949695375073</v>
      </c>
      <c r="BA113" s="216">
        <v>338.65582112326729</v>
      </c>
      <c r="BB113" s="216">
        <v>337.43655092051824</v>
      </c>
      <c r="BC113" s="216">
        <v>336.22167048382244</v>
      </c>
      <c r="BD113" s="216">
        <v>335.01116400860604</v>
      </c>
      <c r="BE113" s="216">
        <v>333.80501574719671</v>
      </c>
      <c r="BF113" s="216">
        <v>332.60321000861882</v>
      </c>
      <c r="BG113" s="216">
        <v>331.40573115838936</v>
      </c>
      <c r="BH113" s="216">
        <v>330.21256361831445</v>
      </c>
      <c r="BI113" s="216">
        <v>329.02369186628675</v>
      </c>
      <c r="BJ113" s="216">
        <v>327.83910043608353</v>
      </c>
      <c r="BK113" s="216">
        <v>326.65877391716543</v>
      </c>
      <c r="BL113" s="216">
        <v>325.48269695447595</v>
      </c>
    </row>
    <row r="114" spans="1:64">
      <c r="A114" t="s">
        <v>162</v>
      </c>
      <c r="B114">
        <v>710</v>
      </c>
      <c r="C114">
        <v>723</v>
      </c>
      <c r="D114">
        <v>736</v>
      </c>
      <c r="E114">
        <v>743</v>
      </c>
      <c r="F114">
        <v>707</v>
      </c>
      <c r="G114">
        <v>706</v>
      </c>
      <c r="H114">
        <v>686</v>
      </c>
      <c r="I114">
        <v>692</v>
      </c>
      <c r="J114">
        <v>691</v>
      </c>
      <c r="K114">
        <v>792</v>
      </c>
      <c r="L114">
        <v>699</v>
      </c>
      <c r="M114">
        <v>798</v>
      </c>
      <c r="N114">
        <v>747</v>
      </c>
      <c r="O114">
        <v>748</v>
      </c>
      <c r="P114">
        <v>749</v>
      </c>
      <c r="Q114">
        <v>772</v>
      </c>
      <c r="R114">
        <v>801</v>
      </c>
      <c r="S114">
        <v>791</v>
      </c>
      <c r="T114">
        <v>824</v>
      </c>
      <c r="U114">
        <v>938</v>
      </c>
      <c r="V114">
        <v>938</v>
      </c>
      <c r="W114">
        <v>962</v>
      </c>
      <c r="X114">
        <v>934</v>
      </c>
      <c r="Y114" s="216">
        <v>905</v>
      </c>
      <c r="Z114" s="216">
        <v>915.16145729163156</v>
      </c>
      <c r="AA114" s="216">
        <v>927.08614371166641</v>
      </c>
      <c r="AB114" s="216">
        <v>939.16621052396249</v>
      </c>
      <c r="AC114" s="216">
        <v>951.40368235754943</v>
      </c>
      <c r="AD114" s="216">
        <v>963.80061022266705</v>
      </c>
      <c r="AE114" s="216">
        <v>976.35907185451583</v>
      </c>
      <c r="AF114" s="216">
        <v>989.08117206148654</v>
      </c>
      <c r="AG114" s="216">
        <v>1001.9690430779287</v>
      </c>
      <c r="AH114" s="216">
        <v>1015.0248449215145</v>
      </c>
      <c r="AI114" s="216">
        <v>1028.2507657552594</v>
      </c>
      <c r="AJ114" s="216">
        <v>1041.6490222542598</v>
      </c>
      <c r="AK114" s="216">
        <v>1055.22185997721</v>
      </c>
      <c r="AL114" s="216">
        <v>1068.9715537427599</v>
      </c>
      <c r="AM114" s="216">
        <v>1082.9004080107754</v>
      </c>
      <c r="AN114" s="216">
        <v>1097.0107572685693</v>
      </c>
      <c r="AO114" s="216">
        <v>1111.3049664221612</v>
      </c>
      <c r="AP114" s="216">
        <v>1125.7854311926403</v>
      </c>
      <c r="AQ114" s="216">
        <v>1140.4545785176879</v>
      </c>
      <c r="AR114" s="216">
        <v>1155.314866958335</v>
      </c>
      <c r="AS114" s="216">
        <v>1170.3687871110192</v>
      </c>
      <c r="AT114" s="216">
        <v>1185.6188620250114</v>
      </c>
      <c r="AU114" s="216">
        <v>1201.0676476252791</v>
      </c>
      <c r="AV114" s="216">
        <v>1216.7177331408632</v>
      </c>
      <c r="AW114" s="216">
        <v>1232.5717415388335</v>
      </c>
      <c r="AX114" s="216">
        <v>1248.6323299639023</v>
      </c>
      <c r="AY114" s="216">
        <v>1264.9021901837611</v>
      </c>
      <c r="AZ114" s="216">
        <v>1281.3840490402251</v>
      </c>
      <c r="BA114" s="216">
        <v>1298.080668906254</v>
      </c>
      <c r="BB114" s="216">
        <v>1314.9948481489268</v>
      </c>
      <c r="BC114" s="216">
        <v>1332.1294215984515</v>
      </c>
      <c r="BD114" s="216">
        <v>1349.487261023284</v>
      </c>
      <c r="BE114" s="216">
        <v>1367.0712756114406</v>
      </c>
      <c r="BF114" s="216">
        <v>1384.8844124580778</v>
      </c>
      <c r="BG114" s="216">
        <v>1402.9296570594292</v>
      </c>
      <c r="BH114" s="216">
        <v>1421.2100338131781</v>
      </c>
      <c r="BI114" s="216">
        <v>1439.728606525347</v>
      </c>
      <c r="BJ114" s="216">
        <v>1458.4884789237949</v>
      </c>
      <c r="BK114" s="216">
        <v>1477.492795178405</v>
      </c>
      <c r="BL114" s="216">
        <v>1496.7447404280492</v>
      </c>
    </row>
    <row r="115" spans="1:64">
      <c r="A115" t="s">
        <v>1031</v>
      </c>
      <c r="B115">
        <v>739</v>
      </c>
      <c r="C115">
        <v>808</v>
      </c>
      <c r="D115">
        <v>820</v>
      </c>
      <c r="E115">
        <v>512</v>
      </c>
      <c r="F115">
        <v>426</v>
      </c>
      <c r="G115">
        <v>451</v>
      </c>
      <c r="H115">
        <v>470</v>
      </c>
      <c r="I115">
        <v>479</v>
      </c>
      <c r="J115">
        <v>499</v>
      </c>
      <c r="K115">
        <v>442</v>
      </c>
      <c r="L115">
        <v>383</v>
      </c>
      <c r="M115">
        <v>388</v>
      </c>
      <c r="N115">
        <v>373</v>
      </c>
      <c r="O115">
        <v>380</v>
      </c>
      <c r="P115">
        <v>497</v>
      </c>
      <c r="Q115">
        <v>378</v>
      </c>
      <c r="R115">
        <v>399</v>
      </c>
      <c r="S115">
        <v>381</v>
      </c>
      <c r="T115">
        <v>354</v>
      </c>
      <c r="U115">
        <v>374</v>
      </c>
      <c r="V115">
        <v>377</v>
      </c>
      <c r="W115">
        <v>356</v>
      </c>
      <c r="X115">
        <v>337</v>
      </c>
      <c r="Y115" s="216">
        <v>335</v>
      </c>
      <c r="Z115" s="216">
        <v>342.35383682711364</v>
      </c>
      <c r="AA115" s="216">
        <v>337.72198345664543</v>
      </c>
      <c r="AB115" s="216">
        <v>333.1527964370041</v>
      </c>
      <c r="AC115" s="216">
        <v>328.64542792798136</v>
      </c>
      <c r="AD115" s="216">
        <v>324.19904156016651</v>
      </c>
      <c r="AE115" s="216">
        <v>319.81281227975302</v>
      </c>
      <c r="AF115" s="216">
        <v>315.48592619544445</v>
      </c>
      <c r="AG115" s="216">
        <v>311.21758042743255</v>
      </c>
      <c r="AH115" s="216">
        <v>307.00698295841772</v>
      </c>
      <c r="AI115" s="216">
        <v>302.85335248664558</v>
      </c>
      <c r="AJ115" s="216">
        <v>298.75591828093155</v>
      </c>
      <c r="AK115" s="216">
        <v>294.7139200376472</v>
      </c>
      <c r="AL115" s="216">
        <v>290.72660773964128</v>
      </c>
      <c r="AM115" s="216">
        <v>286.79324151706948</v>
      </c>
      <c r="AN115" s="216">
        <v>282.91309151010705</v>
      </c>
      <c r="AO115" s="216">
        <v>279.0854377335192</v>
      </c>
      <c r="AP115" s="216">
        <v>275.30956994306297</v>
      </c>
      <c r="AQ115" s="216">
        <v>271.58478750369778</v>
      </c>
      <c r="AR115" s="216">
        <v>267.91039925957796</v>
      </c>
      <c r="AS115" s="216">
        <v>264.28572340580445</v>
      </c>
      <c r="AT115" s="216">
        <v>260.71008736191231</v>
      </c>
      <c r="AU115" s="216">
        <v>257.18282764706896</v>
      </c>
      <c r="AV115" s="216">
        <v>253.70328975696148</v>
      </c>
      <c r="AW115" s="216">
        <v>250.27082804234934</v>
      </c>
      <c r="AX115" s="216">
        <v>246.8848055892602</v>
      </c>
      <c r="AY115" s="216">
        <v>243.54459410080688</v>
      </c>
      <c r="AZ115" s="216">
        <v>240.24957378060296</v>
      </c>
      <c r="BA115" s="216">
        <v>236.99913321775571</v>
      </c>
      <c r="BB115" s="216">
        <v>233.79266927341544</v>
      </c>
      <c r="BC115" s="216">
        <v>230.62958696885906</v>
      </c>
      <c r="BD115" s="216">
        <v>227.50929937508855</v>
      </c>
      <c r="BE115" s="216">
        <v>224.43122750392232</v>
      </c>
      <c r="BF115" s="216">
        <v>221.39480020056101</v>
      </c>
      <c r="BG115" s="216">
        <v>218.39945403760578</v>
      </c>
      <c r="BH115" s="216">
        <v>215.44463321051123</v>
      </c>
      <c r="BI115" s="216">
        <v>212.52978943445234</v>
      </c>
      <c r="BJ115" s="216">
        <v>209.65438184258716</v>
      </c>
      <c r="BK115" s="216">
        <v>206.81787688569543</v>
      </c>
      <c r="BL115" s="216">
        <v>204.01974823317551</v>
      </c>
    </row>
    <row r="116" spans="1:64">
      <c r="A116" t="s">
        <v>257</v>
      </c>
      <c r="B116">
        <v>469</v>
      </c>
      <c r="C116">
        <v>509</v>
      </c>
      <c r="D116">
        <v>498</v>
      </c>
      <c r="E116">
        <v>522</v>
      </c>
      <c r="F116">
        <v>543</v>
      </c>
      <c r="G116">
        <v>550</v>
      </c>
      <c r="H116">
        <v>557</v>
      </c>
      <c r="I116">
        <v>555</v>
      </c>
      <c r="J116">
        <v>573</v>
      </c>
      <c r="K116">
        <v>644</v>
      </c>
      <c r="L116">
        <v>617</v>
      </c>
      <c r="M116">
        <v>638</v>
      </c>
      <c r="N116">
        <v>637</v>
      </c>
      <c r="O116">
        <v>647</v>
      </c>
      <c r="P116">
        <v>669</v>
      </c>
      <c r="Q116">
        <v>645</v>
      </c>
      <c r="R116">
        <v>637</v>
      </c>
      <c r="S116">
        <v>664</v>
      </c>
      <c r="T116">
        <v>640</v>
      </c>
      <c r="U116">
        <v>639</v>
      </c>
      <c r="V116">
        <v>644</v>
      </c>
      <c r="W116">
        <v>639</v>
      </c>
      <c r="X116">
        <v>655</v>
      </c>
      <c r="Y116" s="216">
        <v>643</v>
      </c>
      <c r="Z116" s="216">
        <v>702.81490636103445</v>
      </c>
      <c r="AA116" s="216">
        <v>711.92005382249215</v>
      </c>
      <c r="AB116" s="216">
        <v>721.14316080578783</v>
      </c>
      <c r="AC116" s="216">
        <v>730.48575550679629</v>
      </c>
      <c r="AD116" s="216">
        <v>739.94938591956247</v>
      </c>
      <c r="AE116" s="216">
        <v>749.53562009279108</v>
      </c>
      <c r="AF116" s="216">
        <v>759.24604638966059</v>
      </c>
      <c r="AG116" s="216">
        <v>769.08227375100125</v>
      </c>
      <c r="AH116" s="216">
        <v>779.04593196188557</v>
      </c>
      <c r="AI116" s="216">
        <v>789.13867192166947</v>
      </c>
      <c r="AJ116" s="216">
        <v>799.36216591753339</v>
      </c>
      <c r="AK116" s="216">
        <v>809.71810790156758</v>
      </c>
      <c r="AL116" s="216">
        <v>820.20821377144648</v>
      </c>
      <c r="AM116" s="216">
        <v>830.83422165473894</v>
      </c>
      <c r="AN116" s="216">
        <v>841.59789219690265</v>
      </c>
      <c r="AO116" s="216">
        <v>852.5010088530089</v>
      </c>
      <c r="AP116" s="216">
        <v>863.54537818324718</v>
      </c>
      <c r="AQ116" s="216">
        <v>874.73283015225775</v>
      </c>
      <c r="AR116" s="216">
        <v>886.06521843234225</v>
      </c>
      <c r="AS116" s="216">
        <v>897.54442071060294</v>
      </c>
      <c r="AT116" s="216">
        <v>909.17233900006033</v>
      </c>
      <c r="AU116" s="216">
        <v>920.95089995480123</v>
      </c>
      <c r="AV116" s="216">
        <v>932.88205518921075</v>
      </c>
      <c r="AW116" s="216">
        <v>944.96778160133977</v>
      </c>
      <c r="AX116" s="216">
        <v>957.2100817004598</v>
      </c>
      <c r="AY116" s="216">
        <v>969.61098393886436</v>
      </c>
      <c r="AZ116" s="216">
        <v>982.17254304796688</v>
      </c>
      <c r="BA116" s="216">
        <v>994.89684037875315</v>
      </c>
      <c r="BB116" s="216">
        <v>1007.7859842466459</v>
      </c>
      <c r="BC116" s="216">
        <v>1020.8421102808342</v>
      </c>
      <c r="BD116" s="216">
        <v>1034.0673817781321</v>
      </c>
      <c r="BE116" s="216">
        <v>1047.4639900614186</v>
      </c>
      <c r="BF116" s="216">
        <v>1061.0341548427225</v>
      </c>
      <c r="BG116" s="216">
        <v>1074.7801245910127</v>
      </c>
      <c r="BH116" s="216">
        <v>1088.7041769047494</v>
      </c>
      <c r="BI116" s="216">
        <v>1102.808618889266</v>
      </c>
      <c r="BJ116" s="216">
        <v>1117.095787539037</v>
      </c>
      <c r="BK116" s="216">
        <v>1131.568050124901</v>
      </c>
      <c r="BL116" s="216">
        <v>1146.2278045862965</v>
      </c>
    </row>
    <row r="117" spans="1:64">
      <c r="A117" t="s">
        <v>84</v>
      </c>
      <c r="B117">
        <v>330</v>
      </c>
      <c r="C117">
        <v>371</v>
      </c>
      <c r="D117">
        <v>367</v>
      </c>
      <c r="E117">
        <v>377</v>
      </c>
      <c r="F117">
        <v>347</v>
      </c>
      <c r="G117">
        <v>355</v>
      </c>
      <c r="H117">
        <v>351</v>
      </c>
      <c r="I117">
        <v>350</v>
      </c>
      <c r="J117">
        <v>366</v>
      </c>
      <c r="K117">
        <v>377</v>
      </c>
      <c r="L117">
        <v>380</v>
      </c>
      <c r="M117">
        <v>374</v>
      </c>
      <c r="N117">
        <v>374</v>
      </c>
      <c r="O117">
        <v>372</v>
      </c>
      <c r="P117">
        <v>363</v>
      </c>
      <c r="Q117">
        <v>365</v>
      </c>
      <c r="R117">
        <v>366</v>
      </c>
      <c r="S117">
        <v>370</v>
      </c>
      <c r="T117">
        <v>370</v>
      </c>
      <c r="U117">
        <v>374</v>
      </c>
      <c r="V117">
        <v>384</v>
      </c>
      <c r="W117">
        <v>401</v>
      </c>
      <c r="X117">
        <v>402</v>
      </c>
      <c r="Y117" s="216">
        <v>411</v>
      </c>
      <c r="Z117" s="216">
        <v>393.32769199371916</v>
      </c>
      <c r="AA117" s="216">
        <v>395.23083558095152</v>
      </c>
      <c r="AB117" s="216">
        <v>397.14318766173108</v>
      </c>
      <c r="AC117" s="216">
        <v>399.06479279199863</v>
      </c>
      <c r="AD117" s="216">
        <v>400.9956957432824</v>
      </c>
      <c r="AE117" s="216">
        <v>402.93594150374054</v>
      </c>
      <c r="AF117" s="216">
        <v>404.88557527920966</v>
      </c>
      <c r="AG117" s="216">
        <v>406.84464249425798</v>
      </c>
      <c r="AH117" s="216">
        <v>408.81318879324363</v>
      </c>
      <c r="AI117" s="216">
        <v>410.79126004137811</v>
      </c>
      <c r="AJ117" s="216">
        <v>412.77890232579506</v>
      </c>
      <c r="AK117" s="216">
        <v>414.77616195662398</v>
      </c>
      <c r="AL117" s="216">
        <v>416.78308546806898</v>
      </c>
      <c r="AM117" s="216">
        <v>418.79971961949337</v>
      </c>
      <c r="AN117" s="216">
        <v>420.82611139650885</v>
      </c>
      <c r="AO117" s="216">
        <v>422.86230801207029</v>
      </c>
      <c r="AP117" s="216">
        <v>424.90835690757575</v>
      </c>
      <c r="AQ117" s="216">
        <v>426.96430575397176</v>
      </c>
      <c r="AR117" s="216">
        <v>429.03020245286416</v>
      </c>
      <c r="AS117" s="216">
        <v>431.10609513763399</v>
      </c>
      <c r="AT117" s="216">
        <v>433.19203217455913</v>
      </c>
      <c r="AU117" s="216">
        <v>435.28806216394094</v>
      </c>
      <c r="AV117" s="216">
        <v>437.39423394123685</v>
      </c>
      <c r="AW117" s="216">
        <v>439.51059657819803</v>
      </c>
      <c r="AX117" s="216">
        <v>441.63719938401272</v>
      </c>
      <c r="AY117" s="216">
        <v>443.77409190645517</v>
      </c>
      <c r="AZ117" s="216">
        <v>445.92132393304013</v>
      </c>
      <c r="BA117" s="216">
        <v>448.07894549218241</v>
      </c>
      <c r="BB117" s="216">
        <v>450.24700685436306</v>
      </c>
      <c r="BC117" s="216">
        <v>452.42555853330038</v>
      </c>
      <c r="BD117" s="216">
        <v>454.61465128712666</v>
      </c>
      <c r="BE117" s="216">
        <v>456.81433611957118</v>
      </c>
      <c r="BF117" s="216">
        <v>459.02466428114803</v>
      </c>
      <c r="BG117" s="216">
        <v>461.24568727035097</v>
      </c>
      <c r="BH117" s="216">
        <v>463.47745683485232</v>
      </c>
      <c r="BI117" s="216">
        <v>465.7200249727095</v>
      </c>
      <c r="BJ117" s="216">
        <v>467.97344393357599</v>
      </c>
      <c r="BK117" s="216">
        <v>470.23776621991902</v>
      </c>
      <c r="BL117" s="216">
        <v>472.51304458824245</v>
      </c>
    </row>
    <row r="118" spans="1:64">
      <c r="A118" t="s">
        <v>62</v>
      </c>
      <c r="B118">
        <v>775</v>
      </c>
      <c r="C118">
        <v>779</v>
      </c>
      <c r="D118">
        <v>726</v>
      </c>
      <c r="E118">
        <v>739</v>
      </c>
      <c r="F118">
        <v>739</v>
      </c>
      <c r="G118">
        <v>720</v>
      </c>
      <c r="H118">
        <v>699</v>
      </c>
      <c r="I118">
        <v>656</v>
      </c>
      <c r="J118">
        <v>673</v>
      </c>
      <c r="K118">
        <v>854</v>
      </c>
      <c r="L118">
        <v>851</v>
      </c>
      <c r="M118">
        <v>835</v>
      </c>
      <c r="N118">
        <v>810</v>
      </c>
      <c r="O118">
        <v>801</v>
      </c>
      <c r="P118">
        <v>742</v>
      </c>
      <c r="Q118">
        <v>741</v>
      </c>
      <c r="R118">
        <v>697</v>
      </c>
      <c r="S118">
        <v>723</v>
      </c>
      <c r="T118">
        <v>723</v>
      </c>
      <c r="U118">
        <v>755</v>
      </c>
      <c r="V118">
        <v>808</v>
      </c>
      <c r="W118">
        <v>798</v>
      </c>
      <c r="X118">
        <v>785</v>
      </c>
      <c r="Y118" s="216">
        <v>802</v>
      </c>
      <c r="Z118" s="216">
        <v>749.32419175816983</v>
      </c>
      <c r="AA118" s="216">
        <v>745.54822148216988</v>
      </c>
      <c r="AB118" s="216">
        <v>741.79127895368185</v>
      </c>
      <c r="AC118" s="216">
        <v>738.05326828869454</v>
      </c>
      <c r="AD118" s="216">
        <v>734.33409408637283</v>
      </c>
      <c r="AE118" s="216">
        <v>730.63366142662187</v>
      </c>
      <c r="AF118" s="216">
        <v>726.95187586766542</v>
      </c>
      <c r="AG118" s="216">
        <v>723.28864344363546</v>
      </c>
      <c r="AH118" s="216">
        <v>719.64387066217307</v>
      </c>
      <c r="AI118" s="216">
        <v>716.01746450204371</v>
      </c>
      <c r="AJ118" s="216">
        <v>712.40933241076175</v>
      </c>
      <c r="AK118" s="216">
        <v>708.81938230222977</v>
      </c>
      <c r="AL118" s="216">
        <v>705.24752255438705</v>
      </c>
      <c r="AM118" s="216">
        <v>701.69366200687205</v>
      </c>
      <c r="AN118" s="216">
        <v>698.15770995869559</v>
      </c>
      <c r="AO118" s="216">
        <v>694.63957616592609</v>
      </c>
      <c r="AP118" s="216">
        <v>691.139170839386</v>
      </c>
      <c r="AQ118" s="216">
        <v>687.6564046423606</v>
      </c>
      <c r="AR118" s="216">
        <v>684.19118868831799</v>
      </c>
      <c r="AS118" s="216">
        <v>680.74343453864037</v>
      </c>
      <c r="AT118" s="216">
        <v>677.31305420036676</v>
      </c>
      <c r="AU118" s="216">
        <v>673.89996012394784</v>
      </c>
      <c r="AV118" s="216">
        <v>670.50406520101069</v>
      </c>
      <c r="AW118" s="216">
        <v>667.12528276213652</v>
      </c>
      <c r="AX118" s="216">
        <v>663.76352657464804</v>
      </c>
      <c r="AY118" s="216">
        <v>660.41871084040895</v>
      </c>
      <c r="AZ118" s="216">
        <v>657.09075019363411</v>
      </c>
      <c r="BA118" s="216">
        <v>653.77955969871107</v>
      </c>
      <c r="BB118" s="216">
        <v>650.48505484803172</v>
      </c>
      <c r="BC118" s="216">
        <v>647.20715155983657</v>
      </c>
      <c r="BD118" s="216">
        <v>643.94576617606776</v>
      </c>
      <c r="BE118" s="216">
        <v>640.70081546023459</v>
      </c>
      <c r="BF118" s="216">
        <v>637.47221659528907</v>
      </c>
      <c r="BG118" s="216">
        <v>634.25988718151189</v>
      </c>
      <c r="BH118" s="216">
        <v>631.06374523441013</v>
      </c>
      <c r="BI118" s="216">
        <v>627.88370918262433</v>
      </c>
      <c r="BJ118" s="216">
        <v>624.71969786584657</v>
      </c>
      <c r="BK118" s="216">
        <v>621.57163053274985</v>
      </c>
      <c r="BL118" s="216">
        <v>618.43942683892601</v>
      </c>
    </row>
    <row r="119" spans="1:64">
      <c r="A119" t="s">
        <v>159</v>
      </c>
      <c r="B119">
        <v>129</v>
      </c>
      <c r="C119">
        <v>130</v>
      </c>
      <c r="D119">
        <v>135</v>
      </c>
      <c r="E119">
        <v>140</v>
      </c>
      <c r="F119">
        <v>165</v>
      </c>
      <c r="G119">
        <v>140</v>
      </c>
      <c r="H119">
        <v>160</v>
      </c>
      <c r="I119">
        <v>141</v>
      </c>
      <c r="J119">
        <v>136</v>
      </c>
      <c r="K119">
        <v>139</v>
      </c>
      <c r="L119">
        <v>119</v>
      </c>
      <c r="M119">
        <v>105</v>
      </c>
      <c r="N119">
        <v>112</v>
      </c>
      <c r="O119">
        <v>118</v>
      </c>
      <c r="P119">
        <v>104</v>
      </c>
      <c r="Q119">
        <v>108</v>
      </c>
      <c r="R119">
        <v>94</v>
      </c>
      <c r="S119">
        <v>75</v>
      </c>
      <c r="T119">
        <v>76</v>
      </c>
      <c r="U119">
        <v>95</v>
      </c>
      <c r="V119">
        <v>96</v>
      </c>
      <c r="W119">
        <v>92</v>
      </c>
      <c r="X119">
        <v>93</v>
      </c>
      <c r="Y119" s="216">
        <v>84</v>
      </c>
      <c r="Z119" s="216">
        <v>81.016201352497006</v>
      </c>
      <c r="AA119" s="216">
        <v>78.867212439146314</v>
      </c>
      <c r="AB119" s="216">
        <v>76.775226363161593</v>
      </c>
      <c r="AC119" s="216">
        <v>74.738731100238013</v>
      </c>
      <c r="AD119" s="216">
        <v>72.756254733153213</v>
      </c>
      <c r="AE119" s="216">
        <v>70.82636438790999</v>
      </c>
      <c r="AF119" s="216">
        <v>68.947665198098335</v>
      </c>
      <c r="AG119" s="216">
        <v>67.118799296728085</v>
      </c>
      <c r="AH119" s="216">
        <v>65.338444834803738</v>
      </c>
      <c r="AI119" s="216">
        <v>63.605315025931993</v>
      </c>
      <c r="AJ119" s="216">
        <v>61.918157216271332</v>
      </c>
      <c r="AK119" s="216">
        <v>60.275751979151799</v>
      </c>
      <c r="AL119" s="216">
        <v>58.67691223371019</v>
      </c>
      <c r="AM119" s="216">
        <v>57.120482386903902</v>
      </c>
      <c r="AN119" s="216">
        <v>55.60533749828322</v>
      </c>
      <c r="AO119" s="216">
        <v>54.130382466918363</v>
      </c>
      <c r="AP119" s="216">
        <v>52.69455123989362</v>
      </c>
      <c r="AQ119" s="216">
        <v>51.296806041796522</v>
      </c>
      <c r="AR119" s="216">
        <v>49.936136624645137</v>
      </c>
      <c r="AS119" s="216">
        <v>48.6115595377114</v>
      </c>
      <c r="AT119" s="216">
        <v>47.322117416712615</v>
      </c>
      <c r="AU119" s="216">
        <v>46.066878291857492</v>
      </c>
      <c r="AV119" s="216">
        <v>44.844934914246558</v>
      </c>
      <c r="AW119" s="216">
        <v>43.655404100140096</v>
      </c>
      <c r="AX119" s="216">
        <v>42.497426092619584</v>
      </c>
      <c r="AY119" s="216">
        <v>41.370163940181421</v>
      </c>
      <c r="AZ119" s="216">
        <v>40.272802891813647</v>
      </c>
      <c r="BA119" s="216">
        <v>39.204549808118593</v>
      </c>
      <c r="BB119" s="216">
        <v>38.164632588055611</v>
      </c>
      <c r="BC119" s="216">
        <v>37.152299610889848</v>
      </c>
      <c r="BD119" s="216">
        <v>36.166819192943493</v>
      </c>
      <c r="BE119" s="216">
        <v>35.207479058756881</v>
      </c>
      <c r="BF119" s="216">
        <v>34.273585826277362</v>
      </c>
      <c r="BG119" s="216">
        <v>33.364464505703708</v>
      </c>
      <c r="BH119" s="216">
        <v>32.479458011623869</v>
      </c>
      <c r="BI119" s="216">
        <v>31.617926688093512</v>
      </c>
      <c r="BJ119" s="216">
        <v>30.779247846312025</v>
      </c>
      <c r="BK119" s="216">
        <v>29.962815314561894</v>
      </c>
      <c r="BL119" s="216">
        <v>29.168039000086086</v>
      </c>
    </row>
    <row r="120" spans="1:64">
      <c r="A120" t="s">
        <v>43</v>
      </c>
      <c r="B120">
        <v>77</v>
      </c>
      <c r="C120">
        <v>67</v>
      </c>
      <c r="D120">
        <v>69</v>
      </c>
      <c r="E120">
        <v>61</v>
      </c>
      <c r="F120">
        <v>81</v>
      </c>
      <c r="G120">
        <v>79</v>
      </c>
      <c r="H120">
        <v>88</v>
      </c>
      <c r="I120">
        <v>102</v>
      </c>
      <c r="J120">
        <v>94</v>
      </c>
      <c r="K120">
        <v>109</v>
      </c>
      <c r="L120">
        <v>96</v>
      </c>
      <c r="M120">
        <v>108</v>
      </c>
      <c r="N120">
        <v>129</v>
      </c>
      <c r="O120">
        <v>131</v>
      </c>
      <c r="P120">
        <v>138</v>
      </c>
      <c r="Q120">
        <v>143</v>
      </c>
      <c r="R120">
        <v>127</v>
      </c>
      <c r="S120">
        <v>118</v>
      </c>
      <c r="T120">
        <v>133</v>
      </c>
      <c r="U120">
        <v>151</v>
      </c>
      <c r="V120">
        <v>141</v>
      </c>
      <c r="W120">
        <v>141</v>
      </c>
      <c r="X120">
        <v>159</v>
      </c>
      <c r="Y120" s="216">
        <v>152</v>
      </c>
      <c r="Z120" s="216">
        <v>174.43288910644432</v>
      </c>
      <c r="AA120" s="216">
        <v>181.24823391320044</v>
      </c>
      <c r="AB120" s="216">
        <v>188.32986408089346</v>
      </c>
      <c r="AC120" s="216">
        <v>195.68818376301226</v>
      </c>
      <c r="AD120" s="216">
        <v>203.33400361834319</v>
      </c>
      <c r="AE120" s="216">
        <v>211.27855669371854</v>
      </c>
      <c r="AF120" s="216">
        <v>219.53351492732759</v>
      </c>
      <c r="AG120" s="216">
        <v>228.11100629683563</v>
      </c>
      <c r="AH120" s="216">
        <v>237.02363263750442</v>
      </c>
      <c r="AI120" s="216">
        <v>246.28448815649264</v>
      </c>
      <c r="AJ120" s="216">
        <v>255.90717867053706</v>
      </c>
      <c r="AK120" s="216">
        <v>265.90584159527691</v>
      </c>
      <c r="AL120" s="216">
        <v>276.2951667155906</v>
      </c>
      <c r="AM120" s="216">
        <v>287.09041776745977</v>
      </c>
      <c r="AN120" s="216">
        <v>298.30745486306688</v>
      </c>
      <c r="AO120" s="216">
        <v>309.96275779207468</v>
      </c>
      <c r="AP120" s="216">
        <v>322.0734502333201</v>
      </c>
      <c r="AQ120" s="216">
        <v>334.65732491249378</v>
      </c>
      <c r="AR120" s="216">
        <v>347.73286974276618</v>
      </c>
      <c r="AS120" s="216">
        <v>361.31929498676686</v>
      </c>
      <c r="AT120" s="216">
        <v>375.43656147981989</v>
      </c>
      <c r="AU120" s="216">
        <v>390.10540995590316</v>
      </c>
      <c r="AV120" s="216">
        <v>405.34739151941443</v>
      </c>
      <c r="AW120" s="216">
        <v>421.18489930751377</v>
      </c>
      <c r="AX120" s="216">
        <v>437.64120138955906</v>
      </c>
      <c r="AY120" s="216">
        <v>454.74047495197038</v>
      </c>
      <c r="AZ120" s="216">
        <v>472.50784181874553</v>
      </c>
      <c r="BA120" s="216">
        <v>490.96940535981497</v>
      </c>
      <c r="BB120" s="216">
        <v>510.15228884145716</v>
      </c>
      <c r="BC120" s="216">
        <v>530.08467527512278</v>
      </c>
      <c r="BD120" s="216">
        <v>550.79584882320694</v>
      </c>
      <c r="BE120" s="216">
        <v>572.31623782260806</v>
      </c>
      <c r="BF120" s="216">
        <v>594.6774594892762</v>
      </c>
      <c r="BG120" s="216">
        <v>617.91236636943415</v>
      </c>
      <c r="BH120" s="216">
        <v>642.05509460571534</v>
      </c>
      <c r="BI120" s="216">
        <v>667.14111408912913</v>
      </c>
      <c r="BJ120" s="216">
        <v>693.20728057053293</v>
      </c>
      <c r="BK120" s="216">
        <v>720.29188980818003</v>
      </c>
      <c r="BL120" s="216">
        <v>748.4347338308869</v>
      </c>
    </row>
    <row r="121" spans="1:64">
      <c r="A121" t="s">
        <v>549</v>
      </c>
      <c r="B121">
        <v>6600</v>
      </c>
      <c r="C121">
        <v>7094</v>
      </c>
      <c r="D121">
        <v>7143</v>
      </c>
      <c r="E121">
        <v>7215</v>
      </c>
      <c r="F121">
        <v>7098</v>
      </c>
      <c r="G121">
        <v>6837</v>
      </c>
      <c r="H121">
        <v>6739</v>
      </c>
      <c r="I121">
        <v>6790</v>
      </c>
      <c r="J121">
        <v>6893</v>
      </c>
      <c r="K121">
        <v>6334</v>
      </c>
      <c r="L121">
        <v>6040</v>
      </c>
      <c r="M121">
        <v>6043</v>
      </c>
      <c r="N121">
        <v>6027</v>
      </c>
      <c r="O121">
        <v>6094</v>
      </c>
      <c r="P121">
        <v>6001</v>
      </c>
      <c r="Q121">
        <v>5513</v>
      </c>
      <c r="R121">
        <v>5619</v>
      </c>
      <c r="S121">
        <v>6287</v>
      </c>
      <c r="T121">
        <v>6401</v>
      </c>
      <c r="U121">
        <v>6130</v>
      </c>
      <c r="V121">
        <v>6262</v>
      </c>
      <c r="W121">
        <v>6419</v>
      </c>
      <c r="X121">
        <v>6331</v>
      </c>
      <c r="Y121" s="216">
        <v>6329</v>
      </c>
      <c r="Z121" s="216">
        <v>6295.3659520246465</v>
      </c>
      <c r="AA121" s="216">
        <v>6318.1086647256889</v>
      </c>
      <c r="AB121" s="216">
        <v>6340.9335380167486</v>
      </c>
      <c r="AC121" s="216">
        <v>6363.8408687121373</v>
      </c>
      <c r="AD121" s="216">
        <v>6386.8309546984365</v>
      </c>
      <c r="AE121" s="216">
        <v>6409.9040949383798</v>
      </c>
      <c r="AF121" s="216">
        <v>6433.0605894747341</v>
      </c>
      <c r="AG121" s="216">
        <v>6456.3007394342085</v>
      </c>
      <c r="AH121" s="216">
        <v>6479.6248470313612</v>
      </c>
      <c r="AI121" s="216">
        <v>6503.0332155725373</v>
      </c>
      <c r="AJ121" s="216">
        <v>6526.5261494598099</v>
      </c>
      <c r="AK121" s="216">
        <v>6550.1039541949358</v>
      </c>
      <c r="AL121" s="216">
        <v>6573.7669363833347</v>
      </c>
      <c r="AM121" s="216">
        <v>6597.5154037380707</v>
      </c>
      <c r="AN121" s="216">
        <v>6621.3496650838551</v>
      </c>
      <c r="AO121" s="216">
        <v>6645.2700303610654</v>
      </c>
      <c r="AP121" s="216">
        <v>6669.2768106297708</v>
      </c>
      <c r="AQ121" s="216">
        <v>6693.3703180737812</v>
      </c>
      <c r="AR121" s="216">
        <v>6717.5508660047035</v>
      </c>
      <c r="AS121" s="216">
        <v>6741.8187688660209</v>
      </c>
      <c r="AT121" s="216">
        <v>6766.1743422371765</v>
      </c>
      <c r="AU121" s="216">
        <v>6790.61790283768</v>
      </c>
      <c r="AV121" s="216">
        <v>6815.1497685312252</v>
      </c>
      <c r="AW121" s="216">
        <v>6839.7702583298251</v>
      </c>
      <c r="AX121" s="216">
        <v>6864.4796923979584</v>
      </c>
      <c r="AY121" s="216">
        <v>6889.2783920567354</v>
      </c>
      <c r="AZ121" s="216">
        <v>6914.1666797880698</v>
      </c>
      <c r="BA121" s="216">
        <v>6939.1448792388837</v>
      </c>
      <c r="BB121" s="216">
        <v>6964.2133152253073</v>
      </c>
      <c r="BC121" s="216">
        <v>6989.3723137369025</v>
      </c>
      <c r="BD121" s="216">
        <v>7014.6222019409088</v>
      </c>
      <c r="BE121" s="216">
        <v>7039.9633081864931</v>
      </c>
      <c r="BF121" s="216">
        <v>7065.39596200902</v>
      </c>
      <c r="BG121" s="216">
        <v>7090.9204941343351</v>
      </c>
      <c r="BH121" s="216">
        <v>7116.5372364830719</v>
      </c>
      <c r="BI121" s="216">
        <v>7142.2465221749626</v>
      </c>
      <c r="BJ121" s="216">
        <v>7168.0486855331701</v>
      </c>
      <c r="BK121" s="216">
        <v>7193.9440620886398</v>
      </c>
      <c r="BL121" s="216">
        <v>7219.9329885844581</v>
      </c>
    </row>
    <row r="122" spans="1:64">
      <c r="A122" t="s">
        <v>1170</v>
      </c>
      <c r="B122">
        <v>1286</v>
      </c>
      <c r="C122">
        <v>2096</v>
      </c>
      <c r="D122">
        <v>1982</v>
      </c>
      <c r="E122">
        <v>2325</v>
      </c>
      <c r="F122">
        <v>2335</v>
      </c>
      <c r="G122">
        <v>2063</v>
      </c>
      <c r="H122">
        <v>1723</v>
      </c>
      <c r="I122">
        <v>1686</v>
      </c>
      <c r="J122">
        <v>1831</v>
      </c>
      <c r="K122">
        <v>1840</v>
      </c>
      <c r="L122">
        <v>1739</v>
      </c>
      <c r="M122">
        <v>1902</v>
      </c>
      <c r="N122">
        <v>2129</v>
      </c>
      <c r="O122">
        <v>1700</v>
      </c>
      <c r="P122">
        <v>1889</v>
      </c>
      <c r="Q122">
        <v>1786</v>
      </c>
      <c r="R122">
        <v>1855</v>
      </c>
      <c r="S122">
        <v>1148</v>
      </c>
      <c r="T122">
        <v>1229</v>
      </c>
      <c r="U122">
        <v>1301</v>
      </c>
      <c r="V122">
        <v>1335</v>
      </c>
      <c r="W122">
        <v>1295</v>
      </c>
      <c r="X122">
        <v>1199</v>
      </c>
      <c r="Y122" s="216">
        <v>1305</v>
      </c>
      <c r="Z122" s="216">
        <v>1285.5172000213463</v>
      </c>
      <c r="AA122" s="216">
        <v>1258.9553581645516</v>
      </c>
      <c r="AB122" s="216">
        <v>1232.9423471151661</v>
      </c>
      <c r="AC122" s="216">
        <v>1207.4668267237823</v>
      </c>
      <c r="AD122" s="216">
        <v>1182.5176911554445</v>
      </c>
      <c r="AE122" s="216">
        <v>1158.0840640481517</v>
      </c>
      <c r="AF122" s="216">
        <v>1134.1552937714021</v>
      </c>
      <c r="AG122" s="216">
        <v>1110.7209487827065</v>
      </c>
      <c r="AH122" s="216">
        <v>1087.7708130800454</v>
      </c>
      <c r="AI122" s="216">
        <v>1065.2948817482909</v>
      </c>
      <c r="AJ122" s="216">
        <v>1043.2833565976505</v>
      </c>
      <c r="AK122" s="216">
        <v>1021.7266418922288</v>
      </c>
      <c r="AL122" s="216">
        <v>1000.6153401668497</v>
      </c>
      <c r="AM122" s="216">
        <v>979.94024813031137</v>
      </c>
      <c r="AN122" s="216">
        <v>959.69235265328996</v>
      </c>
      <c r="AO122" s="216">
        <v>939.86282683914408</v>
      </c>
      <c r="AP122" s="216">
        <v>920.44302617590381</v>
      </c>
      <c r="AQ122" s="216">
        <v>901.42448476777042</v>
      </c>
      <c r="AR122" s="216">
        <v>882.79891164448088</v>
      </c>
      <c r="AS122" s="216">
        <v>864.55818714693089</v>
      </c>
      <c r="AT122" s="216">
        <v>846.69435938747949</v>
      </c>
      <c r="AU122" s="216">
        <v>829.19964078339012</v>
      </c>
      <c r="AV122" s="216">
        <v>812.06640466190265</v>
      </c>
      <c r="AW122" s="216">
        <v>795.2871819354491</v>
      </c>
      <c r="AX122" s="216">
        <v>778.85465784556959</v>
      </c>
      <c r="AY122" s="216">
        <v>762.76166877410594</v>
      </c>
      <c r="AZ122" s="216">
        <v>747.00119912028413</v>
      </c>
      <c r="BA122" s="216">
        <v>731.56637824232189</v>
      </c>
      <c r="BB122" s="216">
        <v>716.45047746223293</v>
      </c>
      <c r="BC122" s="216">
        <v>701.64690713251616</v>
      </c>
      <c r="BD122" s="216">
        <v>687.14921376345546</v>
      </c>
      <c r="BE122" s="216">
        <v>672.95107720977694</v>
      </c>
      <c r="BF122" s="216">
        <v>659.04630791543457</v>
      </c>
      <c r="BG122" s="216">
        <v>645.42884421532733</v>
      </c>
      <c r="BH122" s="216">
        <v>632.09274969276748</v>
      </c>
      <c r="BI122" s="216">
        <v>619.03221059155044</v>
      </c>
      <c r="BJ122" s="216">
        <v>606.24153328149862</v>
      </c>
      <c r="BK122" s="216">
        <v>593.71514177637027</v>
      </c>
      <c r="BL122" s="216">
        <v>581.44757530305776</v>
      </c>
    </row>
    <row r="123" spans="1:64">
      <c r="A123" t="s">
        <v>44</v>
      </c>
      <c r="B123">
        <v>152</v>
      </c>
      <c r="C123">
        <v>156</v>
      </c>
      <c r="D123">
        <v>158</v>
      </c>
      <c r="E123">
        <v>164</v>
      </c>
      <c r="F123">
        <v>159</v>
      </c>
      <c r="G123">
        <v>167</v>
      </c>
      <c r="H123">
        <v>167</v>
      </c>
      <c r="I123">
        <v>175</v>
      </c>
      <c r="J123">
        <v>163</v>
      </c>
      <c r="K123">
        <v>174</v>
      </c>
      <c r="L123">
        <v>170</v>
      </c>
      <c r="M123">
        <v>175</v>
      </c>
      <c r="N123">
        <v>176</v>
      </c>
      <c r="O123">
        <v>160</v>
      </c>
      <c r="P123">
        <v>170</v>
      </c>
      <c r="Q123">
        <v>160</v>
      </c>
      <c r="R123">
        <v>163</v>
      </c>
      <c r="S123">
        <v>164</v>
      </c>
      <c r="T123">
        <v>170</v>
      </c>
      <c r="U123">
        <v>170</v>
      </c>
      <c r="V123">
        <v>174</v>
      </c>
      <c r="W123">
        <v>169</v>
      </c>
      <c r="X123">
        <v>174</v>
      </c>
      <c r="Y123" s="216">
        <v>167</v>
      </c>
      <c r="Z123" s="216">
        <v>172.59802537411863</v>
      </c>
      <c r="AA123" s="216">
        <v>173.10278029731762</v>
      </c>
      <c r="AB123" s="216">
        <v>173.60901135288796</v>
      </c>
      <c r="AC123" s="216">
        <v>174.11672285771041</v>
      </c>
      <c r="AD123" s="216">
        <v>174.6259191412901</v>
      </c>
      <c r="AE123" s="216">
        <v>175.13660454579374</v>
      </c>
      <c r="AF123" s="216">
        <v>175.6487834260864</v>
      </c>
      <c r="AG123" s="216">
        <v>176.16246014976878</v>
      </c>
      <c r="AH123" s="216">
        <v>176.67763909721441</v>
      </c>
      <c r="AI123" s="216">
        <v>177.19432466160711</v>
      </c>
      <c r="AJ123" s="216">
        <v>177.71252124897822</v>
      </c>
      <c r="AK123" s="216">
        <v>178.23223327824442</v>
      </c>
      <c r="AL123" s="216">
        <v>178.75346518124525</v>
      </c>
      <c r="AM123" s="216">
        <v>179.27622140278103</v>
      </c>
      <c r="AN123" s="216">
        <v>179.80050640065056</v>
      </c>
      <c r="AO123" s="216">
        <v>180.32632464568948</v>
      </c>
      <c r="AP123" s="216">
        <v>180.85368062180794</v>
      </c>
      <c r="AQ123" s="216">
        <v>181.3825788260292</v>
      </c>
      <c r="AR123" s="216">
        <v>181.91302376852792</v>
      </c>
      <c r="AS123" s="216">
        <v>182.44501997266838</v>
      </c>
      <c r="AT123" s="216">
        <v>182.97857197504342</v>
      </c>
      <c r="AU123" s="216">
        <v>183.5136843255128</v>
      </c>
      <c r="AV123" s="216">
        <v>184.05036158724218</v>
      </c>
      <c r="AW123" s="216">
        <v>184.58860833674203</v>
      </c>
      <c r="AX123" s="216">
        <v>185.1284291639065</v>
      </c>
      <c r="AY123" s="216">
        <v>185.6698286720528</v>
      </c>
      <c r="AZ123" s="216">
        <v>186.21281147796032</v>
      </c>
      <c r="BA123" s="216">
        <v>186.7573822119098</v>
      </c>
      <c r="BB123" s="216">
        <v>187.30354551772331</v>
      </c>
      <c r="BC123" s="216">
        <v>187.85130605280341</v>
      </c>
      <c r="BD123" s="216">
        <v>188.40066848817295</v>
      </c>
      <c r="BE123" s="216">
        <v>188.95163750851518</v>
      </c>
      <c r="BF123" s="216">
        <v>189.50421781221334</v>
      </c>
      <c r="BG123" s="216">
        <v>190.05841411139085</v>
      </c>
      <c r="BH123" s="216">
        <v>190.61423113195158</v>
      </c>
      <c r="BI123" s="216">
        <v>191.17167361362016</v>
      </c>
      <c r="BJ123" s="216">
        <v>191.73074630998209</v>
      </c>
      <c r="BK123" s="216">
        <v>192.29145398852478</v>
      </c>
      <c r="BL123" s="216">
        <v>192.85380143067778</v>
      </c>
    </row>
    <row r="124" spans="1:64">
      <c r="A124" t="s">
        <v>167</v>
      </c>
      <c r="B124">
        <v>190</v>
      </c>
      <c r="C124">
        <v>193</v>
      </c>
      <c r="D124">
        <v>196</v>
      </c>
      <c r="E124">
        <v>206</v>
      </c>
      <c r="F124">
        <v>210</v>
      </c>
      <c r="G124">
        <v>208</v>
      </c>
      <c r="H124">
        <v>193</v>
      </c>
      <c r="I124">
        <v>201</v>
      </c>
      <c r="J124">
        <v>205</v>
      </c>
      <c r="K124">
        <v>182</v>
      </c>
      <c r="L124">
        <v>177</v>
      </c>
      <c r="M124">
        <v>188</v>
      </c>
      <c r="N124">
        <v>200</v>
      </c>
      <c r="O124">
        <v>189</v>
      </c>
      <c r="P124">
        <v>170</v>
      </c>
      <c r="Q124">
        <v>167</v>
      </c>
      <c r="R124">
        <v>194</v>
      </c>
      <c r="S124">
        <v>176</v>
      </c>
      <c r="T124">
        <v>185</v>
      </c>
      <c r="U124">
        <v>209</v>
      </c>
      <c r="V124">
        <v>223</v>
      </c>
      <c r="W124">
        <v>222</v>
      </c>
      <c r="X124">
        <v>229</v>
      </c>
      <c r="Y124" s="216">
        <v>231</v>
      </c>
      <c r="Z124" s="216">
        <v>204.94790528982008</v>
      </c>
      <c r="AA124" s="216">
        <v>205.6043147404213</v>
      </c>
      <c r="AB124" s="216">
        <v>206.26282654657589</v>
      </c>
      <c r="AC124" s="216">
        <v>206.92344744173178</v>
      </c>
      <c r="AD124" s="216">
        <v>207.58618418090299</v>
      </c>
      <c r="AE124" s="216">
        <v>208.25104354073835</v>
      </c>
      <c r="AF124" s="216">
        <v>208.91803231959119</v>
      </c>
      <c r="AG124" s="216">
        <v>209.58715733758862</v>
      </c>
      <c r="AH124" s="216">
        <v>210.2584254367014</v>
      </c>
      <c r="AI124" s="216">
        <v>210.93184348081371</v>
      </c>
      <c r="AJ124" s="216">
        <v>211.6074183557935</v>
      </c>
      <c r="AK124" s="216">
        <v>212.28515696956293</v>
      </c>
      <c r="AL124" s="216">
        <v>212.96506625216884</v>
      </c>
      <c r="AM124" s="216">
        <v>213.64715315585372</v>
      </c>
      <c r="AN124" s="216">
        <v>214.3314246551268</v>
      </c>
      <c r="AO124" s="216">
        <v>215.01788774683544</v>
      </c>
      <c r="AP124" s="216">
        <v>215.70654945023631</v>
      </c>
      <c r="AQ124" s="216">
        <v>216.39741680706774</v>
      </c>
      <c r="AR124" s="216">
        <v>217.09049688162125</v>
      </c>
      <c r="AS124" s="216">
        <v>217.78579676081395</v>
      </c>
      <c r="AT124" s="216">
        <v>218.48332355426109</v>
      </c>
      <c r="AU124" s="216">
        <v>219.18308439434855</v>
      </c>
      <c r="AV124" s="216">
        <v>219.88508643630612</v>
      </c>
      <c r="AW124" s="216">
        <v>220.58933685828018</v>
      </c>
      <c r="AX124" s="216">
        <v>221.29584286140755</v>
      </c>
      <c r="AY124" s="216">
        <v>222.00461166988876</v>
      </c>
      <c r="AZ124" s="216">
        <v>222.71565053106227</v>
      </c>
      <c r="BA124" s="216">
        <v>223.42896671547828</v>
      </c>
      <c r="BB124" s="216">
        <v>224.14456751697321</v>
      </c>
      <c r="BC124" s="216">
        <v>224.86246025274428</v>
      </c>
      <c r="BD124" s="216">
        <v>225.58265226342439</v>
      </c>
      <c r="BE124" s="216">
        <v>226.30515091315689</v>
      </c>
      <c r="BF124" s="216">
        <v>227.02996358967124</v>
      </c>
      <c r="BG124" s="216">
        <v>227.7570977043585</v>
      </c>
      <c r="BH124" s="216">
        <v>228.4865606923467</v>
      </c>
      <c r="BI124" s="216">
        <v>229.21836001257756</v>
      </c>
      <c r="BJ124" s="216">
        <v>229.95250314788211</v>
      </c>
      <c r="BK124" s="216">
        <v>230.68899760505761</v>
      </c>
      <c r="BL124" s="216">
        <v>231.42785091494406</v>
      </c>
    </row>
    <row r="125" spans="1:64">
      <c r="A125" t="s">
        <v>38</v>
      </c>
      <c r="B125">
        <v>318</v>
      </c>
      <c r="C125">
        <v>313</v>
      </c>
      <c r="D125">
        <v>309</v>
      </c>
      <c r="E125">
        <v>323</v>
      </c>
      <c r="F125">
        <v>336</v>
      </c>
      <c r="G125">
        <v>326</v>
      </c>
      <c r="H125">
        <v>344</v>
      </c>
      <c r="I125">
        <v>346</v>
      </c>
      <c r="J125">
        <v>359</v>
      </c>
      <c r="K125">
        <v>359</v>
      </c>
      <c r="L125">
        <v>369</v>
      </c>
      <c r="M125">
        <v>367</v>
      </c>
      <c r="N125">
        <v>396</v>
      </c>
      <c r="O125">
        <v>402</v>
      </c>
      <c r="P125">
        <v>412</v>
      </c>
      <c r="Q125">
        <v>400</v>
      </c>
      <c r="R125">
        <v>415</v>
      </c>
      <c r="S125">
        <v>422</v>
      </c>
      <c r="T125">
        <v>440</v>
      </c>
      <c r="U125">
        <v>439</v>
      </c>
      <c r="V125">
        <v>462</v>
      </c>
      <c r="W125">
        <v>463</v>
      </c>
      <c r="X125">
        <v>456</v>
      </c>
      <c r="Y125" s="216">
        <v>501</v>
      </c>
      <c r="Z125" s="216">
        <v>490.7190095715286</v>
      </c>
      <c r="AA125" s="216">
        <v>500.56624040957774</v>
      </c>
      <c r="AB125" s="216">
        <v>510.6110750764708</v>
      </c>
      <c r="AC125" s="216">
        <v>520.8574788771565</v>
      </c>
      <c r="AD125" s="216">
        <v>531.3094966881356</v>
      </c>
      <c r="AE125" s="216">
        <v>541.97125455421883</v>
      </c>
      <c r="AF125" s="216">
        <v>552.84696131732619</v>
      </c>
      <c r="AG125" s="216">
        <v>563.9409102779731</v>
      </c>
      <c r="AH125" s="216">
        <v>575.25748089009505</v>
      </c>
      <c r="AI125" s="216">
        <v>586.80114048988423</v>
      </c>
      <c r="AJ125" s="216">
        <v>598.57644605931739</v>
      </c>
      <c r="AK125" s="216">
        <v>610.58804602507337</v>
      </c>
      <c r="AL125" s="216">
        <v>622.84068209354803</v>
      </c>
      <c r="AM125" s="216">
        <v>635.33919112269359</v>
      </c>
      <c r="AN125" s="216">
        <v>648.08850703141968</v>
      </c>
      <c r="AO125" s="216">
        <v>661.09366274730951</v>
      </c>
      <c r="AP125" s="216">
        <v>674.35979219342244</v>
      </c>
      <c r="AQ125" s="216">
        <v>687.89213231496296</v>
      </c>
      <c r="AR125" s="216">
        <v>701.69602514662199</v>
      </c>
      <c r="AS125" s="216">
        <v>715.77691992140069</v>
      </c>
      <c r="AT125" s="216">
        <v>730.14037522175295</v>
      </c>
      <c r="AU125" s="216">
        <v>744.79206117389549</v>
      </c>
      <c r="AV125" s="216">
        <v>759.73776168614904</v>
      </c>
      <c r="AW125" s="216">
        <v>774.98337673219862</v>
      </c>
      <c r="AX125" s="216">
        <v>790.53492468017021</v>
      </c>
      <c r="AY125" s="216">
        <v>806.39854466844508</v>
      </c>
      <c r="AZ125" s="216">
        <v>822.58049902915059</v>
      </c>
      <c r="BA125" s="216">
        <v>839.08717576028096</v>
      </c>
      <c r="BB125" s="216">
        <v>855.92509104742805</v>
      </c>
      <c r="BC125" s="216">
        <v>873.1008918361149</v>
      </c>
      <c r="BD125" s="216">
        <v>890.62135845574676</v>
      </c>
      <c r="BE125" s="216">
        <v>908.49340729621917</v>
      </c>
      <c r="BF125" s="216">
        <v>926.72409353823571</v>
      </c>
      <c r="BG125" s="216">
        <v>945.32061393841525</v>
      </c>
      <c r="BH125" s="216">
        <v>964.29030967028814</v>
      </c>
      <c r="BI125" s="216">
        <v>983.64066922230199</v>
      </c>
      <c r="BJ125" s="216">
        <v>1003.379331353982</v>
      </c>
      <c r="BK125" s="216">
        <v>1023.514088111413</v>
      </c>
      <c r="BL125" s="216">
        <v>1044.0528879032299</v>
      </c>
    </row>
    <row r="126" spans="1:64">
      <c r="A126" t="s">
        <v>169</v>
      </c>
      <c r="B126">
        <v>492</v>
      </c>
      <c r="C126">
        <v>502</v>
      </c>
      <c r="D126">
        <v>504</v>
      </c>
      <c r="E126">
        <v>499</v>
      </c>
      <c r="F126">
        <v>543</v>
      </c>
      <c r="G126">
        <v>519</v>
      </c>
      <c r="H126">
        <v>539</v>
      </c>
      <c r="I126">
        <v>554</v>
      </c>
      <c r="J126">
        <v>579</v>
      </c>
      <c r="K126">
        <v>591</v>
      </c>
      <c r="L126">
        <v>619</v>
      </c>
      <c r="M126">
        <v>621</v>
      </c>
      <c r="N126">
        <v>589</v>
      </c>
      <c r="O126">
        <v>570</v>
      </c>
      <c r="P126">
        <v>583</v>
      </c>
      <c r="Q126">
        <v>580</v>
      </c>
      <c r="R126">
        <v>563</v>
      </c>
      <c r="S126">
        <v>568</v>
      </c>
      <c r="T126">
        <v>574</v>
      </c>
      <c r="U126">
        <v>577</v>
      </c>
      <c r="V126">
        <v>610</v>
      </c>
      <c r="W126">
        <v>627</v>
      </c>
      <c r="X126">
        <v>644</v>
      </c>
      <c r="Y126" s="216">
        <v>653</v>
      </c>
      <c r="Z126" s="216">
        <v>640.95290343204908</v>
      </c>
      <c r="AA126" s="216">
        <v>647.08262279342728</v>
      </c>
      <c r="AB126" s="216">
        <v>653.27096340333719</v>
      </c>
      <c r="AC126" s="216">
        <v>659.51848588300425</v>
      </c>
      <c r="AD126" s="216">
        <v>665.82575621512547</v>
      </c>
      <c r="AE126" s="216">
        <v>672.19334579514316</v>
      </c>
      <c r="AF126" s="216">
        <v>678.62183148301074</v>
      </c>
      <c r="AG126" s="216">
        <v>685.11179565545069</v>
      </c>
      <c r="AH126" s="216">
        <v>691.66382625871472</v>
      </c>
      <c r="AI126" s="216">
        <v>698.27851686184806</v>
      </c>
      <c r="AJ126" s="216">
        <v>704.95646671046165</v>
      </c>
      <c r="AK126" s="216">
        <v>711.69828078102069</v>
      </c>
      <c r="AL126" s="216">
        <v>718.50456983565084</v>
      </c>
      <c r="AM126" s="216">
        <v>725.37595047746936</v>
      </c>
      <c r="AN126" s="216">
        <v>732.31304520644449</v>
      </c>
      <c r="AO126" s="216">
        <v>739.31648247579085</v>
      </c>
      <c r="AP126" s="216">
        <v>746.38689674890168</v>
      </c>
      <c r="AQ126" s="216">
        <v>753.52492855682806</v>
      </c>
      <c r="AR126" s="216">
        <v>760.73122455630562</v>
      </c>
      <c r="AS126" s="216">
        <v>768.0064375883378</v>
      </c>
      <c r="AT126" s="216">
        <v>775.35122673733872</v>
      </c>
      <c r="AU126" s="216">
        <v>782.76625739084125</v>
      </c>
      <c r="AV126" s="216">
        <v>790.25220129977765</v>
      </c>
      <c r="AW126" s="216">
        <v>797.80973663933401</v>
      </c>
      <c r="AX126" s="216">
        <v>805.43954807038961</v>
      </c>
      <c r="AY126" s="216">
        <v>813.14232680154191</v>
      </c>
      <c r="AZ126" s="216">
        <v>820.91877065172559</v>
      </c>
      <c r="BA126" s="216">
        <v>828.76958411342969</v>
      </c>
      <c r="BB126" s="216">
        <v>836.69547841652013</v>
      </c>
      <c r="BC126" s="216">
        <v>844.6971715926727</v>
      </c>
      <c r="BD126" s="216">
        <v>852.77538854042052</v>
      </c>
      <c r="BE126" s="216">
        <v>860.93086109082628</v>
      </c>
      <c r="BF126" s="216">
        <v>869.16432807378055</v>
      </c>
      <c r="BG126" s="216">
        <v>877.47653538493432</v>
      </c>
      <c r="BH126" s="216">
        <v>885.86823605327265</v>
      </c>
      <c r="BI126" s="216">
        <v>894.34019030933325</v>
      </c>
      <c r="BJ126" s="216">
        <v>902.89316565407944</v>
      </c>
      <c r="BK126" s="216">
        <v>911.52793692842863</v>
      </c>
      <c r="BL126" s="216">
        <v>920.24528638344941</v>
      </c>
    </row>
    <row r="127" spans="1:64">
      <c r="A127" t="s">
        <v>33</v>
      </c>
      <c r="B127">
        <v>2786</v>
      </c>
      <c r="C127">
        <v>2927</v>
      </c>
      <c r="D127">
        <v>2969</v>
      </c>
      <c r="E127">
        <v>2904</v>
      </c>
      <c r="F127">
        <v>2876</v>
      </c>
      <c r="G127">
        <v>2827</v>
      </c>
      <c r="H127">
        <v>2907</v>
      </c>
      <c r="I127">
        <v>2942</v>
      </c>
      <c r="J127">
        <v>2932</v>
      </c>
      <c r="K127">
        <v>3082</v>
      </c>
      <c r="L127">
        <v>3082</v>
      </c>
      <c r="M127">
        <v>3116</v>
      </c>
      <c r="N127">
        <v>3123</v>
      </c>
      <c r="O127">
        <v>3218</v>
      </c>
      <c r="P127">
        <v>3216</v>
      </c>
      <c r="Q127">
        <v>3212</v>
      </c>
      <c r="R127">
        <v>3248</v>
      </c>
      <c r="S127">
        <v>3272</v>
      </c>
      <c r="T127">
        <v>3331</v>
      </c>
      <c r="U127">
        <v>3201</v>
      </c>
      <c r="V127">
        <v>3223</v>
      </c>
      <c r="W127">
        <v>3230</v>
      </c>
      <c r="X127">
        <v>3199</v>
      </c>
      <c r="Y127" s="216">
        <v>3153</v>
      </c>
      <c r="Z127" s="216">
        <v>3339.7034628485826</v>
      </c>
      <c r="AA127" s="216">
        <v>3361.5528184178256</v>
      </c>
      <c r="AB127" s="216">
        <v>3383.5451191150132</v>
      </c>
      <c r="AC127" s="216">
        <v>3405.6813001306368</v>
      </c>
      <c r="AD127" s="216">
        <v>3427.9623027734906</v>
      </c>
      <c r="AE127" s="216">
        <v>3450.3890745106964</v>
      </c>
      <c r="AF127" s="216">
        <v>3472.9625690079934</v>
      </c>
      <c r="AG127" s="216">
        <v>3495.683746170293</v>
      </c>
      <c r="AH127" s="216">
        <v>3518.5535721824963</v>
      </c>
      <c r="AI127" s="216">
        <v>3541.5730195505789</v>
      </c>
      <c r="AJ127" s="216">
        <v>3564.7430671429474</v>
      </c>
      <c r="AK127" s="216">
        <v>3588.064700232062</v>
      </c>
      <c r="AL127" s="216">
        <v>3611.5389105363365</v>
      </c>
      <c r="AM127" s="216">
        <v>3635.1666962623071</v>
      </c>
      <c r="AN127" s="216">
        <v>3658.9490621470791</v>
      </c>
      <c r="AO127" s="216">
        <v>3682.8870195010568</v>
      </c>
      <c r="AP127" s="216">
        <v>3706.9815862509427</v>
      </c>
      <c r="AQ127" s="216">
        <v>3731.2337869830253</v>
      </c>
      <c r="AR127" s="216">
        <v>3755.644652986748</v>
      </c>
      <c r="AS127" s="216">
        <v>3780.2152222985646</v>
      </c>
      <c r="AT127" s="216">
        <v>3804.9465397460785</v>
      </c>
      <c r="AU127" s="216">
        <v>3829.8396569924707</v>
      </c>
      <c r="AV127" s="216">
        <v>3854.8956325812269</v>
      </c>
      <c r="AW127" s="216">
        <v>3880.1155319811428</v>
      </c>
      <c r="AX127" s="216">
        <v>3905.5004276316349</v>
      </c>
      <c r="AY127" s="216">
        <v>3931.051398988347</v>
      </c>
      <c r="AZ127" s="216">
        <v>3956.7695325690479</v>
      </c>
      <c r="BA127" s="216">
        <v>3982.6559219998358</v>
      </c>
      <c r="BB127" s="216">
        <v>4008.7116680616446</v>
      </c>
      <c r="BC127" s="216">
        <v>4034.9378787370515</v>
      </c>
      <c r="BD127" s="216">
        <v>4061.3356692573925</v>
      </c>
      <c r="BE127" s="216">
        <v>4087.906162150186</v>
      </c>
      <c r="BF127" s="216">
        <v>4114.6504872868672</v>
      </c>
      <c r="BG127" s="216">
        <v>4141.5697819308316</v>
      </c>
      <c r="BH127" s="216">
        <v>4168.6651907858013</v>
      </c>
      <c r="BI127" s="216">
        <v>4195.9378660444963</v>
      </c>
      <c r="BJ127" s="216">
        <v>4223.3889674376305</v>
      </c>
      <c r="BK127" s="216">
        <v>4251.0196622832309</v>
      </c>
      <c r="BL127" s="216">
        <v>4278.8311255362732</v>
      </c>
    </row>
    <row r="128" spans="1:64">
      <c r="A128" t="s">
        <v>85</v>
      </c>
      <c r="B128">
        <v>248</v>
      </c>
      <c r="C128">
        <v>272</v>
      </c>
      <c r="D128">
        <v>284</v>
      </c>
      <c r="E128">
        <v>264</v>
      </c>
      <c r="F128">
        <v>258</v>
      </c>
      <c r="G128">
        <v>276</v>
      </c>
      <c r="H128">
        <v>271</v>
      </c>
      <c r="I128">
        <v>293</v>
      </c>
      <c r="J128">
        <v>280</v>
      </c>
      <c r="K128">
        <v>297</v>
      </c>
      <c r="L128">
        <v>324</v>
      </c>
      <c r="M128">
        <v>324</v>
      </c>
      <c r="N128">
        <v>333</v>
      </c>
      <c r="O128">
        <v>340</v>
      </c>
      <c r="P128">
        <v>337</v>
      </c>
      <c r="Q128">
        <v>355</v>
      </c>
      <c r="R128">
        <v>330</v>
      </c>
      <c r="S128">
        <v>315</v>
      </c>
      <c r="T128">
        <v>338</v>
      </c>
      <c r="U128">
        <v>332</v>
      </c>
      <c r="V128">
        <v>349</v>
      </c>
      <c r="W128">
        <v>337</v>
      </c>
      <c r="X128">
        <v>341</v>
      </c>
      <c r="Y128" s="216">
        <v>321</v>
      </c>
      <c r="Z128" s="216">
        <v>362.42629539097055</v>
      </c>
      <c r="AA128" s="216">
        <v>367.23013664585068</v>
      </c>
      <c r="AB128" s="216">
        <v>372.09765123540757</v>
      </c>
      <c r="AC128" s="216">
        <v>377.02968312873463</v>
      </c>
      <c r="AD128" s="216">
        <v>382.0270874814579</v>
      </c>
      <c r="AE128" s="216">
        <v>387.09073078400968</v>
      </c>
      <c r="AF128" s="216">
        <v>392.22149101186773</v>
      </c>
      <c r="AG128" s="216">
        <v>397.42025777778582</v>
      </c>
      <c r="AH128" s="216">
        <v>402.68793248604214</v>
      </c>
      <c r="AI128" s="216">
        <v>408.02542848873151</v>
      </c>
      <c r="AJ128" s="216">
        <v>413.43367124413055</v>
      </c>
      <c r="AK128" s="216">
        <v>418.91359847716046</v>
      </c>
      <c r="AL128" s="216">
        <v>424.46616034197763</v>
      </c>
      <c r="AM128" s="216">
        <v>430.09231958671921</v>
      </c>
      <c r="AN128" s="216">
        <v>435.793051720432</v>
      </c>
      <c r="AO128" s="216">
        <v>441.56934518221397</v>
      </c>
      <c r="AP128" s="216">
        <v>447.42220151259812</v>
      </c>
      <c r="AQ128" s="216">
        <v>453.35263552720761</v>
      </c>
      <c r="AR128" s="216">
        <v>459.36167549271255</v>
      </c>
      <c r="AS128" s="216">
        <v>465.45036330511937</v>
      </c>
      <c r="AT128" s="216">
        <v>471.61975467042316</v>
      </c>
      <c r="AU128" s="216">
        <v>477.87091928765437</v>
      </c>
      <c r="AV128" s="216">
        <v>484.20494103435215</v>
      </c>
      <c r="AW128" s="216">
        <v>490.62291815449572</v>
      </c>
      <c r="AX128" s="216">
        <v>497.12596344892654</v>
      </c>
      <c r="AY128" s="216">
        <v>503.71520446829516</v>
      </c>
      <c r="AZ128" s="216">
        <v>510.39178370856479</v>
      </c>
      <c r="BA128" s="216">
        <v>517.15685880910655</v>
      </c>
      <c r="BB128" s="216">
        <v>524.01160275342056</v>
      </c>
      <c r="BC128" s="216">
        <v>530.9572040725169</v>
      </c>
      <c r="BD128" s="216">
        <v>537.99486705099332</v>
      </c>
      <c r="BE128" s="216">
        <v>545.12581193584322</v>
      </c>
      <c r="BF128" s="216">
        <v>552.35127514803219</v>
      </c>
      <c r="BG128" s="216">
        <v>559.67250949687934</v>
      </c>
      <c r="BH128" s="216">
        <v>567.0907843972783</v>
      </c>
      <c r="BI128" s="216">
        <v>574.60738608979955</v>
      </c>
      <c r="BJ128" s="216">
        <v>582.22361786370902</v>
      </c>
      <c r="BK128" s="216">
        <v>589.94080028294286</v>
      </c>
      <c r="BL128" s="216">
        <v>597.76027141507768</v>
      </c>
    </row>
    <row r="129" spans="1:64">
      <c r="A129" t="s">
        <v>258</v>
      </c>
      <c r="B129">
        <v>123</v>
      </c>
      <c r="C129">
        <v>123</v>
      </c>
      <c r="D129">
        <v>124</v>
      </c>
      <c r="E129">
        <v>140</v>
      </c>
      <c r="F129">
        <v>127</v>
      </c>
      <c r="G129">
        <v>129</v>
      </c>
      <c r="H129">
        <v>114</v>
      </c>
      <c r="I129">
        <v>129</v>
      </c>
      <c r="J129">
        <v>101</v>
      </c>
      <c r="K129">
        <v>101</v>
      </c>
      <c r="L129">
        <v>95</v>
      </c>
      <c r="M129">
        <v>98</v>
      </c>
      <c r="N129">
        <v>106</v>
      </c>
      <c r="O129">
        <v>106</v>
      </c>
      <c r="P129">
        <v>94</v>
      </c>
      <c r="Q129">
        <v>84</v>
      </c>
      <c r="R129">
        <v>85</v>
      </c>
      <c r="S129">
        <v>82</v>
      </c>
      <c r="T129">
        <v>99</v>
      </c>
      <c r="U129">
        <v>96</v>
      </c>
      <c r="V129">
        <v>95</v>
      </c>
      <c r="W129">
        <v>97</v>
      </c>
      <c r="X129">
        <v>89</v>
      </c>
      <c r="Y129" s="216">
        <v>92</v>
      </c>
      <c r="Z129" s="216">
        <v>83.365378395193531</v>
      </c>
      <c r="AA129" s="216">
        <v>81.892792100157294</v>
      </c>
      <c r="AB129" s="216">
        <v>80.446217927156297</v>
      </c>
      <c r="AC129" s="216">
        <v>79.02519639174804</v>
      </c>
      <c r="AD129" s="216">
        <v>77.629276125934865</v>
      </c>
      <c r="AE129" s="216">
        <v>76.258013734793053</v>
      </c>
      <c r="AF129" s="216">
        <v>74.91097365563455</v>
      </c>
      <c r="AG129" s="216">
        <v>73.587728019656396</v>
      </c>
      <c r="AH129" s="216">
        <v>72.287856516034125</v>
      </c>
      <c r="AI129" s="216">
        <v>71.010946258415785</v>
      </c>
      <c r="AJ129" s="216">
        <v>69.756591653774223</v>
      </c>
      <c r="AK129" s="216">
        <v>68.524394273576064</v>
      </c>
      <c r="AL129" s="216">
        <v>67.313962727226297</v>
      </c>
      <c r="AM129" s="216">
        <v>66.1249125377485</v>
      </c>
      <c r="AN129" s="216">
        <v>64.956866019660936</v>
      </c>
      <c r="AO129" s="216">
        <v>63.809452159009986</v>
      </c>
      <c r="AP129" s="216">
        <v>62.682306495522589</v>
      </c>
      <c r="AQ129" s="216">
        <v>61.575071006840524</v>
      </c>
      <c r="AR129" s="216">
        <v>60.487393994799483</v>
      </c>
      <c r="AS129" s="216">
        <v>59.418929973716907</v>
      </c>
      <c r="AT129" s="216">
        <v>58.36933956065333</v>
      </c>
      <c r="AU129" s="216">
        <v>57.338289367611921</v>
      </c>
      <c r="AV129" s="216">
        <v>56.325451895642445</v>
      </c>
      <c r="AW129" s="216">
        <v>55.330505430815663</v>
      </c>
      <c r="AX129" s="216">
        <v>54.353133942035313</v>
      </c>
      <c r="AY129" s="216">
        <v>53.393026980655236</v>
      </c>
      <c r="AZ129" s="216">
        <v>52.449879581869538</v>
      </c>
      <c r="BA129" s="216">
        <v>51.52339216784474</v>
      </c>
      <c r="BB129" s="216">
        <v>50.613270452563</v>
      </c>
      <c r="BC129" s="216">
        <v>49.719225348346171</v>
      </c>
      <c r="BD129" s="216">
        <v>48.840972874031074</v>
      </c>
      <c r="BE129" s="216">
        <v>47.978234064766809</v>
      </c>
      <c r="BF129" s="216">
        <v>47.130734883405339</v>
      </c>
      <c r="BG129" s="216">
        <v>46.298206133457391</v>
      </c>
      <c r="BH129" s="216">
        <v>45.480383373585852</v>
      </c>
      <c r="BI129" s="216">
        <v>44.677006833609674</v>
      </c>
      <c r="BJ129" s="216">
        <v>43.887821331991333</v>
      </c>
      <c r="BK129" s="216">
        <v>43.112576194782008</v>
      </c>
      <c r="BL129" s="216">
        <v>42.351025175998394</v>
      </c>
    </row>
    <row r="130" spans="1:64">
      <c r="A130" t="s">
        <v>1032</v>
      </c>
      <c r="B130">
        <v>24</v>
      </c>
      <c r="C130">
        <v>24</v>
      </c>
      <c r="D130">
        <v>24</v>
      </c>
      <c r="E130">
        <v>24</v>
      </c>
      <c r="F130">
        <v>24</v>
      </c>
      <c r="G130">
        <v>24</v>
      </c>
      <c r="H130">
        <v>24</v>
      </c>
      <c r="I130">
        <v>24</v>
      </c>
      <c r="J130">
        <v>24</v>
      </c>
      <c r="K130">
        <v>23</v>
      </c>
      <c r="L130">
        <v>24</v>
      </c>
      <c r="M130">
        <v>24</v>
      </c>
      <c r="N130">
        <v>24</v>
      </c>
      <c r="O130">
        <v>25</v>
      </c>
      <c r="P130">
        <v>26</v>
      </c>
      <c r="Q130">
        <v>25</v>
      </c>
      <c r="R130">
        <v>26</v>
      </c>
      <c r="S130">
        <v>26</v>
      </c>
      <c r="T130">
        <v>27</v>
      </c>
      <c r="U130">
        <v>27</v>
      </c>
      <c r="V130">
        <v>27</v>
      </c>
      <c r="W130">
        <v>33</v>
      </c>
      <c r="X130">
        <v>25</v>
      </c>
      <c r="Y130" s="216">
        <v>25</v>
      </c>
      <c r="Z130" s="216">
        <v>27.29716886499056</v>
      </c>
      <c r="AA130" s="216">
        <v>27.484964987517277</v>
      </c>
      <c r="AB130" s="216">
        <v>27.674053089582628</v>
      </c>
      <c r="AC130" s="216">
        <v>27.86444205960829</v>
      </c>
      <c r="AD130" s="216">
        <v>28.056140847165565</v>
      </c>
      <c r="AE130" s="216">
        <v>28.249158463396036</v>
      </c>
      <c r="AF130" s="216">
        <v>28.443503981435182</v>
      </c>
      <c r="AG130" s="216">
        <v>28.639186536838849</v>
      </c>
      <c r="AH130" s="216">
        <v>28.83621532801271</v>
      </c>
      <c r="AI130" s="216">
        <v>29.03459961664462</v>
      </c>
      <c r="AJ130" s="216">
        <v>29.234348728140013</v>
      </c>
      <c r="AK130" s="216">
        <v>29.435472052060238</v>
      </c>
      <c r="AL130" s="216">
        <v>29.637979042563938</v>
      </c>
      <c r="AM130" s="216">
        <v>29.841879218851449</v>
      </c>
      <c r="AN130" s="216">
        <v>30.047182165612295</v>
      </c>
      <c r="AO130" s="216">
        <v>30.253897533475705</v>
      </c>
      <c r="AP130" s="216">
        <v>30.462035039464251</v>
      </c>
      <c r="AQ130" s="216">
        <v>30.671604467450656</v>
      </c>
      <c r="AR130" s="216">
        <v>30.882615668617671</v>
      </c>
      <c r="AS130" s="216">
        <v>31.095078561921142</v>
      </c>
      <c r="AT130" s="216">
        <v>31.309003134556281</v>
      </c>
      <c r="AU130" s="216">
        <v>31.52439944242715</v>
      </c>
      <c r="AV130" s="216">
        <v>31.741277610619314</v>
      </c>
      <c r="AW130" s="216">
        <v>31.959647833875813</v>
      </c>
      <c r="AX130" s="216">
        <v>32.1795203770764</v>
      </c>
      <c r="AY130" s="216">
        <v>32.400905575720024</v>
      </c>
      <c r="AZ130" s="216">
        <v>32.623813836410697</v>
      </c>
      <c r="BA130" s="216">
        <v>32.848255637346654</v>
      </c>
      <c r="BB130" s="216">
        <v>33.074241528812919</v>
      </c>
      <c r="BC130" s="216">
        <v>33.301782133677229</v>
      </c>
      <c r="BD130" s="216">
        <v>33.530888147889392</v>
      </c>
      <c r="BE130" s="216">
        <v>33.761570340984029</v>
      </c>
      <c r="BF130" s="216">
        <v>33.993839556586877</v>
      </c>
      <c r="BG130" s="216">
        <v>34.227706712924473</v>
      </c>
      <c r="BH130" s="216">
        <v>34.463182803337375</v>
      </c>
      <c r="BI130" s="216">
        <v>34.700278896796974</v>
      </c>
      <c r="BJ130" s="216">
        <v>34.939006138425754</v>
      </c>
      <c r="BK130" s="216">
        <v>35.179375750021222</v>
      </c>
      <c r="BL130" s="216">
        <v>35.421399030583387</v>
      </c>
    </row>
    <row r="131" spans="1:64">
      <c r="A131" t="s">
        <v>173</v>
      </c>
      <c r="B131">
        <v>555</v>
      </c>
      <c r="C131">
        <v>593</v>
      </c>
      <c r="D131">
        <v>581</v>
      </c>
      <c r="E131">
        <v>613</v>
      </c>
      <c r="F131">
        <v>644</v>
      </c>
      <c r="G131">
        <v>630</v>
      </c>
      <c r="H131">
        <v>664</v>
      </c>
      <c r="I131">
        <v>669</v>
      </c>
      <c r="J131">
        <v>698</v>
      </c>
      <c r="K131">
        <v>713</v>
      </c>
      <c r="L131">
        <v>687</v>
      </c>
      <c r="M131">
        <v>687</v>
      </c>
      <c r="N131">
        <v>697</v>
      </c>
      <c r="O131">
        <v>683</v>
      </c>
      <c r="P131">
        <v>678</v>
      </c>
      <c r="Q131">
        <v>675</v>
      </c>
      <c r="R131">
        <v>694</v>
      </c>
      <c r="S131">
        <v>708</v>
      </c>
      <c r="T131">
        <v>692</v>
      </c>
      <c r="U131">
        <v>721</v>
      </c>
      <c r="V131">
        <v>741</v>
      </c>
      <c r="W131">
        <v>750</v>
      </c>
      <c r="X131">
        <v>782</v>
      </c>
      <c r="Y131" s="216">
        <v>800</v>
      </c>
      <c r="Z131" s="216">
        <v>780.98646228941664</v>
      </c>
      <c r="AA131" s="216">
        <v>789.78118698424453</v>
      </c>
      <c r="AB131" s="216">
        <v>798.6749494808688</v>
      </c>
      <c r="AC131" s="216">
        <v>807.66886504855881</v>
      </c>
      <c r="AD131" s="216">
        <v>816.76406151568267</v>
      </c>
      <c r="AE131" s="216">
        <v>825.96167941113606</v>
      </c>
      <c r="AF131" s="216">
        <v>835.26287210736348</v>
      </c>
      <c r="AG131" s="216">
        <v>844.66880596498947</v>
      </c>
      <c r="AH131" s="216">
        <v>854.18066047907996</v>
      </c>
      <c r="AI131" s="216">
        <v>863.79962842704924</v>
      </c>
      <c r="AJ131" s="216">
        <v>873.52691601823335</v>
      </c>
      <c r="AK131" s="216">
        <v>883.36374304514732</v>
      </c>
      <c r="AL131" s="216">
        <v>893.31134303644649</v>
      </c>
      <c r="AM131" s="216">
        <v>903.37096341160873</v>
      </c>
      <c r="AN131" s="216">
        <v>913.54386563736125</v>
      </c>
      <c r="AO131" s="216">
        <v>923.83132538586619</v>
      </c>
      <c r="AP131" s="216">
        <v>934.23463269468846</v>
      </c>
      <c r="AQ131" s="216">
        <v>944.75509212856628</v>
      </c>
      <c r="AR131" s="216">
        <v>955.39402294300135</v>
      </c>
      <c r="AS131" s="216">
        <v>966.15275924969319</v>
      </c>
      <c r="AT131" s="216">
        <v>977.03265018383411</v>
      </c>
      <c r="AU131" s="216">
        <v>988.03506007329099</v>
      </c>
      <c r="AV131" s="216">
        <v>999.16136860968959</v>
      </c>
      <c r="AW131" s="216">
        <v>1010.4129710214269</v>
      </c>
      <c r="AX131" s="216">
        <v>1021.7912782486316</v>
      </c>
      <c r="AY131" s="216">
        <v>1033.2977171200941</v>
      </c>
      <c r="AZ131" s="216">
        <v>1044.9337305321908</v>
      </c>
      <c r="BA131" s="216">
        <v>1056.7007776298199</v>
      </c>
      <c r="BB131" s="216">
        <v>1068.600333989378</v>
      </c>
      <c r="BC131" s="216">
        <v>1080.6338918037964</v>
      </c>
      <c r="BD131" s="216">
        <v>1092.8029600696598</v>
      </c>
      <c r="BE131" s="216">
        <v>1105.1090647764327</v>
      </c>
      <c r="BF131" s="216">
        <v>1117.5537490978184</v>
      </c>
      <c r="BG131" s="216">
        <v>1130.13857358527</v>
      </c>
      <c r="BH131" s="216">
        <v>1142.8651163636837</v>
      </c>
      <c r="BI131" s="216">
        <v>1155.7349733292917</v>
      </c>
      <c r="BJ131" s="216">
        <v>1168.7497583497893</v>
      </c>
      <c r="BK131" s="216">
        <v>1181.9111034667087</v>
      </c>
      <c r="BL131" s="216">
        <v>1195.220659100079</v>
      </c>
    </row>
    <row r="132" spans="1:64">
      <c r="A132" t="s">
        <v>1033</v>
      </c>
      <c r="B132">
        <v>276</v>
      </c>
      <c r="C132">
        <v>300</v>
      </c>
      <c r="D132">
        <v>311</v>
      </c>
      <c r="E132">
        <v>327</v>
      </c>
      <c r="F132">
        <v>329</v>
      </c>
      <c r="G132">
        <v>335</v>
      </c>
      <c r="H132">
        <v>330</v>
      </c>
      <c r="I132">
        <v>325</v>
      </c>
      <c r="J132">
        <v>360</v>
      </c>
      <c r="K132">
        <v>338</v>
      </c>
      <c r="L132">
        <v>353</v>
      </c>
      <c r="M132">
        <v>330</v>
      </c>
      <c r="N132">
        <v>331</v>
      </c>
      <c r="O132">
        <v>346</v>
      </c>
      <c r="P132">
        <v>340</v>
      </c>
      <c r="Q132">
        <v>351</v>
      </c>
      <c r="R132">
        <v>332</v>
      </c>
      <c r="S132">
        <v>321</v>
      </c>
      <c r="T132">
        <v>330</v>
      </c>
      <c r="U132">
        <v>321</v>
      </c>
      <c r="V132">
        <v>343</v>
      </c>
      <c r="W132">
        <v>317</v>
      </c>
      <c r="X132">
        <v>348</v>
      </c>
      <c r="Y132" s="216">
        <v>364</v>
      </c>
      <c r="Z132" s="216">
        <v>349.09403616620705</v>
      </c>
      <c r="AA132" s="216">
        <v>350.58090302104159</v>
      </c>
      <c r="AB132" s="216">
        <v>352.07410276276323</v>
      </c>
      <c r="AC132" s="216">
        <v>353.57366236450429</v>
      </c>
      <c r="AD132" s="216">
        <v>355.07960891428132</v>
      </c>
      <c r="AE132" s="216">
        <v>356.5919696154848</v>
      </c>
      <c r="AF132" s="216">
        <v>358.11077178737008</v>
      </c>
      <c r="AG132" s="216">
        <v>359.6360428655513</v>
      </c>
      <c r="AH132" s="216">
        <v>361.16781040249668</v>
      </c>
      <c r="AI132" s="216">
        <v>362.7061020680265</v>
      </c>
      <c r="AJ132" s="216">
        <v>364.25094564981265</v>
      </c>
      <c r="AK132" s="216">
        <v>365.8023690538808</v>
      </c>
      <c r="AL132" s="216">
        <v>367.36040030511424</v>
      </c>
      <c r="AM132" s="216">
        <v>368.92506754776048</v>
      </c>
      <c r="AN132" s="216">
        <v>370.49639904593937</v>
      </c>
      <c r="AO132" s="216">
        <v>372.07442318415383</v>
      </c>
      <c r="AP132" s="216">
        <v>373.65916846780226</v>
      </c>
      <c r="AQ132" s="216">
        <v>375.25066352369402</v>
      </c>
      <c r="AR132" s="216">
        <v>376.84893710056605</v>
      </c>
      <c r="AS132" s="216">
        <v>378.4540180696024</v>
      </c>
      <c r="AT132" s="216">
        <v>380.06593542495568</v>
      </c>
      <c r="AU132" s="216">
        <v>381.68471828427101</v>
      </c>
      <c r="AV132" s="216">
        <v>383.31039588921163</v>
      </c>
      <c r="AW132" s="216">
        <v>384.94299760598761</v>
      </c>
      <c r="AX132" s="216">
        <v>386.58255292588569</v>
      </c>
      <c r="AY132" s="216">
        <v>388.22909146580264</v>
      </c>
      <c r="AZ132" s="216">
        <v>389.88264296877986</v>
      </c>
      <c r="BA132" s="216">
        <v>391.54323730454104</v>
      </c>
      <c r="BB132" s="216">
        <v>393.21090447003093</v>
      </c>
      <c r="BC132" s="216">
        <v>394.88567458995834</v>
      </c>
      <c r="BD132" s="216">
        <v>396.56757791733929</v>
      </c>
      <c r="BE132" s="216">
        <v>398.25664483404415</v>
      </c>
      <c r="BF132" s="216">
        <v>399.95290585134615</v>
      </c>
      <c r="BG132" s="216">
        <v>401.65639161047267</v>
      </c>
      <c r="BH132" s="216">
        <v>403.3671328831586</v>
      </c>
      <c r="BI132" s="216">
        <v>405.08516057220248</v>
      </c>
      <c r="BJ132" s="216">
        <v>406.81050571202428</v>
      </c>
      <c r="BK132" s="216">
        <v>408.54319946922641</v>
      </c>
      <c r="BL132" s="216">
        <v>410.28327314315663</v>
      </c>
    </row>
    <row r="133" spans="1:64">
      <c r="A133" t="s">
        <v>1179</v>
      </c>
      <c r="B133">
        <v>31</v>
      </c>
      <c r="C133">
        <v>24</v>
      </c>
      <c r="D133">
        <v>32</v>
      </c>
      <c r="E133">
        <v>35</v>
      </c>
      <c r="F133">
        <v>34</v>
      </c>
      <c r="G133">
        <v>42</v>
      </c>
      <c r="H133">
        <v>46</v>
      </c>
      <c r="I133">
        <v>45</v>
      </c>
      <c r="J133">
        <v>38</v>
      </c>
      <c r="K133">
        <v>32</v>
      </c>
      <c r="L133">
        <v>21</v>
      </c>
      <c r="M133">
        <v>23</v>
      </c>
      <c r="N133">
        <v>22</v>
      </c>
      <c r="O133">
        <v>18</v>
      </c>
      <c r="P133">
        <v>17</v>
      </c>
      <c r="Q133">
        <v>18</v>
      </c>
      <c r="R133">
        <v>15</v>
      </c>
      <c r="S133">
        <v>14</v>
      </c>
      <c r="T133">
        <v>14</v>
      </c>
      <c r="U133">
        <v>13</v>
      </c>
      <c r="V133">
        <v>12</v>
      </c>
      <c r="W133">
        <v>12</v>
      </c>
      <c r="X133">
        <v>13</v>
      </c>
      <c r="Y133" s="216">
        <v>10</v>
      </c>
      <c r="Z133" s="216">
        <v>10.368317160690879</v>
      </c>
      <c r="AA133" s="216">
        <v>9.7717044766958558</v>
      </c>
      <c r="AB133" s="216">
        <v>9.2094220209516831</v>
      </c>
      <c r="AC133" s="216">
        <v>8.6794943668484859</v>
      </c>
      <c r="AD133" s="216">
        <v>8.1800597575796345</v>
      </c>
      <c r="AE133" s="216">
        <v>7.7093635653651535</v>
      </c>
      <c r="AF133" s="216">
        <v>7.265752127043811</v>
      </c>
      <c r="AG133" s="216">
        <v>6.8476669343769894</v>
      </c>
      <c r="AH133" s="216">
        <v>6.4536391586535071</v>
      </c>
      <c r="AI133" s="216">
        <v>6.0822844903590925</v>
      </c>
      <c r="AJ133" s="216">
        <v>5.7322982757810816</v>
      </c>
      <c r="AK133" s="216">
        <v>5.4024509334621351</v>
      </c>
      <c r="AL133" s="216">
        <v>5.0915836343999326</v>
      </c>
      <c r="AM133" s="216">
        <v>4.7986042308163661</v>
      </c>
      <c r="AN133" s="216">
        <v>4.522483419193116</v>
      </c>
      <c r="AO133" s="216">
        <v>4.2622511240934555</v>
      </c>
      <c r="AP133" s="216">
        <v>4.0169930900658022</v>
      </c>
      <c r="AQ133" s="216">
        <v>3.785847669655658</v>
      </c>
      <c r="AR133" s="216">
        <v>3.5680027962414025</v>
      </c>
      <c r="AS133" s="216">
        <v>3.3626931310589092</v>
      </c>
      <c r="AT133" s="216">
        <v>3.1691973743917785</v>
      </c>
      <c r="AU133" s="216">
        <v>2.9868357314807819</v>
      </c>
      <c r="AV133" s="216">
        <v>2.8149675242497212</v>
      </c>
      <c r="AW133" s="216">
        <v>2.6529889404570981</v>
      </c>
      <c r="AX133" s="216">
        <v>2.5003309123658983</v>
      </c>
      <c r="AY133" s="216">
        <v>2.356457117478731</v>
      </c>
      <c r="AZ133" s="216">
        <v>2.220862094314481</v>
      </c>
      <c r="BA133" s="216">
        <v>2.093069466606758</v>
      </c>
      <c r="BB133" s="216">
        <v>1.9726302696853273</v>
      </c>
      <c r="BC133" s="216">
        <v>1.8591213731607572</v>
      </c>
      <c r="BD133" s="216">
        <v>1.7521439943707704</v>
      </c>
      <c r="BE133" s="216">
        <v>1.6513222973657324</v>
      </c>
      <c r="BF133" s="216">
        <v>1.5563020725111769</v>
      </c>
      <c r="BG133" s="216">
        <v>1.466749492068504</v>
      </c>
      <c r="BH133" s="216">
        <v>1.3823499373819443</v>
      </c>
      <c r="BI133" s="216">
        <v>1.3028068935514028</v>
      </c>
      <c r="BJ133" s="216">
        <v>1.2278409077079362</v>
      </c>
      <c r="BK133" s="216">
        <v>1.1571886072320405</v>
      </c>
      <c r="BL133" s="216">
        <v>1.0906017744655196</v>
      </c>
    </row>
    <row r="134" spans="1:64">
      <c r="A134" t="s">
        <v>177</v>
      </c>
      <c r="B134">
        <v>162</v>
      </c>
      <c r="C134">
        <v>164</v>
      </c>
      <c r="D134">
        <v>151</v>
      </c>
      <c r="E134">
        <v>140</v>
      </c>
      <c r="F134">
        <v>130</v>
      </c>
      <c r="G134">
        <v>124</v>
      </c>
      <c r="H134">
        <v>119</v>
      </c>
      <c r="I134">
        <v>132</v>
      </c>
      <c r="J134">
        <v>137</v>
      </c>
      <c r="K134">
        <v>115</v>
      </c>
      <c r="L134">
        <v>114</v>
      </c>
      <c r="M134">
        <v>109</v>
      </c>
      <c r="N134">
        <v>97</v>
      </c>
      <c r="O134">
        <v>99</v>
      </c>
      <c r="P134">
        <v>101</v>
      </c>
      <c r="Q134">
        <v>87</v>
      </c>
      <c r="R134">
        <v>94</v>
      </c>
      <c r="S134">
        <v>72</v>
      </c>
      <c r="T134">
        <v>85</v>
      </c>
      <c r="U134">
        <v>87</v>
      </c>
      <c r="V134">
        <v>90</v>
      </c>
      <c r="W134">
        <v>92</v>
      </c>
      <c r="X134">
        <v>88</v>
      </c>
      <c r="Y134" s="216">
        <v>71</v>
      </c>
      <c r="Z134" s="216">
        <v>72.562363937154075</v>
      </c>
      <c r="AA134" s="216">
        <v>70.299884793374403</v>
      </c>
      <c r="AB134" s="216">
        <v>68.107949270258374</v>
      </c>
      <c r="AC134" s="216">
        <v>65.984357832649991</v>
      </c>
      <c r="AD134" s="216">
        <v>63.926979526433811</v>
      </c>
      <c r="AE134" s="216">
        <v>61.933749840192434</v>
      </c>
      <c r="AF134" s="216">
        <v>60.002668633537375</v>
      </c>
      <c r="AG134" s="216">
        <v>58.131798130033971</v>
      </c>
      <c r="AH134" s="216">
        <v>56.319260972706495</v>
      </c>
      <c r="AI134" s="216">
        <v>54.563238340172205</v>
      </c>
      <c r="AJ134" s="216">
        <v>52.861968121513996</v>
      </c>
      <c r="AK134" s="216">
        <v>51.213743148060054</v>
      </c>
      <c r="AL134" s="216">
        <v>49.6169094802963</v>
      </c>
      <c r="AM134" s="216">
        <v>48.069864748192479</v>
      </c>
      <c r="AN134" s="216">
        <v>46.571056543276654</v>
      </c>
      <c r="AO134" s="216">
        <v>45.11898086084431</v>
      </c>
      <c r="AP134" s="216">
        <v>43.712180590739202</v>
      </c>
      <c r="AQ134" s="216">
        <v>42.349244055191214</v>
      </c>
      <c r="AR134" s="216">
        <v>41.028803592244202</v>
      </c>
      <c r="AS134" s="216">
        <v>39.74953418335226</v>
      </c>
      <c r="AT134" s="216">
        <v>38.510152123767192</v>
      </c>
      <c r="AU134" s="216">
        <v>37.309413734383035</v>
      </c>
      <c r="AV134" s="216">
        <v>36.146114113745028</v>
      </c>
      <c r="AW134" s="216">
        <v>35.019085928970661</v>
      </c>
      <c r="AX134" s="216">
        <v>33.927198244369528</v>
      </c>
      <c r="AY134" s="216">
        <v>32.869355386586598</v>
      </c>
      <c r="AZ134" s="216">
        <v>31.844495845130059</v>
      </c>
      <c r="BA134" s="216">
        <v>30.851591207180491</v>
      </c>
      <c r="BB134" s="216">
        <v>29.889645125612414</v>
      </c>
      <c r="BC134" s="216">
        <v>28.95769231919278</v>
      </c>
      <c r="BD134" s="216">
        <v>28.054797603952995</v>
      </c>
      <c r="BE134" s="216">
        <v>27.180054954762614</v>
      </c>
      <c r="BF134" s="216">
        <v>26.332586596162891</v>
      </c>
      <c r="BG134" s="216">
        <v>25.511542121548064</v>
      </c>
      <c r="BH134" s="216">
        <v>24.716097639810272</v>
      </c>
      <c r="BI134" s="216">
        <v>23.945454948591937</v>
      </c>
      <c r="BJ134" s="216">
        <v>23.198840733316008</v>
      </c>
      <c r="BK134" s="216">
        <v>22.475505791190187</v>
      </c>
      <c r="BL134" s="216">
        <v>21.774724279406644</v>
      </c>
    </row>
    <row r="135" spans="1:64">
      <c r="A135" t="s">
        <v>179</v>
      </c>
      <c r="B135">
        <v>105</v>
      </c>
      <c r="C135">
        <v>110</v>
      </c>
      <c r="D135">
        <v>113</v>
      </c>
      <c r="E135">
        <v>105</v>
      </c>
      <c r="F135">
        <v>110</v>
      </c>
      <c r="G135">
        <v>113</v>
      </c>
      <c r="H135">
        <v>115</v>
      </c>
      <c r="I135">
        <v>130</v>
      </c>
      <c r="J135">
        <v>131</v>
      </c>
      <c r="K135">
        <v>122</v>
      </c>
      <c r="L135">
        <v>108</v>
      </c>
      <c r="M135">
        <v>84</v>
      </c>
      <c r="N135">
        <v>73</v>
      </c>
      <c r="O135">
        <v>60</v>
      </c>
      <c r="P135">
        <v>56</v>
      </c>
      <c r="Q135">
        <v>64</v>
      </c>
      <c r="R135">
        <v>74</v>
      </c>
      <c r="S135">
        <v>74</v>
      </c>
      <c r="T135">
        <v>95</v>
      </c>
      <c r="U135">
        <v>69</v>
      </c>
      <c r="V135">
        <v>86</v>
      </c>
      <c r="W135">
        <v>88</v>
      </c>
      <c r="X135">
        <v>79</v>
      </c>
      <c r="Y135" s="216">
        <v>80</v>
      </c>
      <c r="Z135" s="216">
        <v>68.719765444008502</v>
      </c>
      <c r="AA135" s="216">
        <v>67.202994683621895</v>
      </c>
      <c r="AB135" s="216">
        <v>65.719701824748768</v>
      </c>
      <c r="AC135" s="216">
        <v>64.269147948945388</v>
      </c>
      <c r="AD135" s="216">
        <v>62.850610447047949</v>
      </c>
      <c r="AE135" s="216">
        <v>61.463382659196952</v>
      </c>
      <c r="AF135" s="216">
        <v>60.106773522806897</v>
      </c>
      <c r="AG135" s="216">
        <v>58.780107228306001</v>
      </c>
      <c r="AH135" s="216">
        <v>57.482722882474278</v>
      </c>
      <c r="AI135" s="216">
        <v>56.213974179212435</v>
      </c>
      <c r="AJ135" s="216">
        <v>54.973229077577479</v>
      </c>
      <c r="AK135" s="216">
        <v>53.759869486924593</v>
      </c>
      <c r="AL135" s="216">
        <v>52.573290958998641</v>
      </c>
      <c r="AM135" s="216">
        <v>51.412902386821713</v>
      </c>
      <c r="AN135" s="216">
        <v>50.278125710226682</v>
      </c>
      <c r="AO135" s="216">
        <v>49.168395627890327</v>
      </c>
      <c r="AP135" s="216">
        <v>48.083159315722341</v>
      </c>
      <c r="AQ135" s="216">
        <v>47.021876151469968</v>
      </c>
      <c r="AR135" s="216">
        <v>45.984017445401157</v>
      </c>
      <c r="AS135" s="216">
        <v>44.96906617693211</v>
      </c>
      <c r="AT135" s="216">
        <v>43.97651673706774</v>
      </c>
      <c r="AU135" s="216">
        <v>43.005874676527178</v>
      </c>
      <c r="AV135" s="216">
        <v>42.05665645942841</v>
      </c>
      <c r="AW135" s="216">
        <v>41.128389222409673</v>
      </c>
      <c r="AX135" s="216">
        <v>40.220610539067408</v>
      </c>
      <c r="AY135" s="216">
        <v>39.332868189593569</v>
      </c>
      <c r="AZ135" s="216">
        <v>38.464719935497371</v>
      </c>
      <c r="BA135" s="216">
        <v>37.6157332992994</v>
      </c>
      <c r="BB135" s="216">
        <v>36.785485349088269</v>
      </c>
      <c r="BC135" s="216">
        <v>35.973562487832467</v>
      </c>
      <c r="BD135" s="216">
        <v>35.179560247342536</v>
      </c>
      <c r="BE135" s="216">
        <v>34.403083086780853</v>
      </c>
      <c r="BF135" s="216">
        <v>33.643744195618645</v>
      </c>
      <c r="BG135" s="216">
        <v>32.901165300942132</v>
      </c>
      <c r="BH135" s="216">
        <v>32.174976479011768</v>
      </c>
      <c r="BI135" s="216">
        <v>31.464815970980716</v>
      </c>
      <c r="BJ135" s="216">
        <v>30.770330002680744</v>
      </c>
      <c r="BK135" s="216">
        <v>30.091172608385794</v>
      </c>
      <c r="BL135" s="216">
        <v>29.427005458465384</v>
      </c>
    </row>
    <row r="136" spans="1:64">
      <c r="A136" t="s">
        <v>181</v>
      </c>
      <c r="B136">
        <v>48</v>
      </c>
      <c r="C136">
        <v>46</v>
      </c>
      <c r="D136">
        <v>49</v>
      </c>
      <c r="E136">
        <v>54</v>
      </c>
      <c r="F136">
        <v>59</v>
      </c>
      <c r="G136">
        <v>45</v>
      </c>
      <c r="H136">
        <v>46</v>
      </c>
      <c r="I136">
        <v>57</v>
      </c>
      <c r="J136">
        <v>62</v>
      </c>
      <c r="K136">
        <v>47</v>
      </c>
      <c r="L136">
        <v>50</v>
      </c>
      <c r="M136">
        <v>43</v>
      </c>
      <c r="N136">
        <v>46</v>
      </c>
      <c r="O136">
        <v>38</v>
      </c>
      <c r="P136">
        <v>32</v>
      </c>
      <c r="Q136">
        <v>30</v>
      </c>
      <c r="R136">
        <v>30</v>
      </c>
      <c r="S136">
        <v>18</v>
      </c>
      <c r="T136">
        <v>24</v>
      </c>
      <c r="U136">
        <v>29</v>
      </c>
      <c r="V136">
        <v>22</v>
      </c>
      <c r="W136">
        <v>27</v>
      </c>
      <c r="X136">
        <v>25</v>
      </c>
      <c r="Y136" s="216">
        <v>29</v>
      </c>
      <c r="Z136" s="216">
        <v>22.677385265703165</v>
      </c>
      <c r="AA136" s="216">
        <v>21.772413265925969</v>
      </c>
      <c r="AB136" s="216">
        <v>20.903555408532704</v>
      </c>
      <c r="AC136" s="216">
        <v>20.069370509397832</v>
      </c>
      <c r="AD136" s="216">
        <v>19.268474896814695</v>
      </c>
      <c r="AE136" s="216">
        <v>18.49954011638394</v>
      </c>
      <c r="AF136" s="216">
        <v>17.761290727491566</v>
      </c>
      <c r="AG136" s="216">
        <v>17.052502187721448</v>
      </c>
      <c r="AH136" s="216">
        <v>16.371998821693339</v>
      </c>
      <c r="AI136" s="216">
        <v>15.718651870957117</v>
      </c>
      <c r="AJ136" s="216">
        <v>15.091377621708677</v>
      </c>
      <c r="AK136" s="216">
        <v>14.48913560722187</v>
      </c>
      <c r="AL136" s="216">
        <v>13.910926882014859</v>
      </c>
      <c r="AM136" s="216">
        <v>13.355792364888202</v>
      </c>
      <c r="AN136" s="216">
        <v>12.822811248086284</v>
      </c>
      <c r="AO136" s="216">
        <v>12.311099469943315</v>
      </c>
      <c r="AP136" s="216">
        <v>11.819808248480483</v>
      </c>
      <c r="AQ136" s="216">
        <v>11.348122673521907</v>
      </c>
      <c r="AR136" s="216">
        <v>10.895260354994129</v>
      </c>
      <c r="AS136" s="216">
        <v>10.460470125167053</v>
      </c>
      <c r="AT136" s="216">
        <v>10.043030792683741</v>
      </c>
      <c r="AU136" s="216">
        <v>9.6422499463123348</v>
      </c>
      <c r="AV136" s="216">
        <v>9.2574628064359068</v>
      </c>
      <c r="AW136" s="216">
        <v>8.8880311223751516</v>
      </c>
      <c r="AX136" s="216">
        <v>8.5333421137149479</v>
      </c>
      <c r="AY136" s="216">
        <v>8.192807453878709</v>
      </c>
      <c r="AZ136" s="216">
        <v>7.8658622942645939</v>
      </c>
      <c r="BA136" s="216">
        <v>7.5519643273248889</v>
      </c>
      <c r="BB136" s="216">
        <v>7.2505928870344896</v>
      </c>
      <c r="BC136" s="216">
        <v>6.9612480852564165</v>
      </c>
      <c r="BD136" s="216">
        <v>6.6834499825718332</v>
      </c>
      <c r="BE136" s="216">
        <v>6.416737792199239</v>
      </c>
      <c r="BF136" s="216">
        <v>6.1606691156823405</v>
      </c>
      <c r="BG136" s="216">
        <v>5.9148192090788436</v>
      </c>
      <c r="BH136" s="216">
        <v>5.6787802784329893</v>
      </c>
      <c r="BI136" s="216">
        <v>5.4521608033632107</v>
      </c>
      <c r="BJ136" s="216">
        <v>5.2345848876429528</v>
      </c>
      <c r="BK136" s="216">
        <v>5.025691635697453</v>
      </c>
      <c r="BL136" s="216">
        <v>4.825134553982255</v>
      </c>
    </row>
    <row r="137" spans="1:64">
      <c r="A137" t="s">
        <v>1378</v>
      </c>
      <c r="K137">
        <v>29</v>
      </c>
      <c r="L137">
        <v>29</v>
      </c>
      <c r="M137">
        <v>25</v>
      </c>
      <c r="N137">
        <v>16</v>
      </c>
      <c r="O137">
        <v>20</v>
      </c>
      <c r="P137">
        <v>18</v>
      </c>
      <c r="Q137">
        <v>15</v>
      </c>
      <c r="R137">
        <v>11</v>
      </c>
      <c r="S137">
        <v>11</v>
      </c>
      <c r="T137">
        <v>11</v>
      </c>
      <c r="U137">
        <v>13</v>
      </c>
      <c r="V137">
        <v>13</v>
      </c>
      <c r="W137">
        <v>12</v>
      </c>
      <c r="X137">
        <v>14</v>
      </c>
      <c r="Y137" s="216">
        <v>12</v>
      </c>
      <c r="Z137" s="216">
        <v>9.4531564330257076</v>
      </c>
      <c r="AA137" s="216">
        <v>8.8761692568785495</v>
      </c>
      <c r="AB137" s="216">
        <v>8.3343993336983679</v>
      </c>
      <c r="AC137" s="216">
        <v>7.8256971271387528</v>
      </c>
      <c r="AD137" s="216">
        <v>7.3480443009360794</v>
      </c>
      <c r="AE137" s="216">
        <v>6.8995457109212825</v>
      </c>
      <c r="AF137" s="216">
        <v>6.4784218858108886</v>
      </c>
      <c r="AG137" s="216">
        <v>6.0830019669439022</v>
      </c>
      <c r="AH137" s="216">
        <v>5.7117170789521374</v>
      </c>
      <c r="AI137" s="216">
        <v>5.363094105061367</v>
      </c>
      <c r="AJ137" s="216">
        <v>5.0357498423260072</v>
      </c>
      <c r="AK137" s="216">
        <v>4.7283855136075852</v>
      </c>
      <c r="AL137" s="216">
        <v>4.4397816145225955</v>
      </c>
      <c r="AM137" s="216">
        <v>4.1687930749143991</v>
      </c>
      <c r="AN137" s="216">
        <v>3.914344715651735</v>
      </c>
      <c r="AO137" s="216">
        <v>3.675426982728156</v>
      </c>
      <c r="AP137" s="216">
        <v>3.4510919417369186</v>
      </c>
      <c r="AQ137" s="216">
        <v>3.2404495168289396</v>
      </c>
      <c r="AR137" s="216">
        <v>3.0426639592314215</v>
      </c>
      <c r="AS137" s="216">
        <v>2.8569505313156034</v>
      </c>
      <c r="AT137" s="216">
        <v>2.6825723930572596</v>
      </c>
      <c r="AU137" s="216">
        <v>2.5188376785366176</v>
      </c>
      <c r="AV137" s="216">
        <v>2.3650967508783696</v>
      </c>
      <c r="AW137" s="216">
        <v>2.2207396247404128</v>
      </c>
      <c r="AX137" s="216">
        <v>2.0851935461247488</v>
      </c>
      <c r="AY137" s="216">
        <v>1.957920719908151</v>
      </c>
      <c r="AZ137" s="216">
        <v>1.8384161760763051</v>
      </c>
      <c r="BA137" s="216">
        <v>1.7262057661954642</v>
      </c>
      <c r="BB137" s="216">
        <v>1.6208442821723683</v>
      </c>
      <c r="BC137" s="216">
        <v>1.5219136898383991</v>
      </c>
      <c r="BD137" s="216">
        <v>1.4290214703494963</v>
      </c>
      <c r="BE137" s="216">
        <v>1.3417990628211451</v>
      </c>
      <c r="BF137" s="216">
        <v>1.259900402019414</v>
      </c>
      <c r="BG137" s="216">
        <v>1.183000545306139</v>
      </c>
      <c r="BH137" s="216">
        <v>1.1107943833905192</v>
      </c>
      <c r="BI137" s="216">
        <v>1.0429954297718622</v>
      </c>
      <c r="BJ137" s="216">
        <v>0.97933468407045632</v>
      </c>
      <c r="BK137" s="216">
        <v>0.91955956473669942</v>
      </c>
      <c r="BL137" s="216">
        <v>0.86343290690388119</v>
      </c>
    </row>
    <row r="138" spans="1:64">
      <c r="A138" t="s">
        <v>1403</v>
      </c>
      <c r="U138">
        <v>4</v>
      </c>
      <c r="V138">
        <v>4</v>
      </c>
      <c r="W138">
        <v>3</v>
      </c>
      <c r="X138">
        <v>3</v>
      </c>
      <c r="Y138" s="216">
        <v>3</v>
      </c>
      <c r="Z138" s="216">
        <v>3</v>
      </c>
      <c r="AA138" s="216">
        <v>3</v>
      </c>
      <c r="AB138" s="216">
        <v>3</v>
      </c>
      <c r="AC138" s="216">
        <v>3</v>
      </c>
      <c r="AD138" s="216">
        <v>3</v>
      </c>
      <c r="AE138" s="216">
        <v>3</v>
      </c>
      <c r="AF138" s="216">
        <v>3</v>
      </c>
      <c r="AG138" s="216">
        <v>3</v>
      </c>
      <c r="AH138" s="216">
        <v>3</v>
      </c>
      <c r="AI138" s="216">
        <v>3</v>
      </c>
      <c r="AJ138" s="216">
        <v>3</v>
      </c>
      <c r="AK138" s="216">
        <v>3</v>
      </c>
      <c r="AL138" s="216">
        <v>3</v>
      </c>
      <c r="AM138" s="216">
        <v>3</v>
      </c>
      <c r="AN138" s="216">
        <v>3</v>
      </c>
      <c r="AO138" s="216">
        <v>3</v>
      </c>
      <c r="AP138" s="216">
        <v>3</v>
      </c>
      <c r="AQ138" s="216">
        <v>3</v>
      </c>
      <c r="AR138" s="216">
        <v>3</v>
      </c>
      <c r="AS138" s="216">
        <v>3</v>
      </c>
      <c r="AT138" s="216">
        <v>3</v>
      </c>
      <c r="AU138" s="216">
        <v>3</v>
      </c>
      <c r="AV138" s="216">
        <v>3</v>
      </c>
      <c r="AW138" s="216">
        <v>3</v>
      </c>
      <c r="AX138" s="216">
        <v>3</v>
      </c>
      <c r="AY138" s="216">
        <v>3</v>
      </c>
      <c r="AZ138" s="216">
        <v>3</v>
      </c>
      <c r="BA138" s="216">
        <v>3</v>
      </c>
      <c r="BB138" s="216">
        <v>3</v>
      </c>
      <c r="BC138" s="216">
        <v>3</v>
      </c>
      <c r="BD138" s="216">
        <v>3</v>
      </c>
      <c r="BE138" s="216">
        <v>3</v>
      </c>
      <c r="BF138" s="216">
        <v>3</v>
      </c>
      <c r="BG138" s="216">
        <v>3</v>
      </c>
      <c r="BH138" s="216">
        <v>3</v>
      </c>
      <c r="BI138" s="216">
        <v>3</v>
      </c>
      <c r="BJ138" s="216">
        <v>3</v>
      </c>
      <c r="BK138" s="216">
        <v>3</v>
      </c>
      <c r="BL138" s="216">
        <v>3</v>
      </c>
    </row>
    <row r="139" spans="1:64">
      <c r="A139" t="s">
        <v>86</v>
      </c>
      <c r="B139">
        <v>305</v>
      </c>
      <c r="C139">
        <v>316</v>
      </c>
      <c r="D139">
        <v>300</v>
      </c>
      <c r="E139">
        <v>310</v>
      </c>
      <c r="F139">
        <v>305</v>
      </c>
      <c r="G139">
        <v>301</v>
      </c>
      <c r="H139">
        <v>280</v>
      </c>
      <c r="I139">
        <v>286</v>
      </c>
      <c r="J139">
        <v>310</v>
      </c>
      <c r="K139">
        <v>267</v>
      </c>
      <c r="L139">
        <v>259</v>
      </c>
      <c r="M139">
        <v>268</v>
      </c>
      <c r="N139">
        <v>274</v>
      </c>
      <c r="O139">
        <v>272</v>
      </c>
      <c r="P139">
        <v>263</v>
      </c>
      <c r="Q139">
        <v>281</v>
      </c>
      <c r="R139">
        <v>266</v>
      </c>
      <c r="S139">
        <v>272</v>
      </c>
      <c r="T139">
        <v>271</v>
      </c>
      <c r="U139">
        <v>282</v>
      </c>
      <c r="V139">
        <v>294</v>
      </c>
      <c r="W139">
        <v>305</v>
      </c>
      <c r="X139">
        <v>301</v>
      </c>
      <c r="Y139" s="216">
        <v>281</v>
      </c>
      <c r="Z139" s="216">
        <v>274.13792717325833</v>
      </c>
      <c r="AA139" s="216">
        <v>273.23365635614533</v>
      </c>
      <c r="AB139" s="216">
        <v>272.33236836493717</v>
      </c>
      <c r="AC139" s="216">
        <v>271.4340533604904</v>
      </c>
      <c r="AD139" s="216">
        <v>270.53870153611672</v>
      </c>
      <c r="AE139" s="216">
        <v>269.64630311747641</v>
      </c>
      <c r="AF139" s="216">
        <v>268.75684836247109</v>
      </c>
      <c r="AG139" s="216">
        <v>267.87032756113791</v>
      </c>
      <c r="AH139" s="216">
        <v>266.98673103554319</v>
      </c>
      <c r="AI139" s="216">
        <v>266.10604913967671</v>
      </c>
      <c r="AJ139" s="216">
        <v>265.2282722593468</v>
      </c>
      <c r="AK139" s="216">
        <v>264.35339081207502</v>
      </c>
      <c r="AL139" s="216">
        <v>263.48139524699161</v>
      </c>
      <c r="AM139" s="216">
        <v>262.61227604473146</v>
      </c>
      <c r="AN139" s="216">
        <v>261.74602371732993</v>
      </c>
      <c r="AO139" s="216">
        <v>260.88262880811925</v>
      </c>
      <c r="AP139" s="216">
        <v>260.02208189162559</v>
      </c>
      <c r="AQ139" s="216">
        <v>259.16437357346587</v>
      </c>
      <c r="AR139" s="216">
        <v>258.3094944902453</v>
      </c>
      <c r="AS139" s="216">
        <v>257.45743530945521</v>
      </c>
      <c r="AT139" s="216">
        <v>256.60818672937103</v>
      </c>
      <c r="AU139" s="216">
        <v>255.76173947895097</v>
      </c>
      <c r="AV139" s="216">
        <v>254.91808431773461</v>
      </c>
      <c r="AW139" s="216">
        <v>254.07721203574206</v>
      </c>
      <c r="AX139" s="216">
        <v>253.23911345337353</v>
      </c>
      <c r="AY139" s="216">
        <v>252.40377942130897</v>
      </c>
      <c r="AZ139" s="216">
        <v>251.57120082040831</v>
      </c>
      <c r="BA139" s="216">
        <v>250.74136856161184</v>
      </c>
      <c r="BB139" s="216">
        <v>249.91427358584093</v>
      </c>
      <c r="BC139" s="216">
        <v>249.08990686389939</v>
      </c>
      <c r="BD139" s="216">
        <v>248.2682593963745</v>
      </c>
      <c r="BE139" s="216">
        <v>247.44932221353918</v>
      </c>
      <c r="BF139" s="216">
        <v>246.63308637525373</v>
      </c>
      <c r="BG139" s="216">
        <v>245.81954297086847</v>
      </c>
      <c r="BH139" s="216">
        <v>245.00868311912629</v>
      </c>
      <c r="BI139" s="216">
        <v>244.20049796806583</v>
      </c>
      <c r="BJ139" s="216">
        <v>243.39497869492484</v>
      </c>
      <c r="BK139" s="216">
        <v>242.59211650604368</v>
      </c>
      <c r="BL139" s="216">
        <v>241.79190263676958</v>
      </c>
    </row>
    <row r="140" spans="1:64">
      <c r="A140" t="s">
        <v>1376</v>
      </c>
      <c r="B140">
        <v>47</v>
      </c>
      <c r="C140">
        <v>48</v>
      </c>
      <c r="D140">
        <v>49</v>
      </c>
      <c r="E140">
        <v>50</v>
      </c>
      <c r="F140">
        <v>49</v>
      </c>
      <c r="G140">
        <v>50</v>
      </c>
      <c r="H140">
        <v>52</v>
      </c>
      <c r="I140">
        <v>53</v>
      </c>
      <c r="J140">
        <v>53</v>
      </c>
      <c r="K140">
        <v>39</v>
      </c>
      <c r="L140">
        <v>44</v>
      </c>
      <c r="M140">
        <v>41</v>
      </c>
      <c r="N140">
        <v>38</v>
      </c>
      <c r="O140">
        <v>42</v>
      </c>
      <c r="P140">
        <v>39</v>
      </c>
      <c r="Q140">
        <v>51</v>
      </c>
      <c r="R140">
        <v>47</v>
      </c>
      <c r="S140">
        <v>60</v>
      </c>
      <c r="T140">
        <v>44</v>
      </c>
      <c r="U140">
        <v>49</v>
      </c>
      <c r="V140">
        <v>50</v>
      </c>
      <c r="W140">
        <v>56</v>
      </c>
      <c r="X140">
        <v>67</v>
      </c>
      <c r="Y140" s="216">
        <v>78</v>
      </c>
      <c r="Z140" s="216">
        <v>54.644752001035904</v>
      </c>
      <c r="AA140" s="216">
        <v>55.110912406560821</v>
      </c>
      <c r="AB140" s="216">
        <v>55.581049507298395</v>
      </c>
      <c r="AC140" s="216">
        <v>56.055197227418553</v>
      </c>
      <c r="AD140" s="216">
        <v>56.533389780489649</v>
      </c>
      <c r="AE140" s="216">
        <v>57.015661671947257</v>
      </c>
      <c r="AF140" s="216">
        <v>57.502047701583969</v>
      </c>
      <c r="AG140" s="216">
        <v>57.99258296606051</v>
      </c>
      <c r="AH140" s="216">
        <v>58.487302861438273</v>
      </c>
      <c r="AI140" s="216">
        <v>58.986243085733364</v>
      </c>
      <c r="AJ140" s="216">
        <v>59.489439641492567</v>
      </c>
      <c r="AK140" s="216">
        <v>59.996928838391149</v>
      </c>
      <c r="AL140" s="216">
        <v>60.508747295852977</v>
      </c>
      <c r="AM140" s="216">
        <v>61.024931945692813</v>
      </c>
      <c r="AN140" s="216">
        <v>61.545520034781319</v>
      </c>
      <c r="AO140" s="216">
        <v>62.070549127732669</v>
      </c>
      <c r="AP140" s="216">
        <v>62.600057109615172</v>
      </c>
      <c r="AQ140" s="216">
        <v>63.134082188684935</v>
      </c>
      <c r="AR140" s="216">
        <v>63.672662899142971</v>
      </c>
      <c r="AS140" s="216">
        <v>64.215838103915658</v>
      </c>
      <c r="AT140" s="216">
        <v>64.763646997459119</v>
      </c>
      <c r="AU140" s="216">
        <v>65.31612910858729</v>
      </c>
      <c r="AV140" s="216">
        <v>65.873324303324381</v>
      </c>
      <c r="AW140" s="216">
        <v>66.4352727877814</v>
      </c>
      <c r="AX140" s="216">
        <v>67.002015111057446</v>
      </c>
      <c r="AY140" s="216">
        <v>67.573592168165604</v>
      </c>
      <c r="AZ140" s="216">
        <v>68.150045202983847</v>
      </c>
      <c r="BA140" s="216">
        <v>68.731415811231145</v>
      </c>
      <c r="BB140" s="216">
        <v>69.317745943468864</v>
      </c>
      <c r="BC140" s="216">
        <v>69.909077908127941</v>
      </c>
      <c r="BD140" s="216">
        <v>70.50545437456168</v>
      </c>
      <c r="BE140" s="216">
        <v>71.106918376124739</v>
      </c>
      <c r="BF140" s="216">
        <v>71.713513313278327</v>
      </c>
      <c r="BG140" s="216">
        <v>72.325282956721864</v>
      </c>
      <c r="BH140" s="216">
        <v>72.942271450551431</v>
      </c>
      <c r="BI140" s="216">
        <v>73.564523315445129</v>
      </c>
      <c r="BJ140" s="216">
        <v>74.192083451875519</v>
      </c>
      <c r="BK140" s="216">
        <v>74.824997143349663</v>
      </c>
      <c r="BL140" s="216">
        <v>75.463310059676616</v>
      </c>
    </row>
    <row r="141" spans="1:64">
      <c r="A141" s="90" t="s">
        <v>1034</v>
      </c>
      <c r="B141">
        <v>105</v>
      </c>
      <c r="C141">
        <v>107</v>
      </c>
      <c r="D141">
        <v>109</v>
      </c>
      <c r="E141">
        <v>106</v>
      </c>
      <c r="F141">
        <v>95</v>
      </c>
      <c r="G141">
        <v>99</v>
      </c>
      <c r="H141">
        <v>90</v>
      </c>
      <c r="I141">
        <v>95</v>
      </c>
      <c r="J141">
        <v>88</v>
      </c>
      <c r="K141">
        <v>72</v>
      </c>
      <c r="L141">
        <v>74</v>
      </c>
      <c r="M141">
        <v>73</v>
      </c>
      <c r="N141">
        <v>71</v>
      </c>
      <c r="O141">
        <v>75</v>
      </c>
      <c r="P141">
        <v>76</v>
      </c>
      <c r="Q141">
        <v>82</v>
      </c>
      <c r="R141">
        <v>76</v>
      </c>
      <c r="S141">
        <v>81</v>
      </c>
      <c r="T141">
        <v>85</v>
      </c>
      <c r="U141">
        <v>89</v>
      </c>
      <c r="V141">
        <v>94</v>
      </c>
      <c r="W141">
        <v>116</v>
      </c>
      <c r="X141">
        <v>127</v>
      </c>
      <c r="Y141" s="216">
        <v>117</v>
      </c>
      <c r="Z141" s="216">
        <v>89.886316533466839</v>
      </c>
      <c r="AA141" s="216">
        <v>89.842874104095642</v>
      </c>
      <c r="AB141" s="216">
        <v>89.799452670630629</v>
      </c>
      <c r="AC141" s="216">
        <v>89.756052222924396</v>
      </c>
      <c r="AD141" s="216">
        <v>89.712672750834443</v>
      </c>
      <c r="AE141" s="216">
        <v>89.669314244223159</v>
      </c>
      <c r="AF141" s="216">
        <v>89.625976692957863</v>
      </c>
      <c r="AG141" s="216">
        <v>89.582660086910721</v>
      </c>
      <c r="AH141" s="216">
        <v>89.539364415958843</v>
      </c>
      <c r="AI141" s="216">
        <v>89.496089669984187</v>
      </c>
      <c r="AJ141" s="216">
        <v>89.452835838873639</v>
      </c>
      <c r="AK141" s="216">
        <v>89.409602912518977</v>
      </c>
      <c r="AL141" s="216">
        <v>89.366390880816823</v>
      </c>
      <c r="AM141" s="216">
        <v>89.323199733668702</v>
      </c>
      <c r="AN141" s="216">
        <v>89.280029460981041</v>
      </c>
      <c r="AO141" s="216">
        <v>89.2368800526651</v>
      </c>
      <c r="AP141" s="216">
        <v>89.19375149863707</v>
      </c>
      <c r="AQ141" s="216">
        <v>89.150643788817987</v>
      </c>
      <c r="AR141" s="216">
        <v>89.107556913133735</v>
      </c>
      <c r="AS141" s="216">
        <v>89.064490861515097</v>
      </c>
      <c r="AT141" s="216">
        <v>89.021445623897719</v>
      </c>
      <c r="AU141" s="216">
        <v>88.978421190222122</v>
      </c>
      <c r="AV141" s="216">
        <v>88.935417550433655</v>
      </c>
      <c r="AW141" s="216">
        <v>88.892434694482546</v>
      </c>
      <c r="AX141" s="216">
        <v>88.849472612323908</v>
      </c>
      <c r="AY141" s="216">
        <v>88.806531293917644</v>
      </c>
      <c r="AZ141" s="216">
        <v>88.76361072922856</v>
      </c>
      <c r="BA141" s="216">
        <v>88.720710908226309</v>
      </c>
      <c r="BB141" s="216">
        <v>88.677831820885388</v>
      </c>
      <c r="BC141" s="216">
        <v>88.634973457185112</v>
      </c>
      <c r="BD141" s="216">
        <v>88.592135807109642</v>
      </c>
      <c r="BE141" s="216">
        <v>88.549318860648043</v>
      </c>
      <c r="BF141" s="216">
        <v>88.506522607794139</v>
      </c>
      <c r="BG141" s="216">
        <v>88.463747038546643</v>
      </c>
      <c r="BH141" s="216">
        <v>88.420992142909085</v>
      </c>
      <c r="BI141" s="216">
        <v>88.378257910889801</v>
      </c>
      <c r="BJ141" s="216">
        <v>88.335544332501982</v>
      </c>
      <c r="BK141" s="216">
        <v>88.29285139776367</v>
      </c>
      <c r="BL141" s="216">
        <v>88.250179096697664</v>
      </c>
    </row>
    <row r="142" spans="1:64">
      <c r="A142" t="s">
        <v>185</v>
      </c>
      <c r="B142">
        <v>391</v>
      </c>
      <c r="C142">
        <v>400</v>
      </c>
      <c r="D142">
        <v>419</v>
      </c>
      <c r="E142">
        <v>403</v>
      </c>
      <c r="F142">
        <v>402</v>
      </c>
      <c r="G142">
        <v>390</v>
      </c>
      <c r="H142">
        <v>388</v>
      </c>
      <c r="I142">
        <v>396</v>
      </c>
      <c r="J142">
        <v>399</v>
      </c>
      <c r="K142">
        <v>399</v>
      </c>
      <c r="L142">
        <v>409</v>
      </c>
      <c r="M142">
        <v>402</v>
      </c>
      <c r="N142">
        <v>399</v>
      </c>
      <c r="O142">
        <v>400</v>
      </c>
      <c r="P142">
        <v>430</v>
      </c>
      <c r="Q142">
        <v>413</v>
      </c>
      <c r="R142">
        <v>416</v>
      </c>
      <c r="S142">
        <v>414</v>
      </c>
      <c r="T142">
        <v>422</v>
      </c>
      <c r="U142">
        <v>442</v>
      </c>
      <c r="V142">
        <v>446</v>
      </c>
      <c r="W142">
        <v>449</v>
      </c>
      <c r="X142">
        <v>492</v>
      </c>
      <c r="Y142" s="216">
        <v>500</v>
      </c>
      <c r="Z142" s="216">
        <v>457.3880924457053</v>
      </c>
      <c r="AA142" s="216">
        <v>460.81869915082706</v>
      </c>
      <c r="AB142" s="216">
        <v>464.27503687640973</v>
      </c>
      <c r="AC142" s="216">
        <v>467.75729861613348</v>
      </c>
      <c r="AD142" s="216">
        <v>471.265678811214</v>
      </c>
      <c r="AE142" s="216">
        <v>474.80037336125952</v>
      </c>
      <c r="AF142" s="216">
        <v>478.36157963520913</v>
      </c>
      <c r="AG142" s="216">
        <v>481.94949648235371</v>
      </c>
      <c r="AH142" s="216">
        <v>485.56432424343876</v>
      </c>
      <c r="AI142" s="216">
        <v>489.2062647618514</v>
      </c>
      <c r="AJ142" s="216">
        <v>492.87552139489071</v>
      </c>
      <c r="AK142" s="216">
        <v>496.57229902512267</v>
      </c>
      <c r="AL142" s="216">
        <v>500.29680407182013</v>
      </c>
      <c r="AM142" s="216">
        <v>504.04924450248916</v>
      </c>
      <c r="AN142" s="216">
        <v>507.82982984448097</v>
      </c>
      <c r="AO142" s="216">
        <v>511.63877119669201</v>
      </c>
      <c r="AP142" s="216">
        <v>515.47628124135065</v>
      </c>
      <c r="AQ142" s="216">
        <v>519.3425742558934</v>
      </c>
      <c r="AR142" s="216">
        <v>523.23786612492916</v>
      </c>
      <c r="AS142" s="216">
        <v>527.16237435229391</v>
      </c>
      <c r="AT142" s="216">
        <v>531.11631807319566</v>
      </c>
      <c r="AU142" s="216">
        <v>535.09991806645053</v>
      </c>
      <c r="AV142" s="216">
        <v>539.11339676680996</v>
      </c>
      <c r="AW142" s="216">
        <v>543.15697827738188</v>
      </c>
      <c r="AX142" s="216">
        <v>547.23088838214335</v>
      </c>
      <c r="AY142" s="216">
        <v>551.33535455854792</v>
      </c>
      <c r="AZ142" s="216">
        <v>555.47060599022745</v>
      </c>
      <c r="BA142" s="216">
        <v>559.63687357978949</v>
      </c>
      <c r="BB142" s="216">
        <v>563.83438996171003</v>
      </c>
      <c r="BC142" s="216">
        <v>568.06338951532337</v>
      </c>
      <c r="BD142" s="216">
        <v>572.32410837790906</v>
      </c>
      <c r="BE142" s="216">
        <v>576.61678445787766</v>
      </c>
      <c r="BF142" s="216">
        <v>580.94165744805468</v>
      </c>
      <c r="BG142" s="216">
        <v>585.29896883906451</v>
      </c>
      <c r="BH142" s="216">
        <v>589.68896193281466</v>
      </c>
      <c r="BI142" s="216">
        <v>594.11188185608137</v>
      </c>
      <c r="BJ142" s="216">
        <v>598.56797557419657</v>
      </c>
      <c r="BK142" s="216">
        <v>603.05749190483823</v>
      </c>
      <c r="BL142" s="216">
        <v>607.58068153192346</v>
      </c>
    </row>
    <row r="143" spans="1:64">
      <c r="A143" t="s">
        <v>87</v>
      </c>
      <c r="B143">
        <v>277</v>
      </c>
      <c r="C143">
        <v>306</v>
      </c>
      <c r="D143">
        <v>301</v>
      </c>
      <c r="E143">
        <v>311</v>
      </c>
      <c r="F143">
        <v>298</v>
      </c>
      <c r="G143">
        <v>306</v>
      </c>
      <c r="H143">
        <v>315</v>
      </c>
      <c r="I143">
        <v>303</v>
      </c>
      <c r="J143">
        <v>318</v>
      </c>
      <c r="K143">
        <v>349</v>
      </c>
      <c r="L143">
        <v>361</v>
      </c>
      <c r="M143">
        <v>360</v>
      </c>
      <c r="N143">
        <v>365</v>
      </c>
      <c r="O143">
        <v>358</v>
      </c>
      <c r="P143">
        <v>365</v>
      </c>
      <c r="Q143">
        <v>375</v>
      </c>
      <c r="R143">
        <v>373</v>
      </c>
      <c r="S143">
        <v>399</v>
      </c>
      <c r="T143">
        <v>396</v>
      </c>
      <c r="U143">
        <v>414</v>
      </c>
      <c r="V143">
        <v>405</v>
      </c>
      <c r="W143">
        <v>413</v>
      </c>
      <c r="X143">
        <v>472</v>
      </c>
      <c r="Y143" s="216">
        <v>444</v>
      </c>
      <c r="Z143" s="216">
        <v>451.33094033824489</v>
      </c>
      <c r="AA143" s="216">
        <v>460.16306150963726</v>
      </c>
      <c r="AB143" s="216">
        <v>469.16801896902638</v>
      </c>
      <c r="AC143" s="216">
        <v>478.34919495968882</v>
      </c>
      <c r="AD143" s="216">
        <v>487.71003791221426</v>
      </c>
      <c r="AE143" s="216">
        <v>497.25406373972976</v>
      </c>
      <c r="AF143" s="216">
        <v>506.9848571584684</v>
      </c>
      <c r="AG143" s="216">
        <v>516.90607303418233</v>
      </c>
      <c r="AH143" s="216">
        <v>527.02143775490151</v>
      </c>
      <c r="AI143" s="216">
        <v>537.33475063055823</v>
      </c>
      <c r="AJ143" s="216">
        <v>547.84988531999988</v>
      </c>
      <c r="AK143" s="216">
        <v>558.5707912859267</v>
      </c>
      <c r="AL143" s="216">
        <v>569.50149527830217</v>
      </c>
      <c r="AM143" s="216">
        <v>580.64610284679179</v>
      </c>
      <c r="AN143" s="216">
        <v>592.00879988279883</v>
      </c>
      <c r="AO143" s="216">
        <v>603.59385419167666</v>
      </c>
      <c r="AP143" s="216">
        <v>615.4056170957075</v>
      </c>
      <c r="AQ143" s="216">
        <v>627.44852506844984</v>
      </c>
      <c r="AR143" s="216">
        <v>639.72710140106915</v>
      </c>
      <c r="AS143" s="216">
        <v>652.24595790127591</v>
      </c>
      <c r="AT143" s="216">
        <v>665.00979662551151</v>
      </c>
      <c r="AU143" s="216">
        <v>678.02341164503071</v>
      </c>
      <c r="AV143" s="216">
        <v>691.29169084654484</v>
      </c>
      <c r="AW143" s="216">
        <v>704.81961776810192</v>
      </c>
      <c r="AX143" s="216">
        <v>718.612273470893</v>
      </c>
      <c r="AY143" s="216">
        <v>732.67483844768822</v>
      </c>
      <c r="AZ143" s="216">
        <v>747.01259456861942</v>
      </c>
      <c r="BA143" s="216">
        <v>761.63092706503915</v>
      </c>
      <c r="BB143" s="216">
        <v>776.53532655220272</v>
      </c>
      <c r="BC143" s="216">
        <v>791.73139109153124</v>
      </c>
      <c r="BD143" s="216">
        <v>807.22482829323269</v>
      </c>
      <c r="BE143" s="216">
        <v>823.02145746006784</v>
      </c>
      <c r="BF143" s="216">
        <v>839.12721177306821</v>
      </c>
      <c r="BG143" s="216">
        <v>855.54814052002735</v>
      </c>
      <c r="BH143" s="216">
        <v>872.29041136759963</v>
      </c>
      <c r="BI143" s="216">
        <v>889.36031267786325</v>
      </c>
      <c r="BJ143" s="216">
        <v>906.76425587021686</v>
      </c>
      <c r="BK143" s="216">
        <v>924.50877782949374</v>
      </c>
      <c r="BL143" s="216">
        <v>942.60054336120436</v>
      </c>
    </row>
    <row r="144" spans="1:64">
      <c r="A144" t="s">
        <v>1035</v>
      </c>
      <c r="B144">
        <v>24</v>
      </c>
      <c r="C144">
        <v>25</v>
      </c>
      <c r="D144">
        <v>34</v>
      </c>
      <c r="E144">
        <v>38</v>
      </c>
      <c r="F144">
        <v>30</v>
      </c>
      <c r="G144">
        <v>32</v>
      </c>
      <c r="H144">
        <v>28</v>
      </c>
      <c r="I144">
        <v>35</v>
      </c>
      <c r="J144">
        <v>37</v>
      </c>
      <c r="K144">
        <v>42</v>
      </c>
      <c r="L144">
        <v>43</v>
      </c>
      <c r="M144">
        <v>46</v>
      </c>
      <c r="N144">
        <v>46</v>
      </c>
      <c r="O144">
        <v>54</v>
      </c>
      <c r="P144">
        <v>53</v>
      </c>
      <c r="Q144">
        <v>42</v>
      </c>
      <c r="R144">
        <v>37</v>
      </c>
      <c r="S144">
        <v>32</v>
      </c>
      <c r="T144">
        <v>29</v>
      </c>
      <c r="U144">
        <v>28</v>
      </c>
      <c r="V144">
        <v>31</v>
      </c>
      <c r="W144">
        <v>30</v>
      </c>
      <c r="X144">
        <v>36</v>
      </c>
      <c r="Y144" s="216">
        <v>34</v>
      </c>
      <c r="Z144" s="216">
        <v>37.672242888509253</v>
      </c>
      <c r="AA144" s="216">
        <v>37.872886380738905</v>
      </c>
      <c r="AB144" s="216">
        <v>38.074598506208503</v>
      </c>
      <c r="AC144" s="216">
        <v>38.277384956490657</v>
      </c>
      <c r="AD144" s="216">
        <v>38.481251453471423</v>
      </c>
      <c r="AE144" s="216">
        <v>38.686203749511833</v>
      </c>
      <c r="AF144" s="216">
        <v>38.892247627610139</v>
      </c>
      <c r="AG144" s="216">
        <v>39.099388901565035</v>
      </c>
      <c r="AH144" s="216">
        <v>39.30763341613968</v>
      </c>
      <c r="AI144" s="216">
        <v>39.516987047226579</v>
      </c>
      <c r="AJ144" s="216">
        <v>39.727455702013465</v>
      </c>
      <c r="AK144" s="216">
        <v>39.939045319149919</v>
      </c>
      <c r="AL144" s="216">
        <v>40.15176186891491</v>
      </c>
      <c r="AM144" s="216">
        <v>40.36561135338534</v>
      </c>
      <c r="AN144" s="216">
        <v>40.580599806605328</v>
      </c>
      <c r="AO144" s="216">
        <v>40.796733294756486</v>
      </c>
      <c r="AP144" s="216">
        <v>41.014017916329109</v>
      </c>
      <c r="AQ144" s="216">
        <v>41.232459802294215</v>
      </c>
      <c r="AR144" s="216">
        <v>41.452065116276593</v>
      </c>
      <c r="AS144" s="216">
        <v>41.672840054728624</v>
      </c>
      <c r="AT144" s="216">
        <v>41.894790847105227</v>
      </c>
      <c r="AU144" s="216">
        <v>42.117923756039573</v>
      </c>
      <c r="AV144" s="216">
        <v>42.342245077519785</v>
      </c>
      <c r="AW144" s="216">
        <v>42.567761141066633</v>
      </c>
      <c r="AX144" s="216">
        <v>42.794478309912094</v>
      </c>
      <c r="AY144" s="216">
        <v>43.022402981178899</v>
      </c>
      <c r="AZ144" s="216">
        <v>43.251541586061073</v>
      </c>
      <c r="BA144" s="216">
        <v>43.481900590005331</v>
      </c>
      <c r="BB144" s="216">
        <v>43.713486492893594</v>
      </c>
      <c r="BC144" s="216">
        <v>43.946305829226318</v>
      </c>
      <c r="BD144" s="216">
        <v>44.180365168306913</v>
      </c>
      <c r="BE144" s="216">
        <v>44.415671114427113</v>
      </c>
      <c r="BF144" s="216">
        <v>44.65223030705328</v>
      </c>
      <c r="BG144" s="216">
        <v>44.890049421013771</v>
      </c>
      <c r="BH144" s="216">
        <v>45.129135166687306</v>
      </c>
      <c r="BI144" s="216">
        <v>45.369494290192272</v>
      </c>
      <c r="BJ144" s="216">
        <v>45.611133573577071</v>
      </c>
      <c r="BK144" s="216">
        <v>45.854059835011512</v>
      </c>
      <c r="BL144" s="216">
        <v>46.098279928979174</v>
      </c>
    </row>
    <row r="145" spans="1:64">
      <c r="A145" t="s">
        <v>16</v>
      </c>
      <c r="B145">
        <v>528</v>
      </c>
      <c r="C145">
        <v>541</v>
      </c>
      <c r="D145">
        <v>493</v>
      </c>
      <c r="E145">
        <v>447</v>
      </c>
      <c r="F145">
        <v>469</v>
      </c>
      <c r="G145">
        <v>475</v>
      </c>
      <c r="H145">
        <v>451</v>
      </c>
      <c r="I145">
        <v>440</v>
      </c>
      <c r="J145">
        <v>423</v>
      </c>
      <c r="K145">
        <v>401</v>
      </c>
      <c r="L145">
        <v>441</v>
      </c>
      <c r="M145">
        <v>401</v>
      </c>
      <c r="N145">
        <v>407</v>
      </c>
      <c r="O145">
        <v>369</v>
      </c>
      <c r="P145">
        <v>352</v>
      </c>
      <c r="Q145">
        <v>324</v>
      </c>
      <c r="R145">
        <v>318</v>
      </c>
      <c r="S145">
        <v>321</v>
      </c>
      <c r="T145">
        <v>327</v>
      </c>
      <c r="U145">
        <v>346</v>
      </c>
      <c r="V145">
        <v>339</v>
      </c>
      <c r="W145">
        <v>342</v>
      </c>
      <c r="X145">
        <v>320</v>
      </c>
      <c r="Y145" s="216">
        <v>315</v>
      </c>
      <c r="Z145" s="216">
        <v>294.13273879606584</v>
      </c>
      <c r="AA145" s="216">
        <v>287.34821494782273</v>
      </c>
      <c r="AB145" s="216">
        <v>280.72018426669797</v>
      </c>
      <c r="AC145" s="216">
        <v>274.24503705038933</v>
      </c>
      <c r="AD145" s="216">
        <v>267.9192468587006</v>
      </c>
      <c r="AE145" s="216">
        <v>261.73936859300215</v>
      </c>
      <c r="AF145" s="216">
        <v>255.70203661998934</v>
      </c>
      <c r="AG145" s="216">
        <v>249.80396293872039</v>
      </c>
      <c r="AH145" s="216">
        <v>244.04193538993243</v>
      </c>
      <c r="AI145" s="216">
        <v>238.41281590666281</v>
      </c>
      <c r="AJ145" s="216">
        <v>232.91353880522109</v>
      </c>
      <c r="AK145" s="216">
        <v>227.54110911558243</v>
      </c>
      <c r="AL145" s="216">
        <v>222.29260095029215</v>
      </c>
      <c r="AM145" s="216">
        <v>217.16515591099343</v>
      </c>
      <c r="AN145" s="216">
        <v>212.15598153171052</v>
      </c>
      <c r="AO145" s="216">
        <v>207.26234975803951</v>
      </c>
      <c r="AP145" s="216">
        <v>202.4815954614181</v>
      </c>
      <c r="AQ145" s="216">
        <v>197.8111149876658</v>
      </c>
      <c r="AR145" s="216">
        <v>193.24836473900388</v>
      </c>
      <c r="AS145" s="216">
        <v>188.79085978878211</v>
      </c>
      <c r="AT145" s="216">
        <v>184.43617252815935</v>
      </c>
      <c r="AU145" s="216">
        <v>180.18193134399942</v>
      </c>
      <c r="AV145" s="216">
        <v>176.02581932726324</v>
      </c>
      <c r="AW145" s="216">
        <v>171.96557301119307</v>
      </c>
      <c r="AX145" s="216">
        <v>167.99898113860269</v>
      </c>
      <c r="AY145" s="216">
        <v>164.12388345760075</v>
      </c>
      <c r="AZ145" s="216">
        <v>160.33816954509271</v>
      </c>
      <c r="BA145" s="216">
        <v>156.63977765742001</v>
      </c>
      <c r="BB145" s="216">
        <v>153.02669360751054</v>
      </c>
      <c r="BC145" s="216">
        <v>149.49694966792896</v>
      </c>
      <c r="BD145" s="216">
        <v>146.04862349922973</v>
      </c>
      <c r="BE145" s="216">
        <v>142.67983710302846</v>
      </c>
      <c r="BF145" s="216">
        <v>139.38875579922265</v>
      </c>
      <c r="BG145" s="216">
        <v>136.17358722680322</v>
      </c>
      <c r="BH145" s="216">
        <v>133.0325803677143</v>
      </c>
      <c r="BI145" s="216">
        <v>129.96402459322823</v>
      </c>
      <c r="BJ145" s="216">
        <v>126.9662487323175</v>
      </c>
      <c r="BK145" s="216">
        <v>124.0376201615156</v>
      </c>
      <c r="BL145" s="216">
        <v>121.17654391577136</v>
      </c>
    </row>
    <row r="146" spans="1:64">
      <c r="A146" t="s">
        <v>28</v>
      </c>
      <c r="B146">
        <v>191</v>
      </c>
      <c r="C146">
        <v>181</v>
      </c>
      <c r="D146">
        <v>202</v>
      </c>
      <c r="E146">
        <v>205</v>
      </c>
      <c r="F146">
        <v>210</v>
      </c>
      <c r="G146">
        <v>201</v>
      </c>
      <c r="H146">
        <v>192</v>
      </c>
      <c r="I146">
        <v>192</v>
      </c>
      <c r="J146">
        <v>193</v>
      </c>
      <c r="K146">
        <v>210</v>
      </c>
      <c r="L146">
        <v>214</v>
      </c>
      <c r="M146">
        <v>205</v>
      </c>
      <c r="N146">
        <v>205</v>
      </c>
      <c r="O146">
        <v>200</v>
      </c>
      <c r="P146">
        <v>194</v>
      </c>
      <c r="Q146">
        <v>222</v>
      </c>
      <c r="R146">
        <v>210</v>
      </c>
      <c r="S146">
        <v>198</v>
      </c>
      <c r="T146">
        <v>177</v>
      </c>
      <c r="U146">
        <v>191</v>
      </c>
      <c r="V146">
        <v>203</v>
      </c>
      <c r="W146">
        <v>210</v>
      </c>
      <c r="X146">
        <v>201</v>
      </c>
      <c r="Y146" s="216">
        <v>210</v>
      </c>
      <c r="Z146" s="216">
        <v>204.18443907801665</v>
      </c>
      <c r="AA146" s="216">
        <v>204.48681977396456</v>
      </c>
      <c r="AB146" s="216">
        <v>204.78964827134968</v>
      </c>
      <c r="AC146" s="216">
        <v>205.09292523332988</v>
      </c>
      <c r="AD146" s="216">
        <v>205.39665132404505</v>
      </c>
      <c r="AE146" s="216">
        <v>205.70082720861873</v>
      </c>
      <c r="AF146" s="216">
        <v>206.00545355315927</v>
      </c>
      <c r="AG146" s="216">
        <v>206.31053102476159</v>
      </c>
      <c r="AH146" s="216">
        <v>206.61606029150857</v>
      </c>
      <c r="AI146" s="216">
        <v>206.92204202247231</v>
      </c>
      <c r="AJ146" s="216">
        <v>207.22847688771591</v>
      </c>
      <c r="AK146" s="216">
        <v>207.5353655582947</v>
      </c>
      <c r="AL146" s="216">
        <v>207.84270870625781</v>
      </c>
      <c r="AM146" s="216">
        <v>208.15050700464957</v>
      </c>
      <c r="AN146" s="216">
        <v>208.45876112751114</v>
      </c>
      <c r="AO146" s="216">
        <v>208.76747174988174</v>
      </c>
      <c r="AP146" s="216">
        <v>209.0766395478004</v>
      </c>
      <c r="AQ146" s="216">
        <v>209.38626519830726</v>
      </c>
      <c r="AR146" s="216">
        <v>209.69634937944511</v>
      </c>
      <c r="AS146" s="216">
        <v>210.00689277026078</v>
      </c>
      <c r="AT146" s="216">
        <v>210.31789605080689</v>
      </c>
      <c r="AU146" s="216">
        <v>210.62935990214294</v>
      </c>
      <c r="AV146" s="216">
        <v>210.94128500633727</v>
      </c>
      <c r="AW146" s="216">
        <v>211.25367204646813</v>
      </c>
      <c r="AX146" s="216">
        <v>211.56652170662534</v>
      </c>
      <c r="AY146" s="216">
        <v>211.87983467191202</v>
      </c>
      <c r="AZ146" s="216">
        <v>212.19361162844558</v>
      </c>
      <c r="BA146" s="216">
        <v>212.50785326335972</v>
      </c>
      <c r="BB146" s="216">
        <v>212.8225602648057</v>
      </c>
      <c r="BC146" s="216">
        <v>213.13773332195373</v>
      </c>
      <c r="BD146" s="216">
        <v>213.45337312499487</v>
      </c>
      <c r="BE146" s="216">
        <v>213.76948036514207</v>
      </c>
      <c r="BF146" s="216">
        <v>214.08605573463211</v>
      </c>
      <c r="BG146" s="216">
        <v>214.40309992672667</v>
      </c>
      <c r="BH146" s="216">
        <v>214.72061363571433</v>
      </c>
      <c r="BI146" s="216">
        <v>215.03859755691172</v>
      </c>
      <c r="BJ146" s="216">
        <v>215.35705238666532</v>
      </c>
      <c r="BK146" s="216">
        <v>215.67597882235262</v>
      </c>
      <c r="BL146" s="216">
        <v>215.99537756238405</v>
      </c>
    </row>
    <row r="147" spans="1:64">
      <c r="A147" t="s">
        <v>1357</v>
      </c>
      <c r="B147">
        <v>37</v>
      </c>
      <c r="C147">
        <v>46</v>
      </c>
      <c r="D147">
        <v>51</v>
      </c>
      <c r="E147">
        <v>54</v>
      </c>
      <c r="F147">
        <v>52</v>
      </c>
      <c r="G147">
        <v>62</v>
      </c>
      <c r="H147">
        <v>70</v>
      </c>
      <c r="I147">
        <v>66</v>
      </c>
      <c r="J147">
        <v>80</v>
      </c>
      <c r="K147">
        <v>63</v>
      </c>
      <c r="L147">
        <v>68</v>
      </c>
      <c r="M147">
        <v>58</v>
      </c>
      <c r="N147">
        <v>65</v>
      </c>
      <c r="O147">
        <v>69</v>
      </c>
      <c r="P147">
        <v>65</v>
      </c>
      <c r="Q147">
        <v>58</v>
      </c>
      <c r="R147">
        <v>59</v>
      </c>
      <c r="S147">
        <v>58</v>
      </c>
      <c r="T147">
        <v>46</v>
      </c>
      <c r="U147">
        <v>39</v>
      </c>
      <c r="V147">
        <v>35</v>
      </c>
      <c r="W147">
        <v>41</v>
      </c>
      <c r="X147">
        <v>39</v>
      </c>
      <c r="Y147" s="216">
        <v>38</v>
      </c>
      <c r="Z147" s="216">
        <v>46.077693506647755</v>
      </c>
      <c r="AA147" s="216">
        <v>45.528416179891927</v>
      </c>
      <c r="AB147" s="216">
        <v>44.985686611036442</v>
      </c>
      <c r="AC147" s="216">
        <v>44.449426746370683</v>
      </c>
      <c r="AD147" s="216">
        <v>43.91955946263711</v>
      </c>
      <c r="AE147" s="216">
        <v>43.396008555939694</v>
      </c>
      <c r="AF147" s="216">
        <v>42.878698730784471</v>
      </c>
      <c r="AG147" s="216">
        <v>42.367555589250799</v>
      </c>
      <c r="AH147" s="216">
        <v>41.862505620291621</v>
      </c>
      <c r="AI147" s="216">
        <v>41.363476189161403</v>
      </c>
      <c r="AJ147" s="216">
        <v>40.870395526969993</v>
      </c>
      <c r="AK147" s="216">
        <v>40.383192720361002</v>
      </c>
      <c r="AL147" s="216">
        <v>39.901797701313335</v>
      </c>
      <c r="AM147" s="216">
        <v>39.426141237064158</v>
      </c>
      <c r="AN147" s="216">
        <v>38.956154920152088</v>
      </c>
      <c r="AO147" s="216">
        <v>38.491771158579049</v>
      </c>
      <c r="AP147" s="216">
        <v>38.03292316608934</v>
      </c>
      <c r="AQ147" s="216">
        <v>37.579544952564703</v>
      </c>
      <c r="AR147" s="216">
        <v>37.131571314533815</v>
      </c>
      <c r="AS147" s="216">
        <v>36.688937825794881</v>
      </c>
      <c r="AT147" s="216">
        <v>36.251580828150111</v>
      </c>
      <c r="AU147" s="216">
        <v>35.819437422250537</v>
      </c>
      <c r="AV147" s="216">
        <v>35.392445458550078</v>
      </c>
      <c r="AW147" s="216">
        <v>34.97054352836733</v>
      </c>
      <c r="AX147" s="216">
        <v>34.553670955053988</v>
      </c>
      <c r="AY147" s="216">
        <v>34.141767785268499</v>
      </c>
      <c r="AZ147" s="216">
        <v>33.73477478035376</v>
      </c>
      <c r="BA147" s="216">
        <v>33.332633407817625</v>
      </c>
      <c r="BB147" s="216">
        <v>32.935285832914886</v>
      </c>
      <c r="BC147" s="216">
        <v>32.542674910329694</v>
      </c>
      <c r="BD147" s="216">
        <v>32.154744175957084</v>
      </c>
      <c r="BE147" s="216">
        <v>31.771437838782479</v>
      </c>
      <c r="BF147" s="216">
        <v>31.392700772857989</v>
      </c>
      <c r="BG147" s="216">
        <v>31.018478509374393</v>
      </c>
      <c r="BH147" s="216">
        <v>30.648717228827568</v>
      </c>
      <c r="BI147" s="216">
        <v>30.283363753278341</v>
      </c>
      <c r="BJ147" s="216">
        <v>29.922365538704614</v>
      </c>
      <c r="BK147" s="216">
        <v>29.565670667444639</v>
      </c>
      <c r="BL147" s="216">
        <v>29.213227840730355</v>
      </c>
    </row>
    <row r="148" spans="1:64">
      <c r="A148" t="s">
        <v>1037</v>
      </c>
      <c r="B148">
        <v>90</v>
      </c>
      <c r="C148">
        <v>90</v>
      </c>
      <c r="D148">
        <v>106</v>
      </c>
      <c r="E148">
        <v>113</v>
      </c>
      <c r="F148">
        <v>117</v>
      </c>
      <c r="G148">
        <v>109</v>
      </c>
      <c r="H148">
        <v>122</v>
      </c>
      <c r="I148">
        <v>101</v>
      </c>
      <c r="J148">
        <v>125</v>
      </c>
      <c r="K148">
        <v>142</v>
      </c>
      <c r="L148">
        <v>138</v>
      </c>
      <c r="M148">
        <v>149</v>
      </c>
      <c r="N148">
        <v>148</v>
      </c>
      <c r="O148">
        <v>143</v>
      </c>
      <c r="P148">
        <v>130</v>
      </c>
      <c r="Q148">
        <v>116</v>
      </c>
      <c r="R148">
        <v>118</v>
      </c>
      <c r="S148">
        <v>112</v>
      </c>
      <c r="T148">
        <v>122</v>
      </c>
      <c r="U148">
        <v>112</v>
      </c>
      <c r="V148">
        <v>126</v>
      </c>
      <c r="W148">
        <v>125</v>
      </c>
      <c r="X148">
        <v>129</v>
      </c>
      <c r="Y148" s="216">
        <v>125</v>
      </c>
      <c r="Z148" s="216">
        <v>134.28129639883244</v>
      </c>
      <c r="AA148" s="216">
        <v>135.48373308674979</v>
      </c>
      <c r="AB148" s="216">
        <v>136.69693712669027</v>
      </c>
      <c r="AC148" s="216">
        <v>137.92100493609587</v>
      </c>
      <c r="AD148" s="216">
        <v>139.1560337957892</v>
      </c>
      <c r="AE148" s="216">
        <v>140.40212185770469</v>
      </c>
      <c r="AF148" s="216">
        <v>141.65936815268918</v>
      </c>
      <c r="AG148" s="216">
        <v>142.92787259837209</v>
      </c>
      <c r="AH148" s="216">
        <v>144.20773600710629</v>
      </c>
      <c r="AI148" s="216">
        <v>145.49906009398003</v>
      </c>
      <c r="AJ148" s="216">
        <v>146.8019474849005</v>
      </c>
      <c r="AK148" s="216">
        <v>148.11650172474987</v>
      </c>
      <c r="AL148" s="216">
        <v>149.44282728561453</v>
      </c>
      <c r="AM148" s="216">
        <v>150.7810295750875</v>
      </c>
      <c r="AN148" s="216">
        <v>152.13121494464588</v>
      </c>
      <c r="AO148" s="216">
        <v>153.49349069810273</v>
      </c>
      <c r="AP148" s="216">
        <v>154.86796510013494</v>
      </c>
      <c r="AQ148" s="216">
        <v>156.25474738488748</v>
      </c>
      <c r="AR148" s="216">
        <v>157.65394776465445</v>
      </c>
      <c r="AS148" s="216">
        <v>159.06567743863806</v>
      </c>
      <c r="AT148" s="216">
        <v>160.49004860178621</v>
      </c>
      <c r="AU148" s="216">
        <v>161.92717445370869</v>
      </c>
      <c r="AV148" s="216">
        <v>163.37716920767372</v>
      </c>
      <c r="AW148" s="216">
        <v>164.84014809968488</v>
      </c>
      <c r="AX148" s="216">
        <v>166.31622739763921</v>
      </c>
      <c r="AY148" s="216">
        <v>167.80552441056756</v>
      </c>
      <c r="AZ148" s="216">
        <v>169.3081574979573</v>
      </c>
      <c r="BA148" s="216">
        <v>170.82424607915902</v>
      </c>
      <c r="BB148" s="216">
        <v>172.35391064287697</v>
      </c>
      <c r="BC148" s="216">
        <v>173.89727275674485</v>
      </c>
      <c r="BD148" s="216">
        <v>175.45445507698716</v>
      </c>
      <c r="BE148" s="216">
        <v>177.02558135816707</v>
      </c>
      <c r="BF148" s="216">
        <v>178.61077646302166</v>
      </c>
      <c r="BG148" s="216">
        <v>180.21016637238515</v>
      </c>
      <c r="BH148" s="216">
        <v>181.82387819520105</v>
      </c>
      <c r="BI148" s="216">
        <v>183.45204017862397</v>
      </c>
      <c r="BJ148" s="216">
        <v>185.09478171821178</v>
      </c>
      <c r="BK148" s="216">
        <v>186.75223336820915</v>
      </c>
      <c r="BL148" s="216">
        <v>188.42452685192313</v>
      </c>
    </row>
    <row r="149" spans="1:64">
      <c r="A149" t="s">
        <v>1407</v>
      </c>
      <c r="U149">
        <v>0</v>
      </c>
      <c r="V149">
        <v>0</v>
      </c>
      <c r="W149">
        <v>0</v>
      </c>
      <c r="X149">
        <v>0</v>
      </c>
      <c r="Y149" s="216">
        <v>0</v>
      </c>
      <c r="Z149" s="216">
        <v>0</v>
      </c>
      <c r="AA149" s="216">
        <v>0</v>
      </c>
      <c r="AB149" s="216">
        <v>0</v>
      </c>
      <c r="AC149" s="216">
        <v>0</v>
      </c>
      <c r="AD149" s="216">
        <v>0</v>
      </c>
      <c r="AE149" s="216">
        <v>0</v>
      </c>
      <c r="AF149" s="216">
        <v>0</v>
      </c>
      <c r="AG149" s="216">
        <v>0</v>
      </c>
      <c r="AH149" s="216">
        <v>0</v>
      </c>
      <c r="AI149" s="216">
        <v>0</v>
      </c>
      <c r="AJ149" s="216">
        <v>0</v>
      </c>
      <c r="AK149" s="216">
        <v>0</v>
      </c>
      <c r="AL149" s="216">
        <v>0</v>
      </c>
      <c r="AM149" s="216">
        <v>0</v>
      </c>
      <c r="AN149" s="216">
        <v>0</v>
      </c>
      <c r="AO149" s="216">
        <v>0</v>
      </c>
      <c r="AP149" s="216">
        <v>0</v>
      </c>
      <c r="AQ149" s="216">
        <v>0</v>
      </c>
      <c r="AR149" s="216">
        <v>0</v>
      </c>
      <c r="AS149" s="216">
        <v>0</v>
      </c>
      <c r="AT149" s="216">
        <v>0</v>
      </c>
      <c r="AU149" s="216">
        <v>0</v>
      </c>
      <c r="AV149" s="216">
        <v>0</v>
      </c>
      <c r="AW149" s="216">
        <v>0</v>
      </c>
      <c r="AX149" s="216">
        <v>0</v>
      </c>
      <c r="AY149" s="216">
        <v>0</v>
      </c>
      <c r="AZ149" s="216">
        <v>0</v>
      </c>
      <c r="BA149" s="216">
        <v>0</v>
      </c>
      <c r="BB149" s="216">
        <v>0</v>
      </c>
      <c r="BC149" s="216">
        <v>0</v>
      </c>
      <c r="BD149" s="216">
        <v>0</v>
      </c>
      <c r="BE149" s="216">
        <v>0</v>
      </c>
      <c r="BF149" s="216">
        <v>0</v>
      </c>
      <c r="BG149" s="216">
        <v>0</v>
      </c>
      <c r="BH149" s="216">
        <v>0</v>
      </c>
      <c r="BI149" s="216">
        <v>0</v>
      </c>
      <c r="BJ149" s="216">
        <v>0</v>
      </c>
      <c r="BK149" s="216">
        <v>0</v>
      </c>
      <c r="BL149" s="216">
        <v>0</v>
      </c>
    </row>
    <row r="150" spans="1:64">
      <c r="A150" t="s">
        <v>867</v>
      </c>
      <c r="B150">
        <v>1489</v>
      </c>
      <c r="C150">
        <v>1531</v>
      </c>
      <c r="D150">
        <v>1518</v>
      </c>
      <c r="E150">
        <v>1520</v>
      </c>
      <c r="F150">
        <v>1522</v>
      </c>
      <c r="G150">
        <v>1563</v>
      </c>
      <c r="H150">
        <v>1523</v>
      </c>
      <c r="I150">
        <v>1502</v>
      </c>
      <c r="J150">
        <v>1472</v>
      </c>
      <c r="K150">
        <v>1375</v>
      </c>
      <c r="L150">
        <v>1337</v>
      </c>
      <c r="M150">
        <v>1336</v>
      </c>
      <c r="N150">
        <v>1312</v>
      </c>
      <c r="O150">
        <v>1308</v>
      </c>
      <c r="P150">
        <v>1348</v>
      </c>
      <c r="Q150">
        <v>1332</v>
      </c>
      <c r="R150">
        <v>1291</v>
      </c>
      <c r="S150">
        <v>1319</v>
      </c>
      <c r="T150">
        <v>1345</v>
      </c>
      <c r="U150">
        <v>1405</v>
      </c>
      <c r="V150">
        <v>1420</v>
      </c>
      <c r="W150">
        <v>1460</v>
      </c>
      <c r="X150">
        <v>1470</v>
      </c>
      <c r="Y150" s="216">
        <v>1480</v>
      </c>
      <c r="Z150" s="216">
        <v>1347.1909420548227</v>
      </c>
      <c r="AA150" s="216">
        <v>1341.422163196233</v>
      </c>
      <c r="AB150" s="216">
        <v>1335.6780867079465</v>
      </c>
      <c r="AC150" s="216">
        <v>1329.9586068124465</v>
      </c>
      <c r="AD150" s="216">
        <v>1324.2636181851649</v>
      </c>
      <c r="AE150" s="216">
        <v>1318.5930159525417</v>
      </c>
      <c r="AF150" s="216">
        <v>1312.9466956900935</v>
      </c>
      <c r="AG150" s="216">
        <v>1307.3245534204909</v>
      </c>
      <c r="AH150" s="216">
        <v>1301.7264856116442</v>
      </c>
      <c r="AI150" s="216">
        <v>1296.1523891747954</v>
      </c>
      <c r="AJ150" s="216">
        <v>1290.6021614626218</v>
      </c>
      <c r="AK150" s="216">
        <v>1285.0757002673442</v>
      </c>
      <c r="AL150" s="216">
        <v>1279.5729038188451</v>
      </c>
      <c r="AM150" s="216">
        <v>1274.0936707827952</v>
      </c>
      <c r="AN150" s="216">
        <v>1268.637900258786</v>
      </c>
      <c r="AO150" s="216">
        <v>1263.205491778474</v>
      </c>
      <c r="AP150" s="216">
        <v>1257.7963453037278</v>
      </c>
      <c r="AQ150" s="216">
        <v>1252.4103612247877</v>
      </c>
      <c r="AR150" s="216">
        <v>1247.0474403584315</v>
      </c>
      <c r="AS150" s="216">
        <v>1241.7074839461463</v>
      </c>
      <c r="AT150" s="216">
        <v>1236.3903936523122</v>
      </c>
      <c r="AU150" s="216">
        <v>1231.0960715623894</v>
      </c>
      <c r="AV150" s="216">
        <v>1225.8244201811165</v>
      </c>
      <c r="AW150" s="216">
        <v>1220.575342430714</v>
      </c>
      <c r="AX150" s="216">
        <v>1215.3487416490977</v>
      </c>
      <c r="AY150" s="216">
        <v>1210.1445215880981</v>
      </c>
      <c r="AZ150" s="216">
        <v>1204.9625864116877</v>
      </c>
      <c r="BA150" s="216">
        <v>1199.8028406942167</v>
      </c>
      <c r="BB150" s="216">
        <v>1194.6651894186555</v>
      </c>
      <c r="BC150" s="216">
        <v>1189.549537974845</v>
      </c>
      <c r="BD150" s="216">
        <v>1184.4557921577541</v>
      </c>
      <c r="BE150" s="216">
        <v>1179.3838581657458</v>
      </c>
      <c r="BF150" s="216">
        <v>1174.3336425988484</v>
      </c>
      <c r="BG150" s="216">
        <v>1169.3050524570369</v>
      </c>
      <c r="BH150" s="216">
        <v>1164.2979951385194</v>
      </c>
      <c r="BI150" s="216">
        <v>1159.3123784380323</v>
      </c>
      <c r="BJ150" s="216">
        <v>1154.3481105451428</v>
      </c>
      <c r="BK150" s="216">
        <v>1149.4051000425568</v>
      </c>
      <c r="BL150" s="216">
        <v>1144.4832559044371</v>
      </c>
    </row>
    <row r="151" spans="1:64">
      <c r="A151" t="s">
        <v>88</v>
      </c>
      <c r="B151">
        <v>209</v>
      </c>
      <c r="C151">
        <v>217</v>
      </c>
      <c r="D151">
        <v>220</v>
      </c>
      <c r="E151">
        <v>251</v>
      </c>
      <c r="F151">
        <v>235</v>
      </c>
      <c r="G151">
        <v>251</v>
      </c>
      <c r="H151">
        <v>246</v>
      </c>
      <c r="I151">
        <v>250</v>
      </c>
      <c r="J151">
        <v>248</v>
      </c>
      <c r="K151">
        <v>258</v>
      </c>
      <c r="L151">
        <v>228</v>
      </c>
      <c r="M151">
        <v>228</v>
      </c>
      <c r="N151">
        <v>233</v>
      </c>
      <c r="O151">
        <v>214</v>
      </c>
      <c r="P151">
        <v>211</v>
      </c>
      <c r="Q151">
        <v>194</v>
      </c>
      <c r="R151">
        <v>189</v>
      </c>
      <c r="S151">
        <v>200</v>
      </c>
      <c r="T151">
        <v>203</v>
      </c>
      <c r="U151">
        <v>210</v>
      </c>
      <c r="V151">
        <v>217</v>
      </c>
      <c r="W151">
        <v>222</v>
      </c>
      <c r="X151">
        <v>214</v>
      </c>
      <c r="Y151" s="216">
        <v>205</v>
      </c>
      <c r="Z151" s="216">
        <v>204.62060297499968</v>
      </c>
      <c r="AA151" s="216">
        <v>203.2751563265297</v>
      </c>
      <c r="AB151" s="216">
        <v>201.93855642495402</v>
      </c>
      <c r="AC151" s="216">
        <v>200.61074510005037</v>
      </c>
      <c r="AD151" s="216">
        <v>199.29166456408444</v>
      </c>
      <c r="AE151" s="216">
        <v>197.9812574092951</v>
      </c>
      <c r="AF151" s="216">
        <v>196.67946660539567</v>
      </c>
      <c r="AG151" s="216">
        <v>195.38623549709217</v>
      </c>
      <c r="AH151" s="216">
        <v>194.10150780161737</v>
      </c>
      <c r="AI151" s="216">
        <v>192.8252276062816</v>
      </c>
      <c r="AJ151" s="216">
        <v>191.55733936603912</v>
      </c>
      <c r="AK151" s="216">
        <v>190.29778790107079</v>
      </c>
      <c r="AL151" s="216">
        <v>189.0465183943827</v>
      </c>
      <c r="AM151" s="216">
        <v>187.80347638942035</v>
      </c>
      <c r="AN151" s="216">
        <v>186.56860778769882</v>
      </c>
      <c r="AO151" s="216">
        <v>185.34185884644808</v>
      </c>
      <c r="AP151" s="216">
        <v>184.12317617627426</v>
      </c>
      <c r="AQ151" s="216">
        <v>182.91250673883602</v>
      </c>
      <c r="AR151" s="216">
        <v>181.70979784453627</v>
      </c>
      <c r="AS151" s="216">
        <v>180.51499715022905</v>
      </c>
      <c r="AT151" s="216">
        <v>179.32805265694157</v>
      </c>
      <c r="AU151" s="216">
        <v>178.14891270761098</v>
      </c>
      <c r="AV151" s="216">
        <v>176.97752598483652</v>
      </c>
      <c r="AW151" s="216">
        <v>175.81384150864571</v>
      </c>
      <c r="AX151" s="216">
        <v>174.65780863427602</v>
      </c>
      <c r="AY151" s="216">
        <v>173.50937704997068</v>
      </c>
      <c r="AZ151" s="216">
        <v>172.36849677478881</v>
      </c>
      <c r="BA151" s="216">
        <v>171.2351181564305</v>
      </c>
      <c r="BB151" s="216">
        <v>170.10919186907574</v>
      </c>
      <c r="BC151" s="216">
        <v>168.9906689112378</v>
      </c>
      <c r="BD151" s="216">
        <v>167.87950060363045</v>
      </c>
      <c r="BE151" s="216">
        <v>166.77563858704963</v>
      </c>
      <c r="BF151" s="216">
        <v>165.67903482026858</v>
      </c>
      <c r="BG151" s="216">
        <v>164.5896415779473</v>
      </c>
      <c r="BH151" s="216">
        <v>163.50741144855522</v>
      </c>
      <c r="BI151" s="216">
        <v>162.43229733230788</v>
      </c>
      <c r="BJ151" s="216">
        <v>161.36425243911725</v>
      </c>
      <c r="BK151" s="216">
        <v>160.30323028655525</v>
      </c>
      <c r="BL151" s="216">
        <v>159.24918469783069</v>
      </c>
    </row>
    <row r="152" spans="1:64">
      <c r="A152" t="s">
        <v>1174</v>
      </c>
      <c r="B152">
        <v>84</v>
      </c>
      <c r="C152">
        <v>85</v>
      </c>
      <c r="D152">
        <v>87</v>
      </c>
      <c r="E152">
        <v>89</v>
      </c>
      <c r="F152">
        <v>87</v>
      </c>
      <c r="G152">
        <v>90</v>
      </c>
      <c r="H152">
        <v>92</v>
      </c>
      <c r="I152">
        <v>94</v>
      </c>
      <c r="J152">
        <v>94</v>
      </c>
      <c r="K152">
        <v>221</v>
      </c>
      <c r="L152">
        <v>266</v>
      </c>
      <c r="M152">
        <v>266</v>
      </c>
      <c r="N152">
        <v>287</v>
      </c>
      <c r="O152">
        <v>270</v>
      </c>
      <c r="P152">
        <v>264</v>
      </c>
      <c r="Q152">
        <v>275</v>
      </c>
      <c r="R152">
        <v>279</v>
      </c>
      <c r="S152">
        <v>315</v>
      </c>
      <c r="T152">
        <v>322</v>
      </c>
      <c r="U152">
        <v>309</v>
      </c>
      <c r="V152">
        <v>311</v>
      </c>
      <c r="W152">
        <v>291</v>
      </c>
      <c r="X152">
        <v>265</v>
      </c>
      <c r="Y152" s="216">
        <v>262</v>
      </c>
      <c r="Z152" s="216">
        <v>302.91065581428319</v>
      </c>
      <c r="AA152" s="216">
        <v>306.03890623511893</v>
      </c>
      <c r="AB152" s="216">
        <v>309.19946304897059</v>
      </c>
      <c r="AC152" s="216">
        <v>312.39265989377935</v>
      </c>
      <c r="AD152" s="216">
        <v>315.61883385306669</v>
      </c>
      <c r="AE152" s="216">
        <v>318.87832549151818</v>
      </c>
      <c r="AF152" s="216">
        <v>322.17147889093451</v>
      </c>
      <c r="AG152" s="216">
        <v>325.49864168655347</v>
      </c>
      <c r="AH152" s="216">
        <v>328.86016510374787</v>
      </c>
      <c r="AI152" s="216">
        <v>332.25640399510149</v>
      </c>
      <c r="AJ152" s="216">
        <v>335.68771687786875</v>
      </c>
      <c r="AK152" s="216">
        <v>339.15446597182074</v>
      </c>
      <c r="AL152" s="216">
        <v>342.65701723748219</v>
      </c>
      <c r="AM152" s="216">
        <v>346.19574041476335</v>
      </c>
      <c r="AN152" s="216">
        <v>349.77100906199115</v>
      </c>
      <c r="AO152" s="216">
        <v>353.3832005953426</v>
      </c>
      <c r="AP152" s="216">
        <v>357.03269632868665</v>
      </c>
      <c r="AQ152" s="216">
        <v>360.71988151383601</v>
      </c>
      <c r="AR152" s="216">
        <v>364.44514538121643</v>
      </c>
      <c r="AS152" s="216">
        <v>368.20888118095445</v>
      </c>
      <c r="AT152" s="216">
        <v>372.01148622438996</v>
      </c>
      <c r="AU152" s="216">
        <v>375.85336192601818</v>
      </c>
      <c r="AV152" s="216">
        <v>379.73491384586362</v>
      </c>
      <c r="AW152" s="216">
        <v>383.6565517322926</v>
      </c>
      <c r="AX152" s="216">
        <v>387.61868956526723</v>
      </c>
      <c r="AY152" s="216">
        <v>391.62174560004649</v>
      </c>
      <c r="AZ152" s="216">
        <v>395.66614241133891</v>
      </c>
      <c r="BA152" s="216">
        <v>399.75230693790996</v>
      </c>
      <c r="BB152" s="216">
        <v>403.88067052765194</v>
      </c>
      <c r="BC152" s="216">
        <v>408.05166898311785</v>
      </c>
      <c r="BD152" s="216">
        <v>412.26574260752602</v>
      </c>
      <c r="BE152" s="216">
        <v>416.52333625124004</v>
      </c>
      <c r="BF152" s="216">
        <v>420.82489935872837</v>
      </c>
      <c r="BG152" s="216">
        <v>425.17088601600926</v>
      </c>
      <c r="BH152" s="216">
        <v>429.56175499858523</v>
      </c>
      <c r="BI152" s="216">
        <v>433.99796981987276</v>
      </c>
      <c r="BJ152" s="216">
        <v>438.47999878013241</v>
      </c>
      <c r="BK152" s="216">
        <v>443.0083150159038</v>
      </c>
      <c r="BL152" s="216">
        <v>447.5833965499516</v>
      </c>
    </row>
    <row r="153" spans="1:64">
      <c r="A153" t="s">
        <v>89</v>
      </c>
      <c r="B153">
        <v>739</v>
      </c>
      <c r="C153">
        <v>768</v>
      </c>
      <c r="D153">
        <v>760</v>
      </c>
      <c r="E153">
        <v>771</v>
      </c>
      <c r="F153">
        <v>743</v>
      </c>
      <c r="G153">
        <v>722</v>
      </c>
      <c r="H153">
        <v>743</v>
      </c>
      <c r="I153">
        <v>790</v>
      </c>
      <c r="J153">
        <v>766</v>
      </c>
      <c r="K153">
        <v>755</v>
      </c>
      <c r="L153">
        <v>752</v>
      </c>
      <c r="M153">
        <v>761</v>
      </c>
      <c r="N153">
        <v>759</v>
      </c>
      <c r="O153">
        <v>780</v>
      </c>
      <c r="P153">
        <v>798</v>
      </c>
      <c r="Q153">
        <v>813</v>
      </c>
      <c r="R153">
        <v>799</v>
      </c>
      <c r="S153">
        <v>783</v>
      </c>
      <c r="T153">
        <v>806</v>
      </c>
      <c r="U153">
        <v>813</v>
      </c>
      <c r="V153">
        <v>844</v>
      </c>
      <c r="W153">
        <v>828</v>
      </c>
      <c r="X153">
        <v>861</v>
      </c>
      <c r="Y153" s="216">
        <v>857</v>
      </c>
      <c r="Z153" s="216">
        <v>841.31569196308294</v>
      </c>
      <c r="AA153" s="216">
        <v>846.17072038015237</v>
      </c>
      <c r="AB153" s="216">
        <v>851.05376598643591</v>
      </c>
      <c r="AC153" s="216">
        <v>855.96499046232441</v>
      </c>
      <c r="AD153" s="216">
        <v>860.90455642122686</v>
      </c>
      <c r="AE153" s="216">
        <v>865.87262741495431</v>
      </c>
      <c r="AF153" s="216">
        <v>870.8693679391364</v>
      </c>
      <c r="AG153" s="216">
        <v>875.89494343866659</v>
      </c>
      <c r="AH153" s="216">
        <v>880.9495203131803</v>
      </c>
      <c r="AI153" s="216">
        <v>886.03326592256553</v>
      </c>
      <c r="AJ153" s="216">
        <v>891.14634859250316</v>
      </c>
      <c r="AK153" s="216">
        <v>896.28893762004031</v>
      </c>
      <c r="AL153" s="216">
        <v>901.46120327919709</v>
      </c>
      <c r="AM153" s="216">
        <v>906.66331682660291</v>
      </c>
      <c r="AN153" s="216">
        <v>911.89545050716754</v>
      </c>
      <c r="AO153" s="216">
        <v>917.15777755978468</v>
      </c>
      <c r="AP153" s="216">
        <v>922.45047222306755</v>
      </c>
      <c r="AQ153" s="216">
        <v>927.7737097411175</v>
      </c>
      <c r="AR153" s="216">
        <v>933.12766636932793</v>
      </c>
      <c r="AS153" s="216">
        <v>938.51251938021824</v>
      </c>
      <c r="AT153" s="216">
        <v>943.92844706930555</v>
      </c>
      <c r="AU153" s="216">
        <v>949.37562876100617</v>
      </c>
      <c r="AV153" s="216">
        <v>954.85424481457449</v>
      </c>
      <c r="AW153" s="216">
        <v>960.36447663007425</v>
      </c>
      <c r="AX153" s="216">
        <v>965.90650665438477</v>
      </c>
      <c r="AY153" s="216">
        <v>971.48051838724234</v>
      </c>
      <c r="AZ153" s="216">
        <v>977.08669638731521</v>
      </c>
      <c r="BA153" s="216">
        <v>982.72522627831495</v>
      </c>
      <c r="BB153" s="216">
        <v>988.39629475514255</v>
      </c>
      <c r="BC153" s="216">
        <v>994.10008959006996</v>
      </c>
      <c r="BD153" s="216">
        <v>999.83679963895713</v>
      </c>
      <c r="BE153" s="216">
        <v>1005.6066148475054</v>
      </c>
      <c r="BF153" s="216">
        <v>1011.4097262575467</v>
      </c>
      <c r="BG153" s="216">
        <v>1017.2463260133685</v>
      </c>
      <c r="BH153" s="216">
        <v>1023.1166073680769</v>
      </c>
      <c r="BI153" s="216">
        <v>1029.0207646899942</v>
      </c>
      <c r="BJ153" s="216">
        <v>1034.9589934690953</v>
      </c>
      <c r="BK153" s="216">
        <v>1040.9314903234799</v>
      </c>
      <c r="BL153" s="216">
        <v>1046.938453005884</v>
      </c>
    </row>
    <row r="154" spans="1:64">
      <c r="A154" t="s">
        <v>1175</v>
      </c>
      <c r="K154">
        <v>137</v>
      </c>
      <c r="L154">
        <v>160</v>
      </c>
      <c r="M154">
        <v>151</v>
      </c>
      <c r="N154">
        <v>154</v>
      </c>
      <c r="O154">
        <v>162</v>
      </c>
      <c r="P154">
        <v>157</v>
      </c>
      <c r="Q154">
        <v>158</v>
      </c>
      <c r="R154">
        <v>165</v>
      </c>
      <c r="S154">
        <v>167</v>
      </c>
      <c r="T154">
        <v>189</v>
      </c>
      <c r="U154">
        <v>212</v>
      </c>
      <c r="V154">
        <v>208</v>
      </c>
      <c r="W154">
        <v>210</v>
      </c>
      <c r="X154">
        <v>198</v>
      </c>
      <c r="Y154" s="216">
        <v>183</v>
      </c>
      <c r="Z154" s="216">
        <v>213.11694779496904</v>
      </c>
      <c r="AA154" s="216">
        <v>218.81655591342724</v>
      </c>
      <c r="AB154" s="216">
        <v>224.66859457783738</v>
      </c>
      <c r="AC154" s="216">
        <v>230.67714039677605</v>
      </c>
      <c r="AD154" s="216">
        <v>236.8463790038017</v>
      </c>
      <c r="AE154" s="216">
        <v>243.18060797322278</v>
      </c>
      <c r="AF154" s="216">
        <v>249.68423981384592</v>
      </c>
      <c r="AG154" s="216">
        <v>256.36180504278855</v>
      </c>
      <c r="AH154" s="216">
        <v>263.21795534149777</v>
      </c>
      <c r="AI154" s="216">
        <v>270.25746679617424</v>
      </c>
      <c r="AJ154" s="216">
        <v>277.48524322485758</v>
      </c>
      <c r="AK154" s="216">
        <v>284.90631959349207</v>
      </c>
      <c r="AL154" s="216">
        <v>292.525865523351</v>
      </c>
      <c r="AM154" s="216">
        <v>300.34918889226446</v>
      </c>
      <c r="AN154" s="216">
        <v>308.38173953215829</v>
      </c>
      <c r="AO154" s="216">
        <v>316.62911302547951</v>
      </c>
      <c r="AP154" s="216">
        <v>325.09705460315467</v>
      </c>
      <c r="AQ154" s="216">
        <v>333.7914631467944</v>
      </c>
      <c r="AR154" s="216">
        <v>342.71839529793334</v>
      </c>
      <c r="AS154" s="216">
        <v>351.8840696771681</v>
      </c>
      <c r="AT154" s="216">
        <v>361.29487121613158</v>
      </c>
      <c r="AU154" s="216">
        <v>370.95735560532194</v>
      </c>
      <c r="AV154" s="216">
        <v>380.87825386088429</v>
      </c>
      <c r="AW154" s="216">
        <v>391.06447701352704</v>
      </c>
      <c r="AX154" s="216">
        <v>401.52312092283859</v>
      </c>
      <c r="AY154" s="216">
        <v>412.26147122035781</v>
      </c>
      <c r="AZ154" s="216">
        <v>423.28700838484298</v>
      </c>
      <c r="BA154" s="216">
        <v>434.60741295327347</v>
      </c>
      <c r="BB154" s="216">
        <v>446.23057087121481</v>
      </c>
      <c r="BC154" s="216">
        <v>458.16457898627408</v>
      </c>
      <c r="BD154" s="216">
        <v>470.41775068847215</v>
      </c>
      <c r="BE154" s="216">
        <v>482.99862170146326</v>
      </c>
      <c r="BF154" s="216">
        <v>495.9159560286339</v>
      </c>
      <c r="BG154" s="216">
        <v>509.17875205822537</v>
      </c>
      <c r="BH154" s="216">
        <v>522.79624883173153</v>
      </c>
      <c r="BI154" s="216">
        <v>536.77793247993907</v>
      </c>
      <c r="BJ154" s="216">
        <v>551.13354283109345</v>
      </c>
      <c r="BK154" s="216">
        <v>565.87308019579325</v>
      </c>
      <c r="BL154" s="216">
        <v>581.00681233334137</v>
      </c>
    </row>
    <row r="155" spans="1:64">
      <c r="A155" t="s">
        <v>1409</v>
      </c>
      <c r="U155">
        <v>5</v>
      </c>
      <c r="V155">
        <v>6</v>
      </c>
      <c r="W155">
        <v>7</v>
      </c>
      <c r="X155">
        <v>7</v>
      </c>
      <c r="Y155" s="216">
        <v>2</v>
      </c>
      <c r="Z155" s="216">
        <v>2.985310426426659</v>
      </c>
      <c r="AA155" s="216">
        <v>2.5240396619911745</v>
      </c>
      <c r="AB155" s="216">
        <v>2.1340414581039684</v>
      </c>
      <c r="AC155" s="216">
        <v>1.8043032419363132</v>
      </c>
      <c r="AD155" s="216">
        <v>1.5255140318381206</v>
      </c>
      <c r="AE155" s="216">
        <v>1.2898015185283052</v>
      </c>
      <c r="AF155" s="216">
        <v>1.0905097707907885</v>
      </c>
      <c r="AG155" s="216">
        <v>0.92201128864160298</v>
      </c>
      <c r="AH155" s="216">
        <v>0.7795480968190609</v>
      </c>
      <c r="AI155" s="216">
        <v>0.65909739147503843</v>
      </c>
      <c r="AJ155" s="216">
        <v>0.55725794626630998</v>
      </c>
      <c r="AK155" s="216">
        <v>0.47115407023835287</v>
      </c>
      <c r="AL155" s="216">
        <v>0.39835440551274098</v>
      </c>
      <c r="AM155" s="216">
        <v>0.33680327182811198</v>
      </c>
      <c r="AN155" s="216">
        <v>0.28476261927644936</v>
      </c>
      <c r="AO155" s="216">
        <v>0.24076295012528379</v>
      </c>
      <c r="AP155" s="216">
        <v>0.20356182388094751</v>
      </c>
      <c r="AQ155" s="216">
        <v>0.17210877387976597</v>
      </c>
      <c r="AR155" s="216">
        <v>0.14551564473955808</v>
      </c>
      <c r="AS155" s="216">
        <v>0.12303151307534069</v>
      </c>
      <c r="AT155" s="216">
        <v>0.1040214833030446</v>
      </c>
      <c r="AU155" s="216">
        <v>8.7948759777825986E-2</v>
      </c>
      <c r="AV155" s="216">
        <v>7.4359489029045031E-2</v>
      </c>
      <c r="AW155" s="216">
        <v>6.2869944074580936E-2</v>
      </c>
      <c r="AX155" s="216">
        <v>5.3155688931603953E-2</v>
      </c>
      <c r="AY155" s="216">
        <v>4.4942417356719701E-2</v>
      </c>
      <c r="AZ155" s="216">
        <v>3.7998207124443517E-2</v>
      </c>
      <c r="BA155" s="216">
        <v>3.2126971124223004E-2</v>
      </c>
      <c r="BB155" s="216">
        <v>2.7162920351384193E-2</v>
      </c>
      <c r="BC155" s="216">
        <v>2.2965882440730275E-2</v>
      </c>
      <c r="BD155" s="216">
        <v>1.9417343549901683E-2</v>
      </c>
      <c r="BE155" s="216">
        <v>1.6417101825194208E-2</v>
      </c>
      <c r="BF155" s="216">
        <v>1.3880437952088416E-2</v>
      </c>
      <c r="BG155" s="216">
        <v>1.1735722893921781E-2</v>
      </c>
      <c r="BH155" s="216">
        <v>9.9223952672327451E-3</v>
      </c>
      <c r="BI155" s="216">
        <v>8.3892512399210157E-3</v>
      </c>
      <c r="BJ155" s="216">
        <v>7.0929986632294736E-3</v>
      </c>
      <c r="BK155" s="216">
        <v>5.9970346098549643E-3</v>
      </c>
      <c r="BL155" s="216">
        <v>5.0704117989250523E-3</v>
      </c>
    </row>
    <row r="156" spans="1:64">
      <c r="A156" t="s">
        <v>1041</v>
      </c>
      <c r="B156">
        <v>579</v>
      </c>
      <c r="C156">
        <v>606</v>
      </c>
      <c r="D156">
        <v>609</v>
      </c>
      <c r="E156">
        <v>616</v>
      </c>
      <c r="F156">
        <v>612</v>
      </c>
      <c r="G156">
        <v>621</v>
      </c>
      <c r="H156">
        <v>629</v>
      </c>
      <c r="I156">
        <v>662</v>
      </c>
      <c r="J156">
        <v>624</v>
      </c>
      <c r="K156">
        <v>678</v>
      </c>
      <c r="L156">
        <v>660</v>
      </c>
      <c r="M156">
        <v>648</v>
      </c>
      <c r="N156">
        <v>621</v>
      </c>
      <c r="O156">
        <v>626</v>
      </c>
      <c r="P156">
        <v>603</v>
      </c>
      <c r="Q156">
        <v>604</v>
      </c>
      <c r="R156">
        <v>567</v>
      </c>
      <c r="S156">
        <v>576</v>
      </c>
      <c r="T156">
        <v>545</v>
      </c>
      <c r="U156">
        <v>544</v>
      </c>
      <c r="V156">
        <v>572</v>
      </c>
      <c r="W156">
        <v>549</v>
      </c>
      <c r="X156">
        <v>521</v>
      </c>
      <c r="Y156" s="216">
        <v>523</v>
      </c>
      <c r="Z156" s="216">
        <v>549.6827342346005</v>
      </c>
      <c r="AA156" s="216">
        <v>545.97051181889606</v>
      </c>
      <c r="AB156" s="216">
        <v>542.28335949254586</v>
      </c>
      <c r="AC156" s="216">
        <v>538.62110794743455</v>
      </c>
      <c r="AD156" s="216">
        <v>534.98358901885092</v>
      </c>
      <c r="AE156" s="216">
        <v>531.37063567776568</v>
      </c>
      <c r="AF156" s="216">
        <v>527.78208202316216</v>
      </c>
      <c r="AG156" s="216">
        <v>524.21776327441773</v>
      </c>
      <c r="AH156" s="216">
        <v>520.67751576373803</v>
      </c>
      <c r="AI156" s="216">
        <v>517.161176928641</v>
      </c>
      <c r="AJ156" s="216">
        <v>513.66858530449304</v>
      </c>
      <c r="AK156" s="216">
        <v>510.19958051709386</v>
      </c>
      <c r="AL156" s="216">
        <v>506.75400327531321</v>
      </c>
      <c r="AM156" s="216">
        <v>503.33169536377596</v>
      </c>
      <c r="AN156" s="216">
        <v>499.9324996355972</v>
      </c>
      <c r="AO156" s="216">
        <v>496.55626000516651</v>
      </c>
      <c r="AP156" s="216">
        <v>493.20282144098053</v>
      </c>
      <c r="AQ156" s="216">
        <v>489.87202995852437</v>
      </c>
      <c r="AR156" s="216">
        <v>486.56373261320061</v>
      </c>
      <c r="AS156" s="216">
        <v>483.2777774933067</v>
      </c>
      <c r="AT156" s="216">
        <v>480.014013713059</v>
      </c>
      <c r="AU156" s="216">
        <v>476.77229140566459</v>
      </c>
      <c r="AV156" s="216">
        <v>473.55246171643984</v>
      </c>
      <c r="AW156" s="216">
        <v>470.35437679597464</v>
      </c>
      <c r="AX156" s="216">
        <v>467.17788979334404</v>
      </c>
      <c r="AY156" s="216">
        <v>464.02285484936465</v>
      </c>
      <c r="AZ156" s="216">
        <v>460.88912708989722</v>
      </c>
      <c r="BA156" s="216">
        <v>457.77656261919418</v>
      </c>
      <c r="BB156" s="216">
        <v>454.68501851329216</v>
      </c>
      <c r="BC156" s="216">
        <v>451.61435281344944</v>
      </c>
      <c r="BD156" s="216">
        <v>448.56442451962681</v>
      </c>
      <c r="BE156" s="216">
        <v>445.53509358401368</v>
      </c>
      <c r="BF156" s="216">
        <v>442.5262209045971</v>
      </c>
      <c r="BG156" s="216">
        <v>439.53766831877431</v>
      </c>
      <c r="BH156" s="216">
        <v>436.56929859700858</v>
      </c>
      <c r="BI156" s="216">
        <v>433.620975436528</v>
      </c>
      <c r="BJ156" s="216">
        <v>430.69256345506665</v>
      </c>
      <c r="BK156" s="216">
        <v>427.78392818464772</v>
      </c>
      <c r="BL156" s="216">
        <v>424.89493606540952</v>
      </c>
    </row>
    <row r="157" spans="1:64">
      <c r="A157" t="s">
        <v>196</v>
      </c>
      <c r="B157">
        <v>331</v>
      </c>
      <c r="C157">
        <v>322</v>
      </c>
      <c r="D157">
        <v>331</v>
      </c>
      <c r="E157">
        <v>321</v>
      </c>
      <c r="F157">
        <v>327</v>
      </c>
      <c r="G157">
        <v>341</v>
      </c>
      <c r="H157">
        <v>353</v>
      </c>
      <c r="I157">
        <v>372</v>
      </c>
      <c r="J157">
        <v>363</v>
      </c>
      <c r="K157">
        <v>353</v>
      </c>
      <c r="L157">
        <v>371</v>
      </c>
      <c r="M157">
        <v>354</v>
      </c>
      <c r="N157">
        <v>382</v>
      </c>
      <c r="O157">
        <v>364</v>
      </c>
      <c r="P157">
        <v>378</v>
      </c>
      <c r="Q157">
        <v>379</v>
      </c>
      <c r="R157">
        <v>383</v>
      </c>
      <c r="S157">
        <v>355</v>
      </c>
      <c r="T157">
        <v>345</v>
      </c>
      <c r="U157">
        <v>354</v>
      </c>
      <c r="V157">
        <v>360</v>
      </c>
      <c r="W157">
        <v>357</v>
      </c>
      <c r="X157">
        <v>362</v>
      </c>
      <c r="Y157" s="216">
        <v>387</v>
      </c>
      <c r="Z157" s="216">
        <v>378.99911146907931</v>
      </c>
      <c r="AA157" s="216">
        <v>380.94342159894967</v>
      </c>
      <c r="AB157" s="216">
        <v>382.89770626904107</v>
      </c>
      <c r="AC157" s="216">
        <v>384.86201664992109</v>
      </c>
      <c r="AD157" s="216">
        <v>386.83640417466813</v>
      </c>
      <c r="AE157" s="216">
        <v>388.82092054021842</v>
      </c>
      <c r="AF157" s="216">
        <v>390.81561770871969</v>
      </c>
      <c r="AG157" s="216">
        <v>392.82054790889134</v>
      </c>
      <c r="AH157" s="216">
        <v>394.83576363739246</v>
      </c>
      <c r="AI157" s="216">
        <v>396.86131766019633</v>
      </c>
      <c r="AJ157" s="216">
        <v>398.8972630139715</v>
      </c>
      <c r="AK157" s="216">
        <v>400.94365300747126</v>
      </c>
      <c r="AL157" s="216">
        <v>403.0005412229288</v>
      </c>
      <c r="AM157" s="216">
        <v>405.06798151746068</v>
      </c>
      <c r="AN157" s="216">
        <v>407.14602802447683</v>
      </c>
      <c r="AO157" s="216">
        <v>409.23473515509772</v>
      </c>
      <c r="AP157" s="216">
        <v>411.3341575995795</v>
      </c>
      <c r="AQ157" s="216">
        <v>413.44435032874583</v>
      </c>
      <c r="AR157" s="216">
        <v>415.56536859542695</v>
      </c>
      <c r="AS157" s="216">
        <v>417.69726793590684</v>
      </c>
      <c r="AT157" s="216">
        <v>419.84010417137699</v>
      </c>
      <c r="AU157" s="216">
        <v>421.99393340939832</v>
      </c>
      <c r="AV157" s="216">
        <v>424.15881204537015</v>
      </c>
      <c r="AW157" s="216">
        <v>426.3347967640068</v>
      </c>
      <c r="AX157" s="216">
        <v>428.52194454082178</v>
      </c>
      <c r="AY157" s="216">
        <v>430.72031264361993</v>
      </c>
      <c r="AZ157" s="216">
        <v>432.92995863399642</v>
      </c>
      <c r="BA157" s="216">
        <v>435.15094036884432</v>
      </c>
      <c r="BB157" s="216">
        <v>437.38331600186939</v>
      </c>
      <c r="BC157" s="216">
        <v>439.62714398511281</v>
      </c>
      <c r="BD157" s="216">
        <v>441.8824830704815</v>
      </c>
      <c r="BE157" s="216">
        <v>444.14939231128659</v>
      </c>
      <c r="BF157" s="216">
        <v>446.4279310637898</v>
      </c>
      <c r="BG157" s="216">
        <v>448.71815898875735</v>
      </c>
      <c r="BH157" s="216">
        <v>451.02013605302227</v>
      </c>
      <c r="BI157" s="216">
        <v>453.33392253105444</v>
      </c>
      <c r="BJ157" s="216">
        <v>455.6595790065391</v>
      </c>
      <c r="BK157" s="216">
        <v>457.99716637396256</v>
      </c>
      <c r="BL157" s="216">
        <v>460.34674584020746</v>
      </c>
    </row>
    <row r="158" spans="1:64">
      <c r="A158" t="s">
        <v>39</v>
      </c>
      <c r="B158">
        <v>347</v>
      </c>
      <c r="C158">
        <v>356</v>
      </c>
      <c r="D158">
        <v>359</v>
      </c>
      <c r="E158">
        <v>401</v>
      </c>
      <c r="F158">
        <v>398</v>
      </c>
      <c r="G158">
        <v>406</v>
      </c>
      <c r="H158">
        <v>395</v>
      </c>
      <c r="I158">
        <v>392</v>
      </c>
      <c r="J158">
        <v>406</v>
      </c>
      <c r="K158">
        <v>390</v>
      </c>
      <c r="L158">
        <v>416</v>
      </c>
      <c r="M158">
        <v>414</v>
      </c>
      <c r="N158">
        <v>417</v>
      </c>
      <c r="O158">
        <v>431</v>
      </c>
      <c r="P158">
        <v>415</v>
      </c>
      <c r="Q158">
        <v>438</v>
      </c>
      <c r="R158">
        <v>410</v>
      </c>
      <c r="S158">
        <v>407</v>
      </c>
      <c r="T158">
        <v>410</v>
      </c>
      <c r="U158">
        <v>405</v>
      </c>
      <c r="V158">
        <v>425</v>
      </c>
      <c r="W158">
        <v>433</v>
      </c>
      <c r="X158">
        <v>442</v>
      </c>
      <c r="Y158" s="216">
        <v>451</v>
      </c>
      <c r="Z158" s="216">
        <v>445.80759979771574</v>
      </c>
      <c r="AA158" s="216">
        <v>449.15391328572161</v>
      </c>
      <c r="AB158" s="216">
        <v>452.52534481560281</v>
      </c>
      <c r="AC158" s="216">
        <v>455.92208292798148</v>
      </c>
      <c r="AD158" s="216">
        <v>459.34431757870055</v>
      </c>
      <c r="AE158" s="216">
        <v>462.79224014944617</v>
      </c>
      <c r="AF158" s="216">
        <v>466.26604345845044</v>
      </c>
      <c r="AG158" s="216">
        <v>469.76592177127446</v>
      </c>
      <c r="AH158" s="216">
        <v>473.29207081167215</v>
      </c>
      <c r="AI158" s="216">
        <v>476.84468777253591</v>
      </c>
      <c r="AJ158" s="216">
        <v>480.423971326924</v>
      </c>
      <c r="AK158" s="216">
        <v>484.03012163917106</v>
      </c>
      <c r="AL158" s="216">
        <v>487.66334037608186</v>
      </c>
      <c r="AM158" s="216">
        <v>491.32383071820914</v>
      </c>
      <c r="AN158" s="216">
        <v>495.01179737121612</v>
      </c>
      <c r="AO158" s="216">
        <v>498.72744657732426</v>
      </c>
      <c r="AP158" s="216">
        <v>502.4709861268467</v>
      </c>
      <c r="AQ158" s="216">
        <v>506.24262536980899</v>
      </c>
      <c r="AR158" s="216">
        <v>510.04257522765613</v>
      </c>
      <c r="AS158" s="216">
        <v>513.87104820504817</v>
      </c>
      <c r="AT158" s="216">
        <v>517.72825840174403</v>
      </c>
      <c r="AU158" s="216">
        <v>521.61442152457482</v>
      </c>
      <c r="AV158" s="216">
        <v>525.52975489950632</v>
      </c>
      <c r="AW158" s="216">
        <v>529.47447748379284</v>
      </c>
      <c r="AX158" s="216">
        <v>533.44880987822228</v>
      </c>
      <c r="AY158" s="216">
        <v>537.45297433945211</v>
      </c>
      <c r="AZ158" s="216">
        <v>541.48719479243903</v>
      </c>
      <c r="BA158" s="216">
        <v>545.55169684296175</v>
      </c>
      <c r="BB158" s="216">
        <v>549.64670779023686</v>
      </c>
      <c r="BC158" s="216">
        <v>553.77245663963083</v>
      </c>
      <c r="BD158" s="216">
        <v>557.92917411546614</v>
      </c>
      <c r="BE158" s="216">
        <v>562.11709267392439</v>
      </c>
      <c r="BF158" s="216">
        <v>566.33644651604584</v>
      </c>
      <c r="BG158" s="216">
        <v>570.58747160082646</v>
      </c>
      <c r="BH158" s="216">
        <v>574.87040565841414</v>
      </c>
      <c r="BI158" s="216">
        <v>579.1854882034022</v>
      </c>
      <c r="BJ158" s="216">
        <v>583.53296054822476</v>
      </c>
      <c r="BK158" s="216">
        <v>587.91306581665117</v>
      </c>
      <c r="BL158" s="216">
        <v>592.32604895738245</v>
      </c>
    </row>
    <row r="159" spans="1:64">
      <c r="A159" t="s">
        <v>1176</v>
      </c>
      <c r="B159">
        <v>121</v>
      </c>
      <c r="C159">
        <v>134</v>
      </c>
      <c r="D159">
        <v>121</v>
      </c>
      <c r="E159">
        <v>147</v>
      </c>
      <c r="F159">
        <v>145</v>
      </c>
      <c r="G159">
        <v>156</v>
      </c>
      <c r="H159">
        <v>134</v>
      </c>
      <c r="I159">
        <v>170</v>
      </c>
      <c r="J159">
        <v>164</v>
      </c>
      <c r="K159">
        <v>135</v>
      </c>
      <c r="L159">
        <v>127</v>
      </c>
      <c r="M159">
        <v>109</v>
      </c>
      <c r="N159">
        <v>105</v>
      </c>
      <c r="O159">
        <v>104</v>
      </c>
      <c r="P159">
        <v>113</v>
      </c>
      <c r="Q159">
        <v>126</v>
      </c>
      <c r="R159">
        <v>124</v>
      </c>
      <c r="S159">
        <v>116</v>
      </c>
      <c r="T159">
        <v>111</v>
      </c>
      <c r="U159">
        <v>113</v>
      </c>
      <c r="V159">
        <v>121</v>
      </c>
      <c r="W159">
        <v>113</v>
      </c>
      <c r="X159">
        <v>123</v>
      </c>
      <c r="Y159" s="216">
        <v>121</v>
      </c>
      <c r="Z159" s="216">
        <v>111.64121322971148</v>
      </c>
      <c r="AA159" s="216">
        <v>110.56067063865227</v>
      </c>
      <c r="AB159" s="216">
        <v>109.4905863027241</v>
      </c>
      <c r="AC159" s="216">
        <v>108.43085899953986</v>
      </c>
      <c r="AD159" s="216">
        <v>107.38138848641438</v>
      </c>
      <c r="AE159" s="216">
        <v>106.34207549088195</v>
      </c>
      <c r="AF159" s="216">
        <v>105.31282170130606</v>
      </c>
      <c r="AG159" s="216">
        <v>104.29352975757966</v>
      </c>
      <c r="AH159" s="216">
        <v>103.2841032419157</v>
      </c>
      <c r="AI159" s="216">
        <v>102.28444666972661</v>
      </c>
      <c r="AJ159" s="216">
        <v>101.29446548059214</v>
      </c>
      <c r="AK159" s="216">
        <v>100.31406602931472</v>
      </c>
      <c r="AL159" s="216">
        <v>99.343155577061111</v>
      </c>
      <c r="AM159" s="216">
        <v>98.38164228259015</v>
      </c>
      <c r="AN159" s="216">
        <v>97.429435193565084</v>
      </c>
      <c r="AO159" s="216">
        <v>96.486444237950224</v>
      </c>
      <c r="AP159" s="216">
        <v>95.55258021549065</v>
      </c>
      <c r="AQ159" s="216">
        <v>94.627754789274661</v>
      </c>
      <c r="AR159" s="216">
        <v>93.711880477377576</v>
      </c>
      <c r="AS159" s="216">
        <v>92.804870644586657</v>
      </c>
      <c r="AT159" s="216">
        <v>91.90663949420599</v>
      </c>
      <c r="AU159" s="216">
        <v>91.017102059940783</v>
      </c>
      <c r="AV159" s="216">
        <v>90.136174197860058</v>
      </c>
      <c r="AW159" s="216">
        <v>89.263772578437312</v>
      </c>
      <c r="AX159" s="216">
        <v>88.39981467866815</v>
      </c>
      <c r="AY159" s="216">
        <v>87.544218774264081</v>
      </c>
      <c r="AZ159" s="216">
        <v>86.696903931922137</v>
      </c>
      <c r="BA159" s="216">
        <v>85.857790001669002</v>
      </c>
      <c r="BB159" s="216">
        <v>85.026797609279541</v>
      </c>
      <c r="BC159" s="216">
        <v>84.203848148768444</v>
      </c>
      <c r="BD159" s="216">
        <v>83.388863774954658</v>
      </c>
      <c r="BE159" s="216">
        <v>82.581767396097931</v>
      </c>
      <c r="BF159" s="216">
        <v>81.782482666606299</v>
      </c>
      <c r="BG159" s="216">
        <v>80.990933979814429</v>
      </c>
      <c r="BH159" s="216">
        <v>80.207046460831748</v>
      </c>
      <c r="BI159" s="216">
        <v>79.430745959459841</v>
      </c>
      <c r="BJ159" s="216">
        <v>78.661959043178314</v>
      </c>
      <c r="BK159" s="216">
        <v>77.900612990198582</v>
      </c>
      <c r="BL159" s="216">
        <v>77.146635782584994</v>
      </c>
    </row>
    <row r="160" spans="1:64">
      <c r="A160" t="s">
        <v>1358</v>
      </c>
      <c r="K160">
        <v>71</v>
      </c>
      <c r="L160">
        <v>70</v>
      </c>
      <c r="M160">
        <v>77</v>
      </c>
      <c r="N160">
        <v>72</v>
      </c>
      <c r="O160">
        <v>67</v>
      </c>
      <c r="P160">
        <v>73</v>
      </c>
      <c r="Q160">
        <v>56</v>
      </c>
      <c r="R160">
        <v>59</v>
      </c>
      <c r="S160">
        <v>63</v>
      </c>
      <c r="T160">
        <v>58</v>
      </c>
      <c r="U160">
        <v>59</v>
      </c>
      <c r="V160">
        <v>60</v>
      </c>
      <c r="W160">
        <v>74</v>
      </c>
      <c r="X160">
        <v>71</v>
      </c>
      <c r="Y160" s="216">
        <v>64</v>
      </c>
      <c r="Z160" s="216">
        <v>61.75649481227196</v>
      </c>
      <c r="AA160" s="216">
        <v>61.252780582837609</v>
      </c>
      <c r="AB160" s="216">
        <v>60.753174877141632</v>
      </c>
      <c r="AC160" s="216">
        <v>60.257644184184471</v>
      </c>
      <c r="AD160" s="216">
        <v>59.766155266297673</v>
      </c>
      <c r="AE160" s="216">
        <v>59.278675156914346</v>
      </c>
      <c r="AF160" s="216">
        <v>58.795171158358052</v>
      </c>
      <c r="AG160" s="216">
        <v>58.315610839649551</v>
      </c>
      <c r="AH160" s="216">
        <v>57.839962034331506</v>
      </c>
      <c r="AI160" s="216">
        <v>57.368192838310911</v>
      </c>
      <c r="AJ160" s="216">
        <v>56.900271607719169</v>
      </c>
      <c r="AK160" s="216">
        <v>56.436166956789528</v>
      </c>
      <c r="AL160" s="216">
        <v>55.975847755751929</v>
      </c>
      <c r="AM160" s="216">
        <v>55.519283128744952</v>
      </c>
      <c r="AN160" s="216">
        <v>55.066442451744841</v>
      </c>
      <c r="AO160" s="216">
        <v>54.61729535051137</v>
      </c>
      <c r="AP160" s="216">
        <v>54.171811698550535</v>
      </c>
      <c r="AQ160" s="216">
        <v>53.729961615093792</v>
      </c>
      <c r="AR160" s="216">
        <v>53.291715463093823</v>
      </c>
      <c r="AS160" s="216">
        <v>52.857043847236632</v>
      </c>
      <c r="AT160" s="216">
        <v>52.42591761196983</v>
      </c>
      <c r="AU160" s="216">
        <v>51.998307839547081</v>
      </c>
      <c r="AV160" s="216">
        <v>51.574185848088419</v>
      </c>
      <c r="AW160" s="216">
        <v>51.15352318965639</v>
      </c>
      <c r="AX160" s="216">
        <v>50.736291648347965</v>
      </c>
      <c r="AY160" s="216">
        <v>50.322463238401916</v>
      </c>
      <c r="AZ160" s="216">
        <v>49.912010202321682</v>
      </c>
      <c r="BA160" s="216">
        <v>49.504905009013562</v>
      </c>
      <c r="BB160" s="216">
        <v>49.10112035194004</v>
      </c>
      <c r="BC160" s="216">
        <v>48.700629147288218</v>
      </c>
      <c r="BD160" s="216">
        <v>48.303404532153174</v>
      </c>
      <c r="BE160" s="216">
        <v>47.909419862736108</v>
      </c>
      <c r="BF160" s="216">
        <v>47.51864871255728</v>
      </c>
      <c r="BG160" s="216">
        <v>47.131064870683353</v>
      </c>
      <c r="BH160" s="216">
        <v>46.746642339969398</v>
      </c>
      <c r="BI160" s="216">
        <v>46.36535533531508</v>
      </c>
      <c r="BJ160" s="216">
        <v>45.987178281935151</v>
      </c>
      <c r="BK160" s="216">
        <v>45.612085813643994</v>
      </c>
      <c r="BL160" s="216">
        <v>45.240052771154225</v>
      </c>
    </row>
    <row r="161" spans="1:64">
      <c r="A161" t="s">
        <v>201</v>
      </c>
      <c r="B161">
        <v>87</v>
      </c>
      <c r="C161">
        <v>87</v>
      </c>
      <c r="D161">
        <v>85</v>
      </c>
      <c r="E161">
        <v>86</v>
      </c>
      <c r="F161">
        <v>89</v>
      </c>
      <c r="G161">
        <v>84</v>
      </c>
      <c r="H161">
        <v>87</v>
      </c>
      <c r="I161">
        <v>78</v>
      </c>
      <c r="J161">
        <v>87</v>
      </c>
      <c r="K161">
        <v>83</v>
      </c>
      <c r="L161">
        <v>78</v>
      </c>
      <c r="M161">
        <v>69</v>
      </c>
      <c r="N161">
        <v>62</v>
      </c>
      <c r="O161">
        <v>75</v>
      </c>
      <c r="P161">
        <v>63</v>
      </c>
      <c r="Q161">
        <v>64</v>
      </c>
      <c r="R161">
        <v>66</v>
      </c>
      <c r="S161">
        <v>60</v>
      </c>
      <c r="T161">
        <v>58</v>
      </c>
      <c r="U161">
        <v>52</v>
      </c>
      <c r="V161">
        <v>44</v>
      </c>
      <c r="W161">
        <v>46</v>
      </c>
      <c r="X161">
        <v>45</v>
      </c>
      <c r="Y161" s="216">
        <v>44</v>
      </c>
      <c r="Z161" s="216">
        <v>45.330956404963729</v>
      </c>
      <c r="AA161" s="216">
        <v>43.880404265104211</v>
      </c>
      <c r="AB161" s="216">
        <v>42.476268562869677</v>
      </c>
      <c r="AC161" s="216">
        <v>41.11706401164227</v>
      </c>
      <c r="AD161" s="216">
        <v>39.801352852715624</v>
      </c>
      <c r="AE161" s="216">
        <v>38.527743334441965</v>
      </c>
      <c r="AF161" s="216">
        <v>37.294888240045296</v>
      </c>
      <c r="AG161" s="216">
        <v>36.101483462543293</v>
      </c>
      <c r="AH161" s="216">
        <v>34.946266625270461</v>
      </c>
      <c r="AI161" s="216">
        <v>33.828015746543436</v>
      </c>
      <c r="AJ161" s="216">
        <v>32.745547947055833</v>
      </c>
      <c r="AK161" s="216">
        <v>31.697718198635325</v>
      </c>
      <c r="AL161" s="216">
        <v>30.683418113039526</v>
      </c>
      <c r="AM161" s="216">
        <v>29.701574769509275</v>
      </c>
      <c r="AN161" s="216">
        <v>28.751149579839307</v>
      </c>
      <c r="AO161" s="216">
        <v>27.83113718976562</v>
      </c>
      <c r="AP161" s="216">
        <v>26.940564415507595</v>
      </c>
      <c r="AQ161" s="216">
        <v>26.078489214339804</v>
      </c>
      <c r="AR161" s="216">
        <v>25.243999688104669</v>
      </c>
      <c r="AS161" s="216">
        <v>24.436213118611878</v>
      </c>
      <c r="AT161" s="216">
        <v>23.654275033904181</v>
      </c>
      <c r="AU161" s="216">
        <v>22.897358304401912</v>
      </c>
      <c r="AV161" s="216">
        <v>22.164662267970101</v>
      </c>
      <c r="AW161" s="216">
        <v>21.455411882982702</v>
      </c>
      <c r="AX161" s="216">
        <v>20.768856908488058</v>
      </c>
      <c r="AY161" s="216">
        <v>20.104271110608344</v>
      </c>
      <c r="AZ161" s="216">
        <v>19.460951494333596</v>
      </c>
      <c r="BA161" s="216">
        <v>18.838217559897643</v>
      </c>
      <c r="BB161" s="216">
        <v>18.235410582949406</v>
      </c>
      <c r="BC161" s="216">
        <v>17.651892917758087</v>
      </c>
      <c r="BD161" s="216">
        <v>17.087047322715197</v>
      </c>
      <c r="BE161" s="216">
        <v>16.540276307419983</v>
      </c>
      <c r="BF161" s="216">
        <v>16.0110015006575</v>
      </c>
      <c r="BG161" s="216">
        <v>15.498663038600933</v>
      </c>
      <c r="BH161" s="216">
        <v>15.002718972590838</v>
      </c>
      <c r="BI161" s="216">
        <v>14.52264469586502</v>
      </c>
      <c r="BJ161" s="216">
        <v>14.057932388632524</v>
      </c>
      <c r="BK161" s="216">
        <v>13.608090480904801</v>
      </c>
      <c r="BL161" s="216">
        <v>13.172643132515812</v>
      </c>
    </row>
    <row r="162" spans="1:64">
      <c r="A162" t="s">
        <v>1043</v>
      </c>
      <c r="B162">
        <v>384</v>
      </c>
      <c r="C162">
        <v>390</v>
      </c>
      <c r="D162">
        <v>400</v>
      </c>
      <c r="E162">
        <v>385</v>
      </c>
      <c r="F162">
        <v>351</v>
      </c>
      <c r="G162">
        <v>353</v>
      </c>
      <c r="H162">
        <v>354</v>
      </c>
      <c r="I162">
        <v>366</v>
      </c>
      <c r="J162">
        <v>348</v>
      </c>
      <c r="K162">
        <v>402</v>
      </c>
      <c r="L162">
        <v>400</v>
      </c>
      <c r="M162">
        <v>413</v>
      </c>
      <c r="N162">
        <v>386</v>
      </c>
      <c r="O162">
        <v>390</v>
      </c>
      <c r="P162">
        <v>376</v>
      </c>
      <c r="Q162">
        <v>380</v>
      </c>
      <c r="R162">
        <v>396</v>
      </c>
      <c r="S162">
        <v>386</v>
      </c>
      <c r="T162">
        <v>390</v>
      </c>
      <c r="U162">
        <v>378</v>
      </c>
      <c r="V162">
        <v>388</v>
      </c>
      <c r="W162">
        <v>407</v>
      </c>
      <c r="X162">
        <v>399</v>
      </c>
      <c r="Y162" s="216">
        <v>396</v>
      </c>
      <c r="Z162" s="216">
        <v>396.06933820850639</v>
      </c>
      <c r="AA162" s="216">
        <v>397.07883476182303</v>
      </c>
      <c r="AB162" s="216">
        <v>398.09090430727224</v>
      </c>
      <c r="AC162" s="216">
        <v>399.10555340286396</v>
      </c>
      <c r="AD162" s="216">
        <v>400.12278862332323</v>
      </c>
      <c r="AE162" s="216">
        <v>401.14261656013275</v>
      </c>
      <c r="AF162" s="216">
        <v>402.1650438215753</v>
      </c>
      <c r="AG162" s="216">
        <v>403.19007703277674</v>
      </c>
      <c r="AH162" s="216">
        <v>404.21772283574921</v>
      </c>
      <c r="AI162" s="216">
        <v>405.24798788943372</v>
      </c>
      <c r="AJ162" s="216">
        <v>406.28087886974356</v>
      </c>
      <c r="AK162" s="216">
        <v>407.31640246960762</v>
      </c>
      <c r="AL162" s="216">
        <v>408.35456539901355</v>
      </c>
      <c r="AM162" s="216">
        <v>409.39537438505118</v>
      </c>
      <c r="AN162" s="216">
        <v>410.43883617195655</v>
      </c>
      <c r="AO162" s="216">
        <v>411.48495752115514</v>
      </c>
      <c r="AP162" s="216">
        <v>412.53374521130587</v>
      </c>
      <c r="AQ162" s="216">
        <v>413.58520603834512</v>
      </c>
      <c r="AR162" s="216">
        <v>414.63934681553059</v>
      </c>
      <c r="AS162" s="216">
        <v>415.69617437348558</v>
      </c>
      <c r="AT162" s="216">
        <v>416.75569556024311</v>
      </c>
      <c r="AU162" s="216">
        <v>417.81791724129039</v>
      </c>
      <c r="AV162" s="216">
        <v>418.88284629961333</v>
      </c>
      <c r="AW162" s="216">
        <v>419.95048963574129</v>
      </c>
      <c r="AX162" s="216">
        <v>421.02085416779136</v>
      </c>
      <c r="AY162" s="216">
        <v>422.09394683151339</v>
      </c>
      <c r="AZ162" s="216">
        <v>423.16977458033523</v>
      </c>
      <c r="BA162" s="216">
        <v>424.24834438540739</v>
      </c>
      <c r="BB162" s="216">
        <v>425.32966323564841</v>
      </c>
      <c r="BC162" s="216">
        <v>426.41373813779006</v>
      </c>
      <c r="BD162" s="216">
        <v>427.50057611642291</v>
      </c>
      <c r="BE162" s="216">
        <v>428.59018421404136</v>
      </c>
      <c r="BF162" s="216">
        <v>429.68256949109008</v>
      </c>
      <c r="BG162" s="216">
        <v>430.77773902600904</v>
      </c>
      <c r="BH162" s="216">
        <v>431.87569991527988</v>
      </c>
      <c r="BI162" s="216">
        <v>432.97645927347122</v>
      </c>
      <c r="BJ162" s="216">
        <v>434.0800242332856</v>
      </c>
      <c r="BK162" s="216">
        <v>435.18640194560527</v>
      </c>
      <c r="BL162" s="216">
        <v>436.29559957953848</v>
      </c>
    </row>
    <row r="163" spans="1:64">
      <c r="A163" t="s">
        <v>1180</v>
      </c>
      <c r="K163">
        <v>36</v>
      </c>
      <c r="L163">
        <v>39</v>
      </c>
      <c r="M163">
        <v>39</v>
      </c>
      <c r="N163">
        <v>44</v>
      </c>
      <c r="O163">
        <v>44</v>
      </c>
      <c r="P163">
        <v>46</v>
      </c>
      <c r="Q163">
        <v>50</v>
      </c>
      <c r="R163">
        <v>53</v>
      </c>
      <c r="S163">
        <v>56</v>
      </c>
      <c r="T163">
        <v>63</v>
      </c>
      <c r="U163">
        <v>66</v>
      </c>
      <c r="V163">
        <v>54</v>
      </c>
      <c r="W163">
        <v>62</v>
      </c>
      <c r="X163">
        <v>52</v>
      </c>
      <c r="Y163" s="216">
        <v>50</v>
      </c>
      <c r="Z163" s="216">
        <v>64.228321828174415</v>
      </c>
      <c r="AA163" s="216">
        <v>66.355098162383584</v>
      </c>
      <c r="AB163" s="216">
        <v>68.552297908679606</v>
      </c>
      <c r="AC163" s="216">
        <v>70.822252979868821</v>
      </c>
      <c r="AD163" s="216">
        <v>73.167372504802245</v>
      </c>
      <c r="AE163" s="216">
        <v>75.590145385211216</v>
      </c>
      <c r="AF163" s="216">
        <v>78.093142937206665</v>
      </c>
      <c r="AG163" s="216">
        <v>80.67902162024599</v>
      </c>
      <c r="AH163" s="216">
        <v>83.350525856463193</v>
      </c>
      <c r="AI163" s="216">
        <v>86.110490943355032</v>
      </c>
      <c r="AJ163" s="216">
        <v>88.961846062914233</v>
      </c>
      <c r="AK163" s="216">
        <v>91.907617390403118</v>
      </c>
      <c r="AL163" s="216">
        <v>94.950931306067602</v>
      </c>
      <c r="AM163" s="216">
        <v>98.095017713199638</v>
      </c>
      <c r="AN163" s="216">
        <v>101.34321346606994</v>
      </c>
      <c r="AO163" s="216">
        <v>104.6989659113689</v>
      </c>
      <c r="AP163" s="216">
        <v>108.16583654691453</v>
      </c>
      <c r="AQ163" s="216">
        <v>111.74750480151003</v>
      </c>
      <c r="AR163" s="216">
        <v>115.44777193996302</v>
      </c>
      <c r="AS163" s="216">
        <v>119.27056509741068</v>
      </c>
      <c r="AT163" s="216">
        <v>123.21994144723234</v>
      </c>
      <c r="AU163" s="216">
        <v>127.30009250697337</v>
      </c>
      <c r="AV163" s="216">
        <v>131.51534858684974</v>
      </c>
      <c r="AW163" s="216">
        <v>135.87018338555512</v>
      </c>
      <c r="AX163" s="216">
        <v>140.3692187382475</v>
      </c>
      <c r="AY163" s="216">
        <v>145.01722952175481</v>
      </c>
      <c r="AZ163" s="216">
        <v>149.81914872220568</v>
      </c>
      <c r="BA163" s="216">
        <v>154.78007267046272</v>
      </c>
      <c r="BB163" s="216">
        <v>159.90526645091609</v>
      </c>
      <c r="BC163" s="216">
        <v>165.20016948937655</v>
      </c>
      <c r="BD163" s="216">
        <v>170.67040132599959</v>
      </c>
      <c r="BE163" s="216">
        <v>176.32176757936628</v>
      </c>
      <c r="BF163" s="216">
        <v>182.16026610805159</v>
      </c>
      <c r="BG163" s="216">
        <v>188.19209337621956</v>
      </c>
      <c r="BH163" s="216">
        <v>194.42365102999986</v>
      </c>
      <c r="BI163" s="216">
        <v>200.86155269162731</v>
      </c>
      <c r="BJ163" s="216">
        <v>207.5126309785532</v>
      </c>
      <c r="BK163" s="216">
        <v>214.38394475497932</v>
      </c>
      <c r="BL163" s="216">
        <v>221.4827866235099</v>
      </c>
    </row>
    <row r="164" spans="1:64">
      <c r="A164" t="s">
        <v>90</v>
      </c>
      <c r="B164">
        <v>387</v>
      </c>
      <c r="C164">
        <v>408</v>
      </c>
      <c r="D164">
        <v>413</v>
      </c>
      <c r="E164">
        <v>418</v>
      </c>
      <c r="F164">
        <v>423</v>
      </c>
      <c r="G164">
        <v>442</v>
      </c>
      <c r="H164">
        <v>451</v>
      </c>
      <c r="I164">
        <v>457</v>
      </c>
      <c r="J164">
        <v>475</v>
      </c>
      <c r="K164">
        <v>471</v>
      </c>
      <c r="L164">
        <v>487</v>
      </c>
      <c r="M164">
        <v>480</v>
      </c>
      <c r="N164">
        <v>487</v>
      </c>
      <c r="O164">
        <v>468</v>
      </c>
      <c r="P164">
        <v>458</v>
      </c>
      <c r="Q164">
        <v>462</v>
      </c>
      <c r="R164">
        <v>438</v>
      </c>
      <c r="S164">
        <v>481</v>
      </c>
      <c r="T164">
        <v>510</v>
      </c>
      <c r="U164">
        <v>510</v>
      </c>
      <c r="V164">
        <v>496</v>
      </c>
      <c r="W164">
        <v>506</v>
      </c>
      <c r="X164">
        <v>499</v>
      </c>
      <c r="Y164" s="216">
        <v>499</v>
      </c>
      <c r="Z164" s="216">
        <v>519.28080373439877</v>
      </c>
      <c r="AA164" s="216">
        <v>524.13368798707211</v>
      </c>
      <c r="AB164" s="216">
        <v>529.03192436021766</v>
      </c>
      <c r="AC164" s="216">
        <v>533.97593668731736</v>
      </c>
      <c r="AD164" s="216">
        <v>538.96615276274497</v>
      </c>
      <c r="AE164" s="216">
        <v>544.00300437878127</v>
      </c>
      <c r="AF164" s="216">
        <v>549.08692736297667</v>
      </c>
      <c r="AG164" s="216">
        <v>554.21836161586214</v>
      </c>
      <c r="AH164" s="216">
        <v>559.39775114901283</v>
      </c>
      <c r="AI164" s="216">
        <v>564.62554412346753</v>
      </c>
      <c r="AJ164" s="216">
        <v>569.9021928885071</v>
      </c>
      <c r="AK164" s="216">
        <v>575.22815402079505</v>
      </c>
      <c r="AL164" s="216">
        <v>580.60388836388404</v>
      </c>
      <c r="AM164" s="216">
        <v>586.0298610680918</v>
      </c>
      <c r="AN164" s="216">
        <v>591.50654163074989</v>
      </c>
      <c r="AO164" s="216">
        <v>597.03440393682763</v>
      </c>
      <c r="AP164" s="216">
        <v>602.61392629993645</v>
      </c>
      <c r="AQ164" s="216">
        <v>608.24559150371783</v>
      </c>
      <c r="AR164" s="216">
        <v>613.92988684361671</v>
      </c>
      <c r="AS164" s="216">
        <v>619.66730416904659</v>
      </c>
      <c r="AT164" s="216">
        <v>625.45833992594805</v>
      </c>
      <c r="AU164" s="216">
        <v>631.30349519974538</v>
      </c>
      <c r="AV164" s="216">
        <v>637.20327575870374</v>
      </c>
      <c r="AW164" s="216">
        <v>643.15819209769256</v>
      </c>
      <c r="AX164" s="216">
        <v>649.16875948235781</v>
      </c>
      <c r="AY164" s="216">
        <v>655.23549799370619</v>
      </c>
      <c r="AZ164" s="216">
        <v>661.35893257310693</v>
      </c>
      <c r="BA164" s="216">
        <v>667.53959306771367</v>
      </c>
      <c r="BB164" s="216">
        <v>673.77801427631118</v>
      </c>
      <c r="BC164" s="216">
        <v>680.07473599559012</v>
      </c>
      <c r="BD164" s="216">
        <v>686.43030306685432</v>
      </c>
      <c r="BE164" s="216">
        <v>692.84526542316496</v>
      </c>
      <c r="BF164" s="216">
        <v>699.32017813692494</v>
      </c>
      <c r="BG164" s="216">
        <v>705.85560146790795</v>
      </c>
      <c r="BH164" s="216">
        <v>712.45210091173658</v>
      </c>
      <c r="BI164" s="216">
        <v>719.11024724881349</v>
      </c>
      <c r="BJ164" s="216">
        <v>725.83061659370981</v>
      </c>
      <c r="BK164" s="216">
        <v>732.61379044501473</v>
      </c>
      <c r="BL164" s="216">
        <v>739.46035573565155</v>
      </c>
    </row>
    <row r="165" spans="1:64">
      <c r="A165" t="s">
        <v>1044</v>
      </c>
      <c r="B165">
        <v>160</v>
      </c>
      <c r="C165">
        <v>164</v>
      </c>
      <c r="D165">
        <v>167</v>
      </c>
      <c r="E165">
        <v>173</v>
      </c>
      <c r="F165">
        <v>168</v>
      </c>
      <c r="G165">
        <v>176</v>
      </c>
      <c r="H165">
        <v>183</v>
      </c>
      <c r="I165">
        <v>191</v>
      </c>
      <c r="J165">
        <v>178</v>
      </c>
      <c r="K165">
        <v>160</v>
      </c>
      <c r="L165">
        <v>157</v>
      </c>
      <c r="M165">
        <v>169</v>
      </c>
      <c r="N165">
        <v>175</v>
      </c>
      <c r="O165">
        <v>190</v>
      </c>
      <c r="P165">
        <v>187</v>
      </c>
      <c r="Q165">
        <v>177</v>
      </c>
      <c r="R165">
        <v>196</v>
      </c>
      <c r="S165">
        <v>182</v>
      </c>
      <c r="T165">
        <v>175</v>
      </c>
      <c r="U165">
        <v>190</v>
      </c>
      <c r="V165">
        <v>188</v>
      </c>
      <c r="W165">
        <v>180</v>
      </c>
      <c r="X165">
        <v>218</v>
      </c>
      <c r="Y165" s="216">
        <v>207</v>
      </c>
      <c r="Z165" s="216">
        <v>197.49410184478793</v>
      </c>
      <c r="AA165" s="216">
        <v>199.04838294986371</v>
      </c>
      <c r="AB165" s="216">
        <v>200.61489626709681</v>
      </c>
      <c r="AC165" s="216">
        <v>202.19373806415331</v>
      </c>
      <c r="AD165" s="216">
        <v>203.78500536632689</v>
      </c>
      <c r="AE165" s="216">
        <v>205.3887959625016</v>
      </c>
      <c r="AF165" s="216">
        <v>207.00520841116125</v>
      </c>
      <c r="AG165" s="216">
        <v>208.63434204644619</v>
      </c>
      <c r="AH165" s="216">
        <v>210.27629698425778</v>
      </c>
      <c r="AI165" s="216">
        <v>211.93117412841059</v>
      </c>
      <c r="AJ165" s="216">
        <v>213.59907517683368</v>
      </c>
      <c r="AK165" s="216">
        <v>215.28010262782018</v>
      </c>
      <c r="AL165" s="216">
        <v>216.97435978632592</v>
      </c>
      <c r="AM165" s="216">
        <v>218.68195077031811</v>
      </c>
      <c r="AN165" s="216">
        <v>220.40298051717372</v>
      </c>
      <c r="AO165" s="216">
        <v>222.13755479012821</v>
      </c>
      <c r="AP165" s="216">
        <v>223.88578018477503</v>
      </c>
      <c r="AQ165" s="216">
        <v>225.64776413561637</v>
      </c>
      <c r="AR165" s="216">
        <v>227.42361492266525</v>
      </c>
      <c r="AS165" s="216">
        <v>229.2134416780998</v>
      </c>
      <c r="AT165" s="216">
        <v>231.01735439296985</v>
      </c>
      <c r="AU165" s="216">
        <v>232.83546392395615</v>
      </c>
      <c r="AV165" s="216">
        <v>234.66788200018286</v>
      </c>
      <c r="AW165" s="216">
        <v>236.51472123008392</v>
      </c>
      <c r="AX165" s="216">
        <v>238.376095108323</v>
      </c>
      <c r="AY165" s="216">
        <v>240.25211802276829</v>
      </c>
      <c r="AZ165" s="216">
        <v>242.14290526152183</v>
      </c>
      <c r="BA165" s="216">
        <v>244.04857302000465</v>
      </c>
      <c r="BB165" s="216">
        <v>245.96923840809708</v>
      </c>
      <c r="BC165" s="216">
        <v>247.9050194573359</v>
      </c>
      <c r="BD165" s="216">
        <v>249.85603512816741</v>
      </c>
      <c r="BE165" s="216">
        <v>251.82240531725822</v>
      </c>
      <c r="BF165" s="216">
        <v>253.80425086486321</v>
      </c>
      <c r="BG165" s="216">
        <v>255.80169356225167</v>
      </c>
      <c r="BH165" s="216">
        <v>257.81485615919166</v>
      </c>
      <c r="BI165" s="216">
        <v>259.84386237149357</v>
      </c>
      <c r="BJ165" s="216">
        <v>261.88883688861262</v>
      </c>
      <c r="BK165" s="216">
        <v>263.94990538131196</v>
      </c>
      <c r="BL165" s="216">
        <v>266.02719450938486</v>
      </c>
    </row>
    <row r="166" spans="1:64">
      <c r="A166" t="s">
        <v>250</v>
      </c>
      <c r="B166">
        <v>209</v>
      </c>
      <c r="C166">
        <v>251</v>
      </c>
      <c r="D166">
        <v>251</v>
      </c>
      <c r="E166">
        <v>275</v>
      </c>
      <c r="F166">
        <v>274</v>
      </c>
      <c r="G166">
        <v>273</v>
      </c>
      <c r="H166">
        <v>273</v>
      </c>
      <c r="I166">
        <v>263</v>
      </c>
      <c r="J166">
        <v>284</v>
      </c>
      <c r="K166">
        <v>321</v>
      </c>
      <c r="L166">
        <v>320</v>
      </c>
      <c r="M166">
        <v>325</v>
      </c>
      <c r="N166">
        <v>328</v>
      </c>
      <c r="O166">
        <v>307</v>
      </c>
      <c r="P166">
        <v>313</v>
      </c>
      <c r="Q166">
        <v>333</v>
      </c>
      <c r="R166">
        <v>349</v>
      </c>
      <c r="S166">
        <v>353</v>
      </c>
      <c r="T166">
        <v>351</v>
      </c>
      <c r="U166">
        <v>354</v>
      </c>
      <c r="V166">
        <v>369</v>
      </c>
      <c r="W166">
        <v>376</v>
      </c>
      <c r="X166">
        <v>400</v>
      </c>
      <c r="Y166" s="216">
        <v>380</v>
      </c>
      <c r="Z166" s="216">
        <v>405.96127827465301</v>
      </c>
      <c r="AA166" s="216">
        <v>414.80543116907916</v>
      </c>
      <c r="AB166" s="216">
        <v>423.84226017476493</v>
      </c>
      <c r="AC166" s="216">
        <v>433.07596287674693</v>
      </c>
      <c r="AD166" s="216">
        <v>442.51082830741353</v>
      </c>
      <c r="AE166" s="216">
        <v>452.15123893874994</v>
      </c>
      <c r="AF166" s="216">
        <v>462.00167271798603</v>
      </c>
      <c r="AG166" s="216">
        <v>472.06670514759145</v>
      </c>
      <c r="AH166" s="216">
        <v>482.3510114105859</v>
      </c>
      <c r="AI166" s="216">
        <v>492.85936854214992</v>
      </c>
      <c r="AJ166" s="216">
        <v>503.59665764854594</v>
      </c>
      <c r="AK166" s="216">
        <v>514.56786617438092</v>
      </c>
      <c r="AL166" s="216">
        <v>525.778090219261</v>
      </c>
      <c r="AM166" s="216">
        <v>537.23253690491879</v>
      </c>
      <c r="AN166" s="216">
        <v>548.93652679390755</v>
      </c>
      <c r="AO166" s="216">
        <v>560.89549636099025</v>
      </c>
      <c r="AP166" s="216">
        <v>573.11500051836822</v>
      </c>
      <c r="AQ166" s="216">
        <v>585.60071519592498</v>
      </c>
      <c r="AR166" s="216">
        <v>598.35843997768131</v>
      </c>
      <c r="AS166" s="216">
        <v>611.39410079568825</v>
      </c>
      <c r="AT166" s="216">
        <v>624.71375268260772</v>
      </c>
      <c r="AU166" s="216">
        <v>638.32358258426075</v>
      </c>
      <c r="AV166" s="216">
        <v>652.22991223344866</v>
      </c>
      <c r="AW166" s="216">
        <v>666.43920108638224</v>
      </c>
      <c r="AX166" s="216">
        <v>680.95804932308408</v>
      </c>
      <c r="AY166" s="216">
        <v>695.79320091315515</v>
      </c>
      <c r="AZ166" s="216">
        <v>710.95154674833282</v>
      </c>
      <c r="BA166" s="216">
        <v>726.44012784329391</v>
      </c>
      <c r="BB166" s="216">
        <v>742.26613860618704</v>
      </c>
      <c r="BC166" s="216">
        <v>758.43693018041938</v>
      </c>
      <c r="BD166" s="216">
        <v>774.96001385924421</v>
      </c>
      <c r="BE166" s="216">
        <v>791.84306457473826</v>
      </c>
      <c r="BF166" s="216">
        <v>809.09392446278866</v>
      </c>
      <c r="BG166" s="216">
        <v>826.72060650574679</v>
      </c>
      <c r="BH166" s="216">
        <v>844.731298254438</v>
      </c>
      <c r="BI166" s="216">
        <v>863.13436563126027</v>
      </c>
      <c r="BJ166" s="216">
        <v>881.93835681613325</v>
      </c>
      <c r="BK166" s="216">
        <v>901.15200621710812</v>
      </c>
      <c r="BL166" s="216">
        <v>920.78423852747835</v>
      </c>
    </row>
    <row r="167" spans="1:64">
      <c r="A167" t="s">
        <v>91</v>
      </c>
      <c r="B167">
        <v>146</v>
      </c>
      <c r="C167">
        <v>166</v>
      </c>
      <c r="D167">
        <v>183</v>
      </c>
      <c r="E167">
        <v>181</v>
      </c>
      <c r="F167">
        <v>188</v>
      </c>
      <c r="G167">
        <v>199</v>
      </c>
      <c r="H167">
        <v>205</v>
      </c>
      <c r="I167">
        <v>222</v>
      </c>
      <c r="J167">
        <v>230</v>
      </c>
      <c r="K167">
        <v>208</v>
      </c>
      <c r="L167">
        <v>215</v>
      </c>
      <c r="M167">
        <v>227</v>
      </c>
      <c r="N167">
        <v>233</v>
      </c>
      <c r="O167">
        <v>239</v>
      </c>
      <c r="P167">
        <v>241</v>
      </c>
      <c r="Q167">
        <v>247</v>
      </c>
      <c r="R167">
        <v>253</v>
      </c>
      <c r="S167">
        <v>260</v>
      </c>
      <c r="T167">
        <v>279</v>
      </c>
      <c r="U167">
        <v>280</v>
      </c>
      <c r="V167">
        <v>293</v>
      </c>
      <c r="W167">
        <v>293</v>
      </c>
      <c r="X167">
        <v>281</v>
      </c>
      <c r="Y167" s="216">
        <v>274</v>
      </c>
      <c r="Z167" s="216">
        <v>312.12205801498556</v>
      </c>
      <c r="AA167" s="216">
        <v>320.14900206914751</v>
      </c>
      <c r="AB167" s="216">
        <v>328.382377643268</v>
      </c>
      <c r="AC167" s="216">
        <v>336.82749360360367</v>
      </c>
      <c r="AD167" s="216">
        <v>345.48979534624402</v>
      </c>
      <c r="AE167" s="216">
        <v>354.3748683082934</v>
      </c>
      <c r="AF167" s="216">
        <v>363.4884415693511</v>
      </c>
      <c r="AG167" s="216">
        <v>372.83639154561195</v>
      </c>
      <c r="AH167" s="216">
        <v>382.42474577896945</v>
      </c>
      <c r="AI167" s="216">
        <v>392.25968682356392</v>
      </c>
      <c r="AJ167" s="216">
        <v>402.34755623228301</v>
      </c>
      <c r="AK167" s="216">
        <v>412.69485864578377</v>
      </c>
      <c r="AL167" s="216">
        <v>423.3082659866738</v>
      </c>
      <c r="AM167" s="216">
        <v>434.19462176155531</v>
      </c>
      <c r="AN167" s="216">
        <v>445.3609454737059</v>
      </c>
      <c r="AO167" s="216">
        <v>456.81443714924285</v>
      </c>
      <c r="AP167" s="216">
        <v>468.56248197968665</v>
      </c>
      <c r="AQ167" s="216">
        <v>480.61265508392017</v>
      </c>
      <c r="AR167" s="216">
        <v>492.97272639261189</v>
      </c>
      <c r="AS167" s="216">
        <v>505.65066565825384</v>
      </c>
      <c r="AT167" s="216">
        <v>518.65464759404392</v>
      </c>
      <c r="AU167" s="216">
        <v>531.99305714492732</v>
      </c>
      <c r="AV167" s="216">
        <v>545.67449489419369</v>
      </c>
      <c r="AW167" s="216">
        <v>559.70778260911845</v>
      </c>
      <c r="AX167" s="216">
        <v>574.10196892922374</v>
      </c>
      <c r="AY167" s="216">
        <v>588.86633520082444</v>
      </c>
      <c r="AZ167" s="216">
        <v>604.01040146162495</v>
      </c>
      <c r="BA167" s="216">
        <v>619.54393257922231</v>
      </c>
      <c r="BB167" s="216">
        <v>635.47694454747648</v>
      </c>
      <c r="BC167" s="216">
        <v>651.81971094480514</v>
      </c>
      <c r="BD167" s="216">
        <v>668.58276955856934</v>
      </c>
      <c r="BE167" s="216">
        <v>685.7769291798212</v>
      </c>
      <c r="BF167" s="216">
        <v>703.41327657279214</v>
      </c>
      <c r="BG167" s="216">
        <v>721.50318362362123</v>
      </c>
      <c r="BH167" s="216">
        <v>740.05831467292501</v>
      </c>
      <c r="BI167" s="216">
        <v>759.09063403694677</v>
      </c>
      <c r="BJ167" s="216">
        <v>778.61241372212487</v>
      </c>
      <c r="BK167" s="216">
        <v>798.63624133806138</v>
      </c>
      <c r="BL167" s="216">
        <v>819.17502821399239</v>
      </c>
    </row>
    <row r="168" spans="1:64">
      <c r="A168" t="s">
        <v>203</v>
      </c>
      <c r="B168">
        <v>102</v>
      </c>
      <c r="C168">
        <v>88</v>
      </c>
      <c r="D168">
        <v>112</v>
      </c>
      <c r="E168">
        <v>120</v>
      </c>
      <c r="F168">
        <v>119</v>
      </c>
      <c r="G168">
        <v>110</v>
      </c>
      <c r="H168">
        <v>109</v>
      </c>
      <c r="I168">
        <v>101</v>
      </c>
      <c r="J168">
        <v>105</v>
      </c>
      <c r="K168">
        <v>100</v>
      </c>
      <c r="L168">
        <v>102</v>
      </c>
      <c r="M168">
        <v>117</v>
      </c>
      <c r="N168">
        <v>123</v>
      </c>
      <c r="O168">
        <v>121</v>
      </c>
      <c r="P168">
        <v>109</v>
      </c>
      <c r="Q168">
        <v>97</v>
      </c>
      <c r="R168">
        <v>87</v>
      </c>
      <c r="S168">
        <v>89</v>
      </c>
      <c r="T168">
        <v>86</v>
      </c>
      <c r="U168">
        <v>94</v>
      </c>
      <c r="V168">
        <v>99</v>
      </c>
      <c r="W168">
        <v>93</v>
      </c>
      <c r="X168">
        <v>108</v>
      </c>
      <c r="Y168" s="216">
        <v>83</v>
      </c>
      <c r="Z168" s="216">
        <v>93.314034596115192</v>
      </c>
      <c r="AA168" s="216">
        <v>92.622271433548391</v>
      </c>
      <c r="AB168" s="216">
        <v>91.935636505712367</v>
      </c>
      <c r="AC168" s="216">
        <v>91.254091795561877</v>
      </c>
      <c r="AD168" s="216">
        <v>90.5775995678827</v>
      </c>
      <c r="AE168" s="216">
        <v>89.906122367202357</v>
      </c>
      <c r="AF168" s="216">
        <v>89.239623015716361</v>
      </c>
      <c r="AG168" s="216">
        <v>88.578064611229678</v>
      </c>
      <c r="AH168" s="216">
        <v>87.921410525113657</v>
      </c>
      <c r="AI168" s="216">
        <v>87.269624400277976</v>
      </c>
      <c r="AJ168" s="216">
        <v>86.622670149157571</v>
      </c>
      <c r="AK168" s="216">
        <v>85.980511951714718</v>
      </c>
      <c r="AL168" s="216">
        <v>85.343114253455653</v>
      </c>
      <c r="AM168" s="216">
        <v>84.710441763462086</v>
      </c>
      <c r="AN168" s="216">
        <v>84.08245945243722</v>
      </c>
      <c r="AO168" s="216">
        <v>83.45913255076627</v>
      </c>
      <c r="AP168" s="216">
        <v>82.840426546591388</v>
      </c>
      <c r="AQ168" s="216">
        <v>82.226307183900815</v>
      </c>
      <c r="AR168" s="216">
        <v>81.616740460632244</v>
      </c>
      <c r="AS168" s="216">
        <v>81.011692626790207</v>
      </c>
      <c r="AT168" s="216">
        <v>80.411130182577438</v>
      </c>
      <c r="AU168" s="216">
        <v>79.815019876540092</v>
      </c>
      <c r="AV168" s="216">
        <v>79.223328703726679</v>
      </c>
      <c r="AW168" s="216">
        <v>78.636023903860703</v>
      </c>
      <c r="AX168" s="216">
        <v>78.053072959526773</v>
      </c>
      <c r="AY168" s="216">
        <v>77.474443594370314</v>
      </c>
      <c r="AZ168" s="216">
        <v>76.900103771310356</v>
      </c>
      <c r="BA168" s="216">
        <v>76.330021690765832</v>
      </c>
      <c r="BB168" s="216">
        <v>75.764165788894942</v>
      </c>
      <c r="BC168" s="216">
        <v>75.202504735847484</v>
      </c>
      <c r="BD168" s="216">
        <v>74.645007434030248</v>
      </c>
      <c r="BE168" s="216">
        <v>74.091643016385234</v>
      </c>
      <c r="BF168" s="216">
        <v>73.542380844680579</v>
      </c>
      <c r="BG168" s="216">
        <v>72.99719050781431</v>
      </c>
      <c r="BH168" s="216">
        <v>72.456041820130409</v>
      </c>
      <c r="BI168" s="216">
        <v>71.918904819747709</v>
      </c>
      <c r="BJ168" s="216">
        <v>71.385749766900801</v>
      </c>
      <c r="BK168" s="216">
        <v>70.856547142293593</v>
      </c>
      <c r="BL168" s="216">
        <v>70.331267645464749</v>
      </c>
    </row>
    <row r="169" spans="1:64">
      <c r="A169" t="s">
        <v>35</v>
      </c>
      <c r="B169">
        <v>35</v>
      </c>
      <c r="C169">
        <v>39</v>
      </c>
      <c r="D169">
        <v>32</v>
      </c>
      <c r="E169">
        <v>26</v>
      </c>
      <c r="F169">
        <v>26</v>
      </c>
      <c r="G169">
        <v>27</v>
      </c>
      <c r="H169">
        <v>43</v>
      </c>
      <c r="I169">
        <v>35</v>
      </c>
      <c r="J169">
        <v>39</v>
      </c>
      <c r="K169">
        <v>39</v>
      </c>
      <c r="L169">
        <v>30</v>
      </c>
      <c r="M169">
        <v>31</v>
      </c>
      <c r="N169">
        <v>35</v>
      </c>
      <c r="O169">
        <v>30</v>
      </c>
      <c r="P169">
        <v>24</v>
      </c>
      <c r="Q169">
        <v>24</v>
      </c>
      <c r="R169">
        <v>24</v>
      </c>
      <c r="S169">
        <v>19</v>
      </c>
      <c r="T169">
        <v>23</v>
      </c>
      <c r="U169">
        <v>18</v>
      </c>
      <c r="V169">
        <v>17</v>
      </c>
      <c r="W169">
        <v>16</v>
      </c>
      <c r="X169">
        <v>18</v>
      </c>
      <c r="Y169" s="216">
        <v>15</v>
      </c>
      <c r="Z169" s="216">
        <v>16.981399511538466</v>
      </c>
      <c r="AA169" s="216">
        <v>16.388046462243924</v>
      </c>
      <c r="AB169" s="216">
        <v>15.815425970408377</v>
      </c>
      <c r="AC169" s="216">
        <v>15.262813612454162</v>
      </c>
      <c r="AD169" s="216">
        <v>14.729510277142461</v>
      </c>
      <c r="AE169" s="216">
        <v>14.214841281126011</v>
      </c>
      <c r="AF169" s="216">
        <v>13.71815551540552</v>
      </c>
      <c r="AG169" s="216">
        <v>13.238824621610114</v>
      </c>
      <c r="AH169" s="216">
        <v>12.776242197059624</v>
      </c>
      <c r="AI169" s="216">
        <v>12.329823027603068</v>
      </c>
      <c r="AJ169" s="216">
        <v>11.899002347262833</v>
      </c>
      <c r="AK169" s="216">
        <v>11.483235123747836</v>
      </c>
      <c r="AL169" s="216">
        <v>11.081995368931851</v>
      </c>
      <c r="AM169" s="216">
        <v>10.694775473424667</v>
      </c>
      <c r="AN169" s="216">
        <v>10.32108556439419</v>
      </c>
      <c r="AO169" s="216">
        <v>9.9604528858271468</v>
      </c>
      <c r="AP169" s="216">
        <v>9.6124212004443024</v>
      </c>
      <c r="AQ169" s="216">
        <v>9.2765502125135573</v>
      </c>
      <c r="AR169" s="216">
        <v>8.9524150108307481</v>
      </c>
      <c r="AS169" s="216">
        <v>8.639605531163463</v>
      </c>
      <c r="AT169" s="216">
        <v>8.3377260374777631</v>
      </c>
      <c r="AU169" s="216">
        <v>8.0463946212915758</v>
      </c>
      <c r="AV169" s="216">
        <v>7.7652427185213426</v>
      </c>
      <c r="AW169" s="216">
        <v>7.4939146432106973</v>
      </c>
      <c r="AX169" s="216">
        <v>7.2320671375512973</v>
      </c>
      <c r="AY169" s="216">
        <v>6.9793689376265418</v>
      </c>
      <c r="AZ169" s="216">
        <v>6.7355003543287717</v>
      </c>
      <c r="BA169" s="216">
        <v>6.5001528689198178</v>
      </c>
      <c r="BB169" s="216">
        <v>6.2730287427231772</v>
      </c>
      <c r="BC169" s="216">
        <v>6.0538406404541014</v>
      </c>
      <c r="BD169" s="216">
        <v>5.8423112667110288</v>
      </c>
      <c r="BE169" s="216">
        <v>5.6381730151684879</v>
      </c>
      <c r="BF169" s="216">
        <v>5.441167630027687</v>
      </c>
      <c r="BG169" s="216">
        <v>5.2510458792964849</v>
      </c>
      <c r="BH169" s="216">
        <v>5.0675672394853768</v>
      </c>
      <c r="BI169" s="216">
        <v>4.8904995913206495</v>
      </c>
      <c r="BJ169" s="216">
        <v>4.7196189260897237</v>
      </c>
      <c r="BK169" s="216">
        <v>4.5547090622471824</v>
      </c>
      <c r="BL169" s="216">
        <v>4.3955613719229838</v>
      </c>
    </row>
    <row r="170" spans="1:64">
      <c r="A170" t="s">
        <v>31</v>
      </c>
      <c r="B170">
        <v>343</v>
      </c>
      <c r="C170">
        <v>380</v>
      </c>
      <c r="D170">
        <v>359</v>
      </c>
      <c r="E170">
        <v>385</v>
      </c>
      <c r="F170">
        <v>413</v>
      </c>
      <c r="G170">
        <v>411</v>
      </c>
      <c r="H170">
        <v>399</v>
      </c>
      <c r="I170">
        <v>410</v>
      </c>
      <c r="J170">
        <v>423</v>
      </c>
      <c r="K170">
        <v>428</v>
      </c>
      <c r="L170">
        <v>438</v>
      </c>
      <c r="M170">
        <v>456</v>
      </c>
      <c r="N170">
        <v>469</v>
      </c>
      <c r="O170">
        <v>451</v>
      </c>
      <c r="P170">
        <v>475</v>
      </c>
      <c r="Q170">
        <v>471</v>
      </c>
      <c r="R170">
        <v>490</v>
      </c>
      <c r="S170">
        <v>515</v>
      </c>
      <c r="T170">
        <v>490</v>
      </c>
      <c r="U170">
        <v>514</v>
      </c>
      <c r="V170">
        <v>546</v>
      </c>
      <c r="W170">
        <v>567</v>
      </c>
      <c r="X170">
        <v>562</v>
      </c>
      <c r="Y170" s="216">
        <v>556</v>
      </c>
      <c r="Z170" s="216">
        <v>578.11805945626804</v>
      </c>
      <c r="AA170" s="216">
        <v>589.62216310230292</v>
      </c>
      <c r="AB170" s="216">
        <v>601.3551895410684</v>
      </c>
      <c r="AC170" s="216">
        <v>613.3216941596371</v>
      </c>
      <c r="AD170" s="216">
        <v>625.52632299377206</v>
      </c>
      <c r="AE170" s="216">
        <v>637.97381453176615</v>
      </c>
      <c r="AF170" s="216">
        <v>650.66900155417557</v>
      </c>
      <c r="AG170" s="216">
        <v>663.61681301016324</v>
      </c>
      <c r="AH170" s="216">
        <v>676.82227593118046</v>
      </c>
      <c r="AI170" s="216">
        <v>690.29051738272869</v>
      </c>
      <c r="AJ170" s="216">
        <v>704.02676645495933</v>
      </c>
      <c r="AK170" s="216">
        <v>718.03635629288647</v>
      </c>
      <c r="AL170" s="216">
        <v>732.32472616699761</v>
      </c>
      <c r="AM170" s="216">
        <v>746.89742358506976</v>
      </c>
      <c r="AN170" s="216">
        <v>761.76010644600717</v>
      </c>
      <c r="AO170" s="216">
        <v>776.9185452365399</v>
      </c>
      <c r="AP170" s="216">
        <v>792.37862527163509</v>
      </c>
      <c r="AQ170" s="216">
        <v>808.14634897948974</v>
      </c>
      <c r="AR170" s="216">
        <v>824.22783823199427</v>
      </c>
      <c r="AS170" s="216">
        <v>840.62933672156942</v>
      </c>
      <c r="AT170" s="216">
        <v>857.35721238530152</v>
      </c>
      <c r="AU170" s="216">
        <v>874.4179598773145</v>
      </c>
      <c r="AV170" s="216">
        <v>891.81820309034299</v>
      </c>
      <c r="AW170" s="216">
        <v>909.56469772747846</v>
      </c>
      <c r="AX170" s="216">
        <v>927.66433392509634</v>
      </c>
      <c r="AY170" s="216">
        <v>946.12413892797304</v>
      </c>
      <c r="AZ170" s="216">
        <v>964.95127981763812</v>
      </c>
      <c r="BA170" s="216">
        <v>984.15306629501742</v>
      </c>
      <c r="BB170" s="216">
        <v>1003.7369535184492</v>
      </c>
      <c r="BC170" s="216">
        <v>1023.7105449981755</v>
      </c>
      <c r="BD170" s="216">
        <v>1044.0815955484286</v>
      </c>
      <c r="BE170" s="216">
        <v>1064.8580142982655</v>
      </c>
      <c r="BF170" s="216">
        <v>1086.0478677623134</v>
      </c>
      <c r="BG170" s="216">
        <v>1107.6593829726216</v>
      </c>
      <c r="BH170" s="216">
        <v>1129.7009506728327</v>
      </c>
      <c r="BI170" s="216">
        <v>1152.1811285759197</v>
      </c>
      <c r="BJ170" s="216">
        <v>1175.1086446867455</v>
      </c>
      <c r="BK170" s="216">
        <v>1198.4924006907395</v>
      </c>
      <c r="BL170" s="216">
        <v>1222.3414754100086</v>
      </c>
    </row>
    <row r="171" spans="1:64">
      <c r="A171" t="s">
        <v>21</v>
      </c>
      <c r="B171">
        <v>3540</v>
      </c>
      <c r="C171">
        <v>3674</v>
      </c>
      <c r="D171">
        <v>3613</v>
      </c>
      <c r="E171">
        <v>3544</v>
      </c>
      <c r="F171">
        <v>3505</v>
      </c>
      <c r="G171">
        <v>3514</v>
      </c>
      <c r="H171">
        <v>3568</v>
      </c>
      <c r="I171">
        <v>3649</v>
      </c>
      <c r="J171">
        <v>3615</v>
      </c>
      <c r="K171">
        <v>3505</v>
      </c>
      <c r="L171">
        <v>3505</v>
      </c>
      <c r="M171">
        <v>3516</v>
      </c>
      <c r="N171">
        <v>3459</v>
      </c>
      <c r="O171">
        <v>3543</v>
      </c>
      <c r="P171">
        <v>3589</v>
      </c>
      <c r="Q171">
        <v>3634</v>
      </c>
      <c r="R171">
        <v>3585</v>
      </c>
      <c r="S171">
        <v>3681</v>
      </c>
      <c r="T171">
        <v>3610</v>
      </c>
      <c r="U171">
        <v>3598</v>
      </c>
      <c r="V171">
        <v>3697</v>
      </c>
      <c r="W171">
        <v>3753</v>
      </c>
      <c r="X171">
        <v>3656</v>
      </c>
      <c r="Y171" s="216">
        <v>3721</v>
      </c>
      <c r="Z171" s="216">
        <v>3664.6112401710216</v>
      </c>
      <c r="AA171" s="216">
        <v>3670.323956853199</v>
      </c>
      <c r="AB171" s="216">
        <v>3676.0455790180445</v>
      </c>
      <c r="AC171" s="216">
        <v>3681.776120548207</v>
      </c>
      <c r="AD171" s="216">
        <v>3687.5155953479716</v>
      </c>
      <c r="AE171" s="216">
        <v>3693.264017343301</v>
      </c>
      <c r="AF171" s="216">
        <v>3699.0214004818667</v>
      </c>
      <c r="AG171" s="216">
        <v>3704.7877587330836</v>
      </c>
      <c r="AH171" s="216">
        <v>3710.5631060881419</v>
      </c>
      <c r="AI171" s="216">
        <v>3716.3474565600432</v>
      </c>
      <c r="AJ171" s="216">
        <v>3722.1408241836343</v>
      </c>
      <c r="AK171" s="216">
        <v>3727.9432230156399</v>
      </c>
      <c r="AL171" s="216">
        <v>3733.754667134699</v>
      </c>
      <c r="AM171" s="216">
        <v>3739.5751706413957</v>
      </c>
      <c r="AN171" s="216">
        <v>3745.4047476582959</v>
      </c>
      <c r="AO171" s="216">
        <v>3751.2434123299822</v>
      </c>
      <c r="AP171" s="216">
        <v>3757.091178823086</v>
      </c>
      <c r="AQ171" s="216">
        <v>3762.9480613263227</v>
      </c>
      <c r="AR171" s="216">
        <v>3768.814074050526</v>
      </c>
      <c r="AS171" s="216">
        <v>3774.6892312286841</v>
      </c>
      <c r="AT171" s="216">
        <v>3780.5735471159724</v>
      </c>
      <c r="AU171" s="216">
        <v>3786.4670359897873</v>
      </c>
      <c r="AV171" s="216">
        <v>3792.3697121497835</v>
      </c>
      <c r="AW171" s="216">
        <v>3798.2815899179054</v>
      </c>
      <c r="AX171" s="216">
        <v>3804.2026836384271</v>
      </c>
      <c r="AY171" s="216">
        <v>3810.13300767798</v>
      </c>
      <c r="AZ171" s="216">
        <v>3816.072576425594</v>
      </c>
      <c r="BA171" s="216">
        <v>3822.0214042927282</v>
      </c>
      <c r="BB171" s="216">
        <v>3827.9795057133092</v>
      </c>
      <c r="BC171" s="216">
        <v>3833.9468951437625</v>
      </c>
      <c r="BD171" s="216">
        <v>3839.9235870630523</v>
      </c>
      <c r="BE171" s="216">
        <v>3845.909595972711</v>
      </c>
      <c r="BF171" s="216">
        <v>3851.9049363968788</v>
      </c>
      <c r="BG171" s="216">
        <v>3857.9096228823364</v>
      </c>
      <c r="BH171" s="216">
        <v>3863.9236699985436</v>
      </c>
      <c r="BI171" s="216">
        <v>3869.9470923376689</v>
      </c>
      <c r="BJ171" s="216">
        <v>3875.9799045146319</v>
      </c>
      <c r="BK171" s="216">
        <v>3882.0221211671324</v>
      </c>
      <c r="BL171" s="216">
        <v>3888.07375695569</v>
      </c>
    </row>
    <row r="172" spans="1:64">
      <c r="A172" t="s">
        <v>1048</v>
      </c>
      <c r="B172">
        <v>214</v>
      </c>
      <c r="C172">
        <v>227</v>
      </c>
      <c r="D172">
        <v>228</v>
      </c>
      <c r="E172">
        <v>232</v>
      </c>
      <c r="F172">
        <v>235</v>
      </c>
      <c r="G172">
        <v>234</v>
      </c>
      <c r="H172">
        <v>227</v>
      </c>
      <c r="I172">
        <v>221</v>
      </c>
      <c r="J172">
        <v>224</v>
      </c>
      <c r="K172">
        <v>221</v>
      </c>
      <c r="L172">
        <v>206</v>
      </c>
      <c r="M172">
        <v>199</v>
      </c>
      <c r="N172">
        <v>206</v>
      </c>
      <c r="O172">
        <v>193</v>
      </c>
      <c r="P172">
        <v>188</v>
      </c>
      <c r="Q172">
        <v>179</v>
      </c>
      <c r="R172">
        <v>174</v>
      </c>
      <c r="S172">
        <v>175</v>
      </c>
      <c r="T172">
        <v>162</v>
      </c>
      <c r="U172">
        <v>164</v>
      </c>
      <c r="V172">
        <v>159</v>
      </c>
      <c r="W172">
        <v>169</v>
      </c>
      <c r="X172">
        <v>165</v>
      </c>
      <c r="Y172" s="216">
        <v>164</v>
      </c>
      <c r="Z172" s="216">
        <v>156.03394821398516</v>
      </c>
      <c r="AA172" s="216">
        <v>153.16642132395378</v>
      </c>
      <c r="AB172" s="216">
        <v>150.3515926483762</v>
      </c>
      <c r="AC172" s="216">
        <v>147.58849372142348</v>
      </c>
      <c r="AD172" s="216">
        <v>144.87617387532808</v>
      </c>
      <c r="AE172" s="216">
        <v>142.2136999132988</v>
      </c>
      <c r="AF172" s="216">
        <v>139.60015578844607</v>
      </c>
      <c r="AG172" s="216">
        <v>137.0346422886085</v>
      </c>
      <c r="AH172" s="216">
        <v>134.51627672697109</v>
      </c>
      <c r="AI172" s="216">
        <v>132.04419263836942</v>
      </c>
      <c r="AJ172" s="216">
        <v>129.61753948117482</v>
      </c>
      <c r="AK172" s="216">
        <v>127.23548234465829</v>
      </c>
      <c r="AL172" s="216">
        <v>124.8972016617324</v>
      </c>
      <c r="AM172" s="216">
        <v>122.60189292697217</v>
      </c>
      <c r="AN172" s="216">
        <v>120.34876641981808</v>
      </c>
      <c r="AO172" s="216">
        <v>118.13704693286607</v>
      </c>
      <c r="AP172" s="216">
        <v>115.96597350515074</v>
      </c>
      <c r="AQ172" s="216">
        <v>113.83479916033031</v>
      </c>
      <c r="AR172" s="216">
        <v>111.74279064968295</v>
      </c>
      <c r="AS172" s="216">
        <v>109.68922819982633</v>
      </c>
      <c r="AT172" s="216">
        <v>107.67340526507348</v>
      </c>
      <c r="AU172" s="216">
        <v>105.69462828433969</v>
      </c>
      <c r="AV172" s="216">
        <v>103.75221644251687</v>
      </c>
      <c r="AW172" s="216">
        <v>101.84550143623333</v>
      </c>
      <c r="AX172" s="216">
        <v>99.973827243918365</v>
      </c>
      <c r="AY172" s="216">
        <v>98.136549900092291</v>
      </c>
      <c r="AZ172" s="216">
        <v>96.333037273804734</v>
      </c>
      <c r="BA172" s="216">
        <v>94.562668851144579</v>
      </c>
      <c r="BB172" s="216">
        <v>92.824835521746806</v>
      </c>
      <c r="BC172" s="216">
        <v>91.118939369222929</v>
      </c>
      <c r="BD172" s="216">
        <v>89.444393465442701</v>
      </c>
      <c r="BE172" s="216">
        <v>87.800621668596548</v>
      </c>
      <c r="BF172" s="216">
        <v>86.18705842496901</v>
      </c>
      <c r="BG172" s="216">
        <v>84.603148574355117</v>
      </c>
      <c r="BH172" s="216">
        <v>83.048347159053009</v>
      </c>
      <c r="BI172" s="216">
        <v>81.522119236366237</v>
      </c>
      <c r="BJ172" s="216">
        <v>80.023939694552453</v>
      </c>
      <c r="BK172" s="216">
        <v>78.553293072154105</v>
      </c>
      <c r="BL172" s="216">
        <v>77.109673380649511</v>
      </c>
    </row>
    <row r="173" spans="1:64">
      <c r="A173" t="s">
        <v>92</v>
      </c>
      <c r="B173">
        <v>513</v>
      </c>
      <c r="C173">
        <v>545</v>
      </c>
      <c r="D173">
        <v>530</v>
      </c>
      <c r="E173">
        <v>574</v>
      </c>
      <c r="F173">
        <v>580</v>
      </c>
      <c r="G173">
        <v>573</v>
      </c>
      <c r="H173">
        <v>570</v>
      </c>
      <c r="I173">
        <v>601</v>
      </c>
      <c r="J173">
        <v>632</v>
      </c>
      <c r="K173">
        <v>634</v>
      </c>
      <c r="L173">
        <v>642</v>
      </c>
      <c r="M173">
        <v>674</v>
      </c>
      <c r="N173">
        <v>644</v>
      </c>
      <c r="O173">
        <v>607</v>
      </c>
      <c r="P173">
        <v>622</v>
      </c>
      <c r="Q173">
        <v>628</v>
      </c>
      <c r="R173">
        <v>625</v>
      </c>
      <c r="S173">
        <v>631</v>
      </c>
      <c r="T173">
        <v>619</v>
      </c>
      <c r="U173">
        <v>668</v>
      </c>
      <c r="V173">
        <v>642</v>
      </c>
      <c r="W173">
        <v>625</v>
      </c>
      <c r="X173">
        <v>641</v>
      </c>
      <c r="Y173" s="216">
        <v>639</v>
      </c>
      <c r="Z173" s="216">
        <v>671.01722777774341</v>
      </c>
      <c r="AA173" s="216">
        <v>676.21115580903177</v>
      </c>
      <c r="AB173" s="216">
        <v>681.44528681466636</v>
      </c>
      <c r="AC173" s="216">
        <v>686.71993198092787</v>
      </c>
      <c r="AD173" s="216">
        <v>692.03540490279681</v>
      </c>
      <c r="AE173" s="216">
        <v>697.39202160259811</v>
      </c>
      <c r="AF173" s="216">
        <v>702.79010054878938</v>
      </c>
      <c r="AG173" s="216">
        <v>708.22996267489475</v>
      </c>
      <c r="AH173" s="216">
        <v>713.71193139858576</v>
      </c>
      <c r="AI173" s="216">
        <v>719.23633264090961</v>
      </c>
      <c r="AJ173" s="216">
        <v>724.80349484566614</v>
      </c>
      <c r="AK173" s="216">
        <v>730.41374899893435</v>
      </c>
      <c r="AL173" s="216">
        <v>736.06742864875184</v>
      </c>
      <c r="AM173" s="216">
        <v>741.76486992494438</v>
      </c>
      <c r="AN173" s="216">
        <v>747.50641155910978</v>
      </c>
      <c r="AO173" s="216">
        <v>753.29239490475732</v>
      </c>
      <c r="AP173" s="216">
        <v>759.12316395760217</v>
      </c>
      <c r="AQ173" s="216">
        <v>764.99906537601657</v>
      </c>
      <c r="AR173" s="216">
        <v>770.92044850164018</v>
      </c>
      <c r="AS173" s="216">
        <v>776.88766538014977</v>
      </c>
      <c r="AT173" s="216">
        <v>782.90107078218909</v>
      </c>
      <c r="AU173" s="216">
        <v>788.96102222446143</v>
      </c>
      <c r="AV173" s="216">
        <v>795.06787999098492</v>
      </c>
      <c r="AW173" s="216">
        <v>801.22200715451288</v>
      </c>
      <c r="AX173" s="216">
        <v>807.42376959811929</v>
      </c>
      <c r="AY173" s="216">
        <v>813.67353603695256</v>
      </c>
      <c r="AZ173" s="216">
        <v>819.97167804015555</v>
      </c>
      <c r="BA173" s="216">
        <v>826.31857005295797</v>
      </c>
      <c r="BB173" s="216">
        <v>832.71458941893729</v>
      </c>
      <c r="BC173" s="216">
        <v>839.1601164024537</v>
      </c>
      <c r="BD173" s="216">
        <v>845.65553421125776</v>
      </c>
      <c r="BE173" s="216">
        <v>852.20122901927368</v>
      </c>
      <c r="BF173" s="216">
        <v>858.79758998955811</v>
      </c>
      <c r="BG173" s="216">
        <v>865.44500929743788</v>
      </c>
      <c r="BH173" s="216">
        <v>872.14388215382519</v>
      </c>
      <c r="BI173" s="216">
        <v>878.89460682871515</v>
      </c>
      <c r="BJ173" s="216">
        <v>885.69758467486349</v>
      </c>
      <c r="BK173" s="216">
        <v>892.5532201516487</v>
      </c>
      <c r="BL173" s="216">
        <v>899.46192084911843</v>
      </c>
    </row>
    <row r="174" spans="1:64">
      <c r="A174" t="s">
        <v>1050</v>
      </c>
      <c r="B174">
        <v>116</v>
      </c>
      <c r="C174">
        <v>117</v>
      </c>
      <c r="D174">
        <v>117</v>
      </c>
      <c r="E174">
        <v>130</v>
      </c>
      <c r="F174">
        <v>132</v>
      </c>
      <c r="G174">
        <v>124</v>
      </c>
      <c r="H174">
        <v>120</v>
      </c>
      <c r="I174">
        <v>121</v>
      </c>
      <c r="J174">
        <v>113</v>
      </c>
      <c r="K174">
        <v>95</v>
      </c>
      <c r="L174">
        <v>96</v>
      </c>
      <c r="M174">
        <v>93</v>
      </c>
      <c r="N174">
        <v>104</v>
      </c>
      <c r="O174">
        <v>83</v>
      </c>
      <c r="P174">
        <v>85</v>
      </c>
      <c r="Q174">
        <v>71</v>
      </c>
      <c r="R174">
        <v>78</v>
      </c>
      <c r="S174">
        <v>77</v>
      </c>
      <c r="T174">
        <v>84</v>
      </c>
      <c r="U174">
        <v>71</v>
      </c>
      <c r="V174">
        <v>70</v>
      </c>
      <c r="W174">
        <v>77</v>
      </c>
      <c r="X174">
        <v>80</v>
      </c>
      <c r="Y174" s="216">
        <v>66</v>
      </c>
      <c r="Z174" s="216">
        <v>65.663778426716306</v>
      </c>
      <c r="AA174" s="216">
        <v>63.785287772791733</v>
      </c>
      <c r="AB174" s="216">
        <v>61.960536443978036</v>
      </c>
      <c r="AC174" s="216">
        <v>60.187987080982353</v>
      </c>
      <c r="AD174" s="216">
        <v>58.466146304848202</v>
      </c>
      <c r="AE174" s="216">
        <v>56.793563458778557</v>
      </c>
      <c r="AF174" s="216">
        <v>55.168829385952485</v>
      </c>
      <c r="AG174" s="216">
        <v>53.590575242305668</v>
      </c>
      <c r="AH174" s="216">
        <v>52.057471343274571</v>
      </c>
      <c r="AI174" s="216">
        <v>50.568226043532569</v>
      </c>
      <c r="AJ174" s="216">
        <v>49.121584648774324</v>
      </c>
      <c r="AK174" s="216">
        <v>47.716328358631515</v>
      </c>
      <c r="AL174" s="216">
        <v>46.351273239829261</v>
      </c>
      <c r="AM174" s="216">
        <v>45.025269228718365</v>
      </c>
      <c r="AN174" s="216">
        <v>43.737199162342584</v>
      </c>
      <c r="AO174" s="216">
        <v>42.485977837225079</v>
      </c>
      <c r="AP174" s="216">
        <v>41.270551095080698</v>
      </c>
      <c r="AQ174" s="216">
        <v>40.089894934684018</v>
      </c>
      <c r="AR174" s="216">
        <v>38.943014649144715</v>
      </c>
      <c r="AS174" s="216">
        <v>37.828943987863632</v>
      </c>
      <c r="AT174" s="216">
        <v>36.746744342463302</v>
      </c>
      <c r="AU174" s="216">
        <v>35.695503956007151</v>
      </c>
      <c r="AV174" s="216">
        <v>34.674337154841083</v>
      </c>
      <c r="AW174" s="216">
        <v>33.682383602410461</v>
      </c>
      <c r="AX174" s="216">
        <v>32.718807574423515</v>
      </c>
      <c r="AY174" s="216">
        <v>31.782797254750761</v>
      </c>
      <c r="AZ174" s="216">
        <v>30.873564051467149</v>
      </c>
      <c r="BA174" s="216">
        <v>29.990341932460577</v>
      </c>
      <c r="BB174" s="216">
        <v>29.132386780047227</v>
      </c>
      <c r="BC174" s="216">
        <v>28.298975764049882</v>
      </c>
      <c r="BD174" s="216">
        <v>27.489406732810934</v>
      </c>
      <c r="BE174" s="216">
        <v>26.70299762162724</v>
      </c>
      <c r="BF174" s="216">
        <v>25.939085878108266</v>
      </c>
      <c r="BG174" s="216">
        <v>25.197027903973346</v>
      </c>
      <c r="BH174" s="216">
        <v>24.476198512817987</v>
      </c>
      <c r="BI174" s="216">
        <v>23.7759904033921</v>
      </c>
      <c r="BJ174" s="216">
        <v>23.09581364794666</v>
      </c>
      <c r="BK174" s="216">
        <v>22.435095195217485</v>
      </c>
      <c r="BL174" s="216">
        <v>21.793278387627602</v>
      </c>
    </row>
    <row r="175" spans="1:64">
      <c r="A175" t="s">
        <v>1181</v>
      </c>
      <c r="B175">
        <v>97</v>
      </c>
      <c r="C175">
        <v>105</v>
      </c>
      <c r="D175">
        <v>106</v>
      </c>
      <c r="E175">
        <v>107</v>
      </c>
      <c r="F175">
        <v>112</v>
      </c>
      <c r="G175">
        <v>113</v>
      </c>
      <c r="H175">
        <v>113</v>
      </c>
      <c r="I175">
        <v>114</v>
      </c>
      <c r="J175">
        <v>116</v>
      </c>
      <c r="K175">
        <v>72</v>
      </c>
      <c r="L175">
        <v>81</v>
      </c>
      <c r="M175">
        <v>73</v>
      </c>
      <c r="N175">
        <v>69</v>
      </c>
      <c r="O175">
        <v>76</v>
      </c>
      <c r="P175">
        <v>77</v>
      </c>
      <c r="Q175">
        <v>56</v>
      </c>
      <c r="R175">
        <v>63</v>
      </c>
      <c r="S175">
        <v>57</v>
      </c>
      <c r="T175">
        <v>59</v>
      </c>
      <c r="U175">
        <v>54</v>
      </c>
      <c r="V175">
        <v>57</v>
      </c>
      <c r="W175">
        <v>58</v>
      </c>
      <c r="X175">
        <v>64</v>
      </c>
      <c r="Y175" s="216">
        <v>62</v>
      </c>
      <c r="Z175" s="216">
        <v>50.897256673072327</v>
      </c>
      <c r="AA175" s="216">
        <v>49.154796789081942</v>
      </c>
      <c r="AB175" s="216">
        <v>47.471989755672844</v>
      </c>
      <c r="AC175" s="216">
        <v>45.846793366527855</v>
      </c>
      <c r="AD175" s="216">
        <v>44.277235329954237</v>
      </c>
      <c r="AE175" s="216">
        <v>42.761410875366991</v>
      </c>
      <c r="AF175" s="216">
        <v>41.297480441714029</v>
      </c>
      <c r="AG175" s="216">
        <v>39.883667445037624</v>
      </c>
      <c r="AH175" s="216">
        <v>38.518256122463171</v>
      </c>
      <c r="AI175" s="216">
        <v>37.199589449998534</v>
      </c>
      <c r="AJ175" s="216">
        <v>35.92606713161733</v>
      </c>
      <c r="AK175" s="216">
        <v>34.696143657185601</v>
      </c>
      <c r="AL175" s="216">
        <v>33.508326426875065</v>
      </c>
      <c r="AM175" s="216">
        <v>32.361173939786802</v>
      </c>
      <c r="AN175" s="216">
        <v>31.253294044587143</v>
      </c>
      <c r="AO175" s="216">
        <v>30.183342250032762</v>
      </c>
      <c r="AP175" s="216">
        <v>29.150020093334692</v>
      </c>
      <c r="AQ175" s="216">
        <v>28.152073564381162</v>
      </c>
      <c r="AR175" s="216">
        <v>27.188291583906906</v>
      </c>
      <c r="AS175" s="216">
        <v>26.257504533762116</v>
      </c>
      <c r="AT175" s="216">
        <v>25.358582837497455</v>
      </c>
      <c r="AU175" s="216">
        <v>24.490435589542468</v>
      </c>
      <c r="AV175" s="216">
        <v>23.652009231313912</v>
      </c>
      <c r="AW175" s="216">
        <v>22.842286272647289</v>
      </c>
      <c r="AX175" s="216">
        <v>22.060284056999986</v>
      </c>
      <c r="AY175" s="216">
        <v>21.305053568927498</v>
      </c>
      <c r="AZ175" s="216">
        <v>20.575678282385528</v>
      </c>
      <c r="BA175" s="216">
        <v>19.871273048460282</v>
      </c>
      <c r="BB175" s="216">
        <v>19.190983021177139</v>
      </c>
      <c r="BC175" s="216">
        <v>18.533982620084146</v>
      </c>
      <c r="BD175" s="216">
        <v>17.899474528351227</v>
      </c>
      <c r="BE175" s="216">
        <v>17.286688725169409</v>
      </c>
      <c r="BF175" s="216">
        <v>16.694881551275643</v>
      </c>
      <c r="BG175" s="216">
        <v>16.12333480646927</v>
      </c>
      <c r="BH175" s="216">
        <v>15.571354878024875</v>
      </c>
      <c r="BI175" s="216">
        <v>15.038271898943785</v>
      </c>
      <c r="BJ175" s="216">
        <v>14.523438935022712</v>
      </c>
      <c r="BK175" s="216">
        <v>14.026231199752967</v>
      </c>
      <c r="BL175" s="216">
        <v>13.546045296097496</v>
      </c>
    </row>
    <row r="176" spans="1:64">
      <c r="A176" t="s">
        <v>1182</v>
      </c>
      <c r="B176">
        <v>107</v>
      </c>
      <c r="C176">
        <v>107</v>
      </c>
      <c r="D176">
        <v>107</v>
      </c>
      <c r="E176">
        <v>119</v>
      </c>
      <c r="F176">
        <v>122</v>
      </c>
      <c r="G176">
        <v>114</v>
      </c>
      <c r="H176">
        <v>110</v>
      </c>
      <c r="I176">
        <v>111</v>
      </c>
      <c r="J176">
        <v>103</v>
      </c>
      <c r="K176">
        <v>107</v>
      </c>
      <c r="L176">
        <v>106</v>
      </c>
      <c r="M176">
        <v>110</v>
      </c>
      <c r="N176">
        <v>98</v>
      </c>
      <c r="O176">
        <v>96</v>
      </c>
      <c r="P176">
        <v>93</v>
      </c>
      <c r="Q176">
        <v>89</v>
      </c>
      <c r="R176">
        <v>93</v>
      </c>
      <c r="S176">
        <v>82</v>
      </c>
      <c r="T176">
        <v>81</v>
      </c>
      <c r="U176">
        <v>98</v>
      </c>
      <c r="V176">
        <v>109</v>
      </c>
      <c r="W176">
        <v>90</v>
      </c>
      <c r="X176">
        <v>90</v>
      </c>
      <c r="Y176" s="216">
        <v>112</v>
      </c>
      <c r="Z176" s="216">
        <v>90.174043443811456</v>
      </c>
      <c r="AA176" s="216">
        <v>89.313624598791549</v>
      </c>
      <c r="AB176" s="216">
        <v>88.461415661640814</v>
      </c>
      <c r="AC176" s="216">
        <v>87.617338295410235</v>
      </c>
      <c r="AD176" s="216">
        <v>86.781314910622896</v>
      </c>
      <c r="AE176" s="216">
        <v>85.953268658141894</v>
      </c>
      <c r="AF176" s="216">
        <v>85.133123422106124</v>
      </c>
      <c r="AG176" s="216">
        <v>84.320803812933576</v>
      </c>
      <c r="AH176" s="216">
        <v>83.516235160391318</v>
      </c>
      <c r="AI176" s="216">
        <v>82.719343506731676</v>
      </c>
      <c r="AJ176" s="216">
        <v>81.930055599893876</v>
      </c>
      <c r="AK176" s="216">
        <v>81.148298886770505</v>
      </c>
      <c r="AL176" s="216">
        <v>80.374001506538335</v>
      </c>
      <c r="AM176" s="216">
        <v>79.607092284052655</v>
      </c>
      <c r="AN176" s="216">
        <v>78.847500723304705</v>
      </c>
      <c r="AO176" s="216">
        <v>78.095157000941555</v>
      </c>
      <c r="AP176" s="216">
        <v>77.349991959847799</v>
      </c>
      <c r="AQ176" s="216">
        <v>76.611937102788374</v>
      </c>
      <c r="AR176" s="216">
        <v>75.8809245861123</v>
      </c>
      <c r="AS176" s="216">
        <v>75.156887213516185</v>
      </c>
      <c r="AT176" s="216">
        <v>74.439758429867496</v>
      </c>
      <c r="AU176" s="216">
        <v>73.729472315086596</v>
      </c>
      <c r="AV176" s="216">
        <v>73.025963578087328</v>
      </c>
      <c r="AW176" s="216">
        <v>72.329167550775139</v>
      </c>
      <c r="AX176" s="216">
        <v>71.639020182102826</v>
      </c>
      <c r="AY176" s="216">
        <v>70.955458032182705</v>
      </c>
      <c r="AZ176" s="216">
        <v>70.278418266455091</v>
      </c>
      <c r="BA176" s="216">
        <v>69.607838649912466</v>
      </c>
      <c r="BB176" s="216">
        <v>68.943657541378613</v>
      </c>
      <c r="BC176" s="216">
        <v>68.285813887842508</v>
      </c>
      <c r="BD176" s="216">
        <v>67.634247218846099</v>
      </c>
      <c r="BE176" s="216">
        <v>66.988897640925785</v>
      </c>
      <c r="BF176" s="216">
        <v>66.349705832106906</v>
      </c>
      <c r="BG176" s="216">
        <v>65.716613036450653</v>
      </c>
      <c r="BH176" s="216">
        <v>65.089561058653103</v>
      </c>
      <c r="BI176" s="216">
        <v>64.468492258695875</v>
      </c>
      <c r="BJ176" s="216">
        <v>63.853349546547605</v>
      </c>
      <c r="BK176" s="216">
        <v>63.244076376916176</v>
      </c>
      <c r="BL176" s="216">
        <v>62.640616744050938</v>
      </c>
    </row>
    <row r="177" spans="1:64">
      <c r="A177" t="s">
        <v>209</v>
      </c>
      <c r="B177">
        <v>387</v>
      </c>
      <c r="C177">
        <v>424</v>
      </c>
      <c r="D177">
        <v>405</v>
      </c>
      <c r="E177">
        <v>413</v>
      </c>
      <c r="F177">
        <v>411</v>
      </c>
      <c r="G177">
        <v>426</v>
      </c>
      <c r="H177">
        <v>435</v>
      </c>
      <c r="I177">
        <v>464</v>
      </c>
      <c r="J177">
        <v>486</v>
      </c>
      <c r="K177">
        <v>433</v>
      </c>
      <c r="L177">
        <v>427</v>
      </c>
      <c r="M177">
        <v>445</v>
      </c>
      <c r="N177">
        <v>419</v>
      </c>
      <c r="O177">
        <v>436</v>
      </c>
      <c r="P177">
        <v>415</v>
      </c>
      <c r="Q177">
        <v>422</v>
      </c>
      <c r="R177">
        <v>408</v>
      </c>
      <c r="S177">
        <v>389</v>
      </c>
      <c r="T177">
        <v>410</v>
      </c>
      <c r="U177">
        <v>402</v>
      </c>
      <c r="V177">
        <v>426</v>
      </c>
      <c r="W177">
        <v>427</v>
      </c>
      <c r="X177">
        <v>452</v>
      </c>
      <c r="Y177" s="216">
        <v>444</v>
      </c>
      <c r="Z177" s="216">
        <v>428.44388633990241</v>
      </c>
      <c r="AA177" s="216">
        <v>428.74574730410961</v>
      </c>
      <c r="AB177" s="216">
        <v>429.04782094503969</v>
      </c>
      <c r="AC177" s="216">
        <v>429.35010741253461</v>
      </c>
      <c r="AD177" s="216">
        <v>429.65260685654152</v>
      </c>
      <c r="AE177" s="216">
        <v>429.95531942711358</v>
      </c>
      <c r="AF177" s="216">
        <v>430.25824527440949</v>
      </c>
      <c r="AG177" s="216">
        <v>430.5613845486937</v>
      </c>
      <c r="AH177" s="216">
        <v>430.86473740033676</v>
      </c>
      <c r="AI177" s="216">
        <v>431.16830397981499</v>
      </c>
      <c r="AJ177" s="216">
        <v>431.47208443771052</v>
      </c>
      <c r="AK177" s="216">
        <v>431.77607892471207</v>
      </c>
      <c r="AL177" s="216">
        <v>432.08028759161414</v>
      </c>
      <c r="AM177" s="216">
        <v>432.38471058931759</v>
      </c>
      <c r="AN177" s="216">
        <v>432.68934806882959</v>
      </c>
      <c r="AO177" s="216">
        <v>432.99420018126375</v>
      </c>
      <c r="AP177" s="216">
        <v>433.29926707784011</v>
      </c>
      <c r="AQ177" s="216">
        <v>433.60454890988524</v>
      </c>
      <c r="AR177" s="216">
        <v>433.91004582883232</v>
      </c>
      <c r="AS177" s="216">
        <v>434.21575798622126</v>
      </c>
      <c r="AT177" s="216">
        <v>434.5216855336987</v>
      </c>
      <c r="AU177" s="216">
        <v>434.82782862301809</v>
      </c>
      <c r="AV177" s="216">
        <v>435.13418740603998</v>
      </c>
      <c r="AW177" s="216">
        <v>435.44076203473162</v>
      </c>
      <c r="AX177" s="216">
        <v>435.74755266116767</v>
      </c>
      <c r="AY177" s="216">
        <v>436.05455943752963</v>
      </c>
      <c r="AZ177" s="216">
        <v>436.36178251610647</v>
      </c>
      <c r="BA177" s="216">
        <v>436.66922204929415</v>
      </c>
      <c r="BB177" s="216">
        <v>436.97687818959628</v>
      </c>
      <c r="BC177" s="216">
        <v>437.28475108962385</v>
      </c>
      <c r="BD177" s="216">
        <v>437.5928409020953</v>
      </c>
      <c r="BE177" s="216">
        <v>437.90114777983672</v>
      </c>
      <c r="BF177" s="216">
        <v>438.20967187578191</v>
      </c>
      <c r="BG177" s="216">
        <v>438.51841334297222</v>
      </c>
      <c r="BH177" s="216">
        <v>438.82737233455714</v>
      </c>
      <c r="BI177" s="216">
        <v>439.1365490037939</v>
      </c>
      <c r="BJ177" s="216">
        <v>439.44594350404759</v>
      </c>
      <c r="BK177" s="216">
        <v>439.75555598879151</v>
      </c>
      <c r="BL177" s="216">
        <v>440.06538661160715</v>
      </c>
    </row>
    <row r="178" spans="1:64">
      <c r="A178" t="s">
        <v>93</v>
      </c>
      <c r="B178">
        <v>364</v>
      </c>
      <c r="C178">
        <v>359</v>
      </c>
      <c r="D178">
        <v>369</v>
      </c>
      <c r="E178">
        <v>336</v>
      </c>
      <c r="F178">
        <v>346</v>
      </c>
      <c r="G178">
        <v>355</v>
      </c>
      <c r="H178">
        <v>357</v>
      </c>
      <c r="I178">
        <v>365</v>
      </c>
      <c r="J178">
        <v>381</v>
      </c>
      <c r="K178">
        <v>336</v>
      </c>
      <c r="L178">
        <v>358</v>
      </c>
      <c r="M178">
        <v>342</v>
      </c>
      <c r="N178">
        <v>339</v>
      </c>
      <c r="O178">
        <v>326</v>
      </c>
      <c r="P178">
        <v>318</v>
      </c>
      <c r="Q178">
        <v>297</v>
      </c>
      <c r="R178">
        <v>281</v>
      </c>
      <c r="S178">
        <v>282</v>
      </c>
      <c r="T178">
        <v>249</v>
      </c>
      <c r="U178">
        <v>264</v>
      </c>
      <c r="V178">
        <v>273</v>
      </c>
      <c r="W178">
        <v>271</v>
      </c>
      <c r="X178">
        <v>261</v>
      </c>
      <c r="Y178" s="216">
        <v>246</v>
      </c>
      <c r="Z178" s="216">
        <v>253.53875634202976</v>
      </c>
      <c r="AA178" s="216">
        <v>249.05638441636802</v>
      </c>
      <c r="AB178" s="216">
        <v>244.65325740919465</v>
      </c>
      <c r="AC178" s="216">
        <v>240.32797433076348</v>
      </c>
      <c r="AD178" s="216">
        <v>236.07915895975907</v>
      </c>
      <c r="AE178" s="216">
        <v>231.90545940540957</v>
      </c>
      <c r="AF178" s="216">
        <v>227.80554767734142</v>
      </c>
      <c r="AG178" s="216">
        <v>223.77811926303855</v>
      </c>
      <c r="AH178" s="216">
        <v>219.8218927127715</v>
      </c>
      <c r="AI178" s="216">
        <v>215.93560923186521</v>
      </c>
      <c r="AJ178" s="216">
        <v>212.11803228017487</v>
      </c>
      <c r="AK178" s="216">
        <v>208.36794717864265</v>
      </c>
      <c r="AL178" s="216">
        <v>204.68416072281042</v>
      </c>
      <c r="AM178" s="216">
        <v>201.06550080316535</v>
      </c>
      <c r="AN178" s="216">
        <v>197.5108160321972</v>
      </c>
      <c r="AO178" s="216">
        <v>194.01897537804905</v>
      </c>
      <c r="AP178" s="216">
        <v>190.58886780464508</v>
      </c>
      <c r="AQ178" s="216">
        <v>187.21940191818024</v>
      </c>
      <c r="AR178" s="216">
        <v>183.90950561985989</v>
      </c>
      <c r="AS178" s="216">
        <v>180.65812576477882</v>
      </c>
      <c r="AT178" s="216">
        <v>177.46422782683081</v>
      </c>
      <c r="AU178" s="216">
        <v>174.32679556954258</v>
      </c>
      <c r="AV178" s="216">
        <v>171.24483072272699</v>
      </c>
      <c r="AW178" s="216">
        <v>168.21735266485263</v>
      </c>
      <c r="AX178" s="216">
        <v>165.24339811102936</v>
      </c>
      <c r="AY178" s="216">
        <v>162.32202080650941</v>
      </c>
      <c r="AZ178" s="216">
        <v>159.45229122560761</v>
      </c>
      <c r="BA178" s="216">
        <v>156.6332962759443</v>
      </c>
      <c r="BB178" s="216">
        <v>153.86413900791695</v>
      </c>
      <c r="BC178" s="216">
        <v>151.14393832930821</v>
      </c>
      <c r="BD178" s="216">
        <v>148.47182872493951</v>
      </c>
      <c r="BE178" s="216">
        <v>145.84695998128069</v>
      </c>
      <c r="BF178" s="216">
        <v>143.26849691592869</v>
      </c>
      <c r="BG178" s="216">
        <v>140.73561911186866</v>
      </c>
      <c r="BH178" s="216">
        <v>138.2475206564331</v>
      </c>
      <c r="BI178" s="216">
        <v>135.80340988487603</v>
      </c>
      <c r="BJ178" s="216">
        <v>133.40250912848077</v>
      </c>
      <c r="BK178" s="216">
        <v>131.04405446712053</v>
      </c>
      <c r="BL178" s="216">
        <v>128.72729548619412</v>
      </c>
    </row>
    <row r="179" spans="1:64">
      <c r="A179" t="s">
        <v>214</v>
      </c>
      <c r="B179">
        <v>101</v>
      </c>
      <c r="C179">
        <v>122</v>
      </c>
      <c r="D179">
        <v>128</v>
      </c>
      <c r="E179">
        <v>131</v>
      </c>
      <c r="F179">
        <v>133</v>
      </c>
      <c r="G179">
        <v>141</v>
      </c>
      <c r="H179">
        <v>148</v>
      </c>
      <c r="I179">
        <v>154</v>
      </c>
      <c r="J179">
        <v>149</v>
      </c>
      <c r="K179">
        <v>164</v>
      </c>
      <c r="L179">
        <v>162</v>
      </c>
      <c r="M179">
        <v>163</v>
      </c>
      <c r="N179">
        <v>176</v>
      </c>
      <c r="O179">
        <v>178</v>
      </c>
      <c r="P179">
        <v>166</v>
      </c>
      <c r="Q179">
        <v>173</v>
      </c>
      <c r="R179">
        <v>170</v>
      </c>
      <c r="S179">
        <v>179</v>
      </c>
      <c r="T179">
        <v>183</v>
      </c>
      <c r="U179">
        <v>187</v>
      </c>
      <c r="V179">
        <v>190</v>
      </c>
      <c r="W179">
        <v>183</v>
      </c>
      <c r="X179">
        <v>211</v>
      </c>
      <c r="Y179" s="216">
        <v>181</v>
      </c>
      <c r="Z179" s="216">
        <v>196.18201821306997</v>
      </c>
      <c r="AA179" s="216">
        <v>198.6765684675035</v>
      </c>
      <c r="AB179" s="216">
        <v>201.20283814774666</v>
      </c>
      <c r="AC179" s="216">
        <v>203.76123058180298</v>
      </c>
      <c r="AD179" s="216">
        <v>206.35215422618856</v>
      </c>
      <c r="AE179" s="216">
        <v>208.9760227311439</v>
      </c>
      <c r="AF179" s="216">
        <v>211.63325500667437</v>
      </c>
      <c r="AG179" s="216">
        <v>214.324275289431</v>
      </c>
      <c r="AH179" s="216">
        <v>217.04951321044101</v>
      </c>
      <c r="AI179" s="216">
        <v>219.8094038637002</v>
      </c>
      <c r="AJ179" s="216">
        <v>222.60438787563729</v>
      </c>
      <c r="AK179" s="216">
        <v>225.43491147546126</v>
      </c>
      <c r="AL179" s="216">
        <v>228.30142656640373</v>
      </c>
      <c r="AM179" s="216">
        <v>231.20439079786669</v>
      </c>
      <c r="AN179" s="216">
        <v>234.14426763848812</v>
      </c>
      <c r="AO179" s="216">
        <v>237.12152645013606</v>
      </c>
      <c r="AP179" s="216">
        <v>240.13664256284434</v>
      </c>
      <c r="AQ179" s="216">
        <v>243.19009735070037</v>
      </c>
      <c r="AR179" s="216">
        <v>246.28237830869844</v>
      </c>
      <c r="AS179" s="216">
        <v>249.41397913056997</v>
      </c>
      <c r="AT179" s="216">
        <v>252.58539978760339</v>
      </c>
      <c r="AU179" s="216">
        <v>255.79714660846668</v>
      </c>
      <c r="AV179" s="216">
        <v>259.049732360044</v>
      </c>
      <c r="AW179" s="216">
        <v>262.34367632930139</v>
      </c>
      <c r="AX179" s="216">
        <v>265.67950440619239</v>
      </c>
      <c r="AY179" s="216">
        <v>269.05774916761811</v>
      </c>
      <c r="AZ179" s="216">
        <v>272.47894996245572</v>
      </c>
      <c r="BA179" s="216">
        <v>275.94365299766662</v>
      </c>
      <c r="BB179" s="216">
        <v>279.45241142550094</v>
      </c>
      <c r="BC179" s="216">
        <v>283.00578543180984</v>
      </c>
      <c r="BD179" s="216">
        <v>286.6043423254817</v>
      </c>
      <c r="BE179" s="216">
        <v>290.24865662901425</v>
      </c>
      <c r="BF179" s="216">
        <v>293.93931017024011</v>
      </c>
      <c r="BG179" s="216">
        <v>297.67689217521684</v>
      </c>
      <c r="BH179" s="216">
        <v>301.46199936229954</v>
      </c>
      <c r="BI179" s="216">
        <v>305.29523603740859</v>
      </c>
      <c r="BJ179" s="216">
        <v>309.17721419050997</v>
      </c>
      <c r="BK179" s="216">
        <v>313.10855359332078</v>
      </c>
      <c r="BL179" s="216">
        <v>317.08988189825868</v>
      </c>
    </row>
    <row r="180" spans="1:64">
      <c r="A180" t="s">
        <v>94</v>
      </c>
      <c r="B180">
        <v>383</v>
      </c>
      <c r="C180">
        <v>403</v>
      </c>
      <c r="D180">
        <v>425</v>
      </c>
      <c r="E180">
        <v>433</v>
      </c>
      <c r="F180">
        <v>449</v>
      </c>
      <c r="G180">
        <v>469</v>
      </c>
      <c r="H180">
        <v>484</v>
      </c>
      <c r="I180">
        <v>480</v>
      </c>
      <c r="J180">
        <v>471</v>
      </c>
      <c r="K180">
        <v>466</v>
      </c>
      <c r="L180">
        <v>482</v>
      </c>
      <c r="M180">
        <v>498</v>
      </c>
      <c r="N180">
        <v>478</v>
      </c>
      <c r="O180">
        <v>502</v>
      </c>
      <c r="P180">
        <v>484</v>
      </c>
      <c r="Q180">
        <v>507</v>
      </c>
      <c r="R180">
        <v>497</v>
      </c>
      <c r="S180">
        <v>488</v>
      </c>
      <c r="T180">
        <v>483</v>
      </c>
      <c r="U180">
        <v>496</v>
      </c>
      <c r="V180">
        <v>516</v>
      </c>
      <c r="W180">
        <v>548</v>
      </c>
      <c r="X180">
        <v>550</v>
      </c>
      <c r="Y180" s="216">
        <v>563</v>
      </c>
      <c r="Z180" s="216">
        <v>553.19305926786183</v>
      </c>
      <c r="AA180" s="216">
        <v>559.54711028398003</v>
      </c>
      <c r="AB180" s="216">
        <v>565.97414479770191</v>
      </c>
      <c r="AC180" s="216">
        <v>572.4750011074467</v>
      </c>
      <c r="AD180" s="216">
        <v>579.05052714044359</v>
      </c>
      <c r="AE180" s="216">
        <v>585.70158056333014</v>
      </c>
      <c r="AF180" s="216">
        <v>592.42902889401932</v>
      </c>
      <c r="AG180" s="216">
        <v>599.2337496148541</v>
      </c>
      <c r="AH180" s="216">
        <v>606.11663028705891</v>
      </c>
      <c r="AI180" s="216">
        <v>613.07856866650775</v>
      </c>
      <c r="AJ180" s="216">
        <v>620.12047282082119</v>
      </c>
      <c r="AK180" s="216">
        <v>627.24326124780862</v>
      </c>
      <c r="AL180" s="216">
        <v>634.44786299527027</v>
      </c>
      <c r="AM180" s="216">
        <v>641.73521778217685</v>
      </c>
      <c r="AN180" s="216">
        <v>649.10627612123903</v>
      </c>
      <c r="AO180" s="216">
        <v>656.56199944288653</v>
      </c>
      <c r="AP180" s="216">
        <v>664.10336022066997</v>
      </c>
      <c r="AQ180" s="216">
        <v>671.73134209810416</v>
      </c>
      <c r="AR180" s="216">
        <v>679.4469400169678</v>
      </c>
      <c r="AS180" s="216">
        <v>687.25116034707639</v>
      </c>
      <c r="AT180" s="216">
        <v>695.14502101754681</v>
      </c>
      <c r="AU180" s="216">
        <v>703.12955164956861</v>
      </c>
      <c r="AV180" s="216">
        <v>711.20579369070083</v>
      </c>
      <c r="AW180" s="216">
        <v>719.37480055071171</v>
      </c>
      <c r="AX180" s="216">
        <v>727.63763773897767</v>
      </c>
      <c r="AY180" s="216">
        <v>735.99538300346137</v>
      </c>
      <c r="AZ180" s="216">
        <v>744.44912647128569</v>
      </c>
      <c r="BA180" s="216">
        <v>752.9999707909227</v>
      </c>
      <c r="BB180" s="216">
        <v>761.64903127601508</v>
      </c>
      <c r="BC180" s="216">
        <v>770.39743605085073</v>
      </c>
      <c r="BD180" s="216">
        <v>779.24632619750651</v>
      </c>
      <c r="BE180" s="216">
        <v>788.19685590468441</v>
      </c>
      <c r="BF180" s="216">
        <v>797.25019261825537</v>
      </c>
      <c r="BG180" s="216">
        <v>806.40751719353284</v>
      </c>
      <c r="BH180" s="216">
        <v>815.67002404929553</v>
      </c>
      <c r="BI180" s="216">
        <v>825.03892132357976</v>
      </c>
      <c r="BJ180" s="216">
        <v>834.51543103125994</v>
      </c>
      <c r="BK180" s="216">
        <v>844.10078922344019</v>
      </c>
      <c r="BL180" s="216">
        <v>853.7962461486768</v>
      </c>
    </row>
    <row r="181" spans="1:64">
      <c r="A181" t="s">
        <v>29</v>
      </c>
      <c r="B181">
        <v>295</v>
      </c>
      <c r="C181">
        <v>305</v>
      </c>
      <c r="D181">
        <v>306</v>
      </c>
      <c r="E181">
        <v>313</v>
      </c>
      <c r="F181">
        <v>311</v>
      </c>
      <c r="G181">
        <v>314</v>
      </c>
      <c r="H181">
        <v>298</v>
      </c>
      <c r="I181">
        <v>296</v>
      </c>
      <c r="J181">
        <v>276</v>
      </c>
      <c r="K181">
        <v>237</v>
      </c>
      <c r="L181">
        <v>240</v>
      </c>
      <c r="M181">
        <v>233</v>
      </c>
      <c r="N181">
        <v>220</v>
      </c>
      <c r="O181">
        <v>209</v>
      </c>
      <c r="P181">
        <v>214</v>
      </c>
      <c r="Q181">
        <v>194</v>
      </c>
      <c r="R181">
        <v>221</v>
      </c>
      <c r="S181">
        <v>205</v>
      </c>
      <c r="T181">
        <v>219</v>
      </c>
      <c r="U181">
        <v>218</v>
      </c>
      <c r="V181">
        <v>213</v>
      </c>
      <c r="W181">
        <v>206</v>
      </c>
      <c r="X181">
        <v>224</v>
      </c>
      <c r="Y181" s="216">
        <v>213</v>
      </c>
      <c r="Z181" s="216">
        <v>207.22329069998437</v>
      </c>
      <c r="AA181" s="216">
        <v>205.98465907121692</v>
      </c>
      <c r="AB181" s="216">
        <v>204.75343109049791</v>
      </c>
      <c r="AC181" s="216">
        <v>203.52956250415002</v>
      </c>
      <c r="AD181" s="216">
        <v>202.31300932301258</v>
      </c>
      <c r="AE181" s="216">
        <v>201.10372782086031</v>
      </c>
      <c r="AF181" s="216">
        <v>199.90167453283203</v>
      </c>
      <c r="AG181" s="216">
        <v>198.70680625386805</v>
      </c>
      <c r="AH181" s="216">
        <v>197.51908003715749</v>
      </c>
      <c r="AI181" s="216">
        <v>196.33845319259453</v>
      </c>
      <c r="AJ181" s="216">
        <v>195.16488328524412</v>
      </c>
      <c r="AK181" s="216">
        <v>193.99832813381667</v>
      </c>
      <c r="AL181" s="216">
        <v>192.83874580915202</v>
      </c>
      <c r="AM181" s="216">
        <v>191.68609463271224</v>
      </c>
      <c r="AN181" s="216">
        <v>190.54033317508373</v>
      </c>
      <c r="AO181" s="216">
        <v>189.40142025448813</v>
      </c>
      <c r="AP181" s="216">
        <v>188.26931493530211</v>
      </c>
      <c r="AQ181" s="216">
        <v>187.14397652658596</v>
      </c>
      <c r="AR181" s="216">
        <v>186.0253645806211</v>
      </c>
      <c r="AS181" s="216">
        <v>184.91343889145642</v>
      </c>
      <c r="AT181" s="216">
        <v>183.80815949346291</v>
      </c>
      <c r="AU181" s="216">
        <v>182.70948665989735</v>
      </c>
      <c r="AV181" s="216">
        <v>181.61738090147435</v>
      </c>
      <c r="AW181" s="216">
        <v>180.5318029649471</v>
      </c>
      <c r="AX181" s="216">
        <v>179.45271383169643</v>
      </c>
      <c r="AY181" s="216">
        <v>178.38007471632838</v>
      </c>
      <c r="AZ181" s="216">
        <v>177.31384706528004</v>
      </c>
      <c r="BA181" s="216">
        <v>176.25399255543411</v>
      </c>
      <c r="BB181" s="216">
        <v>175.20047309274122</v>
      </c>
      <c r="BC181" s="216">
        <v>174.15325081085075</v>
      </c>
      <c r="BD181" s="216">
        <v>173.11228806974992</v>
      </c>
      <c r="BE181" s="216">
        <v>172.07754745441082</v>
      </c>
      <c r="BF181" s="216">
        <v>171.04899177344564</v>
      </c>
      <c r="BG181" s="216">
        <v>170.02658405776992</v>
      </c>
      <c r="BH181" s="216">
        <v>169.01028755927379</v>
      </c>
      <c r="BI181" s="216">
        <v>168.00006574950106</v>
      </c>
      <c r="BJ181" s="216">
        <v>166.99588231833641</v>
      </c>
      <c r="BK181" s="216">
        <v>165.99770117270015</v>
      </c>
      <c r="BL181" s="216">
        <v>165.00548643525121</v>
      </c>
    </row>
    <row r="182" spans="1:64">
      <c r="A182" t="s">
        <v>1052</v>
      </c>
      <c r="B182">
        <v>56</v>
      </c>
      <c r="C182">
        <v>54</v>
      </c>
      <c r="D182">
        <v>54</v>
      </c>
      <c r="E182">
        <v>56</v>
      </c>
      <c r="F182">
        <v>55</v>
      </c>
      <c r="G182">
        <v>54</v>
      </c>
      <c r="H182">
        <v>58</v>
      </c>
      <c r="I182">
        <v>61</v>
      </c>
      <c r="J182">
        <v>64</v>
      </c>
      <c r="K182">
        <v>61</v>
      </c>
      <c r="L182">
        <v>64</v>
      </c>
      <c r="M182">
        <v>57</v>
      </c>
      <c r="N182">
        <v>54</v>
      </c>
      <c r="O182">
        <v>48</v>
      </c>
      <c r="P182">
        <v>50</v>
      </c>
      <c r="Q182">
        <v>65</v>
      </c>
      <c r="R182">
        <v>73</v>
      </c>
      <c r="S182">
        <v>83</v>
      </c>
      <c r="T182">
        <v>76</v>
      </c>
      <c r="U182">
        <v>70</v>
      </c>
      <c r="V182">
        <v>71</v>
      </c>
      <c r="W182">
        <v>69</v>
      </c>
      <c r="X182">
        <v>60</v>
      </c>
      <c r="Y182" s="216">
        <v>53</v>
      </c>
      <c r="Z182" s="216">
        <v>67.985032822627105</v>
      </c>
      <c r="AA182" s="216">
        <v>68.622154587249639</v>
      </c>
      <c r="AB182" s="216">
        <v>69.265247138766057</v>
      </c>
      <c r="AC182" s="216">
        <v>69.914366432408286</v>
      </c>
      <c r="AD182" s="216">
        <v>70.569568947792789</v>
      </c>
      <c r="AE182" s="216">
        <v>71.230911693834756</v>
      </c>
      <c r="AF182" s="216">
        <v>71.898452213708495</v>
      </c>
      <c r="AG182" s="216">
        <v>72.572248589854112</v>
      </c>
      <c r="AH182" s="216">
        <v>73.252359449031417</v>
      </c>
      <c r="AI182" s="216">
        <v>73.938843967420866</v>
      </c>
      <c r="AJ182" s="216">
        <v>74.631761875772526</v>
      </c>
      <c r="AK182" s="216">
        <v>75.331173464603253</v>
      </c>
      <c r="AL182" s="216">
        <v>76.037139589442447</v>
      </c>
      <c r="AM182" s="216">
        <v>76.749721676127152</v>
      </c>
      <c r="AN182" s="216">
        <v>77.468981726146694</v>
      </c>
      <c r="AO182" s="216">
        <v>78.194982322037376</v>
      </c>
      <c r="AP182" s="216">
        <v>78.927786632827733</v>
      </c>
      <c r="AQ182" s="216">
        <v>79.667458419534924</v>
      </c>
      <c r="AR182" s="216">
        <v>80.414062040712466</v>
      </c>
      <c r="AS182" s="216">
        <v>81.167662458050117</v>
      </c>
      <c r="AT182" s="216">
        <v>81.928325242026119</v>
      </c>
      <c r="AU182" s="216">
        <v>82.696116577612514</v>
      </c>
      <c r="AV182" s="216">
        <v>83.471103270033794</v>
      </c>
      <c r="AW182" s="216">
        <v>84.25335275057968</v>
      </c>
      <c r="AX182" s="216">
        <v>85.042933082472231</v>
      </c>
      <c r="AY182" s="216">
        <v>85.839912966787992</v>
      </c>
      <c r="AZ182" s="216">
        <v>86.64436174843577</v>
      </c>
      <c r="BA182" s="216">
        <v>87.456349422190115</v>
      </c>
      <c r="BB182" s="216">
        <v>88.27594663878169</v>
      </c>
      <c r="BC182" s="216">
        <v>89.10322471104449</v>
      </c>
      <c r="BD182" s="216">
        <v>89.938255620120785</v>
      </c>
      <c r="BE182" s="216">
        <v>90.781112021724127</v>
      </c>
      <c r="BF182" s="216">
        <v>91.631867252461149</v>
      </c>
      <c r="BG182" s="216">
        <v>92.490595336212493</v>
      </c>
      <c r="BH182" s="216">
        <v>93.357370990573642</v>
      </c>
      <c r="BI182" s="216">
        <v>94.232269633356097</v>
      </c>
      <c r="BJ182" s="216">
        <v>95.115367389149327</v>
      </c>
      <c r="BK182" s="216">
        <v>96.006741095944506</v>
      </c>
      <c r="BL182" s="216">
        <v>96.906468311820021</v>
      </c>
    </row>
    <row r="183" spans="1:64">
      <c r="A183" t="s">
        <v>217</v>
      </c>
      <c r="B183">
        <v>211</v>
      </c>
      <c r="C183">
        <v>221</v>
      </c>
      <c r="D183">
        <v>228</v>
      </c>
      <c r="E183">
        <v>249</v>
      </c>
      <c r="F183">
        <v>248</v>
      </c>
      <c r="G183">
        <v>260</v>
      </c>
      <c r="H183">
        <v>249</v>
      </c>
      <c r="I183">
        <v>245</v>
      </c>
      <c r="J183">
        <v>256</v>
      </c>
      <c r="K183">
        <v>225</v>
      </c>
      <c r="L183">
        <v>204</v>
      </c>
      <c r="M183">
        <v>188</v>
      </c>
      <c r="N183">
        <v>171</v>
      </c>
      <c r="O183">
        <v>186</v>
      </c>
      <c r="P183">
        <v>188</v>
      </c>
      <c r="Q183">
        <v>170</v>
      </c>
      <c r="R183">
        <v>164</v>
      </c>
      <c r="S183">
        <v>165</v>
      </c>
      <c r="T183">
        <v>169</v>
      </c>
      <c r="U183">
        <v>161</v>
      </c>
      <c r="V183">
        <v>179</v>
      </c>
      <c r="W183">
        <v>178</v>
      </c>
      <c r="X183">
        <v>184</v>
      </c>
      <c r="Y183" s="216">
        <v>171</v>
      </c>
      <c r="Z183" s="216">
        <v>158.20456397986021</v>
      </c>
      <c r="AA183" s="216">
        <v>155.25050396023522</v>
      </c>
      <c r="AB183" s="216">
        <v>152.3516033518182</v>
      </c>
      <c r="AC183" s="216">
        <v>149.50683219562916</v>
      </c>
      <c r="AD183" s="216">
        <v>146.71517976450139</v>
      </c>
      <c r="AE183" s="216">
        <v>143.97565420397723</v>
      </c>
      <c r="AF183" s="216">
        <v>141.28728217990928</v>
      </c>
      <c r="AG183" s="216">
        <v>138.64910853264158</v>
      </c>
      <c r="AH183" s="216">
        <v>136.06019593764802</v>
      </c>
      <c r="AI183" s="216">
        <v>133.51962457250767</v>
      </c>
      <c r="AJ183" s="216">
        <v>131.02649179009825</v>
      </c>
      <c r="AK183" s="216">
        <v>128.57991179789192</v>
      </c>
      <c r="AL183" s="216">
        <v>126.1790153432396</v>
      </c>
      <c r="AM183" s="216">
        <v>123.82294940453153</v>
      </c>
      <c r="AN183" s="216">
        <v>121.5108768881246</v>
      </c>
      <c r="AO183" s="216">
        <v>119.24197633092908</v>
      </c>
      <c r="AP183" s="216">
        <v>117.0154416085483</v>
      </c>
      <c r="AQ183" s="216">
        <v>114.83048164886864</v>
      </c>
      <c r="AR183" s="216">
        <v>112.68632015099689</v>
      </c>
      <c r="AS183" s="216">
        <v>110.58219530944619</v>
      </c>
      <c r="AT183" s="216">
        <v>108.51735954347181</v>
      </c>
      <c r="AU183" s="216">
        <v>106.49107923146103</v>
      </c>
      <c r="AV183" s="216">
        <v>104.50263445028253</v>
      </c>
      <c r="AW183" s="216">
        <v>102.55131871950269</v>
      </c>
      <c r="AX183" s="216">
        <v>100.63643875037823</v>
      </c>
      <c r="AY183" s="216">
        <v>98.757314199535472</v>
      </c>
      <c r="AZ183" s="216">
        <v>96.913277427249113</v>
      </c>
      <c r="BA183" s="216">
        <v>95.103673260234643</v>
      </c>
      <c r="BB183" s="216">
        <v>93.327858758869809</v>
      </c>
      <c r="BC183" s="216">
        <v>91.585202988762688</v>
      </c>
      <c r="BD183" s="216">
        <v>89.87508679658518</v>
      </c>
      <c r="BE183" s="216">
        <v>88.196902590092137</v>
      </c>
      <c r="BF183" s="216">
        <v>86.550054122248198</v>
      </c>
      <c r="BG183" s="216">
        <v>84.933956279385328</v>
      </c>
      <c r="BH183" s="216">
        <v>83.348034873316109</v>
      </c>
      <c r="BI183" s="216">
        <v>81.791726437328663</v>
      </c>
      <c r="BJ183" s="216">
        <v>80.264478025990954</v>
      </c>
      <c r="BK183" s="216">
        <v>78.765747018693133</v>
      </c>
      <c r="BL183" s="216">
        <v>77.295000926858265</v>
      </c>
    </row>
    <row r="184" spans="1:64">
      <c r="A184" t="s">
        <v>1053</v>
      </c>
      <c r="B184">
        <v>32</v>
      </c>
      <c r="C184">
        <v>34</v>
      </c>
      <c r="D184">
        <v>36</v>
      </c>
      <c r="E184">
        <v>34</v>
      </c>
      <c r="F184">
        <v>33</v>
      </c>
      <c r="G184">
        <v>28</v>
      </c>
      <c r="H184">
        <v>32</v>
      </c>
      <c r="I184">
        <v>33</v>
      </c>
      <c r="J184">
        <v>30</v>
      </c>
      <c r="K184">
        <v>43</v>
      </c>
      <c r="L184">
        <v>49</v>
      </c>
      <c r="M184">
        <v>54</v>
      </c>
      <c r="N184">
        <v>59</v>
      </c>
      <c r="O184">
        <v>62</v>
      </c>
      <c r="P184">
        <v>56</v>
      </c>
      <c r="Q184">
        <v>59</v>
      </c>
      <c r="R184">
        <v>63</v>
      </c>
      <c r="S184">
        <v>45</v>
      </c>
      <c r="T184">
        <v>38</v>
      </c>
      <c r="U184">
        <v>40</v>
      </c>
      <c r="V184">
        <v>35</v>
      </c>
      <c r="W184">
        <v>43</v>
      </c>
      <c r="X184">
        <v>33</v>
      </c>
      <c r="Y184" s="216">
        <v>29</v>
      </c>
      <c r="Z184" s="216">
        <v>45.954619870326781</v>
      </c>
      <c r="AA184" s="216">
        <v>46.441759344447398</v>
      </c>
      <c r="AB184" s="216">
        <v>46.934062714339895</v>
      </c>
      <c r="AC184" s="216">
        <v>47.431584719603414</v>
      </c>
      <c r="AD184" s="216">
        <v>47.934380680101285</v>
      </c>
      <c r="AE184" s="216">
        <v>48.442506502112046</v>
      </c>
      <c r="AF184" s="216">
        <v>48.956018684545775</v>
      </c>
      <c r="AG184" s="216">
        <v>49.47497432522615</v>
      </c>
      <c r="AH184" s="216">
        <v>49.999431127239312</v>
      </c>
      <c r="AI184" s="216">
        <v>50.529447405349813</v>
      </c>
      <c r="AJ184" s="216">
        <v>51.065082092484751</v>
      </c>
      <c r="AK184" s="216">
        <v>51.606394746286554</v>
      </c>
      <c r="AL184" s="216">
        <v>52.153445555735203</v>
      </c>
      <c r="AM184" s="216">
        <v>52.706295347840744</v>
      </c>
      <c r="AN184" s="216">
        <v>53.265005594406652</v>
      </c>
      <c r="AO184" s="216">
        <v>53.829638418864974</v>
      </c>
      <c r="AP184" s="216">
        <v>54.400256603183834</v>
      </c>
      <c r="AQ184" s="216">
        <v>54.976923594848216</v>
      </c>
      <c r="AR184" s="216">
        <v>55.559703513914783</v>
      </c>
      <c r="AS184" s="216">
        <v>56.148661160141394</v>
      </c>
      <c r="AT184" s="216">
        <v>56.743862020192232</v>
      </c>
      <c r="AU184" s="216">
        <v>57.345372274919384</v>
      </c>
      <c r="AV184" s="216">
        <v>57.95325880672145</v>
      </c>
      <c r="AW184" s="216">
        <v>58.567589206980337</v>
      </c>
      <c r="AX184" s="216">
        <v>59.188431783576718</v>
      </c>
      <c r="AY184" s="216">
        <v>59.815855568485304</v>
      </c>
      <c r="AZ184" s="216">
        <v>60.449930325450524</v>
      </c>
      <c r="BA184" s="216">
        <v>61.09072655774365</v>
      </c>
      <c r="BB184" s="216">
        <v>61.738315516002054</v>
      </c>
      <c r="BC184" s="216">
        <v>62.392769206151669</v>
      </c>
      <c r="BD184" s="216">
        <v>63.054160397413362</v>
      </c>
      <c r="BE184" s="216">
        <v>63.722562630394229</v>
      </c>
      <c r="BF184" s="216">
        <v>64.398050225264583</v>
      </c>
      <c r="BG184" s="216">
        <v>65.080698290021729</v>
      </c>
      <c r="BH184" s="216">
        <v>65.770582728841234</v>
      </c>
      <c r="BI184" s="216">
        <v>66.467780250516796</v>
      </c>
      <c r="BJ184" s="216">
        <v>67.172368376989553</v>
      </c>
      <c r="BK184" s="216">
        <v>67.884425451967843</v>
      </c>
      <c r="BL184" s="216">
        <v>68.604030649638176</v>
      </c>
    </row>
    <row r="185" spans="1:64">
      <c r="A185" t="s">
        <v>45</v>
      </c>
      <c r="B185">
        <v>53</v>
      </c>
      <c r="C185">
        <v>51</v>
      </c>
      <c r="D185">
        <v>49</v>
      </c>
      <c r="E185">
        <v>41</v>
      </c>
      <c r="F185">
        <v>47</v>
      </c>
      <c r="G185">
        <v>40</v>
      </c>
      <c r="H185">
        <v>40</v>
      </c>
      <c r="I185">
        <v>41</v>
      </c>
      <c r="J185">
        <v>36</v>
      </c>
      <c r="K185">
        <v>50</v>
      </c>
      <c r="L185">
        <v>52</v>
      </c>
      <c r="M185">
        <v>49</v>
      </c>
      <c r="N185">
        <v>49</v>
      </c>
      <c r="O185">
        <v>52</v>
      </c>
      <c r="P185">
        <v>71</v>
      </c>
      <c r="Q185">
        <v>64</v>
      </c>
      <c r="R185">
        <v>46</v>
      </c>
      <c r="S185">
        <v>55</v>
      </c>
      <c r="T185">
        <v>62</v>
      </c>
      <c r="U185">
        <v>42</v>
      </c>
      <c r="V185">
        <v>47</v>
      </c>
      <c r="W185">
        <v>42</v>
      </c>
      <c r="X185">
        <v>42</v>
      </c>
      <c r="Y185" s="216">
        <v>47</v>
      </c>
      <c r="Z185" s="216">
        <v>49.87042621620342</v>
      </c>
      <c r="AA185" s="216">
        <v>50.019868901135673</v>
      </c>
      <c r="AB185" s="216">
        <v>50.169759408911531</v>
      </c>
      <c r="AC185" s="216">
        <v>50.320099081485601</v>
      </c>
      <c r="AD185" s="216">
        <v>50.470889264833801</v>
      </c>
      <c r="AE185" s="216">
        <v>50.62213130896545</v>
      </c>
      <c r="AF185" s="216">
        <v>50.77382656793533</v>
      </c>
      <c r="AG185" s="216">
        <v>50.925976399855777</v>
      </c>
      <c r="AH185" s="216">
        <v>51.07858216690893</v>
      </c>
      <c r="AI185" s="216">
        <v>51.231645235358819</v>
      </c>
      <c r="AJ185" s="216">
        <v>51.385166975563656</v>
      </c>
      <c r="AK185" s="216">
        <v>51.539148761988123</v>
      </c>
      <c r="AL185" s="216">
        <v>51.693591973215625</v>
      </c>
      <c r="AM185" s="216">
        <v>51.848497991960649</v>
      </c>
      <c r="AN185" s="216">
        <v>52.003868205081176</v>
      </c>
      <c r="AO185" s="216">
        <v>52.159704003591067</v>
      </c>
      <c r="AP185" s="216">
        <v>52.31600678267251</v>
      </c>
      <c r="AQ185" s="216">
        <v>52.472777941688513</v>
      </c>
      <c r="AR185" s="216">
        <v>52.630018884195486</v>
      </c>
      <c r="AS185" s="216">
        <v>52.787731017955714</v>
      </c>
      <c r="AT185" s="216">
        <v>52.945915754950036</v>
      </c>
      <c r="AU185" s="216">
        <v>53.10457451139046</v>
      </c>
      <c r="AV185" s="216">
        <v>53.263708707732832</v>
      </c>
      <c r="AW185" s="216">
        <v>53.423319768689574</v>
      </c>
      <c r="AX185" s="216">
        <v>53.583409123242419</v>
      </c>
      <c r="AY185" s="216">
        <v>53.743978204655221</v>
      </c>
      <c r="AZ185" s="216">
        <v>53.905028450486789</v>
      </c>
      <c r="BA185" s="216">
        <v>54.066561302603716</v>
      </c>
      <c r="BB185" s="216">
        <v>54.228578207193358</v>
      </c>
      <c r="BC185" s="216">
        <v>54.391080614776726</v>
      </c>
      <c r="BD185" s="216">
        <v>54.554069980221492</v>
      </c>
      <c r="BE185" s="216">
        <v>54.717547762755018</v>
      </c>
      <c r="BF185" s="216">
        <v>54.881515425977398</v>
      </c>
      <c r="BG185" s="216">
        <v>55.045974437874591</v>
      </c>
      <c r="BH185" s="216">
        <v>55.210926270831571</v>
      </c>
      <c r="BI185" s="216">
        <v>55.376372401645447</v>
      </c>
      <c r="BJ185" s="216">
        <v>55.542314311538767</v>
      </c>
      <c r="BK185" s="216">
        <v>55.708753486172697</v>
      </c>
      <c r="BL185" s="216">
        <v>55.875691415660413</v>
      </c>
    </row>
    <row r="186" spans="1:64">
      <c r="A186" t="s">
        <v>1054</v>
      </c>
      <c r="B186">
        <v>231</v>
      </c>
      <c r="C186">
        <v>233</v>
      </c>
      <c r="D186">
        <v>231</v>
      </c>
      <c r="E186">
        <v>210</v>
      </c>
      <c r="F186">
        <v>207</v>
      </c>
      <c r="G186">
        <v>199</v>
      </c>
      <c r="H186">
        <v>148</v>
      </c>
      <c r="I186">
        <v>150</v>
      </c>
      <c r="J186">
        <v>137</v>
      </c>
      <c r="K186">
        <v>163</v>
      </c>
      <c r="L186">
        <v>150</v>
      </c>
      <c r="M186">
        <v>108</v>
      </c>
      <c r="N186">
        <v>103</v>
      </c>
      <c r="O186">
        <v>107</v>
      </c>
      <c r="P186">
        <v>104</v>
      </c>
      <c r="Q186">
        <v>96</v>
      </c>
      <c r="R186">
        <v>98</v>
      </c>
      <c r="S186">
        <v>102</v>
      </c>
      <c r="T186">
        <v>112</v>
      </c>
      <c r="U186">
        <v>88</v>
      </c>
      <c r="V186">
        <v>83</v>
      </c>
      <c r="W186">
        <v>82</v>
      </c>
      <c r="X186">
        <v>79</v>
      </c>
      <c r="Y186" s="216">
        <v>75</v>
      </c>
      <c r="Z186" s="216">
        <v>67.405081346605641</v>
      </c>
      <c r="AA186" s="216">
        <v>64.032129145119669</v>
      </c>
      <c r="AB186" s="216">
        <v>60.827959568418464</v>
      </c>
      <c r="AC186" s="216">
        <v>57.784126729122775</v>
      </c>
      <c r="AD186" s="216">
        <v>54.892607372299786</v>
      </c>
      <c r="AE186" s="216">
        <v>52.145779726923372</v>
      </c>
      <c r="AF186" s="216">
        <v>49.53640341560785</v>
      </c>
      <c r="AG186" s="216">
        <v>47.057600369659376</v>
      </c>
      <c r="AH186" s="216">
        <v>44.702836699138537</v>
      </c>
      <c r="AI186" s="216">
        <v>42.465905470145671</v>
      </c>
      <c r="AJ186" s="216">
        <v>40.340910343931277</v>
      </c>
      <c r="AK186" s="216">
        <v>38.322250034705746</v>
      </c>
      <c r="AL186" s="216">
        <v>36.40460354518089</v>
      </c>
      <c r="AM186" s="216">
        <v>34.582916140925207</v>
      </c>
      <c r="AN186" s="216">
        <v>32.852386026562968</v>
      </c>
      <c r="AO186" s="216">
        <v>31.208451688696567</v>
      </c>
      <c r="AP186" s="216">
        <v>29.646779872189548</v>
      </c>
      <c r="AQ186" s="216">
        <v>28.163254158116555</v>
      </c>
      <c r="AR186" s="216">
        <v>26.753964113273206</v>
      </c>
      <c r="AS186" s="216">
        <v>25.415194982644671</v>
      </c>
      <c r="AT186" s="216">
        <v>24.143417897663483</v>
      </c>
      <c r="AU186" s="216">
        <v>22.935280574446367</v>
      </c>
      <c r="AV186" s="216">
        <v>21.787598477491631</v>
      </c>
      <c r="AW186" s="216">
        <v>20.697346425545284</v>
      </c>
      <c r="AX186" s="216">
        <v>19.661650617509945</v>
      </c>
      <c r="AY186" s="216">
        <v>18.677781057377484</v>
      </c>
      <c r="AZ186" s="216">
        <v>17.743144358218199</v>
      </c>
      <c r="BA186" s="216">
        <v>16.855276906258677</v>
      </c>
      <c r="BB186" s="216">
        <v>16.01183836702927</v>
      </c>
      <c r="BC186" s="216">
        <v>15.210605516464241</v>
      </c>
      <c r="BD186" s="216">
        <v>14.449466380693789</v>
      </c>
      <c r="BE186" s="216">
        <v>13.726414669081061</v>
      </c>
      <c r="BF186" s="216">
        <v>13.039544485830138</v>
      </c>
      <c r="BG186" s="216">
        <v>12.387045306225343</v>
      </c>
      <c r="BH186" s="216">
        <v>11.767197204259613</v>
      </c>
      <c r="BI186" s="216">
        <v>11.178366319072566</v>
      </c>
      <c r="BJ186" s="216">
        <v>10.619000548248067</v>
      </c>
      <c r="BK186" s="216">
        <v>10.087625456619342</v>
      </c>
      <c r="BL186" s="216">
        <v>9.5828403897976209</v>
      </c>
    </row>
    <row r="187" spans="1:64">
      <c r="A187" t="s">
        <v>1055</v>
      </c>
      <c r="B187">
        <v>118</v>
      </c>
      <c r="C187">
        <v>100</v>
      </c>
      <c r="D187">
        <v>106</v>
      </c>
      <c r="E187">
        <v>108</v>
      </c>
      <c r="F187">
        <v>102</v>
      </c>
      <c r="G187">
        <v>101</v>
      </c>
      <c r="H187">
        <v>106</v>
      </c>
      <c r="I187">
        <v>108</v>
      </c>
      <c r="J187">
        <v>102</v>
      </c>
      <c r="K187">
        <v>112</v>
      </c>
      <c r="L187">
        <v>115</v>
      </c>
      <c r="M187">
        <v>113</v>
      </c>
      <c r="N187">
        <v>108</v>
      </c>
      <c r="O187">
        <v>113</v>
      </c>
      <c r="P187">
        <v>118</v>
      </c>
      <c r="Q187">
        <v>125</v>
      </c>
      <c r="R187">
        <v>123</v>
      </c>
      <c r="S187">
        <v>139</v>
      </c>
      <c r="T187">
        <v>130</v>
      </c>
      <c r="U187">
        <v>113</v>
      </c>
      <c r="V187">
        <v>124</v>
      </c>
      <c r="W187">
        <v>112</v>
      </c>
      <c r="X187">
        <v>120</v>
      </c>
      <c r="Y187" s="216">
        <v>101</v>
      </c>
      <c r="Z187" s="216">
        <v>121.84870056499014</v>
      </c>
      <c r="AA187" s="216">
        <v>122.60338355771137</v>
      </c>
      <c r="AB187" s="216">
        <v>123.36274076047228</v>
      </c>
      <c r="AC187" s="216">
        <v>124.12680112349398</v>
      </c>
      <c r="AD187" s="216">
        <v>124.89559377630384</v>
      </c>
      <c r="AE187" s="216">
        <v>125.66914802884611</v>
      </c>
      <c r="AF187" s="216">
        <v>126.44749337259931</v>
      </c>
      <c r="AG187" s="216">
        <v>127.2306594817006</v>
      </c>
      <c r="AH187" s="216">
        <v>128.01867621407709</v>
      </c>
      <c r="AI187" s="216">
        <v>128.8115736125842</v>
      </c>
      <c r="AJ187" s="216">
        <v>129.60938190615093</v>
      </c>
      <c r="AK187" s="216">
        <v>130.41213151093243</v>
      </c>
      <c r="AL187" s="216">
        <v>131.21985303146954</v>
      </c>
      <c r="AM187" s="216">
        <v>132.03257726185566</v>
      </c>
      <c r="AN187" s="216">
        <v>132.85033518691068</v>
      </c>
      <c r="AO187" s="216">
        <v>133.67315798336224</v>
      </c>
      <c r="AP187" s="216">
        <v>134.50107702103452</v>
      </c>
      <c r="AQ187" s="216">
        <v>135.33412386404396</v>
      </c>
      <c r="AR187" s="216">
        <v>136.17233027200271</v>
      </c>
      <c r="AS187" s="216">
        <v>137.01572820122959</v>
      </c>
      <c r="AT187" s="216">
        <v>137.86434980596826</v>
      </c>
      <c r="AU187" s="216">
        <v>138.71822743961314</v>
      </c>
      <c r="AV187" s="216">
        <v>139.57739365594284</v>
      </c>
      <c r="AW187" s="216">
        <v>140.44188121036132</v>
      </c>
      <c r="AX187" s="216">
        <v>141.31172306114661</v>
      </c>
      <c r="AY187" s="216">
        <v>142.18695237070744</v>
      </c>
      <c r="AZ187" s="216">
        <v>143.06760250684741</v>
      </c>
      <c r="BA187" s="216">
        <v>143.95370704403726</v>
      </c>
      <c r="BB187" s="216">
        <v>144.84529976469466</v>
      </c>
      <c r="BC187" s="216">
        <v>145.74241466047249</v>
      </c>
      <c r="BD187" s="216">
        <v>146.64508593355447</v>
      </c>
      <c r="BE187" s="216">
        <v>147.55334799795926</v>
      </c>
      <c r="BF187" s="216">
        <v>148.46723548085239</v>
      </c>
      <c r="BG187" s="216">
        <v>149.3867832238665</v>
      </c>
      <c r="BH187" s="216">
        <v>150.31202628442958</v>
      </c>
      <c r="BI187" s="216">
        <v>151.24299993710162</v>
      </c>
      <c r="BJ187" s="216">
        <v>152.17973967491923</v>
      </c>
      <c r="BK187" s="216">
        <v>153.12228121074918</v>
      </c>
      <c r="BL187" s="216">
        <v>154.0706604786495</v>
      </c>
    </row>
    <row r="188" spans="1:64">
      <c r="A188" t="s">
        <v>550</v>
      </c>
      <c r="B188">
        <v>3282</v>
      </c>
      <c r="C188">
        <v>3314</v>
      </c>
      <c r="D188">
        <v>3307</v>
      </c>
      <c r="E188">
        <v>3261</v>
      </c>
      <c r="F188">
        <v>3310</v>
      </c>
      <c r="G188">
        <v>3388</v>
      </c>
      <c r="H188">
        <v>3410</v>
      </c>
      <c r="I188">
        <v>3399</v>
      </c>
      <c r="J188">
        <v>3415</v>
      </c>
      <c r="K188">
        <v>3224</v>
      </c>
      <c r="L188">
        <v>3240</v>
      </c>
      <c r="M188">
        <v>3196</v>
      </c>
      <c r="N188">
        <v>3141</v>
      </c>
      <c r="O188">
        <v>3187</v>
      </c>
      <c r="P188">
        <v>3161</v>
      </c>
      <c r="Q188">
        <v>3109</v>
      </c>
      <c r="R188">
        <v>3063</v>
      </c>
      <c r="S188">
        <v>3017</v>
      </c>
      <c r="T188">
        <v>3008</v>
      </c>
      <c r="U188">
        <v>2948</v>
      </c>
      <c r="V188">
        <v>3020</v>
      </c>
      <c r="W188">
        <v>2965</v>
      </c>
      <c r="X188">
        <v>2954</v>
      </c>
      <c r="Y188" s="216">
        <v>2964</v>
      </c>
      <c r="Z188" s="216">
        <v>2933.6608949132519</v>
      </c>
      <c r="AA188" s="216">
        <v>2915.1881668640608</v>
      </c>
      <c r="AB188" s="216">
        <v>2896.8317582170785</v>
      </c>
      <c r="AC188" s="216">
        <v>2878.5909365302259</v>
      </c>
      <c r="AD188" s="216">
        <v>2860.4649739734796</v>
      </c>
      <c r="AE188" s="216">
        <v>2842.4531472998274</v>
      </c>
      <c r="AF188" s="216">
        <v>2824.5547378164129</v>
      </c>
      <c r="AG188" s="216">
        <v>2806.7690313558578</v>
      </c>
      <c r="AH188" s="216">
        <v>2789.0953182477642</v>
      </c>
      <c r="AI188" s="216">
        <v>2771.5328932904017</v>
      </c>
      <c r="AJ188" s="216">
        <v>2754.0810557225645</v>
      </c>
      <c r="AK188" s="216">
        <v>2736.7391091956138</v>
      </c>
      <c r="AL188" s="216">
        <v>2719.5063617456904</v>
      </c>
      <c r="AM188" s="216">
        <v>2702.3821257661061</v>
      </c>
      <c r="AN188" s="216">
        <v>2685.3657179799061</v>
      </c>
      <c r="AO188" s="216">
        <v>2668.4564594126068</v>
      </c>
      <c r="AP188" s="216">
        <v>2651.6536753651017</v>
      </c>
      <c r="AQ188" s="216">
        <v>2634.9566953867438</v>
      </c>
      <c r="AR188" s="216">
        <v>2618.3648532485909</v>
      </c>
      <c r="AS188" s="216">
        <v>2601.877486916821</v>
      </c>
      <c r="AT188" s="216">
        <v>2585.4939385263215</v>
      </c>
      <c r="AU188" s="216">
        <v>2569.2135543544346</v>
      </c>
      <c r="AV188" s="216">
        <v>2553.035684794876</v>
      </c>
      <c r="AW188" s="216">
        <v>2536.9596843318127</v>
      </c>
      <c r="AX188" s="216">
        <v>2520.9849115141078</v>
      </c>
      <c r="AY188" s="216">
        <v>2505.1107289297256</v>
      </c>
      <c r="AZ188" s="216">
        <v>2489.3365031802978</v>
      </c>
      <c r="BA188" s="216">
        <v>2473.6616048558503</v>
      </c>
      <c r="BB188" s="216">
        <v>2458.0854085096876</v>
      </c>
      <c r="BC188" s="216">
        <v>2442.60729263344</v>
      </c>
      <c r="BD188" s="216">
        <v>2427.2266396322607</v>
      </c>
      <c r="BE188" s="216">
        <v>2411.9428358001874</v>
      </c>
      <c r="BF188" s="216">
        <v>2396.7552712956508</v>
      </c>
      <c r="BG188" s="216">
        <v>2381.6633401171434</v>
      </c>
      <c r="BH188" s="216">
        <v>2366.6664400790378</v>
      </c>
      <c r="BI188" s="216">
        <v>2351.7639727875617</v>
      </c>
      <c r="BJ188" s="216">
        <v>2336.9553436169176</v>
      </c>
      <c r="BK188" s="216">
        <v>2322.2399616855596</v>
      </c>
      <c r="BL188" s="216">
        <v>2307.617239832613</v>
      </c>
    </row>
    <row r="189" spans="1:64">
      <c r="A189" t="s">
        <v>220</v>
      </c>
      <c r="B189">
        <v>65</v>
      </c>
      <c r="C189">
        <v>76</v>
      </c>
      <c r="D189">
        <v>72</v>
      </c>
      <c r="E189">
        <v>75</v>
      </c>
      <c r="F189">
        <v>74</v>
      </c>
      <c r="G189">
        <v>83</v>
      </c>
      <c r="H189">
        <v>78</v>
      </c>
      <c r="I189">
        <v>87</v>
      </c>
      <c r="J189">
        <v>77</v>
      </c>
      <c r="K189">
        <v>100</v>
      </c>
      <c r="L189">
        <v>87</v>
      </c>
      <c r="M189">
        <v>77</v>
      </c>
      <c r="N189">
        <v>73</v>
      </c>
      <c r="O189">
        <v>80</v>
      </c>
      <c r="P189">
        <v>78</v>
      </c>
      <c r="Q189">
        <v>72</v>
      </c>
      <c r="R189">
        <v>66</v>
      </c>
      <c r="S189">
        <v>80</v>
      </c>
      <c r="T189">
        <v>74</v>
      </c>
      <c r="U189">
        <v>68</v>
      </c>
      <c r="V189">
        <v>91</v>
      </c>
      <c r="W189">
        <v>68</v>
      </c>
      <c r="X189">
        <v>70</v>
      </c>
      <c r="Y189" s="216">
        <v>78</v>
      </c>
      <c r="Z189" s="216">
        <v>75.684784412477441</v>
      </c>
      <c r="AA189" s="216">
        <v>75.608552317709666</v>
      </c>
      <c r="AB189" s="216">
        <v>75.532397006304862</v>
      </c>
      <c r="AC189" s="216">
        <v>75.456318400924417</v>
      </c>
      <c r="AD189" s="216">
        <v>75.380316424307594</v>
      </c>
      <c r="AE189" s="216">
        <v>75.304390999271504</v>
      </c>
      <c r="AF189" s="216">
        <v>75.228542048710977</v>
      </c>
      <c r="AG189" s="216">
        <v>75.152769495598534</v>
      </c>
      <c r="AH189" s="216">
        <v>75.077073262984243</v>
      </c>
      <c r="AI189" s="216">
        <v>75.001453273995708</v>
      </c>
      <c r="AJ189" s="216">
        <v>74.925909451837967</v>
      </c>
      <c r="AK189" s="216">
        <v>74.850441719793366</v>
      </c>
      <c r="AL189" s="216">
        <v>74.775050001221558</v>
      </c>
      <c r="AM189" s="216">
        <v>74.699734219559403</v>
      </c>
      <c r="AN189" s="216">
        <v>74.62449429832084</v>
      </c>
      <c r="AO189" s="216">
        <v>74.549330161096847</v>
      </c>
      <c r="AP189" s="216">
        <v>74.474241731555423</v>
      </c>
      <c r="AQ189" s="216">
        <v>74.399228933441393</v>
      </c>
      <c r="AR189" s="216">
        <v>74.324291690576388</v>
      </c>
      <c r="AS189" s="216">
        <v>74.249429926858795</v>
      </c>
      <c r="AT189" s="216">
        <v>74.174643566263654</v>
      </c>
      <c r="AU189" s="216">
        <v>74.099932532842544</v>
      </c>
      <c r="AV189" s="216">
        <v>74.025296750723612</v>
      </c>
      <c r="AW189" s="216">
        <v>73.950736144111332</v>
      </c>
      <c r="AX189" s="216">
        <v>73.876250637286589</v>
      </c>
      <c r="AY189" s="216">
        <v>73.801840154606523</v>
      </c>
      <c r="AZ189" s="216">
        <v>73.727504620504448</v>
      </c>
      <c r="BA189" s="216">
        <v>73.653243959489814</v>
      </c>
      <c r="BB189" s="216">
        <v>73.57905809614806</v>
      </c>
      <c r="BC189" s="216">
        <v>73.504946955140639</v>
      </c>
      <c r="BD189" s="216">
        <v>73.430910461204874</v>
      </c>
      <c r="BE189" s="216">
        <v>73.356948539153876</v>
      </c>
      <c r="BF189" s="216">
        <v>73.283061113876499</v>
      </c>
      <c r="BG189" s="216">
        <v>73.209248110337242</v>
      </c>
      <c r="BH189" s="216">
        <v>73.135509453576219</v>
      </c>
      <c r="BI189" s="216">
        <v>73.061845068708976</v>
      </c>
      <c r="BJ189" s="216">
        <v>72.988254880926561</v>
      </c>
      <c r="BK189" s="216">
        <v>72.914738815495326</v>
      </c>
      <c r="BL189" s="216">
        <v>72.841296797756897</v>
      </c>
    </row>
    <row r="190" spans="1:64">
      <c r="A190" t="s">
        <v>95</v>
      </c>
      <c r="B190">
        <v>474</v>
      </c>
      <c r="C190">
        <v>499</v>
      </c>
      <c r="D190">
        <v>527</v>
      </c>
      <c r="E190">
        <v>512</v>
      </c>
      <c r="F190">
        <v>523</v>
      </c>
      <c r="G190">
        <v>535</v>
      </c>
      <c r="H190">
        <v>548</v>
      </c>
      <c r="I190">
        <v>557</v>
      </c>
      <c r="J190">
        <v>544</v>
      </c>
      <c r="K190">
        <v>550</v>
      </c>
      <c r="L190">
        <v>550</v>
      </c>
      <c r="M190">
        <v>538</v>
      </c>
      <c r="N190">
        <v>549</v>
      </c>
      <c r="O190">
        <v>545</v>
      </c>
      <c r="P190">
        <v>546</v>
      </c>
      <c r="Q190">
        <v>550</v>
      </c>
      <c r="R190">
        <v>552</v>
      </c>
      <c r="S190">
        <v>555</v>
      </c>
      <c r="T190">
        <v>544</v>
      </c>
      <c r="U190">
        <v>568</v>
      </c>
      <c r="V190">
        <v>588</v>
      </c>
      <c r="W190">
        <v>596</v>
      </c>
      <c r="X190">
        <v>627</v>
      </c>
      <c r="Y190" s="216">
        <v>634</v>
      </c>
      <c r="Z190" s="216">
        <v>604.94159699515387</v>
      </c>
      <c r="AA190" s="216">
        <v>609.62072163417861</v>
      </c>
      <c r="AB190" s="216">
        <v>614.33603853952513</v>
      </c>
      <c r="AC190" s="216">
        <v>619.08782765247338</v>
      </c>
      <c r="AD190" s="216">
        <v>623.87637107960393</v>
      </c>
      <c r="AE190" s="216">
        <v>628.70195310954534</v>
      </c>
      <c r="AF190" s="216">
        <v>633.56486022985268</v>
      </c>
      <c r="AG190" s="216">
        <v>638.46538114401551</v>
      </c>
      <c r="AH190" s="216">
        <v>643.40380678859754</v>
      </c>
      <c r="AI190" s="216">
        <v>648.38043035050964</v>
      </c>
      <c r="AJ190" s="216">
        <v>653.39554728441567</v>
      </c>
      <c r="AK190" s="216">
        <v>658.44945533027294</v>
      </c>
      <c r="AL190" s="216">
        <v>663.54245453100896</v>
      </c>
      <c r="AM190" s="216">
        <v>668.67484725033432</v>
      </c>
      <c r="AN190" s="216">
        <v>673.84693819069355</v>
      </c>
      <c r="AO190" s="216">
        <v>679.05903441135524</v>
      </c>
      <c r="AP190" s="216">
        <v>684.31144534664088</v>
      </c>
      <c r="AQ190" s="216">
        <v>689.60448282429638</v>
      </c>
      <c r="AR190" s="216">
        <v>694.93846108400419</v>
      </c>
      <c r="AS190" s="216">
        <v>700.31369679603961</v>
      </c>
      <c r="AT190" s="216">
        <v>705.73050908007087</v>
      </c>
      <c r="AU190" s="216">
        <v>711.18921952410483</v>
      </c>
      <c r="AV190" s="216">
        <v>716.69015220357903</v>
      </c>
      <c r="AW190" s="216">
        <v>722.23363370060201</v>
      </c>
      <c r="AX190" s="216">
        <v>727.81999312334131</v>
      </c>
      <c r="AY190" s="216">
        <v>733.44956212556269</v>
      </c>
      <c r="AZ190" s="216">
        <v>739.12267492631986</v>
      </c>
      <c r="BA190" s="216">
        <v>744.83966832979593</v>
      </c>
      <c r="BB190" s="216">
        <v>750.60088174529994</v>
      </c>
      <c r="BC190" s="216">
        <v>756.40665720741663</v>
      </c>
      <c r="BD190" s="216">
        <v>762.25733939631209</v>
      </c>
      <c r="BE190" s="216">
        <v>768.15327565819769</v>
      </c>
      <c r="BF190" s="216">
        <v>774.09481602595099</v>
      </c>
      <c r="BG190" s="216">
        <v>780.08231323989673</v>
      </c>
      <c r="BH190" s="216">
        <v>786.1161227687486</v>
      </c>
      <c r="BI190" s="216">
        <v>792.19660283071278</v>
      </c>
      <c r="BJ190" s="216">
        <v>798.32411441475506</v>
      </c>
      <c r="BK190" s="216">
        <v>804.49902130203202</v>
      </c>
      <c r="BL190" s="216">
        <v>810.72169008748801</v>
      </c>
    </row>
    <row r="191" spans="1:64">
      <c r="A191" t="s">
        <v>96</v>
      </c>
      <c r="B191">
        <v>137</v>
      </c>
      <c r="C191">
        <v>143</v>
      </c>
      <c r="D191">
        <v>145</v>
      </c>
      <c r="E191">
        <v>147</v>
      </c>
      <c r="F191">
        <v>146</v>
      </c>
      <c r="G191">
        <v>153</v>
      </c>
      <c r="H191">
        <v>155</v>
      </c>
      <c r="I191">
        <v>150</v>
      </c>
      <c r="J191">
        <v>146</v>
      </c>
      <c r="K191">
        <v>125</v>
      </c>
      <c r="L191">
        <v>109</v>
      </c>
      <c r="M191">
        <v>97</v>
      </c>
      <c r="N191">
        <v>99</v>
      </c>
      <c r="O191">
        <v>101</v>
      </c>
      <c r="P191">
        <v>105</v>
      </c>
      <c r="Q191">
        <v>106</v>
      </c>
      <c r="R191">
        <v>119</v>
      </c>
      <c r="S191">
        <v>111</v>
      </c>
      <c r="T191">
        <v>92</v>
      </c>
      <c r="U191">
        <v>109</v>
      </c>
      <c r="V191">
        <v>103</v>
      </c>
      <c r="W191">
        <v>102</v>
      </c>
      <c r="X191">
        <v>98</v>
      </c>
      <c r="Y191" s="216">
        <v>117</v>
      </c>
      <c r="Z191" s="216">
        <v>94.023359204510285</v>
      </c>
      <c r="AA191" s="216">
        <v>92.226934247248735</v>
      </c>
      <c r="AB191" s="216">
        <v>90.464832065246185</v>
      </c>
      <c r="AC191" s="216">
        <v>88.736396882208325</v>
      </c>
      <c r="AD191" s="216">
        <v>87.040985451204932</v>
      </c>
      <c r="AE191" s="216">
        <v>85.377966815281923</v>
      </c>
      <c r="AF191" s="216">
        <v>83.746722072647117</v>
      </c>
      <c r="AG191" s="216">
        <v>82.146644146342467</v>
      </c>
      <c r="AH191" s="216">
        <v>80.57713755831692</v>
      </c>
      <c r="AI191" s="216">
        <v>79.037618207815839</v>
      </c>
      <c r="AJ191" s="216">
        <v>77.527513154004708</v>
      </c>
      <c r="AK191" s="216">
        <v>76.046260402745887</v>
      </c>
      <c r="AL191" s="216">
        <v>74.593308697449345</v>
      </c>
      <c r="AM191" s="216">
        <v>73.168117313919367</v>
      </c>
      <c r="AN191" s="216">
        <v>71.770155859121004</v>
      </c>
      <c r="AO191" s="216">
        <v>70.398904073791357</v>
      </c>
      <c r="AP191" s="216">
        <v>69.053851638822053</v>
      </c>
      <c r="AQ191" s="216">
        <v>67.734497985341164</v>
      </c>
      <c r="AR191" s="216">
        <v>66.440352108423681</v>
      </c>
      <c r="AS191" s="216">
        <v>65.170932384361194</v>
      </c>
      <c r="AT191" s="216">
        <v>63.925766391422975</v>
      </c>
      <c r="AU191" s="216">
        <v>62.704390734041496</v>
      </c>
      <c r="AV191" s="216">
        <v>61.506350870357196</v>
      </c>
      <c r="AW191" s="216">
        <v>60.331200943058114</v>
      </c>
      <c r="AX191" s="216">
        <v>59.178503613451625</v>
      </c>
      <c r="AY191" s="216">
        <v>58.047829898706311</v>
      </c>
      <c r="AZ191" s="216">
        <v>56.938759012203597</v>
      </c>
      <c r="BA191" s="216">
        <v>55.850878206939655</v>
      </c>
      <c r="BB191" s="216">
        <v>54.783782621919237</v>
      </c>
      <c r="BC191" s="216">
        <v>53.737075131484396</v>
      </c>
      <c r="BD191" s="216">
        <v>52.710366197521893</v>
      </c>
      <c r="BE191" s="216">
        <v>51.70327372449438</v>
      </c>
      <c r="BF191" s="216">
        <v>50.715422917241447</v>
      </c>
      <c r="BG191" s="216">
        <v>49.746446141497451</v>
      </c>
      <c r="BH191" s="216">
        <v>48.795982787074294</v>
      </c>
      <c r="BI191" s="216">
        <v>47.863679133658337</v>
      </c>
      <c r="BJ191" s="216">
        <v>46.949188219171432</v>
      </c>
      <c r="BK191" s="216">
        <v>46.052169710646979</v>
      </c>
      <c r="BL191" s="216">
        <v>45.172289777573056</v>
      </c>
    </row>
    <row r="192" spans="1:64">
      <c r="A192" t="s">
        <v>259</v>
      </c>
      <c r="B192">
        <v>53</v>
      </c>
      <c r="C192">
        <v>59</v>
      </c>
      <c r="D192">
        <v>48</v>
      </c>
      <c r="E192">
        <v>45</v>
      </c>
      <c r="F192">
        <v>45</v>
      </c>
      <c r="G192">
        <v>37</v>
      </c>
      <c r="H192">
        <v>41</v>
      </c>
      <c r="I192">
        <v>41</v>
      </c>
      <c r="J192">
        <v>43</v>
      </c>
      <c r="K192">
        <v>41</v>
      </c>
      <c r="L192">
        <v>44</v>
      </c>
      <c r="M192">
        <v>38</v>
      </c>
      <c r="N192">
        <v>39</v>
      </c>
      <c r="O192">
        <v>38</v>
      </c>
      <c r="P192">
        <v>37</v>
      </c>
      <c r="Q192">
        <v>37</v>
      </c>
      <c r="R192">
        <v>34</v>
      </c>
      <c r="S192">
        <v>45</v>
      </c>
      <c r="T192">
        <v>54</v>
      </c>
      <c r="U192">
        <v>61</v>
      </c>
      <c r="V192">
        <v>68</v>
      </c>
      <c r="W192">
        <v>74</v>
      </c>
      <c r="X192">
        <v>63</v>
      </c>
      <c r="Y192" s="216">
        <v>60</v>
      </c>
      <c r="Z192" s="216">
        <v>53.731144298824255</v>
      </c>
      <c r="AA192" s="216">
        <v>54.349348107093235</v>
      </c>
      <c r="AB192" s="216">
        <v>54.974664660745638</v>
      </c>
      <c r="AC192" s="216">
        <v>55.607175795490377</v>
      </c>
      <c r="AD192" s="216">
        <v>56.246964288597283</v>
      </c>
      <c r="AE192" s="216">
        <v>56.894113869730269</v>
      </c>
      <c r="AF192" s="216">
        <v>57.548709231905072</v>
      </c>
      <c r="AG192" s="216">
        <v>58.210836042573163</v>
      </c>
      <c r="AH192" s="216">
        <v>58.88058095483305</v>
      </c>
      <c r="AI192" s="216">
        <v>59.558031618770684</v>
      </c>
      <c r="AJ192" s="216">
        <v>60.243276692930294</v>
      </c>
      <c r="AK192" s="216">
        <v>60.936405855917165</v>
      </c>
      <c r="AL192" s="216">
        <v>61.637509818134021</v>
      </c>
      <c r="AM192" s="216">
        <v>62.346680333652351</v>
      </c>
      <c r="AN192" s="216">
        <v>63.064010212220289</v>
      </c>
      <c r="AO192" s="216">
        <v>63.789593331408781</v>
      </c>
      <c r="AP192" s="216">
        <v>64.523524648897393</v>
      </c>
      <c r="AQ192" s="216">
        <v>65.265900214901436</v>
      </c>
      <c r="AR192" s="216">
        <v>66.016817184742294</v>
      </c>
      <c r="AS192" s="216">
        <v>66.776373831562069</v>
      </c>
      <c r="AT192" s="216">
        <v>67.54466955918474</v>
      </c>
      <c r="AU192" s="216">
        <v>68.321804915125242</v>
      </c>
      <c r="AV192" s="216">
        <v>69.107881603748169</v>
      </c>
      <c r="AW192" s="216">
        <v>69.903002499577909</v>
      </c>
      <c r="AX192" s="216">
        <v>70.707271660761961</v>
      </c>
      <c r="AY192" s="216">
        <v>71.520794342689072</v>
      </c>
      <c r="AZ192" s="216">
        <v>72.3436770117641</v>
      </c>
      <c r="BA192" s="216">
        <v>73.176027359341418</v>
      </c>
      <c r="BB192" s="216">
        <v>74.017954315818486</v>
      </c>
      <c r="BC192" s="216">
        <v>74.869568064891752</v>
      </c>
      <c r="BD192" s="216">
        <v>75.730980057976396</v>
      </c>
      <c r="BE192" s="216">
        <v>76.602303028792178</v>
      </c>
      <c r="BF192" s="216">
        <v>77.48365100811688</v>
      </c>
      <c r="BG192" s="216">
        <v>78.375139338709715</v>
      </c>
      <c r="BH192" s="216">
        <v>79.276884690406277</v>
      </c>
      <c r="BI192" s="216">
        <v>80.1890050753872</v>
      </c>
      <c r="BJ192" s="216">
        <v>81.111619863622593</v>
      </c>
      <c r="BK192" s="216">
        <v>82.044849798493971</v>
      </c>
      <c r="BL192" s="216">
        <v>82.988817012596172</v>
      </c>
    </row>
    <row r="193" spans="1:64">
      <c r="A193" t="s">
        <v>1056</v>
      </c>
      <c r="B193">
        <v>38</v>
      </c>
      <c r="C193">
        <v>48</v>
      </c>
      <c r="D193">
        <v>57</v>
      </c>
      <c r="E193">
        <v>55</v>
      </c>
      <c r="F193">
        <v>58</v>
      </c>
      <c r="G193">
        <v>53</v>
      </c>
      <c r="H193">
        <v>56</v>
      </c>
      <c r="I193">
        <v>52</v>
      </c>
      <c r="J193">
        <v>51</v>
      </c>
      <c r="K193">
        <v>35</v>
      </c>
      <c r="L193">
        <v>34</v>
      </c>
      <c r="M193">
        <v>35</v>
      </c>
      <c r="N193">
        <v>33</v>
      </c>
      <c r="O193">
        <v>25</v>
      </c>
      <c r="P193">
        <v>21</v>
      </c>
      <c r="Q193">
        <v>17</v>
      </c>
      <c r="R193">
        <v>16</v>
      </c>
      <c r="S193">
        <v>16</v>
      </c>
      <c r="T193">
        <v>12</v>
      </c>
      <c r="U193">
        <v>15</v>
      </c>
      <c r="V193">
        <v>14</v>
      </c>
      <c r="W193">
        <v>16</v>
      </c>
      <c r="X193">
        <v>15</v>
      </c>
      <c r="Y193" s="216">
        <v>13</v>
      </c>
      <c r="Z193" s="216">
        <v>11.094516737598614</v>
      </c>
      <c r="AA193" s="216">
        <v>10.29641868392952</v>
      </c>
      <c r="AB193" s="216">
        <v>9.5557328202940646</v>
      </c>
      <c r="AC193" s="216">
        <v>8.8683291283952403</v>
      </c>
      <c r="AD193" s="216">
        <v>8.2303746880109205</v>
      </c>
      <c r="AE193" s="216">
        <v>7.6383123048691521</v>
      </c>
      <c r="AF193" s="216">
        <v>7.0888406759541756</v>
      </c>
      <c r="AG193" s="216">
        <v>6.578895981646208</v>
      </c>
      <c r="AH193" s="216">
        <v>6.1056348020538316</v>
      </c>
      <c r="AI193" s="216">
        <v>5.6664182622815744</v>
      </c>
      <c r="AJ193" s="216">
        <v>5.2587973182276588</v>
      </c>
      <c r="AK193" s="216">
        <v>4.88049910086644</v>
      </c>
      <c r="AL193" s="216">
        <v>4.5294142428721313</v>
      </c>
      <c r="AM193" s="216">
        <v>4.2035851169178136</v>
      </c>
      <c r="AN193" s="216">
        <v>3.9011949200672347</v>
      </c>
      <c r="AO193" s="216">
        <v>3.6205575433946797</v>
      </c>
      <c r="AP193" s="216">
        <v>3.3601081703464852</v>
      </c>
      <c r="AQ193" s="216">
        <v>3.1183945514212859</v>
      </c>
      <c r="AR193" s="216">
        <v>2.8940689065171421</v>
      </c>
      <c r="AS193" s="216">
        <v>2.6858804097935325</v>
      </c>
      <c r="AT193" s="216">
        <v>2.4926682151442909</v>
      </c>
      <c r="AU193" s="216">
        <v>2.3133549833919296</v>
      </c>
      <c r="AV193" s="216">
        <v>2.1469408751114076</v>
      </c>
      <c r="AW193" s="216">
        <v>1.9924979755876995</v>
      </c>
      <c r="AX193" s="216">
        <v>1.8491651208210704</v>
      </c>
      <c r="AY193" s="216">
        <v>1.7161430957301864</v>
      </c>
      <c r="AZ193" s="216">
        <v>1.5926901777785414</v>
      </c>
      <c r="BA193" s="216">
        <v>1.4781180011757349</v>
      </c>
      <c r="BB193" s="216">
        <v>1.3717877185926517</v>
      </c>
      <c r="BC193" s="216">
        <v>1.2731064389884956</v>
      </c>
      <c r="BD193" s="216">
        <v>1.1815239216872293</v>
      </c>
      <c r="BE193" s="216">
        <v>1.0965295082697992</v>
      </c>
      <c r="BF193" s="216">
        <v>1.0176492751745558</v>
      </c>
      <c r="BG193" s="216">
        <v>0.9444433911289587</v>
      </c>
      <c r="BH193" s="216">
        <v>0.87650366467776297</v>
      </c>
      <c r="BI193" s="216">
        <v>0.81345126813285862</v>
      </c>
      <c r="BJ193" s="216">
        <v>0.75493462525364718</v>
      </c>
      <c r="BK193" s="216">
        <v>0.70062745087979905</v>
      </c>
      <c r="BL193" s="216">
        <v>0.65022693158549594</v>
      </c>
    </row>
    <row r="194" spans="1:64">
      <c r="A194" t="s">
        <v>210</v>
      </c>
      <c r="B194">
        <v>668</v>
      </c>
      <c r="C194">
        <v>689</v>
      </c>
      <c r="D194">
        <v>681</v>
      </c>
      <c r="E194">
        <v>711</v>
      </c>
      <c r="F194">
        <v>717</v>
      </c>
      <c r="G194">
        <v>756</v>
      </c>
      <c r="H194">
        <v>746</v>
      </c>
      <c r="I194">
        <v>781</v>
      </c>
      <c r="J194">
        <v>794</v>
      </c>
      <c r="K194">
        <v>757</v>
      </c>
      <c r="L194">
        <v>708</v>
      </c>
      <c r="M194">
        <v>699</v>
      </c>
      <c r="N194">
        <v>706</v>
      </c>
      <c r="O194">
        <v>706</v>
      </c>
      <c r="P194">
        <v>694</v>
      </c>
      <c r="Q194">
        <v>703</v>
      </c>
      <c r="R194">
        <v>666</v>
      </c>
      <c r="S194">
        <v>646</v>
      </c>
      <c r="T194">
        <v>660</v>
      </c>
      <c r="U194">
        <v>674</v>
      </c>
      <c r="V194">
        <v>667</v>
      </c>
      <c r="W194">
        <v>667</v>
      </c>
      <c r="X194">
        <v>683</v>
      </c>
      <c r="Y194" s="216">
        <v>651</v>
      </c>
      <c r="Z194" s="216">
        <v>665.83819279616625</v>
      </c>
      <c r="AA194" s="216">
        <v>663.16511391764516</v>
      </c>
      <c r="AB194" s="216">
        <v>660.50276640113975</v>
      </c>
      <c r="AC194" s="216">
        <v>657.85110716444569</v>
      </c>
      <c r="AD194" s="216">
        <v>655.21009329831656</v>
      </c>
      <c r="AE194" s="216">
        <v>652.57968206576993</v>
      </c>
      <c r="AF194" s="216">
        <v>649.95983090139543</v>
      </c>
      <c r="AG194" s="216">
        <v>647.35049741066621</v>
      </c>
      <c r="AH194" s="216">
        <v>644.75163936925264</v>
      </c>
      <c r="AI194" s="216">
        <v>642.16321472233938</v>
      </c>
      <c r="AJ194" s="216">
        <v>639.5851815839444</v>
      </c>
      <c r="AK194" s="216">
        <v>637.01749823624175</v>
      </c>
      <c r="AL194" s="216">
        <v>634.46012312888593</v>
      </c>
      <c r="AM194" s="216">
        <v>631.91301487833994</v>
      </c>
      <c r="AN194" s="216">
        <v>629.37613226720532</v>
      </c>
      <c r="AO194" s="216">
        <v>626.84943424355527</v>
      </c>
      <c r="AP194" s="216">
        <v>624.33287992027044</v>
      </c>
      <c r="AQ194" s="216">
        <v>621.82642857437713</v>
      </c>
      <c r="AR194" s="216">
        <v>619.3300396463884</v>
      </c>
      <c r="AS194" s="216">
        <v>616.84367273964767</v>
      </c>
      <c r="AT194" s="216">
        <v>614.36728761967527</v>
      </c>
      <c r="AU194" s="216">
        <v>611.90084421351696</v>
      </c>
      <c r="AV194" s="216">
        <v>609.44430260909576</v>
      </c>
      <c r="AW194" s="216">
        <v>606.99762305456602</v>
      </c>
      <c r="AX194" s="216">
        <v>604.56076595767013</v>
      </c>
      <c r="AY194" s="216">
        <v>602.13369188509785</v>
      </c>
      <c r="AZ194" s="216">
        <v>599.71636156184798</v>
      </c>
      <c r="BA194" s="216">
        <v>597.30873587059352</v>
      </c>
      <c r="BB194" s="216">
        <v>594.91077585104767</v>
      </c>
      <c r="BC194" s="216">
        <v>592.52244269933431</v>
      </c>
      <c r="BD194" s="216">
        <v>590.14369776735919</v>
      </c>
      <c r="BE194" s="216">
        <v>587.77450256218526</v>
      </c>
      <c r="BF194" s="216">
        <v>585.41481874540966</v>
      </c>
      <c r="BG194" s="216">
        <v>583.06460813254296</v>
      </c>
      <c r="BH194" s="216">
        <v>580.72383269239117</v>
      </c>
      <c r="BI194" s="216">
        <v>578.39245454644106</v>
      </c>
      <c r="BJ194" s="216">
        <v>576.07043596824667</v>
      </c>
      <c r="BK194" s="216">
        <v>573.75773938281884</v>
      </c>
      <c r="BL194" s="216">
        <v>571.45432736601697</v>
      </c>
    </row>
    <row r="195" spans="1:64">
      <c r="A195" t="s">
        <v>211</v>
      </c>
      <c r="B195">
        <v>138</v>
      </c>
      <c r="C195">
        <v>164</v>
      </c>
      <c r="D195">
        <v>163</v>
      </c>
      <c r="E195">
        <v>185</v>
      </c>
      <c r="F195">
        <v>177</v>
      </c>
      <c r="G195">
        <v>182</v>
      </c>
      <c r="H195">
        <v>207</v>
      </c>
      <c r="I195">
        <v>209</v>
      </c>
      <c r="J195">
        <v>217</v>
      </c>
      <c r="K195">
        <v>247</v>
      </c>
      <c r="L195">
        <v>250</v>
      </c>
      <c r="M195">
        <v>245</v>
      </c>
      <c r="N195">
        <v>248</v>
      </c>
      <c r="O195">
        <v>232</v>
      </c>
      <c r="P195">
        <v>218</v>
      </c>
      <c r="Q195">
        <v>208</v>
      </c>
      <c r="R195">
        <v>216</v>
      </c>
      <c r="S195">
        <v>218</v>
      </c>
      <c r="T195">
        <v>196</v>
      </c>
      <c r="U195">
        <v>189</v>
      </c>
      <c r="V195">
        <v>184</v>
      </c>
      <c r="W195">
        <v>196</v>
      </c>
      <c r="X195">
        <v>215</v>
      </c>
      <c r="Y195" s="216">
        <v>189</v>
      </c>
      <c r="Z195" s="216">
        <v>222.56201493809095</v>
      </c>
      <c r="AA195" s="216">
        <v>224.31168670175165</v>
      </c>
      <c r="AB195" s="216">
        <v>226.07511351378125</v>
      </c>
      <c r="AC195" s="216">
        <v>227.85240350952236</v>
      </c>
      <c r="AD195" s="216">
        <v>229.6436656744238</v>
      </c>
      <c r="AE195" s="216">
        <v>231.44900985072383</v>
      </c>
      <c r="AF195" s="216">
        <v>233.26854674418556</v>
      </c>
      <c r="AG195" s="216">
        <v>235.10238793088578</v>
      </c>
      <c r="AH195" s="216">
        <v>236.95064586405692</v>
      </c>
      <c r="AI195" s="216">
        <v>238.81343388098259</v>
      </c>
      <c r="AJ195" s="216">
        <v>240.69086620994779</v>
      </c>
      <c r="AK195" s="216">
        <v>242.58305797724341</v>
      </c>
      <c r="AL195" s="216">
        <v>244.49012521422594</v>
      </c>
      <c r="AM195" s="216">
        <v>246.41218486443259</v>
      </c>
      <c r="AN195" s="216">
        <v>248.34935479075256</v>
      </c>
      <c r="AO195" s="216">
        <v>250.3017537826542</v>
      </c>
      <c r="AP195" s="216">
        <v>252.26950156346973</v>
      </c>
      <c r="AQ195" s="216">
        <v>254.25271879773655</v>
      </c>
      <c r="AR195" s="216">
        <v>256.25152709859645</v>
      </c>
      <c r="AS195" s="216">
        <v>258.26604903525333</v>
      </c>
      <c r="AT195" s="216">
        <v>260.29640814048923</v>
      </c>
      <c r="AU195" s="216">
        <v>262.34272891823917</v>
      </c>
      <c r="AV195" s="216">
        <v>264.40513685122642</v>
      </c>
      <c r="AW195" s="216">
        <v>266.48375840865668</v>
      </c>
      <c r="AX195" s="216">
        <v>268.57872105397377</v>
      </c>
      <c r="AY195" s="216">
        <v>270.6901532526756</v>
      </c>
      <c r="AZ195" s="216">
        <v>272.81818448019186</v>
      </c>
      <c r="BA195" s="216">
        <v>274.96294522982356</v>
      </c>
      <c r="BB195" s="216">
        <v>277.12456702074519</v>
      </c>
      <c r="BC195" s="216">
        <v>279.30318240606948</v>
      </c>
      <c r="BD195" s="216">
        <v>281.49892498097569</v>
      </c>
      <c r="BE195" s="216">
        <v>283.7119293909019</v>
      </c>
      <c r="BF195" s="216">
        <v>285.94233133980157</v>
      </c>
      <c r="BG195" s="216">
        <v>288.19026759846514</v>
      </c>
      <c r="BH195" s="216">
        <v>290.45587601290697</v>
      </c>
      <c r="BI195" s="216">
        <v>292.73929551281793</v>
      </c>
      <c r="BJ195" s="216">
        <v>295.04066612008523</v>
      </c>
      <c r="BK195" s="216">
        <v>297.36012895737821</v>
      </c>
      <c r="BL195" s="216">
        <v>299.69782625680261</v>
      </c>
    </row>
    <row r="196" spans="1:64">
      <c r="A196" t="s">
        <v>1354</v>
      </c>
      <c r="K196">
        <v>8</v>
      </c>
      <c r="L196">
        <v>5</v>
      </c>
      <c r="M196">
        <v>5</v>
      </c>
      <c r="N196">
        <v>10</v>
      </c>
      <c r="O196">
        <v>9</v>
      </c>
      <c r="P196">
        <v>6</v>
      </c>
      <c r="Q196">
        <v>6</v>
      </c>
      <c r="R196">
        <v>5</v>
      </c>
      <c r="S196">
        <v>5</v>
      </c>
      <c r="T196">
        <v>5</v>
      </c>
      <c r="U196">
        <v>6</v>
      </c>
      <c r="V196">
        <v>5</v>
      </c>
      <c r="W196">
        <v>6</v>
      </c>
      <c r="X196">
        <v>4</v>
      </c>
      <c r="Y196" s="216">
        <v>4</v>
      </c>
      <c r="Z196" s="216">
        <v>4.3258059562776934</v>
      </c>
      <c r="AA196" s="216">
        <v>4.1767944297332802</v>
      </c>
      <c r="AB196" s="216">
        <v>4.0329159200804066</v>
      </c>
      <c r="AC196" s="216">
        <v>3.8939936097062358</v>
      </c>
      <c r="AD196" s="216">
        <v>3.7598567718542175</v>
      </c>
      <c r="AE196" s="216">
        <v>3.6303405608116761</v>
      </c>
      <c r="AF196" s="216">
        <v>3.5052858093248243</v>
      </c>
      <c r="AG196" s="216">
        <v>3.3845388329922526</v>
      </c>
      <c r="AH196" s="216">
        <v>3.26795124139649</v>
      </c>
      <c r="AI196" s="216">
        <v>3.1553797557415422</v>
      </c>
      <c r="AJ196" s="216">
        <v>3.0466860327722913</v>
      </c>
      <c r="AK196" s="216">
        <v>2.9417364947593576</v>
      </c>
      <c r="AL196" s="216">
        <v>2.8404021653404987</v>
      </c>
      <c r="AM196" s="216">
        <v>2.7425585110167976</v>
      </c>
      <c r="AN196" s="216">
        <v>2.6480852881088421</v>
      </c>
      <c r="AO196" s="216">
        <v>2.5568663949848323</v>
      </c>
      <c r="AP196" s="216">
        <v>2.4687897293789969</v>
      </c>
      <c r="AQ196" s="216">
        <v>2.3837470506249812</v>
      </c>
      <c r="AR196" s="216">
        <v>2.3016338466348927</v>
      </c>
      <c r="AS196" s="216">
        <v>2.2223492054605396</v>
      </c>
      <c r="AT196" s="216">
        <v>2.1457956912790128</v>
      </c>
      <c r="AU196" s="216">
        <v>2.0718792246502025</v>
      </c>
      <c r="AV196" s="216">
        <v>2.0005089668991021</v>
      </c>
      <c r="AW196" s="216">
        <v>1.9315972084808093</v>
      </c>
      <c r="AX196" s="216">
        <v>1.8650592611910224</v>
      </c>
      <c r="AY196" s="216">
        <v>1.8008133540895828</v>
      </c>
      <c r="AZ196" s="216">
        <v>1.7387805330091481</v>
      </c>
      <c r="BA196" s="216">
        <v>1.6788845635254976</v>
      </c>
      <c r="BB196" s="216">
        <v>1.6210518372702367</v>
      </c>
      <c r="BC196" s="216">
        <v>1.5652112814707531</v>
      </c>
      <c r="BD196" s="216">
        <v>1.5112942716062634</v>
      </c>
      <c r="BE196" s="216">
        <v>1.4592345470726045</v>
      </c>
      <c r="BF196" s="216">
        <v>1.4089681297521337</v>
      </c>
      <c r="BG196" s="216">
        <v>1.3604332453886534</v>
      </c>
      <c r="BH196" s="216">
        <v>1.31357024767075</v>
      </c>
      <c r="BI196" s="216">
        <v>1.2683215449302394</v>
      </c>
      <c r="BJ196" s="216">
        <v>1.2246315293656365</v>
      </c>
      <c r="BK196" s="216">
        <v>1.1824465087036791</v>
      </c>
      <c r="BL196" s="216">
        <v>1.1417146402149081</v>
      </c>
    </row>
    <row r="197" spans="1:64">
      <c r="A197" t="s">
        <v>1057</v>
      </c>
      <c r="B197">
        <v>115</v>
      </c>
      <c r="C197">
        <v>116</v>
      </c>
      <c r="D197">
        <v>114</v>
      </c>
      <c r="E197">
        <v>101</v>
      </c>
      <c r="F197">
        <v>95</v>
      </c>
      <c r="G197">
        <v>104</v>
      </c>
      <c r="H197">
        <v>93</v>
      </c>
      <c r="I197">
        <v>87</v>
      </c>
      <c r="J197">
        <v>86</v>
      </c>
      <c r="K197">
        <v>81</v>
      </c>
      <c r="L197">
        <v>78</v>
      </c>
      <c r="M197">
        <v>74</v>
      </c>
      <c r="N197">
        <v>71</v>
      </c>
      <c r="O197">
        <v>69</v>
      </c>
      <c r="P197">
        <v>66</v>
      </c>
      <c r="Q197">
        <v>63</v>
      </c>
      <c r="R197">
        <v>60</v>
      </c>
      <c r="S197">
        <v>57</v>
      </c>
      <c r="T197">
        <v>55</v>
      </c>
      <c r="U197">
        <v>52</v>
      </c>
      <c r="V197">
        <v>58</v>
      </c>
      <c r="W197">
        <v>61</v>
      </c>
      <c r="X197">
        <v>56</v>
      </c>
      <c r="Y197" s="216">
        <v>45</v>
      </c>
      <c r="Z197" s="216">
        <v>46.268177930437659</v>
      </c>
      <c r="AA197" s="216">
        <v>44.534339003593459</v>
      </c>
      <c r="AB197" s="216">
        <v>42.865473403098093</v>
      </c>
      <c r="AC197" s="216">
        <v>41.259146339265236</v>
      </c>
      <c r="AD197" s="216">
        <v>39.713014262939851</v>
      </c>
      <c r="AE197" s="216">
        <v>38.224821446379714</v>
      </c>
      <c r="AF197" s="216">
        <v>36.792396692263729</v>
      </c>
      <c r="AG197" s="216">
        <v>35.413650166025988</v>
      </c>
      <c r="AH197" s="216">
        <v>34.086570346893851</v>
      </c>
      <c r="AI197" s="216">
        <v>32.809221093181876</v>
      </c>
      <c r="AJ197" s="216">
        <v>31.57973881755991</v>
      </c>
      <c r="AK197" s="216">
        <v>30.396329768174411</v>
      </c>
      <c r="AL197" s="216">
        <v>29.257267411656073</v>
      </c>
      <c r="AM197" s="216">
        <v>28.160889914195813</v>
      </c>
      <c r="AN197" s="216">
        <v>27.105597717014081</v>
      </c>
      <c r="AO197" s="216">
        <v>26.089851202686329</v>
      </c>
      <c r="AP197" s="216">
        <v>25.112168448919785</v>
      </c>
      <c r="AQ197" s="216">
        <v>24.171123066504531</v>
      </c>
      <c r="AR197" s="216">
        <v>23.265342118284451</v>
      </c>
      <c r="AS197" s="216">
        <v>22.393504116112059</v>
      </c>
      <c r="AT197" s="216">
        <v>21.554337092864778</v>
      </c>
      <c r="AU197" s="216">
        <v>20.746616746709854</v>
      </c>
      <c r="AV197" s="216">
        <v>19.969164654910507</v>
      </c>
      <c r="AW197" s="216">
        <v>19.220846554567327</v>
      </c>
      <c r="AX197" s="216">
        <v>18.500570687786659</v>
      </c>
      <c r="AY197" s="216">
        <v>17.807286208861562</v>
      </c>
      <c r="AZ197" s="216">
        <v>17.139981651141586</v>
      </c>
      <c r="BA197" s="216">
        <v>16.497683451354586</v>
      </c>
      <c r="BB197" s="216">
        <v>15.879454529227644</v>
      </c>
      <c r="BC197" s="216">
        <v>15.28439292033479</v>
      </c>
      <c r="BD197" s="216">
        <v>14.711630460176943</v>
      </c>
      <c r="BE197" s="216">
        <v>14.16033151757429</v>
      </c>
      <c r="BF197" s="216">
        <v>13.629691775523032</v>
      </c>
      <c r="BG197" s="216">
        <v>13.118937057737961</v>
      </c>
      <c r="BH197" s="216">
        <v>12.627322199168802</v>
      </c>
      <c r="BI197" s="216">
        <v>12.154129958842434</v>
      </c>
      <c r="BJ197" s="216">
        <v>11.698669973444972</v>
      </c>
      <c r="BK197" s="216">
        <v>11.260277750116927</v>
      </c>
      <c r="BL197" s="216">
        <v>10.838313696992053</v>
      </c>
    </row>
    <row r="198" spans="1:64">
      <c r="A198" t="s">
        <v>233</v>
      </c>
      <c r="B198">
        <v>54</v>
      </c>
      <c r="C198">
        <v>55</v>
      </c>
      <c r="D198">
        <v>52</v>
      </c>
      <c r="E198">
        <v>56</v>
      </c>
      <c r="F198">
        <v>64</v>
      </c>
      <c r="G198">
        <v>61</v>
      </c>
      <c r="H198">
        <v>68</v>
      </c>
      <c r="I198">
        <v>69</v>
      </c>
      <c r="J198">
        <v>88</v>
      </c>
      <c r="K198">
        <v>104</v>
      </c>
      <c r="L198">
        <v>106</v>
      </c>
      <c r="M198">
        <v>111</v>
      </c>
      <c r="N198">
        <v>107</v>
      </c>
      <c r="O198">
        <v>118</v>
      </c>
      <c r="P198">
        <v>111</v>
      </c>
      <c r="Q198">
        <v>119</v>
      </c>
      <c r="R198">
        <v>123</v>
      </c>
      <c r="S198">
        <v>134</v>
      </c>
      <c r="T198">
        <v>129</v>
      </c>
      <c r="U198">
        <v>159</v>
      </c>
      <c r="V198">
        <v>153</v>
      </c>
      <c r="W198">
        <v>166</v>
      </c>
      <c r="X198">
        <v>168</v>
      </c>
      <c r="Y198" s="216">
        <v>179</v>
      </c>
      <c r="Z198" s="216">
        <v>179.99343106889356</v>
      </c>
      <c r="AA198" s="216">
        <v>187.41992808329272</v>
      </c>
      <c r="AB198" s="216">
        <v>195.15284104619258</v>
      </c>
      <c r="AC198" s="216">
        <v>203.20481262523492</v>
      </c>
      <c r="AD198" s="216">
        <v>211.58900712228419</v>
      </c>
      <c r="AE198" s="216">
        <v>220.31913199596289</v>
      </c>
      <c r="AF198" s="216">
        <v>229.40946027220289</v>
      </c>
      <c r="AG198" s="216">
        <v>238.87485387945244</v>
      </c>
      <c r="AH198" s="216">
        <v>248.73078794668939</v>
      </c>
      <c r="AI198" s="216">
        <v>258.99337610396606</v>
      </c>
      <c r="AJ198" s="216">
        <v>269.67939682685045</v>
      </c>
      <c r="AK198" s="216">
        <v>280.80632086783379</v>
      </c>
      <c r="AL198" s="216">
        <v>292.39233981955408</v>
      </c>
      <c r="AM198" s="216">
        <v>304.4563958565322</v>
      </c>
      <c r="AN198" s="216">
        <v>317.01821270404713</v>
      </c>
      <c r="AO198" s="216">
        <v>330.09832788478172</v>
      </c>
      <c r="AP198" s="216">
        <v>343.71812629595905</v>
      </c>
      <c r="AQ198" s="216">
        <v>357.89987517186529</v>
      </c>
      <c r="AR198" s="216">
        <v>372.66676048892066</v>
      </c>
      <c r="AS198" s="216">
        <v>388.04292487281668</v>
      </c>
      <c r="AT198" s="216">
        <v>404.053507069695</v>
      </c>
      <c r="AU198" s="216">
        <v>420.72468304590063</v>
      </c>
      <c r="AV198" s="216">
        <v>438.0837087835036</v>
      </c>
      <c r="AW198" s="216">
        <v>456.15896484155553</v>
      </c>
      <c r="AX198" s="216">
        <v>474.98000275593677</v>
      </c>
      <c r="AY198" s="216">
        <v>494.57759335365182</v>
      </c>
      <c r="AZ198" s="216">
        <v>514.9837770605659</v>
      </c>
      <c r="BA198" s="216">
        <v>536.23191628482687</v>
      </c>
      <c r="BB198" s="216">
        <v>558.35674996162084</v>
      </c>
      <c r="BC198" s="216">
        <v>581.39445034843345</v>
      </c>
      <c r="BD198" s="216">
        <v>605.38268216367226</v>
      </c>
      <c r="BE198" s="216">
        <v>630.36066416534106</v>
      </c>
      <c r="BF198" s="216">
        <v>656.36923327043644</v>
      </c>
      <c r="BG198" s="216">
        <v>683.45091131990125</v>
      </c>
      <c r="BH198" s="216">
        <v>711.64997459828749</v>
      </c>
      <c r="BI198" s="216">
        <v>741.01252622178833</v>
      </c>
      <c r="BJ198" s="216">
        <v>771.5865715129861</v>
      </c>
      <c r="BK198" s="216">
        <v>803.42209648555229</v>
      </c>
      <c r="BL198" s="216">
        <v>836.57114956720875</v>
      </c>
    </row>
    <row r="199" spans="1:64">
      <c r="A199" t="s">
        <v>1418</v>
      </c>
      <c r="B199">
        <v>23</v>
      </c>
      <c r="C199">
        <v>28</v>
      </c>
      <c r="D199">
        <v>28</v>
      </c>
      <c r="E199">
        <v>23</v>
      </c>
      <c r="F199">
        <v>24</v>
      </c>
      <c r="G199">
        <v>24</v>
      </c>
      <c r="H199">
        <v>22</v>
      </c>
      <c r="I199">
        <v>23</v>
      </c>
      <c r="J199">
        <v>22</v>
      </c>
      <c r="K199">
        <v>21</v>
      </c>
      <c r="L199">
        <v>22</v>
      </c>
      <c r="M199">
        <v>22</v>
      </c>
      <c r="N199">
        <v>26</v>
      </c>
      <c r="O199">
        <v>26</v>
      </c>
      <c r="P199">
        <v>25</v>
      </c>
      <c r="Q199">
        <v>23</v>
      </c>
      <c r="R199">
        <v>23</v>
      </c>
      <c r="S199">
        <v>23</v>
      </c>
      <c r="T199">
        <v>23</v>
      </c>
      <c r="U199">
        <v>24</v>
      </c>
      <c r="V199">
        <v>0</v>
      </c>
      <c r="W199">
        <v>0</v>
      </c>
      <c r="X199">
        <v>0</v>
      </c>
      <c r="Y199" s="216">
        <v>0</v>
      </c>
      <c r="Z199" s="216">
        <v>0</v>
      </c>
      <c r="AA199" s="216">
        <v>0</v>
      </c>
      <c r="AB199" s="216">
        <v>0</v>
      </c>
      <c r="AC199" s="216">
        <v>0</v>
      </c>
      <c r="AD199" s="216">
        <v>0</v>
      </c>
      <c r="AE199" s="216">
        <v>0</v>
      </c>
      <c r="AF199" s="216">
        <v>0</v>
      </c>
      <c r="AG199" s="216">
        <v>0</v>
      </c>
      <c r="AH199" s="216">
        <v>0</v>
      </c>
      <c r="AI199" s="216">
        <v>0</v>
      </c>
      <c r="AJ199" s="216">
        <v>0</v>
      </c>
      <c r="AK199" s="216">
        <v>0</v>
      </c>
      <c r="AL199" s="216">
        <v>0</v>
      </c>
      <c r="AM199" s="216">
        <v>0</v>
      </c>
      <c r="AN199" s="216">
        <v>0</v>
      </c>
      <c r="AO199" s="216">
        <v>0</v>
      </c>
      <c r="AP199" s="216">
        <v>0</v>
      </c>
      <c r="AQ199" s="216">
        <v>0</v>
      </c>
      <c r="AR199" s="216">
        <v>0</v>
      </c>
      <c r="AS199" s="216">
        <v>0</v>
      </c>
      <c r="AT199" s="216">
        <v>0</v>
      </c>
      <c r="AU199" s="216">
        <v>0</v>
      </c>
      <c r="AV199" s="216">
        <v>0</v>
      </c>
      <c r="AW199" s="216">
        <v>0</v>
      </c>
      <c r="AX199" s="216">
        <v>0</v>
      </c>
      <c r="AY199" s="216">
        <v>0</v>
      </c>
      <c r="AZ199" s="216">
        <v>0</v>
      </c>
      <c r="BA199" s="216">
        <v>0</v>
      </c>
      <c r="BB199" s="216">
        <v>0</v>
      </c>
      <c r="BC199" s="216">
        <v>0</v>
      </c>
      <c r="BD199" s="216">
        <v>0</v>
      </c>
      <c r="BE199" s="216">
        <v>0</v>
      </c>
      <c r="BF199" s="216">
        <v>0</v>
      </c>
      <c r="BG199" s="216">
        <v>0</v>
      </c>
      <c r="BH199" s="216">
        <v>0</v>
      </c>
      <c r="BI199" s="216">
        <v>0</v>
      </c>
      <c r="BJ199" s="216">
        <v>0</v>
      </c>
      <c r="BK199" s="216">
        <v>0</v>
      </c>
      <c r="BL199" s="216">
        <v>0</v>
      </c>
    </row>
    <row r="200" spans="1:64">
      <c r="A200" t="s">
        <v>223</v>
      </c>
      <c r="B200">
        <v>130</v>
      </c>
      <c r="C200">
        <v>134</v>
      </c>
      <c r="D200">
        <v>132</v>
      </c>
      <c r="E200">
        <v>123</v>
      </c>
      <c r="F200">
        <v>129</v>
      </c>
      <c r="G200">
        <v>142</v>
      </c>
      <c r="H200">
        <v>116</v>
      </c>
      <c r="I200">
        <v>125</v>
      </c>
      <c r="J200">
        <v>125</v>
      </c>
      <c r="K200">
        <v>119</v>
      </c>
      <c r="L200">
        <v>121</v>
      </c>
      <c r="M200">
        <v>113</v>
      </c>
      <c r="N200">
        <v>90</v>
      </c>
      <c r="O200">
        <v>97</v>
      </c>
      <c r="P200">
        <v>98</v>
      </c>
      <c r="Q200">
        <v>89</v>
      </c>
      <c r="R200">
        <v>98</v>
      </c>
      <c r="S200">
        <v>105</v>
      </c>
      <c r="T200">
        <v>99</v>
      </c>
      <c r="U200">
        <v>102</v>
      </c>
      <c r="V200">
        <v>99</v>
      </c>
      <c r="W200">
        <v>123</v>
      </c>
      <c r="X200">
        <v>118</v>
      </c>
      <c r="Y200" s="216">
        <v>114</v>
      </c>
      <c r="Z200" s="216">
        <v>98.078960769313611</v>
      </c>
      <c r="AA200" s="216">
        <v>96.957092365633613</v>
      </c>
      <c r="AB200" s="216">
        <v>95.848056364594356</v>
      </c>
      <c r="AC200" s="216">
        <v>94.751705983777299</v>
      </c>
      <c r="AD200" s="216">
        <v>93.667896119723011</v>
      </c>
      <c r="AE200" s="216">
        <v>92.596483328726407</v>
      </c>
      <c r="AF200" s="216">
        <v>91.537325807851857</v>
      </c>
      <c r="AG200" s="216">
        <v>90.490283376165323</v>
      </c>
      <c r="AH200" s="216">
        <v>89.455217456181273</v>
      </c>
      <c r="AI200" s="216">
        <v>88.431991055521735</v>
      </c>
      <c r="AJ200" s="216">
        <v>87.420468748785169</v>
      </c>
      <c r="AK200" s="216">
        <v>86.420516659622734</v>
      </c>
      <c r="AL200" s="216">
        <v>85.43200244301957</v>
      </c>
      <c r="AM200" s="216">
        <v>84.454795267778749</v>
      </c>
      <c r="AN200" s="216">
        <v>83.488765799205638</v>
      </c>
      <c r="AO200" s="216">
        <v>82.533786181990195</v>
      </c>
      <c r="AP200" s="216">
        <v>81.589730023285213</v>
      </c>
      <c r="AQ200" s="216">
        <v>80.656472375978012</v>
      </c>
      <c r="AR200" s="216">
        <v>79.733889722153563</v>
      </c>
      <c r="AS200" s="216">
        <v>78.821859956746678</v>
      </c>
      <c r="AT200" s="216">
        <v>77.920262371381256</v>
      </c>
      <c r="AU200" s="216">
        <v>77.02897763839438</v>
      </c>
      <c r="AV200" s="216">
        <v>76.147887795043133</v>
      </c>
      <c r="AW200" s="216">
        <v>75.27687622789206</v>
      </c>
      <c r="AX200" s="216">
        <v>74.415827657379225</v>
      </c>
      <c r="AY200" s="216">
        <v>73.564628122558815</v>
      </c>
      <c r="AZ200" s="216">
        <v>72.723164966018246</v>
      </c>
      <c r="BA200" s="216">
        <v>71.891326818967741</v>
      </c>
      <c r="BB200" s="216">
        <v>71.069003586500685</v>
      </c>
      <c r="BC200" s="216">
        <v>70.256086433022247</v>
      </c>
      <c r="BD200" s="216">
        <v>69.45246776784488</v>
      </c>
      <c r="BE200" s="216">
        <v>68.658041230948641</v>
      </c>
      <c r="BF200" s="216">
        <v>67.872701678904164</v>
      </c>
      <c r="BG200" s="216">
        <v>67.096345170956909</v>
      </c>
      <c r="BH200" s="216">
        <v>66.328868955270366</v>
      </c>
      <c r="BI200" s="216">
        <v>65.570171455326729</v>
      </c>
      <c r="BJ200" s="216">
        <v>64.820152256483141</v>
      </c>
      <c r="BK200" s="216">
        <v>64.078712092681712</v>
      </c>
      <c r="BL200" s="216">
        <v>63.345752833311394</v>
      </c>
    </row>
    <row r="201" spans="1:64">
      <c r="A201" t="s">
        <v>1059</v>
      </c>
      <c r="B201">
        <v>240</v>
      </c>
      <c r="C201">
        <v>235</v>
      </c>
      <c r="D201">
        <v>234</v>
      </c>
      <c r="E201">
        <v>236</v>
      </c>
      <c r="F201">
        <v>243</v>
      </c>
      <c r="G201">
        <v>228</v>
      </c>
      <c r="H201">
        <v>238</v>
      </c>
      <c r="I201">
        <v>242</v>
      </c>
      <c r="J201">
        <v>243</v>
      </c>
      <c r="K201">
        <v>256</v>
      </c>
      <c r="L201">
        <v>246</v>
      </c>
      <c r="M201">
        <v>227</v>
      </c>
      <c r="N201">
        <v>233</v>
      </c>
      <c r="O201">
        <v>240</v>
      </c>
      <c r="P201">
        <v>220</v>
      </c>
      <c r="Q201">
        <v>196</v>
      </c>
      <c r="R201">
        <v>194</v>
      </c>
      <c r="S201">
        <v>191</v>
      </c>
      <c r="T201">
        <v>202</v>
      </c>
      <c r="U201">
        <v>194</v>
      </c>
      <c r="V201">
        <v>204</v>
      </c>
      <c r="W201">
        <v>201</v>
      </c>
      <c r="X201">
        <v>188</v>
      </c>
      <c r="Y201" s="216">
        <v>176</v>
      </c>
      <c r="Z201" s="216">
        <v>188.00755403086282</v>
      </c>
      <c r="AA201" s="216">
        <v>185.66344092788773</v>
      </c>
      <c r="AB201" s="216">
        <v>183.34855466246111</v>
      </c>
      <c r="AC201" s="216">
        <v>181.06253082894395</v>
      </c>
      <c r="AD201" s="216">
        <v>178.80500956517452</v>
      </c>
      <c r="AE201" s="216">
        <v>176.57563549581931</v>
      </c>
      <c r="AF201" s="216">
        <v>174.37405767643043</v>
      </c>
      <c r="AG201" s="216">
        <v>172.19992953820071</v>
      </c>
      <c r="AH201" s="216">
        <v>170.052908833407</v>
      </c>
      <c r="AI201" s="216">
        <v>167.93265758153456</v>
      </c>
      <c r="AJ201" s="216">
        <v>165.83884201607233</v>
      </c>
      <c r="AK201" s="216">
        <v>163.7711325319722</v>
      </c>
      <c r="AL201" s="216">
        <v>161.72920363376292</v>
      </c>
      <c r="AM201" s="216">
        <v>159.71273388431126</v>
      </c>
      <c r="AN201" s="216">
        <v>157.72140585422198</v>
      </c>
      <c r="AO201" s="216">
        <v>155.75490607186836</v>
      </c>
      <c r="AP201" s="216">
        <v>153.81292497404618</v>
      </c>
      <c r="AQ201" s="216">
        <v>151.8951568572428</v>
      </c>
      <c r="AR201" s="216">
        <v>150.00129982951367</v>
      </c>
      <c r="AS201" s="216">
        <v>148.13105576295908</v>
      </c>
      <c r="AT201" s="216">
        <v>146.28413024679352</v>
      </c>
      <c r="AU201" s="216">
        <v>144.46023254099958</v>
      </c>
      <c r="AV201" s="216">
        <v>142.65907553056056</v>
      </c>
      <c r="AW201" s="216">
        <v>140.88037568026306</v>
      </c>
      <c r="AX201" s="216">
        <v>139.12385299006337</v>
      </c>
      <c r="AY201" s="216">
        <v>137.38923095101035</v>
      </c>
      <c r="AZ201" s="216">
        <v>135.67623650171782</v>
      </c>
      <c r="BA201" s="216">
        <v>133.9845999853797</v>
      </c>
      <c r="BB201" s="216">
        <v>132.31405510732102</v>
      </c>
      <c r="BC201" s="216">
        <v>130.66433889307825</v>
      </c>
      <c r="BD201" s="216">
        <v>129.03519164700239</v>
      </c>
      <c r="BE201" s="216">
        <v>127.42635691137798</v>
      </c>
      <c r="BF201" s="216">
        <v>125.83758142605197</v>
      </c>
      <c r="BG201" s="216">
        <v>124.26861508856601</v>
      </c>
      <c r="BH201" s="216">
        <v>122.71921091478555</v>
      </c>
      <c r="BI201" s="216">
        <v>121.18912500002018</v>
      </c>
      <c r="BJ201" s="216">
        <v>119.67811648062849</v>
      </c>
      <c r="BK201" s="216">
        <v>118.1859474961016</v>
      </c>
      <c r="BL201" s="216">
        <v>116.71238315161969</v>
      </c>
    </row>
    <row r="202" spans="1:64">
      <c r="A202" t="s">
        <v>1060</v>
      </c>
      <c r="B202">
        <v>56</v>
      </c>
      <c r="C202">
        <v>48</v>
      </c>
      <c r="D202">
        <v>50</v>
      </c>
      <c r="E202">
        <v>56</v>
      </c>
      <c r="F202">
        <v>59</v>
      </c>
      <c r="G202">
        <v>55</v>
      </c>
      <c r="H202">
        <v>58</v>
      </c>
      <c r="I202">
        <v>52</v>
      </c>
      <c r="J202">
        <v>50</v>
      </c>
      <c r="K202">
        <v>63</v>
      </c>
      <c r="L202">
        <v>63</v>
      </c>
      <c r="M202">
        <v>50</v>
      </c>
      <c r="N202">
        <v>53</v>
      </c>
      <c r="O202">
        <v>44</v>
      </c>
      <c r="P202">
        <v>53</v>
      </c>
      <c r="Q202">
        <v>54</v>
      </c>
      <c r="R202">
        <v>52</v>
      </c>
      <c r="S202">
        <v>57</v>
      </c>
      <c r="T202">
        <v>62</v>
      </c>
      <c r="U202">
        <v>48</v>
      </c>
      <c r="V202">
        <v>52</v>
      </c>
      <c r="W202">
        <v>42</v>
      </c>
      <c r="X202">
        <v>57</v>
      </c>
      <c r="Y202" s="216">
        <v>56</v>
      </c>
      <c r="Z202" s="216">
        <v>52.321942309146074</v>
      </c>
      <c r="AA202" s="216">
        <v>52.230193567291323</v>
      </c>
      <c r="AB202" s="216">
        <v>52.138605710741295</v>
      </c>
      <c r="AC202" s="216">
        <v>52.047178457376781</v>
      </c>
      <c r="AD202" s="216">
        <v>51.955911525573313</v>
      </c>
      <c r="AE202" s="216">
        <v>51.864804634200226</v>
      </c>
      <c r="AF202" s="216">
        <v>51.773857502619855</v>
      </c>
      <c r="AG202" s="216">
        <v>51.683069850686643</v>
      </c>
      <c r="AH202" s="216">
        <v>51.59244139874626</v>
      </c>
      <c r="AI202" s="216">
        <v>51.501971867634786</v>
      </c>
      <c r="AJ202" s="216">
        <v>51.411660978677816</v>
      </c>
      <c r="AK202" s="216">
        <v>51.32150845368961</v>
      </c>
      <c r="AL202" s="216">
        <v>51.231514014972241</v>
      </c>
      <c r="AM202" s="216">
        <v>51.141677385314743</v>
      </c>
      <c r="AN202" s="216">
        <v>51.051998287992241</v>
      </c>
      <c r="AO202" s="216">
        <v>50.962476446765116</v>
      </c>
      <c r="AP202" s="216">
        <v>50.873111585878142</v>
      </c>
      <c r="AQ202" s="216">
        <v>50.783903430059645</v>
      </c>
      <c r="AR202" s="216">
        <v>50.694851704520644</v>
      </c>
      <c r="AS202" s="216">
        <v>50.605956134954035</v>
      </c>
      <c r="AT202" s="216">
        <v>50.517216447533691</v>
      </c>
      <c r="AU202" s="216">
        <v>50.428632368913675</v>
      </c>
      <c r="AV202" s="216">
        <v>50.340203626227357</v>
      </c>
      <c r="AW202" s="216">
        <v>50.251929947086609</v>
      </c>
      <c r="AX202" s="216">
        <v>50.163811059580929</v>
      </c>
      <c r="AY202" s="216">
        <v>50.075846692276627</v>
      </c>
      <c r="AZ202" s="216">
        <v>49.98803657421599</v>
      </c>
      <c r="BA202" s="216">
        <v>49.900380434916443</v>
      </c>
      <c r="BB202" s="216">
        <v>49.812878004369693</v>
      </c>
      <c r="BC202" s="216">
        <v>49.725529013040941</v>
      </c>
      <c r="BD202" s="216">
        <v>49.638333191868014</v>
      </c>
      <c r="BE202" s="216">
        <v>49.551290272260559</v>
      </c>
      <c r="BF202" s="216">
        <v>49.464399986099203</v>
      </c>
      <c r="BG202" s="216">
        <v>49.377662065734739</v>
      </c>
      <c r="BH202" s="216">
        <v>49.291076243987284</v>
      </c>
      <c r="BI202" s="216">
        <v>49.204642254145476</v>
      </c>
      <c r="BJ202" s="216">
        <v>49.118359829965627</v>
      </c>
      <c r="BK202" s="216">
        <v>49.032228705670946</v>
      </c>
      <c r="BL202" s="216">
        <v>48.946248615950665</v>
      </c>
    </row>
    <row r="203" spans="1:64">
      <c r="A203" t="s">
        <v>1355</v>
      </c>
      <c r="B203">
        <v>5</v>
      </c>
      <c r="C203">
        <v>5</v>
      </c>
      <c r="D203">
        <v>6</v>
      </c>
      <c r="E203">
        <v>6</v>
      </c>
      <c r="F203">
        <v>6</v>
      </c>
      <c r="G203">
        <v>6</v>
      </c>
      <c r="H203">
        <v>14</v>
      </c>
      <c r="I203">
        <v>14</v>
      </c>
      <c r="J203">
        <v>18</v>
      </c>
      <c r="K203">
        <v>36</v>
      </c>
      <c r="L203">
        <v>42</v>
      </c>
      <c r="M203">
        <v>39</v>
      </c>
      <c r="N203">
        <v>45</v>
      </c>
      <c r="O203">
        <v>33</v>
      </c>
      <c r="P203">
        <v>23</v>
      </c>
      <c r="Q203">
        <v>11</v>
      </c>
      <c r="R203">
        <v>5</v>
      </c>
      <c r="S203">
        <v>3</v>
      </c>
      <c r="T203">
        <v>3</v>
      </c>
      <c r="U203">
        <v>2</v>
      </c>
      <c r="V203">
        <v>2</v>
      </c>
      <c r="W203">
        <v>2</v>
      </c>
      <c r="X203">
        <v>2</v>
      </c>
      <c r="Y203" s="216">
        <v>1</v>
      </c>
      <c r="Z203" s="216">
        <v>3.3335460261920322</v>
      </c>
      <c r="AA203" s="216">
        <v>3.1179518732463043</v>
      </c>
      <c r="AB203" s="216">
        <v>2.9163010822398392</v>
      </c>
      <c r="AC203" s="216">
        <v>2.727691878520992</v>
      </c>
      <c r="AD203" s="216">
        <v>2.5512808089193992</v>
      </c>
      <c r="AE203" s="216">
        <v>2.3862789698555509</v>
      </c>
      <c r="AF203" s="216">
        <v>2.2319484793940485</v>
      </c>
      <c r="AG203" s="216">
        <v>2.0875991774637122</v>
      </c>
      <c r="AH203" s="216">
        <v>1.9525855394880531</v>
      </c>
      <c r="AI203" s="216">
        <v>1.8263037896239667</v>
      </c>
      <c r="AJ203" s="216">
        <v>1.7081892006991726</v>
      </c>
      <c r="AK203" s="216">
        <v>1.5977135687738304</v>
      </c>
      <c r="AL203" s="216">
        <v>1.4943828510326476</v>
      </c>
      <c r="AM203" s="216">
        <v>1.3977349564442425</v>
      </c>
      <c r="AN203" s="216">
        <v>1.3073376793076614</v>
      </c>
      <c r="AO203" s="216">
        <v>1.2227867664449592</v>
      </c>
      <c r="AP203" s="216">
        <v>1.143704109396396</v>
      </c>
      <c r="AQ203" s="216">
        <v>1.0697360535338127</v>
      </c>
      <c r="AR203" s="216">
        <v>1.0005518165306178</v>
      </c>
      <c r="AS203" s="216">
        <v>0.93584200911582682</v>
      </c>
      <c r="AT203" s="216">
        <v>0.87531725149703676</v>
      </c>
      <c r="AU203" s="216">
        <v>0.81870687926502139</v>
      </c>
      <c r="AV203" s="216">
        <v>0.76575773299281258</v>
      </c>
      <c r="AW203" s="216">
        <v>0.71623302611638939</v>
      </c>
      <c r="AX203" s="216">
        <v>0.66991128603418926</v>
      </c>
      <c r="AY203" s="216">
        <v>0.62658536369007556</v>
      </c>
      <c r="AZ203" s="216">
        <v>0.58606150721065386</v>
      </c>
      <c r="BA203" s="216">
        <v>0.54815849545427797</v>
      </c>
      <c r="BB203" s="216">
        <v>0.51270682759701158</v>
      </c>
      <c r="BC203" s="216">
        <v>0.47954796513140557</v>
      </c>
      <c r="BD203" s="216">
        <v>0.44853362288833343</v>
      </c>
      <c r="BE203" s="216">
        <v>0.41952510591136766</v>
      </c>
      <c r="BF203" s="216">
        <v>0.39239268921822018</v>
      </c>
      <c r="BG203" s="216">
        <v>0.36701503767556676</v>
      </c>
      <c r="BH203" s="216">
        <v>0.34327866339295476</v>
      </c>
      <c r="BI203" s="216">
        <v>0.32107741820928232</v>
      </c>
      <c r="BJ203" s="216">
        <v>0.30031201900226895</v>
      </c>
      <c r="BK203" s="216">
        <v>0.28088960369811444</v>
      </c>
      <c r="BL203" s="216">
        <v>0.26272331599584658</v>
      </c>
    </row>
    <row r="204" spans="1:64">
      <c r="A204" t="s">
        <v>1576</v>
      </c>
      <c r="B204">
        <v>47</v>
      </c>
      <c r="C204">
        <v>47</v>
      </c>
      <c r="D204">
        <v>47</v>
      </c>
      <c r="E204">
        <v>47</v>
      </c>
      <c r="F204">
        <v>47</v>
      </c>
      <c r="G204">
        <v>47</v>
      </c>
      <c r="H204">
        <v>47</v>
      </c>
      <c r="I204">
        <v>47</v>
      </c>
      <c r="J204">
        <v>47</v>
      </c>
      <c r="K204">
        <v>5</v>
      </c>
      <c r="L204">
        <v>2</v>
      </c>
      <c r="M204">
        <v>1</v>
      </c>
      <c r="N204">
        <v>0</v>
      </c>
      <c r="O204">
        <v>0</v>
      </c>
      <c r="P204">
        <v>0</v>
      </c>
      <c r="Q204">
        <v>0</v>
      </c>
      <c r="R204">
        <v>0</v>
      </c>
      <c r="S204">
        <v>0</v>
      </c>
      <c r="T204">
        <v>0</v>
      </c>
      <c r="U204">
        <v>2174</v>
      </c>
      <c r="V204">
        <v>2174</v>
      </c>
      <c r="W204">
        <v>2174</v>
      </c>
      <c r="X204">
        <v>2174</v>
      </c>
      <c r="Y204" s="216">
        <v>2174</v>
      </c>
      <c r="Z204" s="216">
        <v>2174</v>
      </c>
      <c r="AA204" s="216">
        <v>2174</v>
      </c>
      <c r="AB204" s="216">
        <v>2174</v>
      </c>
      <c r="AC204" s="216">
        <v>2174</v>
      </c>
      <c r="AD204" s="216">
        <v>2174</v>
      </c>
      <c r="AE204" s="216">
        <v>2174</v>
      </c>
      <c r="AF204" s="216">
        <v>2174</v>
      </c>
      <c r="AG204" s="216">
        <v>2174</v>
      </c>
      <c r="AH204" s="216">
        <v>2174</v>
      </c>
      <c r="AI204" s="216">
        <v>2174</v>
      </c>
      <c r="AJ204" s="216">
        <v>2174</v>
      </c>
      <c r="AK204" s="216">
        <v>2174</v>
      </c>
      <c r="AL204" s="216">
        <v>2174</v>
      </c>
      <c r="AM204" s="216">
        <v>2174</v>
      </c>
      <c r="AN204" s="216">
        <v>2174</v>
      </c>
      <c r="AO204" s="216">
        <v>2174</v>
      </c>
      <c r="AP204" s="216">
        <v>2174</v>
      </c>
      <c r="AQ204" s="216">
        <v>2174</v>
      </c>
      <c r="AR204" s="216">
        <v>2174</v>
      </c>
      <c r="AS204" s="216">
        <v>2174</v>
      </c>
      <c r="AT204" s="216">
        <v>2174</v>
      </c>
      <c r="AU204" s="216">
        <v>2174</v>
      </c>
      <c r="AV204" s="216">
        <v>2174</v>
      </c>
      <c r="AW204" s="216">
        <v>2174</v>
      </c>
      <c r="AX204" s="216">
        <v>2174</v>
      </c>
      <c r="AY204" s="216">
        <v>2174</v>
      </c>
      <c r="AZ204" s="216">
        <v>2174</v>
      </c>
      <c r="BA204" s="216">
        <v>2174</v>
      </c>
      <c r="BB204" s="216">
        <v>2174</v>
      </c>
      <c r="BC204" s="216">
        <v>2174</v>
      </c>
      <c r="BD204" s="216">
        <v>2174</v>
      </c>
      <c r="BE204" s="216">
        <v>2174</v>
      </c>
      <c r="BF204" s="216">
        <v>2174</v>
      </c>
      <c r="BG204" s="216">
        <v>2174</v>
      </c>
      <c r="BH204" s="216">
        <v>2174</v>
      </c>
      <c r="BI204" s="216">
        <v>2174</v>
      </c>
      <c r="BJ204" s="216">
        <v>2174</v>
      </c>
      <c r="BK204" s="216">
        <v>2174</v>
      </c>
      <c r="BL204" s="216">
        <v>2174</v>
      </c>
    </row>
    <row r="205" spans="1:64">
      <c r="A205" t="s">
        <v>27</v>
      </c>
      <c r="B205">
        <v>503</v>
      </c>
      <c r="C205">
        <v>541</v>
      </c>
      <c r="D205">
        <v>519</v>
      </c>
      <c r="E205">
        <v>522</v>
      </c>
      <c r="F205">
        <v>544</v>
      </c>
      <c r="G205">
        <v>571</v>
      </c>
      <c r="H205">
        <v>568</v>
      </c>
      <c r="I205">
        <v>602</v>
      </c>
      <c r="J205">
        <v>595</v>
      </c>
      <c r="K205">
        <v>555</v>
      </c>
      <c r="L205">
        <v>544</v>
      </c>
      <c r="M205">
        <v>573</v>
      </c>
      <c r="N205">
        <v>577</v>
      </c>
      <c r="O205">
        <v>614</v>
      </c>
      <c r="P205">
        <v>642</v>
      </c>
      <c r="Q205">
        <v>649</v>
      </c>
      <c r="R205">
        <v>640</v>
      </c>
      <c r="S205">
        <v>657</v>
      </c>
      <c r="T205">
        <v>680</v>
      </c>
      <c r="U205">
        <v>669</v>
      </c>
      <c r="V205">
        <v>676</v>
      </c>
      <c r="W205">
        <v>688</v>
      </c>
      <c r="X205">
        <v>690</v>
      </c>
      <c r="Y205" s="216">
        <v>724</v>
      </c>
      <c r="Z205" s="216">
        <v>719.06942738167777</v>
      </c>
      <c r="AA205" s="216">
        <v>729.29221664282545</v>
      </c>
      <c r="AB205" s="216">
        <v>739.6603401600247</v>
      </c>
      <c r="AC205" s="216">
        <v>750.17586410576905</v>
      </c>
      <c r="AD205" s="216">
        <v>760.84088402669261</v>
      </c>
      <c r="AE205" s="216">
        <v>771.65752526117205</v>
      </c>
      <c r="AF205" s="216">
        <v>782.62794336286743</v>
      </c>
      <c r="AG205" s="216">
        <v>793.75432453028338</v>
      </c>
      <c r="AH205" s="216">
        <v>805.03888604243707</v>
      </c>
      <c r="AI205" s="216">
        <v>816.48387670072123</v>
      </c>
      <c r="AJ205" s="216">
        <v>828.09157727704667</v>
      </c>
      <c r="AK205" s="216">
        <v>839.86430096835898</v>
      </c>
      <c r="AL205" s="216">
        <v>851.80439385761406</v>
      </c>
      <c r="AM205" s="216">
        <v>863.91423538130891</v>
      </c>
      <c r="AN205" s="216">
        <v>876.19623880365828</v>
      </c>
      <c r="AO205" s="216">
        <v>888.65285169751394</v>
      </c>
      <c r="AP205" s="216">
        <v>901.28655643211914</v>
      </c>
      <c r="AQ205" s="216">
        <v>914.09987066779786</v>
      </c>
      <c r="AR205" s="216">
        <v>927.09534785767869</v>
      </c>
      <c r="AS205" s="216">
        <v>940.27557775654896</v>
      </c>
      <c r="AT205" s="216">
        <v>953.64318693694452</v>
      </c>
      <c r="AU205" s="216">
        <v>967.2008393125767</v>
      </c>
      <c r="AV205" s="216">
        <v>980.95123666919994</v>
      </c>
      <c r="AW205" s="216">
        <v>994.8971192030275</v>
      </c>
      <c r="AX205" s="216">
        <v>1009.0412660668003</v>
      </c>
      <c r="AY205" s="216">
        <v>1023.3864959236209</v>
      </c>
      <c r="AZ205" s="216">
        <v>1037.9356675086597</v>
      </c>
      <c r="BA205" s="216">
        <v>1052.6916801988468</v>
      </c>
      <c r="BB205" s="216">
        <v>1067.6574745906646</v>
      </c>
      <c r="BC205" s="216">
        <v>1082.8360330861524</v>
      </c>
      <c r="BD205" s="216">
        <v>1098.2303804872429</v>
      </c>
      <c r="BE205" s="216">
        <v>1113.8435845985503</v>
      </c>
      <c r="BF205" s="216">
        <v>1129.6787568387247</v>
      </c>
      <c r="BG205" s="216">
        <v>1145.739052860499</v>
      </c>
      <c r="BH205" s="216">
        <v>1162.0276731795532</v>
      </c>
      <c r="BI205" s="216">
        <v>1178.5478638123154</v>
      </c>
      <c r="BJ205" s="216">
        <v>1195.3029169228323</v>
      </c>
      <c r="BK205" s="216">
        <v>1212.2961714788371</v>
      </c>
      <c r="BL205" s="216">
        <v>1229.5310139171404</v>
      </c>
    </row>
    <row r="206" spans="1:64">
      <c r="A206" t="s">
        <v>409</v>
      </c>
      <c r="B206">
        <v>61</v>
      </c>
      <c r="C206">
        <v>67</v>
      </c>
      <c r="D206">
        <v>61</v>
      </c>
      <c r="E206">
        <v>68</v>
      </c>
      <c r="F206">
        <v>76</v>
      </c>
      <c r="G206">
        <v>65</v>
      </c>
      <c r="H206">
        <v>56</v>
      </c>
      <c r="I206">
        <v>63</v>
      </c>
      <c r="J206">
        <v>66</v>
      </c>
      <c r="K206">
        <v>45</v>
      </c>
      <c r="L206">
        <v>27</v>
      </c>
      <c r="M206">
        <v>26</v>
      </c>
      <c r="N206">
        <v>28</v>
      </c>
      <c r="O206">
        <v>29</v>
      </c>
      <c r="P206">
        <v>26</v>
      </c>
      <c r="Q206">
        <v>36</v>
      </c>
      <c r="R206">
        <v>32</v>
      </c>
      <c r="S206">
        <v>33</v>
      </c>
      <c r="T206">
        <v>27</v>
      </c>
      <c r="U206">
        <v>24</v>
      </c>
      <c r="V206">
        <v>29</v>
      </c>
      <c r="W206">
        <v>29</v>
      </c>
      <c r="X206">
        <v>32</v>
      </c>
      <c r="Y206" s="216">
        <v>21</v>
      </c>
      <c r="Z206" s="216">
        <v>20.908538382380552</v>
      </c>
      <c r="AA206" s="216">
        <v>19.880324693895993</v>
      </c>
      <c r="AB206" s="216">
        <v>18.902675199323618</v>
      </c>
      <c r="AC206" s="216">
        <v>17.973103316608917</v>
      </c>
      <c r="AD206" s="216">
        <v>17.08924474568855</v>
      </c>
      <c r="AE206" s="216">
        <v>16.248851455061068</v>
      </c>
      <c r="AF206" s="216">
        <v>15.449785964078442</v>
      </c>
      <c r="AG206" s="216">
        <v>14.690015906415837</v>
      </c>
      <c r="AH206" s="216">
        <v>13.96760886089222</v>
      </c>
      <c r="AI206" s="216">
        <v>13.280727436494329</v>
      </c>
      <c r="AJ206" s="216">
        <v>12.627624599103109</v>
      </c>
      <c r="AK206" s="216">
        <v>12.006639228036542</v>
      </c>
      <c r="AL206" s="216">
        <v>11.416191891107138</v>
      </c>
      <c r="AM206" s="216">
        <v>10.854780827448353</v>
      </c>
      <c r="AN206" s="216">
        <v>10.32097812789249</v>
      </c>
      <c r="AO206" s="216">
        <v>9.8134261031851278</v>
      </c>
      <c r="AP206" s="216">
        <v>9.3308338307989516</v>
      </c>
      <c r="AQ206" s="216">
        <v>8.8719738715639682</v>
      </c>
      <c r="AR206" s="216">
        <v>8.435679147763155</v>
      </c>
      <c r="AS206" s="216">
        <v>8.0208399747531907</v>
      </c>
      <c r="AT206" s="216">
        <v>7.6264012385603648</v>
      </c>
      <c r="AU206" s="216">
        <v>7.251359712273123</v>
      </c>
      <c r="AV206" s="216">
        <v>6.8947615044056736</v>
      </c>
      <c r="AW206" s="216">
        <v>6.5556996327427397</v>
      </c>
      <c r="AX206" s="216">
        <v>6.2333117174947006</v>
      </c>
      <c r="AY206" s="216">
        <v>5.9267777878958618</v>
      </c>
      <c r="AZ206" s="216">
        <v>5.6353181966670398</v>
      </c>
      <c r="BA206" s="216">
        <v>5.3581916370380807</v>
      </c>
      <c r="BB206" s="216">
        <v>5.0946932572867363</v>
      </c>
      <c r="BC206" s="216">
        <v>4.8441528679983783</v>
      </c>
      <c r="BD206" s="216">
        <v>4.6059332374868101</v>
      </c>
      <c r="BE206" s="216">
        <v>4.3794284710407334</v>
      </c>
      <c r="BF206" s="216">
        <v>4.1640624698735875</v>
      </c>
      <c r="BG206" s="216">
        <v>3.9592874658571966</v>
      </c>
      <c r="BH206" s="216">
        <v>3.7645826283124397</v>
      </c>
      <c r="BI206" s="216">
        <v>3.5794527393134112</v>
      </c>
      <c r="BJ206" s="216">
        <v>3.4034269341357977</v>
      </c>
      <c r="BK206" s="216">
        <v>3.2360575036458874</v>
      </c>
      <c r="BL206" s="216">
        <v>3.0769187555841953</v>
      </c>
    </row>
    <row r="207" spans="1:64">
      <c r="A207" t="s">
        <v>190</v>
      </c>
      <c r="B207">
        <v>49</v>
      </c>
      <c r="C207">
        <v>71</v>
      </c>
      <c r="D207">
        <v>69</v>
      </c>
      <c r="E207">
        <v>76</v>
      </c>
      <c r="F207">
        <v>61</v>
      </c>
      <c r="G207">
        <v>63</v>
      </c>
      <c r="H207">
        <v>49</v>
      </c>
      <c r="I207">
        <v>39</v>
      </c>
      <c r="J207">
        <v>44</v>
      </c>
      <c r="K207">
        <v>48</v>
      </c>
      <c r="L207">
        <v>30</v>
      </c>
      <c r="M207">
        <v>30</v>
      </c>
      <c r="N207">
        <v>37</v>
      </c>
      <c r="O207">
        <v>30</v>
      </c>
      <c r="P207">
        <v>30</v>
      </c>
      <c r="Q207">
        <v>24</v>
      </c>
      <c r="R207">
        <v>27</v>
      </c>
      <c r="S207">
        <v>37</v>
      </c>
      <c r="T207">
        <v>33</v>
      </c>
      <c r="U207">
        <v>23</v>
      </c>
      <c r="V207">
        <v>17</v>
      </c>
      <c r="W207">
        <v>19</v>
      </c>
      <c r="X207">
        <v>18</v>
      </c>
      <c r="Y207" s="216">
        <v>19</v>
      </c>
      <c r="Z207" s="216">
        <v>16.959017105252133</v>
      </c>
      <c r="AA207" s="216">
        <v>15.982589529514584</v>
      </c>
      <c r="AB207" s="216">
        <v>15.062380471910696</v>
      </c>
      <c r="AC207" s="216">
        <v>14.195153110929407</v>
      </c>
      <c r="AD207" s="216">
        <v>13.377856987380147</v>
      </c>
      <c r="AE207" s="216">
        <v>12.607617274448563</v>
      </c>
      <c r="AF207" s="216">
        <v>11.881724665536449</v>
      </c>
      <c r="AG207" s="216">
        <v>11.197625844316565</v>
      </c>
      <c r="AH207" s="216">
        <v>10.552914503480896</v>
      </c>
      <c r="AI207" s="216">
        <v>9.94532288059089</v>
      </c>
      <c r="AJ207" s="216">
        <v>9.3727137812572323</v>
      </c>
      <c r="AK207" s="216">
        <v>8.8330730615907243</v>
      </c>
      <c r="AL207" s="216">
        <v>8.3245025434814721</v>
      </c>
      <c r="AM207" s="216">
        <v>7.8452133377859745</v>
      </c>
      <c r="AN207" s="216">
        <v>7.3935195519364472</v>
      </c>
      <c r="AO207" s="216">
        <v>6.9678323598391083</v>
      </c>
      <c r="AP207" s="216">
        <v>6.5666544132023139</v>
      </c>
      <c r="AQ207" s="216">
        <v>6.1885745746364531</v>
      </c>
      <c r="AR207" s="216">
        <v>5.8322629539994333</v>
      </c>
      <c r="AS207" s="216">
        <v>5.4964662305281218</v>
      </c>
      <c r="AT207" s="216">
        <v>5.1800032443014166</v>
      </c>
      <c r="AU207" s="216">
        <v>4.8817608415279974</v>
      </c>
      <c r="AV207" s="216">
        <v>4.6006899590446348</v>
      </c>
      <c r="AW207" s="216">
        <v>4.3358019342522782</v>
      </c>
      <c r="AX207" s="216">
        <v>4.0861650275102583</v>
      </c>
      <c r="AY207" s="216">
        <v>3.8509011447561239</v>
      </c>
      <c r="AZ207" s="216">
        <v>3.6291827488229838</v>
      </c>
      <c r="BA207" s="216">
        <v>3.4202299485899852</v>
      </c>
      <c r="BB207" s="216">
        <v>3.2233077557270264</v>
      </c>
      <c r="BC207" s="216">
        <v>3.0377234993843705</v>
      </c>
      <c r="BD207" s="216">
        <v>2.8628243897333601</v>
      </c>
      <c r="BE207" s="216">
        <v>2.6979952217880099</v>
      </c>
      <c r="BF207" s="216">
        <v>2.5426562114307343</v>
      </c>
      <c r="BG207" s="216">
        <v>2.3962609560304413</v>
      </c>
      <c r="BH207" s="216">
        <v>2.2582945124794924</v>
      </c>
      <c r="BI207" s="216">
        <v>2.1282715858890784</v>
      </c>
      <c r="BJ207" s="216">
        <v>2.005734822571752</v>
      </c>
      <c r="BK207" s="216">
        <v>1.8902532013067086</v>
      </c>
      <c r="BL207" s="216">
        <v>1.7814205172291357</v>
      </c>
    </row>
    <row r="208" spans="1:64">
      <c r="A208" t="s">
        <v>1577</v>
      </c>
      <c r="K208">
        <v>32</v>
      </c>
      <c r="L208">
        <v>32</v>
      </c>
      <c r="M208">
        <v>32</v>
      </c>
      <c r="N208">
        <v>32</v>
      </c>
      <c r="O208">
        <v>32</v>
      </c>
      <c r="P208">
        <v>32</v>
      </c>
      <c r="Q208">
        <v>32</v>
      </c>
      <c r="R208">
        <v>32</v>
      </c>
      <c r="S208">
        <v>32</v>
      </c>
      <c r="T208">
        <v>32</v>
      </c>
      <c r="U208">
        <v>309</v>
      </c>
      <c r="V208">
        <v>309</v>
      </c>
      <c r="W208">
        <v>309</v>
      </c>
      <c r="X208">
        <v>309</v>
      </c>
      <c r="Y208" s="216">
        <v>309</v>
      </c>
      <c r="Z208" s="216">
        <v>309</v>
      </c>
      <c r="AA208" s="216">
        <v>309</v>
      </c>
      <c r="AB208" s="216">
        <v>309</v>
      </c>
      <c r="AC208" s="216">
        <v>309</v>
      </c>
      <c r="AD208" s="216">
        <v>309</v>
      </c>
      <c r="AE208" s="216">
        <v>309</v>
      </c>
      <c r="AF208" s="216">
        <v>309</v>
      </c>
      <c r="AG208" s="216">
        <v>309</v>
      </c>
      <c r="AH208" s="216">
        <v>309</v>
      </c>
      <c r="AI208" s="216">
        <v>309</v>
      </c>
      <c r="AJ208" s="216">
        <v>309</v>
      </c>
      <c r="AK208" s="216">
        <v>309</v>
      </c>
      <c r="AL208" s="216">
        <v>309</v>
      </c>
      <c r="AM208" s="216">
        <v>309</v>
      </c>
      <c r="AN208" s="216">
        <v>309</v>
      </c>
      <c r="AO208" s="216">
        <v>309</v>
      </c>
      <c r="AP208" s="216">
        <v>309</v>
      </c>
      <c r="AQ208" s="216">
        <v>309</v>
      </c>
      <c r="AR208" s="216">
        <v>309</v>
      </c>
      <c r="AS208" s="216">
        <v>309</v>
      </c>
      <c r="AT208" s="216">
        <v>309</v>
      </c>
      <c r="AU208" s="216">
        <v>309</v>
      </c>
      <c r="AV208" s="216">
        <v>309</v>
      </c>
      <c r="AW208" s="216">
        <v>309</v>
      </c>
      <c r="AX208" s="216">
        <v>309</v>
      </c>
      <c r="AY208" s="216">
        <v>309</v>
      </c>
      <c r="AZ208" s="216">
        <v>309</v>
      </c>
      <c r="BA208" s="216">
        <v>309</v>
      </c>
      <c r="BB208" s="216">
        <v>309</v>
      </c>
      <c r="BC208" s="216">
        <v>309</v>
      </c>
      <c r="BD208" s="216">
        <v>309</v>
      </c>
      <c r="BE208" s="216">
        <v>309</v>
      </c>
      <c r="BF208" s="216">
        <v>309</v>
      </c>
      <c r="BG208" s="216">
        <v>309</v>
      </c>
      <c r="BH208" s="216">
        <v>309</v>
      </c>
      <c r="BI208" s="216">
        <v>309</v>
      </c>
      <c r="BJ208" s="216">
        <v>309</v>
      </c>
      <c r="BK208" s="216">
        <v>309</v>
      </c>
      <c r="BL208" s="216">
        <v>309</v>
      </c>
    </row>
    <row r="209" spans="1:64">
      <c r="A209" t="s">
        <v>34</v>
      </c>
      <c r="B209">
        <v>158</v>
      </c>
      <c r="C209">
        <v>178</v>
      </c>
      <c r="D209">
        <v>180</v>
      </c>
      <c r="E209">
        <v>186</v>
      </c>
      <c r="F209">
        <v>187</v>
      </c>
      <c r="G209">
        <v>187</v>
      </c>
      <c r="H209">
        <v>194</v>
      </c>
      <c r="I209">
        <v>199</v>
      </c>
      <c r="J209">
        <v>184</v>
      </c>
      <c r="K209">
        <v>188</v>
      </c>
      <c r="L209">
        <v>190</v>
      </c>
      <c r="M209">
        <v>195</v>
      </c>
      <c r="N209">
        <v>171</v>
      </c>
      <c r="O209">
        <v>199</v>
      </c>
      <c r="P209">
        <v>195</v>
      </c>
      <c r="Q209">
        <v>184</v>
      </c>
      <c r="R209">
        <v>178</v>
      </c>
      <c r="S209">
        <v>172</v>
      </c>
      <c r="T209">
        <v>162</v>
      </c>
      <c r="U209">
        <v>166</v>
      </c>
      <c r="V209">
        <v>176</v>
      </c>
      <c r="W209">
        <v>185</v>
      </c>
      <c r="X209">
        <v>202</v>
      </c>
      <c r="Y209" s="216">
        <v>186</v>
      </c>
      <c r="Z209" s="216">
        <v>183.2509578381194</v>
      </c>
      <c r="AA209" s="216">
        <v>183.26688542620508</v>
      </c>
      <c r="AB209" s="216">
        <v>183.28281439866583</v>
      </c>
      <c r="AC209" s="216">
        <v>183.29874475562204</v>
      </c>
      <c r="AD209" s="216">
        <v>183.31467649719397</v>
      </c>
      <c r="AE209" s="216">
        <v>183.33060962350206</v>
      </c>
      <c r="AF209" s="216">
        <v>183.34654413466654</v>
      </c>
      <c r="AG209" s="216">
        <v>183.36248003080789</v>
      </c>
      <c r="AH209" s="216">
        <v>183.37841731204642</v>
      </c>
      <c r="AI209" s="216">
        <v>183.3943559785026</v>
      </c>
      <c r="AJ209" s="216">
        <v>183.41029603029668</v>
      </c>
      <c r="AK209" s="216">
        <v>183.42623746754921</v>
      </c>
      <c r="AL209" s="216">
        <v>183.44218029038061</v>
      </c>
      <c r="AM209" s="216">
        <v>183.45812449891119</v>
      </c>
      <c r="AN209" s="216">
        <v>183.47407009326147</v>
      </c>
      <c r="AO209" s="216">
        <v>183.49001707355191</v>
      </c>
      <c r="AP209" s="216">
        <v>183.50596543990298</v>
      </c>
      <c r="AQ209" s="216">
        <v>183.5219151924351</v>
      </c>
      <c r="AR209" s="216">
        <v>183.53786633126873</v>
      </c>
      <c r="AS209" s="216">
        <v>183.55381885652449</v>
      </c>
      <c r="AT209" s="216">
        <v>183.56977276832274</v>
      </c>
      <c r="AU209" s="216">
        <v>183.58572806678413</v>
      </c>
      <c r="AV209" s="216">
        <v>183.60168475202903</v>
      </c>
      <c r="AW209" s="216">
        <v>183.61764282417809</v>
      </c>
      <c r="AX209" s="216">
        <v>183.63360228335188</v>
      </c>
      <c r="AY209" s="216">
        <v>183.64956312967081</v>
      </c>
      <c r="AZ209" s="216">
        <v>183.6655253632556</v>
      </c>
      <c r="BA209" s="216">
        <v>183.68148898422672</v>
      </c>
      <c r="BB209" s="216">
        <v>183.69745399270479</v>
      </c>
      <c r="BC209" s="216">
        <v>183.71342038881048</v>
      </c>
      <c r="BD209" s="216">
        <v>183.7293881726643</v>
      </c>
      <c r="BE209" s="216">
        <v>183.74535734438689</v>
      </c>
      <c r="BF209" s="216">
        <v>183.76132790409889</v>
      </c>
      <c r="BG209" s="216">
        <v>183.77729985192099</v>
      </c>
      <c r="BH209" s="216">
        <v>183.79327318797374</v>
      </c>
      <c r="BI209" s="216">
        <v>183.80924791237786</v>
      </c>
      <c r="BJ209" s="216">
        <v>183.82522402525399</v>
      </c>
      <c r="BK209" s="216">
        <v>183.84120152672287</v>
      </c>
      <c r="BL209" s="216">
        <v>183.85718041690515</v>
      </c>
    </row>
    <row r="210" spans="1:64">
      <c r="A210" t="s">
        <v>97</v>
      </c>
      <c r="B210">
        <v>263</v>
      </c>
      <c r="C210">
        <v>260</v>
      </c>
      <c r="D210">
        <v>283</v>
      </c>
      <c r="E210">
        <v>289</v>
      </c>
      <c r="F210">
        <v>296</v>
      </c>
      <c r="G210">
        <v>284</v>
      </c>
      <c r="H210">
        <v>292</v>
      </c>
      <c r="I210">
        <v>297</v>
      </c>
      <c r="J210">
        <v>311</v>
      </c>
      <c r="K210">
        <v>296</v>
      </c>
      <c r="L210">
        <v>309</v>
      </c>
      <c r="M210">
        <v>317</v>
      </c>
      <c r="N210">
        <v>311</v>
      </c>
      <c r="O210">
        <v>313</v>
      </c>
      <c r="P210">
        <v>304</v>
      </c>
      <c r="Q210">
        <v>298</v>
      </c>
      <c r="R210">
        <v>296</v>
      </c>
      <c r="S210">
        <v>319</v>
      </c>
      <c r="T210">
        <v>314</v>
      </c>
      <c r="U210">
        <v>312</v>
      </c>
      <c r="V210">
        <v>301</v>
      </c>
      <c r="W210">
        <v>313</v>
      </c>
      <c r="X210">
        <v>312</v>
      </c>
      <c r="Y210" s="216">
        <v>325</v>
      </c>
      <c r="Z210" s="216">
        <v>324.25339731243304</v>
      </c>
      <c r="AA210" s="216">
        <v>326.26074429980349</v>
      </c>
      <c r="AB210" s="216">
        <v>328.28051811742802</v>
      </c>
      <c r="AC210" s="216">
        <v>330.31279569575815</v>
      </c>
      <c r="AD210" s="216">
        <v>332.35765444149666</v>
      </c>
      <c r="AE210" s="216">
        <v>334.41517224054633</v>
      </c>
      <c r="AF210" s="216">
        <v>336.48542746097576</v>
      </c>
      <c r="AG210" s="216">
        <v>338.56849895600476</v>
      </c>
      <c r="AH210" s="216">
        <v>340.66446606700782</v>
      </c>
      <c r="AI210" s="216">
        <v>342.77340862653591</v>
      </c>
      <c r="AJ210" s="216">
        <v>344.89540696135731</v>
      </c>
      <c r="AK210" s="216">
        <v>347.03054189551716</v>
      </c>
      <c r="AL210" s="216">
        <v>349.1788947534157</v>
      </c>
      <c r="AM210" s="216">
        <v>351.34054736290631</v>
      </c>
      <c r="AN210" s="216">
        <v>353.51558205841161</v>
      </c>
      <c r="AO210" s="216">
        <v>355.70408168405999</v>
      </c>
      <c r="AP210" s="216">
        <v>357.90612959684057</v>
      </c>
      <c r="AQ210" s="216">
        <v>360.12180966977866</v>
      </c>
      <c r="AR210" s="216">
        <v>362.35120629512994</v>
      </c>
      <c r="AS210" s="216">
        <v>364.59440438759503</v>
      </c>
      <c r="AT210" s="216">
        <v>366.85148938755378</v>
      </c>
      <c r="AU210" s="216">
        <v>369.12254726431951</v>
      </c>
      <c r="AV210" s="216">
        <v>371.40766451941363</v>
      </c>
      <c r="AW210" s="216">
        <v>373.70692818986015</v>
      </c>
      <c r="AX210" s="216">
        <v>376.02042585150093</v>
      </c>
      <c r="AY210" s="216">
        <v>378.34824562233115</v>
      </c>
      <c r="AZ210" s="216">
        <v>380.69047616585601</v>
      </c>
      <c r="BA210" s="216">
        <v>383.04720669446726</v>
      </c>
      <c r="BB210" s="216">
        <v>385.41852697284179</v>
      </c>
      <c r="BC210" s="216">
        <v>387.80452732136001</v>
      </c>
      <c r="BD210" s="216">
        <v>390.20529861954657</v>
      </c>
      <c r="BE210" s="216">
        <v>392.62093230953133</v>
      </c>
      <c r="BF210" s="216">
        <v>395.05152039953276</v>
      </c>
      <c r="BG210" s="216">
        <v>397.49715546736218</v>
      </c>
      <c r="BH210" s="216">
        <v>399.95793066394987</v>
      </c>
      <c r="BI210" s="216">
        <v>402.43393971689312</v>
      </c>
      <c r="BJ210" s="216">
        <v>404.92527693402627</v>
      </c>
      <c r="BK210" s="216">
        <v>407.43203720701263</v>
      </c>
      <c r="BL210" s="216">
        <v>409.95431601495875</v>
      </c>
    </row>
    <row r="211" spans="1:64">
      <c r="A211" t="s">
        <v>1061</v>
      </c>
      <c r="B211">
        <v>135</v>
      </c>
      <c r="C211">
        <v>144</v>
      </c>
      <c r="D211">
        <v>148</v>
      </c>
      <c r="E211">
        <v>154</v>
      </c>
      <c r="F211">
        <v>149</v>
      </c>
      <c r="G211">
        <v>155</v>
      </c>
      <c r="H211">
        <v>154</v>
      </c>
      <c r="I211">
        <v>143</v>
      </c>
      <c r="J211">
        <v>143</v>
      </c>
      <c r="K211">
        <v>152</v>
      </c>
      <c r="L211">
        <v>143</v>
      </c>
      <c r="M211">
        <v>142</v>
      </c>
      <c r="N211">
        <v>139</v>
      </c>
      <c r="O211">
        <v>127</v>
      </c>
      <c r="P211">
        <v>117</v>
      </c>
      <c r="Q211">
        <v>107</v>
      </c>
      <c r="R211">
        <v>102</v>
      </c>
      <c r="S211">
        <v>99</v>
      </c>
      <c r="T211">
        <v>97</v>
      </c>
      <c r="U211">
        <v>102</v>
      </c>
      <c r="V211">
        <v>94</v>
      </c>
      <c r="W211">
        <v>84</v>
      </c>
      <c r="X211">
        <v>97</v>
      </c>
      <c r="Y211" s="216">
        <v>92</v>
      </c>
      <c r="Z211" s="216">
        <v>89.208241843820531</v>
      </c>
      <c r="AA211" s="216">
        <v>86.923788560050028</v>
      </c>
      <c r="AB211" s="216">
        <v>84.697835776881973</v>
      </c>
      <c r="AC211" s="216">
        <v>82.528885407839866</v>
      </c>
      <c r="AD211" s="216">
        <v>80.415477729590464</v>
      </c>
      <c r="AE211" s="216">
        <v>78.356190399536843</v>
      </c>
      <c r="AF211" s="216">
        <v>76.349637498568896</v>
      </c>
      <c r="AG211" s="216">
        <v>74.394468598327023</v>
      </c>
      <c r="AH211" s="216">
        <v>72.489367852351691</v>
      </c>
      <c r="AI211" s="216">
        <v>70.633053110506751</v>
      </c>
      <c r="AJ211" s="216">
        <v>68.824275056080708</v>
      </c>
      <c r="AK211" s="216">
        <v>67.061816364985233</v>
      </c>
      <c r="AL211" s="216">
        <v>65.344490886484976</v>
      </c>
      <c r="AM211" s="216">
        <v>63.671142844907322</v>
      </c>
      <c r="AN211" s="216">
        <v>62.040646061794845</v>
      </c>
      <c r="AO211" s="216">
        <v>60.451903197976939</v>
      </c>
      <c r="AP211" s="216">
        <v>58.903845015050642</v>
      </c>
      <c r="AQ211" s="216">
        <v>57.395429655773349</v>
      </c>
      <c r="AR211" s="216">
        <v>55.925641942883537</v>
      </c>
      <c r="AS211" s="216">
        <v>54.493492695877109</v>
      </c>
      <c r="AT211" s="216">
        <v>53.098018065280023</v>
      </c>
      <c r="AU211" s="216">
        <v>51.738278883968754</v>
      </c>
      <c r="AV211" s="216">
        <v>50.413360035102279</v>
      </c>
      <c r="AW211" s="216">
        <v>49.122369836240161</v>
      </c>
      <c r="AX211" s="216">
        <v>47.864439439232093</v>
      </c>
      <c r="AY211" s="216">
        <v>46.638722245475265</v>
      </c>
      <c r="AZ211" s="216">
        <v>45.444393336145723</v>
      </c>
      <c r="BA211" s="216">
        <v>44.280648917020528</v>
      </c>
      <c r="BB211" s="216">
        <v>43.146705777516942</v>
      </c>
      <c r="BC211" s="216">
        <v>42.041800763584568</v>
      </c>
      <c r="BD211" s="216">
        <v>40.965190264095739</v>
      </c>
      <c r="BE211" s="216">
        <v>39.916149710388432</v>
      </c>
      <c r="BF211" s="216">
        <v>38.893973088624996</v>
      </c>
      <c r="BG211" s="216">
        <v>37.897972464638414</v>
      </c>
      <c r="BH211" s="216">
        <v>36.92747752094634</v>
      </c>
      <c r="BI211" s="216">
        <v>35.981835105621329</v>
      </c>
      <c r="BJ211" s="216">
        <v>35.06040879271368</v>
      </c>
      <c r="BK211" s="216">
        <v>34.162578453930927</v>
      </c>
      <c r="BL211" s="216">
        <v>33.287739841285898</v>
      </c>
    </row>
    <row r="212" spans="1:64">
      <c r="A212" t="s">
        <v>1062</v>
      </c>
      <c r="B212">
        <v>446</v>
      </c>
      <c r="C212">
        <v>468</v>
      </c>
      <c r="D212">
        <v>474</v>
      </c>
      <c r="E212">
        <v>480</v>
      </c>
      <c r="F212">
        <v>475</v>
      </c>
      <c r="G212">
        <v>500</v>
      </c>
      <c r="H212">
        <v>505</v>
      </c>
      <c r="I212">
        <v>489</v>
      </c>
      <c r="J212">
        <v>475</v>
      </c>
      <c r="K212">
        <v>500</v>
      </c>
      <c r="L212">
        <v>511</v>
      </c>
      <c r="M212">
        <v>544</v>
      </c>
      <c r="N212">
        <v>578</v>
      </c>
      <c r="O212">
        <v>534</v>
      </c>
      <c r="P212">
        <v>558</v>
      </c>
      <c r="Q212">
        <v>535</v>
      </c>
      <c r="R212">
        <v>513</v>
      </c>
      <c r="S212">
        <v>529</v>
      </c>
      <c r="T212">
        <v>548</v>
      </c>
      <c r="U212">
        <v>507</v>
      </c>
      <c r="V212">
        <v>538</v>
      </c>
      <c r="W212">
        <v>523</v>
      </c>
      <c r="X212">
        <v>542</v>
      </c>
      <c r="Y212" s="216">
        <v>550</v>
      </c>
      <c r="Z212" s="216">
        <v>560.12756632365881</v>
      </c>
      <c r="AA212" s="216">
        <v>564.13519530973974</v>
      </c>
      <c r="AB212" s="216">
        <v>568.17149828199047</v>
      </c>
      <c r="AC212" s="216">
        <v>572.23668039849474</v>
      </c>
      <c r="AD212" s="216">
        <v>576.33094828521132</v>
      </c>
      <c r="AE212" s="216">
        <v>580.45451004647759</v>
      </c>
      <c r="AF212" s="216">
        <v>584.60757527558553</v>
      </c>
      <c r="AG212" s="216">
        <v>588.7903550654363</v>
      </c>
      <c r="AH212" s="216">
        <v>593.00306201926912</v>
      </c>
      <c r="AI212" s="216">
        <v>597.24591026146754</v>
      </c>
      <c r="AJ212" s="216">
        <v>601.5191154484429</v>
      </c>
      <c r="AK212" s="216">
        <v>605.82289477959614</v>
      </c>
      <c r="AL212" s="216">
        <v>610.15746700835746</v>
      </c>
      <c r="AM212" s="216">
        <v>614.5230524533049</v>
      </c>
      <c r="AN212" s="216">
        <v>618.9198730093633</v>
      </c>
      <c r="AO212" s="216">
        <v>623.34815215908225</v>
      </c>
      <c r="AP212" s="216">
        <v>627.80811498399555</v>
      </c>
      <c r="AQ212" s="216">
        <v>632.29998817606213</v>
      </c>
      <c r="AR212" s="216">
        <v>636.82400004918736</v>
      </c>
      <c r="AS212" s="216">
        <v>641.38038055082916</v>
      </c>
      <c r="AT212" s="216">
        <v>645.9693612736844</v>
      </c>
      <c r="AU212" s="216">
        <v>650.59117546746165</v>
      </c>
      <c r="AV212" s="216">
        <v>655.24605805073611</v>
      </c>
      <c r="AW212" s="216">
        <v>659.93424562288999</v>
      </c>
      <c r="AX212" s="216">
        <v>664.65597647613913</v>
      </c>
      <c r="AY212" s="216">
        <v>669.41149060764417</v>
      </c>
      <c r="AZ212" s="216">
        <v>674.20102973170981</v>
      </c>
      <c r="BA212" s="216">
        <v>679.0248372920704</v>
      </c>
      <c r="BB212" s="216">
        <v>683.88315847426361</v>
      </c>
      <c r="BC212" s="216">
        <v>688.77624021809333</v>
      </c>
      <c r="BD212" s="216">
        <v>693.70433123018051</v>
      </c>
      <c r="BE212" s="216">
        <v>698.66768199660487</v>
      </c>
      <c r="BF212" s="216">
        <v>703.66654479563681</v>
      </c>
      <c r="BG212" s="216">
        <v>708.7011737105596</v>
      </c>
      <c r="BH212" s="216">
        <v>713.77182464258465</v>
      </c>
      <c r="BI212" s="216">
        <v>718.8787553238584</v>
      </c>
      <c r="BJ212" s="216">
        <v>724.02222533056204</v>
      </c>
      <c r="BK212" s="216">
        <v>729.20249609610573</v>
      </c>
      <c r="BL212" s="216">
        <v>734.41983092441649</v>
      </c>
    </row>
    <row r="213" spans="1:64">
      <c r="A213" t="s">
        <v>1063</v>
      </c>
      <c r="B213">
        <v>298</v>
      </c>
      <c r="C213">
        <v>314</v>
      </c>
      <c r="D213">
        <v>298</v>
      </c>
      <c r="E213">
        <v>324</v>
      </c>
      <c r="F213">
        <v>324</v>
      </c>
      <c r="G213">
        <v>333</v>
      </c>
      <c r="H213">
        <v>337</v>
      </c>
      <c r="I213">
        <v>363</v>
      </c>
      <c r="J213">
        <v>381</v>
      </c>
      <c r="K213">
        <v>368</v>
      </c>
      <c r="L213">
        <v>372</v>
      </c>
      <c r="M213">
        <v>381</v>
      </c>
      <c r="N213">
        <v>400</v>
      </c>
      <c r="O213">
        <v>394</v>
      </c>
      <c r="P213">
        <v>405</v>
      </c>
      <c r="Q213">
        <v>419</v>
      </c>
      <c r="R213">
        <v>413</v>
      </c>
      <c r="S213">
        <v>398</v>
      </c>
      <c r="T213">
        <v>407</v>
      </c>
      <c r="U213">
        <v>401</v>
      </c>
      <c r="V213">
        <v>406</v>
      </c>
      <c r="W213">
        <v>404</v>
      </c>
      <c r="X213">
        <v>412</v>
      </c>
      <c r="Y213" s="216">
        <v>418</v>
      </c>
      <c r="Z213" s="216">
        <v>445.22990514701792</v>
      </c>
      <c r="AA213" s="216">
        <v>451.71679112869418</v>
      </c>
      <c r="AB213" s="216">
        <v>458.29818938201436</v>
      </c>
      <c r="AC213" s="216">
        <v>464.97547692663272</v>
      </c>
      <c r="AD213" s="216">
        <v>471.75005084502806</v>
      </c>
      <c r="AE213" s="216">
        <v>478.62332857481385</v>
      </c>
      <c r="AF213" s="216">
        <v>485.5967482053079</v>
      </c>
      <c r="AG213" s="216">
        <v>492.67176877842144</v>
      </c>
      <c r="AH213" s="216">
        <v>499.84987059393421</v>
      </c>
      <c r="AI213" s="216">
        <v>507.1325555192152</v>
      </c>
      <c r="AJ213" s="216">
        <v>514.52134730345745</v>
      </c>
      <c r="AK213" s="216">
        <v>522.01779189649051</v>
      </c>
      <c r="AL213" s="216">
        <v>529.62345777223788</v>
      </c>
      <c r="AM213" s="216">
        <v>537.33993625688765</v>
      </c>
      <c r="AN213" s="216">
        <v>545.16884186184393</v>
      </c>
      <c r="AO213" s="216">
        <v>553.11181262152934</v>
      </c>
      <c r="AP213" s="216">
        <v>561.17051043610968</v>
      </c>
      <c r="AQ213" s="216">
        <v>569.34662141921194</v>
      </c>
      <c r="AR213" s="216">
        <v>577.64185625070752</v>
      </c>
      <c r="AS213" s="216">
        <v>586.05795053463669</v>
      </c>
      <c r="AT213" s="216">
        <v>594.59666516234734</v>
      </c>
      <c r="AU213" s="216">
        <v>603.25978668092421</v>
      </c>
      <c r="AV213" s="216">
        <v>612.04912766698692</v>
      </c>
      <c r="AW213" s="216">
        <v>620.96652710593332</v>
      </c>
      <c r="AX213" s="216">
        <v>630.01385077670852</v>
      </c>
      <c r="AY213" s="216">
        <v>639.19299164218069</v>
      </c>
      <c r="AZ213" s="216">
        <v>648.50587024520303</v>
      </c>
      <c r="BA213" s="216">
        <v>657.95443511044778</v>
      </c>
      <c r="BB213" s="216">
        <v>667.54066315209377</v>
      </c>
      <c r="BC213" s="216">
        <v>677.26656008745408</v>
      </c>
      <c r="BD213" s="216">
        <v>687.13416085663118</v>
      </c>
      <c r="BE213" s="216">
        <v>697.14553004828497</v>
      </c>
      <c r="BF213" s="216">
        <v>707.3027623316043</v>
      </c>
      <c r="BG213" s="216">
        <v>717.6079828945733</v>
      </c>
      <c r="BH213" s="216">
        <v>728.06334788862193</v>
      </c>
      <c r="BI213" s="216">
        <v>738.6710448797561</v>
      </c>
      <c r="BJ213" s="216">
        <v>749.4332933062592</v>
      </c>
      <c r="BK213" s="216">
        <v>760.35234494306371</v>
      </c>
      <c r="BL213" s="216">
        <v>771.43048437288735</v>
      </c>
    </row>
    <row r="214" spans="1:64">
      <c r="A214" t="s">
        <v>1064</v>
      </c>
      <c r="B214">
        <v>678</v>
      </c>
      <c r="C214">
        <v>714</v>
      </c>
      <c r="D214">
        <v>703</v>
      </c>
      <c r="E214">
        <v>756</v>
      </c>
      <c r="F214">
        <v>757</v>
      </c>
      <c r="G214">
        <v>745</v>
      </c>
      <c r="H214">
        <v>758</v>
      </c>
      <c r="I214">
        <v>736</v>
      </c>
      <c r="J214">
        <v>673</v>
      </c>
      <c r="K214">
        <v>532</v>
      </c>
      <c r="L214">
        <v>522</v>
      </c>
      <c r="M214">
        <v>526</v>
      </c>
      <c r="N214">
        <v>524</v>
      </c>
      <c r="O214">
        <v>475</v>
      </c>
      <c r="P214">
        <v>469</v>
      </c>
      <c r="Q214">
        <v>448</v>
      </c>
      <c r="R214">
        <v>428</v>
      </c>
      <c r="S214">
        <v>432</v>
      </c>
      <c r="T214">
        <v>439</v>
      </c>
      <c r="U214">
        <v>479</v>
      </c>
      <c r="V214">
        <v>466</v>
      </c>
      <c r="W214">
        <v>452</v>
      </c>
      <c r="X214">
        <v>453</v>
      </c>
      <c r="Y214" s="216">
        <v>436</v>
      </c>
      <c r="Z214" s="216">
        <v>424.56390694074884</v>
      </c>
      <c r="AA214" s="216">
        <v>419.11861774646604</v>
      </c>
      <c r="AB214" s="216">
        <v>413.74316768340617</v>
      </c>
      <c r="AC214" s="216">
        <v>408.43666102242139</v>
      </c>
      <c r="AD214" s="216">
        <v>403.1982135226325</v>
      </c>
      <c r="AE214" s="216">
        <v>398.0269522840851</v>
      </c>
      <c r="AF214" s="216">
        <v>392.92201560229518</v>
      </c>
      <c r="AG214" s="216">
        <v>387.88255282466065</v>
      </c>
      <c r="AH214" s="216">
        <v>382.90772420871394</v>
      </c>
      <c r="AI214" s="216">
        <v>377.99670078219327</v>
      </c>
      <c r="AJ214" s="216">
        <v>373.14866420490813</v>
      </c>
      <c r="AK214" s="216">
        <v>368.36280663237631</v>
      </c>
      <c r="AL214" s="216">
        <v>363.63833058121048</v>
      </c>
      <c r="AM214" s="216">
        <v>358.97444879623043</v>
      </c>
      <c r="AN214" s="216">
        <v>354.37038411928052</v>
      </c>
      <c r="AO214" s="216">
        <v>349.82536935972888</v>
      </c>
      <c r="AP214" s="216">
        <v>345.33864716662839</v>
      </c>
      <c r="AQ214" s="216">
        <v>340.90946990251598</v>
      </c>
      <c r="AR214" s="216">
        <v>336.53709951883206</v>
      </c>
      <c r="AS214" s="216">
        <v>332.22080743293668</v>
      </c>
      <c r="AT214" s="216">
        <v>327.95987440670331</v>
      </c>
      <c r="AU214" s="216">
        <v>323.75359042667009</v>
      </c>
      <c r="AV214" s="216">
        <v>319.6012545857277</v>
      </c>
      <c r="AW214" s="216">
        <v>315.50217496632467</v>
      </c>
      <c r="AX214" s="216">
        <v>311.45566852517169</v>
      </c>
      <c r="AY214" s="216">
        <v>307.46106097942248</v>
      </c>
      <c r="AZ214" s="216">
        <v>303.51768669431721</v>
      </c>
      <c r="BA214" s="216">
        <v>299.62488857226452</v>
      </c>
      <c r="BB214" s="216">
        <v>295.78201794334774</v>
      </c>
      <c r="BC214" s="216">
        <v>291.98843445723463</v>
      </c>
      <c r="BD214" s="216">
        <v>288.24350597647373</v>
      </c>
      <c r="BE214" s="216">
        <v>284.54660847115906</v>
      </c>
      <c r="BF214" s="216">
        <v>280.89712591494623</v>
      </c>
      <c r="BG214" s="216">
        <v>277.29445018240159</v>
      </c>
      <c r="BH214" s="216">
        <v>273.73798094766852</v>
      </c>
      <c r="BI214" s="216">
        <v>270.22712558443305</v>
      </c>
      <c r="BJ214" s="216">
        <v>266.76129906717239</v>
      </c>
      <c r="BK214" s="216">
        <v>263.3399238736705</v>
      </c>
      <c r="BL214" s="216">
        <v>259.96242988878333</v>
      </c>
    </row>
    <row r="215" spans="1:64">
      <c r="A215" t="s">
        <v>227</v>
      </c>
      <c r="B215">
        <v>858</v>
      </c>
      <c r="C215">
        <v>870</v>
      </c>
      <c r="D215">
        <v>870</v>
      </c>
      <c r="E215">
        <v>870</v>
      </c>
      <c r="F215">
        <v>829</v>
      </c>
      <c r="G215">
        <v>818</v>
      </c>
      <c r="H215">
        <v>855</v>
      </c>
      <c r="I215">
        <v>817</v>
      </c>
      <c r="J215">
        <v>842</v>
      </c>
      <c r="K215">
        <v>952</v>
      </c>
      <c r="L215">
        <v>921</v>
      </c>
      <c r="M215">
        <v>920</v>
      </c>
      <c r="N215">
        <v>957</v>
      </c>
      <c r="O215">
        <v>918</v>
      </c>
      <c r="P215">
        <v>945</v>
      </c>
      <c r="Q215">
        <v>892</v>
      </c>
      <c r="R215">
        <v>1011</v>
      </c>
      <c r="S215">
        <v>965</v>
      </c>
      <c r="T215">
        <v>1051</v>
      </c>
      <c r="U215">
        <v>976</v>
      </c>
      <c r="V215">
        <v>1013</v>
      </c>
      <c r="W215">
        <v>981</v>
      </c>
      <c r="X215">
        <v>1018</v>
      </c>
      <c r="Y215" s="216">
        <v>946</v>
      </c>
      <c r="Z215" s="216">
        <v>1007.9496460869382</v>
      </c>
      <c r="AA215" s="216">
        <v>1013.6538108967371</v>
      </c>
      <c r="AB215" s="216">
        <v>1019.3902565811846</v>
      </c>
      <c r="AC215" s="216">
        <v>1025.1591658234436</v>
      </c>
      <c r="AD215" s="216">
        <v>1030.9607223405123</v>
      </c>
      <c r="AE215" s="216">
        <v>1036.7951108890773</v>
      </c>
      <c r="AF215" s="216">
        <v>1042.6625172713948</v>
      </c>
      <c r="AG215" s="216">
        <v>1048.563128341209</v>
      </c>
      <c r="AH215" s="216">
        <v>1054.4971320097025</v>
      </c>
      <c r="AI215" s="216">
        <v>1060.4647172514806</v>
      </c>
      <c r="AJ215" s="216">
        <v>1066.4660741105884</v>
      </c>
      <c r="AK215" s="216">
        <v>1072.5013937065651</v>
      </c>
      <c r="AL215" s="216">
        <v>1078.5708682405277</v>
      </c>
      <c r="AM215" s="216">
        <v>1084.6746910012941</v>
      </c>
      <c r="AN215" s="216">
        <v>1090.8130563715376</v>
      </c>
      <c r="AO215" s="216">
        <v>1096.9861598339769</v>
      </c>
      <c r="AP215" s="216">
        <v>1103.1941979776025</v>
      </c>
      <c r="AQ215" s="216">
        <v>1109.4373685039359</v>
      </c>
      <c r="AR215" s="216">
        <v>1115.7158702333272</v>
      </c>
      <c r="AS215" s="216">
        <v>1122.0299031112854</v>
      </c>
      <c r="AT215" s="216">
        <v>1128.3796682148463</v>
      </c>
      <c r="AU215" s="216">
        <v>1134.7653677589767</v>
      </c>
      <c r="AV215" s="216">
        <v>1141.1872051030132</v>
      </c>
      <c r="AW215" s="216">
        <v>1147.6453847571386</v>
      </c>
      <c r="AX215" s="216">
        <v>1154.140112388895</v>
      </c>
      <c r="AY215" s="216">
        <v>1160.6715948297333</v>
      </c>
      <c r="AZ215" s="216">
        <v>1167.2400400816009</v>
      </c>
      <c r="BA215" s="216">
        <v>1173.845657323563</v>
      </c>
      <c r="BB215" s="216">
        <v>1180.4886569184685</v>
      </c>
      <c r="BC215" s="216">
        <v>1187.1692504196446</v>
      </c>
      <c r="BD215" s="216">
        <v>1193.8876505776373</v>
      </c>
      <c r="BE215" s="216">
        <v>1200.6440713469851</v>
      </c>
      <c r="BF215" s="216">
        <v>1207.438727893033</v>
      </c>
      <c r="BG215" s="216">
        <v>1214.2718365987846</v>
      </c>
      <c r="BH215" s="216">
        <v>1221.1436150717932</v>
      </c>
      <c r="BI215" s="216">
        <v>1228.0542821510915</v>
      </c>
      <c r="BJ215" s="216">
        <v>1235.0040579141607</v>
      </c>
      <c r="BK215" s="216">
        <v>1241.9931636839394</v>
      </c>
      <c r="BL215" s="216">
        <v>1249.0218220358727</v>
      </c>
    </row>
    <row r="216" spans="1:64">
      <c r="A216" t="s">
        <v>98</v>
      </c>
      <c r="B216">
        <v>543</v>
      </c>
      <c r="C216">
        <v>563</v>
      </c>
      <c r="D216">
        <v>575</v>
      </c>
      <c r="E216">
        <v>572</v>
      </c>
      <c r="F216">
        <v>603</v>
      </c>
      <c r="G216">
        <v>611</v>
      </c>
      <c r="H216">
        <v>619</v>
      </c>
      <c r="I216">
        <v>631</v>
      </c>
      <c r="J216">
        <v>653</v>
      </c>
      <c r="K216">
        <v>643</v>
      </c>
      <c r="L216">
        <v>647</v>
      </c>
      <c r="M216">
        <v>671</v>
      </c>
      <c r="N216">
        <v>681</v>
      </c>
      <c r="O216">
        <v>684</v>
      </c>
      <c r="P216">
        <v>662</v>
      </c>
      <c r="Q216">
        <v>670</v>
      </c>
      <c r="R216">
        <v>662</v>
      </c>
      <c r="S216">
        <v>663</v>
      </c>
      <c r="T216">
        <v>660</v>
      </c>
      <c r="U216">
        <v>671</v>
      </c>
      <c r="V216">
        <v>706</v>
      </c>
      <c r="W216">
        <v>711</v>
      </c>
      <c r="X216">
        <v>717</v>
      </c>
      <c r="Y216" s="216">
        <v>718</v>
      </c>
      <c r="Z216" s="216">
        <v>733.08220068337027</v>
      </c>
      <c r="AA216" s="216">
        <v>740.58329338504689</v>
      </c>
      <c r="AB216" s="216">
        <v>748.16113926892706</v>
      </c>
      <c r="AC216" s="216">
        <v>755.81652369405265</v>
      </c>
      <c r="AD216" s="216">
        <v>763.55024005546898</v>
      </c>
      <c r="AE216" s="216">
        <v>771.36308986645122</v>
      </c>
      <c r="AF216" s="216">
        <v>779.25588284157232</v>
      </c>
      <c r="AG216" s="216">
        <v>787.22943698062056</v>
      </c>
      <c r="AH216" s="216">
        <v>795.28457865337668</v>
      </c>
      <c r="AI216" s="216">
        <v>803.42214268525731</v>
      </c>
      <c r="AJ216" s="216">
        <v>811.64297244383556</v>
      </c>
      <c r="AK216" s="216">
        <v>819.94791992624641</v>
      </c>
      <c r="AL216" s="216">
        <v>828.3378458474873</v>
      </c>
      <c r="AM216" s="216">
        <v>836.813619729621</v>
      </c>
      <c r="AN216" s="216">
        <v>845.37611999189198</v>
      </c>
      <c r="AO216" s="216">
        <v>854.02623404176484</v>
      </c>
      <c r="AP216" s="216">
        <v>862.76485836689426</v>
      </c>
      <c r="AQ216" s="216">
        <v>871.59289862803564</v>
      </c>
      <c r="AR216" s="216">
        <v>880.51126975290742</v>
      </c>
      <c r="AS216" s="216">
        <v>889.52089603101194</v>
      </c>
      <c r="AT216" s="216">
        <v>898.62271120942876</v>
      </c>
      <c r="AU216" s="216">
        <v>907.81765858958681</v>
      </c>
      <c r="AV216" s="216">
        <v>917.10669112502637</v>
      </c>
      <c r="AW216" s="216">
        <v>926.49077152016343</v>
      </c>
      <c r="AX216" s="216">
        <v>935.97087233006209</v>
      </c>
      <c r="AY216" s="216">
        <v>945.54797606122929</v>
      </c>
      <c r="AZ216" s="216">
        <v>955.22307527344105</v>
      </c>
      <c r="BA216" s="216">
        <v>964.9971726826094</v>
      </c>
      <c r="BB216" s="216">
        <v>974.8712812647035</v>
      </c>
      <c r="BC216" s="216">
        <v>984.84642436073318</v>
      </c>
      <c r="BD216" s="216">
        <v>994.92363578280583</v>
      </c>
      <c r="BE216" s="216">
        <v>1005.103959921271</v>
      </c>
      <c r="BF216" s="216">
        <v>1015.3884518529584</v>
      </c>
      <c r="BG216" s="216">
        <v>1025.7781774505256</v>
      </c>
      <c r="BH216" s="216">
        <v>1036.274213492924</v>
      </c>
      <c r="BI216" s="216">
        <v>1046.8776477769939</v>
      </c>
      <c r="BJ216" s="216">
        <v>1057.5895792302038</v>
      </c>
      <c r="BK216" s="216">
        <v>1068.4111180245407</v>
      </c>
      <c r="BL216" s="216">
        <v>1079.3433856915681</v>
      </c>
    </row>
    <row r="217" spans="1:64">
      <c r="A217" t="s">
        <v>1066</v>
      </c>
      <c r="B217">
        <v>379</v>
      </c>
      <c r="C217">
        <v>387</v>
      </c>
      <c r="D217">
        <v>390</v>
      </c>
      <c r="E217">
        <v>389</v>
      </c>
      <c r="F217">
        <v>385</v>
      </c>
      <c r="G217">
        <v>387</v>
      </c>
      <c r="H217">
        <v>379</v>
      </c>
      <c r="I217">
        <v>376</v>
      </c>
      <c r="J217">
        <v>371</v>
      </c>
      <c r="K217">
        <v>431</v>
      </c>
      <c r="L217">
        <v>422</v>
      </c>
      <c r="M217">
        <v>412</v>
      </c>
      <c r="N217">
        <v>421</v>
      </c>
      <c r="O217">
        <v>385</v>
      </c>
      <c r="P217">
        <v>401</v>
      </c>
      <c r="Q217">
        <v>416</v>
      </c>
      <c r="R217">
        <v>423</v>
      </c>
      <c r="S217">
        <v>410</v>
      </c>
      <c r="T217">
        <v>420</v>
      </c>
      <c r="U217">
        <v>411</v>
      </c>
      <c r="V217">
        <v>436</v>
      </c>
      <c r="W217">
        <v>432</v>
      </c>
      <c r="X217">
        <v>411</v>
      </c>
      <c r="Y217" s="216">
        <v>419</v>
      </c>
      <c r="Z217" s="216">
        <v>429.67203579583986</v>
      </c>
      <c r="AA217" s="216">
        <v>431.84633380594954</v>
      </c>
      <c r="AB217" s="216">
        <v>434.03163456104357</v>
      </c>
      <c r="AC217" s="216">
        <v>436.2279937390449</v>
      </c>
      <c r="AD217" s="216">
        <v>438.43546729962736</v>
      </c>
      <c r="AE217" s="216">
        <v>440.65411148564101</v>
      </c>
      <c r="AF217" s="216">
        <v>442.8839828245454</v>
      </c>
      <c r="AG217" s="216">
        <v>445.12513812984997</v>
      </c>
      <c r="AH217" s="216">
        <v>447.37763450256114</v>
      </c>
      <c r="AI217" s="216">
        <v>449.64152933263722</v>
      </c>
      <c r="AJ217" s="216">
        <v>451.91688030045111</v>
      </c>
      <c r="AK217" s="216">
        <v>454.20374537825927</v>
      </c>
      <c r="AL217" s="216">
        <v>456.50218283167914</v>
      </c>
      <c r="AM217" s="216">
        <v>458.81225122117343</v>
      </c>
      <c r="AN217" s="216">
        <v>461.13400940354245</v>
      </c>
      <c r="AO217" s="216">
        <v>463.46751653342329</v>
      </c>
      <c r="AP217" s="216">
        <v>465.81283206479736</v>
      </c>
      <c r="AQ217" s="216">
        <v>468.17001575250487</v>
      </c>
      <c r="AR217" s="216">
        <v>470.53912765376754</v>
      </c>
      <c r="AS217" s="216">
        <v>472.92022812971857</v>
      </c>
      <c r="AT217" s="216">
        <v>475.31337784694068</v>
      </c>
      <c r="AU217" s="216">
        <v>477.71863777901171</v>
      </c>
      <c r="AV217" s="216">
        <v>480.13606920805802</v>
      </c>
      <c r="AW217" s="216">
        <v>482.56573372631635</v>
      </c>
      <c r="AX217" s="216">
        <v>485.00769323770237</v>
      </c>
      <c r="AY217" s="216">
        <v>487.46200995938841</v>
      </c>
      <c r="AZ217" s="216">
        <v>489.92874642338847</v>
      </c>
      <c r="BA217" s="216">
        <v>492.40796547815165</v>
      </c>
      <c r="BB217" s="216">
        <v>494.89973029016289</v>
      </c>
      <c r="BC217" s="216">
        <v>497.40410434555287</v>
      </c>
      <c r="BD217" s="216">
        <v>499.9211514517155</v>
      </c>
      <c r="BE217" s="216">
        <v>502.45093573893325</v>
      </c>
      <c r="BF217" s="216">
        <v>504.99352166201157</v>
      </c>
      <c r="BG217" s="216">
        <v>507.54897400192067</v>
      </c>
      <c r="BH217" s="216">
        <v>510.11735786744634</v>
      </c>
      <c r="BI217" s="216">
        <v>512.69873869684852</v>
      </c>
      <c r="BJ217" s="216">
        <v>515.29318225952886</v>
      </c>
      <c r="BK217" s="216">
        <v>517.90075465770644</v>
      </c>
      <c r="BL217" s="216">
        <v>520.52152232810147</v>
      </c>
    </row>
    <row r="218" spans="1:64">
      <c r="A218" t="s">
        <v>99</v>
      </c>
      <c r="B218">
        <v>379</v>
      </c>
      <c r="C218">
        <v>377</v>
      </c>
      <c r="D218">
        <v>415</v>
      </c>
      <c r="E218">
        <v>433</v>
      </c>
      <c r="F218">
        <v>436</v>
      </c>
      <c r="G218">
        <v>423</v>
      </c>
      <c r="H218">
        <v>455</v>
      </c>
      <c r="I218">
        <v>452</v>
      </c>
      <c r="J218">
        <v>484</v>
      </c>
      <c r="K218">
        <v>465</v>
      </c>
      <c r="L218">
        <v>467</v>
      </c>
      <c r="M218">
        <v>479</v>
      </c>
      <c r="N218">
        <v>449</v>
      </c>
      <c r="O218">
        <v>464</v>
      </c>
      <c r="P218">
        <v>477</v>
      </c>
      <c r="Q218">
        <v>483</v>
      </c>
      <c r="R218">
        <v>473</v>
      </c>
      <c r="S218">
        <v>483</v>
      </c>
      <c r="T218">
        <v>474</v>
      </c>
      <c r="U218">
        <v>474</v>
      </c>
      <c r="V218">
        <v>502</v>
      </c>
      <c r="W218">
        <v>535</v>
      </c>
      <c r="X218">
        <v>517</v>
      </c>
      <c r="Y218" s="216">
        <v>528</v>
      </c>
      <c r="Z218" s="216">
        <v>530.2466271936313</v>
      </c>
      <c r="AA218" s="216">
        <v>536.14066115456922</v>
      </c>
      <c r="AB218" s="216">
        <v>542.10021111231117</v>
      </c>
      <c r="AC218" s="216">
        <v>548.12600531950511</v>
      </c>
      <c r="AD218" s="216">
        <v>554.2187801237975</v>
      </c>
      <c r="AE218" s="216">
        <v>560.37928005781464</v>
      </c>
      <c r="AF218" s="216">
        <v>566.60825793014442</v>
      </c>
      <c r="AG218" s="216">
        <v>572.90647491732875</v>
      </c>
      <c r="AH218" s="216">
        <v>579.27470065687839</v>
      </c>
      <c r="AI218" s="216">
        <v>585.71371334132289</v>
      </c>
      <c r="AJ218" s="216">
        <v>592.22429981330458</v>
      </c>
      <c r="AK218" s="216">
        <v>598.8072556617301</v>
      </c>
      <c r="AL218" s="216">
        <v>605.4633853189913</v>
      </c>
      <c r="AM218" s="216">
        <v>612.19350215926545</v>
      </c>
      <c r="AN218" s="216">
        <v>618.99842859791033</v>
      </c>
      <c r="AO218" s="216">
        <v>625.87899619196105</v>
      </c>
      <c r="AP218" s="216">
        <v>632.83604574174717</v>
      </c>
      <c r="AQ218" s="216">
        <v>639.87042739363721</v>
      </c>
      <c r="AR218" s="216">
        <v>646.98300074392603</v>
      </c>
      <c r="AS218" s="216">
        <v>654.17463494387653</v>
      </c>
      <c r="AT218" s="216">
        <v>661.44620880593015</v>
      </c>
      <c r="AU218" s="216">
        <v>668.79861091109626</v>
      </c>
      <c r="AV218" s="216">
        <v>676.23273971753667</v>
      </c>
      <c r="AW218" s="216">
        <v>683.74950367035615</v>
      </c>
      <c r="AX218" s="216">
        <v>691.34982131261393</v>
      </c>
      <c r="AY218" s="216">
        <v>699.03462139756925</v>
      </c>
      <c r="AZ218" s="216">
        <v>706.80484300217358</v>
      </c>
      <c r="BA218" s="216">
        <v>714.6614356418263</v>
      </c>
      <c r="BB218" s="216">
        <v>722.60535938640351</v>
      </c>
      <c r="BC218" s="216">
        <v>730.63758497757897</v>
      </c>
      <c r="BD218" s="216">
        <v>738.75909394744701</v>
      </c>
      <c r="BE218" s="216">
        <v>746.97087873846635</v>
      </c>
      <c r="BF218" s="216">
        <v>755.27394282473415</v>
      </c>
      <c r="BG218" s="216">
        <v>763.66930083461136</v>
      </c>
      <c r="BH218" s="216">
        <v>772.15797867470837</v>
      </c>
      <c r="BI218" s="216">
        <v>780.74101365525121</v>
      </c>
      <c r="BJ218" s="216">
        <v>789.41945461683918</v>
      </c>
      <c r="BK218" s="216">
        <v>798.19436205861268</v>
      </c>
      <c r="BL218" s="216">
        <v>807.06680826784532</v>
      </c>
    </row>
    <row r="219" spans="1:64">
      <c r="A219" t="s">
        <v>100</v>
      </c>
      <c r="B219">
        <v>593</v>
      </c>
      <c r="C219">
        <v>640</v>
      </c>
      <c r="D219">
        <v>651</v>
      </c>
      <c r="E219">
        <v>654</v>
      </c>
      <c r="F219">
        <v>638</v>
      </c>
      <c r="G219">
        <v>670</v>
      </c>
      <c r="H219">
        <v>697</v>
      </c>
      <c r="I219">
        <v>742</v>
      </c>
      <c r="J219">
        <v>767</v>
      </c>
      <c r="K219">
        <v>772</v>
      </c>
      <c r="L219">
        <v>773</v>
      </c>
      <c r="M219">
        <v>774</v>
      </c>
      <c r="N219">
        <v>810</v>
      </c>
      <c r="O219">
        <v>821</v>
      </c>
      <c r="P219">
        <v>816</v>
      </c>
      <c r="Q219">
        <v>824</v>
      </c>
      <c r="R219">
        <v>808</v>
      </c>
      <c r="S219">
        <v>823</v>
      </c>
      <c r="T219">
        <v>825</v>
      </c>
      <c r="U219">
        <v>829</v>
      </c>
      <c r="V219">
        <v>860</v>
      </c>
      <c r="W219">
        <v>854</v>
      </c>
      <c r="X219">
        <v>872</v>
      </c>
      <c r="Y219" s="216">
        <v>876</v>
      </c>
      <c r="Z219" s="216">
        <v>879.88972391203208</v>
      </c>
      <c r="AA219" s="216">
        <v>887.42898745471791</v>
      </c>
      <c r="AB219" s="216">
        <v>895.03285056394202</v>
      </c>
      <c r="AC219" s="216">
        <v>902.70186675583659</v>
      </c>
      <c r="AD219" s="216">
        <v>910.43659428929197</v>
      </c>
      <c r="AE219" s="216">
        <v>918.23759620659428</v>
      </c>
      <c r="AF219" s="216">
        <v>926.10544037441207</v>
      </c>
      <c r="AG219" s="216">
        <v>934.04069952513248</v>
      </c>
      <c r="AH219" s="216">
        <v>942.04395129855448</v>
      </c>
      <c r="AI219" s="216">
        <v>950.11577828393592</v>
      </c>
      <c r="AJ219" s="216">
        <v>958.25676806240369</v>
      </c>
      <c r="AK219" s="216">
        <v>966.46751324972593</v>
      </c>
      <c r="AL219" s="216">
        <v>974.74861153945039</v>
      </c>
      <c r="AM219" s="216">
        <v>983.10066574641348</v>
      </c>
      <c r="AN219" s="216">
        <v>991.52428385062183</v>
      </c>
      <c r="AO219" s="216">
        <v>1000.0200790415088</v>
      </c>
      <c r="AP219" s="216">
        <v>1008.5886697625721</v>
      </c>
      <c r="AQ219" s="216">
        <v>1017.2306797563919</v>
      </c>
      <c r="AR219" s="216">
        <v>1025.946738110036</v>
      </c>
      <c r="AS219" s="216">
        <v>1034.7374793008535</v>
      </c>
      <c r="AT219" s="216">
        <v>1043.6035432426611</v>
      </c>
      <c r="AU219" s="216">
        <v>1052.5455753323254</v>
      </c>
      <c r="AV219" s="216">
        <v>1061.564226496743</v>
      </c>
      <c r="AW219" s="216">
        <v>1070.6601532402253</v>
      </c>
      <c r="AX219" s="216">
        <v>1079.8340176922864</v>
      </c>
      <c r="AY219" s="216">
        <v>1089.0864876558446</v>
      </c>
      <c r="AZ219" s="216">
        <v>1098.4182366558323</v>
      </c>
      <c r="BA219" s="216">
        <v>1107.829943988226</v>
      </c>
      <c r="BB219" s="216">
        <v>1117.3222947694942</v>
      </c>
      <c r="BC219" s="216">
        <v>1126.8959799864704</v>
      </c>
      <c r="BD219" s="216">
        <v>1136.5516965466522</v>
      </c>
      <c r="BE219" s="216">
        <v>1146.2901473289332</v>
      </c>
      <c r="BF219" s="216">
        <v>1156.1120412347668</v>
      </c>
      <c r="BG219" s="216">
        <v>1166.0180932397709</v>
      </c>
      <c r="BH219" s="216">
        <v>1176.0090244457747</v>
      </c>
      <c r="BI219" s="216">
        <v>1186.0855621333092</v>
      </c>
      <c r="BJ219" s="216">
        <v>1196.2484398145489</v>
      </c>
      <c r="BK219" s="216">
        <v>1206.4983972867085</v>
      </c>
      <c r="BL219" s="216">
        <v>1216.8361806858952</v>
      </c>
    </row>
    <row r="220" spans="1:64">
      <c r="A220" t="s">
        <v>101</v>
      </c>
      <c r="B220">
        <v>143</v>
      </c>
      <c r="C220">
        <v>163</v>
      </c>
      <c r="D220">
        <v>158</v>
      </c>
      <c r="E220">
        <v>161</v>
      </c>
      <c r="F220">
        <v>145</v>
      </c>
      <c r="G220">
        <v>141</v>
      </c>
      <c r="H220">
        <v>145</v>
      </c>
      <c r="I220">
        <v>148</v>
      </c>
      <c r="J220">
        <v>140</v>
      </c>
      <c r="K220">
        <v>129</v>
      </c>
      <c r="L220">
        <v>144</v>
      </c>
      <c r="M220">
        <v>140</v>
      </c>
      <c r="N220">
        <v>139</v>
      </c>
      <c r="O220">
        <v>128</v>
      </c>
      <c r="P220">
        <v>125</v>
      </c>
      <c r="Q220">
        <v>119</v>
      </c>
      <c r="R220">
        <v>112</v>
      </c>
      <c r="S220">
        <v>96</v>
      </c>
      <c r="T220">
        <v>91</v>
      </c>
      <c r="U220">
        <v>83</v>
      </c>
      <c r="V220">
        <v>85</v>
      </c>
      <c r="W220">
        <v>69</v>
      </c>
      <c r="X220">
        <v>76</v>
      </c>
      <c r="Y220" s="216">
        <v>79</v>
      </c>
      <c r="Z220" s="216">
        <v>77.762176090394405</v>
      </c>
      <c r="AA220" s="216">
        <v>75.13548742157171</v>
      </c>
      <c r="AB220" s="216">
        <v>72.597524322297119</v>
      </c>
      <c r="AC220" s="216">
        <v>70.145289777056377</v>
      </c>
      <c r="AD220" s="216">
        <v>67.775888004985362</v>
      </c>
      <c r="AE220" s="216">
        <v>65.486521040316745</v>
      </c>
      <c r="AF220" s="216">
        <v>63.274485428334081</v>
      </c>
      <c r="AG220" s="216">
        <v>61.137169032931375</v>
      </c>
      <c r="AH220" s="216">
        <v>59.072047952008646</v>
      </c>
      <c r="AI220" s="216">
        <v>57.076683537060653</v>
      </c>
      <c r="AJ220" s="216">
        <v>55.148719513439438</v>
      </c>
      <c r="AK220" s="216">
        <v>53.285879197890111</v>
      </c>
      <c r="AL220" s="216">
        <v>51.485962810073872</v>
      </c>
      <c r="AM220" s="216">
        <v>49.746844874903928</v>
      </c>
      <c r="AN220" s="216">
        <v>48.066471712626502</v>
      </c>
      <c r="AO220" s="216">
        <v>46.442859013683012</v>
      </c>
      <c r="AP220" s="216">
        <v>44.874089495489955</v>
      </c>
      <c r="AQ220" s="216">
        <v>43.358310638368962</v>
      </c>
      <c r="AR220" s="216">
        <v>41.893732497953899</v>
      </c>
      <c r="AS220" s="216">
        <v>40.478625591491465</v>
      </c>
      <c r="AT220" s="216">
        <v>39.111318855539402</v>
      </c>
      <c r="AU220" s="216">
        <v>37.790197672650486</v>
      </c>
      <c r="AV220" s="216">
        <v>36.513701964712311</v>
      </c>
      <c r="AW220" s="216">
        <v>35.280324350690954</v>
      </c>
      <c r="AX220" s="216">
        <v>34.088608366603459</v>
      </c>
      <c r="AY220" s="216">
        <v>32.937146745616843</v>
      </c>
      <c r="AZ220" s="216">
        <v>31.824579756242816</v>
      </c>
      <c r="BA220" s="216">
        <v>30.749593596665768</v>
      </c>
      <c r="BB220" s="216">
        <v>29.710918843307855</v>
      </c>
      <c r="BC220" s="216">
        <v>28.707328951799301</v>
      </c>
      <c r="BD220" s="216">
        <v>27.737638808583629</v>
      </c>
      <c r="BE220" s="216">
        <v>26.800703331447423</v>
      </c>
      <c r="BF220" s="216">
        <v>25.895416117322146</v>
      </c>
      <c r="BG220" s="216">
        <v>25.020708135761158</v>
      </c>
      <c r="BH220" s="216">
        <v>24.17554646654904</v>
      </c>
      <c r="BI220" s="216">
        <v>23.35893307995266</v>
      </c>
      <c r="BJ220" s="216">
        <v>22.56990365817342</v>
      </c>
      <c r="BK220" s="216">
        <v>21.807526456609132</v>
      </c>
      <c r="BL220" s="216">
        <v>21.070901203580721</v>
      </c>
    </row>
    <row r="221" spans="1:64">
      <c r="A221" t="s">
        <v>102</v>
      </c>
      <c r="B221">
        <v>188</v>
      </c>
      <c r="C221">
        <v>195</v>
      </c>
      <c r="D221">
        <v>196</v>
      </c>
      <c r="E221">
        <v>208</v>
      </c>
      <c r="F221">
        <v>204</v>
      </c>
      <c r="G221">
        <v>226</v>
      </c>
      <c r="H221">
        <v>224</v>
      </c>
      <c r="I221">
        <v>224</v>
      </c>
      <c r="J221">
        <v>218</v>
      </c>
      <c r="K221">
        <v>230</v>
      </c>
      <c r="L221">
        <v>211</v>
      </c>
      <c r="M221">
        <v>221</v>
      </c>
      <c r="N221">
        <v>228</v>
      </c>
      <c r="O221">
        <v>216</v>
      </c>
      <c r="P221">
        <v>231</v>
      </c>
      <c r="Q221">
        <v>222</v>
      </c>
      <c r="R221">
        <v>223</v>
      </c>
      <c r="S221">
        <v>234</v>
      </c>
      <c r="T221">
        <v>245</v>
      </c>
      <c r="U221">
        <v>251</v>
      </c>
      <c r="V221">
        <v>257</v>
      </c>
      <c r="W221">
        <v>275</v>
      </c>
      <c r="X221">
        <v>272</v>
      </c>
      <c r="Y221" s="216">
        <v>282</v>
      </c>
      <c r="Z221" s="216">
        <v>269.08938355257726</v>
      </c>
      <c r="AA221" s="216">
        <v>272.76393301267302</v>
      </c>
      <c r="AB221" s="216">
        <v>276.4886602744956</v>
      </c>
      <c r="AC221" s="216">
        <v>280.2642505409014</v>
      </c>
      <c r="AD221" s="216">
        <v>284.09139837153293</v>
      </c>
      <c r="AE221" s="216">
        <v>287.9708078105902</v>
      </c>
      <c r="AF221" s="216">
        <v>291.90319251634725</v>
      </c>
      <c r="AG221" s="216">
        <v>295.88927589243707</v>
      </c>
      <c r="AH221" s="216">
        <v>299.92979122092913</v>
      </c>
      <c r="AI221" s="216">
        <v>304.02548179722487</v>
      </c>
      <c r="AJ221" s="216">
        <v>308.17710106679397</v>
      </c>
      <c r="AK221" s="216">
        <v>312.38541276377924</v>
      </c>
      <c r="AL221" s="216">
        <v>316.65119105149324</v>
      </c>
      <c r="AM221" s="216">
        <v>320.97522066483401</v>
      </c>
      <c r="AN221" s="216">
        <v>325.35829705464499</v>
      </c>
      <c r="AO221" s="216">
        <v>329.80122653404686</v>
      </c>
      <c r="AP221" s="216">
        <v>334.30482642676736</v>
      </c>
      <c r="AQ221" s="216">
        <v>338.86992521749642</v>
      </c>
      <c r="AR221" s="216">
        <v>343.49736270429474</v>
      </c>
      <c r="AS221" s="216">
        <v>348.18799015308355</v>
      </c>
      <c r="AT221" s="216">
        <v>352.94267045424397</v>
      </c>
      <c r="AU221" s="216">
        <v>357.76227828135472</v>
      </c>
      <c r="AV221" s="216">
        <v>362.64770025209754</v>
      </c>
      <c r="AW221" s="216">
        <v>367.59983509135975</v>
      </c>
      <c r="AX221" s="216">
        <v>372.61959379656457</v>
      </c>
      <c r="AY221" s="216">
        <v>377.70789980525836</v>
      </c>
      <c r="AZ221" s="216">
        <v>382.86568916498658</v>
      </c>
      <c r="BA221" s="216">
        <v>388.09391070549009</v>
      </c>
      <c r="BB221" s="216">
        <v>393.39352621325196</v>
      </c>
      <c r="BC221" s="216">
        <v>398.76551060842837</v>
      </c>
      <c r="BD221" s="216">
        <v>404.21085212419553</v>
      </c>
      <c r="BE221" s="216">
        <v>409.73055248854524</v>
      </c>
      <c r="BF221" s="216">
        <v>415.32562710856399</v>
      </c>
      <c r="BG221" s="216">
        <v>420.99710525722725</v>
      </c>
      <c r="BH221" s="216">
        <v>426.74603026274525</v>
      </c>
      <c r="BI221" s="216">
        <v>432.5734597004942</v>
      </c>
      <c r="BJ221" s="216">
        <v>438.48046558756829</v>
      </c>
      <c r="BK221" s="216">
        <v>444.46813457998888</v>
      </c>
      <c r="BL221" s="216">
        <v>450.53756817260609</v>
      </c>
    </row>
    <row r="222" spans="1:64">
      <c r="A222" t="s">
        <v>103</v>
      </c>
      <c r="B222">
        <v>465</v>
      </c>
      <c r="C222">
        <v>498</v>
      </c>
      <c r="D222">
        <v>525</v>
      </c>
      <c r="E222">
        <v>532</v>
      </c>
      <c r="F222">
        <v>537</v>
      </c>
      <c r="G222">
        <v>535</v>
      </c>
      <c r="H222">
        <v>539</v>
      </c>
      <c r="I222">
        <v>538</v>
      </c>
      <c r="J222">
        <v>556</v>
      </c>
      <c r="K222">
        <v>562</v>
      </c>
      <c r="L222">
        <v>580</v>
      </c>
      <c r="M222">
        <v>578</v>
      </c>
      <c r="N222">
        <v>577</v>
      </c>
      <c r="O222">
        <v>573</v>
      </c>
      <c r="P222">
        <v>556</v>
      </c>
      <c r="Q222">
        <v>584</v>
      </c>
      <c r="R222">
        <v>569</v>
      </c>
      <c r="S222">
        <v>543</v>
      </c>
      <c r="T222">
        <v>559</v>
      </c>
      <c r="U222">
        <v>563</v>
      </c>
      <c r="V222">
        <v>572</v>
      </c>
      <c r="W222">
        <v>578</v>
      </c>
      <c r="X222">
        <v>597</v>
      </c>
      <c r="Y222" s="216">
        <v>607</v>
      </c>
      <c r="Z222" s="216">
        <v>601.68864958343045</v>
      </c>
      <c r="AA222" s="216">
        <v>605.65556117129609</v>
      </c>
      <c r="AB222" s="216">
        <v>609.64862646433278</v>
      </c>
      <c r="AC222" s="216">
        <v>613.6680178929762</v>
      </c>
      <c r="AD222" s="216">
        <v>617.71390902449014</v>
      </c>
      <c r="AE222" s="216">
        <v>621.78647457046065</v>
      </c>
      <c r="AF222" s="216">
        <v>625.88589039434123</v>
      </c>
      <c r="AG222" s="216">
        <v>630.01233351904682</v>
      </c>
      <c r="AH222" s="216">
        <v>634.16598213459793</v>
      </c>
      <c r="AI222" s="216">
        <v>638.34701560581527</v>
      </c>
      <c r="AJ222" s="216">
        <v>642.55561448006586</v>
      </c>
      <c r="AK222" s="216">
        <v>646.79196049505856</v>
      </c>
      <c r="AL222" s="216">
        <v>651.05623658669253</v>
      </c>
      <c r="AM222" s="216">
        <v>655.34862689695683</v>
      </c>
      <c r="AN222" s="216">
        <v>659.669316781882</v>
      </c>
      <c r="AO222" s="216">
        <v>664.01849281954389</v>
      </c>
      <c r="AP222" s="216">
        <v>668.39634281812152</v>
      </c>
      <c r="AQ222" s="216">
        <v>672.8030558240057</v>
      </c>
      <c r="AR222" s="216">
        <v>677.23882212996398</v>
      </c>
      <c r="AS222" s="216">
        <v>681.70383328335652</v>
      </c>
      <c r="AT222" s="216">
        <v>686.19828209440936</v>
      </c>
      <c r="AU222" s="216">
        <v>690.72236264453841</v>
      </c>
      <c r="AV222" s="216">
        <v>695.27627029473183</v>
      </c>
      <c r="AW222" s="216">
        <v>699.86020169398569</v>
      </c>
      <c r="AX222" s="216">
        <v>704.47435478779596</v>
      </c>
      <c r="AY222" s="216">
        <v>709.11892882670566</v>
      </c>
      <c r="AZ222" s="216">
        <v>713.79412437490998</v>
      </c>
      <c r="BA222" s="216">
        <v>718.50014331891646</v>
      </c>
      <c r="BB222" s="216">
        <v>723.23718887626285</v>
      </c>
      <c r="BC222" s="216">
        <v>728.00546560429302</v>
      </c>
      <c r="BD222" s="216">
        <v>732.80517940899028</v>
      </c>
      <c r="BE222" s="216">
        <v>737.63653755386804</v>
      </c>
      <c r="BF222" s="216">
        <v>742.49974866892137</v>
      </c>
      <c r="BG222" s="216">
        <v>747.3950227596348</v>
      </c>
      <c r="BH222" s="216">
        <v>752.32257121605141</v>
      </c>
      <c r="BI222" s="216">
        <v>757.28260682190182</v>
      </c>
      <c r="BJ222" s="216">
        <v>762.2753437637914</v>
      </c>
      <c r="BK222" s="216">
        <v>767.30099764045076</v>
      </c>
      <c r="BL222" s="216">
        <v>772.35978547204445</v>
      </c>
    </row>
    <row r="223" spans="1:64">
      <c r="A223" t="s">
        <v>32</v>
      </c>
      <c r="B223">
        <v>220</v>
      </c>
      <c r="C223">
        <v>233</v>
      </c>
      <c r="D223">
        <v>239</v>
      </c>
      <c r="E223">
        <v>241</v>
      </c>
      <c r="F223">
        <v>243</v>
      </c>
      <c r="G223">
        <v>250</v>
      </c>
      <c r="H223">
        <v>250</v>
      </c>
      <c r="I223">
        <v>259</v>
      </c>
      <c r="J223">
        <v>255</v>
      </c>
      <c r="K223">
        <v>256</v>
      </c>
      <c r="L223">
        <v>244</v>
      </c>
      <c r="M223">
        <v>247</v>
      </c>
      <c r="N223">
        <v>259</v>
      </c>
      <c r="O223">
        <v>261</v>
      </c>
      <c r="P223">
        <v>253</v>
      </c>
      <c r="Q223">
        <v>253</v>
      </c>
      <c r="R223">
        <v>260</v>
      </c>
      <c r="S223">
        <v>261</v>
      </c>
      <c r="T223">
        <v>260</v>
      </c>
      <c r="U223">
        <v>262</v>
      </c>
      <c r="V223">
        <v>264</v>
      </c>
      <c r="W223">
        <v>269</v>
      </c>
      <c r="X223">
        <v>295</v>
      </c>
      <c r="Y223" s="216">
        <v>308</v>
      </c>
      <c r="Z223" s="216">
        <v>282.76093021239024</v>
      </c>
      <c r="AA223" s="216">
        <v>285.07828421601528</v>
      </c>
      <c r="AB223" s="216">
        <v>287.41462998619761</v>
      </c>
      <c r="AC223" s="216">
        <v>289.77012316907349</v>
      </c>
      <c r="AD223" s="216">
        <v>292.1449206863698</v>
      </c>
      <c r="AE223" s="216">
        <v>294.539180745858</v>
      </c>
      <c r="AF223" s="216">
        <v>296.95306285189429</v>
      </c>
      <c r="AG223" s="216">
        <v>299.38672781604498</v>
      </c>
      <c r="AH223" s="216">
        <v>301.84033776780029</v>
      </c>
      <c r="AI223" s="216">
        <v>304.31405616537506</v>
      </c>
      <c r="AJ223" s="216">
        <v>306.80804780659827</v>
      </c>
      <c r="AK223" s="216">
        <v>309.32247883989191</v>
      </c>
      <c r="AL223" s="216">
        <v>311.85751677533943</v>
      </c>
      <c r="AM223" s="216">
        <v>314.41333049584551</v>
      </c>
      <c r="AN223" s="216">
        <v>316.99009026838672</v>
      </c>
      <c r="AO223" s="216">
        <v>319.58796775535478</v>
      </c>
      <c r="AP223" s="216">
        <v>322.20713602599238</v>
      </c>
      <c r="AQ223" s="216">
        <v>324.84776956792314</v>
      </c>
      <c r="AR223" s="216">
        <v>327.51004429877599</v>
      </c>
      <c r="AS223" s="216">
        <v>330.19413757790443</v>
      </c>
      <c r="AT223" s="216">
        <v>332.9002282182023</v>
      </c>
      <c r="AU223" s="216">
        <v>335.62849649801626</v>
      </c>
      <c r="AV223" s="216">
        <v>338.3791241731555</v>
      </c>
      <c r="AW223" s="216">
        <v>341.15229448900078</v>
      </c>
      <c r="AX223" s="216">
        <v>343.94819219271153</v>
      </c>
      <c r="AY223" s="216">
        <v>346.76700354553418</v>
      </c>
      <c r="AZ223" s="216">
        <v>349.60891633521027</v>
      </c>
      <c r="BA223" s="216">
        <v>352.47411988848717</v>
      </c>
      <c r="BB223" s="216">
        <v>355.36280508373062</v>
      </c>
      <c r="BC223" s="216">
        <v>358.27516436364118</v>
      </c>
      <c r="BD223" s="216">
        <v>361.21139174807462</v>
      </c>
      <c r="BE223" s="216">
        <v>364.17168284696737</v>
      </c>
      <c r="BF223" s="216">
        <v>367.15623487336791</v>
      </c>
      <c r="BG223" s="216">
        <v>370.16524665657505</v>
      </c>
      <c r="BH223" s="216">
        <v>373.19891865538386</v>
      </c>
      <c r="BI223" s="216">
        <v>376.25745297144016</v>
      </c>
      <c r="BJ223" s="216">
        <v>379.3410533627042</v>
      </c>
      <c r="BK223" s="216">
        <v>382.44992525702537</v>
      </c>
      <c r="BL223" s="216">
        <v>385.5842757658271</v>
      </c>
    </row>
    <row r="224" spans="1:64">
      <c r="A224" t="s">
        <v>1168</v>
      </c>
      <c r="K224">
        <v>130</v>
      </c>
      <c r="L224">
        <v>131</v>
      </c>
      <c r="M224">
        <v>103</v>
      </c>
      <c r="N224">
        <v>96</v>
      </c>
      <c r="O224">
        <v>87</v>
      </c>
      <c r="P224">
        <v>81</v>
      </c>
      <c r="Q224">
        <v>110</v>
      </c>
      <c r="R224">
        <v>119</v>
      </c>
      <c r="S224">
        <v>130</v>
      </c>
      <c r="T224">
        <v>118</v>
      </c>
      <c r="U224">
        <v>114</v>
      </c>
      <c r="V224">
        <v>109</v>
      </c>
      <c r="W224">
        <v>115</v>
      </c>
      <c r="X224">
        <v>114</v>
      </c>
      <c r="Y224" s="216">
        <v>117</v>
      </c>
      <c r="Z224" s="216">
        <v>114.5318511982574</v>
      </c>
      <c r="AA224" s="216">
        <v>115.03110623426753</v>
      </c>
      <c r="AB224" s="216">
        <v>115.53253756960726</v>
      </c>
      <c r="AC224" s="216">
        <v>116.03615469096864</v>
      </c>
      <c r="AD224" s="216">
        <v>116.54196712639705</v>
      </c>
      <c r="AE224" s="216">
        <v>117.04998444547158</v>
      </c>
      <c r="AF224" s="216">
        <v>117.56021625948593</v>
      </c>
      <c r="AG224" s="216">
        <v>118.07267222163037</v>
      </c>
      <c r="AH224" s="216">
        <v>118.58736202717432</v>
      </c>
      <c r="AI224" s="216">
        <v>119.10429541364982</v>
      </c>
      <c r="AJ224" s="216">
        <v>119.62348216103567</v>
      </c>
      <c r="AK224" s="216">
        <v>120.14493209194251</v>
      </c>
      <c r="AL224" s="216">
        <v>120.6686550717987</v>
      </c>
      <c r="AM224" s="216">
        <v>121.19466100903688</v>
      </c>
      <c r="AN224" s="216">
        <v>121.7229598552815</v>
      </c>
      <c r="AO224" s="216">
        <v>122.2535616055371</v>
      </c>
      <c r="AP224" s="216">
        <v>122.78647629837729</v>
      </c>
      <c r="AQ224" s="216">
        <v>123.32171401613485</v>
      </c>
      <c r="AR224" s="216">
        <v>123.85928488509231</v>
      </c>
      <c r="AS224" s="216">
        <v>124.39919907567371</v>
      </c>
      <c r="AT224" s="216">
        <v>124.94146680263681</v>
      </c>
      <c r="AU224" s="216">
        <v>125.48609832526652</v>
      </c>
      <c r="AV224" s="216">
        <v>126.03310394756895</v>
      </c>
      <c r="AW224" s="216">
        <v>126.58249401846626</v>
      </c>
      <c r="AX224" s="216">
        <v>127.13427893199258</v>
      </c>
      <c r="AY224" s="216">
        <v>127.68846912749061</v>
      </c>
      <c r="AZ224" s="216">
        <v>128.24507508980909</v>
      </c>
      <c r="BA224" s="216">
        <v>128.80410734950121</v>
      </c>
      <c r="BB224" s="216">
        <v>129.36557648302386</v>
      </c>
      <c r="BC224" s="216">
        <v>129.92949311293756</v>
      </c>
      <c r="BD224" s="216">
        <v>130.49586790810775</v>
      </c>
      <c r="BE224" s="216">
        <v>131.06471158390636</v>
      </c>
      <c r="BF224" s="216">
        <v>131.63603490241459</v>
      </c>
      <c r="BG224" s="216">
        <v>132.20984867262663</v>
      </c>
      <c r="BH224" s="216">
        <v>132.78616375065403</v>
      </c>
      <c r="BI224" s="216">
        <v>133.36499103993114</v>
      </c>
      <c r="BJ224" s="216">
        <v>133.94634149142149</v>
      </c>
      <c r="BK224" s="216">
        <v>134.53022610382476</v>
      </c>
      <c r="BL224" s="216">
        <v>135.11665592378506</v>
      </c>
    </row>
    <row r="225" spans="1:64">
      <c r="A225" t="s">
        <v>551</v>
      </c>
      <c r="B225">
        <v>8878</v>
      </c>
      <c r="C225">
        <v>9059</v>
      </c>
      <c r="D225">
        <v>9083</v>
      </c>
      <c r="E225">
        <v>8941</v>
      </c>
      <c r="F225">
        <v>8868</v>
      </c>
      <c r="G225">
        <v>8650</v>
      </c>
      <c r="H225">
        <v>8708</v>
      </c>
      <c r="I225">
        <v>8722</v>
      </c>
      <c r="J225">
        <v>8681</v>
      </c>
      <c r="K225">
        <v>8835</v>
      </c>
      <c r="L225">
        <v>8737</v>
      </c>
      <c r="M225">
        <v>8812</v>
      </c>
      <c r="N225">
        <v>8918</v>
      </c>
      <c r="O225">
        <v>8860</v>
      </c>
      <c r="P225">
        <v>8990</v>
      </c>
      <c r="Q225">
        <v>9043</v>
      </c>
      <c r="R225">
        <v>8678</v>
      </c>
      <c r="S225">
        <v>8698</v>
      </c>
      <c r="T225">
        <v>8730</v>
      </c>
      <c r="U225">
        <v>8881</v>
      </c>
      <c r="V225">
        <v>9022</v>
      </c>
      <c r="W225">
        <v>9055</v>
      </c>
      <c r="X225">
        <v>9034</v>
      </c>
      <c r="Y225" s="216">
        <v>9061</v>
      </c>
      <c r="Z225" s="216">
        <v>8920.6384460259269</v>
      </c>
      <c r="AA225" s="216">
        <v>8924.5807841308724</v>
      </c>
      <c r="AB225" s="216">
        <v>8928.5248644911317</v>
      </c>
      <c r="AC225" s="216">
        <v>8932.4706878766665</v>
      </c>
      <c r="AD225" s="216">
        <v>8936.4182550577825</v>
      </c>
      <c r="AE225" s="216">
        <v>8940.3675668051219</v>
      </c>
      <c r="AF225" s="216">
        <v>8944.3186238896651</v>
      </c>
      <c r="AG225" s="216">
        <v>8948.2714270827419</v>
      </c>
      <c r="AH225" s="216">
        <v>8952.2259771560166</v>
      </c>
      <c r="AI225" s="216">
        <v>8956.1822748814957</v>
      </c>
      <c r="AJ225" s="216">
        <v>8960.1403210315257</v>
      </c>
      <c r="AK225" s="216">
        <v>8964.1001163787951</v>
      </c>
      <c r="AL225" s="216">
        <v>8968.0616616963398</v>
      </c>
      <c r="AM225" s="216">
        <v>8972.024957757525</v>
      </c>
      <c r="AN225" s="216">
        <v>8975.9900053360707</v>
      </c>
      <c r="AO225" s="216">
        <v>8979.9568052060313</v>
      </c>
      <c r="AP225" s="216">
        <v>8983.9253581418016</v>
      </c>
      <c r="AQ225" s="216">
        <v>8987.8956649181237</v>
      </c>
      <c r="AR225" s="216">
        <v>8991.8677263100835</v>
      </c>
      <c r="AS225" s="216">
        <v>8995.8415430931036</v>
      </c>
      <c r="AT225" s="216">
        <v>8999.8171160429501</v>
      </c>
      <c r="AU225" s="216">
        <v>9003.7944459357368</v>
      </c>
      <c r="AV225" s="216">
        <v>9007.7735335479156</v>
      </c>
      <c r="AW225" s="216">
        <v>9011.7543796562859</v>
      </c>
      <c r="AX225" s="216">
        <v>9015.7369850379837</v>
      </c>
      <c r="AY225" s="216">
        <v>9019.7213504704941</v>
      </c>
      <c r="AZ225" s="216">
        <v>9023.7074767316481</v>
      </c>
      <c r="BA225" s="216">
        <v>9027.6953645996109</v>
      </c>
      <c r="BB225" s="216">
        <v>9031.6850148529029</v>
      </c>
      <c r="BC225" s="216">
        <v>9035.6764282703789</v>
      </c>
      <c r="BD225" s="216">
        <v>9039.669605631243</v>
      </c>
      <c r="BE225" s="216">
        <v>9043.6645477150432</v>
      </c>
      <c r="BF225" s="216">
        <v>9047.661255301673</v>
      </c>
      <c r="BG225" s="216">
        <v>9051.6597291713661</v>
      </c>
      <c r="BH225" s="216">
        <v>9055.6599701047053</v>
      </c>
      <c r="BI225" s="216">
        <v>9059.6619788826174</v>
      </c>
      <c r="BJ225" s="216">
        <v>9063.6657562863729</v>
      </c>
      <c r="BK225" s="216">
        <v>9067.6713030975916</v>
      </c>
      <c r="BL225" s="216">
        <v>9071.6786200982315</v>
      </c>
    </row>
    <row r="226" spans="1:64">
      <c r="A226" t="s">
        <v>20</v>
      </c>
      <c r="B226">
        <v>726</v>
      </c>
      <c r="C226">
        <v>758</v>
      </c>
      <c r="D226">
        <v>786</v>
      </c>
      <c r="E226">
        <v>798</v>
      </c>
      <c r="F226">
        <v>775</v>
      </c>
      <c r="G226">
        <v>778</v>
      </c>
      <c r="H226">
        <v>815</v>
      </c>
      <c r="I226">
        <v>811</v>
      </c>
      <c r="J226">
        <v>825</v>
      </c>
      <c r="K226">
        <v>811</v>
      </c>
      <c r="L226">
        <v>796</v>
      </c>
      <c r="M226">
        <v>808</v>
      </c>
      <c r="N226">
        <v>813</v>
      </c>
      <c r="O226">
        <v>851</v>
      </c>
      <c r="P226">
        <v>818</v>
      </c>
      <c r="Q226">
        <v>847</v>
      </c>
      <c r="R226">
        <v>840</v>
      </c>
      <c r="S226">
        <v>850</v>
      </c>
      <c r="T226">
        <v>881</v>
      </c>
      <c r="U226">
        <v>920</v>
      </c>
      <c r="V226">
        <v>915</v>
      </c>
      <c r="W226">
        <v>909</v>
      </c>
      <c r="X226">
        <v>926</v>
      </c>
      <c r="Y226" s="216">
        <v>967</v>
      </c>
      <c r="Z226" s="216">
        <v>934.44226212536034</v>
      </c>
      <c r="AA226" s="216">
        <v>943.13073572297174</v>
      </c>
      <c r="AB226" s="216">
        <v>951.89999502186834</v>
      </c>
      <c r="AC226" s="216">
        <v>960.75079117004634</v>
      </c>
      <c r="AD226" s="216">
        <v>969.68388229969969</v>
      </c>
      <c r="AE226" s="216">
        <v>978.70003359215912</v>
      </c>
      <c r="AF226" s="216">
        <v>987.80001734343546</v>
      </c>
      <c r="AG226" s="216">
        <v>996.98461303037288</v>
      </c>
      <c r="AH226" s="216">
        <v>1006.2546073774147</v>
      </c>
      <c r="AI226" s="216">
        <v>1015.6107944239939</v>
      </c>
      <c r="AJ226" s="216">
        <v>1025.0539755925467</v>
      </c>
      <c r="AK226" s="216">
        <v>1034.58495975716</v>
      </c>
      <c r="AL226" s="216">
        <v>1044.2045633128585</v>
      </c>
      <c r="AM226" s="216">
        <v>1053.9136102455323</v>
      </c>
      <c r="AN226" s="216">
        <v>1063.7129322025194</v>
      </c>
      <c r="AO226" s="216">
        <v>1073.6033685638399</v>
      </c>
      <c r="AP226" s="216">
        <v>1083.5857665140966</v>
      </c>
      <c r="AQ226" s="216">
        <v>1093.6609811150413</v>
      </c>
      <c r="AR226" s="216">
        <v>1103.8298753788167</v>
      </c>
      <c r="AS226" s="216">
        <v>1114.0933203418795</v>
      </c>
      <c r="AT226" s="216">
        <v>1124.4521951396107</v>
      </c>
      <c r="AU226" s="216">
        <v>1134.9073870816208</v>
      </c>
      <c r="AV226" s="216">
        <v>1145.4597917277517</v>
      </c>
      <c r="AW226" s="216">
        <v>1156.1103129647897</v>
      </c>
      <c r="AX226" s="216">
        <v>1166.8598630838887</v>
      </c>
      <c r="AY226" s="216">
        <v>1177.7093628587145</v>
      </c>
      <c r="AZ226" s="216">
        <v>1188.6597416243155</v>
      </c>
      <c r="BA226" s="216">
        <v>1199.7119373567266</v>
      </c>
      <c r="BB226" s="216">
        <v>1210.8668967533133</v>
      </c>
      <c r="BC226" s="216">
        <v>1222.1255753138635</v>
      </c>
      <c r="BD226" s="216">
        <v>1233.4889374224315</v>
      </c>
      <c r="BE226" s="216">
        <v>1244.9579564299461</v>
      </c>
      <c r="BF226" s="216">
        <v>1256.5336147375822</v>
      </c>
      <c r="BG226" s="216">
        <v>1268.2169038809132</v>
      </c>
      <c r="BH226" s="216">
        <v>1280.00882461484</v>
      </c>
      <c r="BI226" s="216">
        <v>1291.9103869993157</v>
      </c>
      <c r="BJ226" s="216">
        <v>1303.9226104858617</v>
      </c>
      <c r="BK226" s="216">
        <v>1316.046524004892</v>
      </c>
      <c r="BL226" s="216">
        <v>1328.2831660538479</v>
      </c>
    </row>
    <row r="227" spans="1:64">
      <c r="A227" t="s">
        <v>253</v>
      </c>
      <c r="B227">
        <v>67</v>
      </c>
      <c r="C227">
        <v>66</v>
      </c>
      <c r="D227">
        <v>65</v>
      </c>
      <c r="E227">
        <v>62</v>
      </c>
      <c r="F227">
        <v>60</v>
      </c>
      <c r="G227">
        <v>60</v>
      </c>
      <c r="H227">
        <v>58</v>
      </c>
      <c r="I227">
        <v>57</v>
      </c>
      <c r="J227">
        <v>55</v>
      </c>
      <c r="K227">
        <v>124</v>
      </c>
      <c r="L227">
        <v>112</v>
      </c>
      <c r="M227">
        <v>124</v>
      </c>
      <c r="N227">
        <v>138</v>
      </c>
      <c r="O227">
        <v>131</v>
      </c>
      <c r="P227">
        <v>127</v>
      </c>
      <c r="Q227">
        <v>111</v>
      </c>
      <c r="R227">
        <v>130</v>
      </c>
      <c r="S227">
        <v>145</v>
      </c>
      <c r="T227">
        <v>141</v>
      </c>
      <c r="U227">
        <v>147</v>
      </c>
      <c r="V227">
        <v>148</v>
      </c>
      <c r="W227">
        <v>155</v>
      </c>
      <c r="X227">
        <v>138</v>
      </c>
      <c r="Y227" s="216">
        <v>149</v>
      </c>
      <c r="Z227" s="216">
        <v>184.1929583452056</v>
      </c>
      <c r="AA227" s="216">
        <v>193.45460649262156</v>
      </c>
      <c r="AB227" s="216">
        <v>203.18195173930317</v>
      </c>
      <c r="AC227" s="216">
        <v>213.39841041297237</v>
      </c>
      <c r="AD227" s="216">
        <v>224.12857626849168</v>
      </c>
      <c r="AE227" s="216">
        <v>235.39827969162513</v>
      </c>
      <c r="AF227" s="216">
        <v>247.23464987970178</v>
      </c>
      <c r="AG227" s="216">
        <v>259.6661801488662</v>
      </c>
      <c r="AH227" s="216">
        <v>272.72279652512907</v>
      </c>
      <c r="AI227" s="216">
        <v>286.43592978433435</v>
      </c>
      <c r="AJ227" s="216">
        <v>300.8385911144627</v>
      </c>
      <c r="AK227" s="216">
        <v>315.96545158241071</v>
      </c>
      <c r="AL227" s="216">
        <v>331.85292559654334</v>
      </c>
      <c r="AM227" s="216">
        <v>348.53925856593708</v>
      </c>
      <c r="AN227" s="216">
        <v>366.06461896733254</v>
      </c>
      <c r="AO227" s="216">
        <v>384.47119504142569</v>
      </c>
      <c r="AP227" s="216">
        <v>403.80329635127413</v>
      </c>
      <c r="AQ227" s="216">
        <v>424.10746044729308</v>
      </c>
      <c r="AR227" s="216">
        <v>445.43256489561509</v>
      </c>
      <c r="AS227" s="216">
        <v>467.82994493949542</v>
      </c>
      <c r="AT227" s="216">
        <v>491.35351707700408</v>
      </c>
      <c r="AU227" s="216">
        <v>516.05990885249059</v>
      </c>
      <c r="AV227" s="216">
        <v>542.00859517426466</v>
      </c>
      <c r="AW227" s="216">
        <v>569.26204148664317</v>
      </c>
      <c r="AX227" s="216">
        <v>597.88585414102192</v>
      </c>
      <c r="AY227" s="216">
        <v>627.94893832795071</v>
      </c>
      <c r="AZ227" s="216">
        <v>659.5236639503986</v>
      </c>
      <c r="BA227" s="216">
        <v>692.68603983751257</v>
      </c>
      <c r="BB227" s="216">
        <v>727.51589671824354</v>
      </c>
      <c r="BC227" s="216">
        <v>764.09707939531484</v>
      </c>
      <c r="BD227" s="216">
        <v>802.51764858213744</v>
      </c>
      <c r="BE227" s="216">
        <v>842.87009288855575</v>
      </c>
      <c r="BF227" s="216">
        <v>885.25155146572524</v>
      </c>
      <c r="BG227" s="216">
        <v>929.76404784608962</v>
      </c>
      <c r="BH227" s="216">
        <v>976.51473554137647</v>
      </c>
      <c r="BI227" s="216">
        <v>1025.6161559898228</v>
      </c>
      <c r="BJ227" s="216">
        <v>1077.1865094735895</v>
      </c>
      <c r="BK227" s="216">
        <v>1131.3499396585266</v>
      </c>
      <c r="BL227" s="216">
        <v>1188.2368324412562</v>
      </c>
    </row>
    <row r="228" spans="1:64">
      <c r="A228" t="s">
        <v>191</v>
      </c>
      <c r="B228">
        <v>100</v>
      </c>
      <c r="C228">
        <v>103</v>
      </c>
      <c r="D228">
        <v>117</v>
      </c>
      <c r="E228">
        <v>115</v>
      </c>
      <c r="F228">
        <v>112</v>
      </c>
      <c r="G228">
        <v>110</v>
      </c>
      <c r="H228">
        <v>102</v>
      </c>
      <c r="I228">
        <v>105</v>
      </c>
      <c r="J228">
        <v>103</v>
      </c>
      <c r="K228">
        <v>100</v>
      </c>
      <c r="L228">
        <v>98</v>
      </c>
      <c r="M228">
        <v>95</v>
      </c>
      <c r="N228">
        <v>74</v>
      </c>
      <c r="O228">
        <v>82</v>
      </c>
      <c r="P228">
        <v>96</v>
      </c>
      <c r="Q228">
        <v>91</v>
      </c>
      <c r="R228">
        <v>80</v>
      </c>
      <c r="S228">
        <v>75</v>
      </c>
      <c r="T228">
        <v>77</v>
      </c>
      <c r="U228">
        <v>86</v>
      </c>
      <c r="V228">
        <v>94</v>
      </c>
      <c r="W228">
        <v>84</v>
      </c>
      <c r="X228">
        <v>102</v>
      </c>
      <c r="Y228" s="216">
        <v>99</v>
      </c>
      <c r="Z228" s="216">
        <v>82.311576604423934</v>
      </c>
      <c r="AA228" s="216">
        <v>81.370620938890482</v>
      </c>
      <c r="AB228" s="216">
        <v>80.440421932396049</v>
      </c>
      <c r="AC228" s="216">
        <v>79.520856618771347</v>
      </c>
      <c r="AD228" s="216">
        <v>78.611803437551089</v>
      </c>
      <c r="AE228" s="216">
        <v>77.713142217904462</v>
      </c>
      <c r="AF228" s="216">
        <v>76.824754162749485</v>
      </c>
      <c r="AG228" s="216">
        <v>75.946521833048607</v>
      </c>
      <c r="AH228" s="216">
        <v>75.078329132284239</v>
      </c>
      <c r="AI228" s="216">
        <v>74.220061291111435</v>
      </c>
      <c r="AJ228" s="216">
        <v>73.371604852186181</v>
      </c>
      <c r="AK228" s="216">
        <v>72.532847655167117</v>
      </c>
      <c r="AL228" s="216">
        <v>71.703678821888602</v>
      </c>
      <c r="AM228" s="216">
        <v>70.883988741703419</v>
      </c>
      <c r="AN228" s="216">
        <v>70.073669056992983</v>
      </c>
      <c r="AO228" s="216">
        <v>69.272612648843094</v>
      </c>
      <c r="AP228" s="216">
        <v>68.480713622883599</v>
      </c>
      <c r="AQ228" s="216">
        <v>67.697867295289811</v>
      </c>
      <c r="AR228" s="216">
        <v>66.92397017894406</v>
      </c>
      <c r="AS228" s="216">
        <v>66.158919969755317</v>
      </c>
      <c r="AT228" s="216">
        <v>65.402615533135261</v>
      </c>
      <c r="AU228" s="216">
        <v>64.654956890629038</v>
      </c>
      <c r="AV228" s="216">
        <v>63.915845206698684</v>
      </c>
      <c r="AW228" s="216">
        <v>63.185182775657715</v>
      </c>
      <c r="AX228" s="216">
        <v>62.46287300875516</v>
      </c>
      <c r="AY228" s="216">
        <v>61.748820421407125</v>
      </c>
      <c r="AZ228" s="216">
        <v>61.042930620574317</v>
      </c>
      <c r="BA228" s="216">
        <v>60.345110292283955</v>
      </c>
      <c r="BB228" s="216">
        <v>59.655267189294293</v>
      </c>
      <c r="BC228" s="216">
        <v>58.973310118900116</v>
      </c>
      <c r="BD228" s="216">
        <v>58.299148930877649</v>
      </c>
      <c r="BE228" s="216">
        <v>57.632694505567315</v>
      </c>
      <c r="BF228" s="216">
        <v>56.973858742092723</v>
      </c>
      <c r="BG228" s="216">
        <v>56.322554546714287</v>
      </c>
      <c r="BH228" s="216">
        <v>55.678695821315983</v>
      </c>
      <c r="BI228" s="216">
        <v>55.042197452023835</v>
      </c>
      <c r="BJ228" s="216">
        <v>54.412975297954311</v>
      </c>
      <c r="BK228" s="216">
        <v>53.790946180091559</v>
      </c>
      <c r="BL228" s="216">
        <v>53.176027870291598</v>
      </c>
    </row>
    <row r="229" spans="1:64">
      <c r="A229" t="s">
        <v>1072</v>
      </c>
      <c r="B229">
        <v>147</v>
      </c>
      <c r="C229">
        <v>153</v>
      </c>
      <c r="D229">
        <v>141</v>
      </c>
      <c r="E229">
        <v>154</v>
      </c>
      <c r="F229">
        <v>148</v>
      </c>
      <c r="G229">
        <v>155</v>
      </c>
      <c r="H229">
        <v>148</v>
      </c>
      <c r="I229">
        <v>147</v>
      </c>
      <c r="J229">
        <v>132</v>
      </c>
      <c r="K229">
        <v>137</v>
      </c>
      <c r="L229">
        <v>130</v>
      </c>
      <c r="M229">
        <v>130</v>
      </c>
      <c r="N229">
        <v>115</v>
      </c>
      <c r="O229">
        <v>104</v>
      </c>
      <c r="P229">
        <v>93</v>
      </c>
      <c r="Q229">
        <v>95</v>
      </c>
      <c r="R229">
        <v>87</v>
      </c>
      <c r="S229">
        <v>93</v>
      </c>
      <c r="T229">
        <v>96</v>
      </c>
      <c r="U229">
        <v>79</v>
      </c>
      <c r="V229">
        <v>76</v>
      </c>
      <c r="W229">
        <v>80</v>
      </c>
      <c r="X229">
        <v>75</v>
      </c>
      <c r="Y229" s="216">
        <v>84</v>
      </c>
      <c r="Z229" s="216">
        <v>72.664524870264245</v>
      </c>
      <c r="AA229" s="216">
        <v>70.146221844267984</v>
      </c>
      <c r="AB229" s="216">
        <v>67.715194557596575</v>
      </c>
      <c r="AC229" s="216">
        <v>65.368418332681017</v>
      </c>
      <c r="AD229" s="216">
        <v>63.102973316895266</v>
      </c>
      <c r="AE229" s="216">
        <v>60.916040849683498</v>
      </c>
      <c r="AF229" s="216">
        <v>58.804899955590251</v>
      </c>
      <c r="AG229" s="216">
        <v>56.766923958830226</v>
      </c>
      <c r="AH229" s="216">
        <v>54.799577215185273</v>
      </c>
      <c r="AI229" s="216">
        <v>52.900411957162788</v>
      </c>
      <c r="AJ229" s="216">
        <v>51.067065248489996</v>
      </c>
      <c r="AK229" s="216">
        <v>49.29725604415502</v>
      </c>
      <c r="AL229" s="216">
        <v>47.588782352336928</v>
      </c>
      <c r="AM229" s="216">
        <v>45.939518494693381</v>
      </c>
      <c r="AN229" s="216">
        <v>44.347412461597436</v>
      </c>
      <c r="AO229" s="216">
        <v>42.810483359032737</v>
      </c>
      <c r="AP229" s="216">
        <v>41.326818943970522</v>
      </c>
      <c r="AQ229" s="216">
        <v>39.894573245161993</v>
      </c>
      <c r="AR229" s="216">
        <v>38.511964266385981</v>
      </c>
      <c r="AS229" s="216">
        <v>37.177271769293938</v>
      </c>
      <c r="AT229" s="216">
        <v>35.888835133094155</v>
      </c>
      <c r="AU229" s="216">
        <v>34.645051288411835</v>
      </c>
      <c r="AV229" s="216">
        <v>33.444372722754466</v>
      </c>
      <c r="AW229" s="216">
        <v>32.285305555101033</v>
      </c>
      <c r="AX229" s="216">
        <v>31.166407677219272</v>
      </c>
      <c r="AY229" s="216">
        <v>30.086286959398507</v>
      </c>
      <c r="AZ229" s="216">
        <v>29.043599518365639</v>
      </c>
      <c r="BA229" s="216">
        <v>28.037048045229202</v>
      </c>
      <c r="BB229" s="216">
        <v>27.065380191371169</v>
      </c>
      <c r="BC229" s="216">
        <v>26.127387010278191</v>
      </c>
      <c r="BD229" s="216">
        <v>25.221901453373594</v>
      </c>
      <c r="BE229" s="216">
        <v>24.347796917978737</v>
      </c>
      <c r="BF229" s="216">
        <v>23.503985845596986</v>
      </c>
      <c r="BG229" s="216">
        <v>22.689418368776362</v>
      </c>
      <c r="BH229" s="216">
        <v>21.903081004867349</v>
      </c>
      <c r="BI229" s="216">
        <v>21.143995395050467</v>
      </c>
      <c r="BJ229" s="216">
        <v>20.411217087064909</v>
      </c>
      <c r="BK229" s="216">
        <v>19.703834360123601</v>
      </c>
      <c r="BL229" s="216">
        <v>19.020967090552634</v>
      </c>
    </row>
    <row r="230" spans="1:64">
      <c r="A230" t="s">
        <v>106</v>
      </c>
      <c r="B230">
        <v>434</v>
      </c>
      <c r="C230">
        <v>455</v>
      </c>
      <c r="D230">
        <v>460</v>
      </c>
      <c r="E230">
        <v>462</v>
      </c>
      <c r="F230">
        <v>477</v>
      </c>
      <c r="G230">
        <v>503</v>
      </c>
      <c r="H230">
        <v>512</v>
      </c>
      <c r="I230">
        <v>550</v>
      </c>
      <c r="J230">
        <v>524</v>
      </c>
      <c r="K230">
        <v>547</v>
      </c>
      <c r="L230">
        <v>595</v>
      </c>
      <c r="M230">
        <v>580</v>
      </c>
      <c r="N230">
        <v>559</v>
      </c>
      <c r="O230">
        <v>575</v>
      </c>
      <c r="P230">
        <v>579</v>
      </c>
      <c r="Q230">
        <v>591</v>
      </c>
      <c r="R230">
        <v>572</v>
      </c>
      <c r="S230">
        <v>549</v>
      </c>
      <c r="T230">
        <v>574</v>
      </c>
      <c r="U230">
        <v>556</v>
      </c>
      <c r="V230">
        <v>581</v>
      </c>
      <c r="W230">
        <v>565</v>
      </c>
      <c r="X230">
        <v>592</v>
      </c>
      <c r="Y230" s="216">
        <v>608</v>
      </c>
      <c r="Z230" s="216">
        <v>625.1619624598743</v>
      </c>
      <c r="AA230" s="216">
        <v>632.60094401787671</v>
      </c>
      <c r="AB230" s="216">
        <v>640.12844415177358</v>
      </c>
      <c r="AC230" s="216">
        <v>647.74551616949645</v>
      </c>
      <c r="AD230" s="216">
        <v>655.45322591259026</v>
      </c>
      <c r="AE230" s="216">
        <v>663.25265190535447</v>
      </c>
      <c r="AF230" s="216">
        <v>671.14488550575811</v>
      </c>
      <c r="AG230" s="216">
        <v>679.13103105815242</v>
      </c>
      <c r="AH230" s="216">
        <v>687.2122060477983</v>
      </c>
      <c r="AI230" s="216">
        <v>695.38954125723512</v>
      </c>
      <c r="AJ230" s="216">
        <v>703.6641809245076</v>
      </c>
      <c r="AK230" s="216">
        <v>712.03728290327729</v>
      </c>
      <c r="AL230" s="216">
        <v>720.51001882483877</v>
      </c>
      <c r="AM230" s="216">
        <v>729.08357426206351</v>
      </c>
      <c r="AN230" s="216">
        <v>737.75914889529486</v>
      </c>
      <c r="AO230" s="216">
        <v>746.53795668021655</v>
      </c>
      <c r="AP230" s="216">
        <v>755.4212260177195</v>
      </c>
      <c r="AQ230" s="216">
        <v>764.41019992578902</v>
      </c>
      <c r="AR230" s="216">
        <v>773.50613621343848</v>
      </c>
      <c r="AS230" s="216">
        <v>782.71030765671117</v>
      </c>
      <c r="AT230" s="216">
        <v>792.0240021767778</v>
      </c>
      <c r="AU230" s="216">
        <v>801.44852302015295</v>
      </c>
      <c r="AV230" s="216">
        <v>810.98518894105462</v>
      </c>
      <c r="AW230" s="216">
        <v>820.63533438593663</v>
      </c>
      <c r="AX230" s="216">
        <v>830.40030968021335</v>
      </c>
      <c r="AY230" s="216">
        <v>840.28148121720858</v>
      </c>
      <c r="AZ230" s="216">
        <v>850.2802316493528</v>
      </c>
      <c r="BA230" s="216">
        <v>860.39796008165399</v>
      </c>
      <c r="BB230" s="216">
        <v>870.6360822674726</v>
      </c>
      <c r="BC230" s="216">
        <v>880.99603080662405</v>
      </c>
      <c r="BD230" s="216">
        <v>891.4792553458401</v>
      </c>
      <c r="BE230" s="216">
        <v>902.08722278161508</v>
      </c>
      <c r="BF230" s="216">
        <v>912.82141746546506</v>
      </c>
      <c r="BG230" s="216">
        <v>923.68334141163143</v>
      </c>
      <c r="BH230" s="216">
        <v>934.67451450725343</v>
      </c>
      <c r="BI230" s="216">
        <v>945.79647472504348</v>
      </c>
      <c r="BJ230" s="216">
        <v>957.05077833849282</v>
      </c>
      <c r="BK230" s="216">
        <v>968.43900013963764</v>
      </c>
      <c r="BL230" s="216">
        <v>979.96273365941556</v>
      </c>
    </row>
    <row r="231" spans="1:64">
      <c r="A231" t="s">
        <v>411</v>
      </c>
      <c r="B231">
        <v>94</v>
      </c>
      <c r="C231">
        <v>87</v>
      </c>
      <c r="D231">
        <v>92</v>
      </c>
      <c r="E231">
        <v>96</v>
      </c>
      <c r="F231">
        <v>93</v>
      </c>
      <c r="G231">
        <v>116</v>
      </c>
      <c r="H231">
        <v>97</v>
      </c>
      <c r="I231">
        <v>100</v>
      </c>
      <c r="J231">
        <v>92</v>
      </c>
      <c r="K231">
        <v>87</v>
      </c>
      <c r="L231">
        <v>76</v>
      </c>
      <c r="M231">
        <v>90</v>
      </c>
      <c r="N231">
        <v>91</v>
      </c>
      <c r="O231">
        <v>87</v>
      </c>
      <c r="P231">
        <v>78</v>
      </c>
      <c r="Q231">
        <v>77</v>
      </c>
      <c r="R231">
        <v>89</v>
      </c>
      <c r="S231">
        <v>75</v>
      </c>
      <c r="T231">
        <v>86</v>
      </c>
      <c r="U231">
        <v>78</v>
      </c>
      <c r="V231">
        <v>74</v>
      </c>
      <c r="W231">
        <v>68</v>
      </c>
      <c r="X231">
        <v>65</v>
      </c>
      <c r="Y231" s="216">
        <v>46</v>
      </c>
      <c r="Z231" s="216">
        <v>65.570898041353075</v>
      </c>
      <c r="AA231" s="216">
        <v>64.314180735870266</v>
      </c>
      <c r="AB231" s="216">
        <v>63.081549395855006</v>
      </c>
      <c r="AC231" s="216">
        <v>61.872542395029079</v>
      </c>
      <c r="AD231" s="216">
        <v>60.686706954541236</v>
      </c>
      <c r="AE231" s="216">
        <v>59.523598973399395</v>
      </c>
      <c r="AF231" s="216">
        <v>58.382782862152709</v>
      </c>
      <c r="AG231" s="216">
        <v>57.263831379761235</v>
      </c>
      <c r="AH231" s="216">
        <v>56.166325473592167</v>
      </c>
      <c r="AI231" s="216">
        <v>55.089854122482606</v>
      </c>
      <c r="AJ231" s="216">
        <v>54.034014182810203</v>
      </c>
      <c r="AK231" s="216">
        <v>52.998410237513994</v>
      </c>
      <c r="AL231" s="216">
        <v>51.98265444800878</v>
      </c>
      <c r="AM231" s="216">
        <v>50.986366408937755</v>
      </c>
      <c r="AN231" s="216">
        <v>50.009173005708952</v>
      </c>
      <c r="AO231" s="216">
        <v>49.050708274761959</v>
      </c>
      <c r="AP231" s="216">
        <v>48.110613266512935</v>
      </c>
      <c r="AQ231" s="216">
        <v>47.18853591092622</v>
      </c>
      <c r="AR231" s="216">
        <v>46.284130885662449</v>
      </c>
      <c r="AS231" s="216">
        <v>45.397059486753747</v>
      </c>
      <c r="AT231" s="216">
        <v>44.52698950175742</v>
      </c>
      <c r="AU231" s="216">
        <v>43.673595085340871</v>
      </c>
      <c r="AV231" s="216">
        <v>42.836556637250951</v>
      </c>
      <c r="AW231" s="216">
        <v>42.015560682622166</v>
      </c>
      <c r="AX231" s="216">
        <v>41.210299754578848</v>
      </c>
      <c r="AY231" s="216">
        <v>40.420472279087342</v>
      </c>
      <c r="AZ231" s="216">
        <v>39.64578246201512</v>
      </c>
      <c r="BA231" s="216">
        <v>38.885940178354474</v>
      </c>
      <c r="BB231" s="216">
        <v>38.140660863569316</v>
      </c>
      <c r="BC231" s="216">
        <v>37.409665407024406</v>
      </c>
      <c r="BD231" s="216">
        <v>36.692680047457131</v>
      </c>
      <c r="BE231" s="216">
        <v>35.989436270452565</v>
      </c>
      <c r="BF231" s="216">
        <v>35.299670707883564</v>
      </c>
      <c r="BG231" s="216">
        <v>34.623125039278193</v>
      </c>
      <c r="BH231" s="216">
        <v>33.959545895077447</v>
      </c>
      <c r="BI231" s="216">
        <v>33.308684761747131</v>
      </c>
      <c r="BJ231" s="216">
        <v>32.670297888708426</v>
      </c>
      <c r="BK231" s="216">
        <v>32.0441461970521</v>
      </c>
      <c r="BL231" s="216">
        <v>31.429995190002305</v>
      </c>
    </row>
    <row r="232" spans="1:64">
      <c r="A232" t="s">
        <v>192</v>
      </c>
      <c r="B232">
        <v>48</v>
      </c>
      <c r="C232">
        <v>46</v>
      </c>
      <c r="D232">
        <v>49</v>
      </c>
      <c r="E232">
        <v>48</v>
      </c>
      <c r="F232">
        <v>42</v>
      </c>
      <c r="G232">
        <v>43</v>
      </c>
      <c r="H232">
        <v>42</v>
      </c>
      <c r="I232">
        <v>36</v>
      </c>
      <c r="J232">
        <v>35</v>
      </c>
      <c r="K232">
        <v>61</v>
      </c>
      <c r="L232">
        <v>55</v>
      </c>
      <c r="M232">
        <v>57</v>
      </c>
      <c r="N232">
        <v>48</v>
      </c>
      <c r="O232">
        <v>54</v>
      </c>
      <c r="P232">
        <v>42</v>
      </c>
      <c r="Q232">
        <v>52</v>
      </c>
      <c r="R232">
        <v>41</v>
      </c>
      <c r="S232">
        <v>50</v>
      </c>
      <c r="T232">
        <v>47</v>
      </c>
      <c r="U232">
        <v>54</v>
      </c>
      <c r="V232">
        <v>46</v>
      </c>
      <c r="W232">
        <v>42</v>
      </c>
      <c r="X232">
        <v>40</v>
      </c>
      <c r="Y232" s="216">
        <v>34</v>
      </c>
      <c r="Z232" s="216">
        <v>44.394912050168436</v>
      </c>
      <c r="AA232" s="216">
        <v>44.282600912615706</v>
      </c>
      <c r="AB232" s="216">
        <v>44.17057390202789</v>
      </c>
      <c r="AC232" s="216">
        <v>44.058830299614904</v>
      </c>
      <c r="AD232" s="216">
        <v>43.947369388405072</v>
      </c>
      <c r="AE232" s="216">
        <v>43.836190453240519</v>
      </c>
      <c r="AF232" s="216">
        <v>43.725292780772598</v>
      </c>
      <c r="AG232" s="216">
        <v>43.614675659457319</v>
      </c>
      <c r="AH232" s="216">
        <v>43.504338379550752</v>
      </c>
      <c r="AI232" s="216">
        <v>43.394280233104489</v>
      </c>
      <c r="AJ232" s="216">
        <v>43.284500513961127</v>
      </c>
      <c r="AK232" s="216">
        <v>43.174998517749692</v>
      </c>
      <c r="AL232" s="216">
        <v>43.06577354188115</v>
      </c>
      <c r="AM232" s="216">
        <v>42.956824885543881</v>
      </c>
      <c r="AN232" s="216">
        <v>42.848151849699214</v>
      </c>
      <c r="AO232" s="216">
        <v>42.739753737076903</v>
      </c>
      <c r="AP232" s="216">
        <v>42.631629852170676</v>
      </c>
      <c r="AQ232" s="216">
        <v>42.523779501233761</v>
      </c>
      <c r="AR232" s="216">
        <v>42.416201992274452</v>
      </c>
      <c r="AS232" s="216">
        <v>42.308896635051632</v>
      </c>
      <c r="AT232" s="216">
        <v>42.201862741070414</v>
      </c>
      <c r="AU232" s="216">
        <v>42.095099623577632</v>
      </c>
      <c r="AV232" s="216">
        <v>41.988606597557514</v>
      </c>
      <c r="AW232" s="216">
        <v>41.88238297972724</v>
      </c>
      <c r="AX232" s="216">
        <v>41.776428088532583</v>
      </c>
      <c r="AY232" s="216">
        <v>41.670741244143507</v>
      </c>
      <c r="AZ232" s="216">
        <v>41.565321768449834</v>
      </c>
      <c r="BA232" s="216">
        <v>41.460168985056903</v>
      </c>
      <c r="BB232" s="216">
        <v>41.355282219281179</v>
      </c>
      <c r="BC232" s="216">
        <v>41.250660798145958</v>
      </c>
      <c r="BD232" s="216">
        <v>41.146304050377061</v>
      </c>
      <c r="BE232" s="216">
        <v>41.042211306398521</v>
      </c>
      <c r="BF232" s="216">
        <v>40.938381898328238</v>
      </c>
      <c r="BG232" s="216">
        <v>40.834815159973779</v>
      </c>
      <c r="BH232" s="216">
        <v>40.731510426828017</v>
      </c>
      <c r="BI232" s="216">
        <v>40.62846703606494</v>
      </c>
      <c r="BJ232" s="216">
        <v>40.525684326535362</v>
      </c>
      <c r="BK232" s="216">
        <v>40.423161638762657</v>
      </c>
      <c r="BL232" s="216">
        <v>40.320898314938589</v>
      </c>
    </row>
    <row r="233" spans="1:64">
      <c r="A233" t="s">
        <v>231</v>
      </c>
      <c r="B233">
        <v>31</v>
      </c>
      <c r="C233">
        <v>42</v>
      </c>
      <c r="D233">
        <v>47</v>
      </c>
      <c r="E233">
        <v>53</v>
      </c>
      <c r="F233">
        <v>52</v>
      </c>
      <c r="G233">
        <v>48</v>
      </c>
      <c r="H233">
        <v>63</v>
      </c>
      <c r="I233">
        <v>55</v>
      </c>
      <c r="J233">
        <v>48</v>
      </c>
      <c r="K233">
        <v>50</v>
      </c>
      <c r="L233">
        <v>56</v>
      </c>
      <c r="M233">
        <v>54</v>
      </c>
      <c r="N233">
        <v>62</v>
      </c>
      <c r="O233">
        <v>46</v>
      </c>
      <c r="P233">
        <v>42</v>
      </c>
      <c r="Q233">
        <v>50</v>
      </c>
      <c r="R233">
        <v>48</v>
      </c>
      <c r="S233">
        <v>47</v>
      </c>
      <c r="T233">
        <v>55</v>
      </c>
      <c r="U233">
        <v>52</v>
      </c>
      <c r="V233">
        <v>51</v>
      </c>
      <c r="W233">
        <v>53</v>
      </c>
      <c r="X233">
        <v>56</v>
      </c>
      <c r="Y233" s="216">
        <v>62</v>
      </c>
      <c r="Z233" s="216">
        <v>56.208713350144571</v>
      </c>
      <c r="AA233" s="216">
        <v>56.697057231832154</v>
      </c>
      <c r="AB233" s="216">
        <v>57.189643867579875</v>
      </c>
      <c r="AC233" s="216">
        <v>57.686510118629762</v>
      </c>
      <c r="AD233" s="216">
        <v>58.187693166476016</v>
      </c>
      <c r="AE233" s="216">
        <v>58.693230515647329</v>
      </c>
      <c r="AF233" s="216">
        <v>59.203159996513513</v>
      </c>
      <c r="AG233" s="216">
        <v>59.717519768116325</v>
      </c>
      <c r="AH233" s="216">
        <v>60.236348321025041</v>
      </c>
      <c r="AI233" s="216">
        <v>60.759684480216784</v>
      </c>
      <c r="AJ233" s="216">
        <v>61.287567407981847</v>
      </c>
      <c r="AK233" s="216">
        <v>61.820036606854309</v>
      </c>
      <c r="AL233" s="216">
        <v>62.357131922568051</v>
      </c>
      <c r="AM233" s="216">
        <v>62.898893547038554</v>
      </c>
      <c r="AN233" s="216">
        <v>63.445362021370499</v>
      </c>
      <c r="AO233" s="216">
        <v>63.996578238891509</v>
      </c>
      <c r="AP233" s="216">
        <v>64.55258344821236</v>
      </c>
      <c r="AQ233" s="216">
        <v>65.113419256313648</v>
      </c>
      <c r="AR233" s="216">
        <v>65.679127631659284</v>
      </c>
      <c r="AS233" s="216">
        <v>66.249750907337159</v>
      </c>
      <c r="AT233" s="216">
        <v>66.825331784226975</v>
      </c>
      <c r="AU233" s="216">
        <v>67.405913334195603</v>
      </c>
      <c r="AV233" s="216">
        <v>67.991539003320327</v>
      </c>
      <c r="AW233" s="216">
        <v>68.582252615139865</v>
      </c>
      <c r="AX233" s="216">
        <v>69.178098373933949</v>
      </c>
      <c r="AY233" s="216">
        <v>69.779120868031029</v>
      </c>
      <c r="AZ233" s="216">
        <v>70.385365073145067</v>
      </c>
      <c r="BA233" s="216">
        <v>70.996876355741051</v>
      </c>
      <c r="BB233" s="216">
        <v>71.613700476429926</v>
      </c>
      <c r="BC233" s="216">
        <v>72.235883593392899</v>
      </c>
      <c r="BD233" s="216">
        <v>72.863472265835597</v>
      </c>
      <c r="BE233" s="216">
        <v>73.496513457472176</v>
      </c>
      <c r="BF233" s="216">
        <v>74.135054540039619</v>
      </c>
      <c r="BG233" s="216">
        <v>74.779143296842847</v>
      </c>
      <c r="BH233" s="216">
        <v>75.428827926330243</v>
      </c>
      <c r="BI233" s="216">
        <v>76.08415704570055</v>
      </c>
      <c r="BJ233" s="216">
        <v>76.74517969454098</v>
      </c>
      <c r="BK233" s="216">
        <v>77.411945338496906</v>
      </c>
      <c r="BL233" s="216">
        <v>78.084503872973499</v>
      </c>
    </row>
    <row r="234" spans="1:64">
      <c r="A234" t="s">
        <v>1076</v>
      </c>
      <c r="B234">
        <v>104</v>
      </c>
      <c r="C234">
        <v>96</v>
      </c>
      <c r="D234">
        <v>80</v>
      </c>
      <c r="E234">
        <v>82</v>
      </c>
      <c r="F234">
        <v>86</v>
      </c>
      <c r="G234">
        <v>76</v>
      </c>
      <c r="H234">
        <v>84</v>
      </c>
      <c r="I234">
        <v>86</v>
      </c>
      <c r="J234">
        <v>86</v>
      </c>
      <c r="K234">
        <v>140</v>
      </c>
      <c r="L234">
        <v>133</v>
      </c>
      <c r="M234">
        <v>134</v>
      </c>
      <c r="N234">
        <v>126</v>
      </c>
      <c r="O234">
        <v>112</v>
      </c>
      <c r="P234">
        <v>117</v>
      </c>
      <c r="Q234">
        <v>110</v>
      </c>
      <c r="R234">
        <v>133</v>
      </c>
      <c r="S234">
        <v>129</v>
      </c>
      <c r="T234">
        <v>138</v>
      </c>
      <c r="U234">
        <v>136</v>
      </c>
      <c r="V234">
        <v>132</v>
      </c>
      <c r="W234">
        <v>131</v>
      </c>
      <c r="X234">
        <v>137</v>
      </c>
      <c r="Y234" s="216">
        <v>110</v>
      </c>
      <c r="Z234" s="216">
        <v>126.12537859267557</v>
      </c>
      <c r="AA234" s="216">
        <v>125.96083998270238</v>
      </c>
      <c r="AB234" s="216">
        <v>125.79651602385233</v>
      </c>
      <c r="AC234" s="216">
        <v>125.63240643609936</v>
      </c>
      <c r="AD234" s="216">
        <v>125.46851093978262</v>
      </c>
      <c r="AE234" s="216">
        <v>125.30482925560621</v>
      </c>
      <c r="AF234" s="216">
        <v>125.14136110463852</v>
      </c>
      <c r="AG234" s="216">
        <v>124.97810620831184</v>
      </c>
      <c r="AH234" s="216">
        <v>124.81506428842189</v>
      </c>
      <c r="AI234" s="216">
        <v>124.65223506712731</v>
      </c>
      <c r="AJ234" s="216">
        <v>124.48961826694918</v>
      </c>
      <c r="AK234" s="216">
        <v>124.32721361077061</v>
      </c>
      <c r="AL234" s="216">
        <v>124.16502082183619</v>
      </c>
      <c r="AM234" s="216">
        <v>124.00303962375158</v>
      </c>
      <c r="AN234" s="216">
        <v>123.841269740483</v>
      </c>
      <c r="AO234" s="216">
        <v>123.6797108963568</v>
      </c>
      <c r="AP234" s="216">
        <v>123.51836281605891</v>
      </c>
      <c r="AQ234" s="216">
        <v>123.35722522463449</v>
      </c>
      <c r="AR234" s="216">
        <v>123.19629784748734</v>
      </c>
      <c r="AS234" s="216">
        <v>123.03558041037952</v>
      </c>
      <c r="AT234" s="216">
        <v>122.87507263943085</v>
      </c>
      <c r="AU234" s="216">
        <v>122.71477426111844</v>
      </c>
      <c r="AV234" s="216">
        <v>122.5546850022762</v>
      </c>
      <c r="AW234" s="216">
        <v>122.39480459009445</v>
      </c>
      <c r="AX234" s="216">
        <v>122.23513275211938</v>
      </c>
      <c r="AY234" s="216">
        <v>122.07566921625262</v>
      </c>
      <c r="AZ234" s="216">
        <v>121.91641371075079</v>
      </c>
      <c r="BA234" s="216">
        <v>121.75736596422495</v>
      </c>
      <c r="BB234" s="216">
        <v>121.59852570564027</v>
      </c>
      <c r="BC234" s="216">
        <v>121.43989266431551</v>
      </c>
      <c r="BD234" s="216">
        <v>121.28146656992249</v>
      </c>
      <c r="BE234" s="216">
        <v>121.12324715248573</v>
      </c>
      <c r="BF234" s="216">
        <v>120.96523414238193</v>
      </c>
      <c r="BG234" s="216">
        <v>120.80742727033957</v>
      </c>
      <c r="BH234" s="216">
        <v>120.64982626743839</v>
      </c>
      <c r="BI234" s="216">
        <v>120.49243086510893</v>
      </c>
      <c r="BJ234" s="216">
        <v>120.33524079513209</v>
      </c>
      <c r="BK234" s="216">
        <v>120.17825578963877</v>
      </c>
      <c r="BL234" s="216">
        <v>120.02147558110921</v>
      </c>
    </row>
    <row r="235" spans="1:64">
      <c r="A235" t="s">
        <v>235</v>
      </c>
      <c r="B235">
        <v>357</v>
      </c>
      <c r="C235">
        <v>353</v>
      </c>
      <c r="D235">
        <v>344</v>
      </c>
      <c r="E235">
        <v>324</v>
      </c>
      <c r="F235">
        <v>302</v>
      </c>
      <c r="G235">
        <v>292</v>
      </c>
      <c r="H235">
        <v>300</v>
      </c>
      <c r="I235">
        <v>312</v>
      </c>
      <c r="J235">
        <v>301</v>
      </c>
      <c r="K235">
        <v>308</v>
      </c>
      <c r="L235">
        <v>302</v>
      </c>
      <c r="M235">
        <v>271</v>
      </c>
      <c r="N235">
        <v>279</v>
      </c>
      <c r="O235">
        <v>299</v>
      </c>
      <c r="P235">
        <v>277</v>
      </c>
      <c r="Q235">
        <v>253</v>
      </c>
      <c r="R235">
        <v>249</v>
      </c>
      <c r="S235">
        <v>242</v>
      </c>
      <c r="T235">
        <v>242</v>
      </c>
      <c r="U235">
        <v>246</v>
      </c>
      <c r="V235">
        <v>230</v>
      </c>
      <c r="W235">
        <v>232</v>
      </c>
      <c r="X235">
        <v>238</v>
      </c>
      <c r="Y235" s="216">
        <v>229</v>
      </c>
      <c r="Z235" s="216">
        <v>221.05003962077333</v>
      </c>
      <c r="AA235" s="216">
        <v>216.91250820220336</v>
      </c>
      <c r="AB235" s="216">
        <v>212.85242153898841</v>
      </c>
      <c r="AC235" s="216">
        <v>208.86833004935491</v>
      </c>
      <c r="AD235" s="216">
        <v>204.95881128425518</v>
      </c>
      <c r="AE235" s="216">
        <v>201.12246941950724</v>
      </c>
      <c r="AF235" s="216">
        <v>197.3579347574406</v>
      </c>
      <c r="AG235" s="216">
        <v>193.66386323787029</v>
      </c>
      <c r="AH235" s="216">
        <v>190.03893595822353</v>
      </c>
      <c r="AI235" s="216">
        <v>186.48185870264962</v>
      </c>
      <c r="AJ235" s="216">
        <v>182.99136147994281</v>
      </c>
      <c r="AK235" s="216">
        <v>179.56619807011455</v>
      </c>
      <c r="AL235" s="216">
        <v>176.20514557945285</v>
      </c>
      <c r="AM235" s="216">
        <v>172.90700400390992</v>
      </c>
      <c r="AN235" s="216">
        <v>169.67059580066183</v>
      </c>
      <c r="AO235" s="216">
        <v>166.49476546768796</v>
      </c>
      <c r="AP235" s="216">
        <v>163.37837913121945</v>
      </c>
      <c r="AQ235" s="216">
        <v>160.32032414090975</v>
      </c>
      <c r="AR235" s="216">
        <v>157.31950867258263</v>
      </c>
      <c r="AS235" s="216">
        <v>154.37486133841568</v>
      </c>
      <c r="AT235" s="216">
        <v>151.48533080442044</v>
      </c>
      <c r="AU235" s="216">
        <v>148.6498854150822</v>
      </c>
      <c r="AV235" s="216">
        <v>145.86751282502576</v>
      </c>
      <c r="AW235" s="216">
        <v>143.1372196375755</v>
      </c>
      <c r="AX235" s="216">
        <v>140.45803105008082</v>
      </c>
      <c r="AY235" s="216">
        <v>137.82899050588009</v>
      </c>
      <c r="AZ235" s="216">
        <v>135.24915935277915</v>
      </c>
      <c r="BA235" s="216">
        <v>132.71761650792226</v>
      </c>
      <c r="BB235" s="216">
        <v>130.23345812893569</v>
      </c>
      <c r="BC235" s="216">
        <v>127.79579729122712</v>
      </c>
      <c r="BD235" s="216">
        <v>125.40376367132468</v>
      </c>
      <c r="BE235" s="216">
        <v>123.05650323614367</v>
      </c>
      <c r="BF235" s="216">
        <v>120.75317793806916</v>
      </c>
      <c r="BG235" s="216">
        <v>118.49296541574583</v>
      </c>
      <c r="BH235" s="216">
        <v>116.27505870046876</v>
      </c>
      <c r="BI235" s="216">
        <v>114.09866592806932</v>
      </c>
      <c r="BJ235" s="216">
        <v>111.96301005619432</v>
      </c>
      <c r="BK235" s="216">
        <v>109.86732858687671</v>
      </c>
      <c r="BL235" s="216">
        <v>107.81087329429945</v>
      </c>
    </row>
    <row r="236" spans="1:64">
      <c r="A236" t="s">
        <v>237</v>
      </c>
      <c r="B236">
        <v>108</v>
      </c>
      <c r="C236">
        <v>115</v>
      </c>
      <c r="D236">
        <v>127</v>
      </c>
      <c r="E236">
        <v>116</v>
      </c>
      <c r="F236">
        <v>123</v>
      </c>
      <c r="G236">
        <v>124</v>
      </c>
      <c r="H236">
        <v>98</v>
      </c>
      <c r="I236">
        <v>111</v>
      </c>
      <c r="J236">
        <v>105</v>
      </c>
      <c r="K236">
        <v>107</v>
      </c>
      <c r="L236">
        <v>100</v>
      </c>
      <c r="M236">
        <v>109</v>
      </c>
      <c r="N236">
        <v>112</v>
      </c>
      <c r="O236">
        <v>115</v>
      </c>
      <c r="P236">
        <v>110</v>
      </c>
      <c r="Q236">
        <v>127</v>
      </c>
      <c r="R236">
        <v>120</v>
      </c>
      <c r="S236">
        <v>112</v>
      </c>
      <c r="T236">
        <v>92</v>
      </c>
      <c r="U236">
        <v>88</v>
      </c>
      <c r="V236">
        <v>94</v>
      </c>
      <c r="W236">
        <v>83</v>
      </c>
      <c r="X236">
        <v>87</v>
      </c>
      <c r="Y236" s="216">
        <v>98</v>
      </c>
      <c r="Z236" s="216">
        <v>93.444862573512182</v>
      </c>
      <c r="AA236" s="216">
        <v>92.452052495565113</v>
      </c>
      <c r="AB236" s="216">
        <v>91.46979058285396</v>
      </c>
      <c r="AC236" s="216">
        <v>90.497964765817471</v>
      </c>
      <c r="AD236" s="216">
        <v>89.53646416558361</v>
      </c>
      <c r="AE236" s="216">
        <v>88.585179081318984</v>
      </c>
      <c r="AF236" s="216">
        <v>87.644000977712778</v>
      </c>
      <c r="AG236" s="216">
        <v>86.712822472593544</v>
      </c>
      <c r="AH236" s="216">
        <v>85.791537324677563</v>
      </c>
      <c r="AI236" s="216">
        <v>84.880040421447532</v>
      </c>
      <c r="AJ236" s="216">
        <v>83.978227767159837</v>
      </c>
      <c r="AK236" s="216">
        <v>83.085996470979353</v>
      </c>
      <c r="AL236" s="216">
        <v>82.203244735240318</v>
      </c>
      <c r="AM236" s="216">
        <v>81.329871843831825</v>
      </c>
      <c r="AN236" s="216">
        <v>80.465778150706882</v>
      </c>
      <c r="AO236" s="216">
        <v>79.610865068513306</v>
      </c>
      <c r="AP236" s="216">
        <v>78.765035057345756</v>
      </c>
      <c r="AQ236" s="216">
        <v>77.928191613616903</v>
      </c>
      <c r="AR236" s="216">
        <v>77.100239259047115</v>
      </c>
      <c r="AS236" s="216">
        <v>76.281083529770981</v>
      </c>
      <c r="AT236" s="216">
        <v>75.47063096555965</v>
      </c>
      <c r="AU236" s="216">
        <v>74.668789099157536</v>
      </c>
      <c r="AV236" s="216">
        <v>73.875466445732599</v>
      </c>
      <c r="AW236" s="216">
        <v>73.090572492438326</v>
      </c>
      <c r="AX236" s="216">
        <v>72.314017688086949</v>
      </c>
      <c r="AY236" s="216">
        <v>71.54571343293226</v>
      </c>
      <c r="AZ236" s="216">
        <v>70.785572068560853</v>
      </c>
      <c r="BA236" s="216">
        <v>70.033506867890978</v>
      </c>
      <c r="BB236" s="216">
        <v>69.289432025277563</v>
      </c>
      <c r="BC236" s="216">
        <v>68.553262646722303</v>
      </c>
      <c r="BD236" s="216">
        <v>67.824914740187836</v>
      </c>
      <c r="BE236" s="216">
        <v>67.104305206014828</v>
      </c>
      <c r="BF236" s="216">
        <v>66.391351827440843</v>
      </c>
      <c r="BG236" s="216">
        <v>65.685973261219942</v>
      </c>
      <c r="BH236" s="216">
        <v>64.988089028341989</v>
      </c>
      <c r="BI236" s="216">
        <v>64.297619504850488</v>
      </c>
      <c r="BJ236" s="216">
        <v>63.614485912758113</v>
      </c>
      <c r="BK236" s="216">
        <v>62.938610311058518</v>
      </c>
      <c r="BL236" s="216">
        <v>62.269915586833896</v>
      </c>
    </row>
    <row r="237" spans="1:64">
      <c r="A237" t="s">
        <v>1077</v>
      </c>
      <c r="K237">
        <v>328</v>
      </c>
      <c r="L237">
        <v>171</v>
      </c>
      <c r="M237">
        <v>195</v>
      </c>
      <c r="N237">
        <v>214</v>
      </c>
      <c r="O237">
        <v>206</v>
      </c>
      <c r="P237">
        <v>238</v>
      </c>
      <c r="Q237">
        <v>240</v>
      </c>
      <c r="R237">
        <v>291</v>
      </c>
      <c r="S237">
        <v>290</v>
      </c>
      <c r="T237">
        <v>294</v>
      </c>
      <c r="U237">
        <v>297</v>
      </c>
      <c r="V237">
        <v>303</v>
      </c>
      <c r="W237">
        <v>286</v>
      </c>
      <c r="X237">
        <v>295</v>
      </c>
      <c r="Y237" s="216">
        <v>270</v>
      </c>
      <c r="Z237" s="216">
        <v>313.10327137967818</v>
      </c>
      <c r="AA237" s="216">
        <v>320.94370698679381</v>
      </c>
      <c r="AB237" s="216">
        <v>328.98047535734077</v>
      </c>
      <c r="AC237" s="216">
        <v>337.21849287044984</v>
      </c>
      <c r="AD237" s="216">
        <v>345.66279901656236</v>
      </c>
      <c r="AE237" s="216">
        <v>354.31855948026674</v>
      </c>
      <c r="AF237" s="216">
        <v>363.1910693003328</v>
      </c>
      <c r="AG237" s="216">
        <v>372.28575610887691</v>
      </c>
      <c r="AH237" s="216">
        <v>381.60818345163847</v>
      </c>
      <c r="AI237" s="216">
        <v>391.16405419140091</v>
      </c>
      <c r="AJ237" s="216">
        <v>400.95921399663644</v>
      </c>
      <c r="AK237" s="216">
        <v>410.99965491751141</v>
      </c>
      <c r="AL237" s="216">
        <v>421.29151905143777</v>
      </c>
      <c r="AM237" s="216">
        <v>431.84110230041415</v>
      </c>
      <c r="AN237" s="216">
        <v>442.65485822245455</v>
      </c>
      <c r="AO237" s="216">
        <v>453.7394019794616</v>
      </c>
      <c r="AP237" s="216">
        <v>465.10151438395695</v>
      </c>
      <c r="AQ237" s="216">
        <v>476.74814604714845</v>
      </c>
      <c r="AR237" s="216">
        <v>488.68642163086713</v>
      </c>
      <c r="AS237" s="216">
        <v>500.92364420597846</v>
      </c>
      <c r="AT237" s="216">
        <v>513.46729971993238</v>
      </c>
      <c r="AU237" s="216">
        <v>526.32506157618536</v>
      </c>
      <c r="AV237" s="216">
        <v>539.50479532829695</v>
      </c>
      <c r="AW237" s="216">
        <v>553.01456349156933</v>
      </c>
      <c r="AX237" s="216">
        <v>566.86263047517821</v>
      </c>
      <c r="AY237" s="216">
        <v>581.05746763780678</v>
      </c>
      <c r="AZ237" s="216">
        <v>595.6077584698802</v>
      </c>
      <c r="BA237" s="216">
        <v>610.5224039055671</v>
      </c>
      <c r="BB237" s="216">
        <v>625.81052776780098</v>
      </c>
      <c r="BC237" s="216">
        <v>641.48148234964754</v>
      </c>
      <c r="BD237" s="216">
        <v>657.54485413543944</v>
      </c>
      <c r="BE237" s="216">
        <v>674.01046966517163</v>
      </c>
      <c r="BF237" s="216">
        <v>690.88840154574723</v>
      </c>
      <c r="BG237" s="216">
        <v>708.18897461275242</v>
      </c>
      <c r="BH237" s="216">
        <v>725.92277224652878</v>
      </c>
      <c r="BI237" s="216">
        <v>744.10064284640544</v>
      </c>
      <c r="BJ237" s="216">
        <v>762.73370646705359</v>
      </c>
      <c r="BK237" s="216">
        <v>781.83336162102319</v>
      </c>
      <c r="BL237" s="216">
        <v>801.41129225162035</v>
      </c>
    </row>
    <row r="238" spans="1:64">
      <c r="A238" t="s">
        <v>254</v>
      </c>
      <c r="B238">
        <v>256</v>
      </c>
      <c r="C238">
        <v>263</v>
      </c>
      <c r="D238">
        <v>268</v>
      </c>
      <c r="E238">
        <v>261</v>
      </c>
      <c r="F238">
        <v>272</v>
      </c>
      <c r="G238">
        <v>283</v>
      </c>
      <c r="H238">
        <v>262</v>
      </c>
      <c r="I238">
        <v>264</v>
      </c>
      <c r="J238">
        <v>266</v>
      </c>
      <c r="K238">
        <v>268</v>
      </c>
      <c r="L238">
        <v>238</v>
      </c>
      <c r="M238">
        <v>245</v>
      </c>
      <c r="N238">
        <v>239</v>
      </c>
      <c r="O238">
        <v>238</v>
      </c>
      <c r="P238">
        <v>258</v>
      </c>
      <c r="Q238">
        <v>252</v>
      </c>
      <c r="R238">
        <v>249</v>
      </c>
      <c r="S238">
        <v>251</v>
      </c>
      <c r="T238">
        <v>253</v>
      </c>
      <c r="U238">
        <v>229</v>
      </c>
      <c r="V238">
        <v>243</v>
      </c>
      <c r="W238">
        <v>250</v>
      </c>
      <c r="X238">
        <v>241</v>
      </c>
      <c r="Y238" s="216">
        <v>256</v>
      </c>
      <c r="Z238" s="216">
        <v>240.62440215454598</v>
      </c>
      <c r="AA238" s="216">
        <v>239.5804885621867</v>
      </c>
      <c r="AB238" s="216">
        <v>238.5411038354726</v>
      </c>
      <c r="AC238" s="216">
        <v>237.50622832658595</v>
      </c>
      <c r="AD238" s="216">
        <v>236.47584247294813</v>
      </c>
      <c r="AE238" s="216">
        <v>235.44992679684989</v>
      </c>
      <c r="AF238" s="216">
        <v>234.42846190508314</v>
      </c>
      <c r="AG238" s="216">
        <v>233.4114284885745</v>
      </c>
      <c r="AH238" s="216">
        <v>232.39880732201999</v>
      </c>
      <c r="AI238" s="216">
        <v>231.39057926352194</v>
      </c>
      <c r="AJ238" s="216">
        <v>230.38672525422683</v>
      </c>
      <c r="AK238" s="216">
        <v>229.38722631796534</v>
      </c>
      <c r="AL238" s="216">
        <v>228.39206356089335</v>
      </c>
      <c r="AM238" s="216">
        <v>227.40121817113496</v>
      </c>
      <c r="AN238" s="216">
        <v>226.41467141842685</v>
      </c>
      <c r="AO238" s="216">
        <v>225.43240465376411</v>
      </c>
      <c r="AP238" s="216">
        <v>224.45439930904789</v>
      </c>
      <c r="AQ238" s="216">
        <v>223.48063689673418</v>
      </c>
      <c r="AR238" s="216">
        <v>222.51109900948464</v>
      </c>
      <c r="AS238" s="216">
        <v>221.54576731981831</v>
      </c>
      <c r="AT238" s="216">
        <v>220.58462357976535</v>
      </c>
      <c r="AU238" s="216">
        <v>219.62764962052213</v>
      </c>
      <c r="AV238" s="216">
        <v>218.67482735210763</v>
      </c>
      <c r="AW238" s="216">
        <v>217.72613876302154</v>
      </c>
      <c r="AX238" s="216">
        <v>216.78156591990381</v>
      </c>
      <c r="AY238" s="216">
        <v>215.84109096719573</v>
      </c>
      <c r="AZ238" s="216">
        <v>214.90469612680212</v>
      </c>
      <c r="BA238" s="216">
        <v>213.97236369775564</v>
      </c>
      <c r="BB238" s="216">
        <v>213.0440760558819</v>
      </c>
      <c r="BC238" s="216">
        <v>212.11981565346636</v>
      </c>
      <c r="BD238" s="216">
        <v>211.19956501892275</v>
      </c>
      <c r="BE238" s="216">
        <v>210.28330675646271</v>
      </c>
      <c r="BF238" s="216">
        <v>209.3710235457668</v>
      </c>
      <c r="BG238" s="216">
        <v>208.46269814165748</v>
      </c>
      <c r="BH238" s="216">
        <v>207.55831337377265</v>
      </c>
      <c r="BI238" s="216">
        <v>206.65785214624145</v>
      </c>
      <c r="BJ238" s="216">
        <v>205.76129743736087</v>
      </c>
      <c r="BK238" s="216">
        <v>204.86863229927408</v>
      </c>
      <c r="BL238" s="216">
        <v>203.97983985765006</v>
      </c>
    </row>
    <row r="239" spans="1:64">
      <c r="A239" t="s">
        <v>239</v>
      </c>
      <c r="B239">
        <v>97</v>
      </c>
      <c r="C239">
        <v>100</v>
      </c>
      <c r="D239">
        <v>101</v>
      </c>
      <c r="E239">
        <v>97</v>
      </c>
      <c r="F239">
        <v>106</v>
      </c>
      <c r="G239">
        <v>113</v>
      </c>
      <c r="H239">
        <v>100</v>
      </c>
      <c r="I239">
        <v>99</v>
      </c>
      <c r="J239">
        <v>93</v>
      </c>
      <c r="K239">
        <v>104</v>
      </c>
      <c r="L239">
        <v>103</v>
      </c>
      <c r="M239">
        <v>99</v>
      </c>
      <c r="N239">
        <v>107</v>
      </c>
      <c r="O239">
        <v>110</v>
      </c>
      <c r="P239">
        <v>106</v>
      </c>
      <c r="Q239">
        <v>116</v>
      </c>
      <c r="R239">
        <v>117</v>
      </c>
      <c r="S239">
        <v>118</v>
      </c>
      <c r="T239">
        <v>129</v>
      </c>
      <c r="U239">
        <v>131</v>
      </c>
      <c r="V239">
        <v>144</v>
      </c>
      <c r="W239">
        <v>151</v>
      </c>
      <c r="X239">
        <v>140</v>
      </c>
      <c r="Y239" s="216">
        <v>128</v>
      </c>
      <c r="Z239" s="216">
        <v>137.4342460909298</v>
      </c>
      <c r="AA239" s="216">
        <v>139.7201884112537</v>
      </c>
      <c r="AB239" s="216">
        <v>142.04415278532682</v>
      </c>
      <c r="AC239" s="216">
        <v>144.40677163355551</v>
      </c>
      <c r="AD239" s="216">
        <v>146.80868789538803</v>
      </c>
      <c r="AE239" s="216">
        <v>149.25055520427736</v>
      </c>
      <c r="AF239" s="216">
        <v>151.73303806555467</v>
      </c>
      <c r="AG239" s="216">
        <v>154.25681203726097</v>
      </c>
      <c r="AH239" s="216">
        <v>156.82256391398698</v>
      </c>
      <c r="AI239" s="216">
        <v>159.43099191377024</v>
      </c>
      <c r="AJ239" s="216">
        <v>162.08280586810139</v>
      </c>
      <c r="AK239" s="216">
        <v>164.77872741509049</v>
      </c>
      <c r="AL239" s="216">
        <v>167.51949019584643</v>
      </c>
      <c r="AM239" s="216">
        <v>170.30584005412271</v>
      </c>
      <c r="AN239" s="216">
        <v>173.13853523928393</v>
      </c>
      <c r="AO239" s="216">
        <v>176.01834661264795</v>
      </c>
      <c r="AP239" s="216">
        <v>178.94605785726071</v>
      </c>
      <c r="AQ239" s="216">
        <v>181.92246569115972</v>
      </c>
      <c r="AR239" s="216">
        <v>184.94838008418481</v>
      </c>
      <c r="AS239" s="216">
        <v>188.02462447839545</v>
      </c>
      <c r="AT239" s="216">
        <v>191.15203601215396</v>
      </c>
      <c r="AU239" s="216">
        <v>194.33146574793582</v>
      </c>
      <c r="AV239" s="216">
        <v>197.56377890392949</v>
      </c>
      <c r="AW239" s="216">
        <v>200.8498550894881</v>
      </c>
      <c r="AX239" s="216">
        <v>204.19058854449767</v>
      </c>
      <c r="AY239" s="216">
        <v>207.58688838272641</v>
      </c>
      <c r="AZ239" s="216">
        <v>211.03967883922206</v>
      </c>
      <c r="BA239" s="216">
        <v>214.54989952182368</v>
      </c>
      <c r="BB239" s="216">
        <v>218.11850566685746</v>
      </c>
      <c r="BC239" s="216">
        <v>221.74646839908502</v>
      </c>
      <c r="BD239" s="216">
        <v>225.43477499597546</v>
      </c>
      <c r="BE239" s="216">
        <v>229.18442915637331</v>
      </c>
      <c r="BF239" s="216">
        <v>232.99645127363516</v>
      </c>
      <c r="BG239" s="216">
        <v>236.87187871330909</v>
      </c>
      <c r="BH239" s="216">
        <v>240.81176609543317</v>
      </c>
      <c r="BI239" s="216">
        <v>244.81718558152895</v>
      </c>
      <c r="BJ239" s="216">
        <v>248.88922716636901</v>
      </c>
      <c r="BK239" s="216">
        <v>253.02899897459713</v>
      </c>
      <c r="BL239" s="216">
        <v>257.23762756228217</v>
      </c>
    </row>
    <row r="240" spans="1:64">
      <c r="A240" t="s">
        <v>66</v>
      </c>
      <c r="B240">
        <v>82</v>
      </c>
      <c r="C240">
        <v>83</v>
      </c>
      <c r="D240">
        <v>93</v>
      </c>
      <c r="E240">
        <v>91</v>
      </c>
      <c r="F240">
        <v>73</v>
      </c>
      <c r="G240">
        <v>82</v>
      </c>
      <c r="H240">
        <v>69</v>
      </c>
      <c r="I240">
        <v>72</v>
      </c>
      <c r="J240">
        <v>89</v>
      </c>
      <c r="K240">
        <v>117</v>
      </c>
      <c r="L240">
        <v>134</v>
      </c>
      <c r="M240">
        <v>133</v>
      </c>
      <c r="N240">
        <v>134</v>
      </c>
      <c r="O240">
        <v>135</v>
      </c>
      <c r="P240">
        <v>151</v>
      </c>
      <c r="Q240">
        <v>120</v>
      </c>
      <c r="R240">
        <v>137</v>
      </c>
      <c r="S240">
        <v>140</v>
      </c>
      <c r="T240">
        <v>126</v>
      </c>
      <c r="U240">
        <v>127</v>
      </c>
      <c r="V240">
        <v>115</v>
      </c>
      <c r="W240">
        <v>118</v>
      </c>
      <c r="X240">
        <v>112</v>
      </c>
      <c r="Y240" s="216">
        <v>131</v>
      </c>
      <c r="Z240" s="216">
        <v>121.52170141744934</v>
      </c>
      <c r="AA240" s="216">
        <v>120.70594092550139</v>
      </c>
      <c r="AB240" s="216">
        <v>119.89565653512595</v>
      </c>
      <c r="AC240" s="216">
        <v>119.0908114859151</v>
      </c>
      <c r="AD240" s="216">
        <v>118.29136926422909</v>
      </c>
      <c r="AE240" s="216">
        <v>117.49729360153988</v>
      </c>
      <c r="AF240" s="216">
        <v>116.70854847278562</v>
      </c>
      <c r="AG240" s="216">
        <v>115.92509809473638</v>
      </c>
      <c r="AH240" s="216">
        <v>115.1469069243707</v>
      </c>
      <c r="AI240" s="216">
        <v>114.37393965726314</v>
      </c>
      <c r="AJ240" s="216">
        <v>113.60616122598259</v>
      </c>
      <c r="AK240" s="216">
        <v>112.84353679850139</v>
      </c>
      <c r="AL240" s="216">
        <v>112.08603177661506</v>
      </c>
      <c r="AM240" s="216">
        <v>111.33361179437266</v>
      </c>
      <c r="AN240" s="216">
        <v>110.58624271651776</v>
      </c>
      <c r="AO240" s="216">
        <v>109.84389063693978</v>
      </c>
      <c r="AP240" s="216">
        <v>109.10652187713571</v>
      </c>
      <c r="AQ240" s="216">
        <v>108.37410298468231</v>
      </c>
      <c r="AR240" s="216">
        <v>107.64660073171842</v>
      </c>
      <c r="AS240" s="216">
        <v>106.92398211343746</v>
      </c>
      <c r="AT240" s="216">
        <v>106.20621434659014</v>
      </c>
      <c r="AU240" s="216">
        <v>105.49326486799717</v>
      </c>
      <c r="AV240" s="216">
        <v>104.78510133307194</v>
      </c>
      <c r="AW240" s="216">
        <v>104.08169161435312</v>
      </c>
      <c r="AX240" s="216">
        <v>103.38300380004715</v>
      </c>
      <c r="AY240" s="216">
        <v>102.68900619258055</v>
      </c>
      <c r="AZ240" s="216">
        <v>101.99966730716173</v>
      </c>
      <c r="BA240" s="216">
        <v>101.31495587035273</v>
      </c>
      <c r="BB240" s="216">
        <v>100.63484081865043</v>
      </c>
      <c r="BC240" s="216">
        <v>99.959291297077172</v>
      </c>
      <c r="BD240" s="216">
        <v>99.28827665778114</v>
      </c>
      <c r="BE240" s="216">
        <v>98.62176645864578</v>
      </c>
      <c r="BF240" s="216">
        <v>97.959730461908762</v>
      </c>
      <c r="BG240" s="216">
        <v>97.302138632790246</v>
      </c>
      <c r="BH240" s="216">
        <v>96.648961138130261</v>
      </c>
      <c r="BI240" s="216">
        <v>96.000168345035135</v>
      </c>
      <c r="BJ240" s="216">
        <v>95.355730819533335</v>
      </c>
      <c r="BK240" s="216">
        <v>94.715619325239956</v>
      </c>
      <c r="BL240" s="216">
        <v>94.079804822030439</v>
      </c>
    </row>
    <row r="241" spans="1:64">
      <c r="A241" t="s">
        <v>423</v>
      </c>
      <c r="B241">
        <v>564</v>
      </c>
      <c r="C241">
        <v>604</v>
      </c>
      <c r="D241">
        <v>623</v>
      </c>
      <c r="E241">
        <v>622</v>
      </c>
      <c r="F241">
        <v>622</v>
      </c>
      <c r="G241">
        <v>627</v>
      </c>
      <c r="H241">
        <v>628</v>
      </c>
      <c r="I241">
        <v>588</v>
      </c>
      <c r="J241">
        <v>582</v>
      </c>
      <c r="K241">
        <v>557</v>
      </c>
      <c r="L241">
        <v>520</v>
      </c>
      <c r="M241">
        <v>499</v>
      </c>
      <c r="N241">
        <v>481</v>
      </c>
      <c r="O241">
        <v>507</v>
      </c>
      <c r="P241">
        <v>496</v>
      </c>
      <c r="Q241">
        <v>495</v>
      </c>
      <c r="R241">
        <v>480</v>
      </c>
      <c r="S241">
        <v>452</v>
      </c>
      <c r="T241">
        <v>442</v>
      </c>
      <c r="U241">
        <v>471</v>
      </c>
      <c r="V241">
        <v>492</v>
      </c>
      <c r="W241">
        <v>508</v>
      </c>
      <c r="X241">
        <v>518</v>
      </c>
      <c r="Y241" s="216">
        <v>530</v>
      </c>
      <c r="Z241" s="216">
        <v>457.86211389832971</v>
      </c>
      <c r="AA241" s="216">
        <v>452.22259412602909</v>
      </c>
      <c r="AB241" s="216">
        <v>446.6525367143318</v>
      </c>
      <c r="AC241" s="216">
        <v>441.1510860904699</v>
      </c>
      <c r="AD241" s="216">
        <v>435.7173972198255</v>
      </c>
      <c r="AE241" s="216">
        <v>430.35063547613123</v>
      </c>
      <c r="AF241" s="216">
        <v>425.04997651327</v>
      </c>
      <c r="AG241" s="216">
        <v>419.81460613865374</v>
      </c>
      <c r="AH241" s="216">
        <v>414.64372018816152</v>
      </c>
      <c r="AI241" s="216">
        <v>409.53652440261845</v>
      </c>
      <c r="AJ241" s="216">
        <v>404.49223430579536</v>
      </c>
      <c r="AK241" s="216">
        <v>399.510075083912</v>
      </c>
      <c r="AL241" s="216">
        <v>394.58928146662373</v>
      </c>
      <c r="AM241" s="216">
        <v>389.72909760947448</v>
      </c>
      <c r="AN241" s="216">
        <v>384.92877697779727</v>
      </c>
      <c r="AO241" s="216">
        <v>380.18758223204503</v>
      </c>
      <c r="AP241" s="216">
        <v>375.50478511453366</v>
      </c>
      <c r="AQ241" s="216">
        <v>370.87966633757992</v>
      </c>
      <c r="AR241" s="216">
        <v>366.31151547301749</v>
      </c>
      <c r="AS241" s="216">
        <v>361.79963084307366</v>
      </c>
      <c r="AT241" s="216">
        <v>357.34331941258989</v>
      </c>
      <c r="AU241" s="216">
        <v>352.94189668257053</v>
      </c>
      <c r="AV241" s="216">
        <v>348.59468658504193</v>
      </c>
      <c r="AW241" s="216">
        <v>344.30102137920704</v>
      </c>
      <c r="AX241" s="216">
        <v>340.06024154887916</v>
      </c>
      <c r="AY241" s="216">
        <v>335.87169570117862</v>
      </c>
      <c r="AZ241" s="216">
        <v>331.73474046647777</v>
      </c>
      <c r="BA241" s="216">
        <v>327.64874039957743</v>
      </c>
      <c r="BB241" s="216">
        <v>323.61306788210169</v>
      </c>
      <c r="BC241" s="216">
        <v>319.62710302609446</v>
      </c>
      <c r="BD241" s="216">
        <v>315.69023357880258</v>
      </c>
      <c r="BE241" s="216">
        <v>311.80185482863328</v>
      </c>
      <c r="BF241" s="216">
        <v>307.96136951226896</v>
      </c>
      <c r="BG241" s="216">
        <v>304.16818772292601</v>
      </c>
      <c r="BH241" s="216">
        <v>300.42172681974415</v>
      </c>
      <c r="BI241" s="216">
        <v>296.72141133829149</v>
      </c>
      <c r="BJ241" s="216">
        <v>293.06667290217183</v>
      </c>
      <c r="BK241" s="216">
        <v>289.45695013572094</v>
      </c>
      <c r="BL241" s="216">
        <v>285.89168857777793</v>
      </c>
    </row>
    <row r="242" spans="1:64">
      <c r="A242" t="s">
        <v>107</v>
      </c>
      <c r="B242">
        <v>610</v>
      </c>
      <c r="C242">
        <v>641</v>
      </c>
      <c r="D242">
        <v>670</v>
      </c>
      <c r="E242">
        <v>657</v>
      </c>
      <c r="F242">
        <v>703</v>
      </c>
      <c r="G242">
        <v>736</v>
      </c>
      <c r="H242">
        <v>760</v>
      </c>
      <c r="I242">
        <v>799</v>
      </c>
      <c r="J242">
        <v>841</v>
      </c>
      <c r="K242">
        <v>809</v>
      </c>
      <c r="L242">
        <v>784</v>
      </c>
      <c r="M242">
        <v>804</v>
      </c>
      <c r="N242">
        <v>815</v>
      </c>
      <c r="O242">
        <v>797</v>
      </c>
      <c r="P242">
        <v>774</v>
      </c>
      <c r="Q242">
        <v>775</v>
      </c>
      <c r="R242">
        <v>774</v>
      </c>
      <c r="S242">
        <v>788</v>
      </c>
      <c r="T242">
        <v>808</v>
      </c>
      <c r="U242">
        <v>817</v>
      </c>
      <c r="V242">
        <v>844</v>
      </c>
      <c r="W242">
        <v>870</v>
      </c>
      <c r="X242">
        <v>877</v>
      </c>
      <c r="Y242" s="216">
        <v>876</v>
      </c>
      <c r="Z242" s="216">
        <v>894.71518294917053</v>
      </c>
      <c r="AA242" s="216">
        <v>905.2712246218465</v>
      </c>
      <c r="AB242" s="216">
        <v>915.95180873877621</v>
      </c>
      <c r="AC242" s="216">
        <v>926.75840467843489</v>
      </c>
      <c r="AD242" s="216">
        <v>937.69249915534056</v>
      </c>
      <c r="AE242" s="216">
        <v>948.75559642458848</v>
      </c>
      <c r="AF242" s="216">
        <v>959.94921848879733</v>
      </c>
      <c r="AG242" s="216">
        <v>971.27490530749992</v>
      </c>
      <c r="AH242" s="216">
        <v>982.73421500900167</v>
      </c>
      <c r="AI242" s="216">
        <v>994.32872410474033</v>
      </c>
      <c r="AJ242" s="216">
        <v>1006.0600277061734</v>
      </c>
      <c r="AK242" s="216">
        <v>1017.9297397442257</v>
      </c>
      <c r="AL242" s="216">
        <v>1029.9394931913255</v>
      </c>
      <c r="AM242" s="216">
        <v>1042.0909402860598</v>
      </c>
      <c r="AN242" s="216">
        <v>1054.3857527604814</v>
      </c>
      <c r="AO242" s="216">
        <v>1066.8256220700957</v>
      </c>
      <c r="AP242" s="216">
        <v>1079.412259626564</v>
      </c>
      <c r="AQ242" s="216">
        <v>1092.147397033149</v>
      </c>
      <c r="AR242" s="216">
        <v>1105.0327863229397</v>
      </c>
      <c r="AS242" s="216">
        <v>1118.0702001998886</v>
      </c>
      <c r="AT242" s="216">
        <v>1131.2614322826885</v>
      </c>
      <c r="AU242" s="216">
        <v>1144.6082973515308</v>
      </c>
      <c r="AV242" s="216">
        <v>1158.1126315977731</v>
      </c>
      <c r="AW242" s="216">
        <v>1171.7762928765526</v>
      </c>
      <c r="AX242" s="216">
        <v>1185.6011609623793</v>
      </c>
      <c r="AY242" s="216">
        <v>1199.589137807747</v>
      </c>
      <c r="AZ242" s="216">
        <v>1213.7421478047925</v>
      </c>
      <c r="BA242" s="216">
        <v>1228.0621380500443</v>
      </c>
      <c r="BB242" s="216">
        <v>1242.5510786122929</v>
      </c>
      <c r="BC242" s="216">
        <v>1257.2109628036233</v>
      </c>
      <c r="BD242" s="216">
        <v>1272.0438074536441</v>
      </c>
      <c r="BE242" s="216">
        <v>1287.051653186953</v>
      </c>
      <c r="BF242" s="216">
        <v>1302.2365647038728</v>
      </c>
      <c r="BG242" s="216">
        <v>1317.6006310645053</v>
      </c>
      <c r="BH242" s="216">
        <v>1333.145965976131</v>
      </c>
      <c r="BI242" s="216">
        <v>1348.8747080840017</v>
      </c>
      <c r="BJ242" s="216">
        <v>1364.7890212655657</v>
      </c>
      <c r="BK242" s="216">
        <v>1380.891094928161</v>
      </c>
      <c r="BL242" s="216">
        <v>1397.1831443102233</v>
      </c>
    </row>
    <row r="243" spans="1:64">
      <c r="A243" t="s">
        <v>13</v>
      </c>
      <c r="B243">
        <v>1034</v>
      </c>
      <c r="C243">
        <v>1112</v>
      </c>
      <c r="D243">
        <v>1121</v>
      </c>
      <c r="E243">
        <v>1136</v>
      </c>
      <c r="F243">
        <v>1186</v>
      </c>
      <c r="G243">
        <v>1205</v>
      </c>
      <c r="H243">
        <v>1202</v>
      </c>
      <c r="I243">
        <v>1217</v>
      </c>
      <c r="J243">
        <v>1235</v>
      </c>
      <c r="K243">
        <v>1393</v>
      </c>
      <c r="L243">
        <v>1391</v>
      </c>
      <c r="M243">
        <v>1398</v>
      </c>
      <c r="N243">
        <v>1361</v>
      </c>
      <c r="O243">
        <v>1311</v>
      </c>
      <c r="P243">
        <v>1285</v>
      </c>
      <c r="Q243">
        <v>1160</v>
      </c>
      <c r="R243">
        <v>1242</v>
      </c>
      <c r="S243">
        <v>1186</v>
      </c>
      <c r="T243">
        <v>1218</v>
      </c>
      <c r="U243">
        <v>1258</v>
      </c>
      <c r="V243">
        <v>1276</v>
      </c>
      <c r="W243">
        <v>1276</v>
      </c>
      <c r="X243">
        <v>1264</v>
      </c>
      <c r="Y243" s="216">
        <v>1246</v>
      </c>
      <c r="Z243" s="216">
        <v>1201.5351490713358</v>
      </c>
      <c r="AA243" s="216">
        <v>1191.7979654162939</v>
      </c>
      <c r="AB243" s="216">
        <v>1182.1396914341024</v>
      </c>
      <c r="AC243" s="216">
        <v>1172.5596876445293</v>
      </c>
      <c r="AD243" s="216">
        <v>1163.057319749659</v>
      </c>
      <c r="AE243" s="216">
        <v>1153.6319585918964</v>
      </c>
      <c r="AF243" s="216">
        <v>1144.2829801123091</v>
      </c>
      <c r="AG243" s="216">
        <v>1135.0097653093096</v>
      </c>
      <c r="AH243" s="216">
        <v>1125.8117001976691</v>
      </c>
      <c r="AI243" s="216">
        <v>1116.6881757678655</v>
      </c>
      <c r="AJ243" s="216">
        <v>1107.6385879457614</v>
      </c>
      <c r="AK243" s="216">
        <v>1098.6623375526078</v>
      </c>
      <c r="AL243" s="216">
        <v>1089.7588302653712</v>
      </c>
      <c r="AM243" s="216">
        <v>1080.9274765773835</v>
      </c>
      <c r="AN243" s="216">
        <v>1072.1676917593113</v>
      </c>
      <c r="AO243" s="216">
        <v>1063.4788958204392</v>
      </c>
      <c r="AP243" s="216">
        <v>1054.8605134702693</v>
      </c>
      <c r="AQ243" s="216">
        <v>1046.3119740804304</v>
      </c>
      <c r="AR243" s="216">
        <v>1037.8327116468968</v>
      </c>
      <c r="AS243" s="216">
        <v>1029.4221647525119</v>
      </c>
      <c r="AT243" s="216">
        <v>1021.0797765298173</v>
      </c>
      <c r="AU243" s="216">
        <v>1012.804994624182</v>
      </c>
      <c r="AV243" s="216">
        <v>1004.5972711572306</v>
      </c>
      <c r="AW243" s="216">
        <v>996.45606269056805</v>
      </c>
      <c r="AX243" s="216">
        <v>988.38083018979819</v>
      </c>
      <c r="AY243" s="216">
        <v>980.37103898883367</v>
      </c>
      <c r="AZ243" s="216">
        <v>972.42615875449599</v>
      </c>
      <c r="BA243" s="216">
        <v>964.54566345140131</v>
      </c>
      <c r="BB243" s="216">
        <v>956.72903130713166</v>
      </c>
      <c r="BC243" s="216">
        <v>948.97574477768774</v>
      </c>
      <c r="BD243" s="216">
        <v>941.28529051322232</v>
      </c>
      <c r="BE243" s="216">
        <v>933.65715932405078</v>
      </c>
      <c r="BF243" s="216">
        <v>926.09084614693745</v>
      </c>
      <c r="BG243" s="216">
        <v>918.58585001165511</v>
      </c>
      <c r="BH243" s="216">
        <v>911.14167400781571</v>
      </c>
      <c r="BI243" s="216">
        <v>903.75782525196871</v>
      </c>
      <c r="BJ243" s="216">
        <v>896.43381485496843</v>
      </c>
      <c r="BK243" s="216">
        <v>889.16915788960239</v>
      </c>
      <c r="BL243" s="216">
        <v>881.96337335848659</v>
      </c>
    </row>
    <row r="244" spans="1:64">
      <c r="A244" t="s">
        <v>108</v>
      </c>
      <c r="B244">
        <v>444</v>
      </c>
      <c r="C244">
        <v>463</v>
      </c>
      <c r="D244">
        <v>462</v>
      </c>
      <c r="E244">
        <v>485</v>
      </c>
      <c r="F244">
        <v>487</v>
      </c>
      <c r="G244">
        <v>485</v>
      </c>
      <c r="H244">
        <v>500</v>
      </c>
      <c r="I244">
        <v>508</v>
      </c>
      <c r="J244">
        <v>513</v>
      </c>
      <c r="K244">
        <v>532</v>
      </c>
      <c r="L244">
        <v>547</v>
      </c>
      <c r="M244">
        <v>550</v>
      </c>
      <c r="N244">
        <v>572</v>
      </c>
      <c r="O244">
        <v>564</v>
      </c>
      <c r="P244">
        <v>598</v>
      </c>
      <c r="Q244">
        <v>603</v>
      </c>
      <c r="R244">
        <v>611</v>
      </c>
      <c r="S244">
        <v>606</v>
      </c>
      <c r="T244">
        <v>601</v>
      </c>
      <c r="U244">
        <v>590</v>
      </c>
      <c r="V244">
        <v>597</v>
      </c>
      <c r="W244">
        <v>636</v>
      </c>
      <c r="X244">
        <v>629</v>
      </c>
      <c r="Y244" s="216">
        <v>623</v>
      </c>
      <c r="Z244" s="216">
        <v>642.44003137575669</v>
      </c>
      <c r="AA244" s="216">
        <v>649.3396977397382</v>
      </c>
      <c r="AB244" s="216">
        <v>656.3134650214854</v>
      </c>
      <c r="AC244" s="216">
        <v>663.36212904875617</v>
      </c>
      <c r="AD244" s="216">
        <v>670.48649419632568</v>
      </c>
      <c r="AE244" s="216">
        <v>677.68737347777972</v>
      </c>
      <c r="AF244" s="216">
        <v>684.96558863829307</v>
      </c>
      <c r="AG244" s="216">
        <v>692.32197024840525</v>
      </c>
      <c r="AH244" s="216">
        <v>699.7573577988029</v>
      </c>
      <c r="AI244" s="216">
        <v>707.2725997961204</v>
      </c>
      <c r="AJ244" s="216">
        <v>714.86855385976889</v>
      </c>
      <c r="AK244" s="216">
        <v>722.54608681980562</v>
      </c>
      <c r="AL244" s="216">
        <v>730.30607481585446</v>
      </c>
      <c r="AM244" s="216">
        <v>738.14940339708869</v>
      </c>
      <c r="AN244" s="216">
        <v>746.07696762328669</v>
      </c>
      <c r="AO244" s="216">
        <v>754.08967216697511</v>
      </c>
      <c r="AP244" s="216">
        <v>762.18843141666639</v>
      </c>
      <c r="AQ244" s="216">
        <v>770.37416958120752</v>
      </c>
      <c r="AR244" s="216">
        <v>778.64782079524707</v>
      </c>
      <c r="AS244" s="216">
        <v>787.01032922583761</v>
      </c>
      <c r="AT244" s="216">
        <v>795.46264918017994</v>
      </c>
      <c r="AU244" s="216">
        <v>804.00574521452734</v>
      </c>
      <c r="AV244" s="216">
        <v>812.64059224425728</v>
      </c>
      <c r="AW244" s="216">
        <v>821.36817565512729</v>
      </c>
      <c r="AX244" s="216">
        <v>830.18949141572307</v>
      </c>
      <c r="AY244" s="216">
        <v>839.10554619111701</v>
      </c>
      <c r="AZ244" s="216">
        <v>848.1173574577457</v>
      </c>
      <c r="BA244" s="216">
        <v>857.22595361952119</v>
      </c>
      <c r="BB244" s="216">
        <v>866.43237412519068</v>
      </c>
      <c r="BC244" s="216">
        <v>875.73766958695467</v>
      </c>
      <c r="BD244" s="216">
        <v>885.14290190036047</v>
      </c>
      <c r="BE244" s="216">
        <v>894.64914436548338</v>
      </c>
      <c r="BF244" s="216">
        <v>904.25748180940741</v>
      </c>
      <c r="BG244" s="216">
        <v>913.96901071002469</v>
      </c>
      <c r="BH244" s="216">
        <v>923.78483932116103</v>
      </c>
      <c r="BI244" s="216">
        <v>933.70608779904796</v>
      </c>
      <c r="BJ244" s="216">
        <v>943.73388833015144</v>
      </c>
      <c r="BK244" s="216">
        <v>953.8693852603742</v>
      </c>
      <c r="BL244" s="216">
        <v>964.11373522564497</v>
      </c>
    </row>
    <row r="245" spans="1:64">
      <c r="A245" t="s">
        <v>1359</v>
      </c>
      <c r="K245">
        <v>27</v>
      </c>
      <c r="L245">
        <v>32</v>
      </c>
      <c r="M245">
        <v>29</v>
      </c>
      <c r="N245">
        <v>29</v>
      </c>
      <c r="O245">
        <v>26</v>
      </c>
      <c r="P245">
        <v>22</v>
      </c>
      <c r="Q245">
        <v>27</v>
      </c>
      <c r="R245">
        <v>32</v>
      </c>
      <c r="S245">
        <v>31</v>
      </c>
      <c r="T245">
        <v>31</v>
      </c>
      <c r="U245">
        <v>30</v>
      </c>
      <c r="V245">
        <v>29</v>
      </c>
      <c r="W245">
        <v>31</v>
      </c>
      <c r="X245">
        <v>33</v>
      </c>
      <c r="Y245" s="216">
        <v>32</v>
      </c>
      <c r="Z245" s="216">
        <v>31.834916863833364</v>
      </c>
      <c r="AA245" s="216">
        <v>32.173325568928739</v>
      </c>
      <c r="AB245" s="216">
        <v>32.515331596177468</v>
      </c>
      <c r="AC245" s="216">
        <v>32.86097318551392</v>
      </c>
      <c r="AD245" s="216">
        <v>33.210288983367235</v>
      </c>
      <c r="AE245" s="216">
        <v>33.56331804698236</v>
      </c>
      <c r="AF245" s="216">
        <v>33.920099848787132</v>
      </c>
      <c r="AG245" s="216">
        <v>34.28067428080567</v>
      </c>
      <c r="AH245" s="216">
        <v>34.645081659118738</v>
      </c>
      <c r="AI245" s="216">
        <v>35.013362728371519</v>
      </c>
      <c r="AJ245" s="216">
        <v>35.385558666329317</v>
      </c>
      <c r="AK245" s="216">
        <v>35.761711088481647</v>
      </c>
      <c r="AL245" s="216">
        <v>36.141862052695309</v>
      </c>
      <c r="AM245" s="216">
        <v>36.526054063916902</v>
      </c>
      <c r="AN245" s="216">
        <v>36.914330078925339</v>
      </c>
      <c r="AO245" s="216">
        <v>37.306733511134844</v>
      </c>
      <c r="AP245" s="216">
        <v>37.703308235449086</v>
      </c>
      <c r="AQ245" s="216">
        <v>38.104098593166825</v>
      </c>
      <c r="AR245" s="216">
        <v>38.509149396939755</v>
      </c>
      <c r="AS245" s="216">
        <v>38.918505935783053</v>
      </c>
      <c r="AT245" s="216">
        <v>39.332213980139137</v>
      </c>
      <c r="AU245" s="216">
        <v>39.750319786995341</v>
      </c>
      <c r="AV245" s="216">
        <v>40.1728701050559</v>
      </c>
      <c r="AW245" s="216">
        <v>40.599912179968982</v>
      </c>
      <c r="AX245" s="216">
        <v>41.031493759609234</v>
      </c>
      <c r="AY245" s="216">
        <v>41.467663099416534</v>
      </c>
      <c r="AZ245" s="216">
        <v>41.908468967791443</v>
      </c>
      <c r="BA245" s="216">
        <v>42.353960651548022</v>
      </c>
      <c r="BB245" s="216">
        <v>42.804187961424695</v>
      </c>
      <c r="BC245" s="216">
        <v>43.259201237653514</v>
      </c>
      <c r="BD245" s="216">
        <v>43.719051355588824</v>
      </c>
      <c r="BE245" s="216">
        <v>44.183789731395649</v>
      </c>
      <c r="BF245" s="216">
        <v>44.653468327798542</v>
      </c>
      <c r="BG245" s="216">
        <v>45.128139659891609</v>
      </c>
      <c r="BH245" s="216">
        <v>45.607856801010236</v>
      </c>
      <c r="BI245" s="216">
        <v>46.092673388665261</v>
      </c>
      <c r="BJ245" s="216">
        <v>46.582643630540247</v>
      </c>
      <c r="BK245" s="216">
        <v>47.077822310552435</v>
      </c>
      <c r="BL245" s="216">
        <v>47.578264794978189</v>
      </c>
    </row>
    <row r="246" spans="1:64">
      <c r="A246" t="s">
        <v>1078</v>
      </c>
      <c r="B246">
        <v>38</v>
      </c>
      <c r="C246">
        <v>40</v>
      </c>
      <c r="D246">
        <v>41</v>
      </c>
      <c r="E246">
        <v>42</v>
      </c>
      <c r="F246">
        <v>42</v>
      </c>
      <c r="G246">
        <v>45</v>
      </c>
      <c r="H246">
        <v>45</v>
      </c>
      <c r="I246">
        <v>44</v>
      </c>
      <c r="J246">
        <v>47</v>
      </c>
      <c r="K246">
        <v>92</v>
      </c>
      <c r="L246">
        <v>103</v>
      </c>
      <c r="M246">
        <v>96</v>
      </c>
      <c r="N246">
        <v>110</v>
      </c>
      <c r="O246">
        <v>85</v>
      </c>
      <c r="P246">
        <v>93</v>
      </c>
      <c r="Q246">
        <v>87</v>
      </c>
      <c r="R246">
        <v>72</v>
      </c>
      <c r="S246">
        <v>71</v>
      </c>
      <c r="T246">
        <v>73</v>
      </c>
      <c r="U246">
        <v>78</v>
      </c>
      <c r="V246">
        <v>89</v>
      </c>
      <c r="W246">
        <v>89</v>
      </c>
      <c r="X246">
        <v>86</v>
      </c>
      <c r="Y246" s="216">
        <v>85</v>
      </c>
      <c r="Z246" s="216">
        <v>108.85330480019914</v>
      </c>
      <c r="AA246" s="216">
        <v>113.24800419431273</v>
      </c>
      <c r="AB246" s="216">
        <v>117.82012937076769</v>
      </c>
      <c r="AC246" s="216">
        <v>122.57684348349484</v>
      </c>
      <c r="AD246" s="216">
        <v>127.52559888213003</v>
      </c>
      <c r="AE246" s="216">
        <v>132.6741487876194</v>
      </c>
      <c r="AF246" s="216">
        <v>138.03055943919952</v>
      </c>
      <c r="AG246" s="216">
        <v>143.60322273178429</v>
      </c>
      <c r="AH246" s="216">
        <v>149.40086936355632</v>
      </c>
      <c r="AI246" s="216">
        <v>155.43258251436239</v>
      </c>
      <c r="AJ246" s="216">
        <v>161.70781207634192</v>
      </c>
      <c r="AK246" s="216">
        <v>168.23638945908419</v>
      </c>
      <c r="AL246" s="216">
        <v>175.0285429925095</v>
      </c>
      <c r="AM246" s="216">
        <v>182.09491395160558</v>
      </c>
      <c r="AN246" s="216">
        <v>189.44657322812597</v>
      </c>
      <c r="AO246" s="216">
        <v>197.09503867536904</v>
      </c>
      <c r="AP246" s="216">
        <v>205.05229315321245</v>
      </c>
      <c r="AQ246" s="216">
        <v>213.33080330167397</v>
      </c>
      <c r="AR246" s="216">
        <v>221.94353907241108</v>
      </c>
      <c r="AS246" s="216">
        <v>230.90399404875984</v>
      </c>
      <c r="AT246" s="216">
        <v>240.22620658614744</v>
      </c>
      <c r="AU246" s="216">
        <v>249.92478180600071</v>
      </c>
      <c r="AV246" s="216">
        <v>260.01491447760691</v>
      </c>
      <c r="AW246" s="216">
        <v>270.51241282377697</v>
      </c>
      <c r="AX246" s="216">
        <v>281.43372328760665</v>
      </c>
      <c r="AY246" s="216">
        <v>292.7959562991386</v>
      </c>
      <c r="AZ246" s="216">
        <v>304.61691308229342</v>
      </c>
      <c r="BA246" s="216">
        <v>316.91511354406811</v>
      </c>
      <c r="BB246" s="216">
        <v>329.70982528969614</v>
      </c>
      <c r="BC246" s="216">
        <v>343.02109380922826</v>
      </c>
      <c r="BD246" s="216">
        <v>356.86977388282435</v>
      </c>
      <c r="BE246" s="216">
        <v>371.27756225396286</v>
      </c>
      <c r="BF246" s="216">
        <v>386.26703162175437</v>
      </c>
      <c r="BG246" s="216">
        <v>401.86166600561603</v>
      </c>
      <c r="BH246" s="216">
        <v>418.08589753771304</v>
      </c>
      <c r="BI246" s="216">
        <v>434.96514474080817</v>
      </c>
      <c r="BJ246" s="216">
        <v>452.52585235149212</v>
      </c>
      <c r="BK246" s="216">
        <v>470.79553275118343</v>
      </c>
      <c r="BL246" s="216">
        <v>489.80280906980948</v>
      </c>
    </row>
    <row r="247" spans="1:64">
      <c r="A247" t="s">
        <v>241</v>
      </c>
      <c r="B247">
        <v>372</v>
      </c>
      <c r="C247">
        <v>375</v>
      </c>
      <c r="D247">
        <v>374</v>
      </c>
      <c r="E247">
        <v>374</v>
      </c>
      <c r="F247">
        <v>387</v>
      </c>
      <c r="G247">
        <v>404</v>
      </c>
      <c r="H247">
        <v>389</v>
      </c>
      <c r="I247">
        <v>419</v>
      </c>
      <c r="J247">
        <v>443</v>
      </c>
      <c r="K247">
        <v>428</v>
      </c>
      <c r="L247">
        <v>423</v>
      </c>
      <c r="M247">
        <v>435</v>
      </c>
      <c r="N247">
        <v>421</v>
      </c>
      <c r="O247">
        <v>419</v>
      </c>
      <c r="P247">
        <v>404</v>
      </c>
      <c r="Q247">
        <v>411</v>
      </c>
      <c r="R247">
        <v>397</v>
      </c>
      <c r="S247">
        <v>397</v>
      </c>
      <c r="T247">
        <v>365</v>
      </c>
      <c r="U247">
        <v>373</v>
      </c>
      <c r="V247">
        <v>374</v>
      </c>
      <c r="W247">
        <v>383</v>
      </c>
      <c r="X247">
        <v>379</v>
      </c>
      <c r="Y247" s="216">
        <v>372</v>
      </c>
      <c r="Z247" s="216">
        <v>390.93830013434774</v>
      </c>
      <c r="AA247" s="216">
        <v>390.54180376627204</v>
      </c>
      <c r="AB247" s="216">
        <v>390.14570953165276</v>
      </c>
      <c r="AC247" s="216">
        <v>389.75001702263927</v>
      </c>
      <c r="AD247" s="216">
        <v>389.35472583179455</v>
      </c>
      <c r="AE247" s="216">
        <v>388.95983555209472</v>
      </c>
      <c r="AF247" s="216">
        <v>388.56534577692884</v>
      </c>
      <c r="AG247" s="216">
        <v>388.17125610009828</v>
      </c>
      <c r="AH247" s="216">
        <v>387.7775661158164</v>
      </c>
      <c r="AI247" s="216">
        <v>387.38427541870811</v>
      </c>
      <c r="AJ247" s="216">
        <v>386.99138360380948</v>
      </c>
      <c r="AK247" s="216">
        <v>386.59889026656731</v>
      </c>
      <c r="AL247" s="216">
        <v>386.2067950028387</v>
      </c>
      <c r="AM247" s="216">
        <v>385.81509740889055</v>
      </c>
      <c r="AN247" s="216">
        <v>385.42379708139947</v>
      </c>
      <c r="AO247" s="216">
        <v>385.03289361745072</v>
      </c>
      <c r="AP247" s="216">
        <v>384.64238661453868</v>
      </c>
      <c r="AQ247" s="216">
        <v>384.25227567056561</v>
      </c>
      <c r="AR247" s="216">
        <v>383.8625603838417</v>
      </c>
      <c r="AS247" s="216">
        <v>383.47324035308458</v>
      </c>
      <c r="AT247" s="216">
        <v>383.08431517741883</v>
      </c>
      <c r="AU247" s="216">
        <v>382.69578445637558</v>
      </c>
      <c r="AV247" s="216">
        <v>382.30764778989214</v>
      </c>
      <c r="AW247" s="216">
        <v>381.91990477831166</v>
      </c>
      <c r="AX247" s="216">
        <v>381.53255502238244</v>
      </c>
      <c r="AY247" s="216">
        <v>381.14559812325786</v>
      </c>
      <c r="AZ247" s="216">
        <v>380.75903368249578</v>
      </c>
      <c r="BA247" s="216">
        <v>380.37286130205814</v>
      </c>
      <c r="BB247" s="216">
        <v>379.98708058431055</v>
      </c>
      <c r="BC247" s="216">
        <v>379.6016911320221</v>
      </c>
      <c r="BD247" s="216">
        <v>379.21669254836445</v>
      </c>
      <c r="BE247" s="216">
        <v>378.83208443691194</v>
      </c>
      <c r="BF247" s="216">
        <v>378.44786640164097</v>
      </c>
      <c r="BG247" s="216">
        <v>378.06403804692957</v>
      </c>
      <c r="BH247" s="216">
        <v>377.68059897755688</v>
      </c>
      <c r="BI247" s="216">
        <v>377.29754879870308</v>
      </c>
      <c r="BJ247" s="216">
        <v>376.91488711594866</v>
      </c>
      <c r="BK247" s="216">
        <v>376.53261353527421</v>
      </c>
      <c r="BL247" s="216">
        <v>376.15072766305991</v>
      </c>
    </row>
    <row r="248" spans="1:64">
      <c r="A248" t="s">
        <v>243</v>
      </c>
      <c r="B248">
        <v>299</v>
      </c>
      <c r="C248">
        <v>302</v>
      </c>
      <c r="D248">
        <v>319</v>
      </c>
      <c r="E248">
        <v>340</v>
      </c>
      <c r="F248">
        <v>341</v>
      </c>
      <c r="G248">
        <v>333</v>
      </c>
      <c r="H248">
        <v>353</v>
      </c>
      <c r="I248">
        <v>355</v>
      </c>
      <c r="J248">
        <v>350</v>
      </c>
      <c r="K248">
        <v>370</v>
      </c>
      <c r="L248">
        <v>375</v>
      </c>
      <c r="M248">
        <v>377</v>
      </c>
      <c r="N248">
        <v>378</v>
      </c>
      <c r="O248">
        <v>398</v>
      </c>
      <c r="P248">
        <v>396</v>
      </c>
      <c r="Q248">
        <v>404</v>
      </c>
      <c r="R248">
        <v>416</v>
      </c>
      <c r="S248">
        <v>411</v>
      </c>
      <c r="T248">
        <v>380</v>
      </c>
      <c r="U248">
        <v>408</v>
      </c>
      <c r="V248">
        <v>429</v>
      </c>
      <c r="W248">
        <v>419</v>
      </c>
      <c r="X248">
        <v>416</v>
      </c>
      <c r="Y248" s="216">
        <v>437</v>
      </c>
      <c r="Z248" s="216">
        <v>447.98607053269814</v>
      </c>
      <c r="AA248" s="216">
        <v>454.58256755465408</v>
      </c>
      <c r="AB248" s="216">
        <v>461.2761965541934</v>
      </c>
      <c r="AC248" s="216">
        <v>468.06838777846679</v>
      </c>
      <c r="AD248" s="216">
        <v>474.9605925347015</v>
      </c>
      <c r="AE248" s="216">
        <v>481.95428350030687</v>
      </c>
      <c r="AF248" s="216">
        <v>489.05095503754524</v>
      </c>
      <c r="AG248" s="216">
        <v>496.25212351283699</v>
      </c>
      <c r="AH248" s="216">
        <v>503.55932762076651</v>
      </c>
      <c r="AI248" s="216">
        <v>510.97412871286002</v>
      </c>
      <c r="AJ248" s="216">
        <v>518.4981111312037</v>
      </c>
      <c r="AK248" s="216">
        <v>526.132882546975</v>
      </c>
      <c r="AL248" s="216">
        <v>533.88007430395817</v>
      </c>
      <c r="AM248" s="216">
        <v>541.74134176711834</v>
      </c>
      <c r="AN248" s="216">
        <v>549.71836467630806</v>
      </c>
      <c r="AO248" s="216">
        <v>557.81284750518228</v>
      </c>
      <c r="AP248" s="216">
        <v>566.02651982539817</v>
      </c>
      <c r="AQ248" s="216">
        <v>574.36113667617758</v>
      </c>
      <c r="AR248" s="216">
        <v>582.81847893931183</v>
      </c>
      <c r="AS248" s="216">
        <v>591.40035371968736</v>
      </c>
      <c r="AT248" s="216">
        <v>600.108594731415</v>
      </c>
      <c r="AU248" s="216">
        <v>608.94506268964597</v>
      </c>
      <c r="AV248" s="216">
        <v>617.91164570815488</v>
      </c>
      <c r="AW248" s="216">
        <v>627.01025970277954</v>
      </c>
      <c r="AX248" s="216">
        <v>636.24284880080006</v>
      </c>
      <c r="AY248" s="216">
        <v>645.61138575634561</v>
      </c>
      <c r="AZ248" s="216">
        <v>655.11787237191925</v>
      </c>
      <c r="BA248" s="216">
        <v>664.76433992612874</v>
      </c>
      <c r="BB248" s="216">
        <v>674.5528496077153</v>
      </c>
      <c r="BC248" s="216">
        <v>684.485492955974</v>
      </c>
      <c r="BD248" s="216">
        <v>694.56439230765943</v>
      </c>
      <c r="BE248" s="216">
        <v>704.79170125047108</v>
      </c>
      <c r="BF248" s="216">
        <v>715.16960508321688</v>
      </c>
      <c r="BG248" s="216">
        <v>725.70032128275216</v>
      </c>
      <c r="BH248" s="216">
        <v>736.38609997779474</v>
      </c>
      <c r="BI248" s="216">
        <v>747.22922442971606</v>
      </c>
      <c r="BJ248" s="216">
        <v>758.23201152041258</v>
      </c>
      <c r="BK248" s="216">
        <v>769.39681224736057</v>
      </c>
      <c r="BL248" s="216">
        <v>780.72601222596052</v>
      </c>
    </row>
    <row r="249" spans="1:64">
      <c r="A249" t="s">
        <v>1080</v>
      </c>
      <c r="B249">
        <v>333</v>
      </c>
      <c r="C249">
        <v>325</v>
      </c>
      <c r="D249">
        <v>333</v>
      </c>
      <c r="E249">
        <v>339</v>
      </c>
      <c r="F249">
        <v>353</v>
      </c>
      <c r="G249">
        <v>326</v>
      </c>
      <c r="H249">
        <v>329</v>
      </c>
      <c r="I249">
        <v>325</v>
      </c>
      <c r="J249">
        <v>331</v>
      </c>
      <c r="K249">
        <v>325</v>
      </c>
      <c r="L249">
        <v>324</v>
      </c>
      <c r="M249">
        <v>320</v>
      </c>
      <c r="N249">
        <v>303</v>
      </c>
      <c r="O249">
        <v>323</v>
      </c>
      <c r="P249">
        <v>321</v>
      </c>
      <c r="Q249">
        <v>323</v>
      </c>
      <c r="R249">
        <v>330</v>
      </c>
      <c r="S249">
        <v>321</v>
      </c>
      <c r="T249">
        <v>318</v>
      </c>
      <c r="U249">
        <v>327</v>
      </c>
      <c r="V249">
        <v>340</v>
      </c>
      <c r="W249">
        <v>353</v>
      </c>
      <c r="X249">
        <v>352</v>
      </c>
      <c r="Y249" s="216">
        <v>384</v>
      </c>
      <c r="Z249" s="216">
        <v>338.89112377173842</v>
      </c>
      <c r="AA249" s="216">
        <v>339.51210595109205</v>
      </c>
      <c r="AB249" s="216">
        <v>340.13422601468051</v>
      </c>
      <c r="AC249" s="216">
        <v>340.7574860475566</v>
      </c>
      <c r="AD249" s="216">
        <v>341.38188813859335</v>
      </c>
      <c r="AE249" s="216">
        <v>342.00743438049182</v>
      </c>
      <c r="AF249" s="216">
        <v>342.63412686978756</v>
      </c>
      <c r="AG249" s="216">
        <v>343.26196770685783</v>
      </c>
      <c r="AH249" s="216">
        <v>343.89095899592854</v>
      </c>
      <c r="AI249" s="216">
        <v>344.5211028450816</v>
      </c>
      <c r="AJ249" s="216">
        <v>345.15240136626136</v>
      </c>
      <c r="AK249" s="216">
        <v>345.78485667528253</v>
      </c>
      <c r="AL249" s="216">
        <v>346.41847089183642</v>
      </c>
      <c r="AM249" s="216">
        <v>347.0532461394987</v>
      </c>
      <c r="AN249" s="216">
        <v>347.68918454573628</v>
      </c>
      <c r="AO249" s="216">
        <v>348.32628824191437</v>
      </c>
      <c r="AP249" s="216">
        <v>348.96455936330352</v>
      </c>
      <c r="AQ249" s="216">
        <v>349.60400004908718</v>
      </c>
      <c r="AR249" s="216">
        <v>350.24461244236858</v>
      </c>
      <c r="AS249" s="216">
        <v>350.88639869017783</v>
      </c>
      <c r="AT249" s="216">
        <v>351.52936094347945</v>
      </c>
      <c r="AU249" s="216">
        <v>352.17350135717908</v>
      </c>
      <c r="AV249" s="216">
        <v>352.81882209013133</v>
      </c>
      <c r="AW249" s="216">
        <v>353.46532530514645</v>
      </c>
      <c r="AX249" s="216">
        <v>354.11301316899795</v>
      </c>
      <c r="AY249" s="216">
        <v>354.76188785242954</v>
      </c>
      <c r="AZ249" s="216">
        <v>355.41195153016275</v>
      </c>
      <c r="BA249" s="216">
        <v>356.06320638090409</v>
      </c>
      <c r="BB249" s="216">
        <v>356.71565458735222</v>
      </c>
      <c r="BC249" s="216">
        <v>357.36929833620536</v>
      </c>
      <c r="BD249" s="216">
        <v>358.02413981816869</v>
      </c>
      <c r="BE249" s="216">
        <v>358.68018122796155</v>
      </c>
      <c r="BF249" s="216">
        <v>359.33742476432491</v>
      </c>
      <c r="BG249" s="216">
        <v>359.99587263002877</v>
      </c>
      <c r="BH249" s="216">
        <v>360.65552703187933</v>
      </c>
      <c r="BI249" s="216">
        <v>361.31639018072667</v>
      </c>
      <c r="BJ249" s="216">
        <v>361.97846429147182</v>
      </c>
      <c r="BK249" s="216">
        <v>362.64175158307467</v>
      </c>
      <c r="BL249" s="216">
        <v>363.30625427856091</v>
      </c>
    </row>
    <row r="250" spans="1:64">
      <c r="A250" t="s">
        <v>245</v>
      </c>
      <c r="B250">
        <v>72</v>
      </c>
      <c r="C250">
        <v>66</v>
      </c>
      <c r="D250">
        <v>70</v>
      </c>
      <c r="E250">
        <v>74</v>
      </c>
      <c r="F250">
        <v>76</v>
      </c>
      <c r="G250">
        <v>67</v>
      </c>
      <c r="H250">
        <v>61</v>
      </c>
      <c r="I250">
        <v>79</v>
      </c>
      <c r="J250">
        <v>76</v>
      </c>
      <c r="K250">
        <v>69</v>
      </c>
      <c r="L250">
        <v>64</v>
      </c>
      <c r="M250">
        <v>78</v>
      </c>
      <c r="N250">
        <v>77</v>
      </c>
      <c r="O250">
        <v>70</v>
      </c>
      <c r="P250">
        <v>73</v>
      </c>
      <c r="Q250">
        <v>80</v>
      </c>
      <c r="R250">
        <v>84</v>
      </c>
      <c r="S250">
        <v>78</v>
      </c>
      <c r="T250">
        <v>78</v>
      </c>
      <c r="U250">
        <v>74</v>
      </c>
      <c r="V250">
        <v>80</v>
      </c>
      <c r="W250">
        <v>83</v>
      </c>
      <c r="X250">
        <v>82</v>
      </c>
      <c r="Y250" s="216">
        <v>87</v>
      </c>
      <c r="Z250" s="216">
        <v>82.841452386234295</v>
      </c>
      <c r="AA250" s="216">
        <v>83.535975432011909</v>
      </c>
      <c r="AB250" s="216">
        <v>84.236321193920389</v>
      </c>
      <c r="AC250" s="216">
        <v>84.942538488227783</v>
      </c>
      <c r="AD250" s="216">
        <v>85.654676540466085</v>
      </c>
      <c r="AE250" s="216">
        <v>86.372784988862435</v>
      </c>
      <c r="AF250" s="216">
        <v>87.096913887799104</v>
      </c>
      <c r="AG250" s="216">
        <v>87.827113711302374</v>
      </c>
      <c r="AH250" s="216">
        <v>88.563435356560788</v>
      </c>
      <c r="AI250" s="216">
        <v>89.305930147472836</v>
      </c>
      <c r="AJ250" s="216">
        <v>90.054649838224293</v>
      </c>
      <c r="AK250" s="216">
        <v>90.809646616895833</v>
      </c>
      <c r="AL250" s="216">
        <v>91.570973109100521</v>
      </c>
      <c r="AM250" s="216">
        <v>92.338682381652077</v>
      </c>
      <c r="AN250" s="216">
        <v>93.112827946263792</v>
      </c>
      <c r="AO250" s="216">
        <v>93.89346376327839</v>
      </c>
      <c r="AP250" s="216">
        <v>94.680644245429335</v>
      </c>
      <c r="AQ250" s="216">
        <v>95.474424261633487</v>
      </c>
      <c r="AR250" s="216">
        <v>96.274859140815664</v>
      </c>
      <c r="AS250" s="216">
        <v>97.082004675765262</v>
      </c>
      <c r="AT250" s="216">
        <v>97.895917127025115</v>
      </c>
      <c r="AU250" s="216">
        <v>98.716653226813136</v>
      </c>
      <c r="AV250" s="216">
        <v>99.544270182976618</v>
      </c>
      <c r="AW250" s="216">
        <v>100.37882568297985</v>
      </c>
      <c r="AX250" s="216">
        <v>101.22037789792516</v>
      </c>
      <c r="AY250" s="216">
        <v>102.06898548660752</v>
      </c>
      <c r="AZ250" s="216">
        <v>102.92470759960329</v>
      </c>
      <c r="BA250" s="216">
        <v>103.78760388339326</v>
      </c>
      <c r="BB250" s="216">
        <v>104.65773448452008</v>
      </c>
      <c r="BC250" s="216">
        <v>105.53516005378074</v>
      </c>
      <c r="BD250" s="216">
        <v>106.41994175045411</v>
      </c>
      <c r="BE250" s="216">
        <v>107.31214124656387</v>
      </c>
      <c r="BF250" s="216">
        <v>108.21182073117735</v>
      </c>
      <c r="BG250" s="216">
        <v>109.11904291474019</v>
      </c>
      <c r="BH250" s="216">
        <v>110.03387103344751</v>
      </c>
      <c r="BI250" s="216">
        <v>110.95636885365168</v>
      </c>
      <c r="BJ250" s="216">
        <v>111.88660067630701</v>
      </c>
      <c r="BK250" s="216">
        <v>112.82463134145168</v>
      </c>
      <c r="BL250" s="216">
        <v>113.77052623272739</v>
      </c>
    </row>
    <row r="251" spans="1:64">
      <c r="A251" t="s">
        <v>1082</v>
      </c>
      <c r="B251">
        <v>5</v>
      </c>
      <c r="C251">
        <v>5</v>
      </c>
      <c r="D251">
        <v>5</v>
      </c>
      <c r="E251">
        <v>5</v>
      </c>
      <c r="F251">
        <v>5</v>
      </c>
      <c r="G251">
        <v>5</v>
      </c>
      <c r="H251">
        <v>5</v>
      </c>
      <c r="I251">
        <v>2</v>
      </c>
      <c r="J251">
        <v>8</v>
      </c>
      <c r="K251">
        <v>11</v>
      </c>
      <c r="L251">
        <v>12</v>
      </c>
      <c r="M251">
        <v>12</v>
      </c>
      <c r="N251">
        <v>12</v>
      </c>
      <c r="O251">
        <v>12</v>
      </c>
      <c r="P251">
        <v>16</v>
      </c>
      <c r="Q251">
        <v>18</v>
      </c>
      <c r="R251">
        <v>14</v>
      </c>
      <c r="S251">
        <v>16</v>
      </c>
      <c r="T251">
        <v>16</v>
      </c>
      <c r="U251">
        <v>12</v>
      </c>
      <c r="V251">
        <v>13</v>
      </c>
      <c r="W251">
        <v>13</v>
      </c>
      <c r="X251">
        <v>13</v>
      </c>
      <c r="Y251" s="216">
        <v>15</v>
      </c>
      <c r="Z251" s="216">
        <v>20.198149180368755</v>
      </c>
      <c r="AA251" s="216">
        <v>21.520393052554549</v>
      </c>
      <c r="AB251" s="216">
        <v>22.929195789214525</v>
      </c>
      <c r="AC251" s="216">
        <v>24.430223846572581</v>
      </c>
      <c r="AD251" s="216">
        <v>26.029514627564229</v>
      </c>
      <c r="AE251" s="216">
        <v>27.7335007653495</v>
      </c>
      <c r="AF251" s="216">
        <v>29.549035996512387</v>
      </c>
      <c r="AG251" s="216">
        <v>31.483422728013526</v>
      </c>
      <c r="AH251" s="216">
        <v>33.544441408775178</v>
      </c>
      <c r="AI251" s="216">
        <v>35.740381824036469</v>
      </c>
      <c r="AJ251" s="216">
        <v>38.080076438350126</v>
      </c>
      <c r="AK251" s="216">
        <v>40.572935921332501</v>
      </c>
      <c r="AL251" s="216">
        <v>43.228986999057504</v>
      </c>
      <c r="AM251" s="216">
        <v>46.05891278333965</v>
      </c>
      <c r="AN251" s="216">
        <v>49.074095741117901</v>
      </c>
      <c r="AO251" s="216">
        <v>52.286663476770578</v>
      </c>
      <c r="AP251" s="216">
        <v>55.709537511506177</v>
      </c>
      <c r="AQ251" s="216">
        <v>59.356485256029593</v>
      </c>
      <c r="AR251" s="216">
        <v>63.242175385526842</v>
      </c>
      <c r="AS251" s="216">
        <v>67.382236839696432</v>
      </c>
      <c r="AT251" s="216">
        <v>71.793321685136391</v>
      </c>
      <c r="AU251" s="216">
        <v>76.493172092930152</v>
      </c>
      <c r="AV251" s="216">
        <v>81.500691700827375</v>
      </c>
      <c r="AW251" s="216">
        <v>86.836021647051425</v>
      </c>
      <c r="AX251" s="216">
        <v>92.520621581554479</v>
      </c>
      <c r="AY251" s="216">
        <v>98.577355980562274</v>
      </c>
      <c r="AZ251" s="216">
        <v>105.03058611158147</v>
      </c>
      <c r="BA251" s="216">
        <v>111.90626801876823</v>
      </c>
      <c r="BB251" s="216">
        <v>119.23205692277389</v>
      </c>
      <c r="BC251" s="216">
        <v>127.03741845498175</v>
      </c>
      <c r="BD251" s="216">
        <v>135.35374717353886</v>
      </c>
      <c r="BE251" s="216">
        <v>144.21449283787646</v>
      </c>
      <c r="BF251" s="216">
        <v>153.65529494961643</v>
      </c>
      <c r="BG251" s="216">
        <v>163.71412610101211</v>
      </c>
      <c r="BH251" s="216">
        <v>174.43144470749655</v>
      </c>
      <c r="BI251" s="216">
        <v>185.85035773865539</v>
      </c>
      <c r="BJ251" s="216">
        <v>198.01679410215726</v>
      </c>
      <c r="BK251" s="216">
        <v>210.97968937802395</v>
      </c>
      <c r="BL251" s="216">
        <v>224.79118264627309</v>
      </c>
    </row>
    <row r="252" spans="1:64">
      <c r="A252" t="s">
        <v>22</v>
      </c>
      <c r="B252">
        <v>727</v>
      </c>
      <c r="C252">
        <v>748</v>
      </c>
      <c r="D252">
        <v>747</v>
      </c>
      <c r="E252">
        <v>769</v>
      </c>
      <c r="F252">
        <v>753</v>
      </c>
      <c r="G252">
        <v>796</v>
      </c>
      <c r="H252">
        <v>800</v>
      </c>
      <c r="I252">
        <v>783</v>
      </c>
      <c r="J252">
        <v>805</v>
      </c>
      <c r="K252">
        <v>747</v>
      </c>
      <c r="L252">
        <v>732</v>
      </c>
      <c r="M252">
        <v>717</v>
      </c>
      <c r="N252">
        <v>724</v>
      </c>
      <c r="O252">
        <v>711</v>
      </c>
      <c r="P252">
        <v>690</v>
      </c>
      <c r="Q252">
        <v>700</v>
      </c>
      <c r="R252">
        <v>690</v>
      </c>
      <c r="S252">
        <v>684</v>
      </c>
      <c r="T252">
        <v>685</v>
      </c>
      <c r="U252">
        <v>688</v>
      </c>
      <c r="V252">
        <v>687</v>
      </c>
      <c r="W252">
        <v>698</v>
      </c>
      <c r="X252">
        <v>700</v>
      </c>
      <c r="Y252" s="216">
        <v>744</v>
      </c>
      <c r="Z252" s="216">
        <v>690.66274585805957</v>
      </c>
      <c r="AA252" s="216">
        <v>688.74930323062256</v>
      </c>
      <c r="AB252" s="216">
        <v>686.8411616892954</v>
      </c>
      <c r="AC252" s="216">
        <v>684.93830654771421</v>
      </c>
      <c r="AD252" s="216">
        <v>683.04072316020336</v>
      </c>
      <c r="AE252" s="216">
        <v>681.1483969216622</v>
      </c>
      <c r="AF252" s="216">
        <v>679.26131326745269</v>
      </c>
      <c r="AG252" s="216">
        <v>677.37945767328722</v>
      </c>
      <c r="AH252" s="216">
        <v>675.50281565511682</v>
      </c>
      <c r="AI252" s="216">
        <v>673.63137276902</v>
      </c>
      <c r="AJ252" s="216">
        <v>671.76511461109124</v>
      </c>
      <c r="AK252" s="216">
        <v>669.90402681733019</v>
      </c>
      <c r="AL252" s="216">
        <v>668.04809506353126</v>
      </c>
      <c r="AM252" s="216">
        <v>666.19730506517328</v>
      </c>
      <c r="AN252" s="216">
        <v>664.35164257730935</v>
      </c>
      <c r="AO252" s="216">
        <v>662.5110933944577</v>
      </c>
      <c r="AP252" s="216">
        <v>660.67564335049178</v>
      </c>
      <c r="AQ252" s="216">
        <v>658.84527831853165</v>
      </c>
      <c r="AR252" s="216">
        <v>657.01998421083522</v>
      </c>
      <c r="AS252" s="216">
        <v>655.19974697868929</v>
      </c>
      <c r="AT252" s="216">
        <v>653.38455261230229</v>
      </c>
      <c r="AU252" s="216">
        <v>651.57438714069588</v>
      </c>
      <c r="AV252" s="216">
        <v>649.76923663159732</v>
      </c>
      <c r="AW252" s="216">
        <v>647.96908719133262</v>
      </c>
      <c r="AX252" s="216">
        <v>646.17392496471962</v>
      </c>
      <c r="AY252" s="216">
        <v>644.3837361349606</v>
      </c>
      <c r="AZ252" s="216">
        <v>642.59850692353723</v>
      </c>
      <c r="BA252" s="216">
        <v>640.81822359010334</v>
      </c>
      <c r="BB252" s="216">
        <v>639.04287243237968</v>
      </c>
      <c r="BC252" s="216">
        <v>637.27243978604861</v>
      </c>
      <c r="BD252" s="216">
        <v>635.50691202464827</v>
      </c>
      <c r="BE252" s="216">
        <v>633.7462755594687</v>
      </c>
      <c r="BF252" s="216">
        <v>631.9905168394464</v>
      </c>
      <c r="BG252" s="216">
        <v>630.23962235106023</v>
      </c>
      <c r="BH252" s="216">
        <v>628.49357861822784</v>
      </c>
      <c r="BI252" s="216">
        <v>626.7523722022014</v>
      </c>
      <c r="BJ252" s="216">
        <v>625.01598970146449</v>
      </c>
      <c r="BK252" s="216">
        <v>623.28441775162867</v>
      </c>
      <c r="BL252" s="216">
        <v>621.55764302533066</v>
      </c>
    </row>
    <row r="253" spans="1:64">
      <c r="A253" t="s">
        <v>36</v>
      </c>
      <c r="B253">
        <v>3365</v>
      </c>
      <c r="C253">
        <v>3686</v>
      </c>
      <c r="D253">
        <v>3835</v>
      </c>
      <c r="E253">
        <v>3939</v>
      </c>
      <c r="F253">
        <v>3939</v>
      </c>
      <c r="G253">
        <v>4089</v>
      </c>
      <c r="H253">
        <v>4225</v>
      </c>
      <c r="I253">
        <v>4270</v>
      </c>
      <c r="J253">
        <v>4178</v>
      </c>
      <c r="K253">
        <v>4283</v>
      </c>
      <c r="L253">
        <v>4310</v>
      </c>
      <c r="M253">
        <v>4144</v>
      </c>
      <c r="N253">
        <v>4528</v>
      </c>
      <c r="O253">
        <v>4552</v>
      </c>
      <c r="P253">
        <v>4544</v>
      </c>
      <c r="Q253">
        <v>4310</v>
      </c>
      <c r="R253">
        <v>3949</v>
      </c>
      <c r="S253">
        <v>3889</v>
      </c>
      <c r="T253">
        <v>4092</v>
      </c>
      <c r="U253">
        <v>4376</v>
      </c>
      <c r="V253">
        <v>4590</v>
      </c>
      <c r="W253">
        <v>4763</v>
      </c>
      <c r="X253">
        <v>4735</v>
      </c>
      <c r="Y253" s="216">
        <v>4689</v>
      </c>
      <c r="Z253" s="216">
        <v>4697.4129670554394</v>
      </c>
      <c r="AA253" s="216">
        <v>4739.1528126689782</v>
      </c>
      <c r="AB253" s="216">
        <v>4781.2635464126561</v>
      </c>
      <c r="AC253" s="216">
        <v>4823.7484638905435</v>
      </c>
      <c r="AD253" s="216">
        <v>4866.6108899904884</v>
      </c>
      <c r="AE253" s="216">
        <v>4909.8541791443267</v>
      </c>
      <c r="AF253" s="216">
        <v>4953.4817155904011</v>
      </c>
      <c r="AG253" s="216">
        <v>4997.4969136384107</v>
      </c>
      <c r="AH253" s="216">
        <v>5041.9032179366168</v>
      </c>
      <c r="AI253" s="216">
        <v>5086.7041037414256</v>
      </c>
      <c r="AJ253" s="216">
        <v>5131.9030771893604</v>
      </c>
      <c r="AK253" s="216">
        <v>5177.5036755714527</v>
      </c>
      <c r="AL253" s="216">
        <v>5223.5094676100753</v>
      </c>
      <c r="AM253" s="216">
        <v>5269.9240537382302</v>
      </c>
      <c r="AN253" s="216">
        <v>5316.7510663813173</v>
      </c>
      <c r="AO253" s="216">
        <v>5363.9941702414162</v>
      </c>
      <c r="AP253" s="216">
        <v>5411.6570625840804</v>
      </c>
      <c r="AQ253" s="216">
        <v>5459.743473527692</v>
      </c>
      <c r="AR253" s="216">
        <v>5508.2571663353792</v>
      </c>
      <c r="AS253" s="216">
        <v>5557.2019377095312</v>
      </c>
      <c r="AT253" s="216">
        <v>5606.5816180889333</v>
      </c>
      <c r="AU253" s="216">
        <v>5656.400071948533</v>
      </c>
      <c r="AV253" s="216">
        <v>5706.6611981018805</v>
      </c>
      <c r="AW253" s="216">
        <v>5757.3689300062479</v>
      </c>
      <c r="AX253" s="216">
        <v>5808.5272360704648</v>
      </c>
      <c r="AY253" s="216">
        <v>5860.1401199654902</v>
      </c>
      <c r="AZ253" s="216">
        <v>5912.2116209377355</v>
      </c>
      <c r="BA253" s="216">
        <v>5964.7458141251827</v>
      </c>
      <c r="BB253" s="216">
        <v>6017.746810876306</v>
      </c>
      <c r="BC253" s="216">
        <v>6071.2187590718231</v>
      </c>
      <c r="BD253" s="216">
        <v>6125.1658434493183</v>
      </c>
      <c r="BE253" s="216">
        <v>6179.5922859307339</v>
      </c>
      <c r="BF253" s="216">
        <v>6234.5023459527829</v>
      </c>
      <c r="BG253" s="216">
        <v>6289.900320800295</v>
      </c>
      <c r="BH253" s="216">
        <v>6345.7905459425237</v>
      </c>
      <c r="BI253" s="216">
        <v>6402.1773953724414</v>
      </c>
      <c r="BJ253" s="216">
        <v>6459.0652819490479</v>
      </c>
      <c r="BK253" s="216">
        <v>6516.458657742729</v>
      </c>
      <c r="BL253" s="216">
        <v>6574.3620143836697</v>
      </c>
    </row>
    <row r="254" spans="1:64">
      <c r="A254" t="s">
        <v>1084</v>
      </c>
      <c r="B254">
        <v>3996</v>
      </c>
      <c r="C254">
        <v>4108</v>
      </c>
      <c r="D254">
        <v>4253</v>
      </c>
      <c r="E254">
        <v>4269</v>
      </c>
      <c r="F254">
        <v>4305</v>
      </c>
      <c r="G254">
        <v>4194</v>
      </c>
      <c r="H254">
        <v>4138</v>
      </c>
      <c r="I254">
        <v>4123</v>
      </c>
      <c r="J254">
        <v>4164</v>
      </c>
      <c r="K254">
        <v>4036</v>
      </c>
      <c r="L254">
        <v>3995</v>
      </c>
      <c r="M254">
        <v>4161</v>
      </c>
      <c r="N254">
        <v>4126</v>
      </c>
      <c r="O254">
        <v>3980</v>
      </c>
      <c r="P254">
        <v>4028</v>
      </c>
      <c r="Q254">
        <v>3958</v>
      </c>
      <c r="R254">
        <v>3892</v>
      </c>
      <c r="S254">
        <v>3941</v>
      </c>
      <c r="T254">
        <v>3819</v>
      </c>
      <c r="U254">
        <v>3976</v>
      </c>
      <c r="V254">
        <v>4040</v>
      </c>
      <c r="W254">
        <v>4136</v>
      </c>
      <c r="X254">
        <v>4097</v>
      </c>
      <c r="Y254" s="216">
        <v>4032</v>
      </c>
      <c r="Z254" s="216">
        <v>3959.1394990346466</v>
      </c>
      <c r="AA254" s="216">
        <v>3950.2538077753043</v>
      </c>
      <c r="AB254" s="216">
        <v>3941.3880591093389</v>
      </c>
      <c r="AC254" s="216">
        <v>3932.5422082786104</v>
      </c>
      <c r="AD254" s="216">
        <v>3923.7162106254291</v>
      </c>
      <c r="AE254" s="216">
        <v>3914.9100215923331</v>
      </c>
      <c r="AF254" s="216">
        <v>3906.1235967218636</v>
      </c>
      <c r="AG254" s="216">
        <v>3897.3568916563395</v>
      </c>
      <c r="AH254" s="216">
        <v>3888.6098621376332</v>
      </c>
      <c r="AI254" s="216">
        <v>3879.8824640069502</v>
      </c>
      <c r="AJ254" s="216">
        <v>3871.1746532046</v>
      </c>
      <c r="AK254" s="216">
        <v>3862.4863857697806</v>
      </c>
      <c r="AL254" s="216">
        <v>3853.8176178403523</v>
      </c>
      <c r="AM254" s="216">
        <v>3845.1683056526167</v>
      </c>
      <c r="AN254" s="216">
        <v>3836.5384055410973</v>
      </c>
      <c r="AO254" s="216">
        <v>3827.927873938318</v>
      </c>
      <c r="AP254" s="216">
        <v>3819.3366673745832</v>
      </c>
      <c r="AQ254" s="216">
        <v>3810.7647424777583</v>
      </c>
      <c r="AR254" s="216">
        <v>3802.2120559730511</v>
      </c>
      <c r="AS254" s="216">
        <v>3793.6785646827934</v>
      </c>
      <c r="AT254" s="216">
        <v>3785.1642255262223</v>
      </c>
      <c r="AU254" s="216">
        <v>3776.6689955192628</v>
      </c>
      <c r="AV254" s="216">
        <v>3768.1928317743136</v>
      </c>
      <c r="AW254" s="216">
        <v>3759.7356915000237</v>
      </c>
      <c r="AX254" s="216">
        <v>3751.2975320010855</v>
      </c>
      <c r="AY254" s="216">
        <v>3742.878310678012</v>
      </c>
      <c r="AZ254" s="216">
        <v>3734.4779850269242</v>
      </c>
      <c r="BA254" s="216">
        <v>3726.096512639338</v>
      </c>
      <c r="BB254" s="216">
        <v>3717.7338512019469</v>
      </c>
      <c r="BC254" s="216">
        <v>3709.3899584964124</v>
      </c>
      <c r="BD254" s="216">
        <v>3701.0647923991478</v>
      </c>
      <c r="BE254" s="216">
        <v>3692.7583108811054</v>
      </c>
      <c r="BF254" s="216">
        <v>3684.470472007567</v>
      </c>
      <c r="BG254" s="216">
        <v>3676.2012339379289</v>
      </c>
      <c r="BH254" s="216">
        <v>3667.9505549254941</v>
      </c>
      <c r="BI254" s="216">
        <v>3659.7183933172578</v>
      </c>
      <c r="BJ254" s="216">
        <v>3651.5047075537013</v>
      </c>
      <c r="BK254" s="216">
        <v>3643.3094561685784</v>
      </c>
      <c r="BL254" s="216">
        <v>3635.1325977887077</v>
      </c>
    </row>
    <row r="255" spans="1:64">
      <c r="A255" t="s">
        <v>414</v>
      </c>
      <c r="B255">
        <v>204</v>
      </c>
      <c r="C255">
        <v>219</v>
      </c>
      <c r="D255">
        <v>240</v>
      </c>
      <c r="E255">
        <v>228</v>
      </c>
      <c r="F255">
        <v>216</v>
      </c>
      <c r="G255">
        <v>216</v>
      </c>
      <c r="H255">
        <v>244</v>
      </c>
      <c r="I255">
        <v>242</v>
      </c>
      <c r="J255">
        <v>232</v>
      </c>
      <c r="K255">
        <v>202</v>
      </c>
      <c r="L255">
        <v>191</v>
      </c>
      <c r="M255">
        <v>188</v>
      </c>
      <c r="N255">
        <v>184</v>
      </c>
      <c r="O255">
        <v>176</v>
      </c>
      <c r="P255">
        <v>170</v>
      </c>
      <c r="Q255">
        <v>169</v>
      </c>
      <c r="R255">
        <v>161</v>
      </c>
      <c r="S255">
        <v>154</v>
      </c>
      <c r="T255">
        <v>159</v>
      </c>
      <c r="U255">
        <v>166</v>
      </c>
      <c r="V255">
        <v>187</v>
      </c>
      <c r="W255">
        <v>181</v>
      </c>
      <c r="X255">
        <v>197</v>
      </c>
      <c r="Y255" s="216">
        <v>186</v>
      </c>
      <c r="Z255" s="216">
        <v>162.46195077254541</v>
      </c>
      <c r="AA255" s="216">
        <v>160.14148833483637</v>
      </c>
      <c r="AB255" s="216">
        <v>157.85416932486046</v>
      </c>
      <c r="AC255" s="216">
        <v>155.59952035128674</v>
      </c>
      <c r="AD255" s="216">
        <v>153.37707478428615</v>
      </c>
      <c r="AE255" s="216">
        <v>151.18637265895643</v>
      </c>
      <c r="AF255" s="216">
        <v>149.02696058012597</v>
      </c>
      <c r="AG255" s="216">
        <v>146.89839162851786</v>
      </c>
      <c r="AH255" s="216">
        <v>144.80022526825363</v>
      </c>
      <c r="AI255" s="216">
        <v>142.7320272556789</v>
      </c>
      <c r="AJ255" s="216">
        <v>140.6933695494904</v>
      </c>
      <c r="AK255" s="216">
        <v>138.68383022214726</v>
      </c>
      <c r="AL255" s="216">
        <v>136.70299337254758</v>
      </c>
      <c r="AM255" s="216">
        <v>134.75044903995177</v>
      </c>
      <c r="AN255" s="216">
        <v>132.82579311913616</v>
      </c>
      <c r="AO255" s="216">
        <v>130.92862727675754</v>
      </c>
      <c r="AP255" s="216">
        <v>129.05855886891302</v>
      </c>
      <c r="AQ255" s="216">
        <v>127.21520085987707</v>
      </c>
      <c r="AR255" s="216">
        <v>125.39817174199919</v>
      </c>
      <c r="AS255" s="216">
        <v>123.60709545674587</v>
      </c>
      <c r="AT255" s="216">
        <v>121.84160131687021</v>
      </c>
      <c r="AU255" s="216">
        <v>120.10132392969321</v>
      </c>
      <c r="AV255" s="216">
        <v>118.38590312148096</v>
      </c>
      <c r="AW255" s="216">
        <v>116.69498386290167</v>
      </c>
      <c r="AX255" s="216">
        <v>115.0282161955477</v>
      </c>
      <c r="AY255" s="216">
        <v>113.38525515950704</v>
      </c>
      <c r="AZ255" s="216">
        <v>111.76576072196914</v>
      </c>
      <c r="BA255" s="216">
        <v>110.16939770685057</v>
      </c>
      <c r="BB255" s="216">
        <v>108.59583572542581</v>
      </c>
      <c r="BC255" s="216">
        <v>107.04474910794897</v>
      </c>
      <c r="BD255" s="216">
        <v>105.51581683625203</v>
      </c>
      <c r="BE255" s="216">
        <v>104.00872247730574</v>
      </c>
      <c r="BF255" s="216">
        <v>102.5231541177297</v>
      </c>
      <c r="BG255" s="216">
        <v>101.05880429923761</v>
      </c>
      <c r="BH255" s="216">
        <v>99.615369955004667</v>
      </c>
      <c r="BI255" s="216">
        <v>98.192552346943899</v>
      </c>
      <c r="BJ255" s="216">
        <v>96.790057003878204</v>
      </c>
      <c r="BK255" s="216">
        <v>95.407593660595651</v>
      </c>
      <c r="BL255" s="216">
        <v>94.044876197775224</v>
      </c>
    </row>
    <row r="256" spans="1:64">
      <c r="A256" t="s">
        <v>212</v>
      </c>
      <c r="B256">
        <v>496</v>
      </c>
      <c r="C256">
        <v>532</v>
      </c>
      <c r="D256">
        <v>538</v>
      </c>
      <c r="E256">
        <v>538</v>
      </c>
      <c r="F256">
        <v>534</v>
      </c>
      <c r="G256">
        <v>559</v>
      </c>
      <c r="H256">
        <v>552</v>
      </c>
      <c r="I256">
        <v>538</v>
      </c>
      <c r="J256">
        <v>545</v>
      </c>
      <c r="K256">
        <v>546</v>
      </c>
      <c r="L256">
        <v>560</v>
      </c>
      <c r="M256">
        <v>532</v>
      </c>
      <c r="N256">
        <v>546</v>
      </c>
      <c r="O256">
        <v>526</v>
      </c>
      <c r="P256">
        <v>511</v>
      </c>
      <c r="Q256">
        <v>506</v>
      </c>
      <c r="R256">
        <v>525</v>
      </c>
      <c r="S256">
        <v>519</v>
      </c>
      <c r="T256">
        <v>536</v>
      </c>
      <c r="U256">
        <v>556</v>
      </c>
      <c r="V256">
        <v>571</v>
      </c>
      <c r="W256">
        <v>564</v>
      </c>
      <c r="X256">
        <v>542</v>
      </c>
      <c r="Y256" s="216">
        <v>553</v>
      </c>
      <c r="Z256" s="216">
        <v>546.93135985722745</v>
      </c>
      <c r="AA256" s="216">
        <v>547.63331763252211</v>
      </c>
      <c r="AB256" s="216">
        <v>548.3361763338828</v>
      </c>
      <c r="AC256" s="216">
        <v>549.03993711760052</v>
      </c>
      <c r="AD256" s="216">
        <v>549.74460114145108</v>
      </c>
      <c r="AE256" s="216">
        <v>550.4501695646959</v>
      </c>
      <c r="AF256" s="216">
        <v>551.15664354808416</v>
      </c>
      <c r="AG256" s="216">
        <v>551.86402425385484</v>
      </c>
      <c r="AH256" s="216">
        <v>552.57231284573879</v>
      </c>
      <c r="AI256" s="216">
        <v>553.28151048896029</v>
      </c>
      <c r="AJ256" s="216">
        <v>553.99161835023915</v>
      </c>
      <c r="AK256" s="216">
        <v>554.70263759779266</v>
      </c>
      <c r="AL256" s="216">
        <v>555.4145694013373</v>
      </c>
      <c r="AM256" s="216">
        <v>556.12741493209103</v>
      </c>
      <c r="AN256" s="216">
        <v>556.84117536277483</v>
      </c>
      <c r="AO256" s="216">
        <v>557.55585186761493</v>
      </c>
      <c r="AP256" s="216">
        <v>558.27144562234446</v>
      </c>
      <c r="AQ256" s="216">
        <v>558.98795780420573</v>
      </c>
      <c r="AR256" s="216">
        <v>559.70538959195198</v>
      </c>
      <c r="AS256" s="216">
        <v>560.42374216584892</v>
      </c>
      <c r="AT256" s="216">
        <v>561.14301670767782</v>
      </c>
      <c r="AU256" s="216">
        <v>561.86321440073596</v>
      </c>
      <c r="AV256" s="216">
        <v>562.58433642983971</v>
      </c>
      <c r="AW256" s="216">
        <v>563.30638398132601</v>
      </c>
      <c r="AX256" s="216">
        <v>564.02935824305439</v>
      </c>
      <c r="AY256" s="216">
        <v>564.75326040440893</v>
      </c>
      <c r="AZ256" s="216">
        <v>565.47809165630031</v>
      </c>
      <c r="BA256" s="216">
        <v>566.20385319116747</v>
      </c>
      <c r="BB256" s="216">
        <v>566.93054620298005</v>
      </c>
      <c r="BC256" s="216">
        <v>567.65817188723997</v>
      </c>
      <c r="BD256" s="216">
        <v>568.38673144098334</v>
      </c>
      <c r="BE256" s="216">
        <v>569.11622606278297</v>
      </c>
      <c r="BF256" s="216">
        <v>569.84665695274964</v>
      </c>
      <c r="BG256" s="216">
        <v>570.57802531253458</v>
      </c>
      <c r="BH256" s="216">
        <v>571.31033234533129</v>
      </c>
      <c r="BI256" s="216">
        <v>572.04357925587726</v>
      </c>
      <c r="BJ256" s="216">
        <v>572.77776725045658</v>
      </c>
      <c r="BK256" s="216">
        <v>573.51289753690139</v>
      </c>
      <c r="BL256" s="216">
        <v>574.24897132459375</v>
      </c>
    </row>
    <row r="257" spans="1:64">
      <c r="A257" t="s">
        <v>110</v>
      </c>
      <c r="B257">
        <v>158</v>
      </c>
      <c r="C257">
        <v>153</v>
      </c>
      <c r="D257">
        <v>157</v>
      </c>
      <c r="E257">
        <v>163</v>
      </c>
      <c r="F257">
        <v>174</v>
      </c>
      <c r="G257">
        <v>165</v>
      </c>
      <c r="H257">
        <v>163</v>
      </c>
      <c r="I257">
        <v>174</v>
      </c>
      <c r="J257">
        <v>170</v>
      </c>
      <c r="K257">
        <v>152</v>
      </c>
      <c r="L257">
        <v>159</v>
      </c>
      <c r="M257">
        <v>160</v>
      </c>
      <c r="N257">
        <v>160</v>
      </c>
      <c r="O257">
        <v>154</v>
      </c>
      <c r="P257">
        <v>154</v>
      </c>
      <c r="Q257">
        <v>142</v>
      </c>
      <c r="R257">
        <v>138</v>
      </c>
      <c r="S257">
        <v>143</v>
      </c>
      <c r="T257">
        <v>153</v>
      </c>
      <c r="U257">
        <v>145</v>
      </c>
      <c r="V257">
        <v>155</v>
      </c>
      <c r="W257">
        <v>151</v>
      </c>
      <c r="X257">
        <v>150</v>
      </c>
      <c r="Y257" s="216">
        <v>146</v>
      </c>
      <c r="Z257" s="216">
        <v>145.40992563826336</v>
      </c>
      <c r="AA257" s="216">
        <v>144.63051571750617</v>
      </c>
      <c r="AB257" s="216">
        <v>143.85528350210097</v>
      </c>
      <c r="AC257" s="216">
        <v>143.08420659918167</v>
      </c>
      <c r="AD257" s="216">
        <v>142.31726273590988</v>
      </c>
      <c r="AE257" s="216">
        <v>141.55442975883153</v>
      </c>
      <c r="AF257" s="216">
        <v>140.79568563323707</v>
      </c>
      <c r="AG257" s="216">
        <v>140.04100844252483</v>
      </c>
      <c r="AH257" s="216">
        <v>139.29037638756816</v>
      </c>
      <c r="AI257" s="216">
        <v>138.54376778608554</v>
      </c>
      <c r="AJ257" s="216">
        <v>137.80116107201442</v>
      </c>
      <c r="AK257" s="216">
        <v>137.06253479488822</v>
      </c>
      <c r="AL257" s="216">
        <v>136.3278676192167</v>
      </c>
      <c r="AM257" s="216">
        <v>135.59713832386981</v>
      </c>
      <c r="AN257" s="216">
        <v>134.87032580146453</v>
      </c>
      <c r="AO257" s="216">
        <v>134.14740905775528</v>
      </c>
      <c r="AP257" s="216">
        <v>133.42836721102748</v>
      </c>
      <c r="AQ257" s="216">
        <v>132.71317949149437</v>
      </c>
      <c r="AR257" s="216">
        <v>132.00182524069703</v>
      </c>
      <c r="AS257" s="216">
        <v>131.29428391090775</v>
      </c>
      <c r="AT257" s="216">
        <v>130.5905350645364</v>
      </c>
      <c r="AU257" s="216">
        <v>129.89055837354007</v>
      </c>
      <c r="AV257" s="216">
        <v>129.19433361883605</v>
      </c>
      <c r="AW257" s="216">
        <v>128.5018406897176</v>
      </c>
      <c r="AX257" s="216">
        <v>127.81305958327316</v>
      </c>
      <c r="AY257" s="216">
        <v>127.1279704038085</v>
      </c>
      <c r="AZ257" s="216">
        <v>126.44655336227208</v>
      </c>
      <c r="BA257" s="216">
        <v>125.7687887756834</v>
      </c>
      <c r="BB257" s="216">
        <v>125.09465706656444</v>
      </c>
      <c r="BC257" s="216">
        <v>124.42413876237417</v>
      </c>
      <c r="BD257" s="216">
        <v>123.75721449494613</v>
      </c>
      <c r="BE257" s="216">
        <v>123.09386499992887</v>
      </c>
      <c r="BF257" s="216">
        <v>122.43407111622959</v>
      </c>
      <c r="BG257" s="216">
        <v>121.77781378546062</v>
      </c>
      <c r="BH257" s="216">
        <v>121.12507405138888</v>
      </c>
      <c r="BI257" s="216">
        <v>120.47583305938839</v>
      </c>
      <c r="BJ257" s="216">
        <v>119.8300720558956</v>
      </c>
      <c r="BK257" s="216">
        <v>119.18777238786772</v>
      </c>
      <c r="BL257" s="216">
        <v>118.54891550224389</v>
      </c>
    </row>
    <row r="258" spans="1:64">
      <c r="A258" t="s">
        <v>68</v>
      </c>
      <c r="B258">
        <v>91</v>
      </c>
      <c r="C258">
        <v>92</v>
      </c>
      <c r="D258">
        <v>96</v>
      </c>
      <c r="E258">
        <v>103</v>
      </c>
      <c r="F258">
        <v>88</v>
      </c>
      <c r="G258">
        <v>79</v>
      </c>
      <c r="H258">
        <v>80</v>
      </c>
      <c r="I258">
        <v>92</v>
      </c>
      <c r="J258">
        <v>62</v>
      </c>
      <c r="K258">
        <v>58</v>
      </c>
      <c r="L258">
        <v>49</v>
      </c>
      <c r="M258">
        <v>56</v>
      </c>
      <c r="N258">
        <v>56</v>
      </c>
      <c r="O258">
        <v>65</v>
      </c>
      <c r="P258">
        <v>58</v>
      </c>
      <c r="Q258">
        <v>44</v>
      </c>
      <c r="R258">
        <v>39</v>
      </c>
      <c r="S258">
        <v>31</v>
      </c>
      <c r="T258">
        <v>37</v>
      </c>
      <c r="U258">
        <v>31</v>
      </c>
      <c r="V258">
        <v>32</v>
      </c>
      <c r="W258">
        <v>39</v>
      </c>
      <c r="X258">
        <v>39</v>
      </c>
      <c r="Y258" s="216">
        <v>39</v>
      </c>
      <c r="Z258" s="216">
        <v>29.365051112058666</v>
      </c>
      <c r="AA258" s="216">
        <v>27.875697301834744</v>
      </c>
      <c r="AB258" s="216">
        <v>26.46188140787611</v>
      </c>
      <c r="AC258" s="216">
        <v>25.119772254034732</v>
      </c>
      <c r="AD258" s="216">
        <v>23.845732975991705</v>
      </c>
      <c r="AE258" s="216">
        <v>22.636311166036425</v>
      </c>
      <c r="AF258" s="216">
        <v>21.488229517688591</v>
      </c>
      <c r="AG258" s="216">
        <v>20.398376944811798</v>
      </c>
      <c r="AH258" s="216">
        <v>19.363800151153036</v>
      </c>
      <c r="AI258" s="216">
        <v>18.381695627463259</v>
      </c>
      <c r="AJ258" s="216">
        <v>17.449402054512639</v>
      </c>
      <c r="AK258" s="216">
        <v>16.564393091414139</v>
      </c>
      <c r="AL258" s="216">
        <v>15.724270529713106</v>
      </c>
      <c r="AM258" s="216">
        <v>14.926757794691747</v>
      </c>
      <c r="AN258" s="216">
        <v>14.169693776278217</v>
      </c>
      <c r="AO258" s="216">
        <v>13.4510269728433</v>
      </c>
      <c r="AP258" s="216">
        <v>12.768809932015392</v>
      </c>
      <c r="AQ258" s="216">
        <v>12.121193973449509</v>
      </c>
      <c r="AR258" s="216">
        <v>11.506424179249935</v>
      </c>
      <c r="AS258" s="216">
        <v>10.922834638471603</v>
      </c>
      <c r="AT258" s="216">
        <v>10.368843932813572</v>
      </c>
      <c r="AU258" s="216">
        <v>9.8429508512717678</v>
      </c>
      <c r="AV258" s="216">
        <v>9.343730322138466</v>
      </c>
      <c r="AW258" s="216">
        <v>8.8698295513249903</v>
      </c>
      <c r="AX258" s="216">
        <v>8.4199643565432289</v>
      </c>
      <c r="AY258" s="216">
        <v>7.9929156874122684</v>
      </c>
      <c r="AZ258" s="216">
        <v>7.5875263220602873</v>
      </c>
      <c r="BA258" s="216">
        <v>7.2026977312701197</v>
      </c>
      <c r="BB258" s="216">
        <v>6.8373871016709371</v>
      </c>
      <c r="BC258" s="216">
        <v>6.4906045099094065</v>
      </c>
      <c r="BD258" s="216">
        <v>6.1614102401429038</v>
      </c>
      <c r="BE258" s="216">
        <v>5.8489122375856661</v>
      </c>
      <c r="BF258" s="216">
        <v>5.5522636912074734</v>
      </c>
      <c r="BG258" s="216">
        <v>5.2706607390344375</v>
      </c>
      <c r="BH258" s="216">
        <v>5.0033402898336856</v>
      </c>
      <c r="BI258" s="216">
        <v>4.7495779552791042</v>
      </c>
      <c r="BJ258" s="216">
        <v>4.5086860869947127</v>
      </c>
      <c r="BK258" s="216">
        <v>4.2800119131564225</v>
      </c>
      <c r="BL258" s="216">
        <v>4.0629357696027117</v>
      </c>
    </row>
    <row r="259" spans="1:64">
      <c r="A259" s="93" t="s">
        <v>261</v>
      </c>
      <c r="B259">
        <v>180</v>
      </c>
      <c r="C259">
        <v>176</v>
      </c>
      <c r="D259">
        <v>178</v>
      </c>
      <c r="E259">
        <v>201</v>
      </c>
      <c r="F259">
        <v>205</v>
      </c>
      <c r="G259">
        <v>212</v>
      </c>
      <c r="H259">
        <v>193</v>
      </c>
      <c r="I259">
        <v>190</v>
      </c>
      <c r="J259">
        <v>197</v>
      </c>
      <c r="K259">
        <v>203</v>
      </c>
      <c r="L259">
        <v>204</v>
      </c>
      <c r="M259">
        <v>212</v>
      </c>
      <c r="N259">
        <v>216</v>
      </c>
      <c r="O259">
        <v>216</v>
      </c>
      <c r="P259">
        <v>228</v>
      </c>
      <c r="Q259">
        <v>229</v>
      </c>
      <c r="R259">
        <v>219</v>
      </c>
      <c r="S259">
        <v>196</v>
      </c>
      <c r="T259">
        <v>209</v>
      </c>
      <c r="U259">
        <v>190</v>
      </c>
      <c r="V259">
        <v>199</v>
      </c>
      <c r="W259">
        <v>188</v>
      </c>
      <c r="X259">
        <v>197</v>
      </c>
      <c r="Y259" s="216">
        <v>203</v>
      </c>
      <c r="Z259" s="216">
        <v>210.10074616459164</v>
      </c>
      <c r="AA259" s="216">
        <v>210.82811779384207</v>
      </c>
      <c r="AB259" s="216">
        <v>211.5580075935259</v>
      </c>
      <c r="AC259" s="216">
        <v>212.29042428158334</v>
      </c>
      <c r="AD259" s="216">
        <v>213.02537660613618</v>
      </c>
      <c r="AE259" s="216">
        <v>213.76287334559231</v>
      </c>
      <c r="AF259" s="216">
        <v>214.50292330875052</v>
      </c>
      <c r="AG259" s="216">
        <v>215.24553533490598</v>
      </c>
      <c r="AH259" s="216">
        <v>215.99071829395538</v>
      </c>
      <c r="AI259" s="216">
        <v>216.7384810865033</v>
      </c>
      <c r="AJ259" s="216">
        <v>217.48883264396821</v>
      </c>
      <c r="AK259" s="216">
        <v>218.24178192868936</v>
      </c>
      <c r="AL259" s="216">
        <v>218.99733793403368</v>
      </c>
      <c r="AM259" s="216">
        <v>219.75550968450329</v>
      </c>
      <c r="AN259" s="216">
        <v>220.51630623584322</v>
      </c>
      <c r="AO259" s="216">
        <v>221.27973667514962</v>
      </c>
      <c r="AP259" s="216">
        <v>222.04581012097839</v>
      </c>
      <c r="AQ259" s="216">
        <v>222.81453572345384</v>
      </c>
      <c r="AR259" s="216">
        <v>223.58592266437824</v>
      </c>
      <c r="AS259" s="216">
        <v>224.35998015734134</v>
      </c>
      <c r="AT259" s="216">
        <v>225.13671744783045</v>
      </c>
      <c r="AU259" s="216">
        <v>225.91614381334097</v>
      </c>
      <c r="AV259" s="216">
        <v>226.69826856348698</v>
      </c>
      <c r="AW259" s="216">
        <v>227.4831010401127</v>
      </c>
      <c r="AX259" s="216">
        <v>228.27065061740382</v>
      </c>
      <c r="AY259" s="216">
        <v>229.0609267019997</v>
      </c>
      <c r="AZ259" s="216">
        <v>229.85393873310557</v>
      </c>
      <c r="BA259" s="216">
        <v>230.64969618260523</v>
      </c>
      <c r="BB259" s="216">
        <v>231.44820855517446</v>
      </c>
      <c r="BC259" s="216">
        <v>232.24948538839416</v>
      </c>
      <c r="BD259" s="216">
        <v>233.05353625286457</v>
      </c>
      <c r="BE259" s="216">
        <v>233.86037075231948</v>
      </c>
      <c r="BF259" s="216">
        <v>234.6699985237409</v>
      </c>
      <c r="BG259" s="216">
        <v>235.48242923747418</v>
      </c>
      <c r="BH259" s="216">
        <v>236.29767259734368</v>
      </c>
      <c r="BI259" s="216">
        <v>237.11573834076827</v>
      </c>
      <c r="BJ259" s="216">
        <v>237.93663623887818</v>
      </c>
      <c r="BK259" s="216">
        <v>238.76037609663121</v>
      </c>
      <c r="BL259" s="216">
        <v>239.58696775293021</v>
      </c>
    </row>
    <row r="260" spans="1:64">
      <c r="A260" t="s">
        <v>1431</v>
      </c>
      <c r="U260">
        <v>97</v>
      </c>
      <c r="V260">
        <v>98</v>
      </c>
      <c r="W260">
        <v>98</v>
      </c>
      <c r="X260">
        <v>99</v>
      </c>
      <c r="Y260" s="216">
        <v>99</v>
      </c>
      <c r="Z260" s="216">
        <v>99.710218245483844</v>
      </c>
      <c r="AA260" s="216">
        <v>100.21973978729939</v>
      </c>
      <c r="AB260" s="216">
        <v>100.73186499608249</v>
      </c>
      <c r="AC260" s="216">
        <v>101.24660717663212</v>
      </c>
      <c r="AD260" s="216">
        <v>101.76397970173507</v>
      </c>
      <c r="AE260" s="216">
        <v>102.28399601251336</v>
      </c>
      <c r="AF260" s="216">
        <v>102.80666961877347</v>
      </c>
      <c r="AG260" s="216">
        <v>103.33201409935735</v>
      </c>
      <c r="AH260" s="216">
        <v>103.8600431024951</v>
      </c>
      <c r="AI260" s="216">
        <v>104.3907703461596</v>
      </c>
      <c r="AJ260" s="216">
        <v>104.92420961842294</v>
      </c>
      <c r="AK260" s="216">
        <v>105.46037477781449</v>
      </c>
      <c r="AL260" s="216">
        <v>105.99927975368109</v>
      </c>
      <c r="AM260" s="216">
        <v>106.5409385465489</v>
      </c>
      <c r="AN260" s="216">
        <v>107.08536522848699</v>
      </c>
      <c r="AO260" s="216">
        <v>107.63257394347315</v>
      </c>
      <c r="AP260" s="216">
        <v>108.18257890776113</v>
      </c>
      <c r="AQ260" s="216">
        <v>108.73539441025014</v>
      </c>
      <c r="AR260" s="216">
        <v>109.29103481285593</v>
      </c>
      <c r="AS260" s="216">
        <v>109.84951455088401</v>
      </c>
      <c r="AT260" s="216">
        <v>110.41084813340468</v>
      </c>
      <c r="AU260" s="216">
        <v>110.97505014362989</v>
      </c>
      <c r="AV260" s="216">
        <v>111.54213523929211</v>
      </c>
      <c r="AW260" s="216">
        <v>112.11211815302518</v>
      </c>
      <c r="AX260" s="216">
        <v>112.68501369274709</v>
      </c>
      <c r="AY260" s="216">
        <v>113.2608367420446</v>
      </c>
      <c r="AZ260" s="216">
        <v>113.83960226055994</v>
      </c>
      <c r="BA260" s="216">
        <v>114.42132528437948</v>
      </c>
      <c r="BB260" s="216">
        <v>115.00602092642433</v>
      </c>
      <c r="BC260" s="216">
        <v>115.59370437684299</v>
      </c>
      <c r="BD260" s="216">
        <v>116.18439090340594</v>
      </c>
      <c r="BE260" s="216">
        <v>116.77809585190238</v>
      </c>
      <c r="BF260" s="216">
        <v>117.37483464653882</v>
      </c>
      <c r="BG260" s="216">
        <v>117.97462279033978</v>
      </c>
      <c r="BH260" s="216">
        <v>118.5774758655507</v>
      </c>
      <c r="BI260" s="216">
        <v>119.18340953404258</v>
      </c>
      <c r="BJ260" s="216">
        <v>119.79243953771893</v>
      </c>
      <c r="BK260" s="216">
        <v>120.40458169892487</v>
      </c>
      <c r="BL260" s="216">
        <v>121.01985192085792</v>
      </c>
    </row>
    <row r="261" spans="1:64">
      <c r="A261" t="s">
        <v>1432</v>
      </c>
      <c r="B261">
        <v>153</v>
      </c>
      <c r="C261">
        <v>175</v>
      </c>
      <c r="D261">
        <v>209</v>
      </c>
      <c r="E261">
        <v>204</v>
      </c>
      <c r="F261">
        <v>184</v>
      </c>
      <c r="G261">
        <v>205</v>
      </c>
      <c r="H261">
        <v>165</v>
      </c>
      <c r="I261">
        <v>152</v>
      </c>
      <c r="J261">
        <v>118</v>
      </c>
      <c r="K261">
        <v>116</v>
      </c>
      <c r="L261">
        <v>112</v>
      </c>
      <c r="M261">
        <v>82</v>
      </c>
      <c r="N261">
        <v>68</v>
      </c>
      <c r="O261">
        <v>8</v>
      </c>
      <c r="P261">
        <v>8</v>
      </c>
      <c r="Q261">
        <v>8</v>
      </c>
      <c r="R261">
        <v>9</v>
      </c>
      <c r="S261">
        <v>13</v>
      </c>
      <c r="T261">
        <v>10</v>
      </c>
      <c r="U261">
        <v>17</v>
      </c>
      <c r="V261">
        <v>0</v>
      </c>
      <c r="W261">
        <v>0</v>
      </c>
      <c r="X261">
        <v>0</v>
      </c>
      <c r="Y261" s="216">
        <v>0</v>
      </c>
      <c r="Z261" s="216">
        <v>0</v>
      </c>
      <c r="AA261" s="216">
        <v>0</v>
      </c>
      <c r="AB261" s="216">
        <v>0</v>
      </c>
      <c r="AC261" s="216">
        <v>0</v>
      </c>
      <c r="AD261" s="216">
        <v>0</v>
      </c>
      <c r="AE261" s="216">
        <v>0</v>
      </c>
      <c r="AF261" s="216">
        <v>0</v>
      </c>
      <c r="AG261" s="216">
        <v>0</v>
      </c>
      <c r="AH261" s="216">
        <v>0</v>
      </c>
      <c r="AI261" s="216">
        <v>0</v>
      </c>
      <c r="AJ261" s="216">
        <v>0</v>
      </c>
      <c r="AK261" s="216">
        <v>0</v>
      </c>
      <c r="AL261" s="216">
        <v>0</v>
      </c>
      <c r="AM261" s="216">
        <v>0</v>
      </c>
      <c r="AN261" s="216">
        <v>0</v>
      </c>
      <c r="AO261" s="216">
        <v>0</v>
      </c>
      <c r="AP261" s="216">
        <v>0</v>
      </c>
      <c r="AQ261" s="216">
        <v>0</v>
      </c>
      <c r="AR261" s="216">
        <v>0</v>
      </c>
      <c r="AS261" s="216">
        <v>0</v>
      </c>
      <c r="AT261" s="216">
        <v>0</v>
      </c>
      <c r="AU261" s="216">
        <v>0</v>
      </c>
      <c r="AV261" s="216">
        <v>0</v>
      </c>
      <c r="AW261" s="216">
        <v>0</v>
      </c>
      <c r="AX261" s="216">
        <v>0</v>
      </c>
      <c r="AY261" s="216">
        <v>0</v>
      </c>
      <c r="AZ261" s="216">
        <v>0</v>
      </c>
      <c r="BA261" s="216">
        <v>0</v>
      </c>
      <c r="BB261" s="216">
        <v>0</v>
      </c>
      <c r="BC261" s="216">
        <v>0</v>
      </c>
      <c r="BD261" s="216">
        <v>0</v>
      </c>
      <c r="BE261" s="216">
        <v>0</v>
      </c>
      <c r="BF261" s="216">
        <v>0</v>
      </c>
      <c r="BG261" s="216">
        <v>0</v>
      </c>
      <c r="BH261" s="216">
        <v>0</v>
      </c>
      <c r="BI261" s="216">
        <v>0</v>
      </c>
      <c r="BJ261" s="216">
        <v>0</v>
      </c>
      <c r="BK261" s="216">
        <v>0</v>
      </c>
      <c r="BL261" s="216">
        <v>0</v>
      </c>
    </row>
    <row r="262" spans="1:64">
      <c r="A262" t="s">
        <v>1086</v>
      </c>
      <c r="B262">
        <v>288</v>
      </c>
      <c r="C262">
        <v>303</v>
      </c>
      <c r="D262">
        <v>272</v>
      </c>
      <c r="E262">
        <v>277</v>
      </c>
      <c r="F262">
        <v>274</v>
      </c>
      <c r="G262">
        <v>293</v>
      </c>
      <c r="H262">
        <v>290</v>
      </c>
      <c r="I262">
        <v>298</v>
      </c>
      <c r="J262">
        <v>280</v>
      </c>
      <c r="K262">
        <v>182</v>
      </c>
      <c r="L262">
        <v>183</v>
      </c>
      <c r="M262">
        <v>179</v>
      </c>
      <c r="N262">
        <v>197</v>
      </c>
      <c r="O262">
        <v>204</v>
      </c>
      <c r="P262">
        <v>229</v>
      </c>
      <c r="Q262">
        <v>236</v>
      </c>
      <c r="R262">
        <v>224</v>
      </c>
      <c r="S262">
        <v>211</v>
      </c>
      <c r="T262">
        <v>218</v>
      </c>
      <c r="U262">
        <v>220</v>
      </c>
      <c r="V262">
        <v>226</v>
      </c>
      <c r="W262">
        <v>233</v>
      </c>
      <c r="X262">
        <v>229</v>
      </c>
      <c r="Y262" s="216">
        <v>234</v>
      </c>
      <c r="Z262" s="216">
        <v>245.34273381751922</v>
      </c>
      <c r="AA262" s="216">
        <v>249.75276835527472</v>
      </c>
      <c r="AB262" s="216">
        <v>254.24207324402681</v>
      </c>
      <c r="AC262" s="216">
        <v>258.81207336797854</v>
      </c>
      <c r="AD262" s="216">
        <v>263.46421922361986</v>
      </c>
      <c r="AE262" s="216">
        <v>268.19998738010872</v>
      </c>
      <c r="AF262" s="216">
        <v>273.02088094792714</v>
      </c>
      <c r="AG262" s="216">
        <v>277.92843005596109</v>
      </c>
      <c r="AH262" s="216">
        <v>282.92419233715657</v>
      </c>
      <c r="AI262" s="216">
        <v>288.00975342290468</v>
      </c>
      <c r="AJ262" s="216">
        <v>293.18672744631368</v>
      </c>
      <c r="AK262" s="216">
        <v>298.4567575545272</v>
      </c>
      <c r="AL262" s="216">
        <v>303.82151643025139</v>
      </c>
      <c r="AM262" s="216">
        <v>309.28270682265656</v>
      </c>
      <c r="AN262" s="216">
        <v>314.84206208782155</v>
      </c>
      <c r="AO262" s="216">
        <v>320.50134673889318</v>
      </c>
      <c r="AP262" s="216">
        <v>326.26235700613404</v>
      </c>
      <c r="AQ262" s="216">
        <v>332.12692140703746</v>
      </c>
      <c r="AR262" s="216">
        <v>338.09690132669078</v>
      </c>
      <c r="AS262" s="216">
        <v>344.17419160856957</v>
      </c>
      <c r="AT262" s="216">
        <v>350.36072115595289</v>
      </c>
      <c r="AU262" s="216">
        <v>356.65845354414694</v>
      </c>
      <c r="AV262" s="216">
        <v>363.06938764371557</v>
      </c>
      <c r="AW262" s="216">
        <v>369.59555825491213</v>
      </c>
      <c r="AX262" s="216">
        <v>376.23903675351517</v>
      </c>
      <c r="AY262" s="216">
        <v>383.00193174827359</v>
      </c>
      <c r="AZ262" s="216">
        <v>389.88638975016914</v>
      </c>
      <c r="BA262" s="216">
        <v>396.89459585370872</v>
      </c>
      <c r="BB262" s="216">
        <v>404.02877443046333</v>
      </c>
      <c r="BC262" s="216">
        <v>411.29118983507283</v>
      </c>
      <c r="BD262" s="216">
        <v>418.68414712394161</v>
      </c>
      <c r="BE262" s="216">
        <v>426.20999278685241</v>
      </c>
      <c r="BF262" s="216">
        <v>433.87111549173159</v>
      </c>
      <c r="BG262" s="216">
        <v>441.66994684280058</v>
      </c>
      <c r="BH262" s="216">
        <v>449.60896215235556</v>
      </c>
      <c r="BI262" s="216">
        <v>457.69068122642045</v>
      </c>
      <c r="BJ262" s="216">
        <v>465.91766916452104</v>
      </c>
      <c r="BK262" s="216">
        <v>474.29253717383534</v>
      </c>
      <c r="BL262" s="216">
        <v>482.81794339797892</v>
      </c>
    </row>
    <row r="263" spans="1:64">
      <c r="A263" t="s">
        <v>1169</v>
      </c>
      <c r="K263">
        <v>201</v>
      </c>
      <c r="L263">
        <v>219</v>
      </c>
      <c r="M263">
        <v>204</v>
      </c>
      <c r="N263">
        <v>194</v>
      </c>
      <c r="O263">
        <v>205</v>
      </c>
      <c r="P263">
        <v>208</v>
      </c>
      <c r="Q263">
        <v>220</v>
      </c>
      <c r="R263">
        <v>187</v>
      </c>
      <c r="S263">
        <v>176</v>
      </c>
      <c r="T263">
        <v>186</v>
      </c>
      <c r="U263">
        <v>191</v>
      </c>
      <c r="V263">
        <v>199</v>
      </c>
      <c r="W263">
        <v>204</v>
      </c>
      <c r="X263">
        <v>181</v>
      </c>
      <c r="Y263" s="216">
        <v>186</v>
      </c>
      <c r="Z263" s="216">
        <v>184.7654705452249</v>
      </c>
      <c r="AA263" s="216">
        <v>183.29094899494675</v>
      </c>
      <c r="AB263" s="216">
        <v>181.82819486958743</v>
      </c>
      <c r="AC263" s="216">
        <v>180.377114259167</v>
      </c>
      <c r="AD263" s="216">
        <v>178.93761400315447</v>
      </c>
      <c r="AE263" s="216">
        <v>177.5096016844868</v>
      </c>
      <c r="AF263" s="216">
        <v>176.09298562363574</v>
      </c>
      <c r="AG263" s="216">
        <v>174.68767487272183</v>
      </c>
      <c r="AH263" s="216">
        <v>173.29357920967547</v>
      </c>
      <c r="AI263" s="216">
        <v>171.91060913244473</v>
      </c>
      <c r="AJ263" s="216">
        <v>170.53867585324912</v>
      </c>
      <c r="AK263" s="216">
        <v>169.1776912928793</v>
      </c>
      <c r="AL263" s="216">
        <v>167.82756807504245</v>
      </c>
      <c r="AM263" s="216">
        <v>166.48821952075264</v>
      </c>
      <c r="AN263" s="216">
        <v>165.15955964276583</v>
      </c>
      <c r="AO263" s="216">
        <v>163.84150314005961</v>
      </c>
      <c r="AP263" s="216">
        <v>162.53396539235661</v>
      </c>
      <c r="AQ263" s="216">
        <v>161.23686245469202</v>
      </c>
      <c r="AR263" s="216">
        <v>159.95011105202403</v>
      </c>
      <c r="AS263" s="216">
        <v>158.6736285738877</v>
      </c>
      <c r="AT263" s="216">
        <v>157.40733306909118</v>
      </c>
      <c r="AU263" s="216">
        <v>156.15114324045447</v>
      </c>
      <c r="AV263" s="216">
        <v>154.90497843959</v>
      </c>
      <c r="AW263" s="216">
        <v>153.66875866172495</v>
      </c>
      <c r="AX263" s="216">
        <v>152.44240454056492</v>
      </c>
      <c r="AY263" s="216">
        <v>151.22583734319855</v>
      </c>
      <c r="AZ263" s="216">
        <v>150.01897896504272</v>
      </c>
      <c r="BA263" s="216">
        <v>148.82175192482833</v>
      </c>
      <c r="BB263" s="216">
        <v>147.63407935962573</v>
      </c>
      <c r="BC263" s="216">
        <v>146.45588501991028</v>
      </c>
      <c r="BD263" s="216">
        <v>145.28709326466694</v>
      </c>
      <c r="BE263" s="216">
        <v>144.12762905653403</v>
      </c>
      <c r="BF263" s="216">
        <v>142.97741795698587</v>
      </c>
      <c r="BG263" s="216">
        <v>141.83638612155372</v>
      </c>
      <c r="BH263" s="216">
        <v>140.70446029508489</v>
      </c>
      <c r="BI263" s="216">
        <v>139.58156780703973</v>
      </c>
      <c r="BJ263" s="216">
        <v>138.46763656682612</v>
      </c>
      <c r="BK263" s="216">
        <v>137.36259505917118</v>
      </c>
      <c r="BL263" s="216">
        <v>136.26637233952997</v>
      </c>
    </row>
    <row r="264" spans="1:64">
      <c r="A264" t="s">
        <v>1088</v>
      </c>
      <c r="K264">
        <v>21</v>
      </c>
      <c r="L264">
        <v>25</v>
      </c>
      <c r="M264">
        <v>24</v>
      </c>
      <c r="N264">
        <v>26</v>
      </c>
      <c r="O264">
        <v>25</v>
      </c>
      <c r="P264">
        <v>16</v>
      </c>
      <c r="Q264">
        <v>20</v>
      </c>
      <c r="R264">
        <v>15</v>
      </c>
      <c r="S264">
        <v>14</v>
      </c>
      <c r="T264">
        <v>14</v>
      </c>
      <c r="U264">
        <v>14</v>
      </c>
      <c r="V264">
        <v>13</v>
      </c>
      <c r="W264">
        <v>14</v>
      </c>
      <c r="X264">
        <v>15</v>
      </c>
      <c r="Y264" s="216">
        <v>16</v>
      </c>
      <c r="Z264" s="216">
        <v>12.191608735886657</v>
      </c>
      <c r="AA264" s="216">
        <v>11.646856140898558</v>
      </c>
      <c r="AB264" s="216">
        <v>11.126444500100758</v>
      </c>
      <c r="AC264" s="216">
        <v>10.629286196735954</v>
      </c>
      <c r="AD264" s="216">
        <v>10.154342211575166</v>
      </c>
      <c r="AE264" s="216">
        <v>9.7006199514545468</v>
      </c>
      <c r="AF264" s="216">
        <v>9.2671711748387793</v>
      </c>
      <c r="AG264" s="216">
        <v>8.8530900100756451</v>
      </c>
      <c r="AH264" s="216">
        <v>8.457511062200135</v>
      </c>
      <c r="AI264" s="216">
        <v>8.0796076043314162</v>
      </c>
      <c r="AJ264" s="216">
        <v>7.718589849882866</v>
      </c>
      <c r="AK264" s="216">
        <v>7.3737033019742491</v>
      </c>
      <c r="AL264" s="216">
        <v>7.0442271765963902</v>
      </c>
      <c r="AM264" s="216">
        <v>6.7294728962329549</v>
      </c>
      <c r="AN264" s="216">
        <v>6.4287826507910877</v>
      </c>
      <c r="AO264" s="216">
        <v>6.1415280228333922</v>
      </c>
      <c r="AP264" s="216">
        <v>5.8671086742381062</v>
      </c>
      <c r="AQ264" s="216">
        <v>5.6049510915426879</v>
      </c>
      <c r="AR264" s="216">
        <v>5.3545073873486979</v>
      </c>
      <c r="AS264" s="216">
        <v>5.1152541552830124</v>
      </c>
      <c r="AT264" s="216">
        <v>4.8866913761223163</v>
      </c>
      <c r="AU264" s="216">
        <v>4.6683413727948029</v>
      </c>
      <c r="AV264" s="216">
        <v>4.4597478120750802</v>
      </c>
      <c r="AW264" s="216">
        <v>4.2604747508859395</v>
      </c>
      <c r="AX264" s="216">
        <v>4.0701057252138249</v>
      </c>
      <c r="AY264" s="216">
        <v>3.8882428797339088</v>
      </c>
      <c r="AZ264" s="216">
        <v>3.7145061363257801</v>
      </c>
      <c r="BA264" s="216">
        <v>3.5485323997419904</v>
      </c>
      <c r="BB264" s="216">
        <v>3.3899747987693889</v>
      </c>
      <c r="BC264" s="216">
        <v>3.2385019612973309</v>
      </c>
      <c r="BD264" s="216">
        <v>3.0937973217777075</v>
      </c>
      <c r="BE264" s="216">
        <v>2.9555584596294575</v>
      </c>
      <c r="BF264" s="216">
        <v>2.8234964672048721</v>
      </c>
      <c r="BG264" s="216">
        <v>2.6973353459968008</v>
      </c>
      <c r="BH264" s="216">
        <v>2.5768114298248781</v>
      </c>
      <c r="BI264" s="216">
        <v>2.4616728337952862</v>
      </c>
      <c r="BJ264" s="216">
        <v>2.3516789278824124</v>
      </c>
      <c r="BK264" s="216">
        <v>2.2465998340322435</v>
      </c>
      <c r="BL264" s="216">
        <v>2.1462159457364804</v>
      </c>
    </row>
    <row r="265" spans="1:64">
      <c r="A265" t="s">
        <v>1171</v>
      </c>
      <c r="B265">
        <v>645</v>
      </c>
      <c r="C265">
        <v>696</v>
      </c>
      <c r="D265">
        <v>700</v>
      </c>
      <c r="E265">
        <v>708</v>
      </c>
      <c r="F265">
        <v>695</v>
      </c>
      <c r="G265">
        <v>669</v>
      </c>
      <c r="H265">
        <v>661</v>
      </c>
      <c r="I265">
        <v>667</v>
      </c>
      <c r="J265">
        <v>675</v>
      </c>
      <c r="K265">
        <v>690</v>
      </c>
      <c r="L265">
        <v>677</v>
      </c>
      <c r="M265">
        <v>674</v>
      </c>
      <c r="N265">
        <v>667</v>
      </c>
      <c r="O265">
        <v>670</v>
      </c>
      <c r="P265">
        <v>680</v>
      </c>
      <c r="Q265">
        <v>728</v>
      </c>
      <c r="R265">
        <v>713</v>
      </c>
      <c r="S265">
        <v>748</v>
      </c>
      <c r="T265">
        <v>701</v>
      </c>
      <c r="U265">
        <v>719</v>
      </c>
      <c r="V265">
        <v>727</v>
      </c>
      <c r="W265">
        <v>762</v>
      </c>
      <c r="X265">
        <v>783</v>
      </c>
      <c r="Y265" s="216">
        <v>783</v>
      </c>
      <c r="Z265" s="216">
        <v>749.82798206360326</v>
      </c>
      <c r="AA265" s="216">
        <v>753.90993932257084</v>
      </c>
      <c r="AB265" s="216">
        <v>758.01411817830819</v>
      </c>
      <c r="AC265" s="216">
        <v>762.1406396020385</v>
      </c>
      <c r="AD265" s="216">
        <v>766.28962522353527</v>
      </c>
      <c r="AE265" s="216">
        <v>770.46119733470709</v>
      </c>
      <c r="AF265" s="216">
        <v>774.65547889320271</v>
      </c>
      <c r="AG265" s="216">
        <v>778.87259352603451</v>
      </c>
      <c r="AH265" s="216">
        <v>783.11266553322309</v>
      </c>
      <c r="AI265" s="216">
        <v>787.37581989146054</v>
      </c>
      <c r="AJ265" s="216">
        <v>791.66218225779437</v>
      </c>
      <c r="AK265" s="216">
        <v>795.97187897333151</v>
      </c>
      <c r="AL265" s="216">
        <v>800.30503706696186</v>
      </c>
      <c r="AM265" s="216">
        <v>804.66178425910209</v>
      </c>
      <c r="AN265" s="216">
        <v>809.04224896546157</v>
      </c>
      <c r="AO265" s="216">
        <v>813.44656030082581</v>
      </c>
      <c r="AP265" s="216">
        <v>817.87484808286342</v>
      </c>
      <c r="AQ265" s="216">
        <v>822.32724283595201</v>
      </c>
      <c r="AR265" s="216">
        <v>826.80387579502485</v>
      </c>
      <c r="AS265" s="216">
        <v>831.30487890944028</v>
      </c>
      <c r="AT265" s="216">
        <v>835.83038484686983</v>
      </c>
      <c r="AU265" s="216">
        <v>840.38052699720902</v>
      </c>
      <c r="AV265" s="216">
        <v>844.95543947650935</v>
      </c>
      <c r="AW265" s="216">
        <v>849.55525713093073</v>
      </c>
      <c r="AX265" s="216">
        <v>854.18011554071666</v>
      </c>
      <c r="AY265" s="216">
        <v>858.83015102419051</v>
      </c>
      <c r="AZ265" s="216">
        <v>863.50550064177253</v>
      </c>
      <c r="BA265" s="216">
        <v>868.20630220002147</v>
      </c>
      <c r="BB265" s="216">
        <v>872.93269425569451</v>
      </c>
      <c r="BC265" s="216">
        <v>877.68481611983293</v>
      </c>
      <c r="BD265" s="216">
        <v>882.46280786186719</v>
      </c>
      <c r="BE265" s="216">
        <v>887.26681031374562</v>
      </c>
      <c r="BF265" s="216">
        <v>892.09696507408637</v>
      </c>
      <c r="BG265" s="216">
        <v>896.95341451235026</v>
      </c>
      <c r="BH265" s="216">
        <v>901.83630177303644</v>
      </c>
      <c r="BI265" s="216">
        <v>906.74577077990375</v>
      </c>
      <c r="BJ265" s="216">
        <v>911.68196624021027</v>
      </c>
      <c r="BK265" s="216">
        <v>916.64503364898087</v>
      </c>
      <c r="BL265" s="216">
        <v>921.63511929329434</v>
      </c>
    </row>
    <row r="266" spans="1:64">
      <c r="A266" t="s">
        <v>552</v>
      </c>
      <c r="B266">
        <v>2590</v>
      </c>
      <c r="C266">
        <v>2716</v>
      </c>
      <c r="D266">
        <v>2691</v>
      </c>
      <c r="E266">
        <v>2754</v>
      </c>
      <c r="F266">
        <v>2698</v>
      </c>
      <c r="G266">
        <v>2618</v>
      </c>
      <c r="H266">
        <v>2541</v>
      </c>
      <c r="I266">
        <v>2560</v>
      </c>
      <c r="J266">
        <v>2549</v>
      </c>
      <c r="K266">
        <v>2448</v>
      </c>
      <c r="L266">
        <v>2384</v>
      </c>
      <c r="M266">
        <v>2369</v>
      </c>
      <c r="N266">
        <v>2349</v>
      </c>
      <c r="O266">
        <v>2281</v>
      </c>
      <c r="P266">
        <v>2258</v>
      </c>
      <c r="Q266">
        <v>2232</v>
      </c>
      <c r="R266">
        <v>2316</v>
      </c>
      <c r="S266">
        <v>2362</v>
      </c>
      <c r="T266">
        <v>2352</v>
      </c>
      <c r="U266">
        <v>2369</v>
      </c>
      <c r="V266">
        <v>2412</v>
      </c>
      <c r="W266">
        <v>2445</v>
      </c>
      <c r="X266">
        <v>2453</v>
      </c>
      <c r="Y266" s="216">
        <v>2406</v>
      </c>
      <c r="Z266" s="216">
        <v>2274.6506516580098</v>
      </c>
      <c r="AA266" s="216">
        <v>2260.4219040844664</v>
      </c>
      <c r="AB266" s="216">
        <v>2246.2821623797422</v>
      </c>
      <c r="AC266" s="216">
        <v>2232.2308697805215</v>
      </c>
      <c r="AD266" s="216">
        <v>2218.2674730062399</v>
      </c>
      <c r="AE266" s="216">
        <v>2204.3914222373005</v>
      </c>
      <c r="AF266" s="216">
        <v>2190.6021710934219</v>
      </c>
      <c r="AG266" s="216">
        <v>2176.8991766121267</v>
      </c>
      <c r="AH266" s="216">
        <v>2163.2818992273596</v>
      </c>
      <c r="AI266" s="216">
        <v>2149.7498027482429</v>
      </c>
      <c r="AJ266" s="216">
        <v>2136.3023543379632</v>
      </c>
      <c r="AK266" s="216">
        <v>2122.9390244927913</v>
      </c>
      <c r="AL266" s="216">
        <v>2109.6592870212303</v>
      </c>
      <c r="AM266" s="216">
        <v>2096.4626190232998</v>
      </c>
      <c r="AN266" s="216">
        <v>2083.3485008699436</v>
      </c>
      <c r="AO266" s="216">
        <v>2070.3164161825689</v>
      </c>
      <c r="AP266" s="216">
        <v>2057.3658518127163</v>
      </c>
      <c r="AQ266" s="216">
        <v>2044.4962978218498</v>
      </c>
      <c r="AR266" s="216">
        <v>2031.7072474612828</v>
      </c>
      <c r="AS266" s="216">
        <v>2018.9981971522191</v>
      </c>
      <c r="AT266" s="216">
        <v>2006.3686464659288</v>
      </c>
      <c r="AU266" s="216">
        <v>1993.8180981040398</v>
      </c>
      <c r="AV266" s="216">
        <v>1981.3460578789593</v>
      </c>
      <c r="AW266" s="216">
        <v>1968.9520346944119</v>
      </c>
      <c r="AX266" s="216">
        <v>1956.6355405261047</v>
      </c>
      <c r="AY266" s="216">
        <v>1944.39609040251</v>
      </c>
      <c r="AZ266" s="216">
        <v>1932.2332023857698</v>
      </c>
      <c r="BA266" s="216">
        <v>1920.1463975527167</v>
      </c>
      <c r="BB266" s="216">
        <v>1908.1351999760202</v>
      </c>
      <c r="BC266" s="216">
        <v>1896.199136705442</v>
      </c>
      <c r="BD266" s="216">
        <v>1884.337737749217</v>
      </c>
      <c r="BE266" s="216">
        <v>1872.5505360555446</v>
      </c>
      <c r="BF266" s="216">
        <v>1860.8370674942003</v>
      </c>
      <c r="BG266" s="216">
        <v>1849.1968708382574</v>
      </c>
      <c r="BH266" s="216">
        <v>1837.6294877459284</v>
      </c>
      <c r="BI266" s="216">
        <v>1826.134462742516</v>
      </c>
      <c r="BJ266" s="216">
        <v>1814.7113432024794</v>
      </c>
      <c r="BK266" s="216">
        <v>1803.3596793316106</v>
      </c>
      <c r="BL266" s="216">
        <v>1792.0790241493246</v>
      </c>
    </row>
    <row r="267" spans="1:64">
      <c r="A267" t="s">
        <v>25</v>
      </c>
      <c r="B267">
        <v>722</v>
      </c>
      <c r="C267">
        <v>680</v>
      </c>
      <c r="D267">
        <v>707</v>
      </c>
      <c r="E267">
        <v>727</v>
      </c>
      <c r="F267">
        <v>770</v>
      </c>
      <c r="G267">
        <v>799</v>
      </c>
      <c r="H267">
        <v>822</v>
      </c>
      <c r="I267">
        <v>775</v>
      </c>
      <c r="J267">
        <v>729</v>
      </c>
      <c r="K267">
        <v>680</v>
      </c>
      <c r="L267">
        <v>657</v>
      </c>
      <c r="M267">
        <v>693</v>
      </c>
      <c r="N267">
        <v>674</v>
      </c>
      <c r="O267">
        <v>672</v>
      </c>
      <c r="P267">
        <v>706</v>
      </c>
      <c r="Q267">
        <v>710</v>
      </c>
      <c r="R267">
        <v>675</v>
      </c>
      <c r="S267">
        <v>684</v>
      </c>
      <c r="T267">
        <v>742</v>
      </c>
      <c r="U267">
        <v>662</v>
      </c>
      <c r="V267">
        <v>646</v>
      </c>
      <c r="W267">
        <v>621</v>
      </c>
      <c r="X267">
        <v>622</v>
      </c>
      <c r="Y267" s="216">
        <v>631</v>
      </c>
      <c r="Z267" s="216">
        <v>640.547099043956</v>
      </c>
      <c r="AA267" s="216">
        <v>636.13575722136943</v>
      </c>
      <c r="AB267" s="216">
        <v>631.75479557957613</v>
      </c>
      <c r="AC267" s="216">
        <v>627.40400489530111</v>
      </c>
      <c r="AD267" s="216">
        <v>623.0831773861546</v>
      </c>
      <c r="AE267" s="216">
        <v>618.79210670071063</v>
      </c>
      <c r="AF267" s="216">
        <v>614.53058790865055</v>
      </c>
      <c r="AG267" s="216">
        <v>610.29841749097739</v>
      </c>
      <c r="AH267" s="216">
        <v>606.09539333029545</v>
      </c>
      <c r="AI267" s="216">
        <v>601.92131470115851</v>
      </c>
      <c r="AJ267" s="216">
        <v>597.77598226048281</v>
      </c>
      <c r="AK267" s="216">
        <v>593.65919803802785</v>
      </c>
      <c r="AL267" s="216">
        <v>589.57076542694097</v>
      </c>
      <c r="AM267" s="216">
        <v>585.51048917436856</v>
      </c>
      <c r="AN267" s="216">
        <v>581.47817537213109</v>
      </c>
      <c r="AO267" s="216">
        <v>577.47363144746271</v>
      </c>
      <c r="AP267" s="216">
        <v>573.49666615381375</v>
      </c>
      <c r="AQ267" s="216">
        <v>569.54708956171885</v>
      </c>
      <c r="AR267" s="216">
        <v>565.62471304972451</v>
      </c>
      <c r="AS267" s="216">
        <v>561.72934929538235</v>
      </c>
      <c r="AT267" s="216">
        <v>557.86081226630256</v>
      </c>
      <c r="AU267" s="216">
        <v>554.01891721126992</v>
      </c>
      <c r="AV267" s="216">
        <v>550.2034806514198</v>
      </c>
      <c r="AW267" s="216">
        <v>546.41432037147626</v>
      </c>
      <c r="AX267" s="216">
        <v>542.6512554110501</v>
      </c>
      <c r="AY267" s="216">
        <v>538.91410605599594</v>
      </c>
      <c r="AZ267" s="216">
        <v>535.2026938298302</v>
      </c>
      <c r="BA267" s="216">
        <v>531.51684148520712</v>
      </c>
      <c r="BB267" s="216">
        <v>527.85637299545454</v>
      </c>
      <c r="BC267" s="216">
        <v>524.22111354616629</v>
      </c>
      <c r="BD267" s="216">
        <v>520.61088952685418</v>
      </c>
      <c r="BE267" s="216">
        <v>517.02552852265683</v>
      </c>
      <c r="BF267" s="216">
        <v>513.46485930610561</v>
      </c>
      <c r="BG267" s="216">
        <v>509.92871182894692</v>
      </c>
      <c r="BH267" s="216">
        <v>506.41691721402128</v>
      </c>
      <c r="BI267" s="216">
        <v>502.92930774719844</v>
      </c>
      <c r="BJ267" s="216">
        <v>499.46571686936733</v>
      </c>
      <c r="BK267" s="216">
        <v>496.02597916848219</v>
      </c>
      <c r="BL267" s="216">
        <v>492.60993037166264</v>
      </c>
    </row>
  </sheetData>
  <sortState ref="A2:BM267">
    <sortCondition ref="A2:A267"/>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H38"/>
  <sheetViews>
    <sheetView topLeftCell="A4" workbookViewId="0">
      <selection activeCell="B14" sqref="B14:B37"/>
    </sheetView>
  </sheetViews>
  <sheetFormatPr defaultRowHeight="12.75"/>
  <cols>
    <col min="1" max="1" width="9.140625" style="1701"/>
    <col min="2" max="2" width="15.42578125" style="1701" customWidth="1"/>
    <col min="3" max="3" width="11.5703125" style="1701" customWidth="1"/>
    <col min="4" max="4" width="18.140625" style="1701" customWidth="1"/>
    <col min="5" max="5" width="10.140625" style="1701" customWidth="1"/>
    <col min="6" max="6" width="9.28515625" style="1701" customWidth="1"/>
    <col min="7" max="7" width="13.140625" style="1701" customWidth="1"/>
  </cols>
  <sheetData>
    <row r="1" spans="1:8" s="90" customFormat="1">
      <c r="A1" s="1702" t="s">
        <v>1186</v>
      </c>
      <c r="B1" s="1702" t="s">
        <v>354</v>
      </c>
      <c r="C1" s="1702" t="s">
        <v>2250</v>
      </c>
      <c r="D1" s="1702" t="s">
        <v>318</v>
      </c>
      <c r="E1" s="1702" t="s">
        <v>2</v>
      </c>
      <c r="F1" s="1702" t="s">
        <v>637</v>
      </c>
      <c r="G1" s="1702" t="s">
        <v>3</v>
      </c>
      <c r="H1" s="93" t="s">
        <v>966</v>
      </c>
    </row>
    <row r="2" spans="1:8">
      <c r="A2" s="1701">
        <v>2003</v>
      </c>
      <c r="H2">
        <f>SUM(B2:G2)</f>
        <v>0</v>
      </c>
    </row>
    <row r="3" spans="1:8">
      <c r="A3" s="1701">
        <v>2004</v>
      </c>
      <c r="H3" s="90">
        <f t="shared" ref="H3:H11" si="0">SUM(B3:G3)</f>
        <v>0</v>
      </c>
    </row>
    <row r="4" spans="1:8">
      <c r="A4" s="1701">
        <v>2005</v>
      </c>
      <c r="H4" s="90">
        <f t="shared" si="0"/>
        <v>0</v>
      </c>
    </row>
    <row r="5" spans="1:8">
      <c r="A5" s="1701">
        <v>2006</v>
      </c>
      <c r="H5" s="90">
        <f t="shared" si="0"/>
        <v>0</v>
      </c>
    </row>
    <row r="6" spans="1:8">
      <c r="A6" s="1701">
        <v>2007</v>
      </c>
      <c r="H6" s="90">
        <f t="shared" si="0"/>
        <v>0</v>
      </c>
    </row>
    <row r="7" spans="1:8">
      <c r="A7" s="1701">
        <v>2008</v>
      </c>
      <c r="H7" s="90">
        <f t="shared" si="0"/>
        <v>0</v>
      </c>
    </row>
    <row r="8" spans="1:8">
      <c r="A8" s="1701">
        <v>2009</v>
      </c>
      <c r="H8" s="90">
        <f t="shared" si="0"/>
        <v>0</v>
      </c>
    </row>
    <row r="9" spans="1:8">
      <c r="A9" s="1701">
        <v>2010</v>
      </c>
      <c r="H9" s="90">
        <f t="shared" si="0"/>
        <v>0</v>
      </c>
    </row>
    <row r="10" spans="1:8">
      <c r="A10" s="1701">
        <v>2011</v>
      </c>
      <c r="B10" s="1703">
        <v>434000</v>
      </c>
      <c r="C10" s="1703"/>
      <c r="D10" s="1703"/>
      <c r="E10" s="1703"/>
      <c r="F10" s="1703"/>
      <c r="G10" s="1703"/>
      <c r="H10" s="90">
        <f t="shared" si="0"/>
        <v>434000</v>
      </c>
    </row>
    <row r="11" spans="1:8">
      <c r="A11" s="1701">
        <v>2012</v>
      </c>
      <c r="B11" s="1703">
        <v>474000</v>
      </c>
      <c r="C11" s="1703"/>
      <c r="D11" s="1703"/>
      <c r="E11" s="1703"/>
      <c r="F11" s="1703"/>
      <c r="G11" s="1703"/>
      <c r="H11" s="90">
        <f t="shared" si="0"/>
        <v>474000</v>
      </c>
    </row>
    <row r="12" spans="1:8">
      <c r="A12" s="1701">
        <v>2013</v>
      </c>
      <c r="B12" s="1703">
        <v>474000</v>
      </c>
      <c r="H12" s="90">
        <f>Forecast!J28</f>
        <v>374418</v>
      </c>
    </row>
    <row r="13" spans="1:8">
      <c r="A13" s="1701">
        <v>2014</v>
      </c>
      <c r="B13" s="1703">
        <v>474000</v>
      </c>
      <c r="H13" s="90">
        <f>Forecast!J29</f>
        <v>0</v>
      </c>
    </row>
    <row r="14" spans="1:8">
      <c r="A14" s="1701">
        <v>2015</v>
      </c>
      <c r="B14" s="1701">
        <f>H14-G14-F14-E14-D14-C14</f>
        <v>331000</v>
      </c>
      <c r="H14">
        <f>Forecast!G38</f>
        <v>331000</v>
      </c>
    </row>
    <row r="15" spans="1:8">
      <c r="A15" s="1701">
        <v>2016</v>
      </c>
      <c r="B15" s="1703">
        <f t="shared" ref="B15:B37" si="1">H15-G15-F15-E15-D15-C15</f>
        <v>331000</v>
      </c>
      <c r="H15" s="90">
        <f>Forecast!G39</f>
        <v>331000</v>
      </c>
    </row>
    <row r="16" spans="1:8">
      <c r="A16" s="1701">
        <v>2017</v>
      </c>
      <c r="B16" s="1703">
        <f t="shared" si="1"/>
        <v>331000</v>
      </c>
      <c r="H16" s="90">
        <f>Forecast!G40</f>
        <v>331000</v>
      </c>
    </row>
    <row r="17" spans="1:8">
      <c r="A17" s="1701">
        <v>2018</v>
      </c>
      <c r="B17" s="1703">
        <f t="shared" si="1"/>
        <v>331000</v>
      </c>
      <c r="H17" s="90">
        <f>Forecast!G41</f>
        <v>331000</v>
      </c>
    </row>
    <row r="18" spans="1:8">
      <c r="A18" s="1701">
        <v>2019</v>
      </c>
      <c r="B18" s="1703">
        <f t="shared" si="1"/>
        <v>331000</v>
      </c>
      <c r="H18" s="90">
        <f>Forecast!G42</f>
        <v>331000</v>
      </c>
    </row>
    <row r="19" spans="1:8">
      <c r="A19" s="1701">
        <v>2020</v>
      </c>
      <c r="B19" s="1703">
        <f t="shared" si="1"/>
        <v>331000</v>
      </c>
      <c r="H19" s="90">
        <f>Forecast!G43</f>
        <v>331000</v>
      </c>
    </row>
    <row r="20" spans="1:8">
      <c r="A20" s="1701">
        <v>2021</v>
      </c>
      <c r="B20" s="1703">
        <f t="shared" si="1"/>
        <v>330000</v>
      </c>
      <c r="H20" s="90">
        <f>Forecast!G44</f>
        <v>330000</v>
      </c>
    </row>
    <row r="21" spans="1:8">
      <c r="A21" s="1701">
        <v>2022</v>
      </c>
      <c r="B21" s="1703">
        <f t="shared" si="1"/>
        <v>330000</v>
      </c>
      <c r="H21" s="90">
        <f>Forecast!G45</f>
        <v>330000</v>
      </c>
    </row>
    <row r="22" spans="1:8">
      <c r="A22" s="1701">
        <v>2023</v>
      </c>
      <c r="B22" s="1703">
        <f t="shared" si="1"/>
        <v>330000</v>
      </c>
      <c r="H22" s="90">
        <f>Forecast!G46</f>
        <v>330000</v>
      </c>
    </row>
    <row r="23" spans="1:8">
      <c r="A23" s="1701">
        <v>2024</v>
      </c>
      <c r="B23" s="1703">
        <f t="shared" si="1"/>
        <v>330000</v>
      </c>
      <c r="H23" s="90">
        <f>Forecast!G47</f>
        <v>330000</v>
      </c>
    </row>
    <row r="24" spans="1:8">
      <c r="A24" s="1701">
        <v>2025</v>
      </c>
      <c r="B24" s="1703">
        <f t="shared" si="1"/>
        <v>330000</v>
      </c>
      <c r="H24" s="90">
        <f>Forecast!G48</f>
        <v>330000</v>
      </c>
    </row>
    <row r="25" spans="1:8">
      <c r="A25" s="1701">
        <v>2026</v>
      </c>
      <c r="B25" s="1703">
        <f t="shared" si="1"/>
        <v>330000</v>
      </c>
      <c r="H25" s="90">
        <f>Forecast!G49</f>
        <v>330000</v>
      </c>
    </row>
    <row r="26" spans="1:8">
      <c r="A26" s="1701">
        <v>2027</v>
      </c>
      <c r="B26" s="1703">
        <f t="shared" si="1"/>
        <v>329000</v>
      </c>
      <c r="H26" s="90">
        <f>Forecast!G50</f>
        <v>329000</v>
      </c>
    </row>
    <row r="27" spans="1:8">
      <c r="A27" s="1701">
        <v>2028</v>
      </c>
      <c r="B27" s="1703">
        <f t="shared" si="1"/>
        <v>329000</v>
      </c>
      <c r="H27" s="90">
        <f>Forecast!G51</f>
        <v>329000</v>
      </c>
    </row>
    <row r="28" spans="1:8">
      <c r="A28" s="1701">
        <v>2029</v>
      </c>
      <c r="B28" s="1703">
        <f t="shared" si="1"/>
        <v>329000</v>
      </c>
      <c r="H28" s="90">
        <f>Forecast!G52</f>
        <v>329000</v>
      </c>
    </row>
    <row r="29" spans="1:8">
      <c r="A29" s="1701">
        <v>2030</v>
      </c>
      <c r="B29" s="1703">
        <f t="shared" si="1"/>
        <v>329000</v>
      </c>
      <c r="H29" s="90">
        <f>Forecast!G53</f>
        <v>329000</v>
      </c>
    </row>
    <row r="30" spans="1:8">
      <c r="A30" s="1701">
        <v>2031</v>
      </c>
      <c r="B30" s="1703">
        <f t="shared" si="1"/>
        <v>329000</v>
      </c>
      <c r="H30" s="90">
        <f>Forecast!G54</f>
        <v>329000</v>
      </c>
    </row>
    <row r="31" spans="1:8">
      <c r="A31" s="1701">
        <v>2032</v>
      </c>
      <c r="B31" s="1703">
        <f t="shared" si="1"/>
        <v>329000</v>
      </c>
      <c r="H31" s="90">
        <f>Forecast!G55</f>
        <v>329000</v>
      </c>
    </row>
    <row r="32" spans="1:8">
      <c r="A32" s="1701">
        <v>2033</v>
      </c>
      <c r="B32" s="1703">
        <f t="shared" si="1"/>
        <v>328000</v>
      </c>
      <c r="H32" s="90">
        <f>Forecast!G56</f>
        <v>328000</v>
      </c>
    </row>
    <row r="33" spans="1:8">
      <c r="A33" s="1701">
        <v>2034</v>
      </c>
      <c r="B33" s="1703">
        <f t="shared" si="1"/>
        <v>328000</v>
      </c>
      <c r="H33" s="90">
        <f>Forecast!G57</f>
        <v>328000</v>
      </c>
    </row>
    <row r="34" spans="1:8">
      <c r="A34" s="1701">
        <v>2035</v>
      </c>
      <c r="B34" s="1703">
        <f t="shared" si="1"/>
        <v>328000</v>
      </c>
      <c r="H34" s="90">
        <f>Forecast!G58</f>
        <v>328000</v>
      </c>
    </row>
    <row r="35" spans="1:8">
      <c r="A35" s="1701">
        <v>2036</v>
      </c>
      <c r="B35" s="1703">
        <f t="shared" si="1"/>
        <v>328000</v>
      </c>
      <c r="H35" s="90">
        <f>Forecast!G59</f>
        <v>328000</v>
      </c>
    </row>
    <row r="36" spans="1:8">
      <c r="A36" s="1701">
        <v>2037</v>
      </c>
      <c r="B36" s="1703">
        <f t="shared" si="1"/>
        <v>328000</v>
      </c>
      <c r="H36" s="90">
        <f>Forecast!G60</f>
        <v>328000</v>
      </c>
    </row>
    <row r="37" spans="1:8">
      <c r="A37" s="1701">
        <v>2038</v>
      </c>
      <c r="B37" s="1703">
        <f t="shared" si="1"/>
        <v>328000</v>
      </c>
      <c r="H37" s="90">
        <f>Forecast!G61</f>
        <v>328000</v>
      </c>
    </row>
    <row r="38" spans="1:8" ht="63.75">
      <c r="B38" s="718" t="s">
        <v>2253</v>
      </c>
      <c r="C38" s="718" t="s">
        <v>2254</v>
      </c>
      <c r="D38" s="718" t="s">
        <v>2252</v>
      </c>
      <c r="E38" s="718" t="s">
        <v>2254</v>
      </c>
      <c r="F38" s="718" t="s">
        <v>2254</v>
      </c>
      <c r="G38" s="718" t="s">
        <v>2251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R112"/>
  <sheetViews>
    <sheetView zoomScale="80" zoomScaleNormal="80" workbookViewId="0">
      <selection activeCell="B81" sqref="A81:XFD81"/>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19.140625" style="120" bestFit="1" customWidth="1"/>
    <col min="10" max="10" width="21"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2.5">
      <c r="A1" s="1989" t="s">
        <v>1161</v>
      </c>
      <c r="B1" s="1989"/>
      <c r="C1" s="1989"/>
      <c r="D1" s="1989"/>
      <c r="E1" s="1989"/>
      <c r="F1" s="1989"/>
      <c r="G1" s="1989"/>
      <c r="H1" s="1989"/>
      <c r="I1" s="1989"/>
      <c r="J1" s="1989"/>
      <c r="K1" s="1989"/>
      <c r="L1" s="1989"/>
      <c r="M1" s="1989"/>
      <c r="N1" s="1989"/>
      <c r="O1" s="1989"/>
      <c r="P1" s="1989"/>
      <c r="Q1" s="198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2008" t="s">
        <v>334</v>
      </c>
      <c r="C2" s="2008"/>
      <c r="D2" s="2008"/>
      <c r="E2" s="2008"/>
      <c r="G2" s="221"/>
      <c r="H2" s="1994" t="s">
        <v>618</v>
      </c>
      <c r="I2" s="1995"/>
      <c r="J2" s="1995"/>
      <c r="K2" s="1995"/>
      <c r="L2" s="1995"/>
      <c r="M2" s="1995"/>
      <c r="N2" s="1995"/>
      <c r="O2" s="1995"/>
      <c r="P2" s="1995"/>
      <c r="Q2" s="1995"/>
      <c r="R2" s="1995"/>
      <c r="S2" s="1995"/>
      <c r="T2" s="1995"/>
      <c r="U2" s="1995"/>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77"/>
      <c r="I3" s="125"/>
      <c r="J3" s="125"/>
      <c r="K3" s="125"/>
      <c r="L3" s="125"/>
      <c r="M3" s="125"/>
      <c r="N3" s="125"/>
      <c r="O3" s="125"/>
      <c r="P3" s="125"/>
      <c r="Q3" s="125"/>
      <c r="R3" s="930"/>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126" t="s">
        <v>331</v>
      </c>
      <c r="C4" s="489"/>
      <c r="D4" s="121"/>
      <c r="G4" s="219"/>
      <c r="O4" s="699"/>
      <c r="P4" s="699"/>
      <c r="Q4" s="952"/>
      <c r="R4" s="121"/>
      <c r="S4" s="121"/>
      <c r="T4" s="121"/>
      <c r="U4" s="121"/>
      <c r="V4" s="121"/>
      <c r="W4" s="121"/>
      <c r="X4" s="121"/>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2.75">
      <c r="B5" s="128" t="s">
        <v>375</v>
      </c>
      <c r="C5" s="587" t="s">
        <v>1034</v>
      </c>
      <c r="D5" s="125"/>
      <c r="E5" s="1245" t="s">
        <v>1211</v>
      </c>
      <c r="F5" s="1246" t="e">
        <f>IF(K16/Total_Houses&gt;0.6,"High", IF(AND(K16/Total_Houses&lt;0.6,K16/Total_Houses&gt;0.4), "Medium", IF(K16/Total_Houses&lt;0.4,"Low")))</f>
        <v>#VALUE!</v>
      </c>
      <c r="G5" s="219"/>
      <c r="H5" s="460"/>
      <c r="I5" s="1992" t="s">
        <v>686</v>
      </c>
      <c r="J5" s="1993"/>
      <c r="K5" s="1993"/>
      <c r="L5" s="1993"/>
      <c r="M5" s="1993"/>
      <c r="N5" s="1993"/>
      <c r="O5" s="1993"/>
      <c r="P5" s="1993"/>
      <c r="Q5" s="1993"/>
      <c r="R5" s="1993"/>
      <c r="S5" s="1993"/>
      <c r="T5" s="1993"/>
      <c r="U5" s="1993"/>
      <c r="V5" s="125"/>
      <c r="W5" s="125"/>
      <c r="X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18"/>
      <c r="BN5" s="118"/>
      <c r="BO5" s="118"/>
    </row>
    <row r="6" spans="1:67">
      <c r="B6" s="128" t="s">
        <v>376</v>
      </c>
      <c r="C6" s="587" t="str">
        <f>'Community data'!B3</f>
        <v>Manley Hot Springs</v>
      </c>
      <c r="D6" s="125"/>
      <c r="E6" s="1247" t="s">
        <v>1209</v>
      </c>
      <c r="F6" s="308"/>
      <c r="G6" s="219"/>
      <c r="J6" s="1534" t="s">
        <v>1336</v>
      </c>
      <c r="K6" s="1534"/>
      <c r="L6" s="1534"/>
      <c r="M6" s="1534"/>
      <c r="N6" s="1996" t="s">
        <v>1221</v>
      </c>
      <c r="O6" s="1997"/>
      <c r="P6" s="1998"/>
      <c r="Q6" s="1999" t="s">
        <v>1337</v>
      </c>
      <c r="R6" s="2000"/>
      <c r="S6" s="2000"/>
      <c r="T6" s="2000"/>
      <c r="U6" s="1541"/>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18"/>
      <c r="BM6" s="118"/>
      <c r="BN6" s="118"/>
      <c r="BO6" s="118"/>
    </row>
    <row r="7" spans="1:67" ht="75">
      <c r="B7" s="128" t="s">
        <v>332</v>
      </c>
      <c r="C7" s="587" t="s">
        <v>291</v>
      </c>
      <c r="D7" s="125"/>
      <c r="E7" s="1247" t="s">
        <v>1210</v>
      </c>
      <c r="F7" s="308"/>
      <c r="G7" s="219"/>
      <c r="H7" s="1346" t="s">
        <v>1335</v>
      </c>
      <c r="I7" s="1407" t="s">
        <v>1350</v>
      </c>
      <c r="J7" s="1534" t="s">
        <v>1338</v>
      </c>
      <c r="K7" s="1534" t="s">
        <v>1339</v>
      </c>
      <c r="L7" s="1534" t="s">
        <v>1340</v>
      </c>
      <c r="M7" s="1534" t="s">
        <v>1341</v>
      </c>
      <c r="N7" s="1540" t="s">
        <v>1338</v>
      </c>
      <c r="O7" s="1535" t="s">
        <v>1339</v>
      </c>
      <c r="P7" s="1533" t="s">
        <v>1340</v>
      </c>
      <c r="Q7" s="1536" t="s">
        <v>1338</v>
      </c>
      <c r="R7" s="1537" t="s">
        <v>1339</v>
      </c>
      <c r="S7" s="1538" t="s">
        <v>1380</v>
      </c>
      <c r="T7" s="1534" t="s">
        <v>1340</v>
      </c>
      <c r="U7" s="1537" t="s">
        <v>1341</v>
      </c>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18"/>
      <c r="BM7" s="118"/>
      <c r="BN7" s="118"/>
      <c r="BO7" s="118"/>
    </row>
    <row r="8" spans="1:67" ht="12.75">
      <c r="B8" s="128" t="s">
        <v>569</v>
      </c>
      <c r="C8" s="587" t="s">
        <v>690</v>
      </c>
      <c r="D8" s="125"/>
      <c r="E8" s="1248" t="s">
        <v>1215</v>
      </c>
      <c r="F8" s="308"/>
      <c r="G8" s="219"/>
      <c r="H8" s="1555">
        <f>VLOOKUP($C$6,'Res Model Data'!$A$3:$U$288,3,FALSE)</f>
        <v>41</v>
      </c>
      <c r="I8" s="1557">
        <f>MROUND(H8*Forecast!C38/Forecast!C25,1)</f>
        <v>41</v>
      </c>
      <c r="J8" s="1555">
        <f>VLOOKUP($C$6,'Res Model Data'!$A$3:$U$288,4,FALSE)</f>
        <v>1</v>
      </c>
      <c r="K8" s="1555">
        <f>VLOOKUP($C$6,'Res Model Data'!$A$3:$U$288,5,FALSE)</f>
        <v>971</v>
      </c>
      <c r="L8" s="1555">
        <f>VLOOKUP($C$6,'Res Model Data'!$A$3:$U$288,6,FALSE)</f>
        <v>9.4119464469618955E-2</v>
      </c>
      <c r="M8" s="1555">
        <f>VLOOKUP($C$6,'Res Model Data'!$A$3:$U$288,7,FALSE)</f>
        <v>91.39</v>
      </c>
      <c r="N8" s="1555">
        <f>VLOOKUP($C$6,'Res Model Data'!$A$3:$U$288,8,FALSE)</f>
        <v>6</v>
      </c>
      <c r="O8" s="1555">
        <f>VLOOKUP($C$6,'Res Model Data'!$A$3:$U$288,9,FALSE)</f>
        <v>1121.8146232876711</v>
      </c>
      <c r="P8" s="1555">
        <f>VLOOKUP($C$6,'Res Model Data'!$A$3:$U$288,10,FALSE)</f>
        <v>0.2465402206361047</v>
      </c>
      <c r="Q8" s="1555">
        <f>VLOOKUP($C$6,'Res Model Data'!$A$3:$U$288,11,FALSE)</f>
        <v>1</v>
      </c>
      <c r="R8" s="1555">
        <f>VLOOKUP($C$6,'Res Model Data'!$A$3:$U$288,12,FALSE)</f>
        <v>840</v>
      </c>
      <c r="S8" s="1556">
        <f>VLOOKUP($C$6,'Res Model Data'!$A$3:$U$288,13,FALSE)</f>
        <v>0.32640460980310909</v>
      </c>
      <c r="T8" s="1554">
        <f>VLOOKUP($C$6,'Res Model Data'!$A$3:$U$288,14,FALSE)</f>
        <v>0.13170981085540059</v>
      </c>
      <c r="U8" s="1603">
        <f>VLOOKUP($C$6,'Res Model Data'!$A$3:$U$288,15,FALSE)</f>
        <v>110.6362411185365</v>
      </c>
      <c r="V8" s="125"/>
      <c r="W8" s="125"/>
      <c r="X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18"/>
      <c r="BM8" s="118"/>
      <c r="BN8" s="118"/>
      <c r="BO8" s="118"/>
    </row>
    <row r="9" spans="1:67" ht="13.5" thickBot="1">
      <c r="B9" s="128" t="s">
        <v>570</v>
      </c>
      <c r="C9" s="490"/>
      <c r="D9" s="125"/>
      <c r="E9" s="1248" t="s">
        <v>1222</v>
      </c>
      <c r="F9" s="222" t="s">
        <v>1208</v>
      </c>
      <c r="G9" s="219"/>
      <c r="H9" s="377"/>
      <c r="I9" s="121"/>
      <c r="J9" s="121"/>
      <c r="K9" s="121"/>
      <c r="L9" s="121"/>
      <c r="M9" s="450"/>
      <c r="N9" s="450"/>
      <c r="O9" s="385"/>
      <c r="P9" s="385"/>
      <c r="Q9" s="1240"/>
      <c r="R9" s="388"/>
      <c r="S9" s="391"/>
      <c r="T9" s="391"/>
      <c r="U9" s="121"/>
      <c r="V9" s="125"/>
      <c r="W9" s="125"/>
      <c r="X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18"/>
      <c r="BM9" s="118"/>
      <c r="BN9" s="118"/>
      <c r="BO9" s="118"/>
    </row>
    <row r="10" spans="1:67" ht="13.5" thickBot="1">
      <c r="B10" s="128"/>
      <c r="C10" s="587"/>
      <c r="D10" s="125"/>
      <c r="E10" s="1248" t="s">
        <v>1223</v>
      </c>
      <c r="F10" s="222"/>
      <c r="G10" s="219"/>
      <c r="H10" s="1545" t="s">
        <v>1351</v>
      </c>
      <c r="I10" s="1546">
        <f>Forecast!C25/'Eff (res)'!H8</f>
        <v>2.1707317073170733</v>
      </c>
      <c r="J10" s="121"/>
      <c r="K10" s="121"/>
      <c r="L10" s="121"/>
      <c r="M10" s="450"/>
      <c r="N10" s="450"/>
      <c r="O10" s="385"/>
      <c r="P10" s="385"/>
      <c r="Q10" s="1240"/>
      <c r="R10" s="388"/>
      <c r="S10" s="391"/>
      <c r="T10" s="391"/>
      <c r="U10" s="121"/>
      <c r="V10" s="125"/>
      <c r="W10" s="125"/>
      <c r="X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18"/>
      <c r="BM10" s="118"/>
      <c r="BN10" s="118"/>
      <c r="BO10" s="118"/>
    </row>
    <row r="11" spans="1:67" ht="13.5" thickBot="1">
      <c r="B11" s="128"/>
      <c r="C11" s="588"/>
      <c r="D11" s="125"/>
      <c r="E11" s="118"/>
      <c r="F11" s="135"/>
      <c r="G11" s="219"/>
      <c r="H11" s="377"/>
      <c r="I11" s="121"/>
      <c r="J11" s="121"/>
      <c r="K11" s="121"/>
      <c r="L11" s="121"/>
      <c r="M11" s="450"/>
      <c r="N11" s="450"/>
      <c r="O11" s="385"/>
      <c r="P11" s="385"/>
      <c r="Q11" s="1240"/>
      <c r="R11" s="388"/>
      <c r="S11" s="391"/>
      <c r="T11" s="391"/>
      <c r="U11" s="121"/>
      <c r="V11" s="125"/>
      <c r="W11" s="125"/>
      <c r="X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18"/>
      <c r="BM11" s="118"/>
      <c r="BN11" s="118"/>
      <c r="BO11" s="118"/>
    </row>
    <row r="12" spans="1:67" thickBot="1">
      <c r="B12" s="137" t="s">
        <v>360</v>
      </c>
      <c r="C12" s="320" t="s">
        <v>384</v>
      </c>
      <c r="D12" s="306"/>
      <c r="E12" s="306"/>
      <c r="F12" s="118"/>
      <c r="G12" s="219"/>
      <c r="H12" s="9"/>
      <c r="I12" s="1531"/>
      <c r="J12" s="118"/>
      <c r="K12" s="118"/>
      <c r="L12" s="118"/>
      <c r="M12" s="118"/>
      <c r="N12" s="118"/>
      <c r="O12" s="121"/>
      <c r="P12" s="1530"/>
      <c r="Q12" s="121"/>
      <c r="R12" s="118"/>
      <c r="S12" s="422"/>
      <c r="T12" s="422"/>
      <c r="U12" s="693"/>
      <c r="V12" s="121"/>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18"/>
      <c r="BM12" s="118"/>
      <c r="BN12" s="118"/>
      <c r="BO12" s="118"/>
    </row>
    <row r="13" spans="1:67" ht="15.75" thickBot="1">
      <c r="B13" s="128" t="s">
        <v>262</v>
      </c>
      <c r="C13" s="322">
        <f>BI59</f>
        <v>1040822.4984333834</v>
      </c>
      <c r="D13" s="136"/>
      <c r="E13" s="136"/>
      <c r="F13" s="118"/>
      <c r="G13" s="219"/>
      <c r="H13" s="9"/>
      <c r="I13" s="2001" t="s">
        <v>1343</v>
      </c>
      <c r="J13" s="2002"/>
      <c r="K13" s="2002"/>
      <c r="L13" s="2002"/>
      <c r="M13" s="2002"/>
      <c r="N13" s="2002"/>
      <c r="O13" s="2003" t="s">
        <v>1345</v>
      </c>
      <c r="P13" s="2003"/>
      <c r="Q13" s="2003"/>
      <c r="R13" s="2003"/>
      <c r="S13" s="2003"/>
      <c r="T13" s="2003"/>
      <c r="U13" s="2004"/>
      <c r="V13" s="1990" t="s">
        <v>633</v>
      </c>
      <c r="W13" s="1991"/>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18"/>
      <c r="BF13" s="118"/>
      <c r="BG13" s="118"/>
      <c r="BH13" s="118"/>
      <c r="BI13" s="118"/>
      <c r="BJ13" s="118"/>
      <c r="BK13" s="118"/>
      <c r="BL13" s="118"/>
      <c r="BM13" s="118"/>
      <c r="BN13" s="118"/>
      <c r="BO13" s="118"/>
    </row>
    <row r="14" spans="1:67" ht="60">
      <c r="B14" s="128" t="s">
        <v>278</v>
      </c>
      <c r="C14" s="322">
        <f>BI55</f>
        <v>603027.42080600327</v>
      </c>
      <c r="D14" s="136"/>
      <c r="E14" s="136"/>
      <c r="F14" s="118"/>
      <c r="G14" s="219"/>
      <c r="H14" s="9"/>
      <c r="I14" s="1535" t="s">
        <v>1344</v>
      </c>
      <c r="J14" s="1535" t="s">
        <v>838</v>
      </c>
      <c r="K14" s="1660" t="s">
        <v>2079</v>
      </c>
      <c r="L14" s="1660" t="s">
        <v>2080</v>
      </c>
      <c r="M14" s="1661" t="s">
        <v>2081</v>
      </c>
      <c r="N14" s="1661" t="s">
        <v>2082</v>
      </c>
      <c r="O14" s="1539" t="s">
        <v>1346</v>
      </c>
      <c r="P14" s="1537" t="s">
        <v>1348</v>
      </c>
      <c r="Q14" s="1662" t="s">
        <v>2079</v>
      </c>
      <c r="R14" s="1662" t="s">
        <v>2080</v>
      </c>
      <c r="S14" s="1663" t="s">
        <v>2081</v>
      </c>
      <c r="T14" s="1663" t="s">
        <v>2082</v>
      </c>
      <c r="U14" s="1537" t="s">
        <v>1349</v>
      </c>
      <c r="V14" s="277" t="s">
        <v>687</v>
      </c>
      <c r="W14" s="730" t="s">
        <v>688</v>
      </c>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18"/>
      <c r="BD14" s="118"/>
      <c r="BE14" s="118"/>
      <c r="BF14" s="118"/>
      <c r="BG14" s="118"/>
      <c r="BH14" s="118"/>
      <c r="BI14" s="118"/>
      <c r="BJ14" s="118"/>
      <c r="BK14" s="118"/>
      <c r="BL14" s="118"/>
      <c r="BM14" s="118"/>
      <c r="BN14" s="118"/>
      <c r="BO14" s="118"/>
    </row>
    <row r="15" spans="1:67" ht="13.5" thickBot="1">
      <c r="B15" s="128" t="s">
        <v>759</v>
      </c>
      <c r="C15" s="323">
        <f>C13/C14</f>
        <v>1.7259953072154257</v>
      </c>
      <c r="D15" s="136"/>
      <c r="E15" s="136"/>
      <c r="F15" s="118"/>
      <c r="G15" s="219"/>
      <c r="H15" s="9"/>
      <c r="I15" s="1658">
        <f>U8+M8+O8*P8*(I8-J8-Q8)</f>
        <v>10988.35080590643</v>
      </c>
      <c r="J15" s="1658">
        <f>VLOOKUP($C$5,'Residential Heat source'!$A$3:$U$479,11,FALSE)*(I15-I8*500*12*0.003412)/0.138</f>
        <v>37522.908374907805</v>
      </c>
      <c r="K15" s="1659">
        <f>VLOOKUP($C$5,'Residential Heat source'!$A$3:$U$479,15,FALSE)*(I15-I8*500*12*0.003412)/16</f>
        <v>293.70886622151386</v>
      </c>
      <c r="L15" s="1659">
        <f>VLOOKUP($C$5,'Residential Heat source'!$A$3:$U$479,9,FALSE)*(I15-I8*500*12*0.003412)*293</f>
        <v>26033.958999197719</v>
      </c>
      <c r="M15" s="1659">
        <f>VLOOKUP($C$5,'Residential Heat source'!$A$3:$U$479,5,FALSE)*(I15-I8*500*12*0.003412)*0.976</f>
        <v>48.178126627260092</v>
      </c>
      <c r="N15" s="1659">
        <f>VLOOKUP($C$5,'Residential Heat source'!$A$3:$U$479,7,FALSE)*(I15-I8*500*12*0.003412)/0.092</f>
        <v>107.31051012843035</v>
      </c>
      <c r="O15" s="1542">
        <f>I8-J8-Q8</f>
        <v>39</v>
      </c>
      <c r="P15" s="724">
        <f>$O$15*$S$8*VLOOKUP($C$5,'Residential Heat source'!$A$3:$U$479, 11,FALSE)*($P$8*$O$8-6000*0.00341)/0.138</f>
        <v>12053.823556322275</v>
      </c>
      <c r="Q15" s="724">
        <f>IF(VLOOKUP($C$5,'Residential Heat source'!$A$3:$U$479,15,FALSE)&lt;0.05,0,$O$15*$S$8*VLOOKUP($C$5,'Residential Heat source'!$A$3:$U$479,15,FALSE)*($P$8*$O$8-6000*0.00341)/16)</f>
        <v>94.350758075273802</v>
      </c>
      <c r="R15" s="724">
        <f>$O$15*$S$8*VLOOKUP($C$5,'Residential Heat source'!$A$3:$U$479,9,FALSE)*($P$8*$O$8-6000*0.00341)/0.293</f>
        <v>97.416677394380272</v>
      </c>
      <c r="S15" s="724">
        <f>$O$15*$S$8*VLOOKUP($C$5,'Residential Heat source'!$A$3:$U$479,5,FALSE)*($P$8*$O$8-6000*0.00341)/0.976</f>
        <v>16.247203140114649</v>
      </c>
      <c r="T15" s="724">
        <f>$O$15*$S$8*VLOOKUP($C$5,'Residential Heat source'!$A$3:$U$479,7,FALSE)*($P$8*$O$8-6000*0.00341)/0.138</f>
        <v>22.981551108336085</v>
      </c>
      <c r="U15" s="1556">
        <f>VLOOKUP($C$6,'Res Model Data'!$A$3:$U$288,21,FALSE)</f>
        <v>0.34688499434182757</v>
      </c>
      <c r="V15" s="1255">
        <f>Community_Retrofit_Cost</f>
        <v>15399.999999999998</v>
      </c>
      <c r="W15" s="731">
        <f>V15*O15</f>
        <v>600599.99999999988</v>
      </c>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18"/>
      <c r="BH15" s="118"/>
      <c r="BI15" s="118"/>
      <c r="BJ15" s="118"/>
      <c r="BK15" s="118"/>
      <c r="BL15" s="118"/>
      <c r="BM15" s="118"/>
      <c r="BN15" s="118"/>
      <c r="BO15" s="118"/>
    </row>
    <row r="16" spans="1:67" ht="13.5" thickBot="1">
      <c r="A16" s="121"/>
      <c r="B16" s="502" t="s">
        <v>290</v>
      </c>
      <c r="C16" s="503">
        <f>BI62</f>
        <v>437795.07762738009</v>
      </c>
      <c r="D16" s="136"/>
      <c r="E16" s="136"/>
      <c r="F16" s="118"/>
      <c r="G16" s="219"/>
      <c r="H16" s="9"/>
      <c r="I16" s="1527"/>
      <c r="J16" s="1527"/>
      <c r="K16" s="1792" t="s">
        <v>2321</v>
      </c>
      <c r="L16" s="1655"/>
      <c r="M16" s="1527"/>
      <c r="N16" s="385"/>
      <c r="O16" s="441"/>
      <c r="P16" s="385"/>
      <c r="Q16" s="1792" t="s">
        <v>2321</v>
      </c>
      <c r="R16" s="387"/>
      <c r="S16" s="1792" t="s">
        <v>2321</v>
      </c>
      <c r="T16" s="392"/>
      <c r="U16" s="392"/>
      <c r="V16" s="121"/>
      <c r="W16" s="121"/>
      <c r="X16" s="121"/>
      <c r="Y16" s="121"/>
      <c r="Z16" s="121"/>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2.75">
      <c r="A17" s="121"/>
      <c r="B17" s="157"/>
      <c r="C17" s="347"/>
      <c r="D17" s="136"/>
      <c r="E17" s="136"/>
      <c r="F17" s="118"/>
      <c r="G17" s="219"/>
      <c r="H17" s="377" t="s">
        <v>2083</v>
      </c>
      <c r="I17" s="328">
        <f>VLOOKUP($C$5,'Residential Heat source'!$A$3:$U$479,11,FALSE)</f>
        <v>0.51021400778210113</v>
      </c>
      <c r="J17" s="121"/>
      <c r="K17" s="121"/>
      <c r="L17" s="1833">
        <f>L15*0.0034</f>
        <v>88.515460597272238</v>
      </c>
      <c r="M17" s="121"/>
      <c r="N17" s="121"/>
      <c r="O17" s="121"/>
      <c r="P17" s="121"/>
      <c r="Q17" s="121"/>
      <c r="R17" s="487"/>
      <c r="T17" s="121"/>
      <c r="U17" s="121"/>
      <c r="V17" s="121"/>
      <c r="W17" s="121"/>
      <c r="X17" s="121"/>
      <c r="Y17" s="121"/>
      <c r="Z17" s="121"/>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3.5" thickBot="1">
      <c r="B18" s="138"/>
      <c r="C18" s="145"/>
      <c r="D18" s="136"/>
      <c r="E18" s="136"/>
      <c r="F18" s="118"/>
      <c r="G18" s="219"/>
      <c r="H18" s="122" t="s">
        <v>2016</v>
      </c>
      <c r="I18" s="1664">
        <f>VLOOKUP($C$5,'Residential Heat source'!$A$3:$U$479,15,FALSE)</f>
        <v>0.46303501945525294</v>
      </c>
      <c r="J18" s="1657"/>
      <c r="L18" s="1657"/>
      <c r="M18" s="1657"/>
      <c r="N18" s="1657"/>
      <c r="O18" s="1657"/>
      <c r="P18" s="1657"/>
      <c r="R18" s="1657"/>
      <c r="S18" s="1657"/>
      <c r="T18" s="1657"/>
      <c r="U18" s="1657"/>
      <c r="V18" s="1657"/>
      <c r="W18" s="1657"/>
      <c r="X18" s="1657"/>
      <c r="Y18" s="1657"/>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14.25">
      <c r="B19" s="137" t="s">
        <v>361</v>
      </c>
      <c r="C19" s="314" t="s">
        <v>271</v>
      </c>
      <c r="D19" s="315" t="s">
        <v>384</v>
      </c>
      <c r="E19" s="307"/>
      <c r="F19" s="306"/>
      <c r="G19" s="219"/>
      <c r="H19" s="1529" t="s">
        <v>631</v>
      </c>
      <c r="I19" s="1677">
        <f>VLOOKUP($C$5,'Residential Heat source'!$A$3:$U$479,9,FALSE)</f>
        <v>8.7548638132295721E-3</v>
      </c>
      <c r="J19" s="920"/>
      <c r="K19" s="454"/>
      <c r="L19" s="270"/>
      <c r="M19" s="270"/>
      <c r="N19" s="270"/>
      <c r="O19" s="454"/>
      <c r="P19" s="460"/>
      <c r="Q19" s="460"/>
      <c r="R19" s="460"/>
      <c r="S19" s="460"/>
      <c r="T19" s="460"/>
      <c r="U19" s="460"/>
      <c r="V19" s="122"/>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18"/>
    </row>
    <row r="20" spans="1:67" ht="12.75">
      <c r="B20" s="316" t="s">
        <v>362</v>
      </c>
      <c r="C20" s="208" t="s">
        <v>266</v>
      </c>
      <c r="D20" s="665">
        <f>IF(SUM(F67:BH67)&gt;0,SUM(F67:BH67)/COUNTIF(F67:BH67,"&gt;0"),0)</f>
        <v>0</v>
      </c>
      <c r="E20" s="121"/>
      <c r="F20" s="136"/>
      <c r="G20" s="219"/>
      <c r="H20" s="1529" t="s">
        <v>2007</v>
      </c>
      <c r="I20" s="1677">
        <f>VLOOKUP($C$5,'Residential Heat source'!$A$3:$U$479,5,FALSE)</f>
        <v>4.8638132295719845E-3</v>
      </c>
      <c r="J20" s="121"/>
      <c r="K20" s="121"/>
      <c r="L20" s="121"/>
      <c r="M20" s="121"/>
      <c r="N20" s="121"/>
      <c r="O20" s="121"/>
      <c r="P20" s="920"/>
      <c r="Q20" s="270"/>
      <c r="R20" s="920"/>
      <c r="S20" s="920"/>
      <c r="T20" s="270"/>
      <c r="U20" s="270"/>
      <c r="V20" s="122"/>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18"/>
    </row>
    <row r="21" spans="1:67" ht="12.75">
      <c r="B21" s="316" t="s">
        <v>362</v>
      </c>
      <c r="C21" s="209" t="s">
        <v>363</v>
      </c>
      <c r="D21" s="666">
        <f>SUM(F67:BH67)</f>
        <v>0</v>
      </c>
      <c r="E21" s="121"/>
      <c r="F21" s="136"/>
      <c r="G21" s="219"/>
      <c r="H21" s="1529" t="s">
        <v>2084</v>
      </c>
      <c r="I21" s="1677">
        <f>VLOOKUP($C$5,'Residential Heat source'!$A$3:$U$479,7,FALSE)</f>
        <v>9.727626459143969E-4</v>
      </c>
      <c r="J21" s="121"/>
      <c r="K21" s="121"/>
      <c r="L21" s="121"/>
      <c r="M21" s="121"/>
      <c r="N21" s="450"/>
      <c r="O21" s="450"/>
      <c r="P21" s="385"/>
      <c r="Q21" s="385"/>
      <c r="R21" s="1240"/>
      <c r="S21" s="388"/>
      <c r="T21" s="391"/>
      <c r="U21" s="391"/>
      <c r="V21" s="122"/>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18"/>
    </row>
    <row r="22" spans="1:67" ht="12.75">
      <c r="B22" s="316" t="s">
        <v>364</v>
      </c>
      <c r="C22" s="209" t="s">
        <v>268</v>
      </c>
      <c r="D22" s="665" t="e">
        <f>#REF!</f>
        <v>#REF!</v>
      </c>
      <c r="E22" s="121"/>
      <c r="F22" s="136"/>
      <c r="G22" s="219"/>
      <c r="H22" s="1529"/>
      <c r="I22" s="122"/>
      <c r="J22" s="121"/>
      <c r="K22" s="121"/>
      <c r="L22" s="121"/>
      <c r="M22" s="121"/>
      <c r="N22" s="450"/>
      <c r="O22" s="450"/>
      <c r="P22" s="385"/>
      <c r="Q22" s="385"/>
      <c r="R22" s="1240"/>
      <c r="S22" s="388"/>
      <c r="T22" s="391"/>
      <c r="U22" s="391"/>
      <c r="V22" s="122"/>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18"/>
    </row>
    <row r="23" spans="1:67" ht="12.75">
      <c r="B23" s="316" t="s">
        <v>364</v>
      </c>
      <c r="C23" s="209" t="s">
        <v>365</v>
      </c>
      <c r="D23" s="667" t="e">
        <f>D22*#REF!</f>
        <v>#REF!</v>
      </c>
      <c r="E23" s="121"/>
      <c r="F23" s="136"/>
      <c r="G23" s="219"/>
      <c r="H23" s="1529"/>
      <c r="I23" s="122"/>
      <c r="J23" s="121"/>
      <c r="K23" s="121"/>
      <c r="L23" s="121"/>
      <c r="M23" s="121"/>
      <c r="N23" s="450"/>
      <c r="O23" s="450"/>
      <c r="P23" s="385"/>
      <c r="Q23" s="385"/>
      <c r="R23" s="1240"/>
      <c r="S23" s="388"/>
      <c r="T23" s="391"/>
      <c r="U23" s="391"/>
      <c r="V23" s="122"/>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18"/>
    </row>
    <row r="24" spans="1:67" ht="14.25">
      <c r="B24" s="128"/>
      <c r="D24" s="1385"/>
      <c r="E24" s="122"/>
      <c r="F24" s="125"/>
      <c r="G24" s="145"/>
      <c r="H24" s="122"/>
      <c r="I24" s="122"/>
      <c r="J24" s="121"/>
      <c r="K24" s="121"/>
      <c r="L24" s="121"/>
      <c r="M24" s="121"/>
      <c r="N24" s="121"/>
      <c r="O24" s="121"/>
      <c r="P24" s="1530"/>
      <c r="Q24" s="121"/>
      <c r="R24" s="121"/>
      <c r="S24" s="422"/>
      <c r="T24" s="422"/>
      <c r="U24" s="693"/>
      <c r="V24" s="138"/>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2.75">
      <c r="B25" s="138"/>
      <c r="C25" s="145"/>
      <c r="D25" s="449"/>
      <c r="E25" s="121"/>
      <c r="F25" s="136"/>
      <c r="G25" s="219"/>
      <c r="H25" s="377"/>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2.75">
      <c r="B26" s="138"/>
      <c r="C26" s="145"/>
      <c r="D26" s="449"/>
      <c r="E26" s="121"/>
      <c r="F26" s="136"/>
      <c r="G26" s="219"/>
      <c r="H26" s="121"/>
      <c r="I26" s="1987"/>
      <c r="J26" s="1987"/>
      <c r="K26" s="1987"/>
      <c r="L26" s="1987"/>
      <c r="M26" s="1987"/>
      <c r="N26" s="1987"/>
      <c r="O26" s="1988"/>
      <c r="P26" s="1988"/>
      <c r="Q26" s="1988"/>
      <c r="R26" s="1988"/>
      <c r="S26" s="1988"/>
      <c r="T26" s="1988"/>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18"/>
    </row>
    <row r="27" spans="1:67" ht="12.75">
      <c r="B27" s="138"/>
      <c r="C27" s="145"/>
      <c r="D27" s="449"/>
      <c r="E27" s="121"/>
      <c r="F27" s="136"/>
      <c r="G27" s="219"/>
      <c r="H27" s="700"/>
      <c r="I27" s="920"/>
      <c r="J27" s="121"/>
      <c r="K27" s="270"/>
      <c r="L27" s="270"/>
      <c r="M27" s="270"/>
      <c r="N27" s="454"/>
      <c r="O27" s="920"/>
      <c r="P27" s="270"/>
      <c r="Q27" s="920"/>
      <c r="R27" s="920"/>
      <c r="S27" s="270"/>
      <c r="T27" s="270"/>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19"/>
      <c r="H28" s="700"/>
      <c r="I28" s="121"/>
      <c r="J28" s="121"/>
      <c r="K28" s="121"/>
      <c r="L28" s="121"/>
      <c r="M28" s="121"/>
      <c r="N28" s="1532"/>
      <c r="O28" s="385"/>
      <c r="P28" s="385"/>
      <c r="Q28" s="1240"/>
      <c r="R28" s="388"/>
      <c r="S28" s="391"/>
      <c r="T28" s="391"/>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2" t="s">
        <v>384</v>
      </c>
      <c r="E29" s="307"/>
      <c r="F29" s="306"/>
      <c r="G29" s="219"/>
      <c r="H29" s="122"/>
      <c r="I29" s="121"/>
      <c r="J29" s="121"/>
      <c r="K29" s="121"/>
      <c r="L29" s="121"/>
      <c r="M29" s="121"/>
      <c r="N29" s="121"/>
      <c r="O29" s="121"/>
      <c r="P29" s="121"/>
      <c r="Q29" s="121"/>
      <c r="R29" s="121"/>
      <c r="S29" s="138"/>
      <c r="T29" s="138"/>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668">
        <f>I34</f>
        <v>600599.99999999988</v>
      </c>
      <c r="E30" s="121"/>
      <c r="F30" s="136"/>
      <c r="G30" s="219"/>
      <c r="H30" s="377"/>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3.5" thickBot="1">
      <c r="B31" s="128" t="s">
        <v>286</v>
      </c>
      <c r="C31" s="138" t="s">
        <v>333</v>
      </c>
      <c r="D31" s="651">
        <v>2015</v>
      </c>
      <c r="E31" s="118"/>
      <c r="G31" s="219"/>
      <c r="H31" s="377"/>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3.5" thickBot="1">
      <c r="B32" s="128" t="s">
        <v>279</v>
      </c>
      <c r="C32" s="138" t="s">
        <v>280</v>
      </c>
      <c r="D32" s="664">
        <v>15</v>
      </c>
      <c r="E32" s="118"/>
      <c r="G32" s="219"/>
      <c r="H32" s="377"/>
      <c r="K32" s="1984" t="s">
        <v>707</v>
      </c>
      <c r="L32" s="1985"/>
      <c r="M32" s="1986"/>
      <c r="N32" s="9"/>
      <c r="O32" s="121"/>
      <c r="P32" s="125"/>
      <c r="Q32" s="125"/>
      <c r="R32" s="930"/>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51.75">
      <c r="B33" s="128" t="s">
        <v>367</v>
      </c>
      <c r="C33" s="151" t="s">
        <v>266</v>
      </c>
      <c r="D33" s="669"/>
      <c r="E33" s="118"/>
      <c r="G33" s="219"/>
      <c r="H33" s="1241" t="s">
        <v>1224</v>
      </c>
      <c r="I33" s="1242">
        <f>J15</f>
        <v>37522.908374907805</v>
      </c>
      <c r="K33" s="937" t="s">
        <v>332</v>
      </c>
      <c r="L33" s="728" t="s">
        <v>708</v>
      </c>
      <c r="M33" s="938" t="s">
        <v>1154</v>
      </c>
      <c r="N33" s="1239" t="s">
        <v>1153</v>
      </c>
      <c r="O33" s="1238"/>
      <c r="P33" s="125"/>
      <c r="Q33" s="125"/>
      <c r="R33" s="930"/>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6.25" thickBot="1">
      <c r="B34" s="128" t="s">
        <v>368</v>
      </c>
      <c r="C34" s="138" t="str">
        <f>IF(C7="Railbelt South of Alaska Range","mmBtu displaced per year", "gallons displaced per year")</f>
        <v>gallons displaced per year</v>
      </c>
      <c r="D34" s="670">
        <f>I35</f>
        <v>12053.823556322275</v>
      </c>
      <c r="E34" s="118"/>
      <c r="G34" s="219"/>
      <c r="H34" s="1243" t="s">
        <v>1225</v>
      </c>
      <c r="I34" s="1244">
        <f>W15</f>
        <v>600599.99999999988</v>
      </c>
      <c r="K34" s="512" t="s">
        <v>728</v>
      </c>
      <c r="L34" s="729">
        <f t="shared" ref="L34:L43" si="0">AverageHHCost*M34</f>
        <v>15399.999999999998</v>
      </c>
      <c r="M34" s="939">
        <v>1.4</v>
      </c>
      <c r="N34" s="936">
        <v>11000</v>
      </c>
      <c r="O34" s="9"/>
      <c r="P34" s="125"/>
      <c r="Q34" s="125"/>
      <c r="R34" s="930"/>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c r="C35" s="138"/>
      <c r="D35" s="671"/>
      <c r="E35" s="118"/>
      <c r="G35" s="219"/>
      <c r="H35" s="377" t="s">
        <v>1352</v>
      </c>
      <c r="I35" s="1543">
        <f>P15</f>
        <v>12053.823556322275</v>
      </c>
      <c r="K35" s="512" t="s">
        <v>729</v>
      </c>
      <c r="L35" s="729">
        <f t="shared" si="0"/>
        <v>19800</v>
      </c>
      <c r="M35" s="940">
        <v>1.8</v>
      </c>
      <c r="N35" s="9"/>
      <c r="O35" s="460"/>
      <c r="P35" s="125"/>
      <c r="Q35" s="136"/>
      <c r="R35" s="351"/>
      <c r="S35" s="122"/>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672"/>
      <c r="E36" s="118"/>
      <c r="G36" s="219"/>
      <c r="H36" s="122"/>
      <c r="I36" s="1544"/>
      <c r="K36" s="512" t="s">
        <v>730</v>
      </c>
      <c r="L36" s="729">
        <f t="shared" si="0"/>
        <v>13750</v>
      </c>
      <c r="M36" s="940">
        <v>1.25</v>
      </c>
      <c r="N36" s="9"/>
      <c r="P36" s="125"/>
      <c r="Q36" s="136"/>
      <c r="R36" s="351"/>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25.5">
      <c r="B37" s="128" t="s">
        <v>387</v>
      </c>
      <c r="C37" s="138" t="s">
        <v>388</v>
      </c>
      <c r="D37" s="673"/>
      <c r="E37" s="118"/>
      <c r="G37" s="219"/>
      <c r="H37" s="377"/>
      <c r="K37" s="512" t="s">
        <v>731</v>
      </c>
      <c r="L37" s="729">
        <f t="shared" si="0"/>
        <v>12100.000000000002</v>
      </c>
      <c r="M37" s="940">
        <v>1.1000000000000001</v>
      </c>
      <c r="N37" s="9"/>
      <c r="P37" s="125"/>
      <c r="Q37" s="136"/>
      <c r="R37" s="351"/>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74"/>
      <c r="E38" s="118"/>
      <c r="G38" s="219"/>
      <c r="H38" s="377"/>
      <c r="K38" s="512" t="s">
        <v>549</v>
      </c>
      <c r="L38" s="729">
        <f t="shared" si="0"/>
        <v>12980</v>
      </c>
      <c r="M38" s="940">
        <v>1.18</v>
      </c>
      <c r="N38" s="9"/>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25.5">
      <c r="B39" s="128" t="s">
        <v>390</v>
      </c>
      <c r="C39" s="138" t="s">
        <v>392</v>
      </c>
      <c r="D39" s="675"/>
      <c r="E39" s="118"/>
      <c r="G39" s="219"/>
      <c r="H39" s="377"/>
      <c r="K39" s="512" t="s">
        <v>732</v>
      </c>
      <c r="L39" s="729">
        <f t="shared" si="0"/>
        <v>17600</v>
      </c>
      <c r="M39" s="940">
        <v>1.6</v>
      </c>
      <c r="N39" s="9"/>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3" t="s">
        <v>352</v>
      </c>
      <c r="D40" s="676"/>
      <c r="E40" s="118"/>
      <c r="G40" s="219"/>
      <c r="H40" s="377"/>
      <c r="K40" s="512" t="s">
        <v>733</v>
      </c>
      <c r="L40" s="729">
        <f t="shared" si="0"/>
        <v>19800</v>
      </c>
      <c r="M40" s="940">
        <v>1.8</v>
      </c>
      <c r="N40" s="9"/>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677"/>
      <c r="E41" s="118"/>
      <c r="F41" s="136"/>
      <c r="G41" s="219"/>
      <c r="H41" s="377"/>
      <c r="K41" s="512" t="s">
        <v>734</v>
      </c>
      <c r="L41" s="729">
        <f t="shared" si="0"/>
        <v>18700</v>
      </c>
      <c r="M41" s="940">
        <v>1.7</v>
      </c>
      <c r="N41" s="9"/>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04" t="s">
        <v>327</v>
      </c>
      <c r="C42" s="505" t="s">
        <v>271</v>
      </c>
      <c r="D42" s="678" t="s">
        <v>272</v>
      </c>
      <c r="E42" s="118"/>
      <c r="G42" s="219"/>
      <c r="H42" s="377"/>
      <c r="K42" s="512" t="s">
        <v>476</v>
      </c>
      <c r="L42" s="729">
        <f t="shared" si="0"/>
        <v>12649.999999999998</v>
      </c>
      <c r="M42" s="940">
        <v>1.1499999999999999</v>
      </c>
      <c r="N42" s="9"/>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39" thickBot="1">
      <c r="B43" s="311" t="s">
        <v>276</v>
      </c>
      <c r="C43" s="138" t="s">
        <v>265</v>
      </c>
      <c r="D43" s="679">
        <v>0.02</v>
      </c>
      <c r="E43" s="118"/>
      <c r="F43" s="159"/>
      <c r="G43" s="219"/>
      <c r="H43" s="377"/>
      <c r="K43" s="514" t="s">
        <v>736</v>
      </c>
      <c r="L43" s="941">
        <f t="shared" si="0"/>
        <v>15399.999999999998</v>
      </c>
      <c r="M43" s="942">
        <v>1.4</v>
      </c>
      <c r="N43" s="122"/>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26.25" thickBot="1">
      <c r="B44" s="507" t="s">
        <v>328</v>
      </c>
      <c r="C44" s="143" t="s">
        <v>281</v>
      </c>
      <c r="D44" s="680">
        <f>'Community data'!B21</f>
        <v>10.802351555020987</v>
      </c>
      <c r="E44" s="118"/>
      <c r="F44" s="159"/>
      <c r="G44" s="219"/>
      <c r="H44" s="377"/>
      <c r="K44" s="1234" t="s">
        <v>1241</v>
      </c>
      <c r="L44" s="1254">
        <f>VLOOKUP(Energy_Region,'Eff (res)'!K34:L43,2)</f>
        <v>15399.999999999998</v>
      </c>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681"/>
      <c r="E45" s="118"/>
      <c r="F45" s="136"/>
      <c r="G45" s="219"/>
      <c r="H45" s="377"/>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2" t="s">
        <v>272</v>
      </c>
      <c r="E46" s="118"/>
      <c r="F46" s="159"/>
      <c r="G46" s="219"/>
      <c r="H46" s="377"/>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5" thickBot="1">
      <c r="B47" s="311" t="s">
        <v>282</v>
      </c>
      <c r="C47" s="138" t="s">
        <v>269</v>
      </c>
      <c r="D47" s="601">
        <f>VLOOKUP(Energy_Region,Assumptions!$A$28:$B$38,2,FALSE)</f>
        <v>1.5507921943016665</v>
      </c>
      <c r="E47" s="118"/>
      <c r="F47" s="136"/>
      <c r="G47" s="219"/>
      <c r="H47" s="378"/>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82">
        <f>Assumptions!B26</f>
        <v>0</v>
      </c>
      <c r="E48" s="118"/>
      <c r="F48" s="159"/>
      <c r="G48" s="219"/>
      <c r="H48" s="122"/>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83">
        <v>0.03</v>
      </c>
      <c r="E49" s="118"/>
      <c r="F49" s="136"/>
      <c r="G49" s="219"/>
      <c r="H49" s="122"/>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84"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733"/>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BH54" si="1">F54+1</f>
        <v>2015</v>
      </c>
      <c r="H54" s="171">
        <f t="shared" si="1"/>
        <v>2016</v>
      </c>
      <c r="I54" s="171">
        <f t="shared" si="1"/>
        <v>2017</v>
      </c>
      <c r="J54" s="171">
        <f t="shared" si="1"/>
        <v>2018</v>
      </c>
      <c r="K54" s="171">
        <f t="shared" si="1"/>
        <v>2019</v>
      </c>
      <c r="L54" s="171">
        <f t="shared" si="1"/>
        <v>2020</v>
      </c>
      <c r="M54" s="171">
        <f t="shared" si="1"/>
        <v>2021</v>
      </c>
      <c r="N54" s="171">
        <f t="shared" si="1"/>
        <v>2022</v>
      </c>
      <c r="O54" s="171">
        <f t="shared" si="1"/>
        <v>2023</v>
      </c>
      <c r="P54" s="171">
        <f t="shared" si="1"/>
        <v>2024</v>
      </c>
      <c r="Q54" s="171">
        <f t="shared" si="1"/>
        <v>2025</v>
      </c>
      <c r="R54" s="171">
        <f t="shared" si="1"/>
        <v>2026</v>
      </c>
      <c r="S54" s="306">
        <f t="shared" si="1"/>
        <v>2027</v>
      </c>
      <c r="T54" s="306">
        <f t="shared" si="1"/>
        <v>2028</v>
      </c>
      <c r="U54" s="306">
        <f t="shared" si="1"/>
        <v>2029</v>
      </c>
      <c r="V54" s="306">
        <f t="shared" si="1"/>
        <v>2030</v>
      </c>
      <c r="W54" s="306">
        <f t="shared" si="1"/>
        <v>2031</v>
      </c>
      <c r="X54" s="306">
        <f t="shared" si="1"/>
        <v>2032</v>
      </c>
      <c r="Y54" s="306">
        <f t="shared" si="1"/>
        <v>2033</v>
      </c>
      <c r="Z54" s="306">
        <f t="shared" si="1"/>
        <v>2034</v>
      </c>
      <c r="AA54" s="306">
        <f t="shared" si="1"/>
        <v>2035</v>
      </c>
      <c r="AB54" s="306">
        <f t="shared" si="1"/>
        <v>2036</v>
      </c>
      <c r="AC54" s="306">
        <f t="shared" si="1"/>
        <v>2037</v>
      </c>
      <c r="AD54" s="306">
        <f t="shared" si="1"/>
        <v>2038</v>
      </c>
      <c r="AE54" s="306">
        <f t="shared" si="1"/>
        <v>2039</v>
      </c>
      <c r="AF54" s="306">
        <f t="shared" si="1"/>
        <v>2040</v>
      </c>
      <c r="AG54" s="306">
        <f t="shared" si="1"/>
        <v>2041</v>
      </c>
      <c r="AH54" s="306">
        <f t="shared" si="1"/>
        <v>2042</v>
      </c>
      <c r="AI54" s="306">
        <f t="shared" si="1"/>
        <v>2043</v>
      </c>
      <c r="AJ54" s="306">
        <f t="shared" si="1"/>
        <v>2044</v>
      </c>
      <c r="AK54" s="306">
        <f t="shared" si="1"/>
        <v>2045</v>
      </c>
      <c r="AL54" s="306">
        <f t="shared" si="1"/>
        <v>2046</v>
      </c>
      <c r="AM54" s="306">
        <f t="shared" si="1"/>
        <v>2047</v>
      </c>
      <c r="AN54" s="306">
        <f t="shared" si="1"/>
        <v>2048</v>
      </c>
      <c r="AO54" s="306">
        <f t="shared" si="1"/>
        <v>2049</v>
      </c>
      <c r="AP54" s="306">
        <f t="shared" si="1"/>
        <v>2050</v>
      </c>
      <c r="AQ54" s="306">
        <f t="shared" si="1"/>
        <v>2051</v>
      </c>
      <c r="AR54" s="306">
        <f t="shared" si="1"/>
        <v>2052</v>
      </c>
      <c r="AS54" s="306">
        <f t="shared" si="1"/>
        <v>2053</v>
      </c>
      <c r="AT54" s="306">
        <f t="shared" si="1"/>
        <v>2054</v>
      </c>
      <c r="AU54" s="306">
        <f t="shared" si="1"/>
        <v>2055</v>
      </c>
      <c r="AV54" s="306">
        <f t="shared" si="1"/>
        <v>2056</v>
      </c>
      <c r="AW54" s="306">
        <f t="shared" si="1"/>
        <v>2057</v>
      </c>
      <c r="AX54" s="306">
        <f t="shared" si="1"/>
        <v>2058</v>
      </c>
      <c r="AY54" s="306">
        <f t="shared" si="1"/>
        <v>2059</v>
      </c>
      <c r="AZ54" s="306">
        <f t="shared" si="1"/>
        <v>2060</v>
      </c>
      <c r="BA54" s="306">
        <f t="shared" si="1"/>
        <v>2061</v>
      </c>
      <c r="BB54" s="306">
        <f t="shared" si="1"/>
        <v>2062</v>
      </c>
      <c r="BC54" s="306">
        <f t="shared" si="1"/>
        <v>2063</v>
      </c>
      <c r="BD54" s="306">
        <f t="shared" si="1"/>
        <v>2064</v>
      </c>
      <c r="BE54" s="306">
        <f t="shared" si="1"/>
        <v>2065</v>
      </c>
      <c r="BF54" s="306">
        <f t="shared" si="1"/>
        <v>2066</v>
      </c>
      <c r="BG54" s="306">
        <f t="shared" si="1"/>
        <v>2067</v>
      </c>
      <c r="BH54" s="306">
        <f t="shared" si="1"/>
        <v>2068</v>
      </c>
      <c r="BI54" s="695" t="s">
        <v>4</v>
      </c>
      <c r="BJ54" s="121"/>
      <c r="BK54" s="121"/>
      <c r="BL54" s="121"/>
      <c r="BM54" s="121"/>
      <c r="BN54" s="121"/>
      <c r="BO54" s="121"/>
    </row>
    <row r="55" spans="2:67" ht="12.75">
      <c r="C55" s="172"/>
      <c r="D55" s="173" t="s">
        <v>274</v>
      </c>
      <c r="E55" s="121" t="s">
        <v>264</v>
      </c>
      <c r="F55" s="174">
        <v>0</v>
      </c>
      <c r="G55" s="174">
        <f>IF(AND(G$54&gt;=$D$31,G$54&lt;=($D$31+$D$32)),-PMT(0.05,$D$32,$D$30)*'Fuel Price Worksheet'!G23,0)</f>
        <v>57863.177938112152</v>
      </c>
      <c r="H55" s="174">
        <f>IF(AND(H$54&gt;=$D$31,H$54&lt;=($D$31+$D$32)),-PMT(0.05,$D$32,$D$30)*'Fuel Price Worksheet'!H23,0)</f>
        <v>56507.009705187651</v>
      </c>
      <c r="I55" s="174">
        <f>IF(AND(I$54&gt;=$D$31,I$54&lt;=($D$31+$D$32)),-PMT(0.05,$D$32,$D$30)*'Fuel Price Worksheet'!I23,0)</f>
        <v>55182.626665222306</v>
      </c>
      <c r="J55" s="174">
        <f>IF(AND(J$54&gt;=$D$31,J$54&lt;=($D$31+$D$32)),-PMT(0.05,$D$32,$D$30)*'Fuel Price Worksheet'!J23,0)</f>
        <v>53889.283852756147</v>
      </c>
      <c r="K55" s="174">
        <f>IF(AND(K$54&gt;=$D$31,K$54&lt;=($D$31+$D$32)),-PMT(0.05,$D$32,$D$30)*'Fuel Price Worksheet'!K23,0)</f>
        <v>52626.253762457171</v>
      </c>
      <c r="L55" s="174">
        <f>IF(AND(L$54&gt;=$D$31,L$54&lt;=($D$31+$D$32)),-PMT(0.05,$D$32,$D$30)*'Fuel Price Worksheet'!L23,0)</f>
        <v>51392.825939899616</v>
      </c>
      <c r="M55" s="174">
        <f>IF(AND(M$54&gt;=$D$31,M$54&lt;=($D$31+$D$32)),-PMT(0.05,$D$32,$D$30)*'Fuel Price Worksheet'!M23,0)</f>
        <v>50188.306581933291</v>
      </c>
      <c r="N55" s="174">
        <f>IF(AND(N$54&gt;=$D$31,N$54&lt;=($D$31+$D$32)),-PMT(0.05,$D$32,$D$30)*'Fuel Price Worksheet'!N23,0)</f>
        <v>49012.018146419345</v>
      </c>
      <c r="O55" s="174">
        <f>IF(AND(O$54&gt;=$D$31,O$54&lt;=($D$31+$D$32)),-PMT(0.05,$D$32,$D$30)*'Fuel Price Worksheet'!O23,0)</f>
        <v>47863.298971112796</v>
      </c>
      <c r="P55" s="174">
        <f>IF(AND(P$54&gt;=$D$31,P$54&lt;=($D$31+$D$32)),-PMT(0.05,$D$32,$D$30)*'Fuel Price Worksheet'!P23,0)</f>
        <v>46741.502901477535</v>
      </c>
      <c r="Q55" s="174">
        <f>IF(AND(Q$54&gt;=$D$31,Q$54&lt;=($D$31+$D$32)),-PMT(0.05,$D$32,$D$30)*'Fuel Price Worksheet'!Q23,0)</f>
        <v>45645.998927224377</v>
      </c>
      <c r="R55" s="174">
        <f>IF(AND(R$54&gt;=$D$31,R$54&lt;=($D$31+$D$32)),-PMT(0.05,$D$32,$D$30)*'Fuel Price Worksheet'!R23,0)</f>
        <v>44576.170827367816</v>
      </c>
      <c r="S55" s="174">
        <f>IF(AND(S$54&gt;=$D$31,S$54&lt;=($D$31+$D$32)),-PMT(0.05,$D$32,$D$30)*'Fuel Price Worksheet'!S23,0)</f>
        <v>43531.41682360167</v>
      </c>
      <c r="T55" s="174">
        <f>IF(AND(T$54&gt;=$D$31,T$54&lt;=($D$31+$D$32)),-PMT(0.05,$D$32,$D$30)*'Fuel Price Worksheet'!T23,0)</f>
        <v>42511.149241798834</v>
      </c>
      <c r="U55" s="174">
        <f>IF(AND(U$54&gt;=$D$31,U$54&lt;=($D$31+$D$32)),-PMT(0.05,$D$32,$D$30)*'Fuel Price Worksheet'!U23,0)</f>
        <v>41514.794181444515</v>
      </c>
      <c r="V55" s="174">
        <f>IF(AND(V$54&gt;=$D$31,V$54&lt;=($D$31+$D$32)),-PMT(0.05,$D$32,$D$30)*'Fuel Price Worksheet'!V23,0)</f>
        <v>40541.791192817291</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603027.42080600327</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829">
        <f>F75</f>
        <v>0</v>
      </c>
      <c r="G57" s="829">
        <f t="shared" ref="G57:BH57" si="2">G75</f>
        <v>0</v>
      </c>
      <c r="H57" s="829">
        <f t="shared" si="2"/>
        <v>0</v>
      </c>
      <c r="I57" s="829">
        <f t="shared" si="2"/>
        <v>0</v>
      </c>
      <c r="J57" s="829">
        <f t="shared" si="2"/>
        <v>0</v>
      </c>
      <c r="K57" s="829">
        <f t="shared" si="2"/>
        <v>0</v>
      </c>
      <c r="L57" s="829">
        <f t="shared" si="2"/>
        <v>0</v>
      </c>
      <c r="M57" s="829">
        <f t="shared" si="2"/>
        <v>0</v>
      </c>
      <c r="N57" s="829">
        <f t="shared" si="2"/>
        <v>0</v>
      </c>
      <c r="O57" s="829">
        <f t="shared" si="2"/>
        <v>0</v>
      </c>
      <c r="P57" s="829">
        <f t="shared" si="2"/>
        <v>0</v>
      </c>
      <c r="Q57" s="829">
        <f t="shared" si="2"/>
        <v>0</v>
      </c>
      <c r="R57" s="829">
        <f t="shared" si="2"/>
        <v>0</v>
      </c>
      <c r="S57" s="829">
        <f t="shared" si="2"/>
        <v>0</v>
      </c>
      <c r="T57" s="829">
        <f t="shared" si="2"/>
        <v>0</v>
      </c>
      <c r="U57" s="829">
        <f t="shared" si="2"/>
        <v>0</v>
      </c>
      <c r="V57" s="829">
        <f t="shared" si="2"/>
        <v>0</v>
      </c>
      <c r="W57" s="829">
        <f t="shared" si="2"/>
        <v>0</v>
      </c>
      <c r="X57" s="829">
        <f t="shared" si="2"/>
        <v>0</v>
      </c>
      <c r="Y57" s="829">
        <f t="shared" si="2"/>
        <v>0</v>
      </c>
      <c r="Z57" s="829">
        <f t="shared" si="2"/>
        <v>0</v>
      </c>
      <c r="AA57" s="829">
        <f t="shared" si="2"/>
        <v>0</v>
      </c>
      <c r="AB57" s="829">
        <f t="shared" si="2"/>
        <v>0</v>
      </c>
      <c r="AC57" s="829">
        <f t="shared" si="2"/>
        <v>0</v>
      </c>
      <c r="AD57" s="829">
        <f t="shared" si="2"/>
        <v>0</v>
      </c>
      <c r="AE57" s="829">
        <f t="shared" si="2"/>
        <v>0</v>
      </c>
      <c r="AF57" s="829">
        <f t="shared" si="2"/>
        <v>0</v>
      </c>
      <c r="AG57" s="829">
        <f t="shared" si="2"/>
        <v>0</v>
      </c>
      <c r="AH57" s="829">
        <f t="shared" si="2"/>
        <v>0</v>
      </c>
      <c r="AI57" s="829">
        <f t="shared" si="2"/>
        <v>0</v>
      </c>
      <c r="AJ57" s="829">
        <f t="shared" si="2"/>
        <v>0</v>
      </c>
      <c r="AK57" s="829">
        <f t="shared" si="2"/>
        <v>0</v>
      </c>
      <c r="AL57" s="829">
        <f t="shared" si="2"/>
        <v>0</v>
      </c>
      <c r="AM57" s="829">
        <f t="shared" si="2"/>
        <v>0</v>
      </c>
      <c r="AN57" s="829">
        <f t="shared" si="2"/>
        <v>0</v>
      </c>
      <c r="AO57" s="829">
        <f t="shared" si="2"/>
        <v>0</v>
      </c>
      <c r="AP57" s="829">
        <f t="shared" si="2"/>
        <v>0</v>
      </c>
      <c r="AQ57" s="829">
        <f t="shared" si="2"/>
        <v>0</v>
      </c>
      <c r="AR57" s="829">
        <f t="shared" si="2"/>
        <v>0</v>
      </c>
      <c r="AS57" s="829">
        <f t="shared" si="2"/>
        <v>0</v>
      </c>
      <c r="AT57" s="829">
        <f t="shared" si="2"/>
        <v>0</v>
      </c>
      <c r="AU57" s="829">
        <f t="shared" si="2"/>
        <v>0</v>
      </c>
      <c r="AV57" s="829">
        <f t="shared" si="2"/>
        <v>0</v>
      </c>
      <c r="AW57" s="829">
        <f t="shared" si="2"/>
        <v>0</v>
      </c>
      <c r="AX57" s="829">
        <f t="shared" si="2"/>
        <v>0</v>
      </c>
      <c r="AY57" s="829">
        <f t="shared" si="2"/>
        <v>0</v>
      </c>
      <c r="AZ57" s="829">
        <f t="shared" si="2"/>
        <v>0</v>
      </c>
      <c r="BA57" s="829">
        <f t="shared" si="2"/>
        <v>0</v>
      </c>
      <c r="BB57" s="829">
        <f t="shared" si="2"/>
        <v>0</v>
      </c>
      <c r="BC57" s="829">
        <f t="shared" si="2"/>
        <v>0</v>
      </c>
      <c r="BD57" s="829">
        <f t="shared" si="2"/>
        <v>0</v>
      </c>
      <c r="BE57" s="829">
        <f t="shared" si="2"/>
        <v>0</v>
      </c>
      <c r="BF57" s="829">
        <f t="shared" si="2"/>
        <v>0</v>
      </c>
      <c r="BG57" s="829">
        <f t="shared" si="2"/>
        <v>0</v>
      </c>
      <c r="BH57" s="829">
        <f t="shared" si="2"/>
        <v>0</v>
      </c>
      <c r="BI57" s="175">
        <f>NPV($D$49,F57:BH57)</f>
        <v>0</v>
      </c>
      <c r="BJ57" s="121"/>
      <c r="BK57" s="121"/>
      <c r="BL57" s="121"/>
      <c r="BM57" s="121"/>
      <c r="BN57" s="121"/>
      <c r="BO57" s="121"/>
    </row>
    <row r="58" spans="2:67" ht="12.75">
      <c r="C58" s="177"/>
      <c r="D58" s="136" t="s">
        <v>626</v>
      </c>
      <c r="E58" s="121" t="s">
        <v>264</v>
      </c>
      <c r="F58" s="178">
        <f>F107-F91</f>
        <v>0</v>
      </c>
      <c r="G58" s="178">
        <f t="shared" ref="G58:AL58" si="3">IF(AND(G$54&gt;=$D$31,G$54&lt;=($D$31+$D$32)),G107)</f>
        <v>74348.973699118156</v>
      </c>
      <c r="H58" s="178">
        <f t="shared" si="3"/>
        <v>79985.891088839708</v>
      </c>
      <c r="I58" s="178">
        <f t="shared" si="3"/>
        <v>81968.309232095722</v>
      </c>
      <c r="J58" s="178">
        <f t="shared" si="3"/>
        <v>82113.303354067</v>
      </c>
      <c r="K58" s="178">
        <f t="shared" si="3"/>
        <v>82788.717972536891</v>
      </c>
      <c r="L58" s="178">
        <f t="shared" si="3"/>
        <v>83467.655722820462</v>
      </c>
      <c r="M58" s="178">
        <f t="shared" si="3"/>
        <v>84387.645611991757</v>
      </c>
      <c r="N58" s="178">
        <f t="shared" si="3"/>
        <v>85373.822106099775</v>
      </c>
      <c r="O58" s="178">
        <f t="shared" si="3"/>
        <v>86395.226168769965</v>
      </c>
      <c r="P58" s="178">
        <f t="shared" si="3"/>
        <v>87438.288376128185</v>
      </c>
      <c r="Q58" s="178">
        <f t="shared" si="3"/>
        <v>88486.244738959445</v>
      </c>
      <c r="R58" s="178">
        <f t="shared" si="3"/>
        <v>89602.645469971525</v>
      </c>
      <c r="S58" s="178">
        <f t="shared" si="3"/>
        <v>90746.352110796666</v>
      </c>
      <c r="T58" s="178">
        <f t="shared" si="3"/>
        <v>91918.044940634019</v>
      </c>
      <c r="U58" s="178">
        <f t="shared" si="3"/>
        <v>93118.417435924988</v>
      </c>
      <c r="V58" s="178">
        <f t="shared" si="3"/>
        <v>94348.178024234716</v>
      </c>
      <c r="W58" s="178" t="b">
        <f t="shared" si="3"/>
        <v>0</v>
      </c>
      <c r="X58" s="178" t="b">
        <f t="shared" si="3"/>
        <v>0</v>
      </c>
      <c r="Y58" s="178" t="b">
        <f t="shared" si="3"/>
        <v>0</v>
      </c>
      <c r="Z58" s="178" t="b">
        <f t="shared" si="3"/>
        <v>0</v>
      </c>
      <c r="AA58" s="178" t="b">
        <f t="shared" si="3"/>
        <v>0</v>
      </c>
      <c r="AB58" s="178" t="b">
        <f t="shared" si="3"/>
        <v>0</v>
      </c>
      <c r="AC58" s="178" t="b">
        <f t="shared" si="3"/>
        <v>0</v>
      </c>
      <c r="AD58" s="178" t="b">
        <f t="shared" si="3"/>
        <v>0</v>
      </c>
      <c r="AE58" s="178" t="b">
        <f t="shared" si="3"/>
        <v>0</v>
      </c>
      <c r="AF58" s="178" t="b">
        <f t="shared" si="3"/>
        <v>0</v>
      </c>
      <c r="AG58" s="178" t="b">
        <f t="shared" si="3"/>
        <v>0</v>
      </c>
      <c r="AH58" s="178" t="b">
        <f t="shared" si="3"/>
        <v>0</v>
      </c>
      <c r="AI58" s="178" t="b">
        <f t="shared" si="3"/>
        <v>0</v>
      </c>
      <c r="AJ58" s="178" t="b">
        <f t="shared" si="3"/>
        <v>0</v>
      </c>
      <c r="AK58" s="178" t="b">
        <f t="shared" si="3"/>
        <v>0</v>
      </c>
      <c r="AL58" s="178" t="b">
        <f t="shared" si="3"/>
        <v>0</v>
      </c>
      <c r="AM58" s="178" t="b">
        <f t="shared" ref="AM58:BH58" si="4">IF(AND(AM$54&gt;=$D$31,AM$54&lt;=($D$31+$D$32)),AM107)</f>
        <v>0</v>
      </c>
      <c r="AN58" s="178" t="b">
        <f t="shared" si="4"/>
        <v>0</v>
      </c>
      <c r="AO58" s="178" t="b">
        <f t="shared" si="4"/>
        <v>0</v>
      </c>
      <c r="AP58" s="178" t="b">
        <f t="shared" si="4"/>
        <v>0</v>
      </c>
      <c r="AQ58" s="178" t="b">
        <f t="shared" si="4"/>
        <v>0</v>
      </c>
      <c r="AR58" s="178" t="b">
        <f t="shared" si="4"/>
        <v>0</v>
      </c>
      <c r="AS58" s="178" t="b">
        <f t="shared" si="4"/>
        <v>0</v>
      </c>
      <c r="AT58" s="178" t="b">
        <f t="shared" si="4"/>
        <v>0</v>
      </c>
      <c r="AU58" s="178" t="b">
        <f t="shared" si="4"/>
        <v>0</v>
      </c>
      <c r="AV58" s="178" t="b">
        <f t="shared" si="4"/>
        <v>0</v>
      </c>
      <c r="AW58" s="178" t="b">
        <f t="shared" si="4"/>
        <v>0</v>
      </c>
      <c r="AX58" s="178" t="b">
        <f t="shared" si="4"/>
        <v>0</v>
      </c>
      <c r="AY58" s="178" t="b">
        <f t="shared" si="4"/>
        <v>0</v>
      </c>
      <c r="AZ58" s="178" t="b">
        <f t="shared" si="4"/>
        <v>0</v>
      </c>
      <c r="BA58" s="178" t="b">
        <f t="shared" si="4"/>
        <v>0</v>
      </c>
      <c r="BB58" s="178" t="b">
        <f t="shared" si="4"/>
        <v>0</v>
      </c>
      <c r="BC58" s="178" t="b">
        <f t="shared" si="4"/>
        <v>0</v>
      </c>
      <c r="BD58" s="178" t="b">
        <f t="shared" si="4"/>
        <v>0</v>
      </c>
      <c r="BE58" s="178" t="b">
        <f t="shared" si="4"/>
        <v>0</v>
      </c>
      <c r="BF58" s="178" t="b">
        <f t="shared" si="4"/>
        <v>0</v>
      </c>
      <c r="BG58" s="178" t="b">
        <f t="shared" si="4"/>
        <v>0</v>
      </c>
      <c r="BH58" s="178" t="b">
        <f t="shared" si="4"/>
        <v>0</v>
      </c>
      <c r="BI58" s="175">
        <f>NPV($D$49,F58:BH58)</f>
        <v>1040822.4984333834</v>
      </c>
      <c r="BJ58" s="121"/>
      <c r="BK58" s="121"/>
      <c r="BL58" s="121"/>
      <c r="BM58" s="121"/>
      <c r="BN58" s="121"/>
      <c r="BO58" s="121"/>
    </row>
    <row r="59" spans="2:67" ht="12.75">
      <c r="C59" s="177"/>
      <c r="D59" s="179" t="s">
        <v>627</v>
      </c>
      <c r="E59" s="180" t="s">
        <v>264</v>
      </c>
      <c r="F59" s="178">
        <f>F57+F58</f>
        <v>0</v>
      </c>
      <c r="G59" s="178">
        <f>IF(AND(G$54&gt;=$D$31,G$54&lt;=($D$31+$D$32)),G57+G58,0)</f>
        <v>74348.973699118156</v>
      </c>
      <c r="H59" s="178">
        <f t="shared" ref="H59:BH59" si="5">IF(AND(H$54&gt;=$D$31,H$54&lt;=($D$31+$D$32)),H57+H58,0)</f>
        <v>79985.891088839708</v>
      </c>
      <c r="I59" s="178">
        <f t="shared" si="5"/>
        <v>81968.309232095722</v>
      </c>
      <c r="J59" s="178">
        <f t="shared" si="5"/>
        <v>82113.303354067</v>
      </c>
      <c r="K59" s="178">
        <f t="shared" si="5"/>
        <v>82788.717972536891</v>
      </c>
      <c r="L59" s="178">
        <f t="shared" si="5"/>
        <v>83467.655722820462</v>
      </c>
      <c r="M59" s="178">
        <f t="shared" si="5"/>
        <v>84387.645611991757</v>
      </c>
      <c r="N59" s="178">
        <f t="shared" si="5"/>
        <v>85373.822106099775</v>
      </c>
      <c r="O59" s="178">
        <f t="shared" si="5"/>
        <v>86395.226168769965</v>
      </c>
      <c r="P59" s="178">
        <f t="shared" si="5"/>
        <v>87438.288376128185</v>
      </c>
      <c r="Q59" s="178">
        <f t="shared" si="5"/>
        <v>88486.244738959445</v>
      </c>
      <c r="R59" s="178">
        <f t="shared" si="5"/>
        <v>89602.645469971525</v>
      </c>
      <c r="S59" s="178">
        <f t="shared" si="5"/>
        <v>90746.352110796666</v>
      </c>
      <c r="T59" s="178">
        <f t="shared" si="5"/>
        <v>91918.044940634019</v>
      </c>
      <c r="U59" s="178">
        <f t="shared" si="5"/>
        <v>93118.417435924988</v>
      </c>
      <c r="V59" s="178">
        <f t="shared" si="5"/>
        <v>94348.178024234716</v>
      </c>
      <c r="W59" s="178">
        <f t="shared" si="5"/>
        <v>0</v>
      </c>
      <c r="X59" s="178">
        <f t="shared" si="5"/>
        <v>0</v>
      </c>
      <c r="Y59" s="178">
        <f t="shared" si="5"/>
        <v>0</v>
      </c>
      <c r="Z59" s="178">
        <f t="shared" si="5"/>
        <v>0</v>
      </c>
      <c r="AA59" s="178">
        <f t="shared" si="5"/>
        <v>0</v>
      </c>
      <c r="AB59" s="178">
        <f t="shared" si="5"/>
        <v>0</v>
      </c>
      <c r="AC59" s="178">
        <f t="shared" si="5"/>
        <v>0</v>
      </c>
      <c r="AD59" s="178">
        <f t="shared" si="5"/>
        <v>0</v>
      </c>
      <c r="AE59" s="178">
        <f t="shared" si="5"/>
        <v>0</v>
      </c>
      <c r="AF59" s="178">
        <f t="shared" si="5"/>
        <v>0</v>
      </c>
      <c r="AG59" s="178">
        <f t="shared" si="5"/>
        <v>0</v>
      </c>
      <c r="AH59" s="178">
        <f t="shared" si="5"/>
        <v>0</v>
      </c>
      <c r="AI59" s="178">
        <f t="shared" si="5"/>
        <v>0</v>
      </c>
      <c r="AJ59" s="178">
        <f t="shared" si="5"/>
        <v>0</v>
      </c>
      <c r="AK59" s="178">
        <f t="shared" si="5"/>
        <v>0</v>
      </c>
      <c r="AL59" s="178">
        <f t="shared" si="5"/>
        <v>0</v>
      </c>
      <c r="AM59" s="178">
        <f t="shared" si="5"/>
        <v>0</v>
      </c>
      <c r="AN59" s="178">
        <f t="shared" si="5"/>
        <v>0</v>
      </c>
      <c r="AO59" s="178">
        <f t="shared" si="5"/>
        <v>0</v>
      </c>
      <c r="AP59" s="178">
        <f t="shared" si="5"/>
        <v>0</v>
      </c>
      <c r="AQ59" s="178">
        <f t="shared" si="5"/>
        <v>0</v>
      </c>
      <c r="AR59" s="178">
        <f t="shared" si="5"/>
        <v>0</v>
      </c>
      <c r="AS59" s="178">
        <f t="shared" si="5"/>
        <v>0</v>
      </c>
      <c r="AT59" s="178">
        <f t="shared" si="5"/>
        <v>0</v>
      </c>
      <c r="AU59" s="178">
        <f t="shared" si="5"/>
        <v>0</v>
      </c>
      <c r="AV59" s="178">
        <f t="shared" si="5"/>
        <v>0</v>
      </c>
      <c r="AW59" s="178">
        <f t="shared" si="5"/>
        <v>0</v>
      </c>
      <c r="AX59" s="178">
        <f t="shared" si="5"/>
        <v>0</v>
      </c>
      <c r="AY59" s="178">
        <f t="shared" si="5"/>
        <v>0</v>
      </c>
      <c r="AZ59" s="178">
        <f t="shared" si="5"/>
        <v>0</v>
      </c>
      <c r="BA59" s="178">
        <f t="shared" si="5"/>
        <v>0</v>
      </c>
      <c r="BB59" s="178">
        <f t="shared" si="5"/>
        <v>0</v>
      </c>
      <c r="BC59" s="178">
        <f t="shared" si="5"/>
        <v>0</v>
      </c>
      <c r="BD59" s="178">
        <f t="shared" si="5"/>
        <v>0</v>
      </c>
      <c r="BE59" s="178">
        <f t="shared" si="5"/>
        <v>0</v>
      </c>
      <c r="BF59" s="178">
        <f t="shared" si="5"/>
        <v>0</v>
      </c>
      <c r="BG59" s="178">
        <f t="shared" si="5"/>
        <v>0</v>
      </c>
      <c r="BH59" s="178">
        <f t="shared" si="5"/>
        <v>0</v>
      </c>
      <c r="BI59" s="175">
        <f>NPV($D$49,F59:BH59)</f>
        <v>1040822.4984333834</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6">F59-F55</f>
        <v>0</v>
      </c>
      <c r="G62" s="185">
        <f t="shared" si="6"/>
        <v>16485.795761006004</v>
      </c>
      <c r="H62" s="185">
        <f t="shared" si="6"/>
        <v>23478.881383652057</v>
      </c>
      <c r="I62" s="185">
        <f t="shared" si="6"/>
        <v>26785.682566873416</v>
      </c>
      <c r="J62" s="185">
        <f t="shared" si="6"/>
        <v>28224.019501310853</v>
      </c>
      <c r="K62" s="185">
        <f t="shared" si="6"/>
        <v>30162.464210079721</v>
      </c>
      <c r="L62" s="185">
        <f t="shared" si="6"/>
        <v>32074.829782920846</v>
      </c>
      <c r="M62" s="185">
        <f t="shared" si="6"/>
        <v>34199.339030058465</v>
      </c>
      <c r="N62" s="185">
        <f t="shared" si="6"/>
        <v>36361.80395968043</v>
      </c>
      <c r="O62" s="185">
        <f t="shared" si="6"/>
        <v>38531.927197657169</v>
      </c>
      <c r="P62" s="185">
        <f t="shared" si="6"/>
        <v>40696.785474650649</v>
      </c>
      <c r="Q62" s="185">
        <f t="shared" si="6"/>
        <v>42840.245811735069</v>
      </c>
      <c r="R62" s="185">
        <f t="shared" si="6"/>
        <v>45026.474642603709</v>
      </c>
      <c r="S62" s="696">
        <f t="shared" si="6"/>
        <v>47214.935287194996</v>
      </c>
      <c r="T62" s="696">
        <f t="shared" si="6"/>
        <v>49406.895698835186</v>
      </c>
      <c r="U62" s="696">
        <f t="shared" si="6"/>
        <v>51603.623254480473</v>
      </c>
      <c r="V62" s="696">
        <f t="shared" si="6"/>
        <v>53806.386831417425</v>
      </c>
      <c r="W62" s="696">
        <f t="shared" si="6"/>
        <v>0</v>
      </c>
      <c r="X62" s="696">
        <f t="shared" si="6"/>
        <v>0</v>
      </c>
      <c r="Y62" s="696">
        <f t="shared" si="6"/>
        <v>0</v>
      </c>
      <c r="Z62" s="696">
        <f t="shared" si="6"/>
        <v>0</v>
      </c>
      <c r="AA62" s="696">
        <f t="shared" si="6"/>
        <v>0</v>
      </c>
      <c r="AB62" s="696">
        <f t="shared" si="6"/>
        <v>0</v>
      </c>
      <c r="AC62" s="696">
        <f t="shared" si="6"/>
        <v>0</v>
      </c>
      <c r="AD62" s="696">
        <f t="shared" si="6"/>
        <v>0</v>
      </c>
      <c r="AE62" s="696">
        <f t="shared" si="6"/>
        <v>0</v>
      </c>
      <c r="AF62" s="696">
        <f t="shared" si="6"/>
        <v>0</v>
      </c>
      <c r="AG62" s="696">
        <f t="shared" si="6"/>
        <v>0</v>
      </c>
      <c r="AH62" s="696">
        <f t="shared" si="6"/>
        <v>0</v>
      </c>
      <c r="AI62" s="696">
        <f t="shared" si="6"/>
        <v>0</v>
      </c>
      <c r="AJ62" s="696">
        <f t="shared" si="6"/>
        <v>0</v>
      </c>
      <c r="AK62" s="696">
        <f t="shared" si="6"/>
        <v>0</v>
      </c>
      <c r="AL62" s="696">
        <f t="shared" si="6"/>
        <v>0</v>
      </c>
      <c r="AM62" s="696">
        <f t="shared" si="6"/>
        <v>0</v>
      </c>
      <c r="AN62" s="696">
        <f t="shared" si="6"/>
        <v>0</v>
      </c>
      <c r="AO62" s="696">
        <f t="shared" si="6"/>
        <v>0</v>
      </c>
      <c r="AP62" s="696">
        <f t="shared" si="6"/>
        <v>0</v>
      </c>
      <c r="AQ62" s="696">
        <f t="shared" si="6"/>
        <v>0</v>
      </c>
      <c r="AR62" s="696">
        <f t="shared" si="6"/>
        <v>0</v>
      </c>
      <c r="AS62" s="696">
        <f t="shared" si="6"/>
        <v>0</v>
      </c>
      <c r="AT62" s="696">
        <f t="shared" si="6"/>
        <v>0</v>
      </c>
      <c r="AU62" s="696">
        <f t="shared" si="6"/>
        <v>0</v>
      </c>
      <c r="AV62" s="696">
        <f t="shared" si="6"/>
        <v>0</v>
      </c>
      <c r="AW62" s="696">
        <f t="shared" si="6"/>
        <v>0</v>
      </c>
      <c r="AX62" s="696">
        <f t="shared" si="6"/>
        <v>0</v>
      </c>
      <c r="AY62" s="696">
        <f t="shared" si="6"/>
        <v>0</v>
      </c>
      <c r="AZ62" s="696">
        <f t="shared" si="6"/>
        <v>0</v>
      </c>
      <c r="BA62" s="696">
        <f t="shared" si="6"/>
        <v>0</v>
      </c>
      <c r="BB62" s="696">
        <f t="shared" si="6"/>
        <v>0</v>
      </c>
      <c r="BC62" s="696">
        <f t="shared" si="6"/>
        <v>0</v>
      </c>
      <c r="BD62" s="696">
        <f t="shared" si="6"/>
        <v>0</v>
      </c>
      <c r="BE62" s="696">
        <f t="shared" si="6"/>
        <v>0</v>
      </c>
      <c r="BF62" s="696">
        <f t="shared" si="6"/>
        <v>0</v>
      </c>
      <c r="BG62" s="696">
        <f t="shared" si="6"/>
        <v>0</v>
      </c>
      <c r="BH62" s="696">
        <f t="shared" si="6"/>
        <v>0</v>
      </c>
      <c r="BI62" s="175">
        <f>NPV($D$49,F62:BH62)</f>
        <v>437795.07762738009</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7">F65+1</f>
        <v>2015</v>
      </c>
      <c r="H65" s="171">
        <f t="shared" si="7"/>
        <v>2016</v>
      </c>
      <c r="I65" s="171">
        <f t="shared" si="7"/>
        <v>2017</v>
      </c>
      <c r="J65" s="171">
        <f t="shared" si="7"/>
        <v>2018</v>
      </c>
      <c r="K65" s="171">
        <f t="shared" si="7"/>
        <v>2019</v>
      </c>
      <c r="L65" s="171">
        <f t="shared" si="7"/>
        <v>2020</v>
      </c>
      <c r="M65" s="171">
        <f t="shared" si="7"/>
        <v>2021</v>
      </c>
      <c r="N65" s="171">
        <f t="shared" si="7"/>
        <v>2022</v>
      </c>
      <c r="O65" s="171">
        <f t="shared" si="7"/>
        <v>2023</v>
      </c>
      <c r="P65" s="171">
        <f t="shared" si="7"/>
        <v>2024</v>
      </c>
      <c r="Q65" s="171">
        <f t="shared" si="7"/>
        <v>2025</v>
      </c>
      <c r="R65" s="171">
        <f t="shared" si="7"/>
        <v>2026</v>
      </c>
      <c r="S65" s="306">
        <f>R65+1</f>
        <v>2027</v>
      </c>
      <c r="T65" s="306">
        <f>S65+1</f>
        <v>2028</v>
      </c>
      <c r="U65" s="306">
        <f>T65+1</f>
        <v>2029</v>
      </c>
      <c r="V65" s="306">
        <f t="shared" si="7"/>
        <v>2030</v>
      </c>
      <c r="W65" s="306">
        <f t="shared" si="7"/>
        <v>2031</v>
      </c>
      <c r="X65" s="306">
        <f t="shared" si="7"/>
        <v>2032</v>
      </c>
      <c r="Y65" s="306">
        <f t="shared" si="7"/>
        <v>2033</v>
      </c>
      <c r="Z65" s="306">
        <f t="shared" si="7"/>
        <v>2034</v>
      </c>
      <c r="AA65" s="306">
        <f t="shared" si="7"/>
        <v>2035</v>
      </c>
      <c r="AB65" s="306">
        <f t="shared" si="7"/>
        <v>2036</v>
      </c>
      <c r="AC65" s="306">
        <f t="shared" si="7"/>
        <v>2037</v>
      </c>
      <c r="AD65" s="306">
        <f t="shared" si="7"/>
        <v>2038</v>
      </c>
      <c r="AE65" s="306">
        <f t="shared" si="7"/>
        <v>2039</v>
      </c>
      <c r="AF65" s="306">
        <f t="shared" si="7"/>
        <v>2040</v>
      </c>
      <c r="AG65" s="306">
        <f t="shared" si="7"/>
        <v>2041</v>
      </c>
      <c r="AH65" s="306">
        <f t="shared" si="7"/>
        <v>2042</v>
      </c>
      <c r="AI65" s="306">
        <f t="shared" si="7"/>
        <v>2043</v>
      </c>
      <c r="AJ65" s="306">
        <f t="shared" si="7"/>
        <v>2044</v>
      </c>
      <c r="AK65" s="306">
        <f t="shared" si="7"/>
        <v>2045</v>
      </c>
      <c r="AL65" s="306">
        <f t="shared" si="7"/>
        <v>2046</v>
      </c>
      <c r="AM65" s="306">
        <f t="shared" si="7"/>
        <v>2047</v>
      </c>
      <c r="AN65" s="306">
        <f t="shared" si="7"/>
        <v>2048</v>
      </c>
      <c r="AO65" s="306">
        <f t="shared" si="7"/>
        <v>2049</v>
      </c>
      <c r="AP65" s="306">
        <f t="shared" si="7"/>
        <v>2050</v>
      </c>
      <c r="AQ65" s="306">
        <f t="shared" si="7"/>
        <v>2051</v>
      </c>
      <c r="AR65" s="306">
        <f t="shared" si="7"/>
        <v>2052</v>
      </c>
      <c r="AS65" s="306">
        <f t="shared" si="7"/>
        <v>2053</v>
      </c>
      <c r="AT65" s="306">
        <f t="shared" si="7"/>
        <v>2054</v>
      </c>
      <c r="AU65" s="306">
        <f t="shared" si="7"/>
        <v>2055</v>
      </c>
      <c r="AV65" s="306">
        <f t="shared" si="7"/>
        <v>2056</v>
      </c>
      <c r="AW65" s="306">
        <f t="shared" si="7"/>
        <v>2057</v>
      </c>
      <c r="AX65" s="306">
        <f t="shared" si="7"/>
        <v>2058</v>
      </c>
      <c r="AY65" s="306">
        <f t="shared" si="7"/>
        <v>2059</v>
      </c>
      <c r="AZ65" s="306">
        <f t="shared" si="7"/>
        <v>2060</v>
      </c>
      <c r="BA65" s="306">
        <f t="shared" si="7"/>
        <v>2061</v>
      </c>
      <c r="BB65" s="306">
        <f t="shared" si="7"/>
        <v>2062</v>
      </c>
      <c r="BC65" s="306">
        <f t="shared" si="7"/>
        <v>2063</v>
      </c>
      <c r="BD65" s="306">
        <f t="shared" si="7"/>
        <v>2064</v>
      </c>
      <c r="BE65" s="306">
        <f t="shared" si="7"/>
        <v>2065</v>
      </c>
      <c r="BF65" s="306">
        <f t="shared" si="7"/>
        <v>2066</v>
      </c>
      <c r="BG65" s="306">
        <f t="shared" si="7"/>
        <v>2067</v>
      </c>
      <c r="BH65" s="306">
        <f t="shared" si="7"/>
        <v>2068</v>
      </c>
      <c r="BI65" s="695" t="s">
        <v>4</v>
      </c>
      <c r="BJ65" s="121"/>
      <c r="BK65" s="121"/>
      <c r="BL65" s="121"/>
      <c r="BM65" s="121"/>
      <c r="BN65" s="121"/>
      <c r="BO65" s="121"/>
    </row>
    <row r="66" spans="2:67" ht="12.75">
      <c r="C66" s="2005" t="s">
        <v>284</v>
      </c>
      <c r="D66" s="2006"/>
      <c r="E66" s="200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21" t="s">
        <v>879</v>
      </c>
      <c r="E67" s="121" t="s">
        <v>1306</v>
      </c>
      <c r="F67" s="189">
        <f>IF(AND(F65+1&gt;$D$31,F65&lt;$D$31+$D$32),$D$33,0)</f>
        <v>0</v>
      </c>
      <c r="G67" s="189">
        <f>IF(AND(G65&gt;=$D$31,G65&lt;$D$31+$D$32),$D$33,0)</f>
        <v>0</v>
      </c>
      <c r="H67" s="189">
        <f t="shared" ref="H67:BH67" si="8">IF(AND(H65&gt;=$D$31,H65&lt;$D$31+$D$32),$D$33,0)</f>
        <v>0</v>
      </c>
      <c r="I67" s="189">
        <f t="shared" si="8"/>
        <v>0</v>
      </c>
      <c r="J67" s="189">
        <f t="shared" si="8"/>
        <v>0</v>
      </c>
      <c r="K67" s="189">
        <f t="shared" si="8"/>
        <v>0</v>
      </c>
      <c r="L67" s="189">
        <f t="shared" si="8"/>
        <v>0</v>
      </c>
      <c r="M67" s="189">
        <f t="shared" si="8"/>
        <v>0</v>
      </c>
      <c r="N67" s="189">
        <f t="shared" si="8"/>
        <v>0</v>
      </c>
      <c r="O67" s="189">
        <f t="shared" si="8"/>
        <v>0</v>
      </c>
      <c r="P67" s="189">
        <f t="shared" si="8"/>
        <v>0</v>
      </c>
      <c r="Q67" s="189">
        <f t="shared" si="8"/>
        <v>0</v>
      </c>
      <c r="R67" s="189">
        <f t="shared" si="8"/>
        <v>0</v>
      </c>
      <c r="S67" s="189">
        <f t="shared" si="8"/>
        <v>0</v>
      </c>
      <c r="T67" s="189">
        <f t="shared" si="8"/>
        <v>0</v>
      </c>
      <c r="U67" s="189">
        <f t="shared" si="8"/>
        <v>0</v>
      </c>
      <c r="V67" s="189">
        <f t="shared" si="8"/>
        <v>0</v>
      </c>
      <c r="W67" s="189">
        <f t="shared" si="8"/>
        <v>0</v>
      </c>
      <c r="X67" s="189">
        <f t="shared" si="8"/>
        <v>0</v>
      </c>
      <c r="Y67" s="189">
        <f t="shared" si="8"/>
        <v>0</v>
      </c>
      <c r="Z67" s="189">
        <f t="shared" si="8"/>
        <v>0</v>
      </c>
      <c r="AA67" s="189">
        <f t="shared" si="8"/>
        <v>0</v>
      </c>
      <c r="AB67" s="189">
        <f t="shared" si="8"/>
        <v>0</v>
      </c>
      <c r="AC67" s="189">
        <f t="shared" si="8"/>
        <v>0</v>
      </c>
      <c r="AD67" s="189">
        <f t="shared" si="8"/>
        <v>0</v>
      </c>
      <c r="AE67" s="189">
        <f t="shared" si="8"/>
        <v>0</v>
      </c>
      <c r="AF67" s="189">
        <f t="shared" si="8"/>
        <v>0</v>
      </c>
      <c r="AG67" s="189">
        <f t="shared" si="8"/>
        <v>0</v>
      </c>
      <c r="AH67" s="189">
        <f t="shared" si="8"/>
        <v>0</v>
      </c>
      <c r="AI67" s="189">
        <f t="shared" si="8"/>
        <v>0</v>
      </c>
      <c r="AJ67" s="189">
        <f t="shared" si="8"/>
        <v>0</v>
      </c>
      <c r="AK67" s="189">
        <f t="shared" si="8"/>
        <v>0</v>
      </c>
      <c r="AL67" s="189">
        <f t="shared" si="8"/>
        <v>0</v>
      </c>
      <c r="AM67" s="189">
        <f t="shared" si="8"/>
        <v>0</v>
      </c>
      <c r="AN67" s="189">
        <f t="shared" si="8"/>
        <v>0</v>
      </c>
      <c r="AO67" s="189">
        <f t="shared" si="8"/>
        <v>0</v>
      </c>
      <c r="AP67" s="189">
        <f t="shared" si="8"/>
        <v>0</v>
      </c>
      <c r="AQ67" s="189">
        <f t="shared" si="8"/>
        <v>0</v>
      </c>
      <c r="AR67" s="189">
        <f t="shared" si="8"/>
        <v>0</v>
      </c>
      <c r="AS67" s="189">
        <f t="shared" si="8"/>
        <v>0</v>
      </c>
      <c r="AT67" s="189">
        <f t="shared" si="8"/>
        <v>0</v>
      </c>
      <c r="AU67" s="189">
        <f t="shared" si="8"/>
        <v>0</v>
      </c>
      <c r="AV67" s="189">
        <f t="shared" si="8"/>
        <v>0</v>
      </c>
      <c r="AW67" s="189">
        <f t="shared" si="8"/>
        <v>0</v>
      </c>
      <c r="AX67" s="189">
        <f t="shared" si="8"/>
        <v>0</v>
      </c>
      <c r="AY67" s="189">
        <f t="shared" si="8"/>
        <v>0</v>
      </c>
      <c r="AZ67" s="189">
        <f t="shared" si="8"/>
        <v>0</v>
      </c>
      <c r="BA67" s="189">
        <f t="shared" si="8"/>
        <v>0</v>
      </c>
      <c r="BB67" s="189">
        <f t="shared" si="8"/>
        <v>0</v>
      </c>
      <c r="BC67" s="189">
        <f t="shared" si="8"/>
        <v>0</v>
      </c>
      <c r="BD67" s="189">
        <f t="shared" si="8"/>
        <v>0</v>
      </c>
      <c r="BE67" s="189">
        <f t="shared" si="8"/>
        <v>0</v>
      </c>
      <c r="BF67" s="189">
        <f t="shared" si="8"/>
        <v>0</v>
      </c>
      <c r="BG67" s="189">
        <f t="shared" si="8"/>
        <v>0</v>
      </c>
      <c r="BH67" s="189">
        <f t="shared" si="8"/>
        <v>0</v>
      </c>
      <c r="BI67" s="188"/>
      <c r="BJ67" s="121"/>
      <c r="BK67" s="121"/>
      <c r="BL67" s="121"/>
      <c r="BM67" s="121"/>
      <c r="BN67" s="121"/>
      <c r="BO67" s="121"/>
    </row>
    <row r="68" spans="2:67" ht="12.75">
      <c r="C68" s="172"/>
      <c r="D68" s="121" t="s">
        <v>564</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67" s="192" customFormat="1" ht="12.75">
      <c r="B70" s="193"/>
      <c r="C70" s="177"/>
      <c r="D70" s="180" t="s">
        <v>371</v>
      </c>
      <c r="E70" s="180" t="s">
        <v>264</v>
      </c>
      <c r="F70" s="194">
        <f t="shared" ref="F70:AA70" si="9">F68+F69</f>
        <v>0</v>
      </c>
      <c r="G70" s="194">
        <f>IF(AND(G$54&gt;=$D$31,G$54&lt;+($D$31+$D$32)),G68+G69,0)</f>
        <v>0</v>
      </c>
      <c r="H70" s="194">
        <f t="shared" si="9"/>
        <v>0</v>
      </c>
      <c r="I70" s="194">
        <f t="shared" si="9"/>
        <v>0</v>
      </c>
      <c r="J70" s="194">
        <f t="shared" si="9"/>
        <v>0</v>
      </c>
      <c r="K70" s="194">
        <f t="shared" si="9"/>
        <v>0</v>
      </c>
      <c r="L70" s="194">
        <f t="shared" si="9"/>
        <v>0</v>
      </c>
      <c r="M70" s="194">
        <f t="shared" si="9"/>
        <v>0</v>
      </c>
      <c r="N70" s="194">
        <f t="shared" si="9"/>
        <v>0</v>
      </c>
      <c r="O70" s="194">
        <f t="shared" si="9"/>
        <v>0</v>
      </c>
      <c r="P70" s="194">
        <f t="shared" si="9"/>
        <v>0</v>
      </c>
      <c r="Q70" s="194">
        <f t="shared" si="9"/>
        <v>0</v>
      </c>
      <c r="R70" s="194">
        <f t="shared" si="9"/>
        <v>0</v>
      </c>
      <c r="S70" s="194">
        <f t="shared" si="9"/>
        <v>0</v>
      </c>
      <c r="T70" s="194">
        <f t="shared" si="9"/>
        <v>0</v>
      </c>
      <c r="U70" s="194">
        <f t="shared" si="9"/>
        <v>0</v>
      </c>
      <c r="V70" s="194">
        <f t="shared" si="9"/>
        <v>0</v>
      </c>
      <c r="W70" s="194">
        <f t="shared" si="9"/>
        <v>0</v>
      </c>
      <c r="X70" s="194">
        <f t="shared" si="9"/>
        <v>0</v>
      </c>
      <c r="Y70" s="194">
        <f t="shared" si="9"/>
        <v>0</v>
      </c>
      <c r="Z70" s="194">
        <f t="shared" si="9"/>
        <v>0</v>
      </c>
      <c r="AA70" s="194">
        <f t="shared" si="9"/>
        <v>0</v>
      </c>
      <c r="AB70" s="194">
        <f t="shared" ref="AB70:BH70" si="10">AB68+AB69</f>
        <v>0</v>
      </c>
      <c r="AC70" s="194">
        <f t="shared" si="10"/>
        <v>0</v>
      </c>
      <c r="AD70" s="194">
        <f t="shared" si="10"/>
        <v>0</v>
      </c>
      <c r="AE70" s="194">
        <f t="shared" si="10"/>
        <v>0</v>
      </c>
      <c r="AF70" s="194">
        <f t="shared" si="10"/>
        <v>0</v>
      </c>
      <c r="AG70" s="194">
        <f t="shared" si="10"/>
        <v>0</v>
      </c>
      <c r="AH70" s="194">
        <f t="shared" si="10"/>
        <v>0</v>
      </c>
      <c r="AI70" s="194">
        <f t="shared" si="10"/>
        <v>0</v>
      </c>
      <c r="AJ70" s="194">
        <f t="shared" si="10"/>
        <v>0</v>
      </c>
      <c r="AK70" s="194">
        <f t="shared" si="10"/>
        <v>0</v>
      </c>
      <c r="AL70" s="194">
        <f t="shared" si="10"/>
        <v>0</v>
      </c>
      <c r="AM70" s="194">
        <f t="shared" si="10"/>
        <v>0</v>
      </c>
      <c r="AN70" s="194">
        <f t="shared" si="10"/>
        <v>0</v>
      </c>
      <c r="AO70" s="194">
        <f t="shared" si="10"/>
        <v>0</v>
      </c>
      <c r="AP70" s="194">
        <f t="shared" si="10"/>
        <v>0</v>
      </c>
      <c r="AQ70" s="194">
        <f t="shared" si="10"/>
        <v>0</v>
      </c>
      <c r="AR70" s="194">
        <f t="shared" si="10"/>
        <v>0</v>
      </c>
      <c r="AS70" s="194">
        <f t="shared" si="10"/>
        <v>0</v>
      </c>
      <c r="AT70" s="194">
        <f t="shared" si="10"/>
        <v>0</v>
      </c>
      <c r="AU70" s="194">
        <f t="shared" si="10"/>
        <v>0</v>
      </c>
      <c r="AV70" s="194">
        <f t="shared" si="10"/>
        <v>0</v>
      </c>
      <c r="AW70" s="194">
        <f t="shared" si="10"/>
        <v>0</v>
      </c>
      <c r="AX70" s="194">
        <f t="shared" si="10"/>
        <v>0</v>
      </c>
      <c r="AY70" s="194">
        <f t="shared" si="10"/>
        <v>0</v>
      </c>
      <c r="AZ70" s="194">
        <f t="shared" si="10"/>
        <v>0</v>
      </c>
      <c r="BA70" s="194">
        <f t="shared" si="10"/>
        <v>0</v>
      </c>
      <c r="BB70" s="194">
        <f t="shared" si="10"/>
        <v>0</v>
      </c>
      <c r="BC70" s="194">
        <f t="shared" si="10"/>
        <v>0</v>
      </c>
      <c r="BD70" s="194">
        <f t="shared" si="10"/>
        <v>0</v>
      </c>
      <c r="BE70" s="194">
        <f t="shared" si="10"/>
        <v>0</v>
      </c>
      <c r="BF70" s="194">
        <f t="shared" si="10"/>
        <v>0</v>
      </c>
      <c r="BG70" s="194">
        <f t="shared" si="10"/>
        <v>0</v>
      </c>
      <c r="BH70" s="194">
        <f t="shared" si="10"/>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2005" t="s">
        <v>285</v>
      </c>
      <c r="D72" s="2006"/>
      <c r="E72" s="2006"/>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1158</v>
      </c>
      <c r="E73" s="121" t="s">
        <v>266</v>
      </c>
      <c r="F73" s="189">
        <f>IF(AND(F$54&gt;=$D$31,F$54&lt;+($D$31+$D$32)),0,0)</f>
        <v>0</v>
      </c>
      <c r="G73" s="189">
        <f t="shared" ref="G73:BH73" si="11">IF(AND(G$54&gt;=$D$31,G$54&lt;+($D$31+$D$32)),0,0)</f>
        <v>0</v>
      </c>
      <c r="H73" s="189">
        <f t="shared" si="11"/>
        <v>0</v>
      </c>
      <c r="I73" s="189">
        <f t="shared" si="11"/>
        <v>0</v>
      </c>
      <c r="J73" s="189">
        <f t="shared" si="11"/>
        <v>0</v>
      </c>
      <c r="K73" s="189">
        <f t="shared" si="11"/>
        <v>0</v>
      </c>
      <c r="L73" s="189">
        <f t="shared" si="11"/>
        <v>0</v>
      </c>
      <c r="M73" s="189">
        <f t="shared" si="11"/>
        <v>0</v>
      </c>
      <c r="N73" s="189">
        <f t="shared" si="11"/>
        <v>0</v>
      </c>
      <c r="O73" s="189">
        <f t="shared" si="11"/>
        <v>0</v>
      </c>
      <c r="P73" s="189">
        <f t="shared" si="11"/>
        <v>0</v>
      </c>
      <c r="Q73" s="189">
        <f t="shared" si="11"/>
        <v>0</v>
      </c>
      <c r="R73" s="189">
        <f t="shared" si="11"/>
        <v>0</v>
      </c>
      <c r="S73" s="189">
        <f t="shared" si="11"/>
        <v>0</v>
      </c>
      <c r="T73" s="189">
        <f t="shared" si="11"/>
        <v>0</v>
      </c>
      <c r="U73" s="189">
        <f t="shared" si="11"/>
        <v>0</v>
      </c>
      <c r="V73" s="189">
        <f t="shared" si="11"/>
        <v>0</v>
      </c>
      <c r="W73" s="189">
        <f t="shared" si="11"/>
        <v>0</v>
      </c>
      <c r="X73" s="189">
        <f t="shared" si="11"/>
        <v>0</v>
      </c>
      <c r="Y73" s="189">
        <f t="shared" si="11"/>
        <v>0</v>
      </c>
      <c r="Z73" s="189">
        <f t="shared" si="11"/>
        <v>0</v>
      </c>
      <c r="AA73" s="189">
        <f t="shared" si="11"/>
        <v>0</v>
      </c>
      <c r="AB73" s="189">
        <f t="shared" si="11"/>
        <v>0</v>
      </c>
      <c r="AC73" s="189">
        <f t="shared" si="11"/>
        <v>0</v>
      </c>
      <c r="AD73" s="189">
        <f t="shared" si="11"/>
        <v>0</v>
      </c>
      <c r="AE73" s="189">
        <f t="shared" si="11"/>
        <v>0</v>
      </c>
      <c r="AF73" s="189">
        <f t="shared" si="11"/>
        <v>0</v>
      </c>
      <c r="AG73" s="189">
        <f t="shared" si="11"/>
        <v>0</v>
      </c>
      <c r="AH73" s="189">
        <f t="shared" si="11"/>
        <v>0</v>
      </c>
      <c r="AI73" s="189">
        <f t="shared" si="11"/>
        <v>0</v>
      </c>
      <c r="AJ73" s="189">
        <f t="shared" si="11"/>
        <v>0</v>
      </c>
      <c r="AK73" s="189">
        <f t="shared" si="11"/>
        <v>0</v>
      </c>
      <c r="AL73" s="189">
        <f t="shared" si="11"/>
        <v>0</v>
      </c>
      <c r="AM73" s="189">
        <f t="shared" si="11"/>
        <v>0</v>
      </c>
      <c r="AN73" s="189">
        <f t="shared" si="11"/>
        <v>0</v>
      </c>
      <c r="AO73" s="189">
        <f t="shared" si="11"/>
        <v>0</v>
      </c>
      <c r="AP73" s="189">
        <f t="shared" si="11"/>
        <v>0</v>
      </c>
      <c r="AQ73" s="189">
        <f t="shared" si="11"/>
        <v>0</v>
      </c>
      <c r="AR73" s="189">
        <f t="shared" si="11"/>
        <v>0</v>
      </c>
      <c r="AS73" s="189">
        <f t="shared" si="11"/>
        <v>0</v>
      </c>
      <c r="AT73" s="189">
        <f t="shared" si="11"/>
        <v>0</v>
      </c>
      <c r="AU73" s="189">
        <f t="shared" si="11"/>
        <v>0</v>
      </c>
      <c r="AV73" s="189">
        <f t="shared" si="11"/>
        <v>0</v>
      </c>
      <c r="AW73" s="189">
        <f t="shared" si="11"/>
        <v>0</v>
      </c>
      <c r="AX73" s="189">
        <f t="shared" si="11"/>
        <v>0</v>
      </c>
      <c r="AY73" s="189">
        <f t="shared" si="11"/>
        <v>0</v>
      </c>
      <c r="AZ73" s="189">
        <f t="shared" si="11"/>
        <v>0</v>
      </c>
      <c r="BA73" s="189">
        <f t="shared" si="11"/>
        <v>0</v>
      </c>
      <c r="BB73" s="189">
        <f t="shared" si="11"/>
        <v>0</v>
      </c>
      <c r="BC73" s="189">
        <f t="shared" si="11"/>
        <v>0</v>
      </c>
      <c r="BD73" s="189">
        <f t="shared" si="11"/>
        <v>0</v>
      </c>
      <c r="BE73" s="189">
        <f t="shared" si="11"/>
        <v>0</v>
      </c>
      <c r="BF73" s="189">
        <f t="shared" si="11"/>
        <v>0</v>
      </c>
      <c r="BG73" s="189">
        <f t="shared" si="11"/>
        <v>0</v>
      </c>
      <c r="BH73" s="189">
        <f t="shared" si="11"/>
        <v>0</v>
      </c>
      <c r="BI73" s="188"/>
      <c r="BJ73" s="121"/>
      <c r="BK73" s="121"/>
      <c r="BL73" s="121"/>
      <c r="BM73" s="121"/>
      <c r="BN73" s="121"/>
      <c r="BO73" s="121"/>
    </row>
    <row r="74" spans="2:67" s="121" customFormat="1" ht="12.75">
      <c r="B74" s="138"/>
      <c r="C74" s="177"/>
      <c r="D74" s="121" t="s">
        <v>878</v>
      </c>
      <c r="E74" s="121" t="s">
        <v>672</v>
      </c>
      <c r="F74" s="187"/>
      <c r="G74" s="187">
        <f>'Community data'!$L$16</f>
        <v>0.83</v>
      </c>
      <c r="H74" s="187">
        <f>'Community data'!$L$16</f>
        <v>0.83</v>
      </c>
      <c r="I74" s="187">
        <f>'Community data'!$L$16</f>
        <v>0.83</v>
      </c>
      <c r="J74" s="187">
        <f>'Community data'!$L$16</f>
        <v>0.83</v>
      </c>
      <c r="K74" s="187">
        <f>'Community data'!$L$16</f>
        <v>0.83</v>
      </c>
      <c r="L74" s="187">
        <f>'Community data'!$L$16</f>
        <v>0.83</v>
      </c>
      <c r="M74" s="187">
        <f>'Community data'!$L$16</f>
        <v>0.83</v>
      </c>
      <c r="N74" s="187">
        <f>'Community data'!$L$16</f>
        <v>0.83</v>
      </c>
      <c r="O74" s="187">
        <f>'Community data'!$L$16</f>
        <v>0.83</v>
      </c>
      <c r="P74" s="187">
        <f>'Community data'!$L$16</f>
        <v>0.83</v>
      </c>
      <c r="Q74" s="187">
        <f>'Community data'!$L$16</f>
        <v>0.83</v>
      </c>
      <c r="R74" s="187">
        <f>'Community data'!$L$16</f>
        <v>0.83</v>
      </c>
      <c r="S74" s="187">
        <f>'Community data'!$L$16</f>
        <v>0.83</v>
      </c>
      <c r="T74" s="187">
        <f>'Community data'!$L$16</f>
        <v>0.83</v>
      </c>
      <c r="U74" s="187">
        <f>'Community data'!$L$16</f>
        <v>0.83</v>
      </c>
      <c r="V74" s="187">
        <f>'Community data'!$L$16</f>
        <v>0.83</v>
      </c>
      <c r="W74" s="187">
        <f>'Community data'!$L$16</f>
        <v>0.83</v>
      </c>
      <c r="X74" s="187">
        <f>'Community data'!$L$16</f>
        <v>0.83</v>
      </c>
      <c r="Y74" s="187">
        <f>'Community data'!$L$16</f>
        <v>0.83</v>
      </c>
      <c r="Z74" s="187">
        <f>'Community data'!$L$16</f>
        <v>0.83</v>
      </c>
      <c r="AA74" s="187">
        <f>'Community data'!$L$16</f>
        <v>0.83</v>
      </c>
      <c r="AB74" s="187">
        <f>'Community data'!$L$16</f>
        <v>0.83</v>
      </c>
      <c r="AC74" s="187">
        <f>'Community data'!$L$16</f>
        <v>0.83</v>
      </c>
      <c r="AD74" s="187">
        <f>'Community data'!$L$16</f>
        <v>0.83</v>
      </c>
      <c r="AE74" s="187">
        <f>'Community data'!$L$16</f>
        <v>0.83</v>
      </c>
      <c r="AF74" s="187">
        <f>'Community data'!$L$16</f>
        <v>0.83</v>
      </c>
      <c r="AG74" s="187">
        <f>'Community data'!$L$16</f>
        <v>0.83</v>
      </c>
      <c r="AH74" s="187">
        <f>'Community data'!$L$16</f>
        <v>0.83</v>
      </c>
      <c r="AI74" s="187">
        <f>'Community data'!$L$16</f>
        <v>0.83</v>
      </c>
      <c r="AJ74" s="187">
        <f>'Community data'!$L$16</f>
        <v>0.83</v>
      </c>
      <c r="AK74" s="187">
        <f>'Community data'!$L$16</f>
        <v>0.83</v>
      </c>
      <c r="AL74" s="187">
        <f>'Community data'!$L$16</f>
        <v>0.83</v>
      </c>
      <c r="AM74" s="187">
        <f>'Community data'!$L$16</f>
        <v>0.83</v>
      </c>
      <c r="AN74" s="187">
        <f>'Community data'!$L$16</f>
        <v>0.83</v>
      </c>
      <c r="AO74" s="187">
        <f>'Community data'!$L$16</f>
        <v>0.83</v>
      </c>
      <c r="AP74" s="187">
        <f>'Community data'!$L$16</f>
        <v>0.83</v>
      </c>
      <c r="AQ74" s="187">
        <f>'Community data'!$L$16</f>
        <v>0.83</v>
      </c>
      <c r="AR74" s="187">
        <f>'Community data'!$L$16</f>
        <v>0.83</v>
      </c>
      <c r="AS74" s="187">
        <f>'Community data'!$L$16</f>
        <v>0.83</v>
      </c>
      <c r="AT74" s="187">
        <f>'Community data'!$L$16</f>
        <v>0.83</v>
      </c>
      <c r="AU74" s="187">
        <f>'Community data'!$L$16</f>
        <v>0.83</v>
      </c>
      <c r="AV74" s="187">
        <f>'Community data'!$L$16</f>
        <v>0.83</v>
      </c>
      <c r="AW74" s="187">
        <f>'Community data'!$L$16</f>
        <v>0.83</v>
      </c>
      <c r="AX74" s="187">
        <f>'Community data'!$L$16</f>
        <v>0.83</v>
      </c>
      <c r="AY74" s="187">
        <f>'Community data'!$L$16</f>
        <v>0.83</v>
      </c>
      <c r="AZ74" s="187">
        <f>'Community data'!$L$16</f>
        <v>0.83</v>
      </c>
      <c r="BA74" s="187">
        <f>'Community data'!$L$16</f>
        <v>0.83</v>
      </c>
      <c r="BB74" s="187">
        <f>'Community data'!$L$16</f>
        <v>0.83</v>
      </c>
      <c r="BC74" s="187">
        <f>'Community data'!$L$16</f>
        <v>0.83</v>
      </c>
      <c r="BD74" s="187">
        <f>'Community data'!$L$16</f>
        <v>0.83</v>
      </c>
      <c r="BE74" s="187">
        <f>'Community data'!$L$16</f>
        <v>0.83</v>
      </c>
      <c r="BF74" s="187">
        <f>'Community data'!$L$16</f>
        <v>0.83</v>
      </c>
      <c r="BG74" s="187">
        <f>'Community data'!$L$16</f>
        <v>0.83</v>
      </c>
      <c r="BH74" s="187">
        <f>'Community data'!$L$16</f>
        <v>0.83</v>
      </c>
      <c r="BI74" s="175"/>
    </row>
    <row r="75" spans="2:67" s="192" customFormat="1" ht="12.75">
      <c r="B75" s="193"/>
      <c r="C75" s="182"/>
      <c r="D75" s="184" t="s">
        <v>1165</v>
      </c>
      <c r="E75" s="184" t="s">
        <v>264</v>
      </c>
      <c r="F75" s="197"/>
      <c r="G75" s="197">
        <f>G74*G73</f>
        <v>0</v>
      </c>
      <c r="H75" s="197">
        <f>(H73-H67)*H74</f>
        <v>0</v>
      </c>
      <c r="I75" s="197">
        <f t="shared" ref="I75:BH75" si="12">(I73-I67)*I74</f>
        <v>0</v>
      </c>
      <c r="J75" s="197">
        <f t="shared" si="12"/>
        <v>0</v>
      </c>
      <c r="K75" s="197">
        <f t="shared" si="12"/>
        <v>0</v>
      </c>
      <c r="L75" s="197">
        <f t="shared" si="12"/>
        <v>0</v>
      </c>
      <c r="M75" s="197">
        <f t="shared" si="12"/>
        <v>0</v>
      </c>
      <c r="N75" s="197">
        <f t="shared" si="12"/>
        <v>0</v>
      </c>
      <c r="O75" s="197">
        <f t="shared" si="12"/>
        <v>0</v>
      </c>
      <c r="P75" s="197">
        <f t="shared" si="12"/>
        <v>0</v>
      </c>
      <c r="Q75" s="197">
        <f t="shared" si="12"/>
        <v>0</v>
      </c>
      <c r="R75" s="197">
        <f t="shared" si="12"/>
        <v>0</v>
      </c>
      <c r="S75" s="197">
        <f t="shared" si="12"/>
        <v>0</v>
      </c>
      <c r="T75" s="197">
        <f t="shared" si="12"/>
        <v>0</v>
      </c>
      <c r="U75" s="197">
        <f t="shared" si="12"/>
        <v>0</v>
      </c>
      <c r="V75" s="197">
        <f t="shared" si="12"/>
        <v>0</v>
      </c>
      <c r="W75" s="197">
        <f t="shared" si="12"/>
        <v>0</v>
      </c>
      <c r="X75" s="197">
        <f t="shared" si="12"/>
        <v>0</v>
      </c>
      <c r="Y75" s="197">
        <f t="shared" si="12"/>
        <v>0</v>
      </c>
      <c r="Z75" s="197">
        <f t="shared" si="12"/>
        <v>0</v>
      </c>
      <c r="AA75" s="197">
        <f t="shared" si="12"/>
        <v>0</v>
      </c>
      <c r="AB75" s="197">
        <f t="shared" si="12"/>
        <v>0</v>
      </c>
      <c r="AC75" s="197">
        <f t="shared" si="12"/>
        <v>0</v>
      </c>
      <c r="AD75" s="197">
        <f t="shared" si="12"/>
        <v>0</v>
      </c>
      <c r="AE75" s="197">
        <f t="shared" si="12"/>
        <v>0</v>
      </c>
      <c r="AF75" s="197">
        <f t="shared" si="12"/>
        <v>0</v>
      </c>
      <c r="AG75" s="197">
        <f t="shared" si="12"/>
        <v>0</v>
      </c>
      <c r="AH75" s="197">
        <f t="shared" si="12"/>
        <v>0</v>
      </c>
      <c r="AI75" s="197">
        <f t="shared" si="12"/>
        <v>0</v>
      </c>
      <c r="AJ75" s="197">
        <f t="shared" si="12"/>
        <v>0</v>
      </c>
      <c r="AK75" s="197">
        <f t="shared" si="12"/>
        <v>0</v>
      </c>
      <c r="AL75" s="197">
        <f t="shared" si="12"/>
        <v>0</v>
      </c>
      <c r="AM75" s="197">
        <f t="shared" si="12"/>
        <v>0</v>
      </c>
      <c r="AN75" s="197">
        <f t="shared" si="12"/>
        <v>0</v>
      </c>
      <c r="AO75" s="197">
        <f t="shared" si="12"/>
        <v>0</v>
      </c>
      <c r="AP75" s="197">
        <f t="shared" si="12"/>
        <v>0</v>
      </c>
      <c r="AQ75" s="197">
        <f t="shared" si="12"/>
        <v>0</v>
      </c>
      <c r="AR75" s="197">
        <f t="shared" si="12"/>
        <v>0</v>
      </c>
      <c r="AS75" s="197">
        <f t="shared" si="12"/>
        <v>0</v>
      </c>
      <c r="AT75" s="197">
        <f t="shared" si="12"/>
        <v>0</v>
      </c>
      <c r="AU75" s="197">
        <f t="shared" si="12"/>
        <v>0</v>
      </c>
      <c r="AV75" s="197">
        <f t="shared" si="12"/>
        <v>0</v>
      </c>
      <c r="AW75" s="197">
        <f t="shared" si="12"/>
        <v>0</v>
      </c>
      <c r="AX75" s="197">
        <f t="shared" si="12"/>
        <v>0</v>
      </c>
      <c r="AY75" s="197">
        <f t="shared" si="12"/>
        <v>0</v>
      </c>
      <c r="AZ75" s="197">
        <f t="shared" si="12"/>
        <v>0</v>
      </c>
      <c r="BA75" s="197">
        <f t="shared" si="12"/>
        <v>0</v>
      </c>
      <c r="BB75" s="197">
        <f t="shared" si="12"/>
        <v>0</v>
      </c>
      <c r="BC75" s="197">
        <f t="shared" si="12"/>
        <v>0</v>
      </c>
      <c r="BD75" s="197">
        <f t="shared" si="12"/>
        <v>0</v>
      </c>
      <c r="BE75" s="197">
        <f t="shared" si="12"/>
        <v>0</v>
      </c>
      <c r="BF75" s="197">
        <f t="shared" si="12"/>
        <v>0</v>
      </c>
      <c r="BG75" s="197">
        <f t="shared" si="12"/>
        <v>0</v>
      </c>
      <c r="BH75" s="197">
        <f t="shared" si="12"/>
        <v>0</v>
      </c>
      <c r="BI75" s="175">
        <f>NPV($D$49,F75:BH75)</f>
        <v>0</v>
      </c>
      <c r="BJ75" s="180"/>
      <c r="BK75" s="180"/>
      <c r="BL75" s="180"/>
      <c r="BM75" s="180"/>
      <c r="BN75" s="180"/>
      <c r="BO75" s="180"/>
    </row>
    <row r="76" spans="2:67"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67"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67"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67" ht="12.75">
      <c r="C79" s="168" t="s">
        <v>2083</v>
      </c>
      <c r="D79" s="198"/>
      <c r="E79" s="170" t="s">
        <v>263</v>
      </c>
      <c r="F79" s="199">
        <v>2014</v>
      </c>
      <c r="G79" s="199">
        <f t="shared" ref="G79:BH79" si="13">F79+1</f>
        <v>2015</v>
      </c>
      <c r="H79" s="199">
        <f t="shared" si="13"/>
        <v>2016</v>
      </c>
      <c r="I79" s="199">
        <f t="shared" si="13"/>
        <v>2017</v>
      </c>
      <c r="J79" s="199">
        <f t="shared" si="13"/>
        <v>2018</v>
      </c>
      <c r="K79" s="199">
        <f t="shared" si="13"/>
        <v>2019</v>
      </c>
      <c r="L79" s="199">
        <f t="shared" si="13"/>
        <v>2020</v>
      </c>
      <c r="M79" s="199">
        <f t="shared" si="13"/>
        <v>2021</v>
      </c>
      <c r="N79" s="199">
        <f t="shared" si="13"/>
        <v>2022</v>
      </c>
      <c r="O79" s="199">
        <f t="shared" si="13"/>
        <v>2023</v>
      </c>
      <c r="P79" s="199">
        <f t="shared" si="13"/>
        <v>2024</v>
      </c>
      <c r="Q79" s="199">
        <f t="shared" si="13"/>
        <v>2025</v>
      </c>
      <c r="R79" s="199">
        <f t="shared" si="13"/>
        <v>2026</v>
      </c>
      <c r="S79" s="691">
        <f t="shared" si="13"/>
        <v>2027</v>
      </c>
      <c r="T79" s="691">
        <f t="shared" si="13"/>
        <v>2028</v>
      </c>
      <c r="U79" s="691">
        <f t="shared" si="13"/>
        <v>2029</v>
      </c>
      <c r="V79" s="691">
        <f t="shared" si="13"/>
        <v>2030</v>
      </c>
      <c r="W79" s="691">
        <f t="shared" si="13"/>
        <v>2031</v>
      </c>
      <c r="X79" s="691">
        <f t="shared" si="13"/>
        <v>2032</v>
      </c>
      <c r="Y79" s="691">
        <f t="shared" si="13"/>
        <v>2033</v>
      </c>
      <c r="Z79" s="691">
        <f t="shared" si="13"/>
        <v>2034</v>
      </c>
      <c r="AA79" s="691">
        <f t="shared" si="13"/>
        <v>2035</v>
      </c>
      <c r="AB79" s="691">
        <f t="shared" si="13"/>
        <v>2036</v>
      </c>
      <c r="AC79" s="691">
        <f t="shared" si="13"/>
        <v>2037</v>
      </c>
      <c r="AD79" s="691">
        <f t="shared" si="13"/>
        <v>2038</v>
      </c>
      <c r="AE79" s="691">
        <f t="shared" si="13"/>
        <v>2039</v>
      </c>
      <c r="AF79" s="691">
        <f t="shared" si="13"/>
        <v>2040</v>
      </c>
      <c r="AG79" s="691">
        <f t="shared" si="13"/>
        <v>2041</v>
      </c>
      <c r="AH79" s="691">
        <f t="shared" si="13"/>
        <v>2042</v>
      </c>
      <c r="AI79" s="691">
        <f t="shared" si="13"/>
        <v>2043</v>
      </c>
      <c r="AJ79" s="691">
        <f t="shared" si="13"/>
        <v>2044</v>
      </c>
      <c r="AK79" s="691">
        <f t="shared" si="13"/>
        <v>2045</v>
      </c>
      <c r="AL79" s="691">
        <f t="shared" si="13"/>
        <v>2046</v>
      </c>
      <c r="AM79" s="691">
        <f t="shared" si="13"/>
        <v>2047</v>
      </c>
      <c r="AN79" s="691">
        <f t="shared" si="13"/>
        <v>2048</v>
      </c>
      <c r="AO79" s="691">
        <f t="shared" si="13"/>
        <v>2049</v>
      </c>
      <c r="AP79" s="691">
        <f t="shared" si="13"/>
        <v>2050</v>
      </c>
      <c r="AQ79" s="691">
        <f t="shared" si="13"/>
        <v>2051</v>
      </c>
      <c r="AR79" s="691">
        <f t="shared" si="13"/>
        <v>2052</v>
      </c>
      <c r="AS79" s="691">
        <f t="shared" si="13"/>
        <v>2053</v>
      </c>
      <c r="AT79" s="691">
        <f t="shared" si="13"/>
        <v>2054</v>
      </c>
      <c r="AU79" s="691">
        <f t="shared" si="13"/>
        <v>2055</v>
      </c>
      <c r="AV79" s="691">
        <f t="shared" si="13"/>
        <v>2056</v>
      </c>
      <c r="AW79" s="691">
        <f t="shared" si="13"/>
        <v>2057</v>
      </c>
      <c r="AX79" s="691">
        <f t="shared" si="13"/>
        <v>2058</v>
      </c>
      <c r="AY79" s="691">
        <f t="shared" si="13"/>
        <v>2059</v>
      </c>
      <c r="AZ79" s="691">
        <f t="shared" si="13"/>
        <v>2060</v>
      </c>
      <c r="BA79" s="691">
        <f t="shared" si="13"/>
        <v>2061</v>
      </c>
      <c r="BB79" s="691">
        <f t="shared" si="13"/>
        <v>2062</v>
      </c>
      <c r="BC79" s="691">
        <f t="shared" si="13"/>
        <v>2063</v>
      </c>
      <c r="BD79" s="691">
        <f t="shared" si="13"/>
        <v>2064</v>
      </c>
      <c r="BE79" s="691">
        <f t="shared" si="13"/>
        <v>2065</v>
      </c>
      <c r="BF79" s="691">
        <f t="shared" si="13"/>
        <v>2066</v>
      </c>
      <c r="BG79" s="691">
        <f t="shared" si="13"/>
        <v>2067</v>
      </c>
      <c r="BH79" s="691">
        <f t="shared" si="13"/>
        <v>2068</v>
      </c>
      <c r="BI79" s="697" t="s">
        <v>4</v>
      </c>
      <c r="BJ79" s="121"/>
      <c r="BK79" s="121"/>
      <c r="BL79" s="121"/>
      <c r="BM79" s="121"/>
      <c r="BN79" s="121"/>
      <c r="BO79" s="121"/>
    </row>
    <row r="80" spans="2:67" ht="12.75">
      <c r="C80" s="2005" t="s">
        <v>284</v>
      </c>
      <c r="D80" s="2007"/>
      <c r="E80" s="2007"/>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200"/>
      <c r="BJ80" s="121"/>
      <c r="BK80" s="121"/>
      <c r="BL80" s="121"/>
      <c r="BM80" s="121"/>
      <c r="BN80" s="121"/>
      <c r="BO80" s="121"/>
    </row>
    <row r="81" spans="2:67" ht="12.75">
      <c r="C81" s="201"/>
      <c r="D81" s="121" t="s">
        <v>705</v>
      </c>
      <c r="E81" s="121" t="s">
        <v>706</v>
      </c>
      <c r="F81" s="189">
        <f>IF(AND(F79+1&gt;$D$31,F79&lt;$D$31+$D$32),$D$34,0)</f>
        <v>0</v>
      </c>
      <c r="G81" s="189">
        <f t="shared" ref="G81:AL81" si="14">IF(AND(G79&gt;=$D$31,G79&lt;=$D$31+$D$32),G94-$D$34,0)</f>
        <v>25469.084818585528</v>
      </c>
      <c r="H81" s="189">
        <f t="shared" si="14"/>
        <v>25469.084818585528</v>
      </c>
      <c r="I81" s="189">
        <f t="shared" si="14"/>
        <v>25469.084818585528</v>
      </c>
      <c r="J81" s="189">
        <f t="shared" si="14"/>
        <v>25469.084818585528</v>
      </c>
      <c r="K81" s="189">
        <f t="shared" si="14"/>
        <v>25469.084818585528</v>
      </c>
      <c r="L81" s="189">
        <f t="shared" si="14"/>
        <v>25469.084818585528</v>
      </c>
      <c r="M81" s="189">
        <f t="shared" si="14"/>
        <v>25469.084818585528</v>
      </c>
      <c r="N81" s="189">
        <f t="shared" si="14"/>
        <v>25469.084818585528</v>
      </c>
      <c r="O81" s="189">
        <f t="shared" si="14"/>
        <v>25469.084818585528</v>
      </c>
      <c r="P81" s="189">
        <f t="shared" si="14"/>
        <v>25469.084818585528</v>
      </c>
      <c r="Q81" s="189">
        <f t="shared" si="14"/>
        <v>25469.084818585528</v>
      </c>
      <c r="R81" s="189">
        <f t="shared" si="14"/>
        <v>25469.084818585528</v>
      </c>
      <c r="S81" s="189">
        <f t="shared" si="14"/>
        <v>25469.084818585528</v>
      </c>
      <c r="T81" s="189">
        <f t="shared" si="14"/>
        <v>25469.084818585528</v>
      </c>
      <c r="U81" s="189">
        <f t="shared" si="14"/>
        <v>25469.084818585528</v>
      </c>
      <c r="V81" s="189">
        <f t="shared" si="14"/>
        <v>25469.084818585528</v>
      </c>
      <c r="W81" s="189">
        <f t="shared" si="14"/>
        <v>0</v>
      </c>
      <c r="X81" s="189">
        <f t="shared" si="14"/>
        <v>0</v>
      </c>
      <c r="Y81" s="189">
        <f t="shared" si="14"/>
        <v>0</v>
      </c>
      <c r="Z81" s="189">
        <f t="shared" si="14"/>
        <v>0</v>
      </c>
      <c r="AA81" s="189">
        <f t="shared" si="14"/>
        <v>0</v>
      </c>
      <c r="AB81" s="189">
        <f t="shared" si="14"/>
        <v>0</v>
      </c>
      <c r="AC81" s="189">
        <f t="shared" si="14"/>
        <v>0</v>
      </c>
      <c r="AD81" s="189">
        <f t="shared" si="14"/>
        <v>0</v>
      </c>
      <c r="AE81" s="189">
        <f t="shared" si="14"/>
        <v>0</v>
      </c>
      <c r="AF81" s="189">
        <f t="shared" si="14"/>
        <v>0</v>
      </c>
      <c r="AG81" s="189">
        <f t="shared" si="14"/>
        <v>0</v>
      </c>
      <c r="AH81" s="189">
        <f t="shared" si="14"/>
        <v>0</v>
      </c>
      <c r="AI81" s="189">
        <f t="shared" si="14"/>
        <v>0</v>
      </c>
      <c r="AJ81" s="189">
        <f t="shared" si="14"/>
        <v>0</v>
      </c>
      <c r="AK81" s="189">
        <f t="shared" si="14"/>
        <v>0</v>
      </c>
      <c r="AL81" s="189">
        <f t="shared" si="14"/>
        <v>0</v>
      </c>
      <c r="AM81" s="189">
        <f t="shared" ref="AM81:BH81" si="15">IF(AND(AM79&gt;=$D$31,AM79&lt;=$D$31+$D$32),AM94-$D$34,0)</f>
        <v>0</v>
      </c>
      <c r="AN81" s="189">
        <f t="shared" si="15"/>
        <v>0</v>
      </c>
      <c r="AO81" s="189">
        <f t="shared" si="15"/>
        <v>0</v>
      </c>
      <c r="AP81" s="189">
        <f t="shared" si="15"/>
        <v>0</v>
      </c>
      <c r="AQ81" s="189">
        <f t="shared" si="15"/>
        <v>0</v>
      </c>
      <c r="AR81" s="189">
        <f t="shared" si="15"/>
        <v>0</v>
      </c>
      <c r="AS81" s="189">
        <f t="shared" si="15"/>
        <v>0</v>
      </c>
      <c r="AT81" s="189">
        <f t="shared" si="15"/>
        <v>0</v>
      </c>
      <c r="AU81" s="189">
        <f t="shared" si="15"/>
        <v>0</v>
      </c>
      <c r="AV81" s="189">
        <f t="shared" si="15"/>
        <v>0</v>
      </c>
      <c r="AW81" s="189">
        <f t="shared" si="15"/>
        <v>0</v>
      </c>
      <c r="AX81" s="189">
        <f t="shared" si="15"/>
        <v>0</v>
      </c>
      <c r="AY81" s="189">
        <f t="shared" si="15"/>
        <v>0</v>
      </c>
      <c r="AZ81" s="189">
        <f t="shared" si="15"/>
        <v>0</v>
      </c>
      <c r="BA81" s="189">
        <f t="shared" si="15"/>
        <v>0</v>
      </c>
      <c r="BB81" s="189">
        <f t="shared" si="15"/>
        <v>0</v>
      </c>
      <c r="BC81" s="189">
        <f t="shared" si="15"/>
        <v>0</v>
      </c>
      <c r="BD81" s="189">
        <f t="shared" si="15"/>
        <v>0</v>
      </c>
      <c r="BE81" s="189">
        <f t="shared" si="15"/>
        <v>0</v>
      </c>
      <c r="BF81" s="189">
        <f t="shared" si="15"/>
        <v>0</v>
      </c>
      <c r="BG81" s="189">
        <f t="shared" si="15"/>
        <v>0</v>
      </c>
      <c r="BH81" s="189">
        <f t="shared" si="15"/>
        <v>0</v>
      </c>
      <c r="BI81" s="175"/>
      <c r="BJ81" s="121"/>
      <c r="BK81" s="121"/>
      <c r="BL81" s="121"/>
      <c r="BM81" s="121"/>
      <c r="BN81" s="121"/>
      <c r="BO81" s="121"/>
    </row>
    <row r="82" spans="2:67" ht="12.75">
      <c r="C82" s="201"/>
      <c r="D82" s="121" t="s">
        <v>2016</v>
      </c>
      <c r="E82" s="121" t="s">
        <v>2085</v>
      </c>
      <c r="F82" s="189"/>
      <c r="G82" s="189">
        <f t="shared" ref="G82:AL82" si="16">IF(AND(G79&gt;=$D$31,G79&lt;=$D$31+$D$32),G95-$Q$15,0)</f>
        <v>199.35810814624006</v>
      </c>
      <c r="H82" s="189">
        <f t="shared" si="16"/>
        <v>199.35810814624006</v>
      </c>
      <c r="I82" s="189">
        <f t="shared" si="16"/>
        <v>199.35810814624006</v>
      </c>
      <c r="J82" s="189">
        <f t="shared" si="16"/>
        <v>199.35810814624006</v>
      </c>
      <c r="K82" s="189">
        <f t="shared" si="16"/>
        <v>199.35810814624006</v>
      </c>
      <c r="L82" s="189">
        <f t="shared" si="16"/>
        <v>199.35810814624006</v>
      </c>
      <c r="M82" s="189">
        <f t="shared" si="16"/>
        <v>199.35810814624006</v>
      </c>
      <c r="N82" s="189">
        <f t="shared" si="16"/>
        <v>199.35810814624006</v>
      </c>
      <c r="O82" s="189">
        <f t="shared" si="16"/>
        <v>199.35810814624006</v>
      </c>
      <c r="P82" s="189">
        <f t="shared" si="16"/>
        <v>199.35810814624006</v>
      </c>
      <c r="Q82" s="189">
        <f t="shared" si="16"/>
        <v>199.35810814624006</v>
      </c>
      <c r="R82" s="189">
        <f t="shared" si="16"/>
        <v>199.35810814624006</v>
      </c>
      <c r="S82" s="189">
        <f t="shared" si="16"/>
        <v>199.35810814624006</v>
      </c>
      <c r="T82" s="189">
        <f t="shared" si="16"/>
        <v>199.35810814624006</v>
      </c>
      <c r="U82" s="189">
        <f t="shared" si="16"/>
        <v>199.35810814624006</v>
      </c>
      <c r="V82" s="189">
        <f t="shared" si="16"/>
        <v>199.35810814624006</v>
      </c>
      <c r="W82" s="189">
        <f t="shared" si="16"/>
        <v>0</v>
      </c>
      <c r="X82" s="189">
        <f t="shared" si="16"/>
        <v>0</v>
      </c>
      <c r="Y82" s="189">
        <f t="shared" si="16"/>
        <v>0</v>
      </c>
      <c r="Z82" s="189">
        <f t="shared" si="16"/>
        <v>0</v>
      </c>
      <c r="AA82" s="189">
        <f t="shared" si="16"/>
        <v>0</v>
      </c>
      <c r="AB82" s="189">
        <f t="shared" si="16"/>
        <v>0</v>
      </c>
      <c r="AC82" s="189">
        <f t="shared" si="16"/>
        <v>0</v>
      </c>
      <c r="AD82" s="189">
        <f t="shared" si="16"/>
        <v>0</v>
      </c>
      <c r="AE82" s="189">
        <f t="shared" si="16"/>
        <v>0</v>
      </c>
      <c r="AF82" s="189">
        <f t="shared" si="16"/>
        <v>0</v>
      </c>
      <c r="AG82" s="189">
        <f t="shared" si="16"/>
        <v>0</v>
      </c>
      <c r="AH82" s="189">
        <f t="shared" si="16"/>
        <v>0</v>
      </c>
      <c r="AI82" s="189">
        <f t="shared" si="16"/>
        <v>0</v>
      </c>
      <c r="AJ82" s="189">
        <f t="shared" si="16"/>
        <v>0</v>
      </c>
      <c r="AK82" s="189">
        <f t="shared" si="16"/>
        <v>0</v>
      </c>
      <c r="AL82" s="189">
        <f t="shared" si="16"/>
        <v>0</v>
      </c>
      <c r="AM82" s="189">
        <f t="shared" ref="AM82:BH82" si="17">IF(AND(AM79&gt;=$D$31,AM79&lt;=$D$31+$D$32),AM95-$Q$15,0)</f>
        <v>0</v>
      </c>
      <c r="AN82" s="189">
        <f t="shared" si="17"/>
        <v>0</v>
      </c>
      <c r="AO82" s="189">
        <f t="shared" si="17"/>
        <v>0</v>
      </c>
      <c r="AP82" s="189">
        <f t="shared" si="17"/>
        <v>0</v>
      </c>
      <c r="AQ82" s="189">
        <f t="shared" si="17"/>
        <v>0</v>
      </c>
      <c r="AR82" s="189">
        <f t="shared" si="17"/>
        <v>0</v>
      </c>
      <c r="AS82" s="189">
        <f t="shared" si="17"/>
        <v>0</v>
      </c>
      <c r="AT82" s="189">
        <f t="shared" si="17"/>
        <v>0</v>
      </c>
      <c r="AU82" s="189">
        <f t="shared" si="17"/>
        <v>0</v>
      </c>
      <c r="AV82" s="189">
        <f t="shared" si="17"/>
        <v>0</v>
      </c>
      <c r="AW82" s="189">
        <f t="shared" si="17"/>
        <v>0</v>
      </c>
      <c r="AX82" s="189">
        <f t="shared" si="17"/>
        <v>0</v>
      </c>
      <c r="AY82" s="189">
        <f t="shared" si="17"/>
        <v>0</v>
      </c>
      <c r="AZ82" s="189">
        <f t="shared" si="17"/>
        <v>0</v>
      </c>
      <c r="BA82" s="189">
        <f t="shared" si="17"/>
        <v>0</v>
      </c>
      <c r="BB82" s="189">
        <f t="shared" si="17"/>
        <v>0</v>
      </c>
      <c r="BC82" s="189">
        <f t="shared" si="17"/>
        <v>0</v>
      </c>
      <c r="BD82" s="189">
        <f t="shared" si="17"/>
        <v>0</v>
      </c>
      <c r="BE82" s="189">
        <f t="shared" si="17"/>
        <v>0</v>
      </c>
      <c r="BF82" s="189">
        <f t="shared" si="17"/>
        <v>0</v>
      </c>
      <c r="BG82" s="189">
        <f t="shared" si="17"/>
        <v>0</v>
      </c>
      <c r="BH82" s="189">
        <f t="shared" si="17"/>
        <v>0</v>
      </c>
      <c r="BI82" s="175"/>
      <c r="BJ82" s="121"/>
      <c r="BK82" s="121"/>
      <c r="BL82" s="121"/>
      <c r="BM82" s="121"/>
      <c r="BN82" s="121"/>
      <c r="BO82" s="121"/>
    </row>
    <row r="83" spans="2:67" ht="12.75">
      <c r="C83" s="201"/>
      <c r="D83" s="121" t="s">
        <v>631</v>
      </c>
      <c r="E83" s="121" t="s">
        <v>1306</v>
      </c>
      <c r="F83" s="189"/>
      <c r="G83" s="189">
        <f t="shared" ref="G83:AL83" si="18">IF(AND(G79&gt;=$D$31,G79&lt;=$D$31+$D$32),G96-$R$15,0)</f>
        <v>25936.542321803339</v>
      </c>
      <c r="H83" s="189">
        <f t="shared" si="18"/>
        <v>25936.542321803339</v>
      </c>
      <c r="I83" s="189">
        <f t="shared" si="18"/>
        <v>25936.542321803339</v>
      </c>
      <c r="J83" s="189">
        <f t="shared" si="18"/>
        <v>25936.542321803339</v>
      </c>
      <c r="K83" s="189">
        <f t="shared" si="18"/>
        <v>25936.542321803339</v>
      </c>
      <c r="L83" s="189">
        <f t="shared" si="18"/>
        <v>25936.542321803339</v>
      </c>
      <c r="M83" s="189">
        <f t="shared" si="18"/>
        <v>25936.542321803339</v>
      </c>
      <c r="N83" s="189">
        <f t="shared" si="18"/>
        <v>25936.542321803339</v>
      </c>
      <c r="O83" s="189">
        <f t="shared" si="18"/>
        <v>25936.542321803339</v>
      </c>
      <c r="P83" s="189">
        <f t="shared" si="18"/>
        <v>25936.542321803339</v>
      </c>
      <c r="Q83" s="189">
        <f t="shared" si="18"/>
        <v>25936.542321803339</v>
      </c>
      <c r="R83" s="189">
        <f t="shared" si="18"/>
        <v>25936.542321803339</v>
      </c>
      <c r="S83" s="189">
        <f t="shared" si="18"/>
        <v>25936.542321803339</v>
      </c>
      <c r="T83" s="189">
        <f t="shared" si="18"/>
        <v>25936.542321803339</v>
      </c>
      <c r="U83" s="189">
        <f t="shared" si="18"/>
        <v>25936.542321803339</v>
      </c>
      <c r="V83" s="189">
        <f t="shared" si="18"/>
        <v>25936.542321803339</v>
      </c>
      <c r="W83" s="189">
        <f t="shared" si="18"/>
        <v>0</v>
      </c>
      <c r="X83" s="189">
        <f t="shared" si="18"/>
        <v>0</v>
      </c>
      <c r="Y83" s="189">
        <f t="shared" si="18"/>
        <v>0</v>
      </c>
      <c r="Z83" s="189">
        <f t="shared" si="18"/>
        <v>0</v>
      </c>
      <c r="AA83" s="189">
        <f t="shared" si="18"/>
        <v>0</v>
      </c>
      <c r="AB83" s="189">
        <f t="shared" si="18"/>
        <v>0</v>
      </c>
      <c r="AC83" s="189">
        <f t="shared" si="18"/>
        <v>0</v>
      </c>
      <c r="AD83" s="189">
        <f t="shared" si="18"/>
        <v>0</v>
      </c>
      <c r="AE83" s="189">
        <f t="shared" si="18"/>
        <v>0</v>
      </c>
      <c r="AF83" s="189">
        <f t="shared" si="18"/>
        <v>0</v>
      </c>
      <c r="AG83" s="189">
        <f t="shared" si="18"/>
        <v>0</v>
      </c>
      <c r="AH83" s="189">
        <f t="shared" si="18"/>
        <v>0</v>
      </c>
      <c r="AI83" s="189">
        <f t="shared" si="18"/>
        <v>0</v>
      </c>
      <c r="AJ83" s="189">
        <f t="shared" si="18"/>
        <v>0</v>
      </c>
      <c r="AK83" s="189">
        <f t="shared" si="18"/>
        <v>0</v>
      </c>
      <c r="AL83" s="189">
        <f t="shared" si="18"/>
        <v>0</v>
      </c>
      <c r="AM83" s="189">
        <f t="shared" ref="AM83:BH83" si="19">IF(AND(AM79&gt;=$D$31,AM79&lt;=$D$31+$D$32),AM96-$R$15,0)</f>
        <v>0</v>
      </c>
      <c r="AN83" s="189">
        <f t="shared" si="19"/>
        <v>0</v>
      </c>
      <c r="AO83" s="189">
        <f t="shared" si="19"/>
        <v>0</v>
      </c>
      <c r="AP83" s="189">
        <f t="shared" si="19"/>
        <v>0</v>
      </c>
      <c r="AQ83" s="189">
        <f t="shared" si="19"/>
        <v>0</v>
      </c>
      <c r="AR83" s="189">
        <f t="shared" si="19"/>
        <v>0</v>
      </c>
      <c r="AS83" s="189">
        <f t="shared" si="19"/>
        <v>0</v>
      </c>
      <c r="AT83" s="189">
        <f t="shared" si="19"/>
        <v>0</v>
      </c>
      <c r="AU83" s="189">
        <f t="shared" si="19"/>
        <v>0</v>
      </c>
      <c r="AV83" s="189">
        <f t="shared" si="19"/>
        <v>0</v>
      </c>
      <c r="AW83" s="189">
        <f t="shared" si="19"/>
        <v>0</v>
      </c>
      <c r="AX83" s="189">
        <f t="shared" si="19"/>
        <v>0</v>
      </c>
      <c r="AY83" s="189">
        <f t="shared" si="19"/>
        <v>0</v>
      </c>
      <c r="AZ83" s="189">
        <f t="shared" si="19"/>
        <v>0</v>
      </c>
      <c r="BA83" s="189">
        <f t="shared" si="19"/>
        <v>0</v>
      </c>
      <c r="BB83" s="189">
        <f t="shared" si="19"/>
        <v>0</v>
      </c>
      <c r="BC83" s="189">
        <f t="shared" si="19"/>
        <v>0</v>
      </c>
      <c r="BD83" s="189">
        <f t="shared" si="19"/>
        <v>0</v>
      </c>
      <c r="BE83" s="189">
        <f t="shared" si="19"/>
        <v>0</v>
      </c>
      <c r="BF83" s="189">
        <f t="shared" si="19"/>
        <v>0</v>
      </c>
      <c r="BG83" s="189">
        <f t="shared" si="19"/>
        <v>0</v>
      </c>
      <c r="BH83" s="189">
        <f t="shared" si="19"/>
        <v>0</v>
      </c>
      <c r="BI83" s="175"/>
      <c r="BJ83" s="121"/>
      <c r="BK83" s="121"/>
      <c r="BL83" s="121"/>
      <c r="BM83" s="121"/>
      <c r="BN83" s="121"/>
      <c r="BO83" s="121"/>
    </row>
    <row r="84" spans="2:67" ht="12.75">
      <c r="C84" s="201"/>
      <c r="D84" s="121" t="s">
        <v>2007</v>
      </c>
      <c r="E84" s="121" t="s">
        <v>2086</v>
      </c>
      <c r="F84" s="189"/>
      <c r="G84" s="189">
        <f t="shared" ref="G84:AL84" si="20">IF(AND(G79&gt;=$D$31,G79&lt;=$D$31+$D$32),G97-$S$15,0)</f>
        <v>31.930923487145442</v>
      </c>
      <c r="H84" s="189">
        <f t="shared" si="20"/>
        <v>31.930923487145442</v>
      </c>
      <c r="I84" s="189">
        <f t="shared" si="20"/>
        <v>31.930923487145442</v>
      </c>
      <c r="J84" s="189">
        <f t="shared" si="20"/>
        <v>31.930923487145442</v>
      </c>
      <c r="K84" s="189">
        <f t="shared" si="20"/>
        <v>31.930923487145442</v>
      </c>
      <c r="L84" s="189">
        <f t="shared" si="20"/>
        <v>31.930923487145442</v>
      </c>
      <c r="M84" s="189">
        <f t="shared" si="20"/>
        <v>31.930923487145442</v>
      </c>
      <c r="N84" s="189">
        <f t="shared" si="20"/>
        <v>31.930923487145442</v>
      </c>
      <c r="O84" s="189">
        <f t="shared" si="20"/>
        <v>31.930923487145442</v>
      </c>
      <c r="P84" s="189">
        <f t="shared" si="20"/>
        <v>31.930923487145442</v>
      </c>
      <c r="Q84" s="189">
        <f t="shared" si="20"/>
        <v>31.930923487145442</v>
      </c>
      <c r="R84" s="189">
        <f t="shared" si="20"/>
        <v>31.930923487145442</v>
      </c>
      <c r="S84" s="189">
        <f t="shared" si="20"/>
        <v>31.930923487145442</v>
      </c>
      <c r="T84" s="189">
        <f t="shared" si="20"/>
        <v>31.930923487145442</v>
      </c>
      <c r="U84" s="189">
        <f t="shared" si="20"/>
        <v>31.930923487145442</v>
      </c>
      <c r="V84" s="189">
        <f t="shared" si="20"/>
        <v>31.930923487145442</v>
      </c>
      <c r="W84" s="189">
        <f t="shared" si="20"/>
        <v>0</v>
      </c>
      <c r="X84" s="189">
        <f t="shared" si="20"/>
        <v>0</v>
      </c>
      <c r="Y84" s="189">
        <f t="shared" si="20"/>
        <v>0</v>
      </c>
      <c r="Z84" s="189">
        <f t="shared" si="20"/>
        <v>0</v>
      </c>
      <c r="AA84" s="189">
        <f t="shared" si="20"/>
        <v>0</v>
      </c>
      <c r="AB84" s="189">
        <f t="shared" si="20"/>
        <v>0</v>
      </c>
      <c r="AC84" s="189">
        <f t="shared" si="20"/>
        <v>0</v>
      </c>
      <c r="AD84" s="189">
        <f t="shared" si="20"/>
        <v>0</v>
      </c>
      <c r="AE84" s="189">
        <f t="shared" si="20"/>
        <v>0</v>
      </c>
      <c r="AF84" s="189">
        <f t="shared" si="20"/>
        <v>0</v>
      </c>
      <c r="AG84" s="189">
        <f t="shared" si="20"/>
        <v>0</v>
      </c>
      <c r="AH84" s="189">
        <f t="shared" si="20"/>
        <v>0</v>
      </c>
      <c r="AI84" s="189">
        <f t="shared" si="20"/>
        <v>0</v>
      </c>
      <c r="AJ84" s="189">
        <f t="shared" si="20"/>
        <v>0</v>
      </c>
      <c r="AK84" s="189">
        <f t="shared" si="20"/>
        <v>0</v>
      </c>
      <c r="AL84" s="189">
        <f t="shared" si="20"/>
        <v>0</v>
      </c>
      <c r="AM84" s="189">
        <f t="shared" ref="AM84:BH84" si="21">IF(AND(AM79&gt;=$D$31,AM79&lt;=$D$31+$D$32),AM97-$S$15,0)</f>
        <v>0</v>
      </c>
      <c r="AN84" s="189">
        <f t="shared" si="21"/>
        <v>0</v>
      </c>
      <c r="AO84" s="189">
        <f t="shared" si="21"/>
        <v>0</v>
      </c>
      <c r="AP84" s="189">
        <f t="shared" si="21"/>
        <v>0</v>
      </c>
      <c r="AQ84" s="189">
        <f t="shared" si="21"/>
        <v>0</v>
      </c>
      <c r="AR84" s="189">
        <f t="shared" si="21"/>
        <v>0</v>
      </c>
      <c r="AS84" s="189">
        <f t="shared" si="21"/>
        <v>0</v>
      </c>
      <c r="AT84" s="189">
        <f t="shared" si="21"/>
        <v>0</v>
      </c>
      <c r="AU84" s="189">
        <f t="shared" si="21"/>
        <v>0</v>
      </c>
      <c r="AV84" s="189">
        <f t="shared" si="21"/>
        <v>0</v>
      </c>
      <c r="AW84" s="189">
        <f t="shared" si="21"/>
        <v>0</v>
      </c>
      <c r="AX84" s="189">
        <f t="shared" si="21"/>
        <v>0</v>
      </c>
      <c r="AY84" s="189">
        <f t="shared" si="21"/>
        <v>0</v>
      </c>
      <c r="AZ84" s="189">
        <f t="shared" si="21"/>
        <v>0</v>
      </c>
      <c r="BA84" s="189">
        <f t="shared" si="21"/>
        <v>0</v>
      </c>
      <c r="BB84" s="189">
        <f t="shared" si="21"/>
        <v>0</v>
      </c>
      <c r="BC84" s="189">
        <f t="shared" si="21"/>
        <v>0</v>
      </c>
      <c r="BD84" s="189">
        <f t="shared" si="21"/>
        <v>0</v>
      </c>
      <c r="BE84" s="189">
        <f t="shared" si="21"/>
        <v>0</v>
      </c>
      <c r="BF84" s="189">
        <f t="shared" si="21"/>
        <v>0</v>
      </c>
      <c r="BG84" s="189">
        <f t="shared" si="21"/>
        <v>0</v>
      </c>
      <c r="BH84" s="189">
        <f t="shared" si="21"/>
        <v>0</v>
      </c>
      <c r="BI84" s="175"/>
      <c r="BJ84" s="121"/>
      <c r="BK84" s="121"/>
      <c r="BL84" s="121"/>
      <c r="BM84" s="121"/>
      <c r="BN84" s="121"/>
      <c r="BO84" s="121"/>
    </row>
    <row r="85" spans="2:67" ht="12.75">
      <c r="C85" s="201"/>
      <c r="D85" s="121" t="s">
        <v>2084</v>
      </c>
      <c r="E85" s="121" t="s">
        <v>706</v>
      </c>
      <c r="F85" s="189"/>
      <c r="G85" s="189">
        <f t="shared" ref="G85:AL85" si="22">IF(AND(G79&gt;=$D$31,G79&lt;=$D$31+$D$32),G98-$T$16,0)</f>
        <v>107.31051012843035</v>
      </c>
      <c r="H85" s="189">
        <f t="shared" si="22"/>
        <v>107.31051012843035</v>
      </c>
      <c r="I85" s="189">
        <f t="shared" si="22"/>
        <v>107.31051012843035</v>
      </c>
      <c r="J85" s="189">
        <f t="shared" si="22"/>
        <v>107.31051012843035</v>
      </c>
      <c r="K85" s="189">
        <f t="shared" si="22"/>
        <v>107.31051012843035</v>
      </c>
      <c r="L85" s="189">
        <f t="shared" si="22"/>
        <v>107.31051012843035</v>
      </c>
      <c r="M85" s="189">
        <f t="shared" si="22"/>
        <v>107.31051012843035</v>
      </c>
      <c r="N85" s="189">
        <f t="shared" si="22"/>
        <v>107.31051012843035</v>
      </c>
      <c r="O85" s="189">
        <f t="shared" si="22"/>
        <v>107.31051012843035</v>
      </c>
      <c r="P85" s="189">
        <f t="shared" si="22"/>
        <v>107.31051012843035</v>
      </c>
      <c r="Q85" s="189">
        <f t="shared" si="22"/>
        <v>107.31051012843035</v>
      </c>
      <c r="R85" s="189">
        <f t="shared" si="22"/>
        <v>107.31051012843035</v>
      </c>
      <c r="S85" s="189">
        <f t="shared" si="22"/>
        <v>107.31051012843035</v>
      </c>
      <c r="T85" s="189">
        <f t="shared" si="22"/>
        <v>107.31051012843035</v>
      </c>
      <c r="U85" s="189">
        <f t="shared" si="22"/>
        <v>107.31051012843035</v>
      </c>
      <c r="V85" s="189">
        <f t="shared" si="22"/>
        <v>107.31051012843035</v>
      </c>
      <c r="W85" s="189">
        <f t="shared" si="22"/>
        <v>0</v>
      </c>
      <c r="X85" s="189">
        <f t="shared" si="22"/>
        <v>0</v>
      </c>
      <c r="Y85" s="189">
        <f t="shared" si="22"/>
        <v>0</v>
      </c>
      <c r="Z85" s="189">
        <f t="shared" si="22"/>
        <v>0</v>
      </c>
      <c r="AA85" s="189">
        <f t="shared" si="22"/>
        <v>0</v>
      </c>
      <c r="AB85" s="189">
        <f t="shared" si="22"/>
        <v>0</v>
      </c>
      <c r="AC85" s="189">
        <f t="shared" si="22"/>
        <v>0</v>
      </c>
      <c r="AD85" s="189">
        <f t="shared" si="22"/>
        <v>0</v>
      </c>
      <c r="AE85" s="189">
        <f t="shared" si="22"/>
        <v>0</v>
      </c>
      <c r="AF85" s="189">
        <f t="shared" si="22"/>
        <v>0</v>
      </c>
      <c r="AG85" s="189">
        <f t="shared" si="22"/>
        <v>0</v>
      </c>
      <c r="AH85" s="189">
        <f t="shared" si="22"/>
        <v>0</v>
      </c>
      <c r="AI85" s="189">
        <f t="shared" si="22"/>
        <v>0</v>
      </c>
      <c r="AJ85" s="189">
        <f t="shared" si="22"/>
        <v>0</v>
      </c>
      <c r="AK85" s="189">
        <f t="shared" si="22"/>
        <v>0</v>
      </c>
      <c r="AL85" s="189">
        <f t="shared" si="22"/>
        <v>0</v>
      </c>
      <c r="AM85" s="189">
        <f t="shared" ref="AM85:BH85" si="23">IF(AND(AM79&gt;=$D$31,AM79&lt;=$D$31+$D$32),AM98-$T$16,0)</f>
        <v>0</v>
      </c>
      <c r="AN85" s="189">
        <f t="shared" si="23"/>
        <v>0</v>
      </c>
      <c r="AO85" s="189">
        <f t="shared" si="23"/>
        <v>0</v>
      </c>
      <c r="AP85" s="189">
        <f t="shared" si="23"/>
        <v>0</v>
      </c>
      <c r="AQ85" s="189">
        <f t="shared" si="23"/>
        <v>0</v>
      </c>
      <c r="AR85" s="189">
        <f t="shared" si="23"/>
        <v>0</v>
      </c>
      <c r="AS85" s="189">
        <f t="shared" si="23"/>
        <v>0</v>
      </c>
      <c r="AT85" s="189">
        <f t="shared" si="23"/>
        <v>0</v>
      </c>
      <c r="AU85" s="189">
        <f t="shared" si="23"/>
        <v>0</v>
      </c>
      <c r="AV85" s="189">
        <f t="shared" si="23"/>
        <v>0</v>
      </c>
      <c r="AW85" s="189">
        <f t="shared" si="23"/>
        <v>0</v>
      </c>
      <c r="AX85" s="189">
        <f t="shared" si="23"/>
        <v>0</v>
      </c>
      <c r="AY85" s="189">
        <f t="shared" si="23"/>
        <v>0</v>
      </c>
      <c r="AZ85" s="189">
        <f t="shared" si="23"/>
        <v>0</v>
      </c>
      <c r="BA85" s="189">
        <f t="shared" si="23"/>
        <v>0</v>
      </c>
      <c r="BB85" s="189">
        <f t="shared" si="23"/>
        <v>0</v>
      </c>
      <c r="BC85" s="189">
        <f t="shared" si="23"/>
        <v>0</v>
      </c>
      <c r="BD85" s="189">
        <f t="shared" si="23"/>
        <v>0</v>
      </c>
      <c r="BE85" s="189">
        <f t="shared" si="23"/>
        <v>0</v>
      </c>
      <c r="BF85" s="189">
        <f t="shared" si="23"/>
        <v>0</v>
      </c>
      <c r="BG85" s="189">
        <f t="shared" si="23"/>
        <v>0</v>
      </c>
      <c r="BH85" s="189">
        <f t="shared" si="23"/>
        <v>0</v>
      </c>
      <c r="BI85" s="175"/>
      <c r="BJ85" s="121"/>
      <c r="BK85" s="121"/>
      <c r="BL85" s="121"/>
      <c r="BM85" s="121"/>
      <c r="BN85" s="121"/>
      <c r="BO85" s="121"/>
    </row>
    <row r="86" spans="2:67" ht="12.75">
      <c r="C86" s="201"/>
      <c r="D86" s="121"/>
      <c r="E86" s="121"/>
      <c r="F86" s="189"/>
      <c r="G86" s="189"/>
      <c r="H86" s="189"/>
      <c r="I86" s="189"/>
      <c r="J86" s="189"/>
      <c r="K86" s="189"/>
      <c r="L86" s="189"/>
      <c r="M86" s="189"/>
      <c r="N86" s="189"/>
      <c r="O86" s="189"/>
      <c r="P86" s="189"/>
      <c r="Q86" s="189"/>
      <c r="R86" s="189"/>
      <c r="S86" s="189"/>
      <c r="T86" s="189"/>
      <c r="U86" s="189"/>
      <c r="V86" s="189"/>
      <c r="W86" s="189"/>
      <c r="X86" s="189"/>
      <c r="Y86" s="189"/>
      <c r="Z86" s="189"/>
      <c r="AA86" s="189"/>
      <c r="AB86" s="189"/>
      <c r="AC86" s="189"/>
      <c r="AD86" s="189"/>
      <c r="AE86" s="189"/>
      <c r="AF86" s="189"/>
      <c r="AG86" s="189"/>
      <c r="AH86" s="189"/>
      <c r="AI86" s="189"/>
      <c r="AJ86" s="189"/>
      <c r="AK86" s="189"/>
      <c r="AL86" s="189"/>
      <c r="AM86" s="189"/>
      <c r="AN86" s="189"/>
      <c r="AO86" s="189"/>
      <c r="AP86" s="189"/>
      <c r="AQ86" s="189"/>
      <c r="AR86" s="189"/>
      <c r="AS86" s="189"/>
      <c r="AT86" s="189"/>
      <c r="AU86" s="189"/>
      <c r="AV86" s="189"/>
      <c r="AW86" s="189"/>
      <c r="AX86" s="189"/>
      <c r="AY86" s="189"/>
      <c r="AZ86" s="189"/>
      <c r="BA86" s="189"/>
      <c r="BB86" s="189"/>
      <c r="BC86" s="189"/>
      <c r="BD86" s="189"/>
      <c r="BE86" s="189"/>
      <c r="BF86" s="189"/>
      <c r="BG86" s="189"/>
      <c r="BH86" s="189"/>
      <c r="BI86" s="175"/>
      <c r="BJ86" s="121"/>
      <c r="BK86" s="121"/>
      <c r="BL86" s="121"/>
      <c r="BM86" s="121"/>
      <c r="BN86" s="121"/>
      <c r="BO86" s="121"/>
    </row>
    <row r="87" spans="2:67" ht="12.75">
      <c r="C87" s="201"/>
      <c r="D87" s="121" t="s">
        <v>568</v>
      </c>
      <c r="E87" s="121" t="s">
        <v>264</v>
      </c>
      <c r="F87" s="176">
        <v>0</v>
      </c>
      <c r="G87" s="176">
        <v>0</v>
      </c>
      <c r="H87" s="176">
        <v>0</v>
      </c>
      <c r="I87" s="176">
        <v>0</v>
      </c>
      <c r="J87" s="176">
        <v>0</v>
      </c>
      <c r="K87" s="176">
        <v>0</v>
      </c>
      <c r="L87" s="176">
        <v>0</v>
      </c>
      <c r="M87" s="176">
        <v>0</v>
      </c>
      <c r="N87" s="176">
        <v>0</v>
      </c>
      <c r="O87" s="176">
        <v>0</v>
      </c>
      <c r="P87" s="176">
        <v>0</v>
      </c>
      <c r="Q87" s="176">
        <v>0</v>
      </c>
      <c r="R87" s="176">
        <v>0</v>
      </c>
      <c r="S87" s="176">
        <v>0</v>
      </c>
      <c r="T87" s="176">
        <v>0</v>
      </c>
      <c r="U87" s="176">
        <v>0</v>
      </c>
      <c r="V87" s="176">
        <v>0</v>
      </c>
      <c r="W87" s="176">
        <v>0</v>
      </c>
      <c r="X87" s="176">
        <v>0</v>
      </c>
      <c r="Y87" s="176">
        <v>0</v>
      </c>
      <c r="Z87" s="176">
        <v>0</v>
      </c>
      <c r="AA87" s="176">
        <v>0</v>
      </c>
      <c r="AB87" s="176">
        <v>0</v>
      </c>
      <c r="AC87" s="176">
        <v>0</v>
      </c>
      <c r="AD87" s="176">
        <v>0</v>
      </c>
      <c r="AE87" s="176">
        <v>0</v>
      </c>
      <c r="AF87" s="176">
        <v>0</v>
      </c>
      <c r="AG87" s="176">
        <v>0</v>
      </c>
      <c r="AH87" s="176">
        <v>0</v>
      </c>
      <c r="AI87" s="176">
        <v>0</v>
      </c>
      <c r="AJ87" s="176">
        <v>0</v>
      </c>
      <c r="AK87" s="176">
        <v>0</v>
      </c>
      <c r="AL87" s="176">
        <v>0</v>
      </c>
      <c r="AM87" s="176">
        <v>0</v>
      </c>
      <c r="AN87" s="176">
        <v>0</v>
      </c>
      <c r="AO87" s="176">
        <v>0</v>
      </c>
      <c r="AP87" s="176">
        <v>0</v>
      </c>
      <c r="AQ87" s="176">
        <v>0</v>
      </c>
      <c r="AR87" s="176">
        <v>0</v>
      </c>
      <c r="AS87" s="176">
        <v>0</v>
      </c>
      <c r="AT87" s="176">
        <v>0</v>
      </c>
      <c r="AU87" s="176">
        <v>0</v>
      </c>
      <c r="AV87" s="176">
        <v>0</v>
      </c>
      <c r="AW87" s="176">
        <v>0</v>
      </c>
      <c r="AX87" s="176">
        <v>0</v>
      </c>
      <c r="AY87" s="176">
        <v>0</v>
      </c>
      <c r="AZ87" s="176">
        <v>0</v>
      </c>
      <c r="BA87" s="176">
        <v>0</v>
      </c>
      <c r="BB87" s="176">
        <v>0</v>
      </c>
      <c r="BC87" s="176">
        <v>0</v>
      </c>
      <c r="BD87" s="176">
        <v>0</v>
      </c>
      <c r="BE87" s="176">
        <v>0</v>
      </c>
      <c r="BF87" s="176">
        <v>0</v>
      </c>
      <c r="BG87" s="176">
        <v>0</v>
      </c>
      <c r="BH87" s="176">
        <v>0</v>
      </c>
      <c r="BI87" s="175">
        <f>NPV($D$49,F87:BH87)</f>
        <v>0</v>
      </c>
      <c r="BJ87" s="121"/>
      <c r="BK87" s="121"/>
      <c r="BL87" s="121"/>
      <c r="BM87" s="121"/>
      <c r="BN87" s="121"/>
      <c r="BO87" s="121"/>
    </row>
    <row r="88" spans="2:67" ht="12.75">
      <c r="C88" s="201"/>
      <c r="D88" s="121" t="s">
        <v>567</v>
      </c>
      <c r="E88" s="121" t="s">
        <v>264</v>
      </c>
      <c r="F88" s="176">
        <v>0</v>
      </c>
      <c r="G88" s="176">
        <v>0</v>
      </c>
      <c r="H88" s="176">
        <v>0</v>
      </c>
      <c r="I88" s="176">
        <v>0</v>
      </c>
      <c r="J88" s="176">
        <v>0</v>
      </c>
      <c r="K88" s="176">
        <v>0</v>
      </c>
      <c r="L88" s="176">
        <v>0</v>
      </c>
      <c r="M88" s="176">
        <v>0</v>
      </c>
      <c r="N88" s="176">
        <v>0</v>
      </c>
      <c r="O88" s="176">
        <v>0</v>
      </c>
      <c r="P88" s="176">
        <v>0</v>
      </c>
      <c r="Q88" s="176">
        <v>0</v>
      </c>
      <c r="R88" s="176">
        <v>0</v>
      </c>
      <c r="S88" s="176">
        <v>0</v>
      </c>
      <c r="T88" s="176">
        <v>0</v>
      </c>
      <c r="U88" s="176">
        <v>0</v>
      </c>
      <c r="V88" s="176">
        <v>0</v>
      </c>
      <c r="W88" s="176">
        <v>0</v>
      </c>
      <c r="X88" s="176">
        <v>0</v>
      </c>
      <c r="Y88" s="176">
        <v>0</v>
      </c>
      <c r="Z88" s="176">
        <v>0</v>
      </c>
      <c r="AA88" s="176">
        <v>0</v>
      </c>
      <c r="AB88" s="176">
        <v>0</v>
      </c>
      <c r="AC88" s="176">
        <v>0</v>
      </c>
      <c r="AD88" s="176">
        <v>0</v>
      </c>
      <c r="AE88" s="176">
        <v>0</v>
      </c>
      <c r="AF88" s="176">
        <v>0</v>
      </c>
      <c r="AG88" s="176">
        <v>0</v>
      </c>
      <c r="AH88" s="176">
        <v>0</v>
      </c>
      <c r="AI88" s="176">
        <v>0</v>
      </c>
      <c r="AJ88" s="176">
        <v>0</v>
      </c>
      <c r="AK88" s="176">
        <v>0</v>
      </c>
      <c r="AL88" s="176">
        <v>0</v>
      </c>
      <c r="AM88" s="176">
        <v>0</v>
      </c>
      <c r="AN88" s="176">
        <v>0</v>
      </c>
      <c r="AO88" s="176">
        <v>0</v>
      </c>
      <c r="AP88" s="176">
        <v>0</v>
      </c>
      <c r="AQ88" s="176">
        <v>0</v>
      </c>
      <c r="AR88" s="176">
        <v>0</v>
      </c>
      <c r="AS88" s="176">
        <v>0</v>
      </c>
      <c r="AT88" s="176">
        <v>0</v>
      </c>
      <c r="AU88" s="176">
        <v>0</v>
      </c>
      <c r="AV88" s="176">
        <v>0</v>
      </c>
      <c r="AW88" s="176">
        <v>0</v>
      </c>
      <c r="AX88" s="176">
        <v>0</v>
      </c>
      <c r="AY88" s="176">
        <v>0</v>
      </c>
      <c r="AZ88" s="176">
        <v>0</v>
      </c>
      <c r="BA88" s="176">
        <v>0</v>
      </c>
      <c r="BB88" s="176">
        <v>0</v>
      </c>
      <c r="BC88" s="176">
        <v>0</v>
      </c>
      <c r="BD88" s="176">
        <v>0</v>
      </c>
      <c r="BE88" s="176">
        <v>0</v>
      </c>
      <c r="BF88" s="176">
        <v>0</v>
      </c>
      <c r="BG88" s="176">
        <v>0</v>
      </c>
      <c r="BH88" s="176">
        <v>0</v>
      </c>
      <c r="BI88" s="175">
        <f>NPV($D$49,F88:BH88)</f>
        <v>0</v>
      </c>
      <c r="BJ88" s="121"/>
      <c r="BK88" s="121"/>
      <c r="BL88" s="121"/>
      <c r="BM88" s="121"/>
      <c r="BN88" s="121"/>
      <c r="BO88" s="121"/>
    </row>
    <row r="89" spans="2:67" ht="12.75">
      <c r="C89" s="201"/>
      <c r="D89" s="121" t="s">
        <v>710</v>
      </c>
      <c r="E89" s="121" t="s">
        <v>269</v>
      </c>
      <c r="F89" s="176"/>
      <c r="G89" s="1528">
        <f t="shared" ref="G89:AL89" si="24">IF(AND(G79&gt;=$D$31,G79&lt;=$D$31+$D$32),G99,0)</f>
        <v>4.2059794220983502</v>
      </c>
      <c r="H89" s="1528">
        <f t="shared" si="24"/>
        <v>4.6732754001702883</v>
      </c>
      <c r="I89" s="1528">
        <f t="shared" si="24"/>
        <v>4.8376162909716216</v>
      </c>
      <c r="J89" s="1528">
        <f t="shared" si="24"/>
        <v>4.8496361886136912</v>
      </c>
      <c r="K89" s="1528">
        <f t="shared" si="24"/>
        <v>4.9056275244664125</v>
      </c>
      <c r="L89" s="1528">
        <f t="shared" si="24"/>
        <v>4.9619109251504847</v>
      </c>
      <c r="M89" s="1528">
        <f t="shared" si="24"/>
        <v>5.0381773568460284</v>
      </c>
      <c r="N89" s="1528">
        <f t="shared" si="24"/>
        <v>5.1199306055642086</v>
      </c>
      <c r="O89" s="1528">
        <f t="shared" si="24"/>
        <v>5.2046041917591079</v>
      </c>
      <c r="P89" s="1528">
        <f t="shared" si="24"/>
        <v>5.2910732209604339</v>
      </c>
      <c r="Q89" s="1528">
        <f t="shared" si="24"/>
        <v>5.377947971766412</v>
      </c>
      <c r="R89" s="1528">
        <f t="shared" si="24"/>
        <v>5.4704967063761769</v>
      </c>
      <c r="S89" s="1528">
        <f t="shared" si="24"/>
        <v>5.5653090792390989</v>
      </c>
      <c r="T89" s="1528">
        <f t="shared" si="24"/>
        <v>5.6624414849609002</v>
      </c>
      <c r="U89" s="1528">
        <f t="shared" si="24"/>
        <v>5.7619514121882238</v>
      </c>
      <c r="V89" s="1528">
        <f t="shared" si="24"/>
        <v>5.863897589004015</v>
      </c>
      <c r="W89" s="1528">
        <f t="shared" si="24"/>
        <v>0</v>
      </c>
      <c r="X89" s="1528">
        <f t="shared" si="24"/>
        <v>0</v>
      </c>
      <c r="Y89" s="1528">
        <f t="shared" si="24"/>
        <v>0</v>
      </c>
      <c r="Z89" s="1528">
        <f t="shared" si="24"/>
        <v>0</v>
      </c>
      <c r="AA89" s="1528">
        <f t="shared" si="24"/>
        <v>0</v>
      </c>
      <c r="AB89" s="1528">
        <f t="shared" si="24"/>
        <v>0</v>
      </c>
      <c r="AC89" s="1528">
        <f t="shared" si="24"/>
        <v>0</v>
      </c>
      <c r="AD89" s="1528">
        <f t="shared" si="24"/>
        <v>0</v>
      </c>
      <c r="AE89" s="1528">
        <f t="shared" si="24"/>
        <v>0</v>
      </c>
      <c r="AF89" s="1528">
        <f t="shared" si="24"/>
        <v>0</v>
      </c>
      <c r="AG89" s="1528">
        <f t="shared" si="24"/>
        <v>0</v>
      </c>
      <c r="AH89" s="1528">
        <f t="shared" si="24"/>
        <v>0</v>
      </c>
      <c r="AI89" s="1528">
        <f t="shared" si="24"/>
        <v>0</v>
      </c>
      <c r="AJ89" s="1528">
        <f t="shared" si="24"/>
        <v>0</v>
      </c>
      <c r="AK89" s="1528">
        <f t="shared" si="24"/>
        <v>0</v>
      </c>
      <c r="AL89" s="1528">
        <f t="shared" si="24"/>
        <v>0</v>
      </c>
      <c r="AM89" s="1528">
        <f t="shared" ref="AM89:BH89" si="25">IF(AND(AM79&gt;=$D$31,AM79&lt;=$D$31+$D$32),AM99,0)</f>
        <v>0</v>
      </c>
      <c r="AN89" s="1528">
        <f t="shared" si="25"/>
        <v>0</v>
      </c>
      <c r="AO89" s="1528">
        <f t="shared" si="25"/>
        <v>0</v>
      </c>
      <c r="AP89" s="1528">
        <f t="shared" si="25"/>
        <v>0</v>
      </c>
      <c r="AQ89" s="1528">
        <f t="shared" si="25"/>
        <v>0</v>
      </c>
      <c r="AR89" s="1528">
        <f t="shared" si="25"/>
        <v>0</v>
      </c>
      <c r="AS89" s="1528">
        <f t="shared" si="25"/>
        <v>0</v>
      </c>
      <c r="AT89" s="1528">
        <f t="shared" si="25"/>
        <v>0</v>
      </c>
      <c r="AU89" s="1528">
        <f t="shared" si="25"/>
        <v>0</v>
      </c>
      <c r="AV89" s="1528">
        <f t="shared" si="25"/>
        <v>0</v>
      </c>
      <c r="AW89" s="1528">
        <f t="shared" si="25"/>
        <v>0</v>
      </c>
      <c r="AX89" s="1528">
        <f t="shared" si="25"/>
        <v>0</v>
      </c>
      <c r="AY89" s="1528">
        <f t="shared" si="25"/>
        <v>0</v>
      </c>
      <c r="AZ89" s="1528">
        <f t="shared" si="25"/>
        <v>0</v>
      </c>
      <c r="BA89" s="1528">
        <f t="shared" si="25"/>
        <v>0</v>
      </c>
      <c r="BB89" s="1528">
        <f t="shared" si="25"/>
        <v>0</v>
      </c>
      <c r="BC89" s="1528">
        <f t="shared" si="25"/>
        <v>0</v>
      </c>
      <c r="BD89" s="1528">
        <f t="shared" si="25"/>
        <v>0</v>
      </c>
      <c r="BE89" s="1528">
        <f t="shared" si="25"/>
        <v>0</v>
      </c>
      <c r="BF89" s="1528">
        <f t="shared" si="25"/>
        <v>0</v>
      </c>
      <c r="BG89" s="1528">
        <f t="shared" si="25"/>
        <v>0</v>
      </c>
      <c r="BH89" s="1528">
        <f t="shared" si="25"/>
        <v>0</v>
      </c>
      <c r="BI89" s="175"/>
      <c r="BJ89" s="121"/>
      <c r="BK89" s="121"/>
      <c r="BL89" s="121"/>
      <c r="BM89" s="121"/>
      <c r="BN89" s="121"/>
      <c r="BO89" s="121"/>
    </row>
    <row r="90" spans="2:67" ht="12.75">
      <c r="C90" s="201"/>
      <c r="D90" s="121" t="s">
        <v>711</v>
      </c>
      <c r="E90" s="121" t="s">
        <v>264</v>
      </c>
      <c r="F90" s="176"/>
      <c r="G90" s="1793">
        <f>IF(AND(G$54&gt;=$D$31,G$54&lt;=($D$31+$D$32)),G89*G81+G82*G100+G83*G101+G84*G102+G85*G103,0)</f>
        <v>173775.33289900393</v>
      </c>
      <c r="H90" s="1793">
        <f>IF(AND(H$54&gt;=$D$31,H$54&lt;=($D$31+$D$32)),H89*H81+H82*H100+H83*H101+H84*H102+H85*H103,0)</f>
        <v>186798.91560639473</v>
      </c>
      <c r="I90" s="1793">
        <f>IF(AND(I$54&gt;=$D$31,I$54&lt;=($D$31+$D$32)),I89*I81+I82*I100+I83*I101+I84*I102+I85*I103,0)</f>
        <v>191379.11163630348</v>
      </c>
      <c r="J90" s="1793">
        <f t="shared" ref="J90:BH90" si="26">IF(AND(J$54&gt;=$D$31,J$54&lt;=($D$31+$D$32)),J89*J81+J82*J100+J83*J101+J84*J102+J85*J103,0)</f>
        <v>191714.10731018402</v>
      </c>
      <c r="K90" s="1793">
        <f t="shared" si="26"/>
        <v>193274.59108833232</v>
      </c>
      <c r="L90" s="1793">
        <f t="shared" si="26"/>
        <v>194843.21474070489</v>
      </c>
      <c r="M90" s="1793">
        <f t="shared" si="26"/>
        <v>196968.76734032854</v>
      </c>
      <c r="N90" s="1793">
        <f t="shared" si="26"/>
        <v>199247.23804463921</v>
      </c>
      <c r="O90" s="1793">
        <f t="shared" si="26"/>
        <v>201607.09882814219</v>
      </c>
      <c r="P90" s="1793">
        <f t="shared" si="26"/>
        <v>204016.99877651688</v>
      </c>
      <c r="Q90" s="1793">
        <f t="shared" si="26"/>
        <v>206438.20622404051</v>
      </c>
      <c r="R90" s="1793">
        <f t="shared" si="26"/>
        <v>209017.54813198448</v>
      </c>
      <c r="S90" s="1793">
        <f t="shared" si="26"/>
        <v>211659.97785020934</v>
      </c>
      <c r="T90" s="1793">
        <f t="shared" si="26"/>
        <v>214367.06710166225</v>
      </c>
      <c r="U90" s="1793">
        <f t="shared" si="26"/>
        <v>217140.4181003134</v>
      </c>
      <c r="V90" s="1793">
        <f t="shared" si="26"/>
        <v>219981.66760333901</v>
      </c>
      <c r="W90" s="1793">
        <f t="shared" si="26"/>
        <v>0</v>
      </c>
      <c r="X90" s="1793">
        <f t="shared" si="26"/>
        <v>0</v>
      </c>
      <c r="Y90" s="1793">
        <f t="shared" si="26"/>
        <v>0</v>
      </c>
      <c r="Z90" s="1793">
        <f t="shared" si="26"/>
        <v>0</v>
      </c>
      <c r="AA90" s="1793">
        <f t="shared" si="26"/>
        <v>0</v>
      </c>
      <c r="AB90" s="1793">
        <f t="shared" si="26"/>
        <v>0</v>
      </c>
      <c r="AC90" s="1793">
        <f t="shared" si="26"/>
        <v>0</v>
      </c>
      <c r="AD90" s="1793">
        <f t="shared" si="26"/>
        <v>0</v>
      </c>
      <c r="AE90" s="1793">
        <f t="shared" si="26"/>
        <v>0</v>
      </c>
      <c r="AF90" s="1793">
        <f t="shared" si="26"/>
        <v>0</v>
      </c>
      <c r="AG90" s="1793">
        <f t="shared" si="26"/>
        <v>0</v>
      </c>
      <c r="AH90" s="1793">
        <f t="shared" si="26"/>
        <v>0</v>
      </c>
      <c r="AI90" s="1793">
        <f t="shared" si="26"/>
        <v>0</v>
      </c>
      <c r="AJ90" s="1793">
        <f t="shared" si="26"/>
        <v>0</v>
      </c>
      <c r="AK90" s="1793">
        <f t="shared" si="26"/>
        <v>0</v>
      </c>
      <c r="AL90" s="1793">
        <f t="shared" si="26"/>
        <v>0</v>
      </c>
      <c r="AM90" s="1793">
        <f t="shared" si="26"/>
        <v>0</v>
      </c>
      <c r="AN90" s="1793">
        <f t="shared" si="26"/>
        <v>0</v>
      </c>
      <c r="AO90" s="1793">
        <f t="shared" si="26"/>
        <v>0</v>
      </c>
      <c r="AP90" s="1793">
        <f t="shared" si="26"/>
        <v>0</v>
      </c>
      <c r="AQ90" s="1793">
        <f t="shared" si="26"/>
        <v>0</v>
      </c>
      <c r="AR90" s="1793">
        <f t="shared" si="26"/>
        <v>0</v>
      </c>
      <c r="AS90" s="1793">
        <f t="shared" si="26"/>
        <v>0</v>
      </c>
      <c r="AT90" s="1793">
        <f t="shared" si="26"/>
        <v>0</v>
      </c>
      <c r="AU90" s="1793">
        <f t="shared" si="26"/>
        <v>0</v>
      </c>
      <c r="AV90" s="1793">
        <f t="shared" si="26"/>
        <v>0</v>
      </c>
      <c r="AW90" s="1793">
        <f t="shared" si="26"/>
        <v>0</v>
      </c>
      <c r="AX90" s="1793">
        <f t="shared" si="26"/>
        <v>0</v>
      </c>
      <c r="AY90" s="1793">
        <f t="shared" si="26"/>
        <v>0</v>
      </c>
      <c r="AZ90" s="1793">
        <f t="shared" si="26"/>
        <v>0</v>
      </c>
      <c r="BA90" s="1793">
        <f t="shared" si="26"/>
        <v>0</v>
      </c>
      <c r="BB90" s="1793">
        <f t="shared" si="26"/>
        <v>0</v>
      </c>
      <c r="BC90" s="1793">
        <f t="shared" si="26"/>
        <v>0</v>
      </c>
      <c r="BD90" s="1793">
        <f t="shared" si="26"/>
        <v>0</v>
      </c>
      <c r="BE90" s="1793">
        <f t="shared" si="26"/>
        <v>0</v>
      </c>
      <c r="BF90" s="1793">
        <f t="shared" si="26"/>
        <v>0</v>
      </c>
      <c r="BG90" s="1793">
        <f t="shared" si="26"/>
        <v>0</v>
      </c>
      <c r="BH90" s="1793">
        <f t="shared" si="26"/>
        <v>0</v>
      </c>
      <c r="BI90" s="175"/>
      <c r="BJ90" s="121"/>
      <c r="BK90" s="121"/>
      <c r="BL90" s="121"/>
      <c r="BM90" s="121"/>
      <c r="BN90" s="121"/>
      <c r="BO90" s="121"/>
    </row>
    <row r="91" spans="2:67" s="192" customFormat="1" ht="12.75">
      <c r="B91" s="193"/>
      <c r="C91" s="190"/>
      <c r="D91" s="180" t="s">
        <v>373</v>
      </c>
      <c r="E91" s="180" t="s">
        <v>264</v>
      </c>
      <c r="F91" s="194">
        <f>F87+F88</f>
        <v>0</v>
      </c>
      <c r="G91" s="194">
        <f t="shared" ref="G91:AL91" si="27">IF(AND(G$54&gt;=$D$31,G$54&lt;=($D$31+$D$32)),G90+G88+G87,0)</f>
        <v>173775.33289900393</v>
      </c>
      <c r="H91" s="194">
        <f t="shared" si="27"/>
        <v>186798.91560639473</v>
      </c>
      <c r="I91" s="194">
        <f t="shared" si="27"/>
        <v>191379.11163630348</v>
      </c>
      <c r="J91" s="194">
        <f t="shared" si="27"/>
        <v>191714.10731018402</v>
      </c>
      <c r="K91" s="194">
        <f t="shared" si="27"/>
        <v>193274.59108833232</v>
      </c>
      <c r="L91" s="194">
        <f t="shared" si="27"/>
        <v>194843.21474070489</v>
      </c>
      <c r="M91" s="194">
        <f t="shared" si="27"/>
        <v>196968.76734032854</v>
      </c>
      <c r="N91" s="194">
        <f t="shared" si="27"/>
        <v>199247.23804463921</v>
      </c>
      <c r="O91" s="194">
        <f t="shared" si="27"/>
        <v>201607.09882814219</v>
      </c>
      <c r="P91" s="194">
        <f t="shared" si="27"/>
        <v>204016.99877651688</v>
      </c>
      <c r="Q91" s="194">
        <f t="shared" si="27"/>
        <v>206438.20622404051</v>
      </c>
      <c r="R91" s="194">
        <f t="shared" si="27"/>
        <v>209017.54813198448</v>
      </c>
      <c r="S91" s="194">
        <f t="shared" si="27"/>
        <v>211659.97785020934</v>
      </c>
      <c r="T91" s="194">
        <f t="shared" si="27"/>
        <v>214367.06710166225</v>
      </c>
      <c r="U91" s="194">
        <f t="shared" si="27"/>
        <v>217140.4181003134</v>
      </c>
      <c r="V91" s="194">
        <f t="shared" si="27"/>
        <v>219981.66760333901</v>
      </c>
      <c r="W91" s="194">
        <f t="shared" si="27"/>
        <v>0</v>
      </c>
      <c r="X91" s="194">
        <f t="shared" si="27"/>
        <v>0</v>
      </c>
      <c r="Y91" s="194">
        <f t="shared" si="27"/>
        <v>0</v>
      </c>
      <c r="Z91" s="194">
        <f t="shared" si="27"/>
        <v>0</v>
      </c>
      <c r="AA91" s="194">
        <f t="shared" si="27"/>
        <v>0</v>
      </c>
      <c r="AB91" s="194">
        <f t="shared" si="27"/>
        <v>0</v>
      </c>
      <c r="AC91" s="194">
        <f t="shared" si="27"/>
        <v>0</v>
      </c>
      <c r="AD91" s="194">
        <f t="shared" si="27"/>
        <v>0</v>
      </c>
      <c r="AE91" s="194">
        <f t="shared" si="27"/>
        <v>0</v>
      </c>
      <c r="AF91" s="194">
        <f t="shared" si="27"/>
        <v>0</v>
      </c>
      <c r="AG91" s="194">
        <f t="shared" si="27"/>
        <v>0</v>
      </c>
      <c r="AH91" s="194">
        <f t="shared" si="27"/>
        <v>0</v>
      </c>
      <c r="AI91" s="194">
        <f t="shared" si="27"/>
        <v>0</v>
      </c>
      <c r="AJ91" s="194">
        <f t="shared" si="27"/>
        <v>0</v>
      </c>
      <c r="AK91" s="194">
        <f t="shared" si="27"/>
        <v>0</v>
      </c>
      <c r="AL91" s="194">
        <f t="shared" si="27"/>
        <v>0</v>
      </c>
      <c r="AM91" s="194">
        <f t="shared" ref="AM91:BH91" si="28">IF(AND(AM$54&gt;=$D$31,AM$54&lt;=($D$31+$D$32)),AM90+AM88+AM87,0)</f>
        <v>0</v>
      </c>
      <c r="AN91" s="194">
        <f t="shared" si="28"/>
        <v>0</v>
      </c>
      <c r="AO91" s="194">
        <f t="shared" si="28"/>
        <v>0</v>
      </c>
      <c r="AP91" s="194">
        <f t="shared" si="28"/>
        <v>0</v>
      </c>
      <c r="AQ91" s="194">
        <f t="shared" si="28"/>
        <v>0</v>
      </c>
      <c r="AR91" s="194">
        <f t="shared" si="28"/>
        <v>0</v>
      </c>
      <c r="AS91" s="194">
        <f t="shared" si="28"/>
        <v>0</v>
      </c>
      <c r="AT91" s="194">
        <f t="shared" si="28"/>
        <v>0</v>
      </c>
      <c r="AU91" s="194">
        <f t="shared" si="28"/>
        <v>0</v>
      </c>
      <c r="AV91" s="194">
        <f t="shared" si="28"/>
        <v>0</v>
      </c>
      <c r="AW91" s="194">
        <f t="shared" si="28"/>
        <v>0</v>
      </c>
      <c r="AX91" s="194">
        <f t="shared" si="28"/>
        <v>0</v>
      </c>
      <c r="AY91" s="194">
        <f t="shared" si="28"/>
        <v>0</v>
      </c>
      <c r="AZ91" s="194">
        <f t="shared" si="28"/>
        <v>0</v>
      </c>
      <c r="BA91" s="194">
        <f t="shared" si="28"/>
        <v>0</v>
      </c>
      <c r="BB91" s="194">
        <f t="shared" si="28"/>
        <v>0</v>
      </c>
      <c r="BC91" s="194">
        <f t="shared" si="28"/>
        <v>0</v>
      </c>
      <c r="BD91" s="194">
        <f t="shared" si="28"/>
        <v>0</v>
      </c>
      <c r="BE91" s="194">
        <f t="shared" si="28"/>
        <v>0</v>
      </c>
      <c r="BF91" s="194">
        <f t="shared" si="28"/>
        <v>0</v>
      </c>
      <c r="BG91" s="194">
        <f t="shared" si="28"/>
        <v>0</v>
      </c>
      <c r="BH91" s="194">
        <f t="shared" si="28"/>
        <v>0</v>
      </c>
      <c r="BI91" s="175">
        <f>NPV($D$49,F91:BH91)</f>
        <v>2429101.4142711689</v>
      </c>
      <c r="BJ91" s="180"/>
      <c r="BK91" s="180"/>
      <c r="BL91" s="180"/>
      <c r="BM91" s="180"/>
      <c r="BN91" s="180"/>
      <c r="BO91" s="180"/>
    </row>
    <row r="92" spans="2:67" ht="12.75">
      <c r="C92" s="190"/>
      <c r="D92" s="121"/>
      <c r="E92" s="121"/>
      <c r="F92" s="195"/>
      <c r="G92" s="195"/>
      <c r="H92" s="195"/>
      <c r="I92" s="195"/>
      <c r="J92" s="195"/>
      <c r="K92" s="195"/>
      <c r="L92" s="195"/>
      <c r="M92" s="195"/>
      <c r="N92" s="195"/>
      <c r="O92" s="195"/>
      <c r="P92" s="195"/>
      <c r="Q92" s="195"/>
      <c r="R92" s="195"/>
      <c r="S92" s="195"/>
      <c r="T92" s="195"/>
      <c r="U92" s="195"/>
      <c r="V92" s="195"/>
      <c r="W92" s="195"/>
      <c r="X92" s="195"/>
      <c r="Y92" s="195"/>
      <c r="Z92" s="195"/>
      <c r="AA92" s="195"/>
      <c r="AB92" s="195"/>
      <c r="AC92" s="195"/>
      <c r="AD92" s="195"/>
      <c r="AE92" s="195"/>
      <c r="AF92" s="195"/>
      <c r="AG92" s="195"/>
      <c r="AH92" s="195"/>
      <c r="AI92" s="195"/>
      <c r="AJ92" s="195"/>
      <c r="AK92" s="195"/>
      <c r="AL92" s="195"/>
      <c r="AM92" s="195"/>
      <c r="AN92" s="195"/>
      <c r="AO92" s="195"/>
      <c r="AP92" s="195"/>
      <c r="AQ92" s="195"/>
      <c r="AR92" s="195"/>
      <c r="AS92" s="195"/>
      <c r="AT92" s="195"/>
      <c r="AU92" s="195"/>
      <c r="AV92" s="195"/>
      <c r="AW92" s="195"/>
      <c r="AX92" s="195"/>
      <c r="AY92" s="195"/>
      <c r="AZ92" s="195"/>
      <c r="BA92" s="195"/>
      <c r="BB92" s="195"/>
      <c r="BC92" s="195"/>
      <c r="BD92" s="195"/>
      <c r="BE92" s="195"/>
      <c r="BF92" s="195"/>
      <c r="BG92" s="195"/>
      <c r="BH92" s="195"/>
      <c r="BI92" s="175"/>
      <c r="BJ92" s="121"/>
      <c r="BK92" s="121"/>
      <c r="BL92" s="121"/>
      <c r="BM92" s="121"/>
      <c r="BN92" s="121"/>
      <c r="BO92" s="121"/>
    </row>
    <row r="93" spans="2:67" ht="12.75">
      <c r="C93" s="2005" t="s">
        <v>285</v>
      </c>
      <c r="D93" s="2007"/>
      <c r="E93" s="2007"/>
      <c r="F93" s="121"/>
      <c r="G93" s="121"/>
      <c r="H93" s="121"/>
      <c r="I93" s="121"/>
      <c r="J93" s="121"/>
      <c r="K93" s="121"/>
      <c r="L93" s="121"/>
      <c r="M93" s="121"/>
      <c r="N93" s="121"/>
      <c r="O93" s="121"/>
      <c r="P93" s="121"/>
      <c r="Q93" s="121"/>
      <c r="R93" s="121"/>
      <c r="S93" s="121"/>
      <c r="T93" s="121"/>
      <c r="U93" s="121"/>
      <c r="V93" s="121"/>
      <c r="W93" s="121"/>
      <c r="X93" s="121"/>
      <c r="Y93" s="121"/>
      <c r="Z93" s="121"/>
      <c r="AA93" s="121"/>
      <c r="AB93" s="121"/>
      <c r="AC93" s="121"/>
      <c r="AD93" s="121"/>
      <c r="AE93" s="121"/>
      <c r="AF93" s="121"/>
      <c r="AG93" s="121"/>
      <c r="AH93" s="121"/>
      <c r="AI93" s="121"/>
      <c r="AJ93" s="121"/>
      <c r="AK93" s="121"/>
      <c r="AL93" s="121"/>
      <c r="AM93" s="121"/>
      <c r="AN93" s="121"/>
      <c r="AO93" s="121"/>
      <c r="AP93" s="121"/>
      <c r="AQ93" s="121"/>
      <c r="AR93" s="121"/>
      <c r="AS93" s="121"/>
      <c r="AT93" s="121"/>
      <c r="AU93" s="121"/>
      <c r="AV93" s="121"/>
      <c r="AW93" s="121"/>
      <c r="AX93" s="121"/>
      <c r="AY93" s="121"/>
      <c r="AZ93" s="121"/>
      <c r="BA93" s="121"/>
      <c r="BB93" s="121"/>
      <c r="BC93" s="121"/>
      <c r="BD93" s="121"/>
      <c r="BE93" s="121"/>
      <c r="BF93" s="121"/>
      <c r="BG93" s="121"/>
      <c r="BH93" s="121"/>
      <c r="BI93" s="200"/>
      <c r="BJ93" s="121"/>
      <c r="BK93" s="121"/>
      <c r="BL93" s="121"/>
      <c r="BM93" s="121"/>
      <c r="BN93" s="121"/>
      <c r="BO93" s="121"/>
    </row>
    <row r="94" spans="2:67" ht="12.75">
      <c r="C94" s="201"/>
      <c r="D94" s="121" t="s">
        <v>712</v>
      </c>
      <c r="E94" s="121" t="str">
        <f>IF(C7="railbelt south of Alaska Range","mmBtu per year","gallons per year")</f>
        <v>gallons per year</v>
      </c>
      <c r="F94" s="189">
        <f>IF(AND(F79+1&gt;$D$31,F79&lt;$D$31+$D$32),$I$33,0)</f>
        <v>0</v>
      </c>
      <c r="G94" s="189">
        <f>$I$33+$I$17*(INDEX(Forecast!$D38:$D76,COLUMN()-6,1)-$I$8)*$O$8*$P$8/0.138</f>
        <v>37522.908374907805</v>
      </c>
      <c r="H94" s="189">
        <f>$I$33+$I$17*(INDEX(Forecast!$D38:$D76,COLUMN()-6,1)-$I$8)*$O$8*$P$8/0.138</f>
        <v>37522.908374907805</v>
      </c>
      <c r="I94" s="189">
        <f>$I$33+$I$17*(INDEX(Forecast!$D38:$D76,COLUMN()-6,1)-$I$8)*$O$8*$P$8/0.138</f>
        <v>37522.908374907805</v>
      </c>
      <c r="J94" s="189">
        <f>$I$33+$I$17*(INDEX(Forecast!$D38:$D76,COLUMN()-6,1)-$I$8)*$O$8*$P$8/0.138</f>
        <v>37522.908374907805</v>
      </c>
      <c r="K94" s="189">
        <f>$I$33+$I$17*(INDEX(Forecast!$D38:$D76,COLUMN()-6,1)-$I$8)*$O$8*$P$8/0.138</f>
        <v>37522.908374907805</v>
      </c>
      <c r="L94" s="189">
        <f>$I$33+$I$17*(INDEX(Forecast!$D38:$D76,COLUMN()-6,1)-$I$8)*$O$8*$P$8/0.138</f>
        <v>37522.908374907805</v>
      </c>
      <c r="M94" s="189">
        <f>$I$33+$I$17*(INDEX(Forecast!$D38:$D76,COLUMN()-6,1)-$I$8)*$O$8*$P$8/0.138</f>
        <v>37522.908374907805</v>
      </c>
      <c r="N94" s="189">
        <f>$I$33+$I$17*(INDEX(Forecast!$D38:$D76,COLUMN()-6,1)-$I$8)*$O$8*$P$8/0.138</f>
        <v>37522.908374907805</v>
      </c>
      <c r="O94" s="189">
        <f>$I$33+$I$17*(INDEX(Forecast!$D38:$D76,COLUMN()-6,1)-$I$8)*$O$8*$P$8/0.138</f>
        <v>37522.908374907805</v>
      </c>
      <c r="P94" s="189">
        <f>$I$33+$I$17*(INDEX(Forecast!$D38:$D76,COLUMN()-6,1)-$I$8)*$O$8*$P$8/0.138</f>
        <v>37522.908374907805</v>
      </c>
      <c r="Q94" s="189">
        <f>$I$33+$I$17*(INDEX(Forecast!$D38:$D76,COLUMN()-6,1)-$I$8)*$O$8*$P$8/0.138</f>
        <v>37522.908374907805</v>
      </c>
      <c r="R94" s="189">
        <f>$I$33+$I$17*(INDEX(Forecast!$D38:$D76,COLUMN()-6,1)-$I$8)*$O$8*$P$8/0.138</f>
        <v>37522.908374907805</v>
      </c>
      <c r="S94" s="189">
        <f>$I$33+$I$17*(INDEX(Forecast!$D38:$D76,COLUMN()-6,1)-$I$8)*$O$8*$P$8/0.138</f>
        <v>37522.908374907805</v>
      </c>
      <c r="T94" s="189">
        <f>$I$33+$I$17*(INDEX(Forecast!$D38:$D76,COLUMN()-6,1)-$I$8)*$O$8*$P$8/0.138</f>
        <v>37522.908374907805</v>
      </c>
      <c r="U94" s="189">
        <f>$I$33+$I$17*(INDEX(Forecast!$D38:$D76,COLUMN()-6,1)-$I$8)*$O$8*$P$8/0.138</f>
        <v>37522.908374907805</v>
      </c>
      <c r="V94" s="189">
        <f>$I$33+$I$17*(INDEX(Forecast!$D38:$D76,COLUMN()-6,1)-$I$8)*$O$8*$P$8/0.138</f>
        <v>37522.908374907805</v>
      </c>
      <c r="W94" s="189">
        <f>$I$33+$I$17*(INDEX(Forecast!$D38:$D76,COLUMN()-6,1)-$I$8)*$O$8*$P$8/0.138</f>
        <v>37522.908374907805</v>
      </c>
      <c r="X94" s="189">
        <f>$I$33+$I$17*(INDEX(Forecast!$D38:$D76,COLUMN()-6,1)-$I$8)*$O$8*$P$8/0.138</f>
        <v>37522.908374907805</v>
      </c>
      <c r="Y94" s="189">
        <f>$I$33+$I$17*(INDEX(Forecast!$D38:$D76,COLUMN()-6,1)-$I$8)*$O$8*$P$8/0.138</f>
        <v>37522.908374907805</v>
      </c>
      <c r="Z94" s="189">
        <f>$I$33+$I$17*(INDEX(Forecast!$D38:$D76,COLUMN()-6,1)-$I$8)*$O$8*$P$8/0.138</f>
        <v>37522.908374907805</v>
      </c>
      <c r="AA94" s="189">
        <f>$I$33+$I$17*(INDEX(Forecast!$D38:$D76,COLUMN()-6,1)-$I$8)*$O$8*$P$8/0.138</f>
        <v>37522.908374907805</v>
      </c>
      <c r="AB94" s="189">
        <f>$I$33+$I$17*(INDEX(Forecast!$D38:$D76,COLUMN()-6,1)-$I$8)*$O$8*$P$8/0.138</f>
        <v>37522.908374907805</v>
      </c>
      <c r="AC94" s="189">
        <f>$I$33+$I$17*(INDEX(Forecast!$D38:$D76,COLUMN()-6,1)-$I$8)*$O$8*$P$8/0.138</f>
        <v>37522.908374907805</v>
      </c>
      <c r="AD94" s="189">
        <f>$I$33+$I$17*(INDEX(Forecast!$D38:$D76,COLUMN()-6,1)-$I$8)*$O$8*$P$8/0.138</f>
        <v>37522.908374907805</v>
      </c>
      <c r="AE94" s="189">
        <f>$I$33+$I$17*(INDEX(Forecast!$D38:$D76,COLUMN()-6,1)-$I$8)*$O$8*$P$8/0.138</f>
        <v>37522.908374907805</v>
      </c>
      <c r="AF94" s="189">
        <f>$I$33+$I$17*(INDEX(Forecast!$D38:$D76,COLUMN()-6,1)-$I$8)*$O$8*$P$8/0.138</f>
        <v>37522.908374907805</v>
      </c>
      <c r="AG94" s="189">
        <f>$I$33+$I$17*(INDEX(Forecast!$D38:$D76,COLUMN()-6,1)-$I$8)*$O$8*$P$8/0.138</f>
        <v>37522.908374907805</v>
      </c>
      <c r="AH94" s="189">
        <f>$I$33+$I$17*(INDEX(Forecast!$D38:$D76,COLUMN()-6,1)-$I$8)*$O$8*$P$8/0.138</f>
        <v>37522.908374907805</v>
      </c>
      <c r="AI94" s="189">
        <f>$I$33+$I$17*(INDEX(Forecast!$D38:$D76,COLUMN()-6,1)-$I$8)*$O$8*$P$8/0.138</f>
        <v>37522.908374907805</v>
      </c>
      <c r="AJ94" s="189">
        <f>$I$33+$I$17*(INDEX(Forecast!$D38:$D76,COLUMN()-6,1)-$I$8)*$O$8*$P$8/0.138</f>
        <v>37522.908374907805</v>
      </c>
      <c r="AK94" s="189">
        <f>$I$33+$I$17*(INDEX(Forecast!$D38:$D76,COLUMN()-6,1)-$I$8)*$O$8*$P$8/0.138</f>
        <v>37522.908374907805</v>
      </c>
      <c r="AL94" s="189">
        <f>$I$33+$I$17*(INDEX(Forecast!$D38:$D76,COLUMN()-6,1)-$I$8)*$O$8*$P$8/0.138</f>
        <v>37522.908374907805</v>
      </c>
      <c r="AM94" s="189">
        <f>$I$33+$I$17*(INDEX(Forecast!$D38:$D76,COLUMN()-6,1)-$I$8)*$O$8*$P$8/0.138</f>
        <v>37522.908374907805</v>
      </c>
      <c r="AN94" s="189">
        <f>$I$33+$I$17*(INDEX(Forecast!$D38:$D76,COLUMN()-6,1)-$I$8)*$O$8*$P$8/0.138</f>
        <v>37522.908374907805</v>
      </c>
      <c r="AO94" s="189">
        <f>$I$33+$I$17*(INDEX(Forecast!$D38:$D76,COLUMN()-6,1)-$I$8)*$O$8*$P$8/0.138</f>
        <v>37522.908374907805</v>
      </c>
      <c r="AP94" s="189">
        <f>$I$33+$I$17*(INDEX(Forecast!$D38:$D76,COLUMN()-6,1)-$I$8)*$O$8*$P$8/0.138</f>
        <v>37522.908374907805</v>
      </c>
      <c r="AQ94" s="189">
        <f>$I$33+$I$17*(INDEX(Forecast!$D38:$D76,COLUMN()-6,1)-$I$8)*$O$8*$P$8/0.138</f>
        <v>37522.908374907805</v>
      </c>
      <c r="AR94" s="189">
        <f>$I$33+$I$17*(INDEX(Forecast!$D38:$D76,COLUMN()-6,1)-$I$8)*$O$8*$P$8/0.138</f>
        <v>37522.908374907805</v>
      </c>
      <c r="AS94" s="189">
        <f>$I$33+$I$17*(INDEX(Forecast!$D38:$D76,COLUMN()-6,1)-$I$8)*$O$8*$P$8/0.138</f>
        <v>37522.908374907805</v>
      </c>
      <c r="AT94" s="189"/>
      <c r="AU94" s="189"/>
      <c r="AV94" s="189"/>
      <c r="AW94" s="189"/>
      <c r="AX94" s="189"/>
      <c r="AY94" s="189"/>
      <c r="AZ94" s="189"/>
      <c r="BA94" s="189"/>
      <c r="BB94" s="189"/>
      <c r="BC94" s="189"/>
      <c r="BD94" s="189"/>
      <c r="BE94" s="189"/>
      <c r="BF94" s="189"/>
      <c r="BG94" s="189"/>
      <c r="BH94" s="189"/>
      <c r="BI94" s="175"/>
      <c r="BJ94" s="121"/>
      <c r="BK94" s="121"/>
      <c r="BL94" s="121"/>
      <c r="BM94" s="121"/>
      <c r="BN94" s="121"/>
      <c r="BO94" s="121"/>
    </row>
    <row r="95" spans="2:67" ht="12.75">
      <c r="C95" s="201"/>
      <c r="D95" s="121" t="s">
        <v>2016</v>
      </c>
      <c r="E95" s="121" t="s">
        <v>2085</v>
      </c>
      <c r="F95" s="189"/>
      <c r="G95" s="189">
        <f>$K$15+$I$18*(INDEX(Forecast!$D38:$D76,COLUMN()-6,1)-$I$8)*$O$8*$P$8/16</f>
        <v>293.70886622151386</v>
      </c>
      <c r="H95" s="189">
        <f>$K$15+$I$18*(INDEX(Forecast!$D38:$D76,COLUMN()-6,1)-$I$8)*$O$8*$P$8/16</f>
        <v>293.70886622151386</v>
      </c>
      <c r="I95" s="189">
        <f>$K$15+$I$18*(INDEX(Forecast!$D38:$D76,COLUMN()-6,1)-$I$8)*$O$8*$P$8/16</f>
        <v>293.70886622151386</v>
      </c>
      <c r="J95" s="189">
        <f>$K$15+$I$18*(INDEX(Forecast!$D38:$D76,COLUMN()-6,1)-$I$8)*$O$8*$P$8/16</f>
        <v>293.70886622151386</v>
      </c>
      <c r="K95" s="189">
        <f>$K$15+$I$18*(INDEX(Forecast!$D38:$D76,COLUMN()-6,1)-$I$8)*$O$8*$P$8/16</f>
        <v>293.70886622151386</v>
      </c>
      <c r="L95" s="189">
        <f>$K$15+$I$18*(INDEX(Forecast!$D38:$D76,COLUMN()-6,1)-$I$8)*$O$8*$P$8/16</f>
        <v>293.70886622151386</v>
      </c>
      <c r="M95" s="189">
        <f>$K$15+$I$18*(INDEX(Forecast!$D38:$D76,COLUMN()-6,1)-$I$8)*$O$8*$P$8/16</f>
        <v>293.70886622151386</v>
      </c>
      <c r="N95" s="189">
        <f>$K$15+$I$18*(INDEX(Forecast!$D38:$D76,COLUMN()-6,1)-$I$8)*$O$8*$P$8/16</f>
        <v>293.70886622151386</v>
      </c>
      <c r="O95" s="189">
        <f>$K$15+$I$18*(INDEX(Forecast!$D38:$D76,COLUMN()-6,1)-$I$8)*$O$8*$P$8/16</f>
        <v>293.70886622151386</v>
      </c>
      <c r="P95" s="189">
        <f>$K$15+$I$18*(INDEX(Forecast!$D38:$D76,COLUMN()-6,1)-$I$8)*$O$8*$P$8/16</f>
        <v>293.70886622151386</v>
      </c>
      <c r="Q95" s="189">
        <f>$K$15+$I$18*(INDEX(Forecast!$D38:$D76,COLUMN()-6,1)-$I$8)*$O$8*$P$8/16</f>
        <v>293.70886622151386</v>
      </c>
      <c r="R95" s="189">
        <f>$K$15+$I$18*(INDEX(Forecast!$D38:$D76,COLUMN()-6,1)-$I$8)*$O$8*$P$8/16</f>
        <v>293.70886622151386</v>
      </c>
      <c r="S95" s="189">
        <f>$K$15+$I$18*(INDEX(Forecast!$D38:$D76,COLUMN()-6,1)-$I$8)*$O$8*$P$8/16</f>
        <v>293.70886622151386</v>
      </c>
      <c r="T95" s="189">
        <f>$K$15+$I$18*(INDEX(Forecast!$D38:$D76,COLUMN()-6,1)-$I$8)*$O$8*$P$8/16</f>
        <v>293.70886622151386</v>
      </c>
      <c r="U95" s="189">
        <f>$K$15+$I$18*(INDEX(Forecast!$D38:$D76,COLUMN()-6,1)-$I$8)*$O$8*$P$8/16</f>
        <v>293.70886622151386</v>
      </c>
      <c r="V95" s="189">
        <f>$K$15+$I$18*(INDEX(Forecast!$D38:$D76,COLUMN()-6,1)-$I$8)*$O$8*$P$8/16</f>
        <v>293.70886622151386</v>
      </c>
      <c r="W95" s="189">
        <f>$K$15+$I$18*(INDEX(Forecast!$D38:$D76,COLUMN()-6,1)-$I$8)*$O$8*$P$8/16</f>
        <v>293.70886622151386</v>
      </c>
      <c r="X95" s="189">
        <f>$K$15+$I$18*(INDEX(Forecast!$D38:$D76,COLUMN()-6,1)-$I$8)*$O$8*$P$8/16</f>
        <v>293.70886622151386</v>
      </c>
      <c r="Y95" s="189">
        <f>$K$15+$I$18*(INDEX(Forecast!$D38:$D76,COLUMN()-6,1)-$I$8)*$O$8*$P$8/16</f>
        <v>293.70886622151386</v>
      </c>
      <c r="Z95" s="189">
        <f>$K$15+$I$18*(INDEX(Forecast!$D38:$D76,COLUMN()-6,1)-$I$8)*$O$8*$P$8/16</f>
        <v>293.70886622151386</v>
      </c>
      <c r="AA95" s="189">
        <f>$K$15+$I$18*(INDEX(Forecast!$D38:$D76,COLUMN()-6,1)-$I$8)*$O$8*$P$8/16</f>
        <v>293.70886622151386</v>
      </c>
      <c r="AB95" s="189">
        <f>$K$15+$I$18*(INDEX(Forecast!$D38:$D76,COLUMN()-6,1)-$I$8)*$O$8*$P$8/16</f>
        <v>293.70886622151386</v>
      </c>
      <c r="AC95" s="189">
        <f>$K$15+$I$18*(INDEX(Forecast!$D38:$D76,COLUMN()-6,1)-$I$8)*$O$8*$P$8/16</f>
        <v>293.70886622151386</v>
      </c>
      <c r="AD95" s="189">
        <f>$K$15+$I$18*(INDEX(Forecast!$D38:$D76,COLUMN()-6,1)-$I$8)*$O$8*$P$8/16</f>
        <v>293.70886622151386</v>
      </c>
      <c r="AE95" s="189">
        <f>$K$15+$I$18*(INDEX(Forecast!$D38:$D76,COLUMN()-6,1)-$I$8)*$O$8*$P$8/16</f>
        <v>293.70886622151386</v>
      </c>
      <c r="AF95" s="189">
        <f>$K$15+$I$18*(INDEX(Forecast!$D38:$D76,COLUMN()-6,1)-$I$8)*$O$8*$P$8/16</f>
        <v>293.70886622151386</v>
      </c>
      <c r="AG95" s="189">
        <f>$K$15+$I$18*(INDEX(Forecast!$D38:$D76,COLUMN()-6,1)-$I$8)*$O$8*$P$8/16</f>
        <v>293.70886622151386</v>
      </c>
      <c r="AH95" s="189">
        <f>$K$15+$I$18*(INDEX(Forecast!$D38:$D76,COLUMN()-6,1)-$I$8)*$O$8*$P$8/16</f>
        <v>293.70886622151386</v>
      </c>
      <c r="AI95" s="189">
        <f>$K$15+$I$18*(INDEX(Forecast!$D38:$D76,COLUMN()-6,1)-$I$8)*$O$8*$P$8/16</f>
        <v>293.70886622151386</v>
      </c>
      <c r="AJ95" s="189">
        <f>$K$15+$I$18*(INDEX(Forecast!$D38:$D76,COLUMN()-6,1)-$I$8)*$O$8*$P$8/16</f>
        <v>293.70886622151386</v>
      </c>
      <c r="AK95" s="189">
        <f>$K$15+$I$18*(INDEX(Forecast!$D38:$D76,COLUMN()-6,1)-$I$8)*$O$8*$P$8/16</f>
        <v>293.70886622151386</v>
      </c>
      <c r="AL95" s="189">
        <f>$K$15+$I$18*(INDEX(Forecast!$D38:$D76,COLUMN()-6,1)-$I$8)*$O$8*$P$8/16</f>
        <v>293.70886622151386</v>
      </c>
      <c r="AM95" s="189">
        <f>$K$15+$I$18*(INDEX(Forecast!$D38:$D76,COLUMN()-6,1)-$I$8)*$O$8*$P$8/16</f>
        <v>293.70886622151386</v>
      </c>
      <c r="AN95" s="189">
        <f>$K$15+$I$18*(INDEX(Forecast!$D38:$D76,COLUMN()-6,1)-$I$8)*$O$8*$P$8/16</f>
        <v>293.70886622151386</v>
      </c>
      <c r="AO95" s="189">
        <f>$K$15+$I$18*(INDEX(Forecast!$D38:$D76,COLUMN()-6,1)-$I$8)*$O$8*$P$8/16</f>
        <v>293.70886622151386</v>
      </c>
      <c r="AP95" s="189">
        <f>$K$15+$I$18*(INDEX(Forecast!$D38:$D76,COLUMN()-6,1)-$I$8)*$O$8*$P$8/16</f>
        <v>293.70886622151386</v>
      </c>
      <c r="AQ95" s="189">
        <f>$K$15+$I$18*(INDEX(Forecast!$D38:$D76,COLUMN()-6,1)-$I$8)*$O$8*$P$8/16</f>
        <v>293.70886622151386</v>
      </c>
      <c r="AR95" s="189">
        <f>$K$15+$I$18*(INDEX(Forecast!$D38:$D76,COLUMN()-6,1)-$I$8)*$O$8*$P$8/16</f>
        <v>293.70886622151386</v>
      </c>
      <c r="AS95" s="189">
        <f>$K$15+$I$18*(INDEX(Forecast!$D38:$D76,COLUMN()-6,1)-$I$8)*$O$8*$P$8/16</f>
        <v>293.70886622151386</v>
      </c>
      <c r="AT95" s="189"/>
      <c r="AU95" s="189"/>
      <c r="AV95" s="189"/>
      <c r="AW95" s="189"/>
      <c r="AX95" s="189"/>
      <c r="AY95" s="189"/>
      <c r="AZ95" s="189"/>
      <c r="BA95" s="189"/>
      <c r="BB95" s="189"/>
      <c r="BC95" s="189"/>
      <c r="BD95" s="189"/>
      <c r="BE95" s="189"/>
      <c r="BF95" s="189"/>
      <c r="BG95" s="189"/>
      <c r="BH95" s="189"/>
      <c r="BI95" s="175"/>
      <c r="BJ95" s="121"/>
      <c r="BK95" s="121"/>
      <c r="BL95" s="121"/>
      <c r="BM95" s="121"/>
      <c r="BN95" s="121"/>
      <c r="BO95" s="121"/>
    </row>
    <row r="96" spans="2:67" ht="12.75">
      <c r="C96" s="201"/>
      <c r="D96" s="121" t="s">
        <v>631</v>
      </c>
      <c r="E96" s="121" t="s">
        <v>1306</v>
      </c>
      <c r="F96" s="189"/>
      <c r="G96" s="189">
        <f>$L$15+$I$19*(INDEX(Forecast!$D38:$D76,COLUMN()-6,1)-$I$8)*$O$8*$P$8/0.297</f>
        <v>26033.958999197719</v>
      </c>
      <c r="H96" s="189">
        <f>$L$15+$I$19*(INDEX(Forecast!$D38:$D76,COLUMN()-6,1)-$I$8)*$O$8*$P$8/0.297</f>
        <v>26033.958999197719</v>
      </c>
      <c r="I96" s="189">
        <f>$L$15+$I$19*(INDEX(Forecast!$D38:$D76,COLUMN()-6,1)-$I$8)*$O$8*$P$8/0.297</f>
        <v>26033.958999197719</v>
      </c>
      <c r="J96" s="189">
        <f>$L$15+$I$19*(INDEX(Forecast!$D38:$D76,COLUMN()-6,1)-$I$8)*$O$8*$P$8/0.297</f>
        <v>26033.958999197719</v>
      </c>
      <c r="K96" s="189">
        <f>$L$15+$I$19*(INDEX(Forecast!$D38:$D76,COLUMN()-6,1)-$I$8)*$O$8*$P$8/0.297</f>
        <v>26033.958999197719</v>
      </c>
      <c r="L96" s="189">
        <f>$L$15+$I$19*(INDEX(Forecast!$D38:$D76,COLUMN()-6,1)-$I$8)*$O$8*$P$8/0.297</f>
        <v>26033.958999197719</v>
      </c>
      <c r="M96" s="189">
        <f>$L$15+$I$19*(INDEX(Forecast!$D38:$D76,COLUMN()-6,1)-$I$8)*$O$8*$P$8/0.297</f>
        <v>26033.958999197719</v>
      </c>
      <c r="N96" s="189">
        <f>$L$15+$I$19*(INDEX(Forecast!$D38:$D76,COLUMN()-6,1)-$I$8)*$O$8*$P$8/0.297</f>
        <v>26033.958999197719</v>
      </c>
      <c r="O96" s="189">
        <f>$L$15+$I$19*(INDEX(Forecast!$D38:$D76,COLUMN()-6,1)-$I$8)*$O$8*$P$8/0.297</f>
        <v>26033.958999197719</v>
      </c>
      <c r="P96" s="189">
        <f>$L$15+$I$19*(INDEX(Forecast!$D38:$D76,COLUMN()-6,1)-$I$8)*$O$8*$P$8/0.297</f>
        <v>26033.958999197719</v>
      </c>
      <c r="Q96" s="189">
        <f>$L$15+$I$19*(INDEX(Forecast!$D38:$D76,COLUMN()-6,1)-$I$8)*$O$8*$P$8/0.297</f>
        <v>26033.958999197719</v>
      </c>
      <c r="R96" s="189">
        <f>$L$15+$I$19*(INDEX(Forecast!$D38:$D76,COLUMN()-6,1)-$I$8)*$O$8*$P$8/0.297</f>
        <v>26033.958999197719</v>
      </c>
      <c r="S96" s="189">
        <f>$L$15+$I$19*(INDEX(Forecast!$D38:$D76,COLUMN()-6,1)-$I$8)*$O$8*$P$8/0.297</f>
        <v>26033.958999197719</v>
      </c>
      <c r="T96" s="189">
        <f>$L$15+$I$19*(INDEX(Forecast!$D38:$D76,COLUMN()-6,1)-$I$8)*$O$8*$P$8/0.297</f>
        <v>26033.958999197719</v>
      </c>
      <c r="U96" s="189">
        <f>$L$15+$I$19*(INDEX(Forecast!$D38:$D76,COLUMN()-6,1)-$I$8)*$O$8*$P$8/0.297</f>
        <v>26033.958999197719</v>
      </c>
      <c r="V96" s="189">
        <f>$L$15+$I$19*(INDEX(Forecast!$D38:$D76,COLUMN()-6,1)-$I$8)*$O$8*$P$8/0.297</f>
        <v>26033.958999197719</v>
      </c>
      <c r="W96" s="189">
        <f>$L$15+$I$19*(INDEX(Forecast!$D38:$D76,COLUMN()-6,1)-$I$8)*$O$8*$P$8/0.297</f>
        <v>26033.958999197719</v>
      </c>
      <c r="X96" s="189">
        <f>$L$15+$I$19*(INDEX(Forecast!$D38:$D76,COLUMN()-6,1)-$I$8)*$O$8*$P$8/0.297</f>
        <v>26033.958999197719</v>
      </c>
      <c r="Y96" s="189">
        <f>$L$15+$I$19*(INDEX(Forecast!$D38:$D76,COLUMN()-6,1)-$I$8)*$O$8*$P$8/0.297</f>
        <v>26033.958999197719</v>
      </c>
      <c r="Z96" s="189">
        <f>$L$15+$I$19*(INDEX(Forecast!$D38:$D76,COLUMN()-6,1)-$I$8)*$O$8*$P$8/0.297</f>
        <v>26033.958999197719</v>
      </c>
      <c r="AA96" s="189">
        <f>$L$15+$I$19*(INDEX(Forecast!$D38:$D76,COLUMN()-6,1)-$I$8)*$O$8*$P$8/0.297</f>
        <v>26033.958999197719</v>
      </c>
      <c r="AB96" s="189">
        <f>$L$15+$I$19*(INDEX(Forecast!$D38:$D76,COLUMN()-6,1)-$I$8)*$O$8*$P$8/0.297</f>
        <v>26033.958999197719</v>
      </c>
      <c r="AC96" s="189">
        <f>$L$15+$I$19*(INDEX(Forecast!$D38:$D76,COLUMN()-6,1)-$I$8)*$O$8*$P$8/0.297</f>
        <v>26033.958999197719</v>
      </c>
      <c r="AD96" s="189">
        <f>$L$15+$I$19*(INDEX(Forecast!$D38:$D76,COLUMN()-6,1)-$I$8)*$O$8*$P$8/0.297</f>
        <v>26033.958999197719</v>
      </c>
      <c r="AE96" s="189">
        <f>$L$15+$I$19*(INDEX(Forecast!$D38:$D76,COLUMN()-6,1)-$I$8)*$O$8*$P$8/0.297</f>
        <v>26033.958999197719</v>
      </c>
      <c r="AF96" s="189">
        <f>$L$15+$I$19*(INDEX(Forecast!$D38:$D76,COLUMN()-6,1)-$I$8)*$O$8*$P$8/0.297</f>
        <v>26033.958999197719</v>
      </c>
      <c r="AG96" s="189">
        <f>$L$15+$I$19*(INDEX(Forecast!$D38:$D76,COLUMN()-6,1)-$I$8)*$O$8*$P$8/0.297</f>
        <v>26033.958999197719</v>
      </c>
      <c r="AH96" s="189">
        <f>$L$15+$I$19*(INDEX(Forecast!$D38:$D76,COLUMN()-6,1)-$I$8)*$O$8*$P$8/0.297</f>
        <v>26033.958999197719</v>
      </c>
      <c r="AI96" s="189">
        <f>$L$15+$I$19*(INDEX(Forecast!$D38:$D76,COLUMN()-6,1)-$I$8)*$O$8*$P$8/0.297</f>
        <v>26033.958999197719</v>
      </c>
      <c r="AJ96" s="189">
        <f>$L$15+$I$19*(INDEX(Forecast!$D38:$D76,COLUMN()-6,1)-$I$8)*$O$8*$P$8/0.297</f>
        <v>26033.958999197719</v>
      </c>
      <c r="AK96" s="189">
        <f>$L$15+$I$19*(INDEX(Forecast!$D38:$D76,COLUMN()-6,1)-$I$8)*$O$8*$P$8/0.297</f>
        <v>26033.958999197719</v>
      </c>
      <c r="AL96" s="189">
        <f>$L$15+$I$19*(INDEX(Forecast!$D38:$D76,COLUMN()-6,1)-$I$8)*$O$8*$P$8/0.297</f>
        <v>26033.958999197719</v>
      </c>
      <c r="AM96" s="189">
        <f>$L$15+$I$19*(INDEX(Forecast!$D38:$D76,COLUMN()-6,1)-$I$8)*$O$8*$P$8/0.297</f>
        <v>26033.958999197719</v>
      </c>
      <c r="AN96" s="189">
        <f>$L$15+$I$19*(INDEX(Forecast!$D38:$D76,COLUMN()-6,1)-$I$8)*$O$8*$P$8/0.297</f>
        <v>26033.958999197719</v>
      </c>
      <c r="AO96" s="189">
        <f>$L$15+$I$19*(INDEX(Forecast!$D38:$D76,COLUMN()-6,1)-$I$8)*$O$8*$P$8/0.297</f>
        <v>26033.958999197719</v>
      </c>
      <c r="AP96" s="189">
        <f>$L$15+$I$19*(INDEX(Forecast!$D38:$D76,COLUMN()-6,1)-$I$8)*$O$8*$P$8/0.297</f>
        <v>26033.958999197719</v>
      </c>
      <c r="AQ96" s="189">
        <f>$L$15+$I$19*(INDEX(Forecast!$D38:$D76,COLUMN()-6,1)-$I$8)*$O$8*$P$8/0.297</f>
        <v>26033.958999197719</v>
      </c>
      <c r="AR96" s="189">
        <f>$L$15+$I$19*(INDEX(Forecast!$D38:$D76,COLUMN()-6,1)-$I$8)*$O$8*$P$8/0.297</f>
        <v>26033.958999197719</v>
      </c>
      <c r="AS96" s="189">
        <f>$L$15+$I$19*(INDEX(Forecast!$D38:$D76,COLUMN()-6,1)-$I$8)*$O$8*$P$8/0.297</f>
        <v>26033.958999197719</v>
      </c>
      <c r="AT96" s="189"/>
      <c r="AU96" s="189"/>
      <c r="AV96" s="189"/>
      <c r="AW96" s="189"/>
      <c r="AX96" s="189"/>
      <c r="AY96" s="189"/>
      <c r="AZ96" s="189"/>
      <c r="BA96" s="189"/>
      <c r="BB96" s="189"/>
      <c r="BC96" s="189"/>
      <c r="BD96" s="189"/>
      <c r="BE96" s="189"/>
      <c r="BF96" s="189"/>
      <c r="BG96" s="189"/>
      <c r="BH96" s="189"/>
      <c r="BI96" s="175"/>
      <c r="BJ96" s="121"/>
      <c r="BK96" s="121"/>
      <c r="BL96" s="121"/>
      <c r="BM96" s="121"/>
      <c r="BN96" s="121"/>
      <c r="BO96" s="121"/>
    </row>
    <row r="97" spans="2:70" ht="12.75">
      <c r="C97" s="201"/>
      <c r="D97" s="121" t="s">
        <v>2007</v>
      </c>
      <c r="E97" s="121" t="s">
        <v>2086</v>
      </c>
      <c r="F97" s="189"/>
      <c r="G97" s="189">
        <f>$M$15+$I$20*(INDEX(Forecast!$D38:$D76,COLUMN()-6,1)-$I$8)*$O$8*$P$8/0.97</f>
        <v>48.178126627260092</v>
      </c>
      <c r="H97" s="189">
        <f>$M$15+$I$20*(INDEX(Forecast!$D38:$D76,COLUMN()-6,1)-$I$8)*$O$8*$P$8/0.97</f>
        <v>48.178126627260092</v>
      </c>
      <c r="I97" s="189">
        <f>$M$15+$I$20*(INDEX(Forecast!$D38:$D76,COLUMN()-6,1)-$I$8)*$O$8*$P$8/0.97</f>
        <v>48.178126627260092</v>
      </c>
      <c r="J97" s="189">
        <f>$M$15+$I$20*(INDEX(Forecast!$D38:$D76,COLUMN()-6,1)-$I$8)*$O$8*$P$8/0.97</f>
        <v>48.178126627260092</v>
      </c>
      <c r="K97" s="189">
        <f>$M$15+$I$20*(INDEX(Forecast!$D38:$D76,COLUMN()-6,1)-$I$8)*$O$8*$P$8/0.97</f>
        <v>48.178126627260092</v>
      </c>
      <c r="L97" s="189">
        <f>$M$15+$I$20*(INDEX(Forecast!$D38:$D76,COLUMN()-6,1)-$I$8)*$O$8*$P$8/0.97</f>
        <v>48.178126627260092</v>
      </c>
      <c r="M97" s="189">
        <f>$M$15+$I$20*(INDEX(Forecast!$D38:$D76,COLUMN()-6,1)-$I$8)*$O$8*$P$8/0.97</f>
        <v>48.178126627260092</v>
      </c>
      <c r="N97" s="189">
        <f>$M$15+$I$20*(INDEX(Forecast!$D38:$D76,COLUMN()-6,1)-$I$8)*$O$8*$P$8/0.97</f>
        <v>48.178126627260092</v>
      </c>
      <c r="O97" s="189">
        <f>$M$15+$I$20*(INDEX(Forecast!$D38:$D76,COLUMN()-6,1)-$I$8)*$O$8*$P$8/0.97</f>
        <v>48.178126627260092</v>
      </c>
      <c r="P97" s="189">
        <f>$M$15+$I$20*(INDEX(Forecast!$D38:$D76,COLUMN()-6,1)-$I$8)*$O$8*$P$8/0.97</f>
        <v>48.178126627260092</v>
      </c>
      <c r="Q97" s="189">
        <f>$M$15+$I$20*(INDEX(Forecast!$D38:$D76,COLUMN()-6,1)-$I$8)*$O$8*$P$8/0.97</f>
        <v>48.178126627260092</v>
      </c>
      <c r="R97" s="189">
        <f>$M$15+$I$20*(INDEX(Forecast!$D38:$D76,COLUMN()-6,1)-$I$8)*$O$8*$P$8/0.97</f>
        <v>48.178126627260092</v>
      </c>
      <c r="S97" s="189">
        <f>$M$15+$I$20*(INDEX(Forecast!$D38:$D76,COLUMN()-6,1)-$I$8)*$O$8*$P$8/0.97</f>
        <v>48.178126627260092</v>
      </c>
      <c r="T97" s="189">
        <f>$M$15+$I$20*(INDEX(Forecast!$D38:$D76,COLUMN()-6,1)-$I$8)*$O$8*$P$8/0.97</f>
        <v>48.178126627260092</v>
      </c>
      <c r="U97" s="189">
        <f>$M$15+$I$20*(INDEX(Forecast!$D38:$D76,COLUMN()-6,1)-$I$8)*$O$8*$P$8/0.97</f>
        <v>48.178126627260092</v>
      </c>
      <c r="V97" s="189">
        <f>$M$15+$I$20*(INDEX(Forecast!$D38:$D76,COLUMN()-6,1)-$I$8)*$O$8*$P$8/0.97</f>
        <v>48.178126627260092</v>
      </c>
      <c r="W97" s="189">
        <f>$M$15+$I$20*(INDEX(Forecast!$D38:$D76,COLUMN()-6,1)-$I$8)*$O$8*$P$8/0.97</f>
        <v>48.178126627260092</v>
      </c>
      <c r="X97" s="189">
        <f>$M$15+$I$20*(INDEX(Forecast!$D38:$D76,COLUMN()-6,1)-$I$8)*$O$8*$P$8/0.97</f>
        <v>48.178126627260092</v>
      </c>
      <c r="Y97" s="189">
        <f>$M$15+$I$20*(INDEX(Forecast!$D38:$D76,COLUMN()-6,1)-$I$8)*$O$8*$P$8/0.97</f>
        <v>48.178126627260092</v>
      </c>
      <c r="Z97" s="189">
        <f>$M$15+$I$20*(INDEX(Forecast!$D38:$D76,COLUMN()-6,1)-$I$8)*$O$8*$P$8/0.97</f>
        <v>48.178126627260092</v>
      </c>
      <c r="AA97" s="189">
        <f>$M$15+$I$20*(INDEX(Forecast!$D38:$D76,COLUMN()-6,1)-$I$8)*$O$8*$P$8/0.97</f>
        <v>48.178126627260092</v>
      </c>
      <c r="AB97" s="189">
        <f>$M$15+$I$20*(INDEX(Forecast!$D38:$D76,COLUMN()-6,1)-$I$8)*$O$8*$P$8/0.97</f>
        <v>48.178126627260092</v>
      </c>
      <c r="AC97" s="189">
        <f>$M$15+$I$20*(INDEX(Forecast!$D38:$D76,COLUMN()-6,1)-$I$8)*$O$8*$P$8/0.97</f>
        <v>48.178126627260092</v>
      </c>
      <c r="AD97" s="189">
        <f>$M$15+$I$20*(INDEX(Forecast!$D38:$D76,COLUMN()-6,1)-$I$8)*$O$8*$P$8/0.97</f>
        <v>48.178126627260092</v>
      </c>
      <c r="AE97" s="189">
        <f>$M$15+$I$20*(INDEX(Forecast!$D38:$D76,COLUMN()-6,1)-$I$8)*$O$8*$P$8/0.97</f>
        <v>48.178126627260092</v>
      </c>
      <c r="AF97" s="189">
        <f>$M$15+$I$20*(INDEX(Forecast!$D38:$D76,COLUMN()-6,1)-$I$8)*$O$8*$P$8/0.97</f>
        <v>48.178126627260092</v>
      </c>
      <c r="AG97" s="189">
        <f>$M$15+$I$20*(INDEX(Forecast!$D38:$D76,COLUMN()-6,1)-$I$8)*$O$8*$P$8/0.97</f>
        <v>48.178126627260092</v>
      </c>
      <c r="AH97" s="189">
        <f>$M$15+$I$20*(INDEX(Forecast!$D38:$D76,COLUMN()-6,1)-$I$8)*$O$8*$P$8/0.97</f>
        <v>48.178126627260092</v>
      </c>
      <c r="AI97" s="189">
        <f>$M$15+$I$20*(INDEX(Forecast!$D38:$D76,COLUMN()-6,1)-$I$8)*$O$8*$P$8/0.97</f>
        <v>48.178126627260092</v>
      </c>
      <c r="AJ97" s="189">
        <f>$M$15+$I$20*(INDEX(Forecast!$D38:$D76,COLUMN()-6,1)-$I$8)*$O$8*$P$8/0.97</f>
        <v>48.178126627260092</v>
      </c>
      <c r="AK97" s="189">
        <f>$M$15+$I$20*(INDEX(Forecast!$D38:$D76,COLUMN()-6,1)-$I$8)*$O$8*$P$8/0.97</f>
        <v>48.178126627260092</v>
      </c>
      <c r="AL97" s="189">
        <f>$M$15+$I$20*(INDEX(Forecast!$D38:$D76,COLUMN()-6,1)-$I$8)*$O$8*$P$8/0.97</f>
        <v>48.178126627260092</v>
      </c>
      <c r="AM97" s="189">
        <f>$M$15+$I$20*(INDEX(Forecast!$D38:$D76,COLUMN()-6,1)-$I$8)*$O$8*$P$8/0.97</f>
        <v>48.178126627260092</v>
      </c>
      <c r="AN97" s="189">
        <f>$M$15+$I$20*(INDEX(Forecast!$D38:$D76,COLUMN()-6,1)-$I$8)*$O$8*$P$8/0.97</f>
        <v>48.178126627260092</v>
      </c>
      <c r="AO97" s="189">
        <f>$M$15+$I$20*(INDEX(Forecast!$D38:$D76,COLUMN()-6,1)-$I$8)*$O$8*$P$8/0.97</f>
        <v>48.178126627260092</v>
      </c>
      <c r="AP97" s="189">
        <f>$M$15+$I$20*(INDEX(Forecast!$D38:$D76,COLUMN()-6,1)-$I$8)*$O$8*$P$8/0.97</f>
        <v>48.178126627260092</v>
      </c>
      <c r="AQ97" s="189">
        <f>$M$15+$I$20*(INDEX(Forecast!$D38:$D76,COLUMN()-6,1)-$I$8)*$O$8*$P$8/0.97</f>
        <v>48.178126627260092</v>
      </c>
      <c r="AR97" s="189">
        <f>$M$15+$I$20*(INDEX(Forecast!$D38:$D76,COLUMN()-6,1)-$I$8)*$O$8*$P$8/0.97</f>
        <v>48.178126627260092</v>
      </c>
      <c r="AS97" s="189">
        <f>$M$15+$I$20*(INDEX(Forecast!$D38:$D76,COLUMN()-6,1)-$I$8)*$O$8*$P$8/0.97</f>
        <v>48.178126627260092</v>
      </c>
      <c r="AT97" s="189"/>
      <c r="AU97" s="189"/>
      <c r="AV97" s="189"/>
      <c r="AW97" s="189"/>
      <c r="AX97" s="189"/>
      <c r="AY97" s="189"/>
      <c r="AZ97" s="189"/>
      <c r="BA97" s="189"/>
      <c r="BB97" s="189"/>
      <c r="BC97" s="189"/>
      <c r="BD97" s="189"/>
      <c r="BE97" s="189"/>
      <c r="BF97" s="189"/>
      <c r="BG97" s="189"/>
      <c r="BH97" s="189"/>
      <c r="BI97" s="175"/>
      <c r="BJ97" s="121"/>
      <c r="BK97" s="121"/>
      <c r="BL97" s="121"/>
      <c r="BM97" s="121"/>
      <c r="BN97" s="121"/>
      <c r="BO97" s="121"/>
    </row>
    <row r="98" spans="2:70" ht="12.75">
      <c r="C98" s="201"/>
      <c r="D98" s="121" t="s">
        <v>2084</v>
      </c>
      <c r="E98" s="121" t="s">
        <v>706</v>
      </c>
      <c r="F98" s="189"/>
      <c r="G98" s="189">
        <f>$N$15+$I$21*(INDEX(Forecast!$D38:$D76,COLUMN()-6,1)-$I$8)*$O$8*$P$8/0.09</f>
        <v>107.31051012843035</v>
      </c>
      <c r="H98" s="189">
        <f>$N$15+$I$21*(INDEX(Forecast!$D38:$D76,COLUMN()-6,1)-$I$8)*$O$8*$P$8/0.09</f>
        <v>107.31051012843035</v>
      </c>
      <c r="I98" s="189">
        <f>$N$15+$I$21*(INDEX(Forecast!$D38:$D76,COLUMN()-6,1)-$I$8)*$O$8*$P$8/0.09</f>
        <v>107.31051012843035</v>
      </c>
      <c r="J98" s="189">
        <f>$N$15+$I$21*(INDEX(Forecast!$D38:$D76,COLUMN()-6,1)-$I$8)*$O$8*$P$8/0.09</f>
        <v>107.31051012843035</v>
      </c>
      <c r="K98" s="189">
        <f>$N$15+$I$21*(INDEX(Forecast!$D38:$D76,COLUMN()-6,1)-$I$8)*$O$8*$P$8/0.09</f>
        <v>107.31051012843035</v>
      </c>
      <c r="L98" s="189">
        <f>$N$15+$I$21*(INDEX(Forecast!$D38:$D76,COLUMN()-6,1)-$I$8)*$O$8*$P$8/0.09</f>
        <v>107.31051012843035</v>
      </c>
      <c r="M98" s="189">
        <f>$N$15+$I$21*(INDEX(Forecast!$D38:$D76,COLUMN()-6,1)-$I$8)*$O$8*$P$8/0.09</f>
        <v>107.31051012843035</v>
      </c>
      <c r="N98" s="189">
        <f>$N$15+$I$21*(INDEX(Forecast!$D38:$D76,COLUMN()-6,1)-$I$8)*$O$8*$P$8/0.09</f>
        <v>107.31051012843035</v>
      </c>
      <c r="O98" s="189">
        <f>$N$15+$I$21*(INDEX(Forecast!$D38:$D76,COLUMN()-6,1)-$I$8)*$O$8*$P$8/0.09</f>
        <v>107.31051012843035</v>
      </c>
      <c r="P98" s="189">
        <f>$N$15+$I$21*(INDEX(Forecast!$D38:$D76,COLUMN()-6,1)-$I$8)*$O$8*$P$8/0.09</f>
        <v>107.31051012843035</v>
      </c>
      <c r="Q98" s="189">
        <f>$N$15+$I$21*(INDEX(Forecast!$D38:$D76,COLUMN()-6,1)-$I$8)*$O$8*$P$8/0.09</f>
        <v>107.31051012843035</v>
      </c>
      <c r="R98" s="189">
        <f>$N$15+$I$21*(INDEX(Forecast!$D38:$D76,COLUMN()-6,1)-$I$8)*$O$8*$P$8/0.09</f>
        <v>107.31051012843035</v>
      </c>
      <c r="S98" s="189">
        <f>$N$15+$I$21*(INDEX(Forecast!$D38:$D76,COLUMN()-6,1)-$I$8)*$O$8*$P$8/0.09</f>
        <v>107.31051012843035</v>
      </c>
      <c r="T98" s="189">
        <f>$N$15+$I$21*(INDEX(Forecast!$D38:$D76,COLUMN()-6,1)-$I$8)*$O$8*$P$8/0.09</f>
        <v>107.31051012843035</v>
      </c>
      <c r="U98" s="189">
        <f>$N$15+$I$21*(INDEX(Forecast!$D38:$D76,COLUMN()-6,1)-$I$8)*$O$8*$P$8/0.09</f>
        <v>107.31051012843035</v>
      </c>
      <c r="V98" s="189">
        <f>$N$15+$I$21*(INDEX(Forecast!$D38:$D76,COLUMN()-6,1)-$I$8)*$O$8*$P$8/0.09</f>
        <v>107.31051012843035</v>
      </c>
      <c r="W98" s="189">
        <f>$N$15+$I$21*(INDEX(Forecast!$D38:$D76,COLUMN()-6,1)-$I$8)*$O$8*$P$8/0.09</f>
        <v>107.31051012843035</v>
      </c>
      <c r="X98" s="189">
        <f>$N$15+$I$21*(INDEX(Forecast!$D38:$D76,COLUMN()-6,1)-$I$8)*$O$8*$P$8/0.09</f>
        <v>107.31051012843035</v>
      </c>
      <c r="Y98" s="189">
        <f>$N$15+$I$21*(INDEX(Forecast!$D38:$D76,COLUMN()-6,1)-$I$8)*$O$8*$P$8/0.09</f>
        <v>107.31051012843035</v>
      </c>
      <c r="Z98" s="189">
        <f>$N$15+$I$21*(INDEX(Forecast!$D38:$D76,COLUMN()-6,1)-$I$8)*$O$8*$P$8/0.09</f>
        <v>107.31051012843035</v>
      </c>
      <c r="AA98" s="189">
        <f>$N$15+$I$21*(INDEX(Forecast!$D38:$D76,COLUMN()-6,1)-$I$8)*$O$8*$P$8/0.09</f>
        <v>107.31051012843035</v>
      </c>
      <c r="AB98" s="189">
        <f>$N$15+$I$21*(INDEX(Forecast!$D38:$D76,COLUMN()-6,1)-$I$8)*$O$8*$P$8/0.09</f>
        <v>107.31051012843035</v>
      </c>
      <c r="AC98" s="189">
        <f>$N$15+$I$21*(INDEX(Forecast!$D38:$D76,COLUMN()-6,1)-$I$8)*$O$8*$P$8/0.09</f>
        <v>107.31051012843035</v>
      </c>
      <c r="AD98" s="189">
        <f>$N$15+$I$21*(INDEX(Forecast!$D38:$D76,COLUMN()-6,1)-$I$8)*$O$8*$P$8/0.09</f>
        <v>107.31051012843035</v>
      </c>
      <c r="AE98" s="189">
        <f>$N$15+$I$21*(INDEX(Forecast!$D38:$D76,COLUMN()-6,1)-$I$8)*$O$8*$P$8/0.09</f>
        <v>107.31051012843035</v>
      </c>
      <c r="AF98" s="189">
        <f>$N$15+$I$21*(INDEX(Forecast!$D38:$D76,COLUMN()-6,1)-$I$8)*$O$8*$P$8/0.09</f>
        <v>107.31051012843035</v>
      </c>
      <c r="AG98" s="189">
        <f>$N$15+$I$21*(INDEX(Forecast!$D38:$D76,COLUMN()-6,1)-$I$8)*$O$8*$P$8/0.09</f>
        <v>107.31051012843035</v>
      </c>
      <c r="AH98" s="189">
        <f>$N$15+$I$21*(INDEX(Forecast!$D38:$D76,COLUMN()-6,1)-$I$8)*$O$8*$P$8/0.09</f>
        <v>107.31051012843035</v>
      </c>
      <c r="AI98" s="189">
        <f>$N$15+$I$21*(INDEX(Forecast!$D38:$D76,COLUMN()-6,1)-$I$8)*$O$8*$P$8/0.09</f>
        <v>107.31051012843035</v>
      </c>
      <c r="AJ98" s="189">
        <f>$N$15+$I$21*(INDEX(Forecast!$D38:$D76,COLUMN()-6,1)-$I$8)*$O$8*$P$8/0.09</f>
        <v>107.31051012843035</v>
      </c>
      <c r="AK98" s="189">
        <f>$N$15+$I$21*(INDEX(Forecast!$D38:$D76,COLUMN()-6,1)-$I$8)*$O$8*$P$8/0.09</f>
        <v>107.31051012843035</v>
      </c>
      <c r="AL98" s="189">
        <f>$N$15+$I$21*(INDEX(Forecast!$D38:$D76,COLUMN()-6,1)-$I$8)*$O$8*$P$8/0.09</f>
        <v>107.31051012843035</v>
      </c>
      <c r="AM98" s="189">
        <f>$N$15+$I$21*(INDEX(Forecast!$D38:$D76,COLUMN()-6,1)-$I$8)*$O$8*$P$8/0.09</f>
        <v>107.31051012843035</v>
      </c>
      <c r="AN98" s="189">
        <f>$N$15+$I$21*(INDEX(Forecast!$D38:$D76,COLUMN()-6,1)-$I$8)*$O$8*$P$8/0.09</f>
        <v>107.31051012843035</v>
      </c>
      <c r="AO98" s="189">
        <f>$N$15+$I$21*(INDEX(Forecast!$D38:$D76,COLUMN()-6,1)-$I$8)*$O$8*$P$8/0.09</f>
        <v>107.31051012843035</v>
      </c>
      <c r="AP98" s="189">
        <f>$N$15+$I$21*(INDEX(Forecast!$D38:$D76,COLUMN()-6,1)-$I$8)*$O$8*$P$8/0.09</f>
        <v>107.31051012843035</v>
      </c>
      <c r="AQ98" s="189">
        <f>$N$15+$I$21*(INDEX(Forecast!$D38:$D76,COLUMN()-6,1)-$I$8)*$O$8*$P$8/0.09</f>
        <v>107.31051012843035</v>
      </c>
      <c r="AR98" s="189">
        <f>$N$15+$I$21*(INDEX(Forecast!$D38:$D76,COLUMN()-6,1)-$I$8)*$O$8*$P$8/0.09</f>
        <v>107.31051012843035</v>
      </c>
      <c r="AS98" s="189">
        <f>$N$15+$I$21*(INDEX(Forecast!$D38:$D76,COLUMN()-6,1)-$I$8)*$O$8*$P$8/0.09</f>
        <v>107.31051012843035</v>
      </c>
      <c r="AT98" s="189"/>
      <c r="AU98" s="189"/>
      <c r="AV98" s="189"/>
      <c r="AW98" s="189"/>
      <c r="AX98" s="189"/>
      <c r="AY98" s="189"/>
      <c r="AZ98" s="189"/>
      <c r="BA98" s="189"/>
      <c r="BB98" s="189"/>
      <c r="BC98" s="189"/>
      <c r="BD98" s="189"/>
      <c r="BE98" s="189"/>
      <c r="BF98" s="189"/>
      <c r="BG98" s="189"/>
      <c r="BH98" s="189"/>
      <c r="BI98" s="175"/>
      <c r="BJ98" s="121"/>
      <c r="BK98" s="121"/>
      <c r="BL98" s="121"/>
      <c r="BM98" s="121"/>
      <c r="BN98" s="121"/>
      <c r="BO98" s="121"/>
    </row>
    <row r="99" spans="2:70" ht="12.75">
      <c r="C99" s="201"/>
      <c r="D99" s="121" t="s">
        <v>2089</v>
      </c>
      <c r="E99" s="121" t="str">
        <f>IF(C7="railbelt south of alaska range","$ per mmBtu","$ per gallon")</f>
        <v>$ per gallon</v>
      </c>
      <c r="F99" s="187"/>
      <c r="G99" s="187">
        <f>VLOOKUP($C$6,'Diesel Fuel Prices'!$D$7:$BN$183,-6+G53,0)+$D$47</f>
        <v>4.2059794220983502</v>
      </c>
      <c r="H99" s="187">
        <f>VLOOKUP($C$6,'Diesel Fuel Prices'!$D$7:$BN$183,-6+H53,0)+$D$47</f>
        <v>4.6732754001702883</v>
      </c>
      <c r="I99" s="187">
        <f>VLOOKUP($C$6,'Diesel Fuel Prices'!$D$7:$BN$183,-6+I53,0)+$D$47</f>
        <v>4.8376162909716216</v>
      </c>
      <c r="J99" s="187">
        <f>VLOOKUP($C$6,'Diesel Fuel Prices'!$D$7:$BN$183,-6+J53,0)+$D$47</f>
        <v>4.8496361886136912</v>
      </c>
      <c r="K99" s="187">
        <f>VLOOKUP($C$6,'Diesel Fuel Prices'!$D$7:$BN$183,-6+K53,0)+$D$47</f>
        <v>4.9056275244664125</v>
      </c>
      <c r="L99" s="187">
        <f>VLOOKUP($C$6,'Diesel Fuel Prices'!$D$7:$BN$183,-6+L53,0)+$D$47</f>
        <v>4.9619109251504847</v>
      </c>
      <c r="M99" s="187">
        <f>VLOOKUP($C$6,'Diesel Fuel Prices'!$D$7:$BN$183,-6+M53,0)+$D$47</f>
        <v>5.0381773568460284</v>
      </c>
      <c r="N99" s="187">
        <f>VLOOKUP($C$6,'Diesel Fuel Prices'!$D$7:$BN$183,-6+N53,0)+$D$47</f>
        <v>5.1199306055642086</v>
      </c>
      <c r="O99" s="187">
        <f>VLOOKUP($C$6,'Diesel Fuel Prices'!$D$7:$BN$183,-6+O53,0)+$D$47</f>
        <v>5.2046041917591079</v>
      </c>
      <c r="P99" s="187">
        <f>VLOOKUP($C$6,'Diesel Fuel Prices'!$D$7:$BN$183,-6+P53,0)+$D$47</f>
        <v>5.2910732209604339</v>
      </c>
      <c r="Q99" s="187">
        <f>VLOOKUP($C$6,'Diesel Fuel Prices'!$D$7:$BN$183,-6+Q53,0)+$D$47</f>
        <v>5.377947971766412</v>
      </c>
      <c r="R99" s="187">
        <f>VLOOKUP($C$6,'Diesel Fuel Prices'!$D$7:$BN$183,-6+R53,0)+$D$47</f>
        <v>5.4704967063761769</v>
      </c>
      <c r="S99" s="187">
        <f>VLOOKUP($C$6,'Diesel Fuel Prices'!$D$7:$BN$183,-6+S53,0)+$D$47</f>
        <v>5.5653090792390989</v>
      </c>
      <c r="T99" s="187">
        <f>VLOOKUP($C$6,'Diesel Fuel Prices'!$D$7:$BN$183,-6+T53,0)+$D$47</f>
        <v>5.6624414849609002</v>
      </c>
      <c r="U99" s="187">
        <f>VLOOKUP($C$6,'Diesel Fuel Prices'!$D$7:$BN$183,-6+U53,0)+$D$47</f>
        <v>5.7619514121882238</v>
      </c>
      <c r="V99" s="187">
        <f>VLOOKUP($C$6,'Diesel Fuel Prices'!$D$7:$BN$183,-6+V53,0)+$D$47</f>
        <v>5.863897589004015</v>
      </c>
      <c r="W99" s="187">
        <f>VLOOKUP($C$6,'Diesel Fuel Prices'!$D$7:$BN$183,-6+W53,0)+$D$47</f>
        <v>5.9683408481979816</v>
      </c>
      <c r="X99" s="187">
        <f>VLOOKUP($C$6,'Diesel Fuel Prices'!$D$7:$BN$183,-6+X53,0)+$D$47</f>
        <v>6.075342926874276</v>
      </c>
      <c r="Y99" s="187">
        <f>VLOOKUP($C$6,'Diesel Fuel Prices'!$D$7:$BN$183,-6+Y53,0)+$D$47</f>
        <v>6.184818158118297</v>
      </c>
      <c r="Z99" s="187">
        <f>VLOOKUP($C$6,'Diesel Fuel Prices'!$D$7:$BN$183,-6+Z53,0)+$D$47</f>
        <v>6.292419236935225</v>
      </c>
      <c r="AA99" s="187">
        <f>VLOOKUP($C$6,'Diesel Fuel Prices'!$D$7:$BN$183,-6+AA53,0)+$D$47</f>
        <v>6.4056246146124609</v>
      </c>
      <c r="AB99" s="187">
        <f>VLOOKUP($C$6,'Diesel Fuel Prices'!$D$7:$BN$183,-6+AB53,0)+$D$47</f>
        <v>6.5219530773050831</v>
      </c>
      <c r="AC99" s="187">
        <f>VLOOKUP($C$6,'Diesel Fuel Prices'!$D$7:$BN$183,-6+AC53,0)+$D$47</f>
        <v>6.6360405950884838</v>
      </c>
      <c r="AD99" s="187">
        <f>VLOOKUP($C$6,'Diesel Fuel Prices'!$D$7:$BN$183,-6+AD53,0)+$D$47</f>
        <v>6.7587026423442191</v>
      </c>
      <c r="AE99" s="187">
        <f>VLOOKUP($C$6,'Diesel Fuel Prices'!$D$7:$BN$183,-6+AE53,0)+$D$47</f>
        <v>6.8910386217753219</v>
      </c>
      <c r="AF99" s="187">
        <f>VLOOKUP($C$6,'Diesel Fuel Prices'!$D$7:$BN$183,-6+AF53,0)+$D$47</f>
        <v>7.014392524247052</v>
      </c>
      <c r="AG99" s="187">
        <f>VLOOKUP($C$6,'Diesel Fuel Prices'!$D$7:$BN$183,-6+AG53,0)+$D$47</f>
        <v>7.014392524247052</v>
      </c>
      <c r="AH99" s="187">
        <f>VLOOKUP($C$6,'Diesel Fuel Prices'!$D$7:$BN$183,-6+AH53,0)+$D$47</f>
        <v>7.014392524247052</v>
      </c>
      <c r="AI99" s="187">
        <f>VLOOKUP($C$6,'Diesel Fuel Prices'!$D$7:$BN$183,-6+AI53,0)+$D$47</f>
        <v>7.014392524247052</v>
      </c>
      <c r="AJ99" s="187">
        <f>VLOOKUP($C$6,'Diesel Fuel Prices'!$D$7:$BN$183,-6+AJ53,0)+$D$47</f>
        <v>7.014392524247052</v>
      </c>
      <c r="AK99" s="187">
        <f>VLOOKUP($C$6,'Diesel Fuel Prices'!$D$7:$BN$183,-6+AK53,0)+$D$47</f>
        <v>7.014392524247052</v>
      </c>
      <c r="AL99" s="187">
        <f>VLOOKUP($C$6,'Diesel Fuel Prices'!$D$7:$BN$183,-6+AL53,0)+$D$47</f>
        <v>7.014392524247052</v>
      </c>
      <c r="AM99" s="187">
        <f>VLOOKUP($C$6,'Diesel Fuel Prices'!$D$7:$BN$183,-6+AM53,0)+$D$47</f>
        <v>7.014392524247052</v>
      </c>
      <c r="AN99" s="187">
        <f>VLOOKUP($C$6,'Diesel Fuel Prices'!$D$7:$BN$183,-6+AN53,0)+$D$47</f>
        <v>7.014392524247052</v>
      </c>
      <c r="AO99" s="187">
        <f>VLOOKUP($C$6,'Diesel Fuel Prices'!$D$7:$BN$183,-6+AO53,0)+$D$47</f>
        <v>7.014392524247052</v>
      </c>
      <c r="AP99" s="187">
        <f>VLOOKUP($C$6,'Diesel Fuel Prices'!$D$7:$BN$183,-6+AP53,0)+$D$47</f>
        <v>7.014392524247052</v>
      </c>
      <c r="AQ99" s="187">
        <f>VLOOKUP($C$6,'Diesel Fuel Prices'!$D$7:$BN$183,-6+AQ53,0)+$D$47</f>
        <v>7.014392524247052</v>
      </c>
      <c r="AR99" s="187">
        <f>VLOOKUP($C$6,'Diesel Fuel Prices'!$D$7:$BN$183,-6+AR53,0)+$D$47</f>
        <v>7.014392524247052</v>
      </c>
      <c r="AS99" s="187">
        <f>VLOOKUP($C$6,'Diesel Fuel Prices'!$D$7:$BN$183,-6+AS53,0)+$D$47</f>
        <v>7.014392524247052</v>
      </c>
      <c r="AT99" s="187">
        <f>VLOOKUP($C$6,'Diesel Fuel Prices'!$D$7:$BN$183,-6+AT53,0)+$D$47</f>
        <v>7.014392524247052</v>
      </c>
      <c r="AU99" s="187">
        <f>VLOOKUP($C$6,'Diesel Fuel Prices'!$D$7:$BN$183,-6+AU53,0)+$D$47</f>
        <v>7.014392524247052</v>
      </c>
      <c r="AV99" s="187">
        <f>VLOOKUP($C$6,'Diesel Fuel Prices'!$D$7:$BN$183,-6+AV53,0)+$D$47</f>
        <v>7.014392524247052</v>
      </c>
      <c r="AW99" s="187">
        <f>VLOOKUP($C$6,'Diesel Fuel Prices'!$D$7:$BN$183,-6+AW53,0)+$D$47</f>
        <v>7.014392524247052</v>
      </c>
      <c r="AX99" s="187">
        <f>VLOOKUP($C$6,'Diesel Fuel Prices'!$D$7:$BN$183,-6+AX53,0)+$D$47</f>
        <v>7.014392524247052</v>
      </c>
      <c r="AY99" s="187">
        <f>VLOOKUP($C$6,'Diesel Fuel Prices'!$D$7:$BN$183,-6+AY53,0)+$D$47</f>
        <v>7.014392524247052</v>
      </c>
      <c r="AZ99" s="187">
        <f>VLOOKUP($C$6,'Diesel Fuel Prices'!$D$7:$BN$183,-6+AZ53,0)+$D$47</f>
        <v>7.014392524247052</v>
      </c>
      <c r="BA99" s="187">
        <f>VLOOKUP($C$6,'Diesel Fuel Prices'!$D$7:$BN$183,-6+BA53,0)+$D$47</f>
        <v>7.014392524247052</v>
      </c>
      <c r="BB99" s="187">
        <f>VLOOKUP($C$6,'Diesel Fuel Prices'!$D$7:$BN$183,-6+BB53,0)+$D$47</f>
        <v>7.014392524247052</v>
      </c>
      <c r="BC99" s="187">
        <f>VLOOKUP($C$6,'Diesel Fuel Prices'!$D$7:$BN$183,-6+BC53,0)+$D$47</f>
        <v>7.014392524247052</v>
      </c>
      <c r="BD99" s="187">
        <f>VLOOKUP($C$6,'Diesel Fuel Prices'!$D$7:$BN$183,-6+BD53,0)+$D$47</f>
        <v>7.014392524247052</v>
      </c>
      <c r="BE99" s="187">
        <f>VLOOKUP($C$6,'Diesel Fuel Prices'!$D$7:$BN$183,-6+BE53,0)+$D$47</f>
        <v>7.014392524247052</v>
      </c>
      <c r="BF99" s="187">
        <f>VLOOKUP($C$6,'Diesel Fuel Prices'!$D$7:$BN$183,-6+BF53,0)+$D$47</f>
        <v>7.014392524247052</v>
      </c>
      <c r="BG99" s="187">
        <f>VLOOKUP($C$6,'Diesel Fuel Prices'!$D$7:$BN$183,-6+BG53,0)+$D$47</f>
        <v>7.014392524247052</v>
      </c>
      <c r="BH99" s="187">
        <f>VLOOKUP($C$6,'Diesel Fuel Prices'!$D$7:$BN$183,-6+BH53,0)+$D$47</f>
        <v>7.014392524247052</v>
      </c>
      <c r="BI99" s="175"/>
      <c r="BJ99" s="121"/>
      <c r="BK99" s="121"/>
      <c r="BL99" s="121"/>
      <c r="BM99" s="121"/>
      <c r="BN99" s="121"/>
      <c r="BO99" s="121"/>
    </row>
    <row r="100" spans="2:70" ht="12.75">
      <c r="C100" s="201"/>
      <c r="D100" s="121" t="s">
        <v>2090</v>
      </c>
      <c r="E100" s="121" t="s">
        <v>1887</v>
      </c>
      <c r="F100" s="176"/>
      <c r="G100" s="1528">
        <v>250</v>
      </c>
      <c r="H100" s="1528">
        <v>250</v>
      </c>
      <c r="I100" s="1528">
        <v>250</v>
      </c>
      <c r="J100" s="1528">
        <v>250</v>
      </c>
      <c r="K100" s="1528">
        <v>250</v>
      </c>
      <c r="L100" s="1528">
        <v>250</v>
      </c>
      <c r="M100" s="1528">
        <v>250</v>
      </c>
      <c r="N100" s="1528">
        <v>250</v>
      </c>
      <c r="O100" s="1528">
        <v>250</v>
      </c>
      <c r="P100" s="1528">
        <v>250</v>
      </c>
      <c r="Q100" s="1528">
        <v>250</v>
      </c>
      <c r="R100" s="1528">
        <v>250</v>
      </c>
      <c r="S100" s="1528">
        <v>250</v>
      </c>
      <c r="T100" s="1528">
        <v>250</v>
      </c>
      <c r="U100" s="1528">
        <v>250</v>
      </c>
      <c r="V100" s="1528">
        <v>250</v>
      </c>
      <c r="W100" s="1528">
        <v>250</v>
      </c>
      <c r="X100" s="1528">
        <v>250</v>
      </c>
      <c r="Y100" s="1528">
        <v>250</v>
      </c>
      <c r="Z100" s="1528">
        <v>250</v>
      </c>
      <c r="AA100" s="1528">
        <v>250</v>
      </c>
      <c r="AB100" s="1528">
        <v>250</v>
      </c>
      <c r="AC100" s="1528">
        <v>250</v>
      </c>
      <c r="AD100" s="1528">
        <v>250</v>
      </c>
      <c r="AE100" s="1528">
        <v>250</v>
      </c>
      <c r="AF100" s="1528">
        <v>250</v>
      </c>
      <c r="AG100" s="1528">
        <v>250</v>
      </c>
      <c r="AH100" s="1528">
        <v>250</v>
      </c>
      <c r="AI100" s="1528">
        <v>250</v>
      </c>
      <c r="AJ100" s="1528">
        <v>250</v>
      </c>
      <c r="AK100" s="1528">
        <v>250</v>
      </c>
      <c r="AL100" s="1528">
        <v>250</v>
      </c>
      <c r="AM100" s="1528">
        <v>250</v>
      </c>
      <c r="AN100" s="1528">
        <v>250</v>
      </c>
      <c r="AO100" s="1528">
        <v>250</v>
      </c>
      <c r="AP100" s="1528">
        <v>250</v>
      </c>
      <c r="AQ100" s="1528">
        <v>250</v>
      </c>
      <c r="AR100" s="1528">
        <v>250</v>
      </c>
      <c r="AS100" s="1528">
        <v>250</v>
      </c>
      <c r="AT100" s="1528">
        <v>250</v>
      </c>
      <c r="AU100" s="1528">
        <v>250</v>
      </c>
      <c r="AV100" s="1528">
        <v>250</v>
      </c>
      <c r="AW100" s="1528">
        <v>250</v>
      </c>
      <c r="AX100" s="1528">
        <v>250</v>
      </c>
      <c r="AY100" s="1528">
        <v>250</v>
      </c>
      <c r="AZ100" s="1528">
        <v>250</v>
      </c>
      <c r="BA100" s="1528">
        <v>250</v>
      </c>
      <c r="BB100" s="1528">
        <v>250</v>
      </c>
      <c r="BC100" s="1528">
        <v>250</v>
      </c>
      <c r="BD100" s="1528">
        <v>250</v>
      </c>
      <c r="BE100" s="1528">
        <v>250</v>
      </c>
      <c r="BF100" s="1528">
        <v>250</v>
      </c>
      <c r="BG100" s="1528">
        <v>250</v>
      </c>
      <c r="BH100" s="1528">
        <v>250</v>
      </c>
      <c r="BI100" s="175"/>
      <c r="BJ100" s="121"/>
      <c r="BK100" s="121"/>
      <c r="BL100" s="121"/>
      <c r="BM100" s="121"/>
      <c r="BN100" s="121"/>
      <c r="BO100" s="121"/>
    </row>
    <row r="101" spans="2:70" ht="12.75">
      <c r="C101" s="201"/>
      <c r="D101" s="121" t="s">
        <v>2091</v>
      </c>
      <c r="E101" s="121" t="s">
        <v>672</v>
      </c>
      <c r="F101" s="176"/>
      <c r="G101" s="1528">
        <f>'Community data'!$L$23+'Community data'!$B$26/Generation_total*VLOOKUP($C$6,'Diesel Fuel Prices'!$D$7:$BN$183,-6+G53,0)/Generation_Efficiency</f>
        <v>0.64824983250221857</v>
      </c>
      <c r="H101" s="1528">
        <f>'Community data'!$L$23+'Community data'!$B$26/Generation_total*VLOOKUP($C$6,'Diesel Fuel Prices'!$D$7:$BN$183,-6+H53,0)/Generation_Efficiency</f>
        <v>0.69150855961286672</v>
      </c>
      <c r="I101" s="1528">
        <f>'Community data'!$L$23+'Community data'!$B$26/Generation_total*VLOOKUP($C$6,'Diesel Fuel Prices'!$D$7:$BN$183,-6+I53,0)/Generation_Efficiency</f>
        <v>0.70672199623953769</v>
      </c>
      <c r="J101" s="1528">
        <f>'Community data'!$L$23+'Community data'!$B$26/Generation_total*VLOOKUP($C$6,'Diesel Fuel Prices'!$D$7:$BN$183,-6+J53,0)/Generation_Efficiency</f>
        <v>0.70783470744698618</v>
      </c>
      <c r="K101" s="1528">
        <f>'Community data'!$L$23+'Community data'!$B$26/Generation_total*VLOOKUP($C$6,'Diesel Fuel Prices'!$D$7:$BN$183,-6+K53,0)/Generation_Efficiency</f>
        <v>0.71301796181225408</v>
      </c>
      <c r="L101" s="1528">
        <f>'Community data'!$L$23+'Community data'!$B$26/Generation_total*VLOOKUP($C$6,'Diesel Fuel Prices'!$D$7:$BN$183,-6+L53,0)/Generation_Efficiency</f>
        <v>0.7182282533304849</v>
      </c>
      <c r="M101" s="1528">
        <f>'Community data'!$L$23+'Community data'!$B$26/Generation_total*VLOOKUP($C$6,'Diesel Fuel Prices'!$D$7:$BN$183,-6+M53,0)/Generation_Efficiency</f>
        <v>0.7252884227118539</v>
      </c>
      <c r="N101" s="1528">
        <f>'Community data'!$L$23+'Community data'!$B$26/Generation_total*VLOOKUP($C$6,'Diesel Fuel Prices'!$D$7:$BN$183,-6+N53,0)/Generation_Efficiency</f>
        <v>0.73285652011192237</v>
      </c>
      <c r="O101" s="1528">
        <f>'Community data'!$L$23+'Community data'!$B$26/Generation_total*VLOOKUP($C$6,'Diesel Fuel Prices'!$D$7:$BN$183,-6+O53,0)/Generation_Efficiency</f>
        <v>0.7406949602666999</v>
      </c>
      <c r="P101" s="1528">
        <f>'Community data'!$L$23+'Community data'!$B$26/Generation_total*VLOOKUP($C$6,'Diesel Fuel Prices'!$D$7:$BN$183,-6+P53,0)/Generation_Efficiency</f>
        <v>0.74869960895461762</v>
      </c>
      <c r="Q101" s="1528">
        <f>'Community data'!$L$23+'Community data'!$B$26/Generation_total*VLOOKUP($C$6,'Diesel Fuel Prices'!$D$7:$BN$183,-6+Q53,0)/Generation_Efficiency</f>
        <v>0.75674181627989201</v>
      </c>
      <c r="R101" s="1528">
        <f>'Community data'!$L$23+'Community data'!$B$26/Generation_total*VLOOKUP($C$6,'Diesel Fuel Prices'!$D$7:$BN$183,-6+R53,0)/Generation_Efficiency</f>
        <v>0.76530927810877014</v>
      </c>
      <c r="S101" s="1528">
        <f>'Community data'!$L$23+'Community data'!$B$26/Generation_total*VLOOKUP($C$6,'Diesel Fuel Prices'!$D$7:$BN$183,-6+S53,0)/Generation_Efficiency</f>
        <v>0.77408629044538979</v>
      </c>
      <c r="T101" s="1528">
        <f>'Community data'!$L$23+'Community data'!$B$26/Generation_total*VLOOKUP($C$6,'Diesel Fuel Prices'!$D$7:$BN$183,-6+T53,0)/Generation_Efficiency</f>
        <v>0.78307807387579054</v>
      </c>
      <c r="U101" s="1528">
        <f>'Community data'!$L$23+'Community data'!$B$26/Generation_total*VLOOKUP($C$6,'Diesel Fuel Prices'!$D$7:$BN$183,-6+U53,0)/Generation_Efficiency</f>
        <v>0.79228995026404525</v>
      </c>
      <c r="V101" s="1528">
        <f>'Community data'!$L$23+'Community data'!$B$26/Generation_total*VLOOKUP($C$6,'Diesel Fuel Prices'!$D$7:$BN$183,-6+V53,0)/Generation_Efficiency</f>
        <v>0.80172735621186453</v>
      </c>
      <c r="W101" s="1528">
        <f>'Community data'!$L$23+'Community data'!$B$26/Generation_total*VLOOKUP($C$6,'Diesel Fuel Prices'!$D$7:$BN$183,-6+W53,0)/Generation_Efficiency</f>
        <v>0.81139592315879205</v>
      </c>
      <c r="X101" s="1528">
        <f>'Community data'!$L$23+'Community data'!$B$26/Generation_total*VLOOKUP($C$6,'Diesel Fuel Prices'!$D$7:$BN$183,-6+X53,0)/Generation_Efficiency</f>
        <v>0.82130136625896211</v>
      </c>
      <c r="Y101" s="1528">
        <f>'Community data'!$L$23+'Community data'!$B$26/Generation_total*VLOOKUP($C$6,'Diesel Fuel Prices'!$D$7:$BN$183,-6+Y53,0)/Generation_Efficiency</f>
        <v>0.83143575511738965</v>
      </c>
      <c r="Z101" s="1528">
        <f>'Community data'!$L$23+'Community data'!$B$26/Generation_total*VLOOKUP($C$6,'Diesel Fuel Prices'!$D$7:$BN$183,-6+Z53,0)/Generation_Efficiency</f>
        <v>0.84139664911985468</v>
      </c>
      <c r="AA101" s="1528">
        <f>'Community data'!$L$23+'Community data'!$B$26/Generation_total*VLOOKUP($C$6,'Diesel Fuel Prices'!$D$7:$BN$183,-6+AA53,0)/Generation_Efficiency</f>
        <v>0.85187634672094026</v>
      </c>
      <c r="AB101" s="1528">
        <f>'Community data'!$L$23+'Community data'!$B$26/Generation_total*VLOOKUP($C$6,'Diesel Fuel Prices'!$D$7:$BN$183,-6+AB53,0)/Generation_Efficiency</f>
        <v>0.86264515591032009</v>
      </c>
      <c r="AC101" s="1528">
        <f>'Community data'!$L$23+'Community data'!$B$26/Generation_total*VLOOKUP($C$6,'Diesel Fuel Prices'!$D$7:$BN$183,-6+AC53,0)/Generation_Efficiency</f>
        <v>0.87320651537009186</v>
      </c>
      <c r="AD101" s="1528">
        <f>'Community data'!$L$23+'Community data'!$B$26/Generation_total*VLOOKUP($C$6,'Diesel Fuel Prices'!$D$7:$BN$183,-6+AD53,0)/Generation_Efficiency</f>
        <v>0.88456163991227732</v>
      </c>
      <c r="AE101" s="1528">
        <f>'Community data'!$L$23+'Community data'!$B$26/Generation_total*VLOOKUP($C$6,'Diesel Fuel Prices'!$D$7:$BN$183,-6+AE53,0)/Generation_Efficiency</f>
        <v>0.89681230392344746</v>
      </c>
      <c r="AF101" s="1528">
        <f>'Community data'!$L$23+'Community data'!$B$26/Generation_total*VLOOKUP($C$6,'Diesel Fuel Prices'!$D$7:$BN$183,-6+AF53,0)/Generation_Efficiency</f>
        <v>0.90823147518846659</v>
      </c>
      <c r="AG101" s="1528">
        <f>'Community data'!$L$23+'Community data'!$B$26/Generation_total*VLOOKUP($C$6,'Diesel Fuel Prices'!$D$7:$BN$183,-6+AG53,0)/Generation_Efficiency</f>
        <v>0.90823147518846659</v>
      </c>
      <c r="AH101" s="1528">
        <f>'Community data'!$L$23+'Community data'!$B$26/Generation_total*VLOOKUP($C$6,'Diesel Fuel Prices'!$D$7:$BN$183,-6+AH53,0)/Generation_Efficiency</f>
        <v>0.90823147518846659</v>
      </c>
      <c r="AI101" s="1528">
        <f>'Community data'!$L$23+'Community data'!$B$26/Generation_total*VLOOKUP($C$6,'Diesel Fuel Prices'!$D$7:$BN$183,-6+AI53,0)/Generation_Efficiency</f>
        <v>0.90823147518846659</v>
      </c>
      <c r="AJ101" s="1528">
        <f>'Community data'!$L$23+'Community data'!$B$26/Generation_total*VLOOKUP($C$6,'Diesel Fuel Prices'!$D$7:$BN$183,-6+AJ53,0)/Generation_Efficiency</f>
        <v>0.90823147518846659</v>
      </c>
      <c r="AK101" s="1528">
        <f>'Community data'!$L$23+'Community data'!$B$26/Generation_total*VLOOKUP($C$6,'Diesel Fuel Prices'!$D$7:$BN$183,-6+AK53,0)/Generation_Efficiency</f>
        <v>0.90823147518846659</v>
      </c>
      <c r="AL101" s="1528">
        <f>'Community data'!$L$23+'Community data'!$B$26/Generation_total*VLOOKUP($C$6,'Diesel Fuel Prices'!$D$7:$BN$183,-6+AL53,0)/Generation_Efficiency</f>
        <v>0.90823147518846659</v>
      </c>
      <c r="AM101" s="1528">
        <f>'Community data'!$L$23+'Community data'!$B$26/Generation_total*VLOOKUP($C$6,'Diesel Fuel Prices'!$D$7:$BN$183,-6+AM53,0)/Generation_Efficiency</f>
        <v>0.90823147518846659</v>
      </c>
      <c r="AN101" s="1528">
        <f>'Community data'!$L$23+'Community data'!$B$26/Generation_total*VLOOKUP($C$6,'Diesel Fuel Prices'!$D$7:$BN$183,-6+AN53,0)/Generation_Efficiency</f>
        <v>0.90823147518846659</v>
      </c>
      <c r="AO101" s="1528">
        <f>'Community data'!$L$23+'Community data'!$B$26/Generation_total*VLOOKUP($C$6,'Diesel Fuel Prices'!$D$7:$BN$183,-6+AO53,0)/Generation_Efficiency</f>
        <v>0.90823147518846659</v>
      </c>
      <c r="AP101" s="1528">
        <f>'Community data'!$L$23+'Community data'!$B$26/Generation_total*VLOOKUP($C$6,'Diesel Fuel Prices'!$D$7:$BN$183,-6+AP53,0)/Generation_Efficiency</f>
        <v>0.90823147518846659</v>
      </c>
      <c r="AQ101" s="1528">
        <f>'Community data'!$L$23+'Community data'!$B$26/Generation_total*VLOOKUP($C$6,'Diesel Fuel Prices'!$D$7:$BN$183,-6+AQ53,0)/Generation_Efficiency</f>
        <v>0.90823147518846659</v>
      </c>
      <c r="AR101" s="1528">
        <f>'Community data'!$L$23+'Community data'!$B$26/Generation_total*VLOOKUP($C$6,'Diesel Fuel Prices'!$D$7:$BN$183,-6+AR53,0)/Generation_Efficiency</f>
        <v>0.90823147518846659</v>
      </c>
      <c r="AS101" s="1528">
        <f>'Community data'!$L$23+'Community data'!$B$26/Generation_total*VLOOKUP($C$6,'Diesel Fuel Prices'!$D$7:$BN$183,-6+AS53,0)/Generation_Efficiency</f>
        <v>0.90823147518846659</v>
      </c>
      <c r="AT101" s="1528">
        <f>'Community data'!$L$23+'Community data'!$B$26/Generation_total*VLOOKUP($C$6,'Diesel Fuel Prices'!$D$7:$BN$183,-6+AT53,0)/Generation_Efficiency</f>
        <v>0.90823147518846659</v>
      </c>
      <c r="AU101" s="1528">
        <f>'Community data'!$L$23+'Community data'!$B$26/Generation_total*VLOOKUP($C$6,'Diesel Fuel Prices'!$D$7:$BN$183,-6+AU53,0)/Generation_Efficiency</f>
        <v>0.90823147518846659</v>
      </c>
      <c r="AV101" s="1528">
        <f>'Community data'!$L$23+'Community data'!$B$26/Generation_total*VLOOKUP($C$6,'Diesel Fuel Prices'!$D$7:$BN$183,-6+AV53,0)/Generation_Efficiency</f>
        <v>0.90823147518846659</v>
      </c>
      <c r="AW101" s="1528">
        <f>'Community data'!$L$23+'Community data'!$B$26/Generation_total*VLOOKUP($C$6,'Diesel Fuel Prices'!$D$7:$BN$183,-6+AW53,0)/Generation_Efficiency</f>
        <v>0.90823147518846659</v>
      </c>
      <c r="AX101" s="1528">
        <f>'Community data'!$L$23+'Community data'!$B$26/Generation_total*VLOOKUP($C$6,'Diesel Fuel Prices'!$D$7:$BN$183,-6+AX53,0)/Generation_Efficiency</f>
        <v>0.90823147518846659</v>
      </c>
      <c r="AY101" s="1528">
        <f>'Community data'!$L$23+'Community data'!$B$26/Generation_total*VLOOKUP($C$6,'Diesel Fuel Prices'!$D$7:$BN$183,-6+AY53,0)/Generation_Efficiency</f>
        <v>0.90823147518846659</v>
      </c>
      <c r="AZ101" s="1528">
        <f>'Community data'!$L$23+'Community data'!$B$26/Generation_total*VLOOKUP($C$6,'Diesel Fuel Prices'!$D$7:$BN$183,-6+AZ53,0)/Generation_Efficiency</f>
        <v>0.90823147518846659</v>
      </c>
      <c r="BA101" s="1528">
        <f>'Community data'!$L$23+'Community data'!$B$26/Generation_total*VLOOKUP($C$6,'Diesel Fuel Prices'!$D$7:$BN$183,-6+BA53,0)/Generation_Efficiency</f>
        <v>0.90823147518846659</v>
      </c>
      <c r="BB101" s="1528">
        <f>'Community data'!$L$23+'Community data'!$B$26/Generation_total*VLOOKUP($C$6,'Diesel Fuel Prices'!$D$7:$BN$183,-6+BB53,0)/Generation_Efficiency</f>
        <v>0.90823147518846659</v>
      </c>
      <c r="BC101" s="1528">
        <f>'Community data'!$L$23+'Community data'!$B$26/Generation_total*VLOOKUP($C$6,'Diesel Fuel Prices'!$D$7:$BN$183,-6+BC53,0)/Generation_Efficiency</f>
        <v>0.90823147518846659</v>
      </c>
      <c r="BD101" s="1528">
        <f>'Community data'!$L$23+'Community data'!$B$26/Generation_total*VLOOKUP($C$6,'Diesel Fuel Prices'!$D$7:$BN$183,-6+BD53,0)/Generation_Efficiency</f>
        <v>0.90823147518846659</v>
      </c>
      <c r="BE101" s="1528">
        <f>'Community data'!$L$23+'Community data'!$B$26/Generation_total*VLOOKUP($C$6,'Diesel Fuel Prices'!$D$7:$BN$183,-6+BE53,0)/Generation_Efficiency</f>
        <v>0.90823147518846659</v>
      </c>
      <c r="BF101" s="1528">
        <f>'Community data'!$L$23+'Community data'!$B$26/Generation_total*VLOOKUP($C$6,'Diesel Fuel Prices'!$D$7:$BN$183,-6+BF53,0)/Generation_Efficiency</f>
        <v>0.90823147518846659</v>
      </c>
      <c r="BG101" s="1528">
        <f>'Community data'!$L$23+'Community data'!$B$26/Generation_total*VLOOKUP($C$6,'Diesel Fuel Prices'!$D$7:$BN$183,-6+BG53,0)/Generation_Efficiency</f>
        <v>0.90823147518846659</v>
      </c>
      <c r="BH101" s="1528">
        <f>'Community data'!$L$23+'Community data'!$B$26/Generation_total*VLOOKUP($C$6,'Diesel Fuel Prices'!$D$7:$BN$183,-6+BH53,0)/Generation_Efficiency</f>
        <v>0.90823147518846659</v>
      </c>
      <c r="BI101" s="175"/>
      <c r="BJ101" s="121"/>
      <c r="BK101" s="121"/>
      <c r="BL101" s="121"/>
      <c r="BM101" s="121"/>
      <c r="BN101" s="121"/>
      <c r="BO101" s="121"/>
    </row>
    <row r="102" spans="2:70" ht="12.75">
      <c r="C102" s="201"/>
      <c r="D102" s="121" t="s">
        <v>2092</v>
      </c>
      <c r="E102" s="121" t="s">
        <v>2087</v>
      </c>
      <c r="F102" s="176"/>
      <c r="G102" s="1528"/>
      <c r="H102" s="1528"/>
      <c r="I102" s="1528"/>
      <c r="J102" s="1528"/>
      <c r="K102" s="1528"/>
      <c r="L102" s="1528"/>
      <c r="M102" s="1528"/>
      <c r="N102" s="1528"/>
      <c r="O102" s="1528"/>
      <c r="P102" s="1528"/>
      <c r="Q102" s="1528"/>
      <c r="R102" s="1528"/>
      <c r="S102" s="1528"/>
      <c r="T102" s="1528"/>
      <c r="U102" s="1528"/>
      <c r="V102" s="1528"/>
      <c r="W102" s="1528"/>
      <c r="X102" s="1528"/>
      <c r="Y102" s="1528"/>
      <c r="Z102" s="1528"/>
      <c r="AA102" s="1528"/>
      <c r="AB102" s="1528"/>
      <c r="AC102" s="1528"/>
      <c r="AD102" s="1528"/>
      <c r="AE102" s="1528"/>
      <c r="AF102" s="1528"/>
      <c r="AG102" s="1528"/>
      <c r="AH102" s="1528"/>
      <c r="AI102" s="1528"/>
      <c r="AJ102" s="1528"/>
      <c r="AK102" s="1528"/>
      <c r="AL102" s="1528"/>
      <c r="AM102" s="1528"/>
      <c r="AN102" s="1528"/>
      <c r="AO102" s="1528"/>
      <c r="AP102" s="1528"/>
      <c r="AQ102" s="1528"/>
      <c r="AR102" s="1528"/>
      <c r="AS102" s="1528"/>
      <c r="AT102" s="1528"/>
      <c r="AU102" s="1528"/>
      <c r="AV102" s="1528"/>
      <c r="AW102" s="1528"/>
      <c r="AX102" s="1528"/>
      <c r="AY102" s="1528"/>
      <c r="AZ102" s="1528"/>
      <c r="BA102" s="1528"/>
      <c r="BB102" s="1528"/>
      <c r="BC102" s="1528"/>
      <c r="BD102" s="1528"/>
      <c r="BE102" s="1528"/>
      <c r="BF102" s="1528"/>
      <c r="BG102" s="1528"/>
      <c r="BH102" s="1528"/>
      <c r="BI102" s="175"/>
      <c r="BJ102" s="121"/>
      <c r="BK102" s="121"/>
      <c r="BL102" s="121"/>
      <c r="BM102" s="121"/>
      <c r="BN102" s="121"/>
      <c r="BO102" s="121"/>
    </row>
    <row r="103" spans="2:70" ht="12.75">
      <c r="C103" s="201"/>
      <c r="D103" s="121" t="s">
        <v>2093</v>
      </c>
      <c r="E103" s="121" t="s">
        <v>2088</v>
      </c>
      <c r="F103" s="176"/>
      <c r="G103" s="1528">
        <f>Propane_price</f>
        <v>0</v>
      </c>
      <c r="H103" s="1528"/>
      <c r="I103" s="1528"/>
      <c r="J103" s="1528"/>
      <c r="K103" s="1528"/>
      <c r="L103" s="1528"/>
      <c r="M103" s="1528"/>
      <c r="N103" s="1528"/>
      <c r="O103" s="1528"/>
      <c r="P103" s="1528"/>
      <c r="Q103" s="1528"/>
      <c r="R103" s="1528"/>
      <c r="S103" s="1528"/>
      <c r="T103" s="1528"/>
      <c r="U103" s="1528"/>
      <c r="V103" s="1528"/>
      <c r="W103" s="1528"/>
      <c r="X103" s="1528"/>
      <c r="Y103" s="1528"/>
      <c r="Z103" s="1528"/>
      <c r="AA103" s="1528"/>
      <c r="AB103" s="1528"/>
      <c r="AC103" s="1528"/>
      <c r="AD103" s="1528"/>
      <c r="AE103" s="1528"/>
      <c r="AF103" s="1528"/>
      <c r="AG103" s="1528"/>
      <c r="AH103" s="1528"/>
      <c r="AI103" s="1528"/>
      <c r="AJ103" s="1528"/>
      <c r="AK103" s="1528"/>
      <c r="AL103" s="1528"/>
      <c r="AM103" s="1528"/>
      <c r="AN103" s="1528"/>
      <c r="AO103" s="1528"/>
      <c r="AP103" s="1528"/>
      <c r="AQ103" s="1528"/>
      <c r="AR103" s="1528"/>
      <c r="AS103" s="1528"/>
      <c r="AT103" s="1528"/>
      <c r="AU103" s="1528"/>
      <c r="AV103" s="1528"/>
      <c r="AW103" s="1528"/>
      <c r="AX103" s="1528"/>
      <c r="AY103" s="1528"/>
      <c r="AZ103" s="1528"/>
      <c r="BA103" s="1528"/>
      <c r="BB103" s="1528"/>
      <c r="BC103" s="1528"/>
      <c r="BD103" s="1528"/>
      <c r="BE103" s="1528"/>
      <c r="BF103" s="1528"/>
      <c r="BG103" s="1528"/>
      <c r="BH103" s="1528"/>
      <c r="BI103" s="175"/>
      <c r="BJ103" s="121"/>
      <c r="BK103" s="121"/>
      <c r="BL103" s="121"/>
      <c r="BM103" s="121"/>
      <c r="BN103" s="121"/>
      <c r="BO103" s="121"/>
    </row>
    <row r="104" spans="2:70" ht="12.75">
      <c r="C104" s="201"/>
      <c r="D104" s="121" t="s">
        <v>382</v>
      </c>
      <c r="E104" s="121" t="s">
        <v>264</v>
      </c>
      <c r="F104" s="176">
        <v>0</v>
      </c>
      <c r="G104" s="176"/>
      <c r="H104" s="176"/>
      <c r="I104" s="176"/>
      <c r="J104" s="176"/>
      <c r="K104" s="176"/>
      <c r="L104" s="176"/>
      <c r="M104" s="176"/>
      <c r="N104" s="176"/>
      <c r="O104" s="176"/>
      <c r="P104" s="176"/>
      <c r="Q104" s="176"/>
      <c r="R104" s="176"/>
      <c r="S104" s="176"/>
      <c r="T104" s="176"/>
      <c r="U104" s="176"/>
      <c r="V104" s="176"/>
      <c r="W104" s="176"/>
      <c r="X104" s="176"/>
      <c r="Y104" s="176"/>
      <c r="Z104" s="176"/>
      <c r="AA104" s="176"/>
      <c r="AB104" s="176"/>
      <c r="AC104" s="176"/>
      <c r="AD104" s="176"/>
      <c r="AE104" s="176"/>
      <c r="AF104" s="176"/>
      <c r="AG104" s="176"/>
      <c r="AH104" s="176"/>
      <c r="AI104" s="176"/>
      <c r="AJ104" s="176"/>
      <c r="AK104" s="176"/>
      <c r="AL104" s="176"/>
      <c r="AM104" s="176"/>
      <c r="AN104" s="176"/>
      <c r="AO104" s="176"/>
      <c r="AP104" s="176"/>
      <c r="AQ104" s="176"/>
      <c r="AR104" s="176"/>
      <c r="AS104" s="176"/>
      <c r="AT104" s="176"/>
      <c r="AU104" s="176"/>
      <c r="AV104" s="176"/>
      <c r="AW104" s="176"/>
      <c r="AX104" s="176"/>
      <c r="AY104" s="176"/>
      <c r="AZ104" s="176"/>
      <c r="BA104" s="176"/>
      <c r="BB104" s="176"/>
      <c r="BC104" s="176"/>
      <c r="BD104" s="176"/>
      <c r="BE104" s="176"/>
      <c r="BF104" s="176"/>
      <c r="BG104" s="176"/>
      <c r="BH104" s="176"/>
      <c r="BI104" s="175">
        <f>NPV($D$49,F104:BH104)</f>
        <v>0</v>
      </c>
      <c r="BJ104" s="121"/>
      <c r="BK104" s="121"/>
      <c r="BL104" s="121"/>
      <c r="BM104" s="121"/>
      <c r="BN104" s="121"/>
      <c r="BO104" s="121"/>
    </row>
    <row r="105" spans="2:70" ht="12.75">
      <c r="C105" s="201"/>
      <c r="D105" s="121" t="s">
        <v>316</v>
      </c>
      <c r="E105" s="121" t="s">
        <v>264</v>
      </c>
      <c r="F105" s="176">
        <v>0</v>
      </c>
      <c r="G105" s="283"/>
      <c r="H105" s="283"/>
      <c r="I105" s="283"/>
      <c r="J105" s="283"/>
      <c r="K105" s="283"/>
      <c r="L105" s="283"/>
      <c r="M105" s="283"/>
      <c r="N105" s="283"/>
      <c r="O105" s="283"/>
      <c r="P105" s="283"/>
      <c r="Q105" s="283"/>
      <c r="R105" s="283"/>
      <c r="S105" s="283"/>
      <c r="T105" s="283"/>
      <c r="U105" s="283"/>
      <c r="V105" s="283"/>
      <c r="W105" s="283"/>
      <c r="X105" s="283"/>
      <c r="Y105" s="283"/>
      <c r="Z105" s="283"/>
      <c r="AA105" s="283"/>
      <c r="AB105" s="283"/>
      <c r="AC105" s="283"/>
      <c r="AD105" s="283"/>
      <c r="AE105" s="283"/>
      <c r="AF105" s="283"/>
      <c r="AG105" s="283"/>
      <c r="AH105" s="283"/>
      <c r="AI105" s="283"/>
      <c r="AJ105" s="283"/>
      <c r="AK105" s="283"/>
      <c r="AL105" s="283"/>
      <c r="AM105" s="283"/>
      <c r="AN105" s="283"/>
      <c r="AO105" s="283"/>
      <c r="AP105" s="283"/>
      <c r="AQ105" s="283"/>
      <c r="AR105" s="283"/>
      <c r="AS105" s="283"/>
      <c r="AT105" s="283"/>
      <c r="AU105" s="283"/>
      <c r="AV105" s="283"/>
      <c r="AW105" s="283"/>
      <c r="AX105" s="283"/>
      <c r="AY105" s="283"/>
      <c r="AZ105" s="283"/>
      <c r="BA105" s="283"/>
      <c r="BB105" s="283"/>
      <c r="BC105" s="283"/>
      <c r="BD105" s="283"/>
      <c r="BE105" s="283"/>
      <c r="BF105" s="283"/>
      <c r="BG105" s="283"/>
      <c r="BH105" s="283"/>
      <c r="BI105" s="175">
        <f>NPV($D$49,F105:BH105)</f>
        <v>0</v>
      </c>
      <c r="BJ105" s="121"/>
      <c r="BK105" s="121"/>
      <c r="BL105" s="121"/>
      <c r="BM105" s="121"/>
      <c r="BN105" s="121"/>
      <c r="BO105" s="121"/>
    </row>
    <row r="106" spans="2:70" ht="12.75">
      <c r="C106" s="190"/>
      <c r="D106" s="121" t="s">
        <v>270</v>
      </c>
      <c r="E106" s="121" t="s">
        <v>264</v>
      </c>
      <c r="F106" s="191">
        <f>F94*F99</f>
        <v>0</v>
      </c>
      <c r="G106" s="191">
        <f>IF(AND(G$54&gt;=$D$31,G$54&lt;=($D$31+$D$32)),G99*G94+G95*G100+G96*G101+G97*G102+G98*G103,0)</f>
        <v>248124.30659812209</v>
      </c>
      <c r="H106" s="1795">
        <f>IF(AND(H$54&gt;=$D$31,H$54&lt;=($D$31+$D$32)),H99*H94+H95*H100+H96*H101+H97*H102+H98*H103,0)</f>
        <v>266784.80669523444</v>
      </c>
      <c r="I106" s="1795">
        <f t="shared" ref="I106:BH106" si="29">IF(AND(I$54&gt;=$D$31,I$54&lt;=($D$31+$D$32)),I99*I94+I95*I100+I96*I101+I97*I102+I98*I103,0)</f>
        <v>273347.4208683992</v>
      </c>
      <c r="J106" s="1795">
        <f t="shared" si="29"/>
        <v>273827.41066425102</v>
      </c>
      <c r="K106" s="1795">
        <f t="shared" si="29"/>
        <v>276063.30906086921</v>
      </c>
      <c r="L106" s="1795">
        <f t="shared" si="29"/>
        <v>278310.87046352535</v>
      </c>
      <c r="M106" s="1795">
        <f t="shared" si="29"/>
        <v>281356.4129523203</v>
      </c>
      <c r="N106" s="1795">
        <f t="shared" si="29"/>
        <v>284621.06015073898</v>
      </c>
      <c r="O106" s="1795">
        <f t="shared" si="29"/>
        <v>288002.32499691215</v>
      </c>
      <c r="P106" s="1795">
        <f t="shared" si="29"/>
        <v>291455.28715264506</v>
      </c>
      <c r="Q106" s="1795">
        <f t="shared" si="29"/>
        <v>294924.45096299995</v>
      </c>
      <c r="R106" s="1795">
        <f t="shared" si="29"/>
        <v>298620.19360195601</v>
      </c>
      <c r="S106" s="1795">
        <f t="shared" si="29"/>
        <v>302406.32996100601</v>
      </c>
      <c r="T106" s="1795">
        <f t="shared" si="29"/>
        <v>306285.11204229627</v>
      </c>
      <c r="U106" s="1795">
        <f t="shared" si="29"/>
        <v>310258.83553623839</v>
      </c>
      <c r="V106" s="1795">
        <f t="shared" si="29"/>
        <v>314329.84562757373</v>
      </c>
      <c r="W106" s="1795">
        <f t="shared" si="29"/>
        <v>0</v>
      </c>
      <c r="X106" s="1795">
        <f t="shared" si="29"/>
        <v>0</v>
      </c>
      <c r="Y106" s="1795">
        <f t="shared" si="29"/>
        <v>0</v>
      </c>
      <c r="Z106" s="1795">
        <f t="shared" si="29"/>
        <v>0</v>
      </c>
      <c r="AA106" s="1795">
        <f t="shared" si="29"/>
        <v>0</v>
      </c>
      <c r="AB106" s="1795">
        <f t="shared" si="29"/>
        <v>0</v>
      </c>
      <c r="AC106" s="1795">
        <f t="shared" si="29"/>
        <v>0</v>
      </c>
      <c r="AD106" s="1795">
        <f t="shared" si="29"/>
        <v>0</v>
      </c>
      <c r="AE106" s="1795">
        <f t="shared" si="29"/>
        <v>0</v>
      </c>
      <c r="AF106" s="1795">
        <f t="shared" si="29"/>
        <v>0</v>
      </c>
      <c r="AG106" s="1795">
        <f t="shared" si="29"/>
        <v>0</v>
      </c>
      <c r="AH106" s="1795">
        <f t="shared" si="29"/>
        <v>0</v>
      </c>
      <c r="AI106" s="1795">
        <f t="shared" si="29"/>
        <v>0</v>
      </c>
      <c r="AJ106" s="1795">
        <f t="shared" si="29"/>
        <v>0</v>
      </c>
      <c r="AK106" s="1795">
        <f t="shared" si="29"/>
        <v>0</v>
      </c>
      <c r="AL106" s="1795">
        <f t="shared" si="29"/>
        <v>0</v>
      </c>
      <c r="AM106" s="1795">
        <f t="shared" si="29"/>
        <v>0</v>
      </c>
      <c r="AN106" s="1795">
        <f t="shared" si="29"/>
        <v>0</v>
      </c>
      <c r="AO106" s="1795">
        <f t="shared" si="29"/>
        <v>0</v>
      </c>
      <c r="AP106" s="1795">
        <f t="shared" si="29"/>
        <v>0</v>
      </c>
      <c r="AQ106" s="1795">
        <f t="shared" si="29"/>
        <v>0</v>
      </c>
      <c r="AR106" s="1795">
        <f t="shared" si="29"/>
        <v>0</v>
      </c>
      <c r="AS106" s="1795">
        <f t="shared" si="29"/>
        <v>0</v>
      </c>
      <c r="AT106" s="1795">
        <f t="shared" si="29"/>
        <v>0</v>
      </c>
      <c r="AU106" s="1795">
        <f t="shared" si="29"/>
        <v>0</v>
      </c>
      <c r="AV106" s="1795">
        <f t="shared" si="29"/>
        <v>0</v>
      </c>
      <c r="AW106" s="1795">
        <f t="shared" si="29"/>
        <v>0</v>
      </c>
      <c r="AX106" s="1795">
        <f t="shared" si="29"/>
        <v>0</v>
      </c>
      <c r="AY106" s="1795">
        <f t="shared" si="29"/>
        <v>0</v>
      </c>
      <c r="AZ106" s="1795">
        <f t="shared" si="29"/>
        <v>0</v>
      </c>
      <c r="BA106" s="1795">
        <f t="shared" si="29"/>
        <v>0</v>
      </c>
      <c r="BB106" s="1795">
        <f t="shared" si="29"/>
        <v>0</v>
      </c>
      <c r="BC106" s="1795">
        <f t="shared" si="29"/>
        <v>0</v>
      </c>
      <c r="BD106" s="1795">
        <f t="shared" si="29"/>
        <v>0</v>
      </c>
      <c r="BE106" s="1795">
        <f t="shared" si="29"/>
        <v>0</v>
      </c>
      <c r="BF106" s="1795">
        <f t="shared" si="29"/>
        <v>0</v>
      </c>
      <c r="BG106" s="1795">
        <f t="shared" si="29"/>
        <v>0</v>
      </c>
      <c r="BH106" s="1795">
        <f t="shared" si="29"/>
        <v>0</v>
      </c>
      <c r="BI106" s="175">
        <f>NPV($D$49,F106:BH106)</f>
        <v>3469923.9127045521</v>
      </c>
      <c r="BJ106" s="121"/>
      <c r="BK106" s="121"/>
      <c r="BL106" s="121"/>
      <c r="BM106" s="121"/>
      <c r="BN106" s="121"/>
      <c r="BO106" s="121"/>
    </row>
    <row r="107" spans="2:70" s="192" customFormat="1" ht="12.75">
      <c r="B107" s="193"/>
      <c r="C107" s="202"/>
      <c r="D107" s="184" t="s">
        <v>1164</v>
      </c>
      <c r="E107" s="184" t="s">
        <v>264</v>
      </c>
      <c r="F107" s="197">
        <f>F106+F105+F104</f>
        <v>0</v>
      </c>
      <c r="G107" s="197">
        <f>G106-G91</f>
        <v>74348.973699118156</v>
      </c>
      <c r="H107" s="197">
        <f t="shared" ref="H107:BH107" si="30">H106-H91</f>
        <v>79985.891088839708</v>
      </c>
      <c r="I107" s="197">
        <f t="shared" si="30"/>
        <v>81968.309232095722</v>
      </c>
      <c r="J107" s="197">
        <f t="shared" si="30"/>
        <v>82113.303354067</v>
      </c>
      <c r="K107" s="197">
        <f t="shared" si="30"/>
        <v>82788.717972536891</v>
      </c>
      <c r="L107" s="197">
        <f t="shared" si="30"/>
        <v>83467.655722820462</v>
      </c>
      <c r="M107" s="197">
        <f t="shared" si="30"/>
        <v>84387.645611991757</v>
      </c>
      <c r="N107" s="197">
        <f t="shared" si="30"/>
        <v>85373.822106099775</v>
      </c>
      <c r="O107" s="197">
        <f t="shared" si="30"/>
        <v>86395.226168769965</v>
      </c>
      <c r="P107" s="197">
        <f t="shared" si="30"/>
        <v>87438.288376128185</v>
      </c>
      <c r="Q107" s="197">
        <f t="shared" si="30"/>
        <v>88486.244738959445</v>
      </c>
      <c r="R107" s="197">
        <f t="shared" si="30"/>
        <v>89602.645469971525</v>
      </c>
      <c r="S107" s="197">
        <f t="shared" si="30"/>
        <v>90746.352110796666</v>
      </c>
      <c r="T107" s="197">
        <f t="shared" si="30"/>
        <v>91918.044940634019</v>
      </c>
      <c r="U107" s="197">
        <f t="shared" si="30"/>
        <v>93118.417435924988</v>
      </c>
      <c r="V107" s="197">
        <f t="shared" si="30"/>
        <v>94348.178024234716</v>
      </c>
      <c r="W107" s="197">
        <f t="shared" si="30"/>
        <v>0</v>
      </c>
      <c r="X107" s="197">
        <f t="shared" si="30"/>
        <v>0</v>
      </c>
      <c r="Y107" s="197">
        <f t="shared" si="30"/>
        <v>0</v>
      </c>
      <c r="Z107" s="197">
        <f t="shared" si="30"/>
        <v>0</v>
      </c>
      <c r="AA107" s="197">
        <f t="shared" si="30"/>
        <v>0</v>
      </c>
      <c r="AB107" s="197">
        <f t="shared" si="30"/>
        <v>0</v>
      </c>
      <c r="AC107" s="197">
        <f t="shared" si="30"/>
        <v>0</v>
      </c>
      <c r="AD107" s="197">
        <f t="shared" si="30"/>
        <v>0</v>
      </c>
      <c r="AE107" s="197">
        <f t="shared" si="30"/>
        <v>0</v>
      </c>
      <c r="AF107" s="197">
        <f t="shared" si="30"/>
        <v>0</v>
      </c>
      <c r="AG107" s="197">
        <f t="shared" si="30"/>
        <v>0</v>
      </c>
      <c r="AH107" s="197">
        <f t="shared" si="30"/>
        <v>0</v>
      </c>
      <c r="AI107" s="197">
        <f t="shared" si="30"/>
        <v>0</v>
      </c>
      <c r="AJ107" s="197">
        <f t="shared" si="30"/>
        <v>0</v>
      </c>
      <c r="AK107" s="197">
        <f t="shared" si="30"/>
        <v>0</v>
      </c>
      <c r="AL107" s="197">
        <f t="shared" si="30"/>
        <v>0</v>
      </c>
      <c r="AM107" s="197">
        <f t="shared" si="30"/>
        <v>0</v>
      </c>
      <c r="AN107" s="197">
        <f t="shared" si="30"/>
        <v>0</v>
      </c>
      <c r="AO107" s="197">
        <f t="shared" si="30"/>
        <v>0</v>
      </c>
      <c r="AP107" s="197">
        <f t="shared" si="30"/>
        <v>0</v>
      </c>
      <c r="AQ107" s="197">
        <f t="shared" si="30"/>
        <v>0</v>
      </c>
      <c r="AR107" s="197">
        <f t="shared" si="30"/>
        <v>0</v>
      </c>
      <c r="AS107" s="197">
        <f t="shared" si="30"/>
        <v>0</v>
      </c>
      <c r="AT107" s="197">
        <f t="shared" si="30"/>
        <v>0</v>
      </c>
      <c r="AU107" s="197">
        <f t="shared" si="30"/>
        <v>0</v>
      </c>
      <c r="AV107" s="197">
        <f t="shared" si="30"/>
        <v>0</v>
      </c>
      <c r="AW107" s="197">
        <f t="shared" si="30"/>
        <v>0</v>
      </c>
      <c r="AX107" s="197">
        <f t="shared" si="30"/>
        <v>0</v>
      </c>
      <c r="AY107" s="197">
        <f t="shared" si="30"/>
        <v>0</v>
      </c>
      <c r="AZ107" s="197">
        <f t="shared" si="30"/>
        <v>0</v>
      </c>
      <c r="BA107" s="197">
        <f t="shared" si="30"/>
        <v>0</v>
      </c>
      <c r="BB107" s="197">
        <f t="shared" si="30"/>
        <v>0</v>
      </c>
      <c r="BC107" s="197">
        <f t="shared" si="30"/>
        <v>0</v>
      </c>
      <c r="BD107" s="197">
        <f t="shared" si="30"/>
        <v>0</v>
      </c>
      <c r="BE107" s="197">
        <f t="shared" si="30"/>
        <v>0</v>
      </c>
      <c r="BF107" s="197">
        <f t="shared" si="30"/>
        <v>0</v>
      </c>
      <c r="BG107" s="197">
        <f t="shared" si="30"/>
        <v>0</v>
      </c>
      <c r="BH107" s="197">
        <f t="shared" si="30"/>
        <v>0</v>
      </c>
      <c r="BI107" s="175">
        <f>NPV($D$49,F107:BH107)</f>
        <v>1040822.4984333834</v>
      </c>
      <c r="BJ107" s="180"/>
      <c r="BK107" s="180"/>
      <c r="BL107" s="180"/>
      <c r="BM107" s="180"/>
      <c r="BN107" s="180"/>
      <c r="BO107" s="180"/>
    </row>
    <row r="108" spans="2:70" ht="12.75">
      <c r="C108" s="186"/>
      <c r="D108" s="121"/>
      <c r="E108" s="121"/>
      <c r="F108" s="195"/>
      <c r="G108" s="1794" t="s">
        <v>2322</v>
      </c>
      <c r="H108" s="195"/>
      <c r="I108" s="195"/>
      <c r="J108" s="195"/>
      <c r="K108" s="195"/>
      <c r="L108" s="195"/>
      <c r="M108" s="195"/>
      <c r="N108" s="195"/>
      <c r="O108" s="195"/>
      <c r="P108" s="195"/>
      <c r="Q108" s="195"/>
      <c r="R108" s="195"/>
      <c r="S108" s="195"/>
      <c r="T108" s="195"/>
      <c r="U108" s="195"/>
      <c r="V108" s="195"/>
      <c r="W108" s="195"/>
      <c r="X108" s="195"/>
      <c r="Y108" s="195"/>
      <c r="Z108" s="195"/>
      <c r="AA108" s="195"/>
      <c r="AB108" s="195"/>
      <c r="AC108" s="195"/>
      <c r="AD108" s="195"/>
      <c r="AE108" s="195"/>
      <c r="AF108" s="195"/>
      <c r="AG108" s="195"/>
      <c r="AH108" s="195"/>
      <c r="AI108" s="195"/>
      <c r="AJ108" s="195"/>
      <c r="AK108" s="195"/>
      <c r="AL108" s="195"/>
      <c r="AM108" s="195"/>
      <c r="AN108" s="195"/>
      <c r="AO108" s="195"/>
      <c r="AP108" s="195"/>
      <c r="AQ108" s="195"/>
      <c r="AR108" s="195"/>
      <c r="AS108" s="195"/>
      <c r="AT108" s="195"/>
      <c r="AU108" s="195"/>
      <c r="AV108" s="195"/>
      <c r="AW108" s="195"/>
      <c r="AX108" s="195"/>
      <c r="AY108" s="195"/>
      <c r="AZ108" s="195"/>
      <c r="BA108" s="195"/>
      <c r="BB108" s="195"/>
      <c r="BC108" s="195"/>
      <c r="BD108" s="195"/>
      <c r="BE108" s="195"/>
      <c r="BF108" s="195"/>
      <c r="BG108" s="195"/>
      <c r="BH108" s="195"/>
      <c r="BI108" s="195"/>
      <c r="BJ108" s="195"/>
      <c r="BK108" s="195"/>
      <c r="BL108" s="195"/>
      <c r="BM108" s="195"/>
      <c r="BN108" s="195"/>
      <c r="BO108" s="175"/>
      <c r="BP108" s="121"/>
      <c r="BQ108" s="121"/>
      <c r="BR108" s="121"/>
    </row>
    <row r="109" spans="2:70" ht="12.75">
      <c r="C109" s="186"/>
      <c r="D109" s="136"/>
      <c r="E109" s="136"/>
      <c r="F109" s="136"/>
      <c r="G109" s="1794" t="s">
        <v>2323</v>
      </c>
      <c r="H109" s="1547"/>
      <c r="I109" s="1547"/>
      <c r="J109" s="1547"/>
      <c r="K109" s="1547"/>
      <c r="L109" s="1547"/>
      <c r="M109" s="1547"/>
      <c r="N109" s="1547"/>
      <c r="O109" s="1547"/>
      <c r="P109" s="1547"/>
      <c r="Q109" s="1547"/>
      <c r="R109" s="1547"/>
      <c r="S109" s="1547"/>
      <c r="T109" s="1547"/>
      <c r="U109" s="1547"/>
      <c r="V109" s="1547"/>
      <c r="W109" s="1547"/>
      <c r="X109" s="1547"/>
      <c r="BO109" s="136"/>
      <c r="BP109" s="121"/>
      <c r="BQ109" s="121"/>
      <c r="BR109" s="121"/>
    </row>
    <row r="110" spans="2:70" ht="12.75">
      <c r="C110" s="186"/>
      <c r="D110" s="136"/>
      <c r="E110" s="136"/>
      <c r="F110" s="136"/>
      <c r="G110" s="136"/>
      <c r="H110" s="136"/>
      <c r="I110" s="136"/>
      <c r="J110" s="136"/>
      <c r="K110" s="136"/>
      <c r="L110" s="136"/>
      <c r="M110" s="136"/>
      <c r="N110" s="136"/>
      <c r="O110" s="136"/>
      <c r="P110" s="136"/>
      <c r="Q110" s="136"/>
      <c r="R110" s="136"/>
      <c r="BO110" s="136"/>
      <c r="BP110" s="121"/>
      <c r="BQ110" s="121"/>
      <c r="BR110" s="121"/>
    </row>
    <row r="111" spans="2:70">
      <c r="C111" s="1796"/>
      <c r="D111" s="1803" t="s">
        <v>2324</v>
      </c>
      <c r="E111" s="1797"/>
      <c r="F111" s="1797"/>
      <c r="G111" s="1798">
        <f>G94*0.138+G95*16+G96*0.0034+G97*0.97+G98*0.09</f>
        <v>10022.409404618773</v>
      </c>
      <c r="H111" s="1798">
        <f t="shared" ref="H111:AS111" si="31">H94*0.138+H95*16+H96*0.0034+H97*0.97+H98*0.09</f>
        <v>10022.409404618773</v>
      </c>
      <c r="I111" s="1798">
        <f t="shared" si="31"/>
        <v>10022.409404618773</v>
      </c>
      <c r="J111" s="1798">
        <f t="shared" si="31"/>
        <v>10022.409404618773</v>
      </c>
      <c r="K111" s="1798">
        <f t="shared" si="31"/>
        <v>10022.409404618773</v>
      </c>
      <c r="L111" s="1798">
        <f t="shared" si="31"/>
        <v>10022.409404618773</v>
      </c>
      <c r="M111" s="1798">
        <f t="shared" si="31"/>
        <v>10022.409404618773</v>
      </c>
      <c r="N111" s="1798">
        <f t="shared" si="31"/>
        <v>10022.409404618773</v>
      </c>
      <c r="O111" s="1798">
        <f t="shared" si="31"/>
        <v>10022.409404618773</v>
      </c>
      <c r="P111" s="1798">
        <f t="shared" si="31"/>
        <v>10022.409404618773</v>
      </c>
      <c r="Q111" s="1798">
        <f t="shared" si="31"/>
        <v>10022.409404618773</v>
      </c>
      <c r="R111" s="1798">
        <f t="shared" si="31"/>
        <v>10022.409404618773</v>
      </c>
      <c r="S111" s="1798">
        <f t="shared" si="31"/>
        <v>10022.409404618773</v>
      </c>
      <c r="T111" s="1798">
        <f t="shared" si="31"/>
        <v>10022.409404618773</v>
      </c>
      <c r="U111" s="1798">
        <f t="shared" si="31"/>
        <v>10022.409404618773</v>
      </c>
      <c r="V111" s="1798">
        <f t="shared" si="31"/>
        <v>10022.409404618773</v>
      </c>
      <c r="W111" s="1798">
        <f t="shared" si="31"/>
        <v>10022.409404618773</v>
      </c>
      <c r="X111" s="1798">
        <f t="shared" si="31"/>
        <v>10022.409404618773</v>
      </c>
      <c r="Y111" s="1798">
        <f t="shared" si="31"/>
        <v>10022.409404618773</v>
      </c>
      <c r="Z111" s="1798">
        <f t="shared" si="31"/>
        <v>10022.409404618773</v>
      </c>
      <c r="AA111" s="1798">
        <f t="shared" si="31"/>
        <v>10022.409404618773</v>
      </c>
      <c r="AB111" s="1798">
        <f t="shared" si="31"/>
        <v>10022.409404618773</v>
      </c>
      <c r="AC111" s="1798">
        <f t="shared" si="31"/>
        <v>10022.409404618773</v>
      </c>
      <c r="AD111" s="1798">
        <f t="shared" si="31"/>
        <v>10022.409404618773</v>
      </c>
      <c r="AE111" s="1798">
        <f t="shared" si="31"/>
        <v>10022.409404618773</v>
      </c>
      <c r="AF111" s="1798">
        <f t="shared" si="31"/>
        <v>10022.409404618773</v>
      </c>
      <c r="AG111" s="1798">
        <f t="shared" si="31"/>
        <v>10022.409404618773</v>
      </c>
      <c r="AH111" s="1798">
        <f t="shared" si="31"/>
        <v>10022.409404618773</v>
      </c>
      <c r="AI111" s="1798">
        <f t="shared" si="31"/>
        <v>10022.409404618773</v>
      </c>
      <c r="AJ111" s="1798">
        <f t="shared" si="31"/>
        <v>10022.409404618773</v>
      </c>
      <c r="AK111" s="1798">
        <f t="shared" si="31"/>
        <v>10022.409404618773</v>
      </c>
      <c r="AL111" s="1798">
        <f t="shared" si="31"/>
        <v>10022.409404618773</v>
      </c>
      <c r="AM111" s="1798">
        <f t="shared" si="31"/>
        <v>10022.409404618773</v>
      </c>
      <c r="AN111" s="1798">
        <f t="shared" si="31"/>
        <v>10022.409404618773</v>
      </c>
      <c r="AO111" s="1798">
        <f t="shared" si="31"/>
        <v>10022.409404618773</v>
      </c>
      <c r="AP111" s="1798">
        <f t="shared" si="31"/>
        <v>10022.409404618773</v>
      </c>
      <c r="AQ111" s="1798">
        <f t="shared" si="31"/>
        <v>10022.409404618773</v>
      </c>
      <c r="AR111" s="1798">
        <f t="shared" si="31"/>
        <v>10022.409404618773</v>
      </c>
      <c r="AS111" s="1798">
        <f t="shared" si="31"/>
        <v>10022.409404618773</v>
      </c>
      <c r="AT111" s="1797"/>
      <c r="AU111" s="1797"/>
      <c r="AV111" s="1797"/>
      <c r="AW111" s="1797"/>
      <c r="AX111" s="1797"/>
      <c r="AY111" s="1797"/>
      <c r="AZ111" s="1797"/>
      <c r="BA111" s="1797"/>
      <c r="BB111" s="1797"/>
      <c r="BC111" s="1797"/>
      <c r="BD111" s="1797"/>
      <c r="BE111" s="1797"/>
      <c r="BF111" s="1797"/>
      <c r="BG111" s="1797"/>
      <c r="BH111" s="1797"/>
      <c r="BI111" s="1799"/>
    </row>
    <row r="112" spans="2:70">
      <c r="C112" s="1800"/>
      <c r="D112" s="1801"/>
      <c r="E112" s="1801"/>
      <c r="F112" s="1801"/>
      <c r="G112" s="1801"/>
      <c r="H112" s="1801"/>
      <c r="I112" s="1801"/>
      <c r="J112" s="1801"/>
      <c r="K112" s="1801"/>
      <c r="L112" s="1801"/>
      <c r="M112" s="1801"/>
      <c r="N112" s="1801"/>
      <c r="O112" s="1801"/>
      <c r="P112" s="1801"/>
      <c r="Q112" s="1801"/>
      <c r="R112" s="1801"/>
      <c r="S112" s="1801"/>
      <c r="T112" s="1801"/>
      <c r="U112" s="1801"/>
      <c r="V112" s="1801"/>
      <c r="W112" s="1801"/>
      <c r="X112" s="1801"/>
      <c r="Y112" s="1801"/>
      <c r="Z112" s="1801"/>
      <c r="AA112" s="1801"/>
      <c r="AB112" s="1801"/>
      <c r="AC112" s="1801"/>
      <c r="AD112" s="1801"/>
      <c r="AE112" s="1801"/>
      <c r="AF112" s="1801"/>
      <c r="AG112" s="1801"/>
      <c r="AH112" s="1801"/>
      <c r="AI112" s="1801"/>
      <c r="AJ112" s="1801"/>
      <c r="AK112" s="1801"/>
      <c r="AL112" s="1801"/>
      <c r="AM112" s="1801"/>
      <c r="AN112" s="1801"/>
      <c r="AO112" s="1801"/>
      <c r="AP112" s="1801"/>
      <c r="AQ112" s="1801"/>
      <c r="AR112" s="1801"/>
      <c r="AS112" s="1801"/>
      <c r="AT112" s="1801"/>
      <c r="AU112" s="1801"/>
      <c r="AV112" s="1801"/>
      <c r="AW112" s="1801"/>
      <c r="AX112" s="1801"/>
      <c r="AY112" s="1801"/>
      <c r="AZ112" s="1801"/>
      <c r="BA112" s="1801"/>
      <c r="BB112" s="1801"/>
      <c r="BC112" s="1801"/>
      <c r="BD112" s="1801"/>
      <c r="BE112" s="1801"/>
      <c r="BF112" s="1801"/>
      <c r="BG112" s="1801"/>
      <c r="BH112" s="1801"/>
      <c r="BI112" s="1802"/>
    </row>
  </sheetData>
  <mergeCells count="17">
    <mergeCell ref="C72:E72"/>
    <mergeCell ref="C80:E80"/>
    <mergeCell ref="C93:E93"/>
    <mergeCell ref="B2:E2"/>
    <mergeCell ref="C66:E66"/>
    <mergeCell ref="V13:W13"/>
    <mergeCell ref="I5:U5"/>
    <mergeCell ref="H2:U2"/>
    <mergeCell ref="N6:P6"/>
    <mergeCell ref="Q6:T6"/>
    <mergeCell ref="I13:N13"/>
    <mergeCell ref="O13:U13"/>
    <mergeCell ref="K32:M32"/>
    <mergeCell ref="I26:N26"/>
    <mergeCell ref="O26:R26"/>
    <mergeCell ref="S26:T26"/>
    <mergeCell ref="A1:Q1"/>
  </mergeCells>
  <conditionalFormatting sqref="U14">
    <cfRule type="cellIs" dxfId="3" priority="1" operator="lessThan">
      <formula>0</formula>
    </cfRule>
  </conditionalFormatting>
  <dataValidations count="4">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C6:D6">
      <formula1>#REF!</formula1>
    </dataValidation>
    <dataValidation type="list" allowBlank="1" showInputMessage="1" showErrorMessage="1" sqref="F9">
      <formula1>"High,Medium,Low"</formula1>
    </dataValidation>
  </dataValidations>
  <pageMargins left="0.7" right="0.7" top="0.75" bottom="0.75" header="0.3" footer="0.3"/>
  <pageSetup paperSize="5" scale="35"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Assumptions!$H$51:$H$53</xm:f>
          </x14:formula1>
          <xm:sqref>F6:F8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U289"/>
  <sheetViews>
    <sheetView topLeftCell="A154" zoomScale="90" zoomScaleNormal="90" workbookViewId="0">
      <selection activeCell="A193" sqref="A193:XFD193"/>
    </sheetView>
  </sheetViews>
  <sheetFormatPr defaultRowHeight="12.75"/>
  <cols>
    <col min="1" max="1" width="19.42578125" bestFit="1" customWidth="1"/>
    <col min="2" max="2" width="26.7109375" bestFit="1" customWidth="1"/>
    <col min="3" max="3" width="13.5703125" style="287" bestFit="1" customWidth="1"/>
    <col min="4" max="4" width="8.42578125" customWidth="1"/>
    <col min="5" max="5" width="12.5703125" style="60" bestFit="1" customWidth="1"/>
    <col min="6" max="6" width="18.7109375" style="1549" bestFit="1" customWidth="1"/>
    <col min="7" max="7" width="15.28515625" style="1549" customWidth="1"/>
    <col min="8" max="8" width="7.42578125" bestFit="1" customWidth="1"/>
    <col min="9" max="9" width="13.28515625" style="60" bestFit="1" customWidth="1"/>
    <col min="10" max="10" width="15" style="1549" customWidth="1"/>
    <col min="11" max="11" width="7.42578125" bestFit="1" customWidth="1"/>
    <col min="12" max="12" width="12.5703125" style="60" bestFit="1" customWidth="1"/>
    <col min="13" max="13" width="17.85546875" style="49" bestFit="1" customWidth="1"/>
    <col min="14" max="14" width="18.140625" style="1549" bestFit="1" customWidth="1"/>
    <col min="15" max="15" width="15.28515625" style="60" customWidth="1"/>
    <col min="16" max="19" width="24.5703125" style="60" customWidth="1"/>
    <col min="20" max="20" width="24.5703125" style="1549" customWidth="1"/>
    <col min="21" max="21" width="10.42578125" style="49" customWidth="1"/>
  </cols>
  <sheetData>
    <row r="1" spans="1:21">
      <c r="D1" s="2009" t="s">
        <v>1336</v>
      </c>
      <c r="E1" s="2009"/>
      <c r="F1" s="2009"/>
      <c r="G1" s="2009"/>
      <c r="H1" s="2010" t="s">
        <v>1498</v>
      </c>
      <c r="I1" s="2010"/>
      <c r="J1" s="2010"/>
      <c r="K1" s="2009" t="s">
        <v>1337</v>
      </c>
      <c r="L1" s="2009"/>
      <c r="M1" s="2009"/>
      <c r="N1" s="2009"/>
      <c r="O1" s="2009"/>
      <c r="P1" s="2011" t="s">
        <v>1343</v>
      </c>
      <c r="Q1" s="2011"/>
      <c r="R1" s="2012" t="s">
        <v>1345</v>
      </c>
      <c r="S1" s="2012"/>
      <c r="T1" s="2012"/>
      <c r="U1" s="2012"/>
    </row>
    <row r="2" spans="1:21" s="1249" customFormat="1" ht="51">
      <c r="A2" s="1249" t="s">
        <v>375</v>
      </c>
      <c r="B2" s="1249" t="s">
        <v>704</v>
      </c>
      <c r="C2" s="718" t="s">
        <v>1900</v>
      </c>
      <c r="D2" s="1597" t="s">
        <v>1338</v>
      </c>
      <c r="E2" s="1598" t="s">
        <v>1339</v>
      </c>
      <c r="F2" s="1599" t="s">
        <v>1340</v>
      </c>
      <c r="G2" s="1599" t="s">
        <v>1341</v>
      </c>
      <c r="H2" s="1600" t="s">
        <v>1338</v>
      </c>
      <c r="I2" s="1601" t="s">
        <v>1339</v>
      </c>
      <c r="J2" s="1602" t="s">
        <v>1340</v>
      </c>
      <c r="K2" s="1597" t="s">
        <v>1338</v>
      </c>
      <c r="L2" s="1598" t="s">
        <v>1339</v>
      </c>
      <c r="M2" s="1596" t="s">
        <v>1342</v>
      </c>
      <c r="N2" s="1599" t="s">
        <v>1340</v>
      </c>
      <c r="O2" s="1598" t="s">
        <v>1341</v>
      </c>
      <c r="P2" s="1601" t="s">
        <v>1344</v>
      </c>
      <c r="Q2" s="1601" t="s">
        <v>838</v>
      </c>
      <c r="R2" s="1598" t="s">
        <v>1346</v>
      </c>
      <c r="S2" s="1598" t="s">
        <v>1347</v>
      </c>
      <c r="T2" s="1599" t="s">
        <v>1348</v>
      </c>
      <c r="U2" s="1596" t="s">
        <v>1349</v>
      </c>
    </row>
    <row r="3" spans="1:21">
      <c r="A3" t="s">
        <v>969</v>
      </c>
      <c r="B3" t="s">
        <v>728</v>
      </c>
      <c r="C3" s="287">
        <v>44</v>
      </c>
      <c r="D3" s="1550">
        <v>1</v>
      </c>
      <c r="E3" s="1551">
        <v>2400</v>
      </c>
      <c r="F3" s="1552">
        <v>2.7516666666666668E-2</v>
      </c>
      <c r="G3" s="1552">
        <v>66.040000000000006</v>
      </c>
      <c r="H3" s="1593">
        <v>9</v>
      </c>
      <c r="I3" s="1553">
        <v>2103.9722222222226</v>
      </c>
      <c r="J3" s="1594">
        <v>0.12035946355715328</v>
      </c>
      <c r="K3" s="1550">
        <v>0</v>
      </c>
      <c r="L3" s="1551">
        <v>0</v>
      </c>
      <c r="M3" s="1595">
        <v>0.32065910269953968</v>
      </c>
      <c r="N3" s="1552">
        <v>0</v>
      </c>
      <c r="O3" s="1551">
        <v>0</v>
      </c>
      <c r="P3" s="1553">
        <v>10955.057624250192</v>
      </c>
      <c r="Q3" s="1553">
        <v>72860.997277175295</v>
      </c>
      <c r="R3" s="1551">
        <v>43</v>
      </c>
      <c r="S3" s="1551">
        <v>3491.66262067154</v>
      </c>
      <c r="T3" s="1552">
        <v>25301.903048344491</v>
      </c>
      <c r="U3" s="1595">
        <v>0.34726265071684187</v>
      </c>
    </row>
    <row r="4" spans="1:21">
      <c r="A4" t="s">
        <v>970</v>
      </c>
      <c r="B4" t="s">
        <v>549</v>
      </c>
      <c r="C4" s="287">
        <v>19</v>
      </c>
      <c r="D4" s="1550">
        <v>0</v>
      </c>
      <c r="E4" s="1551">
        <v>0</v>
      </c>
      <c r="F4" s="1552">
        <v>0</v>
      </c>
      <c r="G4" s="1552">
        <v>0</v>
      </c>
      <c r="H4" s="1593">
        <v>0</v>
      </c>
      <c r="I4" s="1553">
        <v>1817.0217554858932</v>
      </c>
      <c r="J4" s="1594">
        <v>0.1060456189069323</v>
      </c>
      <c r="K4" s="1550">
        <v>0</v>
      </c>
      <c r="L4" s="1551">
        <v>0</v>
      </c>
      <c r="M4" s="1595">
        <v>0.25858399409042854</v>
      </c>
      <c r="N4" s="1552">
        <v>0</v>
      </c>
      <c r="O4" s="1551">
        <v>0</v>
      </c>
      <c r="P4" s="1553">
        <v>3661.0567359293805</v>
      </c>
      <c r="Q4" s="1553">
        <v>23712.440115430294</v>
      </c>
      <c r="R4" s="1551">
        <v>19</v>
      </c>
      <c r="S4" s="1551">
        <v>946.69067336828664</v>
      </c>
      <c r="T4" s="1552">
        <v>6860.077343248453</v>
      </c>
      <c r="U4" s="1595">
        <v>0.28930288531480253</v>
      </c>
    </row>
    <row r="5" spans="1:21">
      <c r="A5" t="s">
        <v>49</v>
      </c>
      <c r="B5" t="s">
        <v>732</v>
      </c>
      <c r="C5" s="287">
        <v>150</v>
      </c>
      <c r="D5" s="1550">
        <v>0</v>
      </c>
      <c r="E5" s="1551">
        <v>0</v>
      </c>
      <c r="F5" s="1552">
        <v>0</v>
      </c>
      <c r="G5" s="1552">
        <v>0</v>
      </c>
      <c r="H5" s="1593">
        <v>55</v>
      </c>
      <c r="I5" s="1553">
        <v>770.87272727272727</v>
      </c>
      <c r="J5" s="1594">
        <v>0.17678167793218302</v>
      </c>
      <c r="K5" s="1550">
        <v>31</v>
      </c>
      <c r="L5" s="1551">
        <v>714.51612903225805</v>
      </c>
      <c r="M5" s="1595">
        <v>0.38728253616342317</v>
      </c>
      <c r="N5" s="1552">
        <v>0.11547820030914885</v>
      </c>
      <c r="O5" s="1551">
        <v>2557.842136847647</v>
      </c>
      <c r="P5" s="1553">
        <v>18774.706866579916</v>
      </c>
      <c r="Q5" s="1553">
        <v>113809.47004768054</v>
      </c>
      <c r="R5" s="1551">
        <v>119</v>
      </c>
      <c r="S5" s="1551">
        <v>6280.5085011498795</v>
      </c>
      <c r="T5" s="1552">
        <v>45510.931167752744</v>
      </c>
      <c r="U5" s="1595">
        <v>0.39988703179696655</v>
      </c>
    </row>
    <row r="6" spans="1:21">
      <c r="A6" t="s">
        <v>51</v>
      </c>
      <c r="B6" t="s">
        <v>732</v>
      </c>
      <c r="C6" s="287">
        <v>90</v>
      </c>
      <c r="D6" s="1550">
        <v>0</v>
      </c>
      <c r="E6" s="1551">
        <v>0</v>
      </c>
      <c r="F6" s="1552">
        <v>0</v>
      </c>
      <c r="G6" s="1552">
        <v>0</v>
      </c>
      <c r="H6" s="1593">
        <v>0</v>
      </c>
      <c r="I6" s="1553">
        <v>1045.957275886032</v>
      </c>
      <c r="J6" s="1594">
        <v>0.16663814568985108</v>
      </c>
      <c r="K6" s="1550">
        <v>0</v>
      </c>
      <c r="L6" s="1551">
        <v>0</v>
      </c>
      <c r="M6" s="1595">
        <v>0.33369832036967961</v>
      </c>
      <c r="N6" s="1552">
        <v>0</v>
      </c>
      <c r="O6" s="1551">
        <v>0</v>
      </c>
      <c r="P6" s="1553">
        <v>15686.674283201071</v>
      </c>
      <c r="Q6" s="1553">
        <v>100328.07451594979</v>
      </c>
      <c r="R6" s="1551">
        <v>90</v>
      </c>
      <c r="S6" s="1551">
        <v>5234.616860490446</v>
      </c>
      <c r="T6" s="1552">
        <v>37932.006235438013</v>
      </c>
      <c r="U6" s="1595">
        <v>0.37807967927668862</v>
      </c>
    </row>
    <row r="7" spans="1:21">
      <c r="A7" t="s">
        <v>53</v>
      </c>
      <c r="B7" t="s">
        <v>728</v>
      </c>
      <c r="C7" s="287">
        <v>40</v>
      </c>
      <c r="D7" s="1550">
        <v>0</v>
      </c>
      <c r="E7" s="1551">
        <v>0</v>
      </c>
      <c r="F7" s="1552">
        <v>0</v>
      </c>
      <c r="G7" s="1552">
        <v>0</v>
      </c>
      <c r="H7" s="1593">
        <v>23</v>
      </c>
      <c r="I7" s="1553">
        <v>940.98913043478262</v>
      </c>
      <c r="J7" s="1594">
        <v>9.7554633484453743E-2</v>
      </c>
      <c r="K7" s="1550">
        <v>7</v>
      </c>
      <c r="L7" s="1551">
        <v>863.82142857142856</v>
      </c>
      <c r="M7" s="1595">
        <v>0.32065910269953968</v>
      </c>
      <c r="N7" s="1552">
        <v>6.4743155063362937E-2</v>
      </c>
      <c r="O7" s="1551">
        <v>391.48567287938982</v>
      </c>
      <c r="P7" s="1553">
        <v>3420.814714049252</v>
      </c>
      <c r="Q7" s="1553">
        <v>18858.077638038059</v>
      </c>
      <c r="R7" s="1551">
        <v>33</v>
      </c>
      <c r="S7" s="1551">
        <v>971.38193212318481</v>
      </c>
      <c r="T7" s="1552">
        <v>7038.9995081390198</v>
      </c>
      <c r="U7" s="1595">
        <v>0.37326177372082009</v>
      </c>
    </row>
    <row r="8" spans="1:21">
      <c r="A8" t="s">
        <v>70</v>
      </c>
      <c r="B8" t="s">
        <v>732</v>
      </c>
      <c r="C8" s="287">
        <v>160</v>
      </c>
      <c r="D8" s="1550">
        <v>0</v>
      </c>
      <c r="E8" s="1551">
        <v>0</v>
      </c>
      <c r="F8" s="1552">
        <v>0</v>
      </c>
      <c r="G8" s="1552">
        <v>0</v>
      </c>
      <c r="H8" s="1593">
        <v>63</v>
      </c>
      <c r="I8" s="1553">
        <v>748.8730158730159</v>
      </c>
      <c r="J8" s="1594">
        <v>0.22103345469621505</v>
      </c>
      <c r="K8" s="1550">
        <v>48</v>
      </c>
      <c r="L8" s="1551">
        <v>766.02083333333337</v>
      </c>
      <c r="M8" s="1595">
        <v>0.4649618406520255</v>
      </c>
      <c r="N8" s="1552">
        <v>0.10771759223750173</v>
      </c>
      <c r="O8" s="1551">
        <v>3960.6681489807011</v>
      </c>
      <c r="P8" s="1553">
        <v>22499.579009625555</v>
      </c>
      <c r="Q8" s="1553">
        <v>139318.6884755475</v>
      </c>
      <c r="R8" s="1551">
        <v>112</v>
      </c>
      <c r="S8" s="1551">
        <v>8619.8861174492577</v>
      </c>
      <c r="T8" s="1552">
        <v>62462.942880067079</v>
      </c>
      <c r="U8" s="1595">
        <v>0.44834575722430986</v>
      </c>
    </row>
    <row r="9" spans="1:21">
      <c r="A9" t="s">
        <v>971</v>
      </c>
      <c r="B9" t="s">
        <v>736</v>
      </c>
      <c r="C9" s="287">
        <v>12</v>
      </c>
      <c r="D9" s="1550">
        <v>3</v>
      </c>
      <c r="E9" s="1551">
        <v>1285.3333333333333</v>
      </c>
      <c r="F9" s="1552">
        <v>5.900640771829796E-2</v>
      </c>
      <c r="G9" s="1552">
        <v>227.52870816175692</v>
      </c>
      <c r="H9" s="1593">
        <v>0</v>
      </c>
      <c r="I9" s="1553">
        <v>1121.8146232876711</v>
      </c>
      <c r="J9" s="1594">
        <v>0.2465402206361047</v>
      </c>
      <c r="K9" s="1550">
        <v>0</v>
      </c>
      <c r="L9" s="1551">
        <v>0</v>
      </c>
      <c r="M9" s="1595">
        <v>0.32640460980310909</v>
      </c>
      <c r="N9" s="1552">
        <v>0</v>
      </c>
      <c r="O9" s="1551">
        <v>0</v>
      </c>
      <c r="P9" s="1553">
        <v>2716.6805308051171</v>
      </c>
      <c r="Q9" s="1553">
        <v>17906.960368153021</v>
      </c>
      <c r="R9" s="1551">
        <v>9</v>
      </c>
      <c r="S9" s="1551">
        <v>812.47062941060369</v>
      </c>
      <c r="T9" s="1552">
        <v>5887.4683290623452</v>
      </c>
      <c r="U9" s="1595">
        <v>0.32878099956780082</v>
      </c>
    </row>
    <row r="10" spans="1:21">
      <c r="A10" t="s">
        <v>1377</v>
      </c>
      <c r="B10" t="s">
        <v>736</v>
      </c>
      <c r="C10" s="287">
        <v>16</v>
      </c>
      <c r="D10" s="1550">
        <v>0</v>
      </c>
      <c r="E10" s="1551">
        <v>0</v>
      </c>
      <c r="F10" s="1552">
        <v>0</v>
      </c>
      <c r="G10" s="1552">
        <v>0</v>
      </c>
      <c r="H10" s="1593">
        <v>0</v>
      </c>
      <c r="I10" s="1553">
        <v>1121.8146232876711</v>
      </c>
      <c r="J10" s="1594">
        <v>0.2465402206361047</v>
      </c>
      <c r="K10" s="1550">
        <v>0</v>
      </c>
      <c r="L10" s="1551">
        <v>0</v>
      </c>
      <c r="M10" s="1595">
        <v>0.32640460980310909</v>
      </c>
      <c r="N10" s="1552">
        <v>0</v>
      </c>
      <c r="O10" s="1551">
        <v>0</v>
      </c>
      <c r="P10" s="1553">
        <v>4425.1587958104183</v>
      </c>
      <c r="Q10" s="1553">
        <v>29694.194172539264</v>
      </c>
      <c r="R10" s="1551">
        <v>16</v>
      </c>
      <c r="S10" s="1551">
        <v>1444.3922300632958</v>
      </c>
      <c r="T10" s="1552">
        <v>10466.610362777505</v>
      </c>
      <c r="U10" s="1595">
        <v>0.35248002696961095</v>
      </c>
    </row>
    <row r="11" spans="1:21">
      <c r="A11" t="s">
        <v>972</v>
      </c>
      <c r="B11" t="s">
        <v>730</v>
      </c>
      <c r="C11" s="287">
        <v>71</v>
      </c>
      <c r="D11" s="1550">
        <v>0</v>
      </c>
      <c r="E11" s="1551">
        <v>0</v>
      </c>
      <c r="F11" s="1552">
        <v>0</v>
      </c>
      <c r="G11" s="1552">
        <v>0</v>
      </c>
      <c r="H11" s="1593">
        <v>40</v>
      </c>
      <c r="I11" s="1553">
        <v>1036.68075</v>
      </c>
      <c r="J11" s="1594">
        <v>0.13288917366731184</v>
      </c>
      <c r="K11" s="1550">
        <v>29</v>
      </c>
      <c r="L11" s="1551">
        <v>922.00793103448291</v>
      </c>
      <c r="M11" s="1595">
        <v>0.24737808287155535</v>
      </c>
      <c r="N11" s="1552">
        <v>9.6672828908483555E-2</v>
      </c>
      <c r="O11" s="1551">
        <v>2584.8603341056828</v>
      </c>
      <c r="P11" s="1553">
        <v>8370.9335595266639</v>
      </c>
      <c r="Q11" s="1553">
        <v>50132.417098019301</v>
      </c>
      <c r="R11" s="1551">
        <v>42</v>
      </c>
      <c r="S11" s="1551">
        <v>1431.3477018590793</v>
      </c>
      <c r="T11" s="1552">
        <v>10372.084796080284</v>
      </c>
      <c r="U11" s="1595">
        <v>0.20689377046793297</v>
      </c>
    </row>
    <row r="12" spans="1:21">
      <c r="A12" t="s">
        <v>1360</v>
      </c>
      <c r="B12" t="s">
        <v>549</v>
      </c>
      <c r="C12" s="287">
        <v>9</v>
      </c>
      <c r="D12" s="1550">
        <v>0</v>
      </c>
      <c r="E12" s="1551">
        <v>0</v>
      </c>
      <c r="F12" s="1552">
        <v>0</v>
      </c>
      <c r="G12" s="1552">
        <v>0</v>
      </c>
      <c r="H12" s="1593">
        <v>0</v>
      </c>
      <c r="I12" s="1553">
        <v>1817.0217554858932</v>
      </c>
      <c r="J12" s="1594">
        <v>0.1060456189069323</v>
      </c>
      <c r="K12" s="1550">
        <v>0</v>
      </c>
      <c r="L12" s="1551">
        <v>0</v>
      </c>
      <c r="M12" s="1595">
        <v>0.25858399409042854</v>
      </c>
      <c r="N12" s="1552">
        <v>0</v>
      </c>
      <c r="O12" s="1551">
        <v>0</v>
      </c>
      <c r="P12" s="1553">
        <v>1734.1847696507593</v>
      </c>
      <c r="Q12" s="1553">
        <v>11232.20847573014</v>
      </c>
      <c r="R12" s="1551">
        <v>9</v>
      </c>
      <c r="S12" s="1551">
        <v>448.43242422708317</v>
      </c>
      <c r="T12" s="1552">
        <v>3249.5103204861098</v>
      </c>
      <c r="U12" s="1595">
        <v>0.28930288531480253</v>
      </c>
    </row>
    <row r="13" spans="1:21">
      <c r="A13" t="s">
        <v>973</v>
      </c>
      <c r="B13" t="s">
        <v>736</v>
      </c>
      <c r="C13" s="287">
        <v>44</v>
      </c>
      <c r="D13" s="1550">
        <v>5</v>
      </c>
      <c r="E13" s="1551">
        <v>1405.6</v>
      </c>
      <c r="F13" s="1552">
        <v>6.1968416004384755E-2</v>
      </c>
      <c r="G13" s="1552">
        <v>435.51402767881603</v>
      </c>
      <c r="H13" s="1593">
        <v>4</v>
      </c>
      <c r="I13" s="1553">
        <v>1121.8146232876711</v>
      </c>
      <c r="J13" s="1594">
        <v>0.2465402206361047</v>
      </c>
      <c r="K13" s="1550">
        <v>0</v>
      </c>
      <c r="L13" s="1551">
        <v>0</v>
      </c>
      <c r="M13" s="1595">
        <v>0.32640460980310909</v>
      </c>
      <c r="N13" s="1552">
        <v>0</v>
      </c>
      <c r="O13" s="1551">
        <v>0</v>
      </c>
      <c r="P13" s="1553">
        <v>11221.838592466709</v>
      </c>
      <c r="Q13" s="1553">
        <v>74794.192699034116</v>
      </c>
      <c r="R13" s="1551">
        <v>39</v>
      </c>
      <c r="S13" s="1551">
        <v>3520.7060607792828</v>
      </c>
      <c r="T13" s="1552">
        <v>25512.362759270163</v>
      </c>
      <c r="U13" s="1595">
        <v>0.34110085072954638</v>
      </c>
    </row>
    <row r="14" spans="1:21">
      <c r="A14" t="s">
        <v>30</v>
      </c>
      <c r="B14" t="s">
        <v>734</v>
      </c>
      <c r="C14" s="287">
        <v>75</v>
      </c>
      <c r="D14" s="1550">
        <v>1</v>
      </c>
      <c r="E14" s="1551">
        <v>1520</v>
      </c>
      <c r="F14" s="1552">
        <v>7.029605263157894E-2</v>
      </c>
      <c r="G14" s="1552">
        <v>106.85</v>
      </c>
      <c r="H14" s="1593">
        <v>0</v>
      </c>
      <c r="I14" s="1553">
        <v>1150.5043326039388</v>
      </c>
      <c r="J14" s="1594">
        <v>0.20810870859113864</v>
      </c>
      <c r="K14" s="1550">
        <v>0</v>
      </c>
      <c r="L14" s="1551">
        <v>0</v>
      </c>
      <c r="M14" s="1595">
        <v>0.33143950254743459</v>
      </c>
      <c r="N14" s="1552">
        <v>0</v>
      </c>
      <c r="O14" s="1551">
        <v>0</v>
      </c>
      <c r="P14" s="1553">
        <v>17824.66784561695</v>
      </c>
      <c r="Q14" s="1553">
        <v>118044.69453345615</v>
      </c>
      <c r="R14" s="1551">
        <v>74</v>
      </c>
      <c r="S14" s="1551">
        <v>5872.3847329773416</v>
      </c>
      <c r="T14" s="1552">
        <v>42553.512557806818</v>
      </c>
      <c r="U14" s="1595">
        <v>0.36048644732395263</v>
      </c>
    </row>
    <row r="15" spans="1:21">
      <c r="A15" t="s">
        <v>206</v>
      </c>
      <c r="B15" t="s">
        <v>733</v>
      </c>
      <c r="C15" s="287">
        <v>99</v>
      </c>
      <c r="D15" s="1550">
        <v>13</v>
      </c>
      <c r="E15" s="1551">
        <v>1470.7692307692307</v>
      </c>
      <c r="F15" s="1552">
        <v>0.12834919414309368</v>
      </c>
      <c r="G15" s="1552">
        <v>2454.0365920159511</v>
      </c>
      <c r="H15" s="1593">
        <v>28</v>
      </c>
      <c r="I15" s="1553">
        <v>1196.395</v>
      </c>
      <c r="J15" s="1594">
        <v>0.14637303385607886</v>
      </c>
      <c r="K15" s="1550">
        <v>16</v>
      </c>
      <c r="L15" s="1551">
        <v>1213.0662500000001</v>
      </c>
      <c r="M15" s="1595">
        <v>0.17424685044386223</v>
      </c>
      <c r="N15" s="1552">
        <v>0.13548851353253574</v>
      </c>
      <c r="O15" s="1551">
        <v>2629.7046884637984</v>
      </c>
      <c r="P15" s="1553">
        <v>17342.138889296792</v>
      </c>
      <c r="Q15" s="1553">
        <v>110989.84702388979</v>
      </c>
      <c r="R15" s="1551">
        <v>70</v>
      </c>
      <c r="S15" s="1551">
        <v>2135.9871748249416</v>
      </c>
      <c r="T15" s="1552">
        <v>15478.167933514069</v>
      </c>
      <c r="U15" s="1595">
        <v>0.1394557101261929</v>
      </c>
    </row>
    <row r="16" spans="1:21">
      <c r="A16" t="s">
        <v>975</v>
      </c>
      <c r="B16" t="s">
        <v>735</v>
      </c>
      <c r="C16" s="287">
        <v>90</v>
      </c>
      <c r="D16" s="1550">
        <v>4</v>
      </c>
      <c r="E16" s="1551">
        <v>1722</v>
      </c>
      <c r="F16" s="1552">
        <v>0.10877468885281384</v>
      </c>
      <c r="G16" s="1552">
        <v>749.24005681818176</v>
      </c>
      <c r="H16" s="1593">
        <v>13</v>
      </c>
      <c r="I16" s="1553">
        <v>1747.5136673928823</v>
      </c>
      <c r="J16" s="1594">
        <v>0.18106220828457628</v>
      </c>
      <c r="K16" s="1550">
        <v>8</v>
      </c>
      <c r="L16" s="1551">
        <v>1707.5</v>
      </c>
      <c r="M16" s="1595">
        <v>0.23015757030298531</v>
      </c>
      <c r="N16" s="1552">
        <v>0.13238149284724376</v>
      </c>
      <c r="O16" s="1551">
        <v>1808.3311922933499</v>
      </c>
      <c r="P16" s="1553">
        <v>27237.448571910973</v>
      </c>
      <c r="Q16" s="1553">
        <v>184029.33747761571</v>
      </c>
      <c r="R16" s="1551">
        <v>78</v>
      </c>
      <c r="S16" s="1551">
        <v>5680.2605999912648</v>
      </c>
      <c r="T16" s="1552">
        <v>41161.308695588872</v>
      </c>
      <c r="U16" s="1595">
        <v>0.2236671025379065</v>
      </c>
    </row>
    <row r="17" spans="1:21">
      <c r="A17" t="s">
        <v>40</v>
      </c>
      <c r="B17" t="s">
        <v>476</v>
      </c>
      <c r="C17" s="287">
        <v>167</v>
      </c>
      <c r="D17" s="1550">
        <v>0</v>
      </c>
      <c r="E17" s="1551">
        <v>0</v>
      </c>
      <c r="F17" s="1552">
        <v>0</v>
      </c>
      <c r="G17" s="1552">
        <v>0</v>
      </c>
      <c r="H17" s="1593">
        <v>98</v>
      </c>
      <c r="I17" s="1553">
        <v>1295.5714285714287</v>
      </c>
      <c r="J17" s="1594">
        <v>0.11429689278875528</v>
      </c>
      <c r="K17" s="1550">
        <v>70</v>
      </c>
      <c r="L17" s="1551">
        <v>1266.6714285714286</v>
      </c>
      <c r="M17" s="1595">
        <v>0.15195616651997851</v>
      </c>
      <c r="N17" s="1552">
        <v>9.2408419776305373E-2</v>
      </c>
      <c r="O17" s="1551">
        <v>8193.5773563056682</v>
      </c>
      <c r="P17" s="1553">
        <v>22557.316857451169</v>
      </c>
      <c r="Q17" s="1553">
        <v>138699.25259022586</v>
      </c>
      <c r="R17" s="1551">
        <v>97</v>
      </c>
      <c r="S17" s="1551">
        <v>2182.6587914856586</v>
      </c>
      <c r="T17" s="1552">
        <v>15816.368054243901</v>
      </c>
      <c r="U17" s="1595">
        <v>0.11403354927204908</v>
      </c>
    </row>
    <row r="18" spans="1:21">
      <c r="A18" t="s">
        <v>115</v>
      </c>
      <c r="B18" t="s">
        <v>732</v>
      </c>
      <c r="C18" s="287">
        <v>166</v>
      </c>
      <c r="D18" s="1550">
        <v>5</v>
      </c>
      <c r="E18" s="1551">
        <v>1776.4</v>
      </c>
      <c r="F18" s="1552">
        <v>9.5113232012765517E-2</v>
      </c>
      <c r="G18" s="1552">
        <v>844.79572673738335</v>
      </c>
      <c r="H18" s="1593">
        <v>33</v>
      </c>
      <c r="I18" s="1553">
        <v>1247.1481818181819</v>
      </c>
      <c r="J18" s="1594">
        <v>0.16739658561980064</v>
      </c>
      <c r="K18" s="1550">
        <v>8</v>
      </c>
      <c r="L18" s="1551">
        <v>930.73625000000004</v>
      </c>
      <c r="M18" s="1595">
        <v>0.33369832036967961</v>
      </c>
      <c r="N18" s="1552">
        <v>0.11699298573729103</v>
      </c>
      <c r="O18" s="1551">
        <v>871.11690257143789</v>
      </c>
      <c r="P18" s="1553">
        <v>33657.469781249638</v>
      </c>
      <c r="Q18" s="1553">
        <v>219283.40421195386</v>
      </c>
      <c r="R18" s="1551">
        <v>153</v>
      </c>
      <c r="S18" s="1551">
        <v>10658.843971594779</v>
      </c>
      <c r="T18" s="1552">
        <v>77237.999794165051</v>
      </c>
      <c r="U18" s="1595">
        <v>0.35222911679859153</v>
      </c>
    </row>
    <row r="19" spans="1:21">
      <c r="A19" t="s">
        <v>71</v>
      </c>
      <c r="B19" t="s">
        <v>736</v>
      </c>
      <c r="C19" s="287">
        <v>33</v>
      </c>
      <c r="D19" s="1550">
        <v>2</v>
      </c>
      <c r="E19" s="1551">
        <v>1312</v>
      </c>
      <c r="F19" s="1552">
        <v>5.7519054878048773E-2</v>
      </c>
      <c r="G19" s="1552">
        <v>150.92999999999998</v>
      </c>
      <c r="H19" s="1593">
        <v>3</v>
      </c>
      <c r="I19" s="1553">
        <v>1121.8146232876711</v>
      </c>
      <c r="J19" s="1594">
        <v>0.2465402206361047</v>
      </c>
      <c r="K19" s="1550">
        <v>1</v>
      </c>
      <c r="L19" s="1551">
        <v>760.75</v>
      </c>
      <c r="M19" s="1595">
        <v>0.32640460980310909</v>
      </c>
      <c r="N19" s="1552">
        <v>0.12407265266887935</v>
      </c>
      <c r="O19" s="1551">
        <v>94.388270517849961</v>
      </c>
      <c r="P19" s="1553">
        <v>8542.4910126623836</v>
      </c>
      <c r="Q19" s="1553">
        <v>57009.500091756396</v>
      </c>
      <c r="R19" s="1551">
        <v>30</v>
      </c>
      <c r="S19" s="1551">
        <v>2708.2354313686792</v>
      </c>
      <c r="T19" s="1552">
        <v>19624.89443020782</v>
      </c>
      <c r="U19" s="1595">
        <v>0.34423901978831051</v>
      </c>
    </row>
    <row r="20" spans="1:21">
      <c r="A20" t="s">
        <v>398</v>
      </c>
      <c r="B20" t="s">
        <v>736</v>
      </c>
      <c r="C20" s="287">
        <v>65</v>
      </c>
      <c r="D20" s="1550">
        <v>0</v>
      </c>
      <c r="E20" s="1551">
        <v>0</v>
      </c>
      <c r="F20" s="1552">
        <v>0</v>
      </c>
      <c r="G20" s="1552">
        <v>0</v>
      </c>
      <c r="H20" s="1593">
        <v>2</v>
      </c>
      <c r="I20" s="1553">
        <v>1121.8146232876711</v>
      </c>
      <c r="J20" s="1594">
        <v>0.2465402206361047</v>
      </c>
      <c r="K20" s="1550">
        <v>2</v>
      </c>
      <c r="L20" s="1551">
        <v>420</v>
      </c>
      <c r="M20" s="1595">
        <v>0.32640460980310909</v>
      </c>
      <c r="N20" s="1552">
        <v>0.48310681818181817</v>
      </c>
      <c r="O20" s="1551">
        <v>405.80972727272729</v>
      </c>
      <c r="P20" s="1553">
        <v>17829.87248577625</v>
      </c>
      <c r="Q20" s="1553">
        <v>119565.01801287135</v>
      </c>
      <c r="R20" s="1551">
        <v>63</v>
      </c>
      <c r="S20" s="1551">
        <v>5687.294405874225</v>
      </c>
      <c r="T20" s="1552">
        <v>41212.278303436411</v>
      </c>
      <c r="U20" s="1595">
        <v>0.34468508421919736</v>
      </c>
    </row>
    <row r="21" spans="1:21">
      <c r="A21" t="s">
        <v>24</v>
      </c>
      <c r="B21" t="s">
        <v>728</v>
      </c>
      <c r="C21" s="287">
        <v>24</v>
      </c>
      <c r="D21" s="1550">
        <v>3</v>
      </c>
      <c r="E21" s="1551">
        <v>982</v>
      </c>
      <c r="F21" s="1552">
        <v>7.0887579173524964E-2</v>
      </c>
      <c r="G21" s="1552">
        <v>208.83480824520453</v>
      </c>
      <c r="H21" s="1593">
        <v>28</v>
      </c>
      <c r="I21" s="1553">
        <v>976.21428571428567</v>
      </c>
      <c r="J21" s="1594">
        <v>8.4285792806324797E-2</v>
      </c>
      <c r="K21" s="1550">
        <v>6</v>
      </c>
      <c r="L21" s="1551">
        <v>976.33333333333337</v>
      </c>
      <c r="M21" s="1595">
        <v>0.32065910269953968</v>
      </c>
      <c r="N21" s="1552">
        <v>6.1231583584672525E-2</v>
      </c>
      <c r="O21" s="1551">
        <v>358.69461663901166</v>
      </c>
      <c r="P21" s="1553">
        <v>1801.7443501885459</v>
      </c>
      <c r="Q21" s="1553">
        <v>9497.8576100619266</v>
      </c>
      <c r="R21" s="1551">
        <v>15</v>
      </c>
      <c r="S21" s="1551">
        <v>395.76225048646569</v>
      </c>
      <c r="T21" s="1552">
        <v>2867.8423948294612</v>
      </c>
      <c r="U21" s="1595">
        <v>0.30194624014907323</v>
      </c>
    </row>
    <row r="22" spans="1:21">
      <c r="A22" t="s">
        <v>117</v>
      </c>
      <c r="B22" t="s">
        <v>732</v>
      </c>
      <c r="C22" s="287">
        <v>63</v>
      </c>
      <c r="D22" s="1550">
        <v>0</v>
      </c>
      <c r="E22" s="1551">
        <v>0</v>
      </c>
      <c r="F22" s="1552">
        <v>0</v>
      </c>
      <c r="G22" s="1552">
        <v>0</v>
      </c>
      <c r="H22" s="1593">
        <v>1</v>
      </c>
      <c r="I22" s="1553">
        <v>1045.957275886032</v>
      </c>
      <c r="J22" s="1594">
        <v>0.16663814568985108</v>
      </c>
      <c r="K22" s="1550">
        <v>1</v>
      </c>
      <c r="L22" s="1551">
        <v>768</v>
      </c>
      <c r="M22" s="1595">
        <v>0.33369832036967961</v>
      </c>
      <c r="N22" s="1552">
        <v>6.776041666666667E-2</v>
      </c>
      <c r="O22" s="1551">
        <v>52.040000000000006</v>
      </c>
      <c r="P22" s="1553">
        <v>10858.415617316296</v>
      </c>
      <c r="Q22" s="1553">
        <v>69343.736357364454</v>
      </c>
      <c r="R22" s="1551">
        <v>62</v>
      </c>
      <c r="S22" s="1551">
        <v>3606.0693927823072</v>
      </c>
      <c r="T22" s="1552">
        <v>26130.937628857297</v>
      </c>
      <c r="U22" s="1595">
        <v>0.37683198225995412</v>
      </c>
    </row>
    <row r="23" spans="1:21">
      <c r="A23" t="s">
        <v>207</v>
      </c>
      <c r="B23" t="s">
        <v>733</v>
      </c>
      <c r="C23" s="287">
        <v>64</v>
      </c>
      <c r="D23" s="1550">
        <v>6</v>
      </c>
      <c r="E23" s="1551">
        <v>1115.0833333333333</v>
      </c>
      <c r="F23" s="1552">
        <v>8.6915413765206798E-2</v>
      </c>
      <c r="G23" s="1552">
        <v>581.50757579611604</v>
      </c>
      <c r="H23" s="1593">
        <v>7</v>
      </c>
      <c r="I23" s="1553">
        <v>1211.1853684210525</v>
      </c>
      <c r="J23" s="1594">
        <v>0.15453511940580131</v>
      </c>
      <c r="K23" s="1550">
        <v>7</v>
      </c>
      <c r="L23" s="1551">
        <v>1339.0557142857142</v>
      </c>
      <c r="M23" s="1595">
        <v>0.24834148928283944</v>
      </c>
      <c r="N23" s="1552">
        <v>0.15527212182347053</v>
      </c>
      <c r="O23" s="1551">
        <v>1455.4261539789004</v>
      </c>
      <c r="P23" s="1553">
        <v>11582.638181881865</v>
      </c>
      <c r="Q23" s="1553">
        <v>74443.465086100463</v>
      </c>
      <c r="R23" s="1551">
        <v>51</v>
      </c>
      <c r="S23" s="1551">
        <v>2370.5944598900455</v>
      </c>
      <c r="T23" s="1552">
        <v>17178.220723840906</v>
      </c>
      <c r="U23" s="1595">
        <v>0.23075525439301856</v>
      </c>
    </row>
    <row r="24" spans="1:21">
      <c r="A24" t="s">
        <v>977</v>
      </c>
      <c r="B24" t="s">
        <v>476</v>
      </c>
      <c r="C24" s="287">
        <v>0</v>
      </c>
      <c r="D24" s="1550">
        <v>0</v>
      </c>
      <c r="E24" s="1551">
        <v>0</v>
      </c>
      <c r="F24" s="1552">
        <v>0</v>
      </c>
      <c r="G24" s="1552">
        <v>0</v>
      </c>
      <c r="H24" s="1593">
        <v>12</v>
      </c>
      <c r="I24" s="1553" t="e">
        <v>#DIV/0!</v>
      </c>
      <c r="J24" s="1594">
        <v>0.13976143429642401</v>
      </c>
      <c r="K24" s="1550">
        <v>6</v>
      </c>
      <c r="L24" s="1551">
        <v>1728.448333333333</v>
      </c>
      <c r="M24" s="1595">
        <v>0.28066172362567149</v>
      </c>
      <c r="N24" s="1552">
        <v>0.10018241881699592</v>
      </c>
      <c r="O24" s="1551">
        <v>1038.9608090012312</v>
      </c>
      <c r="P24" s="1553" t="e">
        <v>#DIV/0!</v>
      </c>
      <c r="Q24" s="1553" t="e">
        <v>#DIV/0!</v>
      </c>
      <c r="R24" s="1551">
        <v>0</v>
      </c>
      <c r="S24" s="1551" t="e">
        <v>#DIV/0!</v>
      </c>
      <c r="T24" s="1552" t="e">
        <v>#DIV/0!</v>
      </c>
      <c r="U24" s="1595" t="e">
        <v>#DIV/0!</v>
      </c>
    </row>
    <row r="25" spans="1:21">
      <c r="A25" t="s">
        <v>978</v>
      </c>
      <c r="B25" t="s">
        <v>733</v>
      </c>
      <c r="C25" s="287">
        <v>1280</v>
      </c>
      <c r="D25" s="1550">
        <v>46</v>
      </c>
      <c r="E25" s="1551">
        <v>1392.3091304347827</v>
      </c>
      <c r="F25" s="1552">
        <v>0.10805081383542363</v>
      </c>
      <c r="G25" s="1552">
        <v>6920.246194082586</v>
      </c>
      <c r="H25" s="1593">
        <v>34</v>
      </c>
      <c r="I25" s="1553">
        <v>1211.1853684210525</v>
      </c>
      <c r="J25" s="1594">
        <v>0.2549015172202741</v>
      </c>
      <c r="K25" s="1550">
        <v>14</v>
      </c>
      <c r="L25" s="1551">
        <v>1462.4215384615384</v>
      </c>
      <c r="M25" s="1595">
        <v>0.31687220504001423</v>
      </c>
      <c r="N25" s="1552">
        <v>0.1762285123899377</v>
      </c>
      <c r="O25" s="1551">
        <v>3608.085210941133</v>
      </c>
      <c r="P25" s="1553">
        <v>387182.57682056166</v>
      </c>
      <c r="Q25" s="1553">
        <v>2615896.9334823308</v>
      </c>
      <c r="R25" s="1551">
        <v>1220</v>
      </c>
      <c r="S25" s="1551">
        <v>119351.2612825042</v>
      </c>
      <c r="T25" s="1552">
        <v>864864.21219205938</v>
      </c>
      <c r="U25" s="1595">
        <v>0.33061861158296324</v>
      </c>
    </row>
    <row r="26" spans="1:21">
      <c r="A26" t="s">
        <v>119</v>
      </c>
      <c r="B26" t="s">
        <v>736</v>
      </c>
      <c r="C26" s="287">
        <v>36</v>
      </c>
      <c r="D26" s="1550">
        <v>1</v>
      </c>
      <c r="E26" s="1551">
        <v>1233</v>
      </c>
      <c r="F26" s="1552">
        <v>7.5815085158150858E-2</v>
      </c>
      <c r="G26" s="1552">
        <v>93.48</v>
      </c>
      <c r="H26" s="1593">
        <v>24</v>
      </c>
      <c r="I26" s="1553">
        <v>646.16666666666663</v>
      </c>
      <c r="J26" s="1594">
        <v>0.27168990525971254</v>
      </c>
      <c r="K26" s="1550">
        <v>24</v>
      </c>
      <c r="L26" s="1551">
        <v>646.16666666666663</v>
      </c>
      <c r="M26" s="1595">
        <v>0.30749070340344664</v>
      </c>
      <c r="N26" s="1552">
        <v>0.14659432111438647</v>
      </c>
      <c r="O26" s="1551">
        <v>2273.3847318419052</v>
      </c>
      <c r="P26" s="1553">
        <v>4297.9912967770651</v>
      </c>
      <c r="Q26" s="1553">
        <v>25807.473165051197</v>
      </c>
      <c r="R26" s="1551">
        <v>11</v>
      </c>
      <c r="S26" s="1551">
        <v>593.80346581299409</v>
      </c>
      <c r="T26" s="1552">
        <v>4302.9236653115513</v>
      </c>
      <c r="U26" s="1595">
        <v>0.16673169193249901</v>
      </c>
    </row>
    <row r="27" spans="1:21">
      <c r="A27" s="46" t="s">
        <v>26</v>
      </c>
      <c r="B27" t="s">
        <v>732</v>
      </c>
      <c r="C27" s="287">
        <v>1896</v>
      </c>
      <c r="D27" s="1550">
        <v>155</v>
      </c>
      <c r="E27" s="1551">
        <v>1575.2166451612904</v>
      </c>
      <c r="F27" s="1552">
        <v>7.9945740468597079E-2</v>
      </c>
      <c r="G27" s="1552">
        <v>19519.438469861198</v>
      </c>
      <c r="H27" s="1593">
        <v>189</v>
      </c>
      <c r="I27" s="1553">
        <v>1045.957275886032</v>
      </c>
      <c r="J27" s="1594">
        <v>0.1251032606189697</v>
      </c>
      <c r="K27" s="1550">
        <v>54</v>
      </c>
      <c r="L27" s="1551">
        <v>1317.6264814814815</v>
      </c>
      <c r="M27" s="1595">
        <v>0.18643229373940759</v>
      </c>
      <c r="N27" s="1552">
        <v>0.1043454482852922</v>
      </c>
      <c r="O27" s="1551">
        <v>7424.3695976689014</v>
      </c>
      <c r="P27" s="1553">
        <v>247692.25507218324</v>
      </c>
      <c r="Q27" s="1553">
        <v>1513768.8048708928</v>
      </c>
      <c r="R27" s="1551">
        <v>1687</v>
      </c>
      <c r="S27" s="1551">
        <v>41154.639314489541</v>
      </c>
      <c r="T27" s="1552">
        <v>298222.0240180401</v>
      </c>
      <c r="U27" s="1595">
        <v>0.19700632161162487</v>
      </c>
    </row>
    <row r="28" spans="1:21">
      <c r="A28" t="s">
        <v>979</v>
      </c>
      <c r="B28" t="s">
        <v>736</v>
      </c>
      <c r="C28" s="287">
        <v>9</v>
      </c>
      <c r="D28" s="1550">
        <v>0</v>
      </c>
      <c r="E28" s="1551">
        <v>0</v>
      </c>
      <c r="F28" s="1552">
        <v>0</v>
      </c>
      <c r="G28" s="1552">
        <v>0</v>
      </c>
      <c r="H28" s="1593">
        <v>0</v>
      </c>
      <c r="I28" s="1553">
        <v>1121.8146232876711</v>
      </c>
      <c r="J28" s="1594">
        <v>0.2465402206361047</v>
      </c>
      <c r="K28" s="1550">
        <v>0</v>
      </c>
      <c r="L28" s="1551">
        <v>0</v>
      </c>
      <c r="M28" s="1595">
        <v>0.32640460980310909</v>
      </c>
      <c r="N28" s="1552">
        <v>0</v>
      </c>
      <c r="O28" s="1551">
        <v>0</v>
      </c>
      <c r="P28" s="1553">
        <v>2489.15182264336</v>
      </c>
      <c r="Q28" s="1553">
        <v>16702.984222053332</v>
      </c>
      <c r="R28" s="1551">
        <v>9</v>
      </c>
      <c r="S28" s="1551">
        <v>812.47062941060369</v>
      </c>
      <c r="T28" s="1552">
        <v>5887.4683290623452</v>
      </c>
      <c r="U28" s="1595">
        <v>0.352480026969611</v>
      </c>
    </row>
    <row r="29" spans="1:21">
      <c r="A29" t="s">
        <v>1361</v>
      </c>
      <c r="B29" t="s">
        <v>735</v>
      </c>
      <c r="C29" s="287">
        <v>206</v>
      </c>
      <c r="D29" s="1550">
        <v>0</v>
      </c>
      <c r="E29" s="1551">
        <v>0</v>
      </c>
      <c r="F29" s="1552">
        <v>0</v>
      </c>
      <c r="G29" s="1552">
        <v>0</v>
      </c>
      <c r="H29" s="1593">
        <v>0</v>
      </c>
      <c r="I29" s="1553">
        <v>1747.5136673928823</v>
      </c>
      <c r="J29" s="1594">
        <v>0.15393570674124443</v>
      </c>
      <c r="K29" s="1550">
        <v>0</v>
      </c>
      <c r="L29" s="1551">
        <v>0</v>
      </c>
      <c r="M29" s="1595">
        <v>0.23015757030298531</v>
      </c>
      <c r="N29" s="1552">
        <v>0</v>
      </c>
      <c r="O29" s="1551">
        <v>0</v>
      </c>
      <c r="P29" s="1553">
        <v>55414.978794602102</v>
      </c>
      <c r="Q29" s="1553">
        <v>371016.07822175435</v>
      </c>
      <c r="R29" s="1551">
        <v>206</v>
      </c>
      <c r="S29" s="1551">
        <v>12754.176877757074</v>
      </c>
      <c r="T29" s="1552">
        <v>92421.571577949799</v>
      </c>
      <c r="U29" s="1595">
        <v>0.24910395263978266</v>
      </c>
    </row>
    <row r="30" spans="1:21">
      <c r="A30" t="s">
        <v>399</v>
      </c>
      <c r="B30" t="s">
        <v>736</v>
      </c>
      <c r="C30" s="287">
        <v>17</v>
      </c>
      <c r="D30" s="1550">
        <v>0</v>
      </c>
      <c r="E30" s="1551">
        <v>0</v>
      </c>
      <c r="F30" s="1552">
        <v>0</v>
      </c>
      <c r="G30" s="1552">
        <v>0</v>
      </c>
      <c r="H30" s="1593">
        <v>1</v>
      </c>
      <c r="I30" s="1553">
        <v>1121.8146232876711</v>
      </c>
      <c r="J30" s="1594">
        <v>0.2465402206361047</v>
      </c>
      <c r="K30" s="1550">
        <v>1</v>
      </c>
      <c r="L30" s="1551">
        <v>1155</v>
      </c>
      <c r="M30" s="1595">
        <v>0.32640460980310909</v>
      </c>
      <c r="N30" s="1552">
        <v>0.10208658008658009</v>
      </c>
      <c r="O30" s="1551">
        <v>117.91</v>
      </c>
      <c r="P30" s="1553">
        <v>4543.0687958104181</v>
      </c>
      <c r="Q30" s="1553">
        <v>30400.353592829117</v>
      </c>
      <c r="R30" s="1551">
        <v>16</v>
      </c>
      <c r="S30" s="1551">
        <v>1444.3922300632958</v>
      </c>
      <c r="T30" s="1552">
        <v>10466.610362777505</v>
      </c>
      <c r="U30" s="1595">
        <v>0.34429238892952829</v>
      </c>
    </row>
    <row r="31" spans="1:21">
      <c r="A31" t="s">
        <v>72</v>
      </c>
      <c r="B31" t="s">
        <v>729</v>
      </c>
      <c r="C31" s="287">
        <v>93</v>
      </c>
      <c r="D31" s="1550">
        <v>0</v>
      </c>
      <c r="E31" s="1551">
        <v>0</v>
      </c>
      <c r="F31" s="1552">
        <v>0</v>
      </c>
      <c r="G31" s="1552">
        <v>0</v>
      </c>
      <c r="H31" s="1593">
        <v>0</v>
      </c>
      <c r="I31" s="1553">
        <v>1243.0887425149701</v>
      </c>
      <c r="J31" s="1594">
        <v>0.15094699553265112</v>
      </c>
      <c r="K31" s="1550">
        <v>0</v>
      </c>
      <c r="L31" s="1551">
        <v>0</v>
      </c>
      <c r="M31" s="1595">
        <v>0.32612771454717537</v>
      </c>
      <c r="N31" s="1552">
        <v>0</v>
      </c>
      <c r="O31" s="1551">
        <v>0</v>
      </c>
      <c r="P31" s="1553">
        <v>17450.567510267938</v>
      </c>
      <c r="Q31" s="1553">
        <v>112665.12688599955</v>
      </c>
      <c r="R31" s="1551">
        <v>93</v>
      </c>
      <c r="S31" s="1551">
        <v>5691.1136996748746</v>
      </c>
      <c r="T31" s="1552">
        <v>41239.954345470105</v>
      </c>
      <c r="U31" s="1595">
        <v>0.36604010029828343</v>
      </c>
    </row>
    <row r="32" spans="1:21">
      <c r="A32" t="s">
        <v>41</v>
      </c>
      <c r="B32" t="s">
        <v>734</v>
      </c>
      <c r="C32" s="287">
        <v>98</v>
      </c>
      <c r="D32" s="1550">
        <v>0</v>
      </c>
      <c r="E32" s="1551">
        <v>0</v>
      </c>
      <c r="F32" s="1552">
        <v>0</v>
      </c>
      <c r="G32" s="1552">
        <v>0</v>
      </c>
      <c r="H32" s="1593">
        <v>37</v>
      </c>
      <c r="I32" s="1553">
        <v>1021.1621621621622</v>
      </c>
      <c r="J32" s="1594">
        <v>0.19597552784404185</v>
      </c>
      <c r="K32" s="1550">
        <v>11</v>
      </c>
      <c r="L32" s="1551">
        <v>999.27272727272725</v>
      </c>
      <c r="M32" s="1595">
        <v>9.1582514524597633E-2</v>
      </c>
      <c r="N32" s="1552">
        <v>0.12734502899822309</v>
      </c>
      <c r="O32" s="1551">
        <v>1399.776558748468</v>
      </c>
      <c r="P32" s="1553">
        <v>18810.459614484542</v>
      </c>
      <c r="Q32" s="1553">
        <v>121778.11314843872</v>
      </c>
      <c r="R32" s="1551">
        <v>87</v>
      </c>
      <c r="S32" s="1551">
        <v>1594.5141338351148</v>
      </c>
      <c r="T32" s="1552">
        <v>11554.45024518199</v>
      </c>
      <c r="U32" s="1595">
        <v>9.4881173196516441E-2</v>
      </c>
    </row>
    <row r="33" spans="1:21">
      <c r="A33" t="s">
        <v>984</v>
      </c>
      <c r="B33" t="s">
        <v>735</v>
      </c>
      <c r="C33" s="287">
        <v>104</v>
      </c>
      <c r="D33" s="1550">
        <v>0</v>
      </c>
      <c r="E33" s="1551">
        <v>0</v>
      </c>
      <c r="F33" s="1552">
        <v>0</v>
      </c>
      <c r="G33" s="1552">
        <v>0</v>
      </c>
      <c r="H33" s="1593">
        <v>16</v>
      </c>
      <c r="I33" s="1553">
        <v>1170.703125</v>
      </c>
      <c r="J33" s="1594">
        <v>0.17011886285786726</v>
      </c>
      <c r="K33" s="1550">
        <v>7</v>
      </c>
      <c r="L33" s="1551">
        <v>1359.5714285714287</v>
      </c>
      <c r="M33" s="1595">
        <v>0.23015757030298531</v>
      </c>
      <c r="N33" s="1552">
        <v>0.13426646501060491</v>
      </c>
      <c r="O33" s="1551">
        <v>1277.813947505927</v>
      </c>
      <c r="P33" s="1553">
        <v>20596.206331313631</v>
      </c>
      <c r="Q33" s="1553">
        <v>133828.74153125819</v>
      </c>
      <c r="R33" s="1551">
        <v>97</v>
      </c>
      <c r="S33" s="1551">
        <v>4446.2742532168786</v>
      </c>
      <c r="T33" s="1552">
        <v>32219.378646499117</v>
      </c>
      <c r="U33" s="1595">
        <v>0.24075081539172721</v>
      </c>
    </row>
    <row r="34" spans="1:21">
      <c r="A34" t="s">
        <v>123</v>
      </c>
      <c r="B34" t="s">
        <v>736</v>
      </c>
      <c r="C34" s="287">
        <v>53</v>
      </c>
      <c r="D34" s="1550">
        <v>0</v>
      </c>
      <c r="E34" s="1551">
        <v>0</v>
      </c>
      <c r="F34" s="1552">
        <v>0</v>
      </c>
      <c r="G34" s="1552">
        <v>0</v>
      </c>
      <c r="H34" s="1593">
        <v>6</v>
      </c>
      <c r="I34" s="1553">
        <v>1121.8146232876711</v>
      </c>
      <c r="J34" s="1594">
        <v>0.2465402206361047</v>
      </c>
      <c r="K34" s="1550">
        <v>5</v>
      </c>
      <c r="L34" s="1551">
        <v>1205.8</v>
      </c>
      <c r="M34" s="1595">
        <v>0.32640460980310909</v>
      </c>
      <c r="N34" s="1552">
        <v>0.18185870847200886</v>
      </c>
      <c r="O34" s="1551">
        <v>1096.4261533777412</v>
      </c>
      <c r="P34" s="1553">
        <v>14371.902540808995</v>
      </c>
      <c r="Q34" s="1553">
        <v>96286.395223253581</v>
      </c>
      <c r="R34" s="1551">
        <v>48</v>
      </c>
      <c r="S34" s="1551">
        <v>4333.1766901898864</v>
      </c>
      <c r="T34" s="1552">
        <v>31399.831088332507</v>
      </c>
      <c r="U34" s="1595">
        <v>0.3261086991108928</v>
      </c>
    </row>
    <row r="35" spans="1:21">
      <c r="A35" t="s">
        <v>985</v>
      </c>
      <c r="B35" t="s">
        <v>736</v>
      </c>
      <c r="C35" s="287">
        <v>24</v>
      </c>
      <c r="D35" s="1550">
        <v>0</v>
      </c>
      <c r="E35" s="1551">
        <v>0</v>
      </c>
      <c r="F35" s="1552">
        <v>0</v>
      </c>
      <c r="G35" s="1552">
        <v>0</v>
      </c>
      <c r="H35" s="1593">
        <v>18</v>
      </c>
      <c r="I35" s="1553">
        <v>671.38888888888891</v>
      </c>
      <c r="J35" s="1594">
        <v>0.53977000624775107</v>
      </c>
      <c r="K35" s="1550">
        <v>18</v>
      </c>
      <c r="L35" s="1551">
        <v>671.38888888888891</v>
      </c>
      <c r="M35" s="1595">
        <v>0.53617013721165585</v>
      </c>
      <c r="N35" s="1552">
        <v>0.20771996846675075</v>
      </c>
      <c r="O35" s="1551">
        <v>2510.2958189206829</v>
      </c>
      <c r="P35" s="1553">
        <v>4684.6693274220397</v>
      </c>
      <c r="Q35" s="1553">
        <v>30388.61831465246</v>
      </c>
      <c r="R35" s="1551">
        <v>6</v>
      </c>
      <c r="S35" s="1551">
        <v>1165.8341424025623</v>
      </c>
      <c r="T35" s="1552">
        <v>8448.0734956707402</v>
      </c>
      <c r="U35" s="1595">
        <v>0.27800123744347199</v>
      </c>
    </row>
    <row r="36" spans="1:21">
      <c r="A36" t="s">
        <v>1362</v>
      </c>
      <c r="B36" t="s">
        <v>735</v>
      </c>
      <c r="C36" s="287">
        <v>18</v>
      </c>
      <c r="D36" s="1550">
        <v>0</v>
      </c>
      <c r="E36" s="1551">
        <v>0</v>
      </c>
      <c r="F36" s="1552">
        <v>0</v>
      </c>
      <c r="G36" s="1552">
        <v>0</v>
      </c>
      <c r="H36" s="1593">
        <v>0</v>
      </c>
      <c r="I36" s="1553">
        <v>1747.5136673928823</v>
      </c>
      <c r="J36" s="1594">
        <v>0.15393570674124443</v>
      </c>
      <c r="K36" s="1550">
        <v>0</v>
      </c>
      <c r="L36" s="1551">
        <v>0</v>
      </c>
      <c r="M36" s="1595">
        <v>0.23015757030298531</v>
      </c>
      <c r="N36" s="1552">
        <v>0</v>
      </c>
      <c r="O36" s="1551">
        <v>0</v>
      </c>
      <c r="P36" s="1553">
        <v>4842.0855257419307</v>
      </c>
      <c r="Q36" s="1553">
        <v>32418.880621318338</v>
      </c>
      <c r="R36" s="1551">
        <v>18</v>
      </c>
      <c r="S36" s="1551">
        <v>1114.4426398040162</v>
      </c>
      <c r="T36" s="1552">
        <v>8075.6713029276525</v>
      </c>
      <c r="U36" s="1595">
        <v>0.24910395263978272</v>
      </c>
    </row>
    <row r="37" spans="1:21">
      <c r="A37" t="s">
        <v>199</v>
      </c>
      <c r="B37" t="s">
        <v>732</v>
      </c>
      <c r="C37" s="287">
        <v>92</v>
      </c>
      <c r="D37" s="1550">
        <v>0</v>
      </c>
      <c r="E37" s="1551">
        <v>0</v>
      </c>
      <c r="F37" s="1552">
        <v>0</v>
      </c>
      <c r="G37" s="1552">
        <v>0</v>
      </c>
      <c r="H37" s="1593">
        <v>0</v>
      </c>
      <c r="I37" s="1553">
        <v>1045.957275886032</v>
      </c>
      <c r="J37" s="1594">
        <v>0.16663814568985108</v>
      </c>
      <c r="K37" s="1550">
        <v>0</v>
      </c>
      <c r="L37" s="1551">
        <v>0</v>
      </c>
      <c r="M37" s="1595">
        <v>0.33369832036967961</v>
      </c>
      <c r="N37" s="1552">
        <v>0</v>
      </c>
      <c r="O37" s="1551">
        <v>0</v>
      </c>
      <c r="P37" s="1553">
        <v>16035.267045049985</v>
      </c>
      <c r="Q37" s="1553">
        <v>102557.5872829709</v>
      </c>
      <c r="R37" s="1551">
        <v>92</v>
      </c>
      <c r="S37" s="1551">
        <v>5350.9416796124551</v>
      </c>
      <c r="T37" s="1552">
        <v>38774.939707336627</v>
      </c>
      <c r="U37" s="1595">
        <v>0.37807967927668851</v>
      </c>
    </row>
    <row r="38" spans="1:21">
      <c r="A38" t="s">
        <v>1356</v>
      </c>
      <c r="B38" t="s">
        <v>731</v>
      </c>
      <c r="C38" s="287">
        <v>31</v>
      </c>
      <c r="D38" s="1550">
        <v>0</v>
      </c>
      <c r="E38" s="1551">
        <v>0</v>
      </c>
      <c r="F38" s="1552">
        <v>0</v>
      </c>
      <c r="G38" s="1552">
        <v>0</v>
      </c>
      <c r="H38" s="1593">
        <v>0</v>
      </c>
      <c r="I38" s="1553">
        <v>1845.1516180904523</v>
      </c>
      <c r="J38" s="1594">
        <v>0.15431414630255985</v>
      </c>
      <c r="K38" s="1550">
        <v>0</v>
      </c>
      <c r="L38" s="1551">
        <v>0</v>
      </c>
      <c r="M38" s="1595">
        <v>0.29993685238767825</v>
      </c>
      <c r="N38" s="1552">
        <v>0</v>
      </c>
      <c r="O38" s="1551">
        <v>0</v>
      </c>
      <c r="P38" s="1553">
        <v>8826.722899076869</v>
      </c>
      <c r="Q38" s="1553">
        <v>59365.673181716433</v>
      </c>
      <c r="R38" s="1551">
        <v>31</v>
      </c>
      <c r="S38" s="1551">
        <v>2647.4594832473581</v>
      </c>
      <c r="T38" s="1552">
        <v>19184.489009038825</v>
      </c>
      <c r="U38" s="1595">
        <v>0.32315794601226394</v>
      </c>
    </row>
    <row r="39" spans="1:21">
      <c r="A39" t="s">
        <v>73</v>
      </c>
      <c r="B39" t="s">
        <v>732</v>
      </c>
      <c r="C39" s="287">
        <v>209</v>
      </c>
      <c r="D39" s="1550">
        <v>0</v>
      </c>
      <c r="E39" s="1551">
        <v>0</v>
      </c>
      <c r="F39" s="1552">
        <v>0</v>
      </c>
      <c r="G39" s="1552">
        <v>0</v>
      </c>
      <c r="H39" s="1593">
        <v>2</v>
      </c>
      <c r="I39" s="1553">
        <v>1045.957275886032</v>
      </c>
      <c r="J39" s="1594">
        <v>0.16663814568985108</v>
      </c>
      <c r="K39" s="1550">
        <v>2</v>
      </c>
      <c r="L39" s="1551">
        <v>380</v>
      </c>
      <c r="M39" s="1595">
        <v>0.33369832036967961</v>
      </c>
      <c r="N39" s="1552">
        <v>0.54828958333333333</v>
      </c>
      <c r="O39" s="1551">
        <v>416.70008333333334</v>
      </c>
      <c r="P39" s="1553">
        <v>36496.050934695806</v>
      </c>
      <c r="Q39" s="1553">
        <v>233477.61546881017</v>
      </c>
      <c r="R39" s="1551">
        <v>207</v>
      </c>
      <c r="S39" s="1551">
        <v>12039.618779128024</v>
      </c>
      <c r="T39" s="1552">
        <v>87243.614341507418</v>
      </c>
      <c r="U39" s="1595">
        <v>0.37367014463603743</v>
      </c>
    </row>
    <row r="40" spans="1:21">
      <c r="A40" t="s">
        <v>988</v>
      </c>
      <c r="B40" t="s">
        <v>735</v>
      </c>
      <c r="C40" s="287">
        <v>123</v>
      </c>
      <c r="D40" s="1550">
        <v>0</v>
      </c>
      <c r="E40" s="1551">
        <v>0</v>
      </c>
      <c r="F40" s="1552">
        <v>0</v>
      </c>
      <c r="G40" s="1552">
        <v>0</v>
      </c>
      <c r="H40" s="1593">
        <v>2</v>
      </c>
      <c r="I40" s="1553">
        <v>1747.5136673928823</v>
      </c>
      <c r="J40" s="1594">
        <v>0.15393570674124443</v>
      </c>
      <c r="K40" s="1550">
        <v>2</v>
      </c>
      <c r="L40" s="1551">
        <v>3149</v>
      </c>
      <c r="M40" s="1595">
        <v>0.23015757030298531</v>
      </c>
      <c r="N40" s="1552">
        <v>0.11557667504224461</v>
      </c>
      <c r="O40" s="1551">
        <v>727.90189941605661</v>
      </c>
      <c r="P40" s="1553">
        <v>33277.476822459037</v>
      </c>
      <c r="Q40" s="1553">
        <v>222905.04943810895</v>
      </c>
      <c r="R40" s="1551">
        <v>121</v>
      </c>
      <c r="S40" s="1551">
        <v>7491.531078682553</v>
      </c>
      <c r="T40" s="1552">
        <v>54286.45709190255</v>
      </c>
      <c r="U40" s="1595">
        <v>0.24354072385863804</v>
      </c>
    </row>
    <row r="41" spans="1:21">
      <c r="A41" t="s">
        <v>989</v>
      </c>
      <c r="B41" t="s">
        <v>736</v>
      </c>
      <c r="C41" s="287">
        <v>5</v>
      </c>
      <c r="D41" s="1550">
        <v>0</v>
      </c>
      <c r="E41" s="1551">
        <v>0</v>
      </c>
      <c r="F41" s="1552">
        <v>0</v>
      </c>
      <c r="G41" s="1552">
        <v>0</v>
      </c>
      <c r="H41" s="1593">
        <v>0</v>
      </c>
      <c r="I41" s="1553">
        <v>1121.8146232876711</v>
      </c>
      <c r="J41" s="1594">
        <v>0.2465402206361047</v>
      </c>
      <c r="K41" s="1550">
        <v>0</v>
      </c>
      <c r="L41" s="1551">
        <v>0</v>
      </c>
      <c r="M41" s="1595">
        <v>0.32640460980310909</v>
      </c>
      <c r="N41" s="1552">
        <v>0</v>
      </c>
      <c r="O41" s="1551">
        <v>0</v>
      </c>
      <c r="P41" s="1553">
        <v>1382.8621236907557</v>
      </c>
      <c r="Q41" s="1553">
        <v>9279.4356789185185</v>
      </c>
      <c r="R41" s="1551">
        <v>5</v>
      </c>
      <c r="S41" s="1551">
        <v>451.37257189477987</v>
      </c>
      <c r="T41" s="1552">
        <v>3270.81573836797</v>
      </c>
      <c r="U41" s="1595">
        <v>0.352480026969611</v>
      </c>
    </row>
    <row r="42" spans="1:21">
      <c r="A42" t="s">
        <v>990</v>
      </c>
      <c r="B42" t="s">
        <v>730</v>
      </c>
      <c r="C42" s="287">
        <v>41</v>
      </c>
      <c r="D42" s="1550">
        <v>4</v>
      </c>
      <c r="E42" s="1551">
        <v>1375.5</v>
      </c>
      <c r="F42" s="1552">
        <v>5.9214416632724851E-2</v>
      </c>
      <c r="G42" s="1552">
        <v>325.79772031325211</v>
      </c>
      <c r="H42" s="1593">
        <v>1</v>
      </c>
      <c r="I42" s="1553">
        <v>1253.7457405614716</v>
      </c>
      <c r="J42" s="1594">
        <v>0.13649699485343733</v>
      </c>
      <c r="K42" s="1550">
        <v>1</v>
      </c>
      <c r="L42" s="1551">
        <v>2200</v>
      </c>
      <c r="M42" s="1595">
        <v>0.2334826600798878</v>
      </c>
      <c r="N42" s="1552">
        <v>8.3045454545454533E-2</v>
      </c>
      <c r="O42" s="1551">
        <v>182.69999999999996</v>
      </c>
      <c r="P42" s="1553">
        <v>6669.2686526030266</v>
      </c>
      <c r="Q42" s="1553">
        <v>42249.338062340772</v>
      </c>
      <c r="R42" s="1551">
        <v>36</v>
      </c>
      <c r="S42" s="1551">
        <v>1438.4331854138666</v>
      </c>
      <c r="T42" s="1552">
        <v>10423.428879810626</v>
      </c>
      <c r="U42" s="1595">
        <v>0.24671224113453316</v>
      </c>
    </row>
    <row r="43" spans="1:21">
      <c r="A43" t="s">
        <v>9</v>
      </c>
      <c r="B43" t="s">
        <v>730</v>
      </c>
      <c r="C43" s="287">
        <v>29</v>
      </c>
      <c r="D43" s="1550">
        <v>0</v>
      </c>
      <c r="E43" s="1551">
        <v>0</v>
      </c>
      <c r="F43" s="1552">
        <v>0</v>
      </c>
      <c r="G43" s="1552">
        <v>0</v>
      </c>
      <c r="H43" s="1593">
        <v>0</v>
      </c>
      <c r="I43" s="1553">
        <v>1253.7457405614716</v>
      </c>
      <c r="J43" s="1594">
        <v>0.13649699485343733</v>
      </c>
      <c r="K43" s="1550">
        <v>0</v>
      </c>
      <c r="L43" s="1551">
        <v>0</v>
      </c>
      <c r="M43" s="1595">
        <v>0.2334826600798878</v>
      </c>
      <c r="N43" s="1552">
        <v>0</v>
      </c>
      <c r="O43" s="1551">
        <v>0</v>
      </c>
      <c r="P43" s="1553">
        <v>4962.843251011207</v>
      </c>
      <c r="Q43" s="1553">
        <v>31663.067036313092</v>
      </c>
      <c r="R43" s="1551">
        <v>29</v>
      </c>
      <c r="S43" s="1551">
        <v>1158.7378438056148</v>
      </c>
      <c r="T43" s="1552">
        <v>8396.6510420696723</v>
      </c>
      <c r="U43" s="1595">
        <v>0.2651875458697634</v>
      </c>
    </row>
    <row r="44" spans="1:21">
      <c r="A44" t="s">
        <v>255</v>
      </c>
      <c r="B44" t="s">
        <v>730</v>
      </c>
      <c r="C44" s="287">
        <v>27</v>
      </c>
      <c r="D44" s="1550">
        <v>0</v>
      </c>
      <c r="E44" s="1551">
        <v>0</v>
      </c>
      <c r="F44" s="1552">
        <v>0</v>
      </c>
      <c r="G44" s="1552">
        <v>0</v>
      </c>
      <c r="H44" s="1593">
        <v>3</v>
      </c>
      <c r="I44" s="1553">
        <v>1253.7457405614716</v>
      </c>
      <c r="J44" s="1594">
        <v>0.13649699485343733</v>
      </c>
      <c r="K44" s="1550">
        <v>1</v>
      </c>
      <c r="L44" s="1551">
        <v>2864</v>
      </c>
      <c r="M44" s="1595">
        <v>0.2334826600798878</v>
      </c>
      <c r="N44" s="1552">
        <v>2.5974162011173186E-2</v>
      </c>
      <c r="O44" s="1551">
        <v>74.39</v>
      </c>
      <c r="P44" s="1553">
        <v>4523.8356733203927</v>
      </c>
      <c r="Q44" s="1553">
        <v>28778.374444350669</v>
      </c>
      <c r="R44" s="1551">
        <v>26</v>
      </c>
      <c r="S44" s="1551">
        <v>1038.8684116877928</v>
      </c>
      <c r="T44" s="1552">
        <v>7528.0319687521214</v>
      </c>
      <c r="U44" s="1595">
        <v>0.26158642084907302</v>
      </c>
    </row>
    <row r="45" spans="1:21">
      <c r="A45" t="s">
        <v>991</v>
      </c>
      <c r="B45" t="s">
        <v>549</v>
      </c>
      <c r="C45" s="287">
        <v>20</v>
      </c>
      <c r="D45" s="1550">
        <v>0</v>
      </c>
      <c r="E45" s="1551">
        <v>0</v>
      </c>
      <c r="F45" s="1552">
        <v>0</v>
      </c>
      <c r="G45" s="1552">
        <v>0</v>
      </c>
      <c r="H45" s="1593">
        <v>0</v>
      </c>
      <c r="I45" s="1553">
        <v>1817.0217554858932</v>
      </c>
      <c r="J45" s="1594">
        <v>0.1060456189069323</v>
      </c>
      <c r="K45" s="1550">
        <v>0</v>
      </c>
      <c r="L45" s="1551">
        <v>0</v>
      </c>
      <c r="M45" s="1595">
        <v>0.25858399409042854</v>
      </c>
      <c r="N45" s="1552">
        <v>0</v>
      </c>
      <c r="O45" s="1551">
        <v>0</v>
      </c>
      <c r="P45" s="1553">
        <v>3853.7439325572427</v>
      </c>
      <c r="Q45" s="1553">
        <v>24960.463279400308</v>
      </c>
      <c r="R45" s="1551">
        <v>20</v>
      </c>
      <c r="S45" s="1551">
        <v>996.51649828240704</v>
      </c>
      <c r="T45" s="1552">
        <v>7221.1340455246882</v>
      </c>
      <c r="U45" s="1595">
        <v>0.28930288531480258</v>
      </c>
    </row>
    <row r="46" spans="1:21">
      <c r="A46" t="s">
        <v>10</v>
      </c>
      <c r="B46" t="s">
        <v>731</v>
      </c>
      <c r="C46" s="287">
        <v>36</v>
      </c>
      <c r="D46" s="1550">
        <v>2</v>
      </c>
      <c r="E46" s="1551">
        <v>1247</v>
      </c>
      <c r="F46" s="1552">
        <v>0.11886527666399357</v>
      </c>
      <c r="G46" s="1552">
        <v>296.45</v>
      </c>
      <c r="H46" s="1593">
        <v>14</v>
      </c>
      <c r="I46" s="1553">
        <v>1471.6842857142858</v>
      </c>
      <c r="J46" s="1594">
        <v>0.17275789699670291</v>
      </c>
      <c r="K46" s="1550">
        <v>8</v>
      </c>
      <c r="L46" s="1551">
        <v>1350.0725</v>
      </c>
      <c r="M46" s="1595">
        <v>0.29993685238767825</v>
      </c>
      <c r="N46" s="1552">
        <v>0.11750016443957223</v>
      </c>
      <c r="O46" s="1551">
        <v>1269.069926042755</v>
      </c>
      <c r="P46" s="1553">
        <v>8175.8920643632218</v>
      </c>
      <c r="Q46" s="1553">
        <v>53908.203364950874</v>
      </c>
      <c r="R46" s="1551">
        <v>26</v>
      </c>
      <c r="S46" s="1551">
        <v>1982.6942122790467</v>
      </c>
      <c r="T46" s="1552">
        <v>14367.349364340917</v>
      </c>
      <c r="U46" s="1595">
        <v>0.26651508430128906</v>
      </c>
    </row>
    <row r="47" spans="1:21">
      <c r="A47" t="s">
        <v>992</v>
      </c>
      <c r="B47" t="s">
        <v>731</v>
      </c>
      <c r="C47" s="287">
        <v>52</v>
      </c>
      <c r="D47" s="1550">
        <v>1</v>
      </c>
      <c r="E47" s="1551">
        <v>1664</v>
      </c>
      <c r="F47" s="1552">
        <v>7.1207932692307685E-2</v>
      </c>
      <c r="G47" s="1552">
        <v>118.48999999999998</v>
      </c>
      <c r="H47" s="1593">
        <v>1</v>
      </c>
      <c r="I47" s="1553">
        <v>1845.1516180904523</v>
      </c>
      <c r="J47" s="1594">
        <v>0.15431414630255985</v>
      </c>
      <c r="K47" s="1550">
        <v>1</v>
      </c>
      <c r="L47" s="1551">
        <v>530</v>
      </c>
      <c r="M47" s="1595">
        <v>0.29993685238767825</v>
      </c>
      <c r="N47" s="1552">
        <v>0.14877131064690027</v>
      </c>
      <c r="O47" s="1551">
        <v>78.848794642857143</v>
      </c>
      <c r="P47" s="1553">
        <v>14433.988631863611</v>
      </c>
      <c r="Q47" s="1553">
        <v>96884.555303359492</v>
      </c>
      <c r="R47" s="1551">
        <v>50</v>
      </c>
      <c r="S47" s="1551">
        <v>4270.095940721545</v>
      </c>
      <c r="T47" s="1552">
        <v>30942.724208127136</v>
      </c>
      <c r="U47" s="1595">
        <v>0.31937726411852757</v>
      </c>
    </row>
    <row r="48" spans="1:21">
      <c r="A48" t="s">
        <v>188</v>
      </c>
      <c r="B48" t="s">
        <v>732</v>
      </c>
      <c r="C48" s="287">
        <v>36</v>
      </c>
      <c r="D48" s="1550">
        <v>0</v>
      </c>
      <c r="E48" s="1551">
        <v>0</v>
      </c>
      <c r="F48" s="1552">
        <v>0</v>
      </c>
      <c r="G48" s="1552">
        <v>0</v>
      </c>
      <c r="H48" s="1593">
        <v>1</v>
      </c>
      <c r="I48" s="1553">
        <v>1045.957275886032</v>
      </c>
      <c r="J48" s="1594">
        <v>0.16663814568985108</v>
      </c>
      <c r="K48" s="1550">
        <v>0</v>
      </c>
      <c r="L48" s="1551">
        <v>0</v>
      </c>
      <c r="M48" s="1595">
        <v>0.33369832036967961</v>
      </c>
      <c r="N48" s="1552">
        <v>0</v>
      </c>
      <c r="O48" s="1551">
        <v>0</v>
      </c>
      <c r="P48" s="1553">
        <v>6274.6697132804293</v>
      </c>
      <c r="Q48" s="1553">
        <v>40131.229806379924</v>
      </c>
      <c r="R48" s="1551">
        <v>36</v>
      </c>
      <c r="S48" s="1551">
        <v>2093.8467441961784</v>
      </c>
      <c r="T48" s="1552">
        <v>15172.802494175205</v>
      </c>
      <c r="U48" s="1595">
        <v>0.37807967927668851</v>
      </c>
    </row>
    <row r="49" spans="1:21">
      <c r="A49" t="s">
        <v>132</v>
      </c>
      <c r="B49" t="s">
        <v>736</v>
      </c>
      <c r="C49" s="287">
        <v>40</v>
      </c>
      <c r="D49" s="1550">
        <v>1</v>
      </c>
      <c r="E49" s="1551">
        <v>1312</v>
      </c>
      <c r="F49" s="1552">
        <v>6.9420731707317065E-2</v>
      </c>
      <c r="G49" s="1552">
        <v>91.079999999999984</v>
      </c>
      <c r="H49" s="1593">
        <v>7</v>
      </c>
      <c r="I49" s="1553">
        <v>953.42857142857144</v>
      </c>
      <c r="J49" s="1594">
        <v>0.2465402206361047</v>
      </c>
      <c r="K49" s="1550">
        <v>4</v>
      </c>
      <c r="L49" s="1551">
        <v>819.5</v>
      </c>
      <c r="M49" s="1595">
        <v>0.32640460980310909</v>
      </c>
      <c r="N49" s="1552">
        <v>0.12041947663673111</v>
      </c>
      <c r="O49" s="1551">
        <v>394.73504441520458</v>
      </c>
      <c r="P49" s="1553">
        <v>8712.8622070420188</v>
      </c>
      <c r="Q49" s="1553">
        <v>57206.247877116075</v>
      </c>
      <c r="R49" s="1551">
        <v>35</v>
      </c>
      <c r="S49" s="1551">
        <v>2685.3461189489808</v>
      </c>
      <c r="T49" s="1552">
        <v>19459.029847456382</v>
      </c>
      <c r="U49" s="1595">
        <v>0.34015567476573622</v>
      </c>
    </row>
    <row r="50" spans="1:21">
      <c r="A50" t="s">
        <v>996</v>
      </c>
      <c r="B50" t="s">
        <v>730</v>
      </c>
      <c r="C50" s="287">
        <v>24</v>
      </c>
      <c r="D50" s="1550">
        <v>0</v>
      </c>
      <c r="E50" s="1551">
        <v>0</v>
      </c>
      <c r="F50" s="1552">
        <v>0</v>
      </c>
      <c r="G50" s="1552">
        <v>0</v>
      </c>
      <c r="H50" s="1593">
        <v>0</v>
      </c>
      <c r="I50" s="1553">
        <v>1253.7457405614716</v>
      </c>
      <c r="J50" s="1594">
        <v>0.13649699485343733</v>
      </c>
      <c r="K50" s="1550">
        <v>0</v>
      </c>
      <c r="L50" s="1551">
        <v>0</v>
      </c>
      <c r="M50" s="1595">
        <v>0.2334826600798878</v>
      </c>
      <c r="N50" s="1552">
        <v>0</v>
      </c>
      <c r="O50" s="1551">
        <v>0</v>
      </c>
      <c r="P50" s="1553">
        <v>4107.180621526516</v>
      </c>
      <c r="Q50" s="1553">
        <v>26203.917547293593</v>
      </c>
      <c r="R50" s="1551">
        <v>24</v>
      </c>
      <c r="S50" s="1551">
        <v>958.95545694257783</v>
      </c>
      <c r="T50" s="1552">
        <v>6948.9525865404185</v>
      </c>
      <c r="U50" s="1595">
        <v>0.26518754586976345</v>
      </c>
    </row>
    <row r="51" spans="1:21">
      <c r="A51" t="s">
        <v>997</v>
      </c>
      <c r="B51" t="s">
        <v>735</v>
      </c>
      <c r="C51" s="287">
        <v>0</v>
      </c>
      <c r="D51" s="1550">
        <v>0</v>
      </c>
      <c r="E51" s="1551">
        <v>0</v>
      </c>
      <c r="F51" s="1552">
        <v>0</v>
      </c>
      <c r="G51" s="1552">
        <v>0</v>
      </c>
      <c r="H51" s="1593">
        <v>3</v>
      </c>
      <c r="I51" s="1553" t="e">
        <v>#DIV/0!</v>
      </c>
      <c r="J51" s="1594">
        <v>0.15393570674124443</v>
      </c>
      <c r="K51" s="1550">
        <v>1</v>
      </c>
      <c r="L51" s="1551">
        <v>2808</v>
      </c>
      <c r="M51" s="1595">
        <v>0.23015757030298531</v>
      </c>
      <c r="N51" s="1552">
        <v>8.56054131054131E-2</v>
      </c>
      <c r="O51" s="1551">
        <v>240.38</v>
      </c>
      <c r="P51" s="1553" t="e">
        <v>#DIV/0!</v>
      </c>
      <c r="Q51" s="1553" t="e">
        <v>#DIV/0!</v>
      </c>
      <c r="R51" s="1551">
        <v>0</v>
      </c>
      <c r="S51" s="1551" t="e">
        <v>#DIV/0!</v>
      </c>
      <c r="T51" s="1552" t="e">
        <v>#DIV/0!</v>
      </c>
      <c r="U51" s="1595" t="e">
        <v>#DIV/0!</v>
      </c>
    </row>
    <row r="52" spans="1:21">
      <c r="A52" t="s">
        <v>12</v>
      </c>
      <c r="B52" t="s">
        <v>476</v>
      </c>
      <c r="C52" s="287">
        <v>89</v>
      </c>
      <c r="D52" s="1550">
        <v>2</v>
      </c>
      <c r="E52" s="1551">
        <v>2108.875</v>
      </c>
      <c r="F52" s="1552">
        <v>4.8209658316547915E-2</v>
      </c>
      <c r="G52" s="1552">
        <v>203.33628636461998</v>
      </c>
      <c r="H52" s="1593">
        <v>6</v>
      </c>
      <c r="I52" s="1553">
        <v>1711.790370798054</v>
      </c>
      <c r="J52" s="1594">
        <v>0.12277463874320498</v>
      </c>
      <c r="K52" s="1550">
        <v>4</v>
      </c>
      <c r="L52" s="1551">
        <v>1648</v>
      </c>
      <c r="M52" s="1595">
        <v>0.28066172362567149</v>
      </c>
      <c r="N52" s="1552">
        <v>7.8617371388788423E-2</v>
      </c>
      <c r="O52" s="1551">
        <v>518.24571219489326</v>
      </c>
      <c r="P52" s="1553">
        <v>18165.230882002234</v>
      </c>
      <c r="Q52" s="1553">
        <v>118436.89044929153</v>
      </c>
      <c r="R52" s="1551">
        <v>83</v>
      </c>
      <c r="S52" s="1551">
        <v>4895.7645619480545</v>
      </c>
      <c r="T52" s="1552">
        <v>35476.554796725031</v>
      </c>
      <c r="U52" s="1595">
        <v>0.29953973514624005</v>
      </c>
    </row>
    <row r="53" spans="1:21">
      <c r="A53" t="s">
        <v>145</v>
      </c>
      <c r="B53" t="s">
        <v>728</v>
      </c>
      <c r="C53" s="287">
        <v>46</v>
      </c>
      <c r="D53" s="1550">
        <v>0</v>
      </c>
      <c r="E53" s="1551">
        <v>0</v>
      </c>
      <c r="F53" s="1552">
        <v>0</v>
      </c>
      <c r="G53" s="1552">
        <v>0</v>
      </c>
      <c r="H53" s="1593">
        <v>0</v>
      </c>
      <c r="I53" s="1553">
        <v>1280.0052617079887</v>
      </c>
      <c r="J53" s="1594">
        <v>0.12035946355715328</v>
      </c>
      <c r="K53" s="1550">
        <v>0</v>
      </c>
      <c r="L53" s="1551">
        <v>0</v>
      </c>
      <c r="M53" s="1595">
        <v>0.32065910269953968</v>
      </c>
      <c r="N53" s="1552">
        <v>0</v>
      </c>
      <c r="O53" s="1551">
        <v>0</v>
      </c>
      <c r="P53" s="1553">
        <v>7086.7943458773279</v>
      </c>
      <c r="Q53" s="1553">
        <v>44533.582216502371</v>
      </c>
      <c r="R53" s="1551">
        <v>46</v>
      </c>
      <c r="S53" s="1551">
        <v>2272.4451159651949</v>
      </c>
      <c r="T53" s="1552">
        <v>16466.993593950687</v>
      </c>
      <c r="U53" s="1595">
        <v>0.3697657537158256</v>
      </c>
    </row>
    <row r="54" spans="1:21">
      <c r="A54" t="s">
        <v>998</v>
      </c>
      <c r="B54" t="s">
        <v>736</v>
      </c>
      <c r="C54" s="287">
        <v>6</v>
      </c>
      <c r="D54" s="1550">
        <v>0</v>
      </c>
      <c r="E54" s="1551">
        <v>0</v>
      </c>
      <c r="F54" s="1552">
        <v>0</v>
      </c>
      <c r="G54" s="1552">
        <v>0</v>
      </c>
      <c r="H54" s="1593">
        <v>3</v>
      </c>
      <c r="I54" s="1553">
        <v>2538.6666666666665</v>
      </c>
      <c r="J54" s="1594">
        <v>0.2465402206361047</v>
      </c>
      <c r="K54" s="1550">
        <v>0</v>
      </c>
      <c r="L54" s="1551">
        <v>0</v>
      </c>
      <c r="M54" s="1595">
        <v>0.32640460980310909</v>
      </c>
      <c r="N54" s="1552">
        <v>0</v>
      </c>
      <c r="O54" s="1551">
        <v>0</v>
      </c>
      <c r="P54" s="1553">
        <v>3755.3006407291464</v>
      </c>
      <c r="Q54" s="1553">
        <v>26322.758266153232</v>
      </c>
      <c r="R54" s="1551">
        <v>6</v>
      </c>
      <c r="S54" s="1551">
        <v>1225.7474403305628</v>
      </c>
      <c r="T54" s="1552">
        <v>8882.2278284823387</v>
      </c>
      <c r="U54" s="1595">
        <v>0.33743529985242593</v>
      </c>
    </row>
    <row r="55" spans="1:21">
      <c r="A55" t="s">
        <v>999</v>
      </c>
      <c r="B55" t="s">
        <v>735</v>
      </c>
      <c r="C55" s="287">
        <v>161</v>
      </c>
      <c r="D55" s="1550">
        <v>10</v>
      </c>
      <c r="E55" s="1551">
        <v>3060.8</v>
      </c>
      <c r="F55" s="1552">
        <v>5.9942622797504397E-2</v>
      </c>
      <c r="G55" s="1552">
        <v>1834.7237985860147</v>
      </c>
      <c r="H55" s="1593">
        <v>5</v>
      </c>
      <c r="I55" s="1553">
        <v>1747.5136673928823</v>
      </c>
      <c r="J55" s="1594">
        <v>0.15393570674124443</v>
      </c>
      <c r="K55" s="1550">
        <v>3</v>
      </c>
      <c r="L55" s="1551">
        <v>2229.3333333333335</v>
      </c>
      <c r="M55" s="1595">
        <v>0.23015757030298531</v>
      </c>
      <c r="N55" s="1552">
        <v>9.0919915172326907E-2</v>
      </c>
      <c r="O55" s="1551">
        <v>608.07239267252237</v>
      </c>
      <c r="P55" s="1553">
        <v>42255.499402914415</v>
      </c>
      <c r="Q55" s="1553">
        <v>282329.27103561169</v>
      </c>
      <c r="R55" s="1551">
        <v>148</v>
      </c>
      <c r="S55" s="1551">
        <v>9163.195038388576</v>
      </c>
      <c r="T55" s="1552">
        <v>66399.96404629403</v>
      </c>
      <c r="U55" s="1595">
        <v>0.23518625540572677</v>
      </c>
    </row>
    <row r="56" spans="1:21">
      <c r="A56" t="s">
        <v>1000</v>
      </c>
      <c r="B56" t="s">
        <v>731</v>
      </c>
      <c r="C56" s="287">
        <v>123</v>
      </c>
      <c r="D56" s="1550">
        <v>7</v>
      </c>
      <c r="E56" s="1551">
        <v>2188</v>
      </c>
      <c r="F56" s="1552">
        <v>8.8035313718685268E-2</v>
      </c>
      <c r="G56" s="1552">
        <v>1348.3488649153835</v>
      </c>
      <c r="H56" s="1593">
        <v>78</v>
      </c>
      <c r="I56" s="1553">
        <v>1870.016710526316</v>
      </c>
      <c r="J56" s="1594">
        <v>0.22864179537823143</v>
      </c>
      <c r="K56" s="1550">
        <v>38</v>
      </c>
      <c r="L56" s="1551">
        <v>1823.3689473684208</v>
      </c>
      <c r="M56" s="1595">
        <v>0.35621491075986961</v>
      </c>
      <c r="N56" s="1552">
        <v>0.14425227075111183</v>
      </c>
      <c r="O56" s="1551">
        <v>9994.9542208484509</v>
      </c>
      <c r="P56" s="1553">
        <v>44693.293376162284</v>
      </c>
      <c r="Q56" s="1553">
        <v>305628.3577982774</v>
      </c>
      <c r="R56" s="1551">
        <v>78</v>
      </c>
      <c r="S56" s="1551">
        <v>11879.763815136801</v>
      </c>
      <c r="T56" s="1552">
        <v>86085.245037223183</v>
      </c>
      <c r="U56" s="1595">
        <v>0.28166641884075977</v>
      </c>
    </row>
    <row r="57" spans="1:21">
      <c r="A57" t="s">
        <v>11</v>
      </c>
      <c r="B57" t="s">
        <v>731</v>
      </c>
      <c r="C57" s="287">
        <v>922</v>
      </c>
      <c r="D57" s="1550">
        <v>30</v>
      </c>
      <c r="E57" s="1551">
        <v>1938</v>
      </c>
      <c r="F57" s="1552">
        <v>9.2098248572206678E-2</v>
      </c>
      <c r="G57" s="1552">
        <v>5354.5921719880962</v>
      </c>
      <c r="H57" s="1593">
        <v>222</v>
      </c>
      <c r="I57" s="1553">
        <v>1874.3261711711714</v>
      </c>
      <c r="J57" s="1594">
        <v>0.13589794231065863</v>
      </c>
      <c r="K57" s="1550">
        <v>86</v>
      </c>
      <c r="L57" s="1551">
        <v>1794.8052325581396</v>
      </c>
      <c r="M57" s="1595">
        <v>0.30351782508284464</v>
      </c>
      <c r="N57" s="1552">
        <v>9.9823307608426504E-2</v>
      </c>
      <c r="O57" s="1551">
        <v>15408.051955110357</v>
      </c>
      <c r="P57" s="1553">
        <v>226064.60245132755</v>
      </c>
      <c r="Q57" s="1553">
        <v>1501452.7713864315</v>
      </c>
      <c r="R57" s="1551">
        <v>806</v>
      </c>
      <c r="S57" s="1551">
        <v>62312.80387581882</v>
      </c>
      <c r="T57" s="1552">
        <v>451542.0570711508</v>
      </c>
      <c r="U57" s="1595">
        <v>0.3007367701977065</v>
      </c>
    </row>
    <row r="58" spans="1:21">
      <c r="A58" t="s">
        <v>1173</v>
      </c>
      <c r="B58" t="s">
        <v>476</v>
      </c>
      <c r="C58" s="287">
        <v>35</v>
      </c>
      <c r="D58" s="1550">
        <v>0</v>
      </c>
      <c r="E58" s="1551">
        <v>0</v>
      </c>
      <c r="F58" s="1552">
        <v>0</v>
      </c>
      <c r="G58" s="1552">
        <v>0</v>
      </c>
      <c r="H58" s="1593">
        <v>0</v>
      </c>
      <c r="I58" s="1553">
        <v>1711.790370798054</v>
      </c>
      <c r="J58" s="1594">
        <v>0.12277463874320498</v>
      </c>
      <c r="K58" s="1550">
        <v>0</v>
      </c>
      <c r="L58" s="1551">
        <v>0</v>
      </c>
      <c r="M58" s="1595">
        <v>0.28066172362567149</v>
      </c>
      <c r="N58" s="1552">
        <v>0</v>
      </c>
      <c r="O58" s="1551">
        <v>0</v>
      </c>
      <c r="P58" s="1553">
        <v>7355.7555532589786</v>
      </c>
      <c r="Q58" s="1553">
        <v>48113.446038108537</v>
      </c>
      <c r="R58" s="1551">
        <v>35</v>
      </c>
      <c r="S58" s="1551">
        <v>2064.4790321467699</v>
      </c>
      <c r="T58" s="1552">
        <v>14959.992986570795</v>
      </c>
      <c r="U58" s="1595">
        <v>0.31093164631611803</v>
      </c>
    </row>
    <row r="59" spans="1:21">
      <c r="A59" s="46" t="s">
        <v>57</v>
      </c>
      <c r="B59" t="s">
        <v>476</v>
      </c>
      <c r="C59" s="287">
        <v>470</v>
      </c>
      <c r="D59" s="1550">
        <v>34</v>
      </c>
      <c r="E59" s="1551">
        <v>2228.3529411764707</v>
      </c>
      <c r="F59" s="1552">
        <v>5.3751131525191773E-2</v>
      </c>
      <c r="G59" s="1552">
        <v>4072.4007288746297</v>
      </c>
      <c r="H59" s="1593">
        <v>135</v>
      </c>
      <c r="I59" s="1553">
        <v>1105.8777777777777</v>
      </c>
      <c r="J59" s="1594">
        <v>0.17933643623046322</v>
      </c>
      <c r="K59" s="1550">
        <v>124</v>
      </c>
      <c r="L59" s="1551">
        <v>1102.0040322580646</v>
      </c>
      <c r="M59" s="1595">
        <v>0.29934524648410227</v>
      </c>
      <c r="N59" s="1552">
        <v>0.10641496977696582</v>
      </c>
      <c r="O59" s="1551">
        <v>14541.445997567716</v>
      </c>
      <c r="P59" s="1553">
        <v>80490.990753259161</v>
      </c>
      <c r="Q59" s="1553">
        <v>513585.44024100841</v>
      </c>
      <c r="R59" s="1551">
        <v>312</v>
      </c>
      <c r="S59" s="1551">
        <v>18522.628930439772</v>
      </c>
      <c r="T59" s="1552">
        <v>134221.94877130268</v>
      </c>
      <c r="U59" s="1595">
        <v>0.26134297870343992</v>
      </c>
    </row>
    <row r="60" spans="1:21">
      <c r="A60" t="s">
        <v>189</v>
      </c>
      <c r="B60" t="s">
        <v>732</v>
      </c>
      <c r="C60" s="287">
        <v>38</v>
      </c>
      <c r="D60" s="1550">
        <v>0</v>
      </c>
      <c r="E60" s="1551">
        <v>0</v>
      </c>
      <c r="F60" s="1552">
        <v>0</v>
      </c>
      <c r="G60" s="1552">
        <v>0</v>
      </c>
      <c r="H60" s="1593">
        <v>3</v>
      </c>
      <c r="I60" s="1553">
        <v>1045.957275886032</v>
      </c>
      <c r="J60" s="1594">
        <v>0.16663814568985108</v>
      </c>
      <c r="K60" s="1550">
        <v>3</v>
      </c>
      <c r="L60" s="1551">
        <v>594.66666666666663</v>
      </c>
      <c r="M60" s="1595">
        <v>0.33369832036967961</v>
      </c>
      <c r="N60" s="1552">
        <v>0.10362065018315018</v>
      </c>
      <c r="O60" s="1551">
        <v>184.85923992673992</v>
      </c>
      <c r="P60" s="1553">
        <v>6285.2325722827127</v>
      </c>
      <c r="Q60" s="1553">
        <v>39911.25052378777</v>
      </c>
      <c r="R60" s="1551">
        <v>35</v>
      </c>
      <c r="S60" s="1551">
        <v>2035.6843346351734</v>
      </c>
      <c r="T60" s="1552">
        <v>14751.335758225892</v>
      </c>
      <c r="U60" s="1595">
        <v>0.36960344676330925</v>
      </c>
    </row>
    <row r="61" spans="1:21">
      <c r="A61" t="s">
        <v>1363</v>
      </c>
      <c r="B61" t="s">
        <v>735</v>
      </c>
      <c r="C61" s="287">
        <v>26</v>
      </c>
      <c r="D61" s="1550">
        <v>0</v>
      </c>
      <c r="E61" s="1551">
        <v>0</v>
      </c>
      <c r="F61" s="1552">
        <v>0</v>
      </c>
      <c r="G61" s="1552">
        <v>0</v>
      </c>
      <c r="H61" s="1593">
        <v>0</v>
      </c>
      <c r="I61" s="1553">
        <v>1747.5136673928823</v>
      </c>
      <c r="J61" s="1594">
        <v>0.15393570674124443</v>
      </c>
      <c r="K61" s="1550">
        <v>0</v>
      </c>
      <c r="L61" s="1551">
        <v>0</v>
      </c>
      <c r="M61" s="1595">
        <v>0.23015757030298531</v>
      </c>
      <c r="N61" s="1552">
        <v>0</v>
      </c>
      <c r="O61" s="1551">
        <v>0</v>
      </c>
      <c r="P61" s="1553">
        <v>6994.1235371827888</v>
      </c>
      <c r="Q61" s="1553">
        <v>46827.27200857093</v>
      </c>
      <c r="R61" s="1551">
        <v>26</v>
      </c>
      <c r="S61" s="1551">
        <v>1609.7504797169122</v>
      </c>
      <c r="T61" s="1552">
        <v>11664.858548673275</v>
      </c>
      <c r="U61" s="1595">
        <v>0.24910395263978272</v>
      </c>
    </row>
    <row r="62" spans="1:21">
      <c r="A62" t="s">
        <v>42</v>
      </c>
      <c r="B62" t="s">
        <v>734</v>
      </c>
      <c r="C62" s="287">
        <v>44</v>
      </c>
      <c r="D62" s="1550">
        <v>0</v>
      </c>
      <c r="E62" s="1551">
        <v>0</v>
      </c>
      <c r="F62" s="1552">
        <v>0</v>
      </c>
      <c r="G62" s="1552">
        <v>0</v>
      </c>
      <c r="H62" s="1593">
        <v>27</v>
      </c>
      <c r="I62" s="1553">
        <v>948.07407407407402</v>
      </c>
      <c r="J62" s="1594">
        <v>0.18108554836501436</v>
      </c>
      <c r="K62" s="1550">
        <v>27</v>
      </c>
      <c r="L62" s="1551">
        <v>948.07407407407402</v>
      </c>
      <c r="M62" s="1595">
        <v>0.44080471920101738</v>
      </c>
      <c r="N62" s="1552">
        <v>9.662227379412372E-2</v>
      </c>
      <c r="O62" s="1551">
        <v>2473.3369645819785</v>
      </c>
      <c r="P62" s="1553">
        <v>5391.9396956860464</v>
      </c>
      <c r="Q62" s="1553">
        <v>32548.548519464104</v>
      </c>
      <c r="R62" s="1551">
        <v>17</v>
      </c>
      <c r="S62" s="1551">
        <v>1286.5338573436511</v>
      </c>
      <c r="T62" s="1552">
        <v>9322.7091111858772</v>
      </c>
      <c r="U62" s="1595">
        <v>0.28642472660834251</v>
      </c>
    </row>
    <row r="63" spans="1:21">
      <c r="A63" t="s">
        <v>1001</v>
      </c>
      <c r="B63" t="s">
        <v>735</v>
      </c>
      <c r="C63" s="287">
        <v>377</v>
      </c>
      <c r="D63" s="1550">
        <v>117</v>
      </c>
      <c r="E63" s="1551">
        <v>2115.7692307692309</v>
      </c>
      <c r="F63" s="1552">
        <v>8.9457978447600811E-2</v>
      </c>
      <c r="G63" s="1552">
        <v>22144.875274811344</v>
      </c>
      <c r="H63" s="1593">
        <v>266</v>
      </c>
      <c r="I63" s="1553">
        <v>1930.7388345864661</v>
      </c>
      <c r="J63" s="1594">
        <v>0.19205343609819603</v>
      </c>
      <c r="K63" s="1550">
        <v>152</v>
      </c>
      <c r="L63" s="1551">
        <v>1761.1449999999998</v>
      </c>
      <c r="M63" s="1595">
        <v>0.20554109276441926</v>
      </c>
      <c r="N63" s="1552">
        <v>0.13779331381242865</v>
      </c>
      <c r="O63" s="1551">
        <v>36886.448859436823</v>
      </c>
      <c r="P63" s="1553">
        <v>99078.267092428345</v>
      </c>
      <c r="Q63" s="1553">
        <v>662064.10936542274</v>
      </c>
      <c r="R63" s="1551">
        <v>108</v>
      </c>
      <c r="S63" s="1551">
        <v>8231.2924174987202</v>
      </c>
      <c r="T63" s="1552">
        <v>59647.046503613907</v>
      </c>
      <c r="U63" s="1595">
        <v>9.0092553968504033E-2</v>
      </c>
    </row>
    <row r="64" spans="1:21">
      <c r="A64" t="s">
        <v>1364</v>
      </c>
      <c r="B64" t="s">
        <v>735</v>
      </c>
      <c r="C64" s="287">
        <v>784</v>
      </c>
      <c r="D64" s="1550">
        <v>0</v>
      </c>
      <c r="E64" s="1551">
        <v>0</v>
      </c>
      <c r="F64" s="1552">
        <v>0</v>
      </c>
      <c r="G64" s="1552">
        <v>0</v>
      </c>
      <c r="H64" s="1593">
        <v>0</v>
      </c>
      <c r="I64" s="1553">
        <v>1747.5136673928823</v>
      </c>
      <c r="J64" s="1594">
        <v>0.15393570674124443</v>
      </c>
      <c r="K64" s="1550">
        <v>0</v>
      </c>
      <c r="L64" s="1551">
        <v>0</v>
      </c>
      <c r="M64" s="1595">
        <v>0.23015757030298531</v>
      </c>
      <c r="N64" s="1552">
        <v>0</v>
      </c>
      <c r="O64" s="1551">
        <v>0</v>
      </c>
      <c r="P64" s="1553">
        <v>210899.72512120413</v>
      </c>
      <c r="Q64" s="1553">
        <v>1412022.3559507546</v>
      </c>
      <c r="R64" s="1551">
        <v>784</v>
      </c>
      <c r="S64" s="1551">
        <v>48540.168311463814</v>
      </c>
      <c r="T64" s="1552">
        <v>351740.3500830711</v>
      </c>
      <c r="U64" s="1595">
        <v>0.24910395263978266</v>
      </c>
    </row>
    <row r="65" spans="1:21">
      <c r="A65" s="46" t="s">
        <v>23</v>
      </c>
      <c r="B65" t="s">
        <v>730</v>
      </c>
      <c r="C65" s="287">
        <v>855</v>
      </c>
      <c r="D65" s="1550">
        <v>21</v>
      </c>
      <c r="E65" s="1551">
        <v>2616</v>
      </c>
      <c r="F65" s="1552">
        <v>8.24733783187801E-2</v>
      </c>
      <c r="G65" s="1552">
        <v>4530.757511320503</v>
      </c>
      <c r="H65" s="1593">
        <v>240</v>
      </c>
      <c r="I65" s="1553">
        <v>1569.4625416666668</v>
      </c>
      <c r="J65" s="1594">
        <v>0.13229784926980359</v>
      </c>
      <c r="K65" s="1550">
        <v>78</v>
      </c>
      <c r="L65" s="1551">
        <v>1461.9499999999998</v>
      </c>
      <c r="M65" s="1595">
        <v>0.23254415095908998</v>
      </c>
      <c r="N65" s="1552">
        <v>0.10091485713380328</v>
      </c>
      <c r="O65" s="1551">
        <v>11507.53308016757</v>
      </c>
      <c r="P65" s="1553">
        <v>173011.49878313483</v>
      </c>
      <c r="Q65" s="1553">
        <v>1126943.469443006</v>
      </c>
      <c r="R65" s="1551">
        <v>756</v>
      </c>
      <c r="S65" s="1551">
        <v>36503.201422250961</v>
      </c>
      <c r="T65" s="1552">
        <v>264515.95233515184</v>
      </c>
      <c r="U65" s="1595">
        <v>0.23471980583541549</v>
      </c>
    </row>
    <row r="66" spans="1:21">
      <c r="A66" t="s">
        <v>135</v>
      </c>
      <c r="B66" t="s">
        <v>729</v>
      </c>
      <c r="C66" s="287">
        <v>38</v>
      </c>
      <c r="D66" s="1550">
        <v>0</v>
      </c>
      <c r="E66" s="1551">
        <v>0</v>
      </c>
      <c r="F66" s="1552">
        <v>0</v>
      </c>
      <c r="G66" s="1552">
        <v>0</v>
      </c>
      <c r="H66" s="1593">
        <v>0</v>
      </c>
      <c r="I66" s="1553">
        <v>1243.0887425149701</v>
      </c>
      <c r="J66" s="1594">
        <v>0.15094699553265112</v>
      </c>
      <c r="K66" s="1550">
        <v>0</v>
      </c>
      <c r="L66" s="1551">
        <v>0</v>
      </c>
      <c r="M66" s="1595">
        <v>0.32612771454717537</v>
      </c>
      <c r="N66" s="1552">
        <v>0</v>
      </c>
      <c r="O66" s="1551">
        <v>0</v>
      </c>
      <c r="P66" s="1553">
        <v>7130.3394127976517</v>
      </c>
      <c r="Q66" s="1553">
        <v>46035.213136214865</v>
      </c>
      <c r="R66" s="1551">
        <v>38</v>
      </c>
      <c r="S66" s="1551">
        <v>2325.4012966413466</v>
      </c>
      <c r="T66" s="1552">
        <v>16850.734033632943</v>
      </c>
      <c r="U66" s="1595">
        <v>0.36604010029828343</v>
      </c>
    </row>
    <row r="67" spans="1:21">
      <c r="A67" t="s">
        <v>58</v>
      </c>
      <c r="B67" t="s">
        <v>736</v>
      </c>
      <c r="C67" s="287">
        <v>7</v>
      </c>
      <c r="D67" s="1550">
        <v>0</v>
      </c>
      <c r="E67" s="1551">
        <v>0</v>
      </c>
      <c r="F67" s="1552">
        <v>0</v>
      </c>
      <c r="G67" s="1552">
        <v>0</v>
      </c>
      <c r="H67" s="1593">
        <v>1</v>
      </c>
      <c r="I67" s="1553">
        <v>1121.8146232876711</v>
      </c>
      <c r="J67" s="1594">
        <v>0.2465402206361047</v>
      </c>
      <c r="K67" s="1550">
        <v>0</v>
      </c>
      <c r="L67" s="1551">
        <v>0</v>
      </c>
      <c r="M67" s="1595">
        <v>0.32640460980310909</v>
      </c>
      <c r="N67" s="1552">
        <v>0</v>
      </c>
      <c r="O67" s="1551">
        <v>0</v>
      </c>
      <c r="P67" s="1553">
        <v>1936.0069731670578</v>
      </c>
      <c r="Q67" s="1553">
        <v>12991.209950485925</v>
      </c>
      <c r="R67" s="1551">
        <v>7</v>
      </c>
      <c r="S67" s="1551">
        <v>631.92160065269172</v>
      </c>
      <c r="T67" s="1552">
        <v>4579.1420337151567</v>
      </c>
      <c r="U67" s="1595">
        <v>0.35248002696961095</v>
      </c>
    </row>
    <row r="68" spans="1:21">
      <c r="A68" t="s">
        <v>1177</v>
      </c>
      <c r="B68" t="s">
        <v>736</v>
      </c>
      <c r="C68" s="287">
        <v>19</v>
      </c>
      <c r="D68" s="1550">
        <v>0</v>
      </c>
      <c r="E68" s="1551">
        <v>0</v>
      </c>
      <c r="F68" s="1552">
        <v>0</v>
      </c>
      <c r="G68" s="1552">
        <v>0</v>
      </c>
      <c r="H68" s="1593">
        <v>0</v>
      </c>
      <c r="I68" s="1553">
        <v>1121.8146232876711</v>
      </c>
      <c r="J68" s="1594">
        <v>0.2465402206361047</v>
      </c>
      <c r="K68" s="1550">
        <v>0</v>
      </c>
      <c r="L68" s="1551">
        <v>0</v>
      </c>
      <c r="M68" s="1595">
        <v>0.32640460980310909</v>
      </c>
      <c r="N68" s="1552">
        <v>0</v>
      </c>
      <c r="O68" s="1551">
        <v>0</v>
      </c>
      <c r="P68" s="1553">
        <v>5254.8760700248713</v>
      </c>
      <c r="Q68" s="1553">
        <v>35261.855579890369</v>
      </c>
      <c r="R68" s="1551">
        <v>19</v>
      </c>
      <c r="S68" s="1551">
        <v>1715.2157732001635</v>
      </c>
      <c r="T68" s="1552">
        <v>12429.099805798285</v>
      </c>
      <c r="U68" s="1595">
        <v>0.352480026969611</v>
      </c>
    </row>
    <row r="69" spans="1:21">
      <c r="A69" t="s">
        <v>1003</v>
      </c>
      <c r="B69" t="s">
        <v>476</v>
      </c>
      <c r="C69" s="287">
        <v>0</v>
      </c>
      <c r="D69" s="1550">
        <v>34</v>
      </c>
      <c r="E69" s="1551">
        <v>1573.6176470588234</v>
      </c>
      <c r="F69" s="1552">
        <v>8.1153799509134983E-2</v>
      </c>
      <c r="G69" s="1552">
        <v>4341.9717351372483</v>
      </c>
      <c r="H69" s="1593">
        <v>150</v>
      </c>
      <c r="I69" s="1553" t="e">
        <v>#DIV/0!</v>
      </c>
      <c r="J69" s="1594">
        <v>0.12059170846570609</v>
      </c>
      <c r="K69" s="1550">
        <v>73</v>
      </c>
      <c r="L69" s="1551">
        <v>1982.298630136986</v>
      </c>
      <c r="M69" s="1595">
        <v>0.28464557145761837</v>
      </c>
      <c r="N69" s="1552">
        <v>8.4307045480757889E-2</v>
      </c>
      <c r="O69" s="1551">
        <v>12199.887076020415</v>
      </c>
      <c r="P69" s="1553" t="e">
        <v>#DIV/0!</v>
      </c>
      <c r="Q69" s="1553" t="e">
        <v>#DIV/0!</v>
      </c>
      <c r="R69" s="1551">
        <v>0</v>
      </c>
      <c r="S69" s="1551" t="e">
        <v>#DIV/0!</v>
      </c>
      <c r="T69" s="1552" t="e">
        <v>#DIV/0!</v>
      </c>
      <c r="U69" s="1595" t="e">
        <v>#DIV/0!</v>
      </c>
    </row>
    <row r="70" spans="1:21">
      <c r="A70" t="s">
        <v>1004</v>
      </c>
      <c r="B70" t="s">
        <v>736</v>
      </c>
      <c r="C70" s="287">
        <v>29</v>
      </c>
      <c r="D70" s="1550">
        <v>0</v>
      </c>
      <c r="E70" s="1551">
        <v>0</v>
      </c>
      <c r="F70" s="1552">
        <v>0</v>
      </c>
      <c r="G70" s="1552">
        <v>0</v>
      </c>
      <c r="H70" s="1593">
        <v>0</v>
      </c>
      <c r="I70" s="1553">
        <v>1121.8146232876711</v>
      </c>
      <c r="J70" s="1594">
        <v>0.2465402206361047</v>
      </c>
      <c r="K70" s="1550">
        <v>0</v>
      </c>
      <c r="L70" s="1551">
        <v>0</v>
      </c>
      <c r="M70" s="1595">
        <v>0.32640460980310909</v>
      </c>
      <c r="N70" s="1552">
        <v>0</v>
      </c>
      <c r="O70" s="1551">
        <v>0</v>
      </c>
      <c r="P70" s="1553">
        <v>8020.6003174063817</v>
      </c>
      <c r="Q70" s="1553">
        <v>53820.726937727399</v>
      </c>
      <c r="R70" s="1551">
        <v>29</v>
      </c>
      <c r="S70" s="1551">
        <v>2617.960916989723</v>
      </c>
      <c r="T70" s="1552">
        <v>18970.731282534223</v>
      </c>
      <c r="U70" s="1595">
        <v>0.352480026969611</v>
      </c>
    </row>
    <row r="71" spans="1:21">
      <c r="A71" t="s">
        <v>1006</v>
      </c>
      <c r="B71" t="s">
        <v>736</v>
      </c>
      <c r="C71" s="287">
        <v>41</v>
      </c>
      <c r="D71" s="1550">
        <v>1</v>
      </c>
      <c r="E71" s="1551">
        <v>712</v>
      </c>
      <c r="F71" s="1552">
        <v>0.15248595505617976</v>
      </c>
      <c r="G71" s="1552">
        <v>108.57</v>
      </c>
      <c r="H71" s="1593">
        <v>1</v>
      </c>
      <c r="I71" s="1553">
        <v>1121.8146232876711</v>
      </c>
      <c r="J71" s="1594">
        <v>0.2465402206361047</v>
      </c>
      <c r="K71" s="1550">
        <v>1</v>
      </c>
      <c r="L71" s="1551">
        <v>576</v>
      </c>
      <c r="M71" s="1595">
        <v>0.32640460980310909</v>
      </c>
      <c r="N71" s="1552">
        <v>0.16161458333333334</v>
      </c>
      <c r="O71" s="1551">
        <v>93.09</v>
      </c>
      <c r="P71" s="1553">
        <v>10987.984564787894</v>
      </c>
      <c r="Q71" s="1553">
        <v>73544.380904260091</v>
      </c>
      <c r="R71" s="1551">
        <v>39</v>
      </c>
      <c r="S71" s="1551">
        <v>3520.7060607792828</v>
      </c>
      <c r="T71" s="1552">
        <v>25512.362759270163</v>
      </c>
      <c r="U71" s="1595">
        <v>0.34689751202722202</v>
      </c>
    </row>
    <row r="72" spans="1:21">
      <c r="A72" t="s">
        <v>1178</v>
      </c>
      <c r="B72" t="s">
        <v>736</v>
      </c>
      <c r="C72" s="287">
        <v>31</v>
      </c>
      <c r="D72" s="1550">
        <v>0</v>
      </c>
      <c r="E72" s="1551">
        <v>0</v>
      </c>
      <c r="F72" s="1552">
        <v>0</v>
      </c>
      <c r="G72" s="1552">
        <v>0</v>
      </c>
      <c r="H72" s="1593">
        <v>0</v>
      </c>
      <c r="I72" s="1553">
        <v>1121.8146232876711</v>
      </c>
      <c r="J72" s="1594">
        <v>0.2465402206361047</v>
      </c>
      <c r="K72" s="1550">
        <v>0</v>
      </c>
      <c r="L72" s="1551">
        <v>0</v>
      </c>
      <c r="M72" s="1595">
        <v>0.32640460980310909</v>
      </c>
      <c r="N72" s="1552">
        <v>0</v>
      </c>
      <c r="O72" s="1551">
        <v>0</v>
      </c>
      <c r="P72" s="1553">
        <v>8573.7451668826852</v>
      </c>
      <c r="Q72" s="1553">
        <v>57532.501209294816</v>
      </c>
      <c r="R72" s="1551">
        <v>31</v>
      </c>
      <c r="S72" s="1551">
        <v>2798.5099457476354</v>
      </c>
      <c r="T72" s="1552">
        <v>20279.057577881413</v>
      </c>
      <c r="U72" s="1595">
        <v>0.35248002696961095</v>
      </c>
    </row>
    <row r="73" spans="1:21">
      <c r="A73" t="s">
        <v>1372</v>
      </c>
      <c r="B73" t="s">
        <v>476</v>
      </c>
      <c r="C73" s="287">
        <v>18</v>
      </c>
      <c r="D73" s="1550">
        <v>0</v>
      </c>
      <c r="E73" s="1551">
        <v>0</v>
      </c>
      <c r="F73" s="1552">
        <v>0</v>
      </c>
      <c r="G73" s="1552">
        <v>0</v>
      </c>
      <c r="H73" s="1593">
        <v>0</v>
      </c>
      <c r="I73" s="1553">
        <v>1711.790370798054</v>
      </c>
      <c r="J73" s="1594">
        <v>0.12277463874320498</v>
      </c>
      <c r="K73" s="1550">
        <v>0</v>
      </c>
      <c r="L73" s="1551">
        <v>0</v>
      </c>
      <c r="M73" s="1595">
        <v>0.28066172362567149</v>
      </c>
      <c r="N73" s="1552">
        <v>0</v>
      </c>
      <c r="O73" s="1551">
        <v>0</v>
      </c>
      <c r="P73" s="1553">
        <v>3782.9599988189038</v>
      </c>
      <c r="Q73" s="1553">
        <v>24744.057962455823</v>
      </c>
      <c r="R73" s="1551">
        <v>18</v>
      </c>
      <c r="S73" s="1551">
        <v>1061.7320736754818</v>
      </c>
      <c r="T73" s="1552">
        <v>7693.710678807839</v>
      </c>
      <c r="U73" s="1595">
        <v>0.31093164631611808</v>
      </c>
    </row>
    <row r="74" spans="1:21">
      <c r="A74" t="s">
        <v>74</v>
      </c>
      <c r="B74" t="s">
        <v>732</v>
      </c>
      <c r="C74" s="287">
        <v>91</v>
      </c>
      <c r="D74" s="1550">
        <v>0</v>
      </c>
      <c r="E74" s="1551">
        <v>0</v>
      </c>
      <c r="F74" s="1552">
        <v>0</v>
      </c>
      <c r="G74" s="1552">
        <v>0</v>
      </c>
      <c r="H74" s="1593">
        <v>37</v>
      </c>
      <c r="I74" s="1553">
        <v>787.66189189189186</v>
      </c>
      <c r="J74" s="1594">
        <v>0.14494183837314287</v>
      </c>
      <c r="K74" s="1550">
        <v>18</v>
      </c>
      <c r="L74" s="1551">
        <v>755.55555555555554</v>
      </c>
      <c r="M74" s="1595">
        <v>0.30901048721251673</v>
      </c>
      <c r="N74" s="1552">
        <v>8.8287976439523616E-2</v>
      </c>
      <c r="O74" s="1551">
        <v>1200.7164795775211</v>
      </c>
      <c r="P74" s="1553">
        <v>9534.7733513688527</v>
      </c>
      <c r="Q74" s="1553">
        <v>55600.821386730815</v>
      </c>
      <c r="R74" s="1551">
        <v>73</v>
      </c>
      <c r="S74" s="1551">
        <v>2575.3109744090625</v>
      </c>
      <c r="T74" s="1552">
        <v>18661.673727601901</v>
      </c>
      <c r="U74" s="1595">
        <v>0.33563665539760401</v>
      </c>
    </row>
    <row r="75" spans="1:21">
      <c r="A75" t="s">
        <v>137</v>
      </c>
      <c r="B75" t="s">
        <v>730</v>
      </c>
      <c r="C75" s="287">
        <v>29</v>
      </c>
      <c r="D75" s="1550">
        <v>1</v>
      </c>
      <c r="E75" s="1551">
        <v>975.2</v>
      </c>
      <c r="F75" s="1552">
        <v>7.3420836751435598E-2</v>
      </c>
      <c r="G75" s="1552">
        <v>71.599999999999994</v>
      </c>
      <c r="H75" s="1593">
        <v>7</v>
      </c>
      <c r="I75" s="1553">
        <v>1004.4285714285714</v>
      </c>
      <c r="J75" s="1594">
        <v>0.13649699485343733</v>
      </c>
      <c r="K75" s="1550">
        <v>0</v>
      </c>
      <c r="L75" s="1551">
        <v>0</v>
      </c>
      <c r="M75" s="1595">
        <v>0.2334826600798878</v>
      </c>
      <c r="N75" s="1552">
        <v>0</v>
      </c>
      <c r="O75" s="1551">
        <v>0</v>
      </c>
      <c r="P75" s="1553">
        <v>3910.4414832580715</v>
      </c>
      <c r="Q75" s="1553">
        <v>24036.96726998602</v>
      </c>
      <c r="R75" s="1551">
        <v>28</v>
      </c>
      <c r="S75" s="1551">
        <v>896.30292113611665</v>
      </c>
      <c r="T75" s="1552">
        <v>6494.9487038849029</v>
      </c>
      <c r="U75" s="1595">
        <v>0.27020666255159737</v>
      </c>
    </row>
    <row r="76" spans="1:21">
      <c r="A76" t="s">
        <v>139</v>
      </c>
      <c r="B76" t="s">
        <v>730</v>
      </c>
      <c r="C76" s="287">
        <v>37</v>
      </c>
      <c r="D76" s="1550">
        <v>6</v>
      </c>
      <c r="E76" s="1551">
        <v>1356</v>
      </c>
      <c r="F76" s="1552">
        <v>6.7668387413962625E-2</v>
      </c>
      <c r="G76" s="1552">
        <v>550.54999999999995</v>
      </c>
      <c r="H76" s="1593">
        <v>0</v>
      </c>
      <c r="I76" s="1553">
        <v>1253.7457405614716</v>
      </c>
      <c r="J76" s="1594">
        <v>0.13649699485343733</v>
      </c>
      <c r="K76" s="1550">
        <v>0</v>
      </c>
      <c r="L76" s="1551">
        <v>0</v>
      </c>
      <c r="M76" s="1595">
        <v>0.2334826600798878</v>
      </c>
      <c r="N76" s="1552">
        <v>0</v>
      </c>
      <c r="O76" s="1551">
        <v>0</v>
      </c>
      <c r="P76" s="1553">
        <v>5855.6583028050836</v>
      </c>
      <c r="Q76" s="1553">
        <v>36946.654368152784</v>
      </c>
      <c r="R76" s="1551">
        <v>31</v>
      </c>
      <c r="S76" s="1551">
        <v>1238.6507985508297</v>
      </c>
      <c r="T76" s="1552">
        <v>8975.7304242813734</v>
      </c>
      <c r="U76" s="1595">
        <v>0.24293756979571765</v>
      </c>
    </row>
    <row r="77" spans="1:21">
      <c r="A77" t="s">
        <v>141</v>
      </c>
      <c r="B77" t="s">
        <v>476</v>
      </c>
      <c r="C77" s="287">
        <v>13</v>
      </c>
      <c r="D77" s="1550">
        <v>0</v>
      </c>
      <c r="E77" s="1551">
        <v>0</v>
      </c>
      <c r="F77" s="1552">
        <v>0</v>
      </c>
      <c r="G77" s="1552">
        <v>0</v>
      </c>
      <c r="H77" s="1593">
        <v>0</v>
      </c>
      <c r="I77" s="1553">
        <v>1711.790370798054</v>
      </c>
      <c r="J77" s="1594">
        <v>0.12277463874320498</v>
      </c>
      <c r="K77" s="1550">
        <v>0</v>
      </c>
      <c r="L77" s="1551">
        <v>0</v>
      </c>
      <c r="M77" s="1595">
        <v>0.28066172362567149</v>
      </c>
      <c r="N77" s="1552">
        <v>0</v>
      </c>
      <c r="O77" s="1551">
        <v>0</v>
      </c>
      <c r="P77" s="1553">
        <v>2732.1377769247633</v>
      </c>
      <c r="Q77" s="1553">
        <v>17870.708528440311</v>
      </c>
      <c r="R77" s="1551">
        <v>13</v>
      </c>
      <c r="S77" s="1551">
        <v>766.8064976545146</v>
      </c>
      <c r="T77" s="1552">
        <v>5556.5688235834386</v>
      </c>
      <c r="U77" s="1595">
        <v>0.31093164631611814</v>
      </c>
    </row>
    <row r="78" spans="1:21">
      <c r="A78" t="s">
        <v>75</v>
      </c>
      <c r="B78" t="s">
        <v>729</v>
      </c>
      <c r="C78" s="287">
        <v>89</v>
      </c>
      <c r="D78" s="1550">
        <v>4</v>
      </c>
      <c r="E78" s="1551">
        <v>1068.5</v>
      </c>
      <c r="F78" s="1552">
        <v>8.1255266573701343E-2</v>
      </c>
      <c r="G78" s="1552">
        <v>347.28500933599952</v>
      </c>
      <c r="H78" s="1593">
        <v>0</v>
      </c>
      <c r="I78" s="1553">
        <v>1243.0887425149701</v>
      </c>
      <c r="J78" s="1594">
        <v>0.15094699553265112</v>
      </c>
      <c r="K78" s="1550">
        <v>0</v>
      </c>
      <c r="L78" s="1551">
        <v>0</v>
      </c>
      <c r="M78" s="1595">
        <v>0.32612771454717537</v>
      </c>
      <c r="N78" s="1552">
        <v>0</v>
      </c>
      <c r="O78" s="1551">
        <v>0</v>
      </c>
      <c r="P78" s="1553">
        <v>16296.728432699168</v>
      </c>
      <c r="Q78" s="1553">
        <v>104897.01762825483</v>
      </c>
      <c r="R78" s="1551">
        <v>85</v>
      </c>
      <c r="S78" s="1551">
        <v>5201.5555319609075</v>
      </c>
      <c r="T78" s="1552">
        <v>37692.431391021062</v>
      </c>
      <c r="U78" s="1595">
        <v>0.35932796034868686</v>
      </c>
    </row>
    <row r="79" spans="1:21">
      <c r="A79" t="s">
        <v>76</v>
      </c>
      <c r="B79" t="s">
        <v>732</v>
      </c>
      <c r="C79" s="287">
        <v>185</v>
      </c>
      <c r="D79" s="1550">
        <v>1</v>
      </c>
      <c r="E79" s="1551">
        <v>1107</v>
      </c>
      <c r="F79" s="1552">
        <v>7.0939476061427281E-2</v>
      </c>
      <c r="G79" s="1552">
        <v>78.53</v>
      </c>
      <c r="H79" s="1593">
        <v>39</v>
      </c>
      <c r="I79" s="1553">
        <v>768.64102564102564</v>
      </c>
      <c r="J79" s="1594">
        <v>0.20325641781482637</v>
      </c>
      <c r="K79" s="1550">
        <v>8</v>
      </c>
      <c r="L79" s="1551">
        <v>748</v>
      </c>
      <c r="M79" s="1595">
        <v>0.33369832036967961</v>
      </c>
      <c r="N79" s="1552">
        <v>0.11280209663857235</v>
      </c>
      <c r="O79" s="1551">
        <v>675.00774628521697</v>
      </c>
      <c r="P79" s="1553">
        <v>28250.232722771594</v>
      </c>
      <c r="Q79" s="1553">
        <v>177283.57045486663</v>
      </c>
      <c r="R79" s="1551">
        <v>176</v>
      </c>
      <c r="S79" s="1551">
        <v>9175.6009293709121</v>
      </c>
      <c r="T79" s="1552">
        <v>66489.861807035588</v>
      </c>
      <c r="U79" s="1595">
        <v>0.37504807488047953</v>
      </c>
    </row>
    <row r="80" spans="1:21">
      <c r="A80" t="s">
        <v>1010</v>
      </c>
      <c r="B80" t="s">
        <v>736</v>
      </c>
      <c r="C80" s="287">
        <v>12</v>
      </c>
      <c r="D80" s="1550">
        <v>0</v>
      </c>
      <c r="E80" s="1551">
        <v>0</v>
      </c>
      <c r="F80" s="1552">
        <v>0</v>
      </c>
      <c r="G80" s="1552">
        <v>0</v>
      </c>
      <c r="H80" s="1593">
        <v>1</v>
      </c>
      <c r="I80" s="1553">
        <v>1121.8146232876711</v>
      </c>
      <c r="J80" s="1594">
        <v>0.2465402206361047</v>
      </c>
      <c r="K80" s="1550">
        <v>1</v>
      </c>
      <c r="L80" s="1551">
        <v>672</v>
      </c>
      <c r="M80" s="1595">
        <v>0.32640460980310909</v>
      </c>
      <c r="N80" s="1552">
        <v>8.7113095238095239E-2</v>
      </c>
      <c r="O80" s="1551">
        <v>58.54</v>
      </c>
      <c r="P80" s="1553">
        <v>3100.8366721196626</v>
      </c>
      <c r="Q80" s="1553">
        <v>20690.70052260625</v>
      </c>
      <c r="R80" s="1551">
        <v>11</v>
      </c>
      <c r="S80" s="1551">
        <v>993.01965816851566</v>
      </c>
      <c r="T80" s="1552">
        <v>7195.7946244095328</v>
      </c>
      <c r="U80" s="1595">
        <v>0.34777916854712337</v>
      </c>
    </row>
    <row r="81" spans="1:21">
      <c r="A81" t="s">
        <v>1373</v>
      </c>
      <c r="B81" t="s">
        <v>476</v>
      </c>
      <c r="C81" s="287">
        <v>6</v>
      </c>
      <c r="D81" s="1550">
        <v>0</v>
      </c>
      <c r="E81" s="1551">
        <v>0</v>
      </c>
      <c r="F81" s="1552">
        <v>0</v>
      </c>
      <c r="G81" s="1552">
        <v>0</v>
      </c>
      <c r="H81" s="1593">
        <v>0</v>
      </c>
      <c r="I81" s="1553">
        <v>1711.790370798054</v>
      </c>
      <c r="J81" s="1594">
        <v>0.12277463874320498</v>
      </c>
      <c r="K81" s="1550">
        <v>0</v>
      </c>
      <c r="L81" s="1551">
        <v>0</v>
      </c>
      <c r="M81" s="1595">
        <v>0.28066172362567149</v>
      </c>
      <c r="N81" s="1552">
        <v>0</v>
      </c>
      <c r="O81" s="1551">
        <v>0</v>
      </c>
      <c r="P81" s="1553">
        <v>1260.9866662729678</v>
      </c>
      <c r="Q81" s="1553">
        <v>8248.0193208186065</v>
      </c>
      <c r="R81" s="1551">
        <v>6</v>
      </c>
      <c r="S81" s="1551">
        <v>353.91069122516052</v>
      </c>
      <c r="T81" s="1552">
        <v>2564.5702262692789</v>
      </c>
      <c r="U81" s="1595">
        <v>0.31093164631611803</v>
      </c>
    </row>
    <row r="82" spans="1:21">
      <c r="A82" t="s">
        <v>143</v>
      </c>
      <c r="B82" t="s">
        <v>728</v>
      </c>
      <c r="C82" s="287">
        <v>15</v>
      </c>
      <c r="D82" s="1550">
        <v>0</v>
      </c>
      <c r="E82" s="1551">
        <v>0</v>
      </c>
      <c r="F82" s="1552">
        <v>0</v>
      </c>
      <c r="G82" s="1552">
        <v>0</v>
      </c>
      <c r="H82" s="1593">
        <v>4</v>
      </c>
      <c r="I82" s="1553">
        <v>1058</v>
      </c>
      <c r="J82" s="1594">
        <v>0.12035946355715328</v>
      </c>
      <c r="K82" s="1550">
        <v>4</v>
      </c>
      <c r="L82" s="1551">
        <v>1058</v>
      </c>
      <c r="M82" s="1595">
        <v>0.32065910269953968</v>
      </c>
      <c r="N82" s="1552">
        <v>0.12531447968469489</v>
      </c>
      <c r="O82" s="1551">
        <v>530.33087802562875</v>
      </c>
      <c r="P82" s="1553">
        <v>1931.0743149037785</v>
      </c>
      <c r="Q82" s="1553">
        <v>11769.37909350564</v>
      </c>
      <c r="R82" s="1551">
        <v>11</v>
      </c>
      <c r="S82" s="1551">
        <v>449.16113358161681</v>
      </c>
      <c r="T82" s="1552">
        <v>3254.7908230551939</v>
      </c>
      <c r="U82" s="1595">
        <v>0.27654736899852195</v>
      </c>
    </row>
    <row r="83" spans="1:21">
      <c r="A83" t="s">
        <v>17</v>
      </c>
      <c r="B83" t="s">
        <v>736</v>
      </c>
      <c r="C83" s="287">
        <v>246</v>
      </c>
      <c r="D83" s="1550">
        <v>1</v>
      </c>
      <c r="E83" s="1551">
        <v>1844</v>
      </c>
      <c r="F83" s="1552">
        <v>8.9126898047722336E-2</v>
      </c>
      <c r="G83" s="1552">
        <v>164.35</v>
      </c>
      <c r="H83" s="1593">
        <v>15</v>
      </c>
      <c r="I83" s="1553">
        <v>1121.8146232876711</v>
      </c>
      <c r="J83" s="1594">
        <v>0.27973189385266611</v>
      </c>
      <c r="K83" s="1550">
        <v>12</v>
      </c>
      <c r="L83" s="1551">
        <v>756.58333333333337</v>
      </c>
      <c r="M83" s="1595">
        <v>0.29547360946048268</v>
      </c>
      <c r="N83" s="1552">
        <v>0.19095556345451084</v>
      </c>
      <c r="O83" s="1551">
        <v>1733.6855606035042</v>
      </c>
      <c r="P83" s="1553">
        <v>75015.143246466469</v>
      </c>
      <c r="Q83" s="1553">
        <v>507115.82062656857</v>
      </c>
      <c r="R83" s="1551">
        <v>233</v>
      </c>
      <c r="S83" s="1551">
        <v>21604.175721252734</v>
      </c>
      <c r="T83" s="1552">
        <v>156551.99798009227</v>
      </c>
      <c r="U83" s="1595">
        <v>0.30871053832764267</v>
      </c>
    </row>
    <row r="84" spans="1:21">
      <c r="A84" t="s">
        <v>1012</v>
      </c>
      <c r="B84" t="s">
        <v>731</v>
      </c>
      <c r="C84" s="287">
        <v>86</v>
      </c>
      <c r="D84" s="1550">
        <v>6</v>
      </c>
      <c r="E84" s="1551">
        <v>1881.3333333333333</v>
      </c>
      <c r="F84" s="1552">
        <v>7.9045947227233973E-2</v>
      </c>
      <c r="G84" s="1552">
        <v>892.27065230101698</v>
      </c>
      <c r="H84" s="1593">
        <v>14</v>
      </c>
      <c r="I84" s="1553">
        <v>1541.5149999999999</v>
      </c>
      <c r="J84" s="1594">
        <v>0.17393242415724156</v>
      </c>
      <c r="K84" s="1550">
        <v>12</v>
      </c>
      <c r="L84" s="1551">
        <v>1547.4341666666667</v>
      </c>
      <c r="M84" s="1595">
        <v>0.28324798815595431</v>
      </c>
      <c r="N84" s="1552">
        <v>0.11017286751041153</v>
      </c>
      <c r="O84" s="1551">
        <v>2045.8231131030088</v>
      </c>
      <c r="P84" s="1553">
        <v>21170.215741487038</v>
      </c>
      <c r="Q84" s="1553">
        <v>140656.92566294954</v>
      </c>
      <c r="R84" s="1551">
        <v>68</v>
      </c>
      <c r="S84" s="1551">
        <v>5164.2118695394756</v>
      </c>
      <c r="T84" s="1552">
        <v>37421.825141590401</v>
      </c>
      <c r="U84" s="1595">
        <v>0.26605035596514315</v>
      </c>
    </row>
    <row r="85" spans="1:21">
      <c r="A85" t="s">
        <v>256</v>
      </c>
      <c r="B85" t="s">
        <v>736</v>
      </c>
      <c r="C85" s="287">
        <v>190</v>
      </c>
      <c r="D85" s="1550">
        <v>7</v>
      </c>
      <c r="E85" s="1551">
        <v>1104.2857142857142</v>
      </c>
      <c r="F85" s="1552">
        <v>7.7593652110109407E-2</v>
      </c>
      <c r="G85" s="1552">
        <v>599.79893081114574</v>
      </c>
      <c r="H85" s="1593">
        <v>17</v>
      </c>
      <c r="I85" s="1553">
        <v>1121.8146232876711</v>
      </c>
      <c r="J85" s="1594">
        <v>0.23756397749275551</v>
      </c>
      <c r="K85" s="1550">
        <v>10</v>
      </c>
      <c r="L85" s="1551">
        <v>1507</v>
      </c>
      <c r="M85" s="1595">
        <v>0.42284428916286088</v>
      </c>
      <c r="N85" s="1552">
        <v>0.10514344111431931</v>
      </c>
      <c r="O85" s="1551">
        <v>1584.5116575927921</v>
      </c>
      <c r="P85" s="1553">
        <v>48289.285286175778</v>
      </c>
      <c r="Q85" s="1553">
        <v>321752.79192880995</v>
      </c>
      <c r="R85" s="1551">
        <v>173</v>
      </c>
      <c r="S85" s="1551">
        <v>19495.225252951022</v>
      </c>
      <c r="T85" s="1552">
        <v>141269.74820979001</v>
      </c>
      <c r="U85" s="1595">
        <v>0.43906300661113429</v>
      </c>
    </row>
    <row r="86" spans="1:21">
      <c r="A86" t="s">
        <v>77</v>
      </c>
      <c r="B86" t="s">
        <v>729</v>
      </c>
      <c r="C86" s="287">
        <v>164</v>
      </c>
      <c r="D86" s="1550">
        <v>0</v>
      </c>
      <c r="E86" s="1551">
        <v>0</v>
      </c>
      <c r="F86" s="1552">
        <v>0</v>
      </c>
      <c r="G86" s="1552">
        <v>0</v>
      </c>
      <c r="H86" s="1593">
        <v>0</v>
      </c>
      <c r="I86" s="1553">
        <v>1243.0887425149701</v>
      </c>
      <c r="J86" s="1594">
        <v>0.15094699553265112</v>
      </c>
      <c r="K86" s="1550">
        <v>0</v>
      </c>
      <c r="L86" s="1551">
        <v>0</v>
      </c>
      <c r="M86" s="1595">
        <v>0.32612771454717537</v>
      </c>
      <c r="N86" s="1552">
        <v>0</v>
      </c>
      <c r="O86" s="1551">
        <v>0</v>
      </c>
      <c r="P86" s="1553">
        <v>30773.04378154776</v>
      </c>
      <c r="Q86" s="1553">
        <v>198678.28827208522</v>
      </c>
      <c r="R86" s="1551">
        <v>164</v>
      </c>
      <c r="S86" s="1551">
        <v>10035.942438136339</v>
      </c>
      <c r="T86" s="1552">
        <v>72724.220566205346</v>
      </c>
      <c r="U86" s="1595">
        <v>0.36604010029828343</v>
      </c>
    </row>
    <row r="87" spans="1:21">
      <c r="A87" t="s">
        <v>1374</v>
      </c>
      <c r="B87" t="s">
        <v>476</v>
      </c>
      <c r="C87" s="287">
        <v>7</v>
      </c>
      <c r="D87" s="1550">
        <v>0</v>
      </c>
      <c r="E87" s="1551">
        <v>0</v>
      </c>
      <c r="F87" s="1552">
        <v>0</v>
      </c>
      <c r="G87" s="1552">
        <v>0</v>
      </c>
      <c r="H87" s="1593">
        <v>0</v>
      </c>
      <c r="I87" s="1553">
        <v>1711.790370798054</v>
      </c>
      <c r="J87" s="1594">
        <v>0.12277463874320498</v>
      </c>
      <c r="K87" s="1550">
        <v>0</v>
      </c>
      <c r="L87" s="1551">
        <v>0</v>
      </c>
      <c r="M87" s="1595">
        <v>0.28066172362567149</v>
      </c>
      <c r="N87" s="1552">
        <v>0</v>
      </c>
      <c r="O87" s="1551">
        <v>0</v>
      </c>
      <c r="P87" s="1553">
        <v>1471.151110651796</v>
      </c>
      <c r="Q87" s="1553">
        <v>9622.6892076217082</v>
      </c>
      <c r="R87" s="1551">
        <v>7</v>
      </c>
      <c r="S87" s="1551">
        <v>412.89580642935397</v>
      </c>
      <c r="T87" s="1552">
        <v>2991.9985973141588</v>
      </c>
      <c r="U87" s="1595">
        <v>0.31093164631611803</v>
      </c>
    </row>
    <row r="88" spans="1:21">
      <c r="A88" t="s">
        <v>1365</v>
      </c>
      <c r="B88" t="s">
        <v>735</v>
      </c>
      <c r="C88" s="287">
        <v>99</v>
      </c>
      <c r="D88" s="1550">
        <v>0</v>
      </c>
      <c r="E88" s="1551">
        <v>0</v>
      </c>
      <c r="F88" s="1552">
        <v>0</v>
      </c>
      <c r="G88" s="1552">
        <v>0</v>
      </c>
      <c r="H88" s="1593">
        <v>0</v>
      </c>
      <c r="I88" s="1553">
        <v>1747.5136673928823</v>
      </c>
      <c r="J88" s="1594">
        <v>0.15393570674124443</v>
      </c>
      <c r="K88" s="1550">
        <v>0</v>
      </c>
      <c r="L88" s="1551">
        <v>0</v>
      </c>
      <c r="M88" s="1595">
        <v>0.23015757030298531</v>
      </c>
      <c r="N88" s="1552">
        <v>0</v>
      </c>
      <c r="O88" s="1551">
        <v>0</v>
      </c>
      <c r="P88" s="1553">
        <v>26631.47039158062</v>
      </c>
      <c r="Q88" s="1553">
        <v>178303.84341725084</v>
      </c>
      <c r="R88" s="1551">
        <v>99</v>
      </c>
      <c r="S88" s="1551">
        <v>6129.4345189220885</v>
      </c>
      <c r="T88" s="1552">
        <v>44416.19216610209</v>
      </c>
      <c r="U88" s="1595">
        <v>0.24910395263978274</v>
      </c>
    </row>
    <row r="89" spans="1:21">
      <c r="A89" t="s">
        <v>1167</v>
      </c>
      <c r="B89" t="s">
        <v>731</v>
      </c>
      <c r="C89" s="287">
        <v>203</v>
      </c>
      <c r="D89" s="1550">
        <v>13</v>
      </c>
      <c r="E89" s="1551">
        <v>2045.1538461538462</v>
      </c>
      <c r="F89" s="1552">
        <v>0.10373182972882006</v>
      </c>
      <c r="G89" s="1552">
        <v>2757.9181570001388</v>
      </c>
      <c r="H89" s="1593">
        <v>70</v>
      </c>
      <c r="I89" s="1553">
        <v>1823.7560000000001</v>
      </c>
      <c r="J89" s="1594">
        <v>0.18639737083591387</v>
      </c>
      <c r="K89" s="1550">
        <v>37</v>
      </c>
      <c r="L89" s="1551">
        <v>1507.5608108108108</v>
      </c>
      <c r="M89" s="1595">
        <v>0.25975283699941809</v>
      </c>
      <c r="N89" s="1552">
        <v>0.13163096512229563</v>
      </c>
      <c r="O89" s="1551">
        <v>7342.3423267803701</v>
      </c>
      <c r="P89" s="1553">
        <v>62111.588971052624</v>
      </c>
      <c r="Q89" s="1553">
        <v>419987.02152936684</v>
      </c>
      <c r="R89" s="1551">
        <v>153</v>
      </c>
      <c r="S89" s="1551">
        <v>13510.090130677583</v>
      </c>
      <c r="T89" s="1552">
        <v>97899.203845489727</v>
      </c>
      <c r="U89" s="1595">
        <v>0.23310054555732099</v>
      </c>
    </row>
    <row r="90" spans="1:21">
      <c r="A90" t="s">
        <v>148</v>
      </c>
      <c r="B90" t="s">
        <v>729</v>
      </c>
      <c r="C90" s="287">
        <v>49</v>
      </c>
      <c r="D90" s="1550">
        <v>4</v>
      </c>
      <c r="E90" s="1551">
        <v>1033</v>
      </c>
      <c r="F90" s="1552">
        <v>7.8774430846225985E-2</v>
      </c>
      <c r="G90" s="1552">
        <v>325.49594825660574</v>
      </c>
      <c r="H90" s="1593">
        <v>0</v>
      </c>
      <c r="I90" s="1553">
        <v>1243.0887425149701</v>
      </c>
      <c r="J90" s="1594">
        <v>0.15094699553265112</v>
      </c>
      <c r="K90" s="1550">
        <v>0</v>
      </c>
      <c r="L90" s="1551">
        <v>0</v>
      </c>
      <c r="M90" s="1595">
        <v>0.32612771454717537</v>
      </c>
      <c r="N90" s="1552">
        <v>0</v>
      </c>
      <c r="O90" s="1551">
        <v>0</v>
      </c>
      <c r="P90" s="1553">
        <v>8769.3189370959299</v>
      </c>
      <c r="Q90" s="1553">
        <v>56281.006790550215</v>
      </c>
      <c r="R90" s="1551">
        <v>45</v>
      </c>
      <c r="S90" s="1551">
        <v>2753.7646933910687</v>
      </c>
      <c r="T90" s="1552">
        <v>19954.816618775858</v>
      </c>
      <c r="U90" s="1595">
        <v>0.35455685242159429</v>
      </c>
    </row>
    <row r="91" spans="1:21">
      <c r="A91" t="s">
        <v>78</v>
      </c>
      <c r="B91" t="s">
        <v>732</v>
      </c>
      <c r="C91" s="287">
        <v>76</v>
      </c>
      <c r="D91" s="1550">
        <v>4</v>
      </c>
      <c r="E91" s="1551">
        <v>1267</v>
      </c>
      <c r="F91" s="1552">
        <v>6.9073401835045872E-2</v>
      </c>
      <c r="G91" s="1552">
        <v>350.06400050001247</v>
      </c>
      <c r="H91" s="1593">
        <v>47</v>
      </c>
      <c r="I91" s="1553">
        <v>762.97826086956525</v>
      </c>
      <c r="J91" s="1594">
        <v>0.19093860236211263</v>
      </c>
      <c r="K91" s="1550">
        <v>40</v>
      </c>
      <c r="L91" s="1551">
        <v>743.75</v>
      </c>
      <c r="M91" s="1595">
        <v>0.42368351738882931</v>
      </c>
      <c r="N91" s="1552">
        <v>0.1116677914704215</v>
      </c>
      <c r="O91" s="1551">
        <v>3322.11679624504</v>
      </c>
      <c r="P91" s="1553">
        <v>8334.004885164577</v>
      </c>
      <c r="Q91" s="1553">
        <v>49123.513660612873</v>
      </c>
      <c r="R91" s="1551">
        <v>32</v>
      </c>
      <c r="S91" s="1551">
        <v>1975.1380272295571</v>
      </c>
      <c r="T91" s="1552">
        <v>14312.59440021418</v>
      </c>
      <c r="U91" s="1595">
        <v>0.29135933758928134</v>
      </c>
    </row>
    <row r="92" spans="1:21">
      <c r="A92" t="s">
        <v>79</v>
      </c>
      <c r="B92" t="s">
        <v>736</v>
      </c>
      <c r="C92" s="287">
        <v>55</v>
      </c>
      <c r="D92" s="1550">
        <v>3</v>
      </c>
      <c r="E92" s="1551">
        <v>1107.3333333333333</v>
      </c>
      <c r="F92" s="1552">
        <v>7.7840623012214269E-2</v>
      </c>
      <c r="G92" s="1552">
        <v>258.5865496465758</v>
      </c>
      <c r="H92" s="1593">
        <v>0</v>
      </c>
      <c r="I92" s="1553">
        <v>1121.8146232876711</v>
      </c>
      <c r="J92" s="1594">
        <v>0.2465402206361047</v>
      </c>
      <c r="K92" s="1550">
        <v>0</v>
      </c>
      <c r="L92" s="1551">
        <v>0</v>
      </c>
      <c r="M92" s="1595">
        <v>0.32640460980310909</v>
      </c>
      <c r="N92" s="1552">
        <v>0</v>
      </c>
      <c r="O92" s="1551">
        <v>0</v>
      </c>
      <c r="P92" s="1553">
        <v>14640.352636030433</v>
      </c>
      <c r="Q92" s="1553">
        <v>97935.164029206033</v>
      </c>
      <c r="R92" s="1551">
        <v>52</v>
      </c>
      <c r="S92" s="1551">
        <v>4694.274747705711</v>
      </c>
      <c r="T92" s="1552">
        <v>34016.483679026889</v>
      </c>
      <c r="U92" s="1595">
        <v>0.34733677138563385</v>
      </c>
    </row>
    <row r="93" spans="1:21">
      <c r="A93" t="s">
        <v>1015</v>
      </c>
      <c r="B93" t="s">
        <v>731</v>
      </c>
      <c r="C93" s="287">
        <v>36</v>
      </c>
      <c r="D93" s="1550">
        <v>0</v>
      </c>
      <c r="E93" s="1551">
        <v>0</v>
      </c>
      <c r="F93" s="1552">
        <v>0</v>
      </c>
      <c r="G93" s="1552">
        <v>0</v>
      </c>
      <c r="H93" s="1593">
        <v>7</v>
      </c>
      <c r="I93" s="1553">
        <v>842.92857142857144</v>
      </c>
      <c r="J93" s="1594">
        <v>0.15431414630255985</v>
      </c>
      <c r="K93" s="1550">
        <v>6</v>
      </c>
      <c r="L93" s="1551">
        <v>752.41666666666663</v>
      </c>
      <c r="M93" s="1595">
        <v>0.29993685238767825</v>
      </c>
      <c r="N93" s="1552">
        <v>0.1382720816971936</v>
      </c>
      <c r="O93" s="1551">
        <v>624.22931282198044</v>
      </c>
      <c r="P93" s="1553">
        <v>4526.5033996430711</v>
      </c>
      <c r="Q93" s="1553">
        <v>27463.357968428048</v>
      </c>
      <c r="R93" s="1551">
        <v>30</v>
      </c>
      <c r="S93" s="1551">
        <v>1170.4358067551195</v>
      </c>
      <c r="T93" s="1552">
        <v>8481.4188895298503</v>
      </c>
      <c r="U93" s="1595">
        <v>0.3088267246590935</v>
      </c>
    </row>
    <row r="94" spans="1:21">
      <c r="A94" t="s">
        <v>8</v>
      </c>
      <c r="B94" t="s">
        <v>476</v>
      </c>
      <c r="C94" s="287">
        <v>212</v>
      </c>
      <c r="D94" s="1550">
        <v>11</v>
      </c>
      <c r="E94" s="1551">
        <v>1794.6363636363637</v>
      </c>
      <c r="F94" s="1552">
        <v>6.6079185000938664E-2</v>
      </c>
      <c r="G94" s="1552">
        <v>1304.4691911035302</v>
      </c>
      <c r="H94" s="1593">
        <v>27</v>
      </c>
      <c r="I94" s="1553">
        <v>1711.790370798054</v>
      </c>
      <c r="J94" s="1594">
        <v>0.15659928048889651</v>
      </c>
      <c r="K94" s="1550">
        <v>15</v>
      </c>
      <c r="L94" s="1551">
        <v>1151.5840000000001</v>
      </c>
      <c r="M94" s="1595">
        <v>0.41216615256016254</v>
      </c>
      <c r="N94" s="1552">
        <v>8.9851940358873686E-2</v>
      </c>
      <c r="O94" s="1551">
        <v>1552.080853293498</v>
      </c>
      <c r="P94" s="1553">
        <v>52716.666161549205</v>
      </c>
      <c r="Q94" s="1553">
        <v>350573.52290977683</v>
      </c>
      <c r="R94" s="1551">
        <v>186</v>
      </c>
      <c r="S94" s="1551">
        <v>20550.65222620956</v>
      </c>
      <c r="T94" s="1552">
        <v>148917.76975514172</v>
      </c>
      <c r="U94" s="1595">
        <v>0.42478327661232712</v>
      </c>
    </row>
    <row r="95" spans="1:21">
      <c r="A95" s="46" t="s">
        <v>18</v>
      </c>
      <c r="B95" t="s">
        <v>476</v>
      </c>
      <c r="C95" s="287">
        <v>782</v>
      </c>
      <c r="D95" s="1550">
        <v>30</v>
      </c>
      <c r="E95" s="1551">
        <v>2279.9</v>
      </c>
      <c r="F95" s="1552">
        <v>7.5812735911432019E-2</v>
      </c>
      <c r="G95" s="1552">
        <v>5185.3636981342161</v>
      </c>
      <c r="H95" s="1593">
        <v>231</v>
      </c>
      <c r="I95" s="1553">
        <v>1731.2233333333331</v>
      </c>
      <c r="J95" s="1594">
        <v>0.18410359872466298</v>
      </c>
      <c r="K95" s="1550">
        <v>147</v>
      </c>
      <c r="L95" s="1551">
        <v>1616.3775510204082</v>
      </c>
      <c r="M95" s="1595">
        <v>0.29333472031538516</v>
      </c>
      <c r="N95" s="1552">
        <v>0.12710161345836002</v>
      </c>
      <c r="O95" s="1551">
        <v>30200.296619807279</v>
      </c>
      <c r="P95" s="1553">
        <v>228213.95006491942</v>
      </c>
      <c r="Q95" s="1553">
        <v>1537784.2758327492</v>
      </c>
      <c r="R95" s="1551">
        <v>605</v>
      </c>
      <c r="S95" s="1551">
        <v>56563.23244182382</v>
      </c>
      <c r="T95" s="1552">
        <v>409878.49595524505</v>
      </c>
      <c r="U95" s="1595">
        <v>0.26653835807580062</v>
      </c>
    </row>
    <row r="96" spans="1:21">
      <c r="A96" t="s">
        <v>1016</v>
      </c>
      <c r="B96" t="s">
        <v>735</v>
      </c>
      <c r="C96" s="287">
        <v>34</v>
      </c>
      <c r="D96" s="1550">
        <v>1</v>
      </c>
      <c r="E96" s="1551">
        <v>1945</v>
      </c>
      <c r="F96" s="1552">
        <v>5.2966580976863749E-2</v>
      </c>
      <c r="G96" s="1552">
        <v>103.02</v>
      </c>
      <c r="H96" s="1593">
        <v>1</v>
      </c>
      <c r="I96" s="1553">
        <v>1747.5136673928823</v>
      </c>
      <c r="J96" s="1594">
        <v>0.15393570674124443</v>
      </c>
      <c r="K96" s="1550">
        <v>1</v>
      </c>
      <c r="L96" s="1551">
        <v>2529</v>
      </c>
      <c r="M96" s="1595">
        <v>0.23015757030298531</v>
      </c>
      <c r="N96" s="1552">
        <v>8.2277580071174389E-2</v>
      </c>
      <c r="O96" s="1551">
        <v>208.08000000000004</v>
      </c>
      <c r="P96" s="1553">
        <v>8919.2520457634346</v>
      </c>
      <c r="Q96" s="1553">
        <v>59591.391635966917</v>
      </c>
      <c r="R96" s="1551">
        <v>32</v>
      </c>
      <c r="S96" s="1551">
        <v>1981.2313596515844</v>
      </c>
      <c r="T96" s="1552">
        <v>14356.748982982494</v>
      </c>
      <c r="U96" s="1595">
        <v>0.24091984746195036</v>
      </c>
    </row>
    <row r="97" spans="1:21">
      <c r="A97" t="s">
        <v>1017</v>
      </c>
      <c r="B97" t="s">
        <v>735</v>
      </c>
      <c r="C97" s="287">
        <v>434</v>
      </c>
      <c r="D97" s="1550">
        <v>25</v>
      </c>
      <c r="E97" s="1551">
        <v>1729.64</v>
      </c>
      <c r="F97" s="1552">
        <v>9.0159773014734684E-2</v>
      </c>
      <c r="G97" s="1552">
        <v>3898.5987449301424</v>
      </c>
      <c r="H97" s="1593">
        <v>67</v>
      </c>
      <c r="I97" s="1553">
        <v>1795.936567164179</v>
      </c>
      <c r="J97" s="1594">
        <v>0.16069221967000324</v>
      </c>
      <c r="K97" s="1550">
        <v>31</v>
      </c>
      <c r="L97" s="1551">
        <v>1312.741935483871</v>
      </c>
      <c r="M97" s="1595">
        <v>0.17827552226796053</v>
      </c>
      <c r="N97" s="1552">
        <v>0.16436704362836754</v>
      </c>
      <c r="O97" s="1551">
        <v>6688.916840456417</v>
      </c>
      <c r="P97" s="1553">
        <v>119675.68219703065</v>
      </c>
      <c r="Q97" s="1553">
        <v>802869.87099297566</v>
      </c>
      <c r="R97" s="1551">
        <v>378</v>
      </c>
      <c r="S97" s="1551">
        <v>19447.749875945141</v>
      </c>
      <c r="T97" s="1552">
        <v>140925.72373873289</v>
      </c>
      <c r="U97" s="1595">
        <v>0.17552747815089684</v>
      </c>
    </row>
    <row r="98" spans="1:21">
      <c r="A98" t="s">
        <v>60</v>
      </c>
      <c r="B98" t="s">
        <v>736</v>
      </c>
      <c r="C98" s="287">
        <v>7</v>
      </c>
      <c r="D98" s="1550">
        <v>0</v>
      </c>
      <c r="E98" s="1551">
        <v>0</v>
      </c>
      <c r="F98" s="1552">
        <v>0</v>
      </c>
      <c r="G98" s="1552">
        <v>0</v>
      </c>
      <c r="H98" s="1593">
        <v>1</v>
      </c>
      <c r="I98" s="1553">
        <v>1121.8146232876711</v>
      </c>
      <c r="J98" s="1594">
        <v>0.2465402206361047</v>
      </c>
      <c r="K98" s="1550">
        <v>1</v>
      </c>
      <c r="L98" s="1551">
        <v>672</v>
      </c>
      <c r="M98" s="1595">
        <v>0.32640460980310909</v>
      </c>
      <c r="N98" s="1552">
        <v>0.5954315476190476</v>
      </c>
      <c r="O98" s="1551">
        <v>400.13</v>
      </c>
      <c r="P98" s="1553">
        <v>2059.5645484289066</v>
      </c>
      <c r="Q98" s="1553">
        <v>13886.554698760192</v>
      </c>
      <c r="R98" s="1551">
        <v>6</v>
      </c>
      <c r="S98" s="1551">
        <v>541.64708627373579</v>
      </c>
      <c r="T98" s="1552">
        <v>3924.9788860415633</v>
      </c>
      <c r="U98" s="1595">
        <v>0.2826459817561508</v>
      </c>
    </row>
    <row r="99" spans="1:21">
      <c r="A99" t="s">
        <v>1375</v>
      </c>
      <c r="B99" t="s">
        <v>476</v>
      </c>
      <c r="C99" s="287">
        <v>1</v>
      </c>
      <c r="D99" s="1550">
        <v>0</v>
      </c>
      <c r="E99" s="1551">
        <v>0</v>
      </c>
      <c r="F99" s="1552">
        <v>0</v>
      </c>
      <c r="G99" s="1552">
        <v>0</v>
      </c>
      <c r="H99" s="1593">
        <v>0</v>
      </c>
      <c r="I99" s="1553">
        <v>1711.790370798054</v>
      </c>
      <c r="J99" s="1594">
        <v>0.12277463874320498</v>
      </c>
      <c r="K99" s="1550">
        <v>0</v>
      </c>
      <c r="L99" s="1551">
        <v>0</v>
      </c>
      <c r="M99" s="1595">
        <v>0.28066172362567149</v>
      </c>
      <c r="N99" s="1552">
        <v>0</v>
      </c>
      <c r="O99" s="1551">
        <v>0</v>
      </c>
      <c r="P99" s="1553">
        <v>210.16444437882797</v>
      </c>
      <c r="Q99" s="1553">
        <v>1374.669886803101</v>
      </c>
      <c r="R99" s="1551">
        <v>1</v>
      </c>
      <c r="S99" s="1551">
        <v>58.98511520419342</v>
      </c>
      <c r="T99" s="1552">
        <v>427.42837104487984</v>
      </c>
      <c r="U99" s="1595">
        <v>0.31093164631611803</v>
      </c>
    </row>
    <row r="100" spans="1:21">
      <c r="A100" t="s">
        <v>61</v>
      </c>
      <c r="B100" t="s">
        <v>476</v>
      </c>
      <c r="C100" s="287">
        <v>44</v>
      </c>
      <c r="D100" s="1550">
        <v>4</v>
      </c>
      <c r="E100" s="1551">
        <v>1174.25</v>
      </c>
      <c r="F100" s="1552">
        <v>0.13159309939573097</v>
      </c>
      <c r="G100" s="1552">
        <v>618.09278786174832</v>
      </c>
      <c r="H100" s="1593">
        <v>9</v>
      </c>
      <c r="I100" s="1553">
        <v>812.66666666666663</v>
      </c>
      <c r="J100" s="1594">
        <v>0.12277463874320498</v>
      </c>
      <c r="K100" s="1550">
        <v>9</v>
      </c>
      <c r="L100" s="1551">
        <v>894.33333333333337</v>
      </c>
      <c r="M100" s="1595">
        <v>0.28066172362567149</v>
      </c>
      <c r="N100" s="1552">
        <v>0.13887339374281485</v>
      </c>
      <c r="O100" s="1551">
        <v>1117.7919462359168</v>
      </c>
      <c r="P100" s="1553">
        <v>4828.9052830756464</v>
      </c>
      <c r="Q100" s="1553">
        <v>28468.589007794537</v>
      </c>
      <c r="R100" s="1551">
        <v>31</v>
      </c>
      <c r="S100" s="1551">
        <v>868.09247848578093</v>
      </c>
      <c r="T100" s="1552">
        <v>6290.5252064187016</v>
      </c>
      <c r="U100" s="1595">
        <v>0.22096371564802147</v>
      </c>
    </row>
    <row r="101" spans="1:21">
      <c r="A101" t="s">
        <v>80</v>
      </c>
      <c r="B101" t="s">
        <v>736</v>
      </c>
      <c r="C101" s="287">
        <v>64</v>
      </c>
      <c r="D101" s="1550">
        <v>2</v>
      </c>
      <c r="E101" s="1551">
        <v>1053</v>
      </c>
      <c r="F101" s="1552">
        <v>7.3632478632478626E-2</v>
      </c>
      <c r="G101" s="1552">
        <v>155.07</v>
      </c>
      <c r="H101" s="1593">
        <v>5</v>
      </c>
      <c r="I101" s="1553">
        <v>1121.8146232876711</v>
      </c>
      <c r="J101" s="1594">
        <v>0.2465402206361047</v>
      </c>
      <c r="K101" s="1550">
        <v>0</v>
      </c>
      <c r="L101" s="1551">
        <v>0</v>
      </c>
      <c r="M101" s="1595">
        <v>0.32640460980310909</v>
      </c>
      <c r="N101" s="1552">
        <v>0</v>
      </c>
      <c r="O101" s="1551">
        <v>0</v>
      </c>
      <c r="P101" s="1553">
        <v>17302.56033376537</v>
      </c>
      <c r="Q101" s="1553">
        <v>115892.17633163311</v>
      </c>
      <c r="R101" s="1551">
        <v>62</v>
      </c>
      <c r="S101" s="1551">
        <v>5597.0198914952707</v>
      </c>
      <c r="T101" s="1552">
        <v>40558.115155762825</v>
      </c>
      <c r="U101" s="1595">
        <v>0.34996422053291248</v>
      </c>
    </row>
    <row r="102" spans="1:21">
      <c r="A102" t="s">
        <v>14</v>
      </c>
      <c r="B102" t="s">
        <v>476</v>
      </c>
      <c r="C102" s="287">
        <v>305</v>
      </c>
      <c r="D102" s="1550">
        <v>2</v>
      </c>
      <c r="E102" s="1551">
        <v>2421.5</v>
      </c>
      <c r="F102" s="1552">
        <v>5.5285252516005898E-2</v>
      </c>
      <c r="G102" s="1552">
        <v>267.74647793501657</v>
      </c>
      <c r="H102" s="1593">
        <v>76</v>
      </c>
      <c r="I102" s="1553">
        <v>1330.0657894736842</v>
      </c>
      <c r="J102" s="1594">
        <v>0.17028311825014869</v>
      </c>
      <c r="K102" s="1550">
        <v>53</v>
      </c>
      <c r="L102" s="1551">
        <v>1294.8113207547169</v>
      </c>
      <c r="M102" s="1595">
        <v>0.34130357939308087</v>
      </c>
      <c r="N102" s="1552">
        <v>0.1089581927979112</v>
      </c>
      <c r="O102" s="1551">
        <v>7477.2559807566558</v>
      </c>
      <c r="P102" s="1553">
        <v>64366.939986047859</v>
      </c>
      <c r="Q102" s="1553">
        <v>421207.53613078152</v>
      </c>
      <c r="R102" s="1551">
        <v>250</v>
      </c>
      <c r="S102" s="1551">
        <v>19325.26995025808</v>
      </c>
      <c r="T102" s="1552">
        <v>140038.18804534839</v>
      </c>
      <c r="U102" s="1595">
        <v>0.33246838205161572</v>
      </c>
    </row>
    <row r="103" spans="1:21">
      <c r="A103" t="s">
        <v>19</v>
      </c>
      <c r="B103" t="s">
        <v>732</v>
      </c>
      <c r="C103" s="287">
        <v>256</v>
      </c>
      <c r="D103" s="1550">
        <v>8</v>
      </c>
      <c r="E103" s="1551">
        <v>7177.6875</v>
      </c>
      <c r="F103" s="1552">
        <v>7.5118255073053281E-2</v>
      </c>
      <c r="G103" s="1552">
        <v>4313.4028836773286</v>
      </c>
      <c r="H103" s="1593">
        <v>96</v>
      </c>
      <c r="I103" s="1553">
        <v>738.45833333333337</v>
      </c>
      <c r="J103" s="1594">
        <v>0.15044840356979952</v>
      </c>
      <c r="K103" s="1550">
        <v>37</v>
      </c>
      <c r="L103" s="1551">
        <v>796</v>
      </c>
      <c r="M103" s="1595">
        <v>0.26523784367087622</v>
      </c>
      <c r="N103" s="1552">
        <v>0.10186327719486196</v>
      </c>
      <c r="O103" s="1551">
        <v>3000.0772399430748</v>
      </c>
      <c r="P103" s="1553">
        <v>30755.554245064344</v>
      </c>
      <c r="Q103" s="1553">
        <v>184911.55250046626</v>
      </c>
      <c r="R103" s="1551">
        <v>211</v>
      </c>
      <c r="S103" s="1551">
        <v>6217.725191144641</v>
      </c>
      <c r="T103" s="1552">
        <v>45055.979645975654</v>
      </c>
      <c r="U103" s="1595">
        <v>0.24366232956625056</v>
      </c>
    </row>
    <row r="104" spans="1:21">
      <c r="A104" t="s">
        <v>1019</v>
      </c>
      <c r="B104" t="s">
        <v>735</v>
      </c>
      <c r="C104" s="287">
        <v>97</v>
      </c>
      <c r="D104" s="1550">
        <v>0</v>
      </c>
      <c r="E104" s="1551">
        <v>0</v>
      </c>
      <c r="F104" s="1552">
        <v>0</v>
      </c>
      <c r="G104" s="1552">
        <v>0</v>
      </c>
      <c r="H104" s="1593">
        <v>4</v>
      </c>
      <c r="I104" s="1553">
        <v>1747.5136673928823</v>
      </c>
      <c r="J104" s="1594">
        <v>0.15393570674124443</v>
      </c>
      <c r="K104" s="1550">
        <v>3</v>
      </c>
      <c r="L104" s="1551">
        <v>1018.0833333333334</v>
      </c>
      <c r="M104" s="1595">
        <v>0.23015757030298531</v>
      </c>
      <c r="N104" s="1552">
        <v>0.19071220580934903</v>
      </c>
      <c r="O104" s="1551">
        <v>582.48275459320428</v>
      </c>
      <c r="P104" s="1553">
        <v>25868.929389023291</v>
      </c>
      <c r="Q104" s="1553">
        <v>173074.70571756008</v>
      </c>
      <c r="R104" s="1551">
        <v>94</v>
      </c>
      <c r="S104" s="1551">
        <v>5819.8671189765282</v>
      </c>
      <c r="T104" s="1552">
        <v>42172.95013751107</v>
      </c>
      <c r="U104" s="1595">
        <v>0.24366905587193624</v>
      </c>
    </row>
    <row r="105" spans="1:21">
      <c r="A105" t="s">
        <v>1020</v>
      </c>
      <c r="B105" t="s">
        <v>735</v>
      </c>
      <c r="C105" s="287">
        <v>731</v>
      </c>
      <c r="D105" s="1550">
        <v>0</v>
      </c>
      <c r="E105" s="1551">
        <v>0</v>
      </c>
      <c r="F105" s="1552">
        <v>0</v>
      </c>
      <c r="G105" s="1552">
        <v>0</v>
      </c>
      <c r="H105" s="1593">
        <v>27</v>
      </c>
      <c r="I105" s="1553">
        <v>1747.5136673928823</v>
      </c>
      <c r="J105" s="1594">
        <v>0.14554987946868234</v>
      </c>
      <c r="K105" s="1550">
        <v>20</v>
      </c>
      <c r="L105" s="1551">
        <v>1495.8</v>
      </c>
      <c r="M105" s="1595">
        <v>0.17039026083181014</v>
      </c>
      <c r="N105" s="1552">
        <v>0.11770495113893091</v>
      </c>
      <c r="O105" s="1551">
        <v>3521.2613182722571</v>
      </c>
      <c r="P105" s="1553">
        <v>184364.39831975661</v>
      </c>
      <c r="Q105" s="1553">
        <v>1227595.2052156276</v>
      </c>
      <c r="R105" s="1551">
        <v>711</v>
      </c>
      <c r="S105" s="1551">
        <v>30813.909283325691</v>
      </c>
      <c r="T105" s="1552">
        <v>223289.19770525862</v>
      </c>
      <c r="U105" s="1595">
        <v>0.18189155248943628</v>
      </c>
    </row>
    <row r="106" spans="1:21">
      <c r="A106" t="s">
        <v>152</v>
      </c>
      <c r="B106" t="s">
        <v>736</v>
      </c>
      <c r="C106" s="287">
        <v>31</v>
      </c>
      <c r="D106" s="1550">
        <v>5</v>
      </c>
      <c r="E106" s="1551">
        <v>997.8</v>
      </c>
      <c r="F106" s="1552">
        <v>9.2117063843774522E-2</v>
      </c>
      <c r="G106" s="1552">
        <v>459.5720315165911</v>
      </c>
      <c r="H106" s="1593">
        <v>25</v>
      </c>
      <c r="I106" s="1553">
        <v>778.76</v>
      </c>
      <c r="J106" s="1594">
        <v>0.18646470135650958</v>
      </c>
      <c r="K106" s="1550">
        <v>19</v>
      </c>
      <c r="L106" s="1551">
        <v>736.47368421052636</v>
      </c>
      <c r="M106" s="1595">
        <v>0.19117411805421924</v>
      </c>
      <c r="N106" s="1552">
        <v>0.14599405877872917</v>
      </c>
      <c r="O106" s="1551">
        <v>2042.8948644907575</v>
      </c>
      <c r="P106" s="1553">
        <v>3518.9456518061165</v>
      </c>
      <c r="Q106" s="1553">
        <v>20903.519215986351</v>
      </c>
      <c r="R106" s="1551">
        <v>7</v>
      </c>
      <c r="S106" s="1551">
        <v>194.32442966067953</v>
      </c>
      <c r="T106" s="1552">
        <v>1408.1480410194167</v>
      </c>
      <c r="U106" s="1595">
        <v>6.7364161339039483E-2</v>
      </c>
    </row>
    <row r="107" spans="1:21">
      <c r="A107" t="s">
        <v>81</v>
      </c>
      <c r="B107" t="s">
        <v>736</v>
      </c>
      <c r="C107" s="287">
        <v>91</v>
      </c>
      <c r="D107" s="1550">
        <v>7</v>
      </c>
      <c r="E107" s="1551">
        <v>1389</v>
      </c>
      <c r="F107" s="1552">
        <v>7.3990816467295981E-2</v>
      </c>
      <c r="G107" s="1552">
        <v>719.41270851151876</v>
      </c>
      <c r="H107" s="1593">
        <v>22</v>
      </c>
      <c r="I107" s="1553">
        <v>886.63636363636363</v>
      </c>
      <c r="J107" s="1594">
        <v>0.16569441603062224</v>
      </c>
      <c r="K107" s="1550">
        <v>18</v>
      </c>
      <c r="L107" s="1551">
        <v>887.44444444444446</v>
      </c>
      <c r="M107" s="1595">
        <v>0.12788002121589409</v>
      </c>
      <c r="N107" s="1552">
        <v>0.1230969450680317</v>
      </c>
      <c r="O107" s="1551">
        <v>1966.3506005167385</v>
      </c>
      <c r="P107" s="1553">
        <v>12381.86914630821</v>
      </c>
      <c r="Q107" s="1553">
        <v>76231.950335566726</v>
      </c>
      <c r="R107" s="1551">
        <v>66</v>
      </c>
      <c r="S107" s="1551">
        <v>1239.9382201829148</v>
      </c>
      <c r="T107" s="1552">
        <v>8985.0595665428609</v>
      </c>
      <c r="U107" s="1595">
        <v>0.11786474735319474</v>
      </c>
    </row>
    <row r="108" spans="1:21">
      <c r="A108" t="s">
        <v>37</v>
      </c>
      <c r="B108" t="s">
        <v>476</v>
      </c>
      <c r="C108" s="287">
        <v>128</v>
      </c>
      <c r="D108" s="1550">
        <v>0</v>
      </c>
      <c r="E108" s="1551">
        <v>0</v>
      </c>
      <c r="F108" s="1552">
        <v>0</v>
      </c>
      <c r="G108" s="1552">
        <v>0</v>
      </c>
      <c r="H108" s="1593">
        <v>59</v>
      </c>
      <c r="I108" s="1553">
        <v>1170.542372881356</v>
      </c>
      <c r="J108" s="1594">
        <v>0.11892963417595195</v>
      </c>
      <c r="K108" s="1550">
        <v>40</v>
      </c>
      <c r="L108" s="1551">
        <v>1174.425</v>
      </c>
      <c r="M108" s="1595">
        <v>0.26300625379683706</v>
      </c>
      <c r="N108" s="1552">
        <v>7.6511462997123747E-2</v>
      </c>
      <c r="O108" s="1551">
        <v>3594.2789972158826</v>
      </c>
      <c r="P108" s="1553">
        <v>15844.950502308158</v>
      </c>
      <c r="Q108" s="1553">
        <v>95841.090596435926</v>
      </c>
      <c r="R108" s="1551">
        <v>88</v>
      </c>
      <c r="S108" s="1551">
        <v>3222.0032190499792</v>
      </c>
      <c r="T108" s="1552">
        <v>23347.849413405645</v>
      </c>
      <c r="U108" s="1595">
        <v>0.24361001391060849</v>
      </c>
    </row>
    <row r="109" spans="1:21">
      <c r="A109" t="s">
        <v>1021</v>
      </c>
      <c r="B109" t="s">
        <v>476</v>
      </c>
      <c r="C109" s="287">
        <v>48</v>
      </c>
      <c r="D109" s="1550">
        <v>0</v>
      </c>
      <c r="E109" s="1551">
        <v>0</v>
      </c>
      <c r="F109" s="1552">
        <v>0</v>
      </c>
      <c r="G109" s="1552">
        <v>0</v>
      </c>
      <c r="H109" s="1593">
        <v>0</v>
      </c>
      <c r="I109" s="1553">
        <v>1711.790370798054</v>
      </c>
      <c r="J109" s="1594">
        <v>0.12277463874320498</v>
      </c>
      <c r="K109" s="1550">
        <v>0</v>
      </c>
      <c r="L109" s="1551">
        <v>0</v>
      </c>
      <c r="M109" s="1595">
        <v>0.28066172362567149</v>
      </c>
      <c r="N109" s="1552">
        <v>0</v>
      </c>
      <c r="O109" s="1551">
        <v>0</v>
      </c>
      <c r="P109" s="1553">
        <v>10087.893330183742</v>
      </c>
      <c r="Q109" s="1553">
        <v>65984.154566548852</v>
      </c>
      <c r="R109" s="1551">
        <v>48</v>
      </c>
      <c r="S109" s="1551">
        <v>2831.2855298012842</v>
      </c>
      <c r="T109" s="1552">
        <v>20516.561810154231</v>
      </c>
      <c r="U109" s="1595">
        <v>0.31093164631611803</v>
      </c>
    </row>
    <row r="110" spans="1:21">
      <c r="A110" t="s">
        <v>154</v>
      </c>
      <c r="B110" t="s">
        <v>730</v>
      </c>
      <c r="C110" s="287">
        <v>16</v>
      </c>
      <c r="D110" s="1550">
        <v>3</v>
      </c>
      <c r="E110" s="1551">
        <v>1493.3333333333333</v>
      </c>
      <c r="F110" s="1552">
        <v>8.904530519117497E-2</v>
      </c>
      <c r="G110" s="1552">
        <v>398.92296725646383</v>
      </c>
      <c r="H110" s="1593">
        <v>18</v>
      </c>
      <c r="I110" s="1553">
        <v>1166</v>
      </c>
      <c r="J110" s="1594">
        <v>9.271879022324564E-2</v>
      </c>
      <c r="K110" s="1550">
        <v>0</v>
      </c>
      <c r="L110" s="1551">
        <v>0</v>
      </c>
      <c r="M110" s="1595">
        <v>0.2334826600798878</v>
      </c>
      <c r="N110" s="1552">
        <v>0</v>
      </c>
      <c r="O110" s="1551">
        <v>0</v>
      </c>
      <c r="P110" s="1553">
        <v>1804.3543894604211</v>
      </c>
      <c r="Q110" s="1553">
        <v>10702.857894640732</v>
      </c>
      <c r="R110" s="1551">
        <v>13</v>
      </c>
      <c r="S110" s="1551">
        <v>328.14386701603991</v>
      </c>
      <c r="T110" s="1552">
        <v>2377.8541088118832</v>
      </c>
      <c r="U110" s="1595">
        <v>0.22217001591720206</v>
      </c>
    </row>
    <row r="111" spans="1:21">
      <c r="A111" t="s">
        <v>1022</v>
      </c>
      <c r="B111" t="s">
        <v>730</v>
      </c>
      <c r="C111" s="287">
        <v>39</v>
      </c>
      <c r="D111" s="1550">
        <v>0</v>
      </c>
      <c r="E111" s="1551">
        <v>0</v>
      </c>
      <c r="F111" s="1552">
        <v>0</v>
      </c>
      <c r="G111" s="1552">
        <v>0</v>
      </c>
      <c r="H111" s="1593">
        <v>25</v>
      </c>
      <c r="I111" s="1553">
        <v>1296.8399999999999</v>
      </c>
      <c r="J111" s="1594">
        <v>0.16433004591209938</v>
      </c>
      <c r="K111" s="1550">
        <v>18</v>
      </c>
      <c r="L111" s="1551">
        <v>1130.3888888888889</v>
      </c>
      <c r="M111" s="1595">
        <v>0.32349544732349611</v>
      </c>
      <c r="N111" s="1552">
        <v>0.12293324435805013</v>
      </c>
      <c r="O111" s="1551">
        <v>2501.3227229532458</v>
      </c>
      <c r="P111" s="1553">
        <v>6976.6280345068317</v>
      </c>
      <c r="Q111" s="1553">
        <v>44773.101699324863</v>
      </c>
      <c r="R111" s="1551">
        <v>21</v>
      </c>
      <c r="S111" s="1551">
        <v>1447.7408936702454</v>
      </c>
      <c r="T111" s="1552">
        <v>10490.876041088733</v>
      </c>
      <c r="U111" s="1595">
        <v>0.23431202313256144</v>
      </c>
    </row>
    <row r="112" spans="1:21">
      <c r="A112" t="s">
        <v>1024</v>
      </c>
      <c r="B112" t="s">
        <v>730</v>
      </c>
      <c r="C112" s="287">
        <v>2</v>
      </c>
      <c r="D112" s="1550">
        <v>0</v>
      </c>
      <c r="E112" s="1551">
        <v>0</v>
      </c>
      <c r="F112" s="1552">
        <v>0</v>
      </c>
      <c r="G112" s="1552">
        <v>0</v>
      </c>
      <c r="H112" s="1593">
        <v>0</v>
      </c>
      <c r="I112" s="1553">
        <v>1253.7457405614716</v>
      </c>
      <c r="J112" s="1594">
        <v>0.13649699485343733</v>
      </c>
      <c r="K112" s="1550">
        <v>0</v>
      </c>
      <c r="L112" s="1551">
        <v>0</v>
      </c>
      <c r="M112" s="1595">
        <v>0.2334826600798878</v>
      </c>
      <c r="N112" s="1552">
        <v>0</v>
      </c>
      <c r="O112" s="1551">
        <v>0</v>
      </c>
      <c r="P112" s="1553">
        <v>342.26505179387635</v>
      </c>
      <c r="Q112" s="1553">
        <v>2183.6597956077994</v>
      </c>
      <c r="R112" s="1551">
        <v>2</v>
      </c>
      <c r="S112" s="1551">
        <v>79.912954745214819</v>
      </c>
      <c r="T112" s="1552">
        <v>579.0793822117015</v>
      </c>
      <c r="U112" s="1595">
        <v>0.2651875458697634</v>
      </c>
    </row>
    <row r="113" spans="1:21">
      <c r="A113" t="s">
        <v>294</v>
      </c>
      <c r="B113" t="s">
        <v>476</v>
      </c>
      <c r="C113" s="287">
        <v>12187</v>
      </c>
      <c r="D113" s="1550">
        <v>692</v>
      </c>
      <c r="E113" s="1551">
        <v>1949.9012879884226</v>
      </c>
      <c r="F113" s="1552">
        <v>7.6215832412185783E-2</v>
      </c>
      <c r="G113" s="1552">
        <v>102840.43805165653</v>
      </c>
      <c r="H113" s="1593">
        <v>2858</v>
      </c>
      <c r="I113" s="1553">
        <v>1728.0521536303031</v>
      </c>
      <c r="J113" s="1594">
        <v>0.13053505223988413</v>
      </c>
      <c r="K113" s="1550">
        <v>1447</v>
      </c>
      <c r="L113" s="1551">
        <v>1698.8304781704771</v>
      </c>
      <c r="M113" s="1595">
        <v>0.27554921265470711</v>
      </c>
      <c r="N113" s="1552">
        <v>9.0704756525884778E-2</v>
      </c>
      <c r="O113" s="1551">
        <v>222971.13109204441</v>
      </c>
      <c r="P113" s="1553">
        <v>2592352.776768534</v>
      </c>
      <c r="Q113" s="1553">
        <v>16978309.831656042</v>
      </c>
      <c r="R113" s="1551">
        <v>10048</v>
      </c>
      <c r="S113" s="1551">
        <v>624543.6452104717</v>
      </c>
      <c r="T113" s="1552">
        <v>4525678.5884816786</v>
      </c>
      <c r="U113" s="1595">
        <v>0.26655648491250616</v>
      </c>
    </row>
    <row r="114" spans="1:21">
      <c r="A114" t="s">
        <v>15</v>
      </c>
      <c r="B114" t="s">
        <v>476</v>
      </c>
      <c r="C114" s="287">
        <v>213</v>
      </c>
      <c r="D114" s="1550">
        <v>2</v>
      </c>
      <c r="E114" s="1551">
        <v>2315</v>
      </c>
      <c r="F114" s="1552">
        <v>6.9209173316962025E-2</v>
      </c>
      <c r="G114" s="1552">
        <v>320.4384724575342</v>
      </c>
      <c r="H114" s="1593">
        <v>67</v>
      </c>
      <c r="I114" s="1553">
        <v>1122.3880597014925</v>
      </c>
      <c r="J114" s="1594">
        <v>0.19875977143545867</v>
      </c>
      <c r="K114" s="1550">
        <v>63</v>
      </c>
      <c r="L114" s="1551">
        <v>1104.8888888888889</v>
      </c>
      <c r="M114" s="1595">
        <v>0.38609396407992957</v>
      </c>
      <c r="N114" s="1552">
        <v>9.834235970638433E-2</v>
      </c>
      <c r="O114" s="1551">
        <v>6845.4149744420001</v>
      </c>
      <c r="P114" s="1553">
        <v>40182.521389706708</v>
      </c>
      <c r="Q114" s="1553">
        <v>259598.1260123674</v>
      </c>
      <c r="R114" s="1551">
        <v>148</v>
      </c>
      <c r="S114" s="1551">
        <v>12747.536206749155</v>
      </c>
      <c r="T114" s="1552">
        <v>92373.450773544595</v>
      </c>
      <c r="U114" s="1595">
        <v>0.35583250230837132</v>
      </c>
    </row>
    <row r="115" spans="1:21">
      <c r="A115" t="s">
        <v>208</v>
      </c>
      <c r="B115" t="s">
        <v>733</v>
      </c>
      <c r="C115" s="287">
        <v>72</v>
      </c>
      <c r="D115" s="1550">
        <v>9</v>
      </c>
      <c r="E115" s="1551">
        <v>914.88888888888891</v>
      </c>
      <c r="F115" s="1552">
        <v>8.4727734423386603E-2</v>
      </c>
      <c r="G115" s="1552">
        <v>697.64816524216531</v>
      </c>
      <c r="H115" s="1593">
        <v>24</v>
      </c>
      <c r="I115" s="1553">
        <v>1265.7112500000001</v>
      </c>
      <c r="J115" s="1594">
        <v>0.1865551677149796</v>
      </c>
      <c r="K115" s="1550">
        <v>14</v>
      </c>
      <c r="L115" s="1551">
        <v>1277.9335714285714</v>
      </c>
      <c r="M115" s="1595">
        <v>0.27410172562967478</v>
      </c>
      <c r="N115" s="1552">
        <v>0.12587229311354117</v>
      </c>
      <c r="O115" s="1551">
        <v>2251.9900071548832</v>
      </c>
      <c r="P115" s="1553">
        <v>14519.761923998885</v>
      </c>
      <c r="Q115" s="1553">
        <v>94540.883507238294</v>
      </c>
      <c r="R115" s="1551">
        <v>49</v>
      </c>
      <c r="S115" s="1551">
        <v>3171.3908860629504</v>
      </c>
      <c r="T115" s="1552">
        <v>22981.093377267753</v>
      </c>
      <c r="U115" s="1595">
        <v>0.24308100923880471</v>
      </c>
    </row>
    <row r="116" spans="1:21">
      <c r="A116" t="s">
        <v>82</v>
      </c>
      <c r="B116" t="s">
        <v>736</v>
      </c>
      <c r="C116" s="287">
        <v>70</v>
      </c>
      <c r="D116" s="1550">
        <v>6</v>
      </c>
      <c r="E116" s="1551">
        <v>1264</v>
      </c>
      <c r="F116" s="1552">
        <v>6.936884686229676E-2</v>
      </c>
      <c r="G116" s="1552">
        <v>526.0933346036586</v>
      </c>
      <c r="H116" s="1593">
        <v>7</v>
      </c>
      <c r="I116" s="1553">
        <v>1121.8146232876711</v>
      </c>
      <c r="J116" s="1594">
        <v>0.2465402206361047</v>
      </c>
      <c r="K116" s="1550">
        <v>1</v>
      </c>
      <c r="L116" s="1551">
        <v>480</v>
      </c>
      <c r="M116" s="1595">
        <v>0.32640460980310909</v>
      </c>
      <c r="N116" s="1552">
        <v>0.31987499999999996</v>
      </c>
      <c r="O116" s="1551">
        <v>153.54</v>
      </c>
      <c r="P116" s="1553">
        <v>18103.696093107181</v>
      </c>
      <c r="Q116" s="1553">
        <v>120807.9427036752</v>
      </c>
      <c r="R116" s="1551">
        <v>63</v>
      </c>
      <c r="S116" s="1551">
        <v>5687.294405874225</v>
      </c>
      <c r="T116" s="1552">
        <v>41212.278303436411</v>
      </c>
      <c r="U116" s="1595">
        <v>0.34113881406394198</v>
      </c>
    </row>
    <row r="117" spans="1:21">
      <c r="A117" t="s">
        <v>112</v>
      </c>
      <c r="B117" t="s">
        <v>549</v>
      </c>
      <c r="C117" s="287">
        <v>12</v>
      </c>
      <c r="D117" s="1550">
        <v>0</v>
      </c>
      <c r="E117" s="1551">
        <v>0</v>
      </c>
      <c r="F117" s="1552">
        <v>0</v>
      </c>
      <c r="G117" s="1552">
        <v>0</v>
      </c>
      <c r="H117" s="1593">
        <v>2</v>
      </c>
      <c r="I117" s="1553">
        <v>1120</v>
      </c>
      <c r="J117" s="1594">
        <v>0.1060456189069323</v>
      </c>
      <c r="K117" s="1550">
        <v>2</v>
      </c>
      <c r="L117" s="1551">
        <v>1120</v>
      </c>
      <c r="M117" s="1595">
        <v>0.25858399409042854</v>
      </c>
      <c r="N117" s="1552">
        <v>7.5981856108851345E-2</v>
      </c>
      <c r="O117" s="1551">
        <v>170.199357683827</v>
      </c>
      <c r="P117" s="1553">
        <v>1357.9102894414686</v>
      </c>
      <c r="Q117" s="1553">
        <v>8060.7991988512213</v>
      </c>
      <c r="R117" s="1551">
        <v>10</v>
      </c>
      <c r="S117" s="1551">
        <v>307.12303655875536</v>
      </c>
      <c r="T117" s="1552">
        <v>2225.5292504257632</v>
      </c>
      <c r="U117" s="1595">
        <v>0.27609287807875588</v>
      </c>
    </row>
    <row r="118" spans="1:21">
      <c r="A118" t="s">
        <v>1028</v>
      </c>
      <c r="B118" t="s">
        <v>476</v>
      </c>
      <c r="C118" s="287">
        <v>23</v>
      </c>
      <c r="D118" s="1550">
        <v>0</v>
      </c>
      <c r="E118" s="1551">
        <v>0</v>
      </c>
      <c r="F118" s="1552">
        <v>0</v>
      </c>
      <c r="G118" s="1552">
        <v>0</v>
      </c>
      <c r="H118" s="1593">
        <v>7</v>
      </c>
      <c r="I118" s="1553">
        <v>1085.7142857142858</v>
      </c>
      <c r="J118" s="1594">
        <v>0.12277463874320498</v>
      </c>
      <c r="K118" s="1550">
        <v>1</v>
      </c>
      <c r="L118" s="1551">
        <v>1200</v>
      </c>
      <c r="M118" s="1595">
        <v>0.28066172362567149</v>
      </c>
      <c r="N118" s="1552">
        <v>5.6625000000000002E-2</v>
      </c>
      <c r="O118" s="1551">
        <v>67.95</v>
      </c>
      <c r="P118" s="1553">
        <v>3000.5099425519816</v>
      </c>
      <c r="Q118" s="1553">
        <v>18332.825670666531</v>
      </c>
      <c r="R118" s="1551">
        <v>22</v>
      </c>
      <c r="S118" s="1551">
        <v>823.05732811223936</v>
      </c>
      <c r="T118" s="1552">
        <v>5964.1835370452127</v>
      </c>
      <c r="U118" s="1595">
        <v>0.32532811058080452</v>
      </c>
    </row>
    <row r="119" spans="1:21">
      <c r="A119" t="s">
        <v>83</v>
      </c>
      <c r="B119" t="s">
        <v>732</v>
      </c>
      <c r="C119" s="287">
        <v>113</v>
      </c>
      <c r="D119" s="1550">
        <v>0</v>
      </c>
      <c r="E119" s="1551">
        <v>0</v>
      </c>
      <c r="F119" s="1552">
        <v>0</v>
      </c>
      <c r="G119" s="1552">
        <v>0</v>
      </c>
      <c r="H119" s="1593">
        <v>0</v>
      </c>
      <c r="I119" s="1553">
        <v>1045.957275886032</v>
      </c>
      <c r="J119" s="1594">
        <v>0.16663814568985108</v>
      </c>
      <c r="K119" s="1550">
        <v>0</v>
      </c>
      <c r="L119" s="1551">
        <v>0</v>
      </c>
      <c r="M119" s="1595">
        <v>0.33369832036967961</v>
      </c>
      <c r="N119" s="1552">
        <v>0</v>
      </c>
      <c r="O119" s="1551">
        <v>0</v>
      </c>
      <c r="P119" s="1553">
        <v>19695.491044463568</v>
      </c>
      <c r="Q119" s="1553">
        <v>125967.47133669251</v>
      </c>
      <c r="R119" s="1551">
        <v>113</v>
      </c>
      <c r="S119" s="1551">
        <v>6572.3522803935593</v>
      </c>
      <c r="T119" s="1552">
        <v>47625.741162272163</v>
      </c>
      <c r="U119" s="1595">
        <v>0.37807967927668856</v>
      </c>
    </row>
    <row r="120" spans="1:21">
      <c r="A120" t="s">
        <v>1030</v>
      </c>
      <c r="B120" t="s">
        <v>731</v>
      </c>
      <c r="C120" s="287">
        <v>145</v>
      </c>
      <c r="D120" s="1550">
        <v>2</v>
      </c>
      <c r="E120" s="1551">
        <v>1830.28</v>
      </c>
      <c r="F120" s="1552">
        <v>6.453275000131535E-2</v>
      </c>
      <c r="G120" s="1552">
        <v>236.22600334481493</v>
      </c>
      <c r="H120" s="1593">
        <v>29</v>
      </c>
      <c r="I120" s="1553">
        <v>1404.1820689655171</v>
      </c>
      <c r="J120" s="1594">
        <v>0.2757675355577951</v>
      </c>
      <c r="K120" s="1550">
        <v>22</v>
      </c>
      <c r="L120" s="1551">
        <v>1236.5127272727273</v>
      </c>
      <c r="M120" s="1595">
        <v>0.38922310231673884</v>
      </c>
      <c r="N120" s="1552">
        <v>0.15125937328179886</v>
      </c>
      <c r="O120" s="1551">
        <v>4114.7510840092937</v>
      </c>
      <c r="P120" s="1553">
        <v>51205.544351955155</v>
      </c>
      <c r="Q120" s="1553">
        <v>349556.84313010983</v>
      </c>
      <c r="R120" s="1551">
        <v>121</v>
      </c>
      <c r="S120" s="1551">
        <v>18236.880028436335</v>
      </c>
      <c r="T120" s="1552">
        <v>132151.30455388647</v>
      </c>
      <c r="U120" s="1595">
        <v>0.37805383344962279</v>
      </c>
    </row>
    <row r="121" spans="1:21">
      <c r="A121" t="s">
        <v>296</v>
      </c>
      <c r="B121" t="s">
        <v>476</v>
      </c>
      <c r="C121" s="287">
        <v>3259</v>
      </c>
      <c r="D121" s="1550">
        <v>264</v>
      </c>
      <c r="E121" s="1551">
        <v>2043.6121673003802</v>
      </c>
      <c r="F121" s="1552">
        <v>7.7701100172386614E-2</v>
      </c>
      <c r="G121" s="1552">
        <v>41920.801223377552</v>
      </c>
      <c r="H121" s="1593">
        <v>1043</v>
      </c>
      <c r="I121" s="1553">
        <v>1719.1930134357008</v>
      </c>
      <c r="J121" s="1594">
        <v>0.12598141918314162</v>
      </c>
      <c r="K121" s="1550">
        <v>677</v>
      </c>
      <c r="L121" s="1551">
        <v>1615.7770562130179</v>
      </c>
      <c r="M121" s="1595">
        <v>0.28581201884366358</v>
      </c>
      <c r="N121" s="1552">
        <v>8.5933467858067714E-2</v>
      </c>
      <c r="O121" s="1551">
        <v>94000.993516423914</v>
      </c>
      <c r="P121" s="1553">
        <v>637969.0135715385</v>
      </c>
      <c r="Q121" s="1553">
        <v>4139781.69254738</v>
      </c>
      <c r="R121" s="1551">
        <v>2318</v>
      </c>
      <c r="S121" s="1551">
        <v>143491.12916914531</v>
      </c>
      <c r="T121" s="1552">
        <v>1039790.791080763</v>
      </c>
      <c r="U121" s="1595">
        <v>0.25117044044922487</v>
      </c>
    </row>
    <row r="122" spans="1:21">
      <c r="A122" t="s">
        <v>46</v>
      </c>
      <c r="B122" t="s">
        <v>734</v>
      </c>
      <c r="C122" s="287">
        <v>101</v>
      </c>
      <c r="D122" s="1550">
        <v>6</v>
      </c>
      <c r="E122" s="1551">
        <v>1213.1666666666667</v>
      </c>
      <c r="F122" s="1552">
        <v>7.4424087644289386E-2</v>
      </c>
      <c r="G122" s="1552">
        <v>541.73293396278245</v>
      </c>
      <c r="H122" s="1593">
        <v>29</v>
      </c>
      <c r="I122" s="1553">
        <v>855.20689655172418</v>
      </c>
      <c r="J122" s="1594">
        <v>0.21185872276800222</v>
      </c>
      <c r="K122" s="1550">
        <v>24</v>
      </c>
      <c r="L122" s="1551">
        <v>836.04166666666663</v>
      </c>
      <c r="M122" s="1595">
        <v>0.33576083570723186</v>
      </c>
      <c r="N122" s="1552">
        <v>0.12732610055932003</v>
      </c>
      <c r="O122" s="1551">
        <v>2554.7982077227566</v>
      </c>
      <c r="P122" s="1553">
        <v>15960.527038899843</v>
      </c>
      <c r="Q122" s="1553">
        <v>100681.64520941915</v>
      </c>
      <c r="R122" s="1551">
        <v>71</v>
      </c>
      <c r="S122" s="1551">
        <v>4319.2260129830775</v>
      </c>
      <c r="T122" s="1552">
        <v>31298.739224515051</v>
      </c>
      <c r="U122" s="1595">
        <v>0.3108683728738566</v>
      </c>
    </row>
    <row r="123" spans="1:21">
      <c r="A123" t="s">
        <v>162</v>
      </c>
      <c r="B123" t="s">
        <v>728</v>
      </c>
      <c r="C123" s="287">
        <v>181</v>
      </c>
      <c r="D123" s="1550">
        <v>4</v>
      </c>
      <c r="E123" s="1551">
        <v>3221.5</v>
      </c>
      <c r="F123" s="1552">
        <v>6.0170941250664758E-2</v>
      </c>
      <c r="G123" s="1552">
        <v>775.36274895606607</v>
      </c>
      <c r="H123" s="1593">
        <v>64</v>
      </c>
      <c r="I123" s="1553">
        <v>1311.0881249999998</v>
      </c>
      <c r="J123" s="1594">
        <v>0.13258585969891742</v>
      </c>
      <c r="K123" s="1550">
        <v>27</v>
      </c>
      <c r="L123" s="1551">
        <v>1220.3403703703705</v>
      </c>
      <c r="M123" s="1595">
        <v>0.30535905564970572</v>
      </c>
      <c r="N123" s="1552">
        <v>7.9309815037488685E-2</v>
      </c>
      <c r="O123" s="1551">
        <v>2613.1941645350721</v>
      </c>
      <c r="P123" s="1553">
        <v>29463.31884261614</v>
      </c>
      <c r="Q123" s="1553">
        <v>186667.0930624358</v>
      </c>
      <c r="R123" s="1551">
        <v>150</v>
      </c>
      <c r="S123" s="1551">
        <v>7962.1646789685092</v>
      </c>
      <c r="T123" s="1552">
        <v>57696.8454997718</v>
      </c>
      <c r="U123" s="1595">
        <v>0.30908953770696773</v>
      </c>
    </row>
    <row r="124" spans="1:21">
      <c r="A124" t="s">
        <v>1031</v>
      </c>
      <c r="B124" t="s">
        <v>730</v>
      </c>
      <c r="C124" s="287">
        <v>157</v>
      </c>
      <c r="D124" s="1550">
        <v>4</v>
      </c>
      <c r="E124" s="1551">
        <v>2071.25</v>
      </c>
      <c r="F124" s="1552">
        <v>0.10425751117520127</v>
      </c>
      <c r="G124" s="1552">
        <v>863.77348008654246</v>
      </c>
      <c r="H124" s="1593">
        <v>31</v>
      </c>
      <c r="I124" s="1553">
        <v>1563.2548387096776</v>
      </c>
      <c r="J124" s="1594">
        <v>0.15584186116008364</v>
      </c>
      <c r="K124" s="1550">
        <v>20</v>
      </c>
      <c r="L124" s="1551">
        <v>1447.4450000000002</v>
      </c>
      <c r="M124" s="1595">
        <v>0.24386760317001457</v>
      </c>
      <c r="N124" s="1552">
        <v>0.11914243325160319</v>
      </c>
      <c r="O124" s="1551">
        <v>3449.0423859573361</v>
      </c>
      <c r="P124" s="1553">
        <v>36714.348155802872</v>
      </c>
      <c r="Q124" s="1553">
        <v>242769.04460726716</v>
      </c>
      <c r="R124" s="1551">
        <v>133</v>
      </c>
      <c r="S124" s="1551">
        <v>7901.6840185393612</v>
      </c>
      <c r="T124" s="1552">
        <v>57258.579844488122</v>
      </c>
      <c r="U124" s="1595">
        <v>0.23585618148770404</v>
      </c>
    </row>
    <row r="125" spans="1:21">
      <c r="A125" t="s">
        <v>257</v>
      </c>
      <c r="B125" t="s">
        <v>732</v>
      </c>
      <c r="C125" s="287">
        <v>153</v>
      </c>
      <c r="D125" s="1550">
        <v>0</v>
      </c>
      <c r="E125" s="1551">
        <v>0</v>
      </c>
      <c r="F125" s="1552">
        <v>0</v>
      </c>
      <c r="G125" s="1552">
        <v>0</v>
      </c>
      <c r="H125" s="1593">
        <v>21</v>
      </c>
      <c r="I125" s="1553">
        <v>1045.957275886032</v>
      </c>
      <c r="J125" s="1594">
        <v>0.10233219724932099</v>
      </c>
      <c r="K125" s="1550">
        <v>17</v>
      </c>
      <c r="L125" s="1551">
        <v>991.05882352941171</v>
      </c>
      <c r="M125" s="1595">
        <v>0.32387803721224723</v>
      </c>
      <c r="N125" s="1552">
        <v>6.5241341812074471E-2</v>
      </c>
      <c r="O125" s="1551">
        <v>1099.1861268498308</v>
      </c>
      <c r="P125" s="1553">
        <v>15655.960579614966</v>
      </c>
      <c r="Q125" s="1553">
        <v>90765.076663876564</v>
      </c>
      <c r="R125" s="1551">
        <v>136</v>
      </c>
      <c r="S125" s="1551">
        <v>4714.6195379029568</v>
      </c>
      <c r="T125" s="1552">
        <v>34163.909694948961</v>
      </c>
      <c r="U125" s="1595">
        <v>0.37639928208803902</v>
      </c>
    </row>
    <row r="126" spans="1:21">
      <c r="A126" t="s">
        <v>84</v>
      </c>
      <c r="B126" t="s">
        <v>734</v>
      </c>
      <c r="C126" s="287">
        <v>85</v>
      </c>
      <c r="D126" s="1550">
        <v>0</v>
      </c>
      <c r="E126" s="1551">
        <v>0</v>
      </c>
      <c r="F126" s="1552">
        <v>0</v>
      </c>
      <c r="G126" s="1552">
        <v>0</v>
      </c>
      <c r="H126" s="1593">
        <v>50</v>
      </c>
      <c r="I126" s="1553">
        <v>752.16</v>
      </c>
      <c r="J126" s="1594">
        <v>0.19811753102618085</v>
      </c>
      <c r="K126" s="1550">
        <v>38</v>
      </c>
      <c r="L126" s="1551">
        <v>732.9473684210526</v>
      </c>
      <c r="M126" s="1595">
        <v>0.40273455036312361</v>
      </c>
      <c r="N126" s="1552">
        <v>0.1093479912778318</v>
      </c>
      <c r="O126" s="1551">
        <v>3045.5602530701713</v>
      </c>
      <c r="P126" s="1553">
        <v>10049.316113492825</v>
      </c>
      <c r="Q126" s="1553">
        <v>60218.957344150898</v>
      </c>
      <c r="R126" s="1551">
        <v>47</v>
      </c>
      <c r="S126" s="1551">
        <v>2820.6544673004087</v>
      </c>
      <c r="T126" s="1552">
        <v>20439.525125365279</v>
      </c>
      <c r="U126" s="1595">
        <v>0.33942010999216649</v>
      </c>
    </row>
    <row r="127" spans="1:21">
      <c r="A127" t="s">
        <v>62</v>
      </c>
      <c r="B127" t="s">
        <v>476</v>
      </c>
      <c r="C127" s="287">
        <v>297</v>
      </c>
      <c r="D127" s="1550">
        <v>12</v>
      </c>
      <c r="E127" s="1551">
        <v>1918</v>
      </c>
      <c r="F127" s="1552">
        <v>5.2807906453844332E-2</v>
      </c>
      <c r="G127" s="1552">
        <v>1215.4267749416811</v>
      </c>
      <c r="H127" s="1593">
        <v>101</v>
      </c>
      <c r="I127" s="1553">
        <v>1108.4329702970297</v>
      </c>
      <c r="J127" s="1594">
        <v>0.1454755020302399</v>
      </c>
      <c r="K127" s="1550">
        <v>87</v>
      </c>
      <c r="L127" s="1551">
        <v>1064.6980459770114</v>
      </c>
      <c r="M127" s="1595">
        <v>0.26190598117525177</v>
      </c>
      <c r="N127" s="1552">
        <v>0.10035942541480461</v>
      </c>
      <c r="O127" s="1551">
        <v>9296.1661197030735</v>
      </c>
      <c r="P127" s="1553">
        <v>42439.061773169175</v>
      </c>
      <c r="Q127" s="1553">
        <v>263495.9548780375</v>
      </c>
      <c r="R127" s="1551">
        <v>198</v>
      </c>
      <c r="S127" s="1551">
        <v>8361.9950630722524</v>
      </c>
      <c r="T127" s="1552">
        <v>60594.167123711966</v>
      </c>
      <c r="U127" s="1595">
        <v>0.22996241878460244</v>
      </c>
    </row>
    <row r="128" spans="1:21">
      <c r="A128" t="s">
        <v>159</v>
      </c>
      <c r="B128" t="s">
        <v>476</v>
      </c>
      <c r="C128" s="287">
        <v>41</v>
      </c>
      <c r="D128" s="1550">
        <v>0</v>
      </c>
      <c r="E128" s="1551">
        <v>0</v>
      </c>
      <c r="F128" s="1552">
        <v>0</v>
      </c>
      <c r="G128" s="1552">
        <v>0</v>
      </c>
      <c r="H128" s="1593">
        <v>0</v>
      </c>
      <c r="I128" s="1553">
        <v>1711.790370798054</v>
      </c>
      <c r="J128" s="1594">
        <v>0.12277463874320498</v>
      </c>
      <c r="K128" s="1550">
        <v>0</v>
      </c>
      <c r="L128" s="1551">
        <v>0</v>
      </c>
      <c r="M128" s="1595">
        <v>0.28066172362567149</v>
      </c>
      <c r="N128" s="1552">
        <v>0</v>
      </c>
      <c r="O128" s="1551">
        <v>0</v>
      </c>
      <c r="P128" s="1553">
        <v>8616.7422195319468</v>
      </c>
      <c r="Q128" s="1553">
        <v>56361.465358927147</v>
      </c>
      <c r="R128" s="1551">
        <v>41</v>
      </c>
      <c r="S128" s="1551">
        <v>2418.3897233719304</v>
      </c>
      <c r="T128" s="1552">
        <v>17524.563212840072</v>
      </c>
      <c r="U128" s="1595">
        <v>0.31093164631611797</v>
      </c>
    </row>
    <row r="129" spans="1:21">
      <c r="A129" t="s">
        <v>43</v>
      </c>
      <c r="B129" t="s">
        <v>734</v>
      </c>
      <c r="C129" s="287">
        <v>36</v>
      </c>
      <c r="D129" s="1550">
        <v>0</v>
      </c>
      <c r="E129" s="1551">
        <v>0</v>
      </c>
      <c r="F129" s="1552">
        <v>0</v>
      </c>
      <c r="G129" s="1552">
        <v>0</v>
      </c>
      <c r="H129" s="1593">
        <v>20</v>
      </c>
      <c r="I129" s="1553">
        <v>963.125</v>
      </c>
      <c r="J129" s="1594">
        <v>0.26897046194630297</v>
      </c>
      <c r="K129" s="1550">
        <v>18</v>
      </c>
      <c r="L129" s="1551">
        <v>920.58333333333337</v>
      </c>
      <c r="M129" s="1595">
        <v>0.36502211825008479</v>
      </c>
      <c r="N129" s="1552">
        <v>0.12935002838249177</v>
      </c>
      <c r="O129" s="1551">
        <v>2143.3946453120798</v>
      </c>
      <c r="P129" s="1553">
        <v>6806.3338162286746</v>
      </c>
      <c r="Q129" s="1553">
        <v>43983.868233541121</v>
      </c>
      <c r="R129" s="1551">
        <v>18</v>
      </c>
      <c r="S129" s="1551">
        <v>1702.0759334392696</v>
      </c>
      <c r="T129" s="1552">
        <v>12333.88357564688</v>
      </c>
      <c r="U129" s="1595">
        <v>0.28041834588439707</v>
      </c>
    </row>
    <row r="130" spans="1:21">
      <c r="A130" t="s">
        <v>549</v>
      </c>
      <c r="B130" t="s">
        <v>549</v>
      </c>
      <c r="C130" s="287">
        <v>2039</v>
      </c>
      <c r="D130" s="1550">
        <v>435</v>
      </c>
      <c r="E130" s="1551">
        <v>1955.3289436619718</v>
      </c>
      <c r="F130" s="1552">
        <v>7.4413323712783627E-2</v>
      </c>
      <c r="G130" s="1552">
        <v>63293.598657616705</v>
      </c>
      <c r="H130" s="1593">
        <v>610</v>
      </c>
      <c r="I130" s="1553">
        <v>1730.2135363457762</v>
      </c>
      <c r="J130" s="1594">
        <v>0.13387259975217838</v>
      </c>
      <c r="K130" s="1550">
        <v>300</v>
      </c>
      <c r="L130" s="1551">
        <v>1652.39408</v>
      </c>
      <c r="M130" s="1595">
        <v>0.25993467952050942</v>
      </c>
      <c r="N130" s="1552">
        <v>9.9008848258775234E-2</v>
      </c>
      <c r="O130" s="1551">
        <v>49080.490419125555</v>
      </c>
      <c r="P130" s="1553">
        <v>414417.24132181529</v>
      </c>
      <c r="Q130" s="1553">
        <v>2700719.5747957625</v>
      </c>
      <c r="R130" s="1551">
        <v>1304</v>
      </c>
      <c r="S130" s="1551">
        <v>78511.489980187514</v>
      </c>
      <c r="T130" s="1552">
        <v>568923.84043614136</v>
      </c>
      <c r="U130" s="1595">
        <v>0.21065639163190991</v>
      </c>
    </row>
    <row r="131" spans="1:21">
      <c r="A131" t="s">
        <v>1170</v>
      </c>
      <c r="B131" t="s">
        <v>549</v>
      </c>
      <c r="C131" s="287">
        <v>332</v>
      </c>
      <c r="D131" s="1550">
        <v>0</v>
      </c>
      <c r="E131" s="1551">
        <v>0</v>
      </c>
      <c r="F131" s="1552">
        <v>0</v>
      </c>
      <c r="G131" s="1552">
        <v>0</v>
      </c>
      <c r="H131" s="1593">
        <v>0</v>
      </c>
      <c r="I131" s="1553">
        <v>1817.0217554858932</v>
      </c>
      <c r="J131" s="1594">
        <v>0.1060456189069323</v>
      </c>
      <c r="K131" s="1550">
        <v>0</v>
      </c>
      <c r="L131" s="1551">
        <v>0</v>
      </c>
      <c r="M131" s="1595">
        <v>0.25858399409042854</v>
      </c>
      <c r="N131" s="1552">
        <v>0</v>
      </c>
      <c r="O131" s="1551">
        <v>0</v>
      </c>
      <c r="P131" s="1553">
        <v>63972.149280450241</v>
      </c>
      <c r="Q131" s="1553">
        <v>414343.69043804519</v>
      </c>
      <c r="R131" s="1551">
        <v>332</v>
      </c>
      <c r="S131" s="1551">
        <v>16542.173871487958</v>
      </c>
      <c r="T131" s="1552">
        <v>119870.82515570983</v>
      </c>
      <c r="U131" s="1595">
        <v>0.28930288531480253</v>
      </c>
    </row>
    <row r="132" spans="1:21">
      <c r="A132" t="s">
        <v>44</v>
      </c>
      <c r="B132" t="s">
        <v>730</v>
      </c>
      <c r="C132" s="287">
        <v>52</v>
      </c>
      <c r="D132" s="1550">
        <v>4</v>
      </c>
      <c r="E132" s="1551">
        <v>1315.25</v>
      </c>
      <c r="F132" s="1552">
        <v>0.10399551620732546</v>
      </c>
      <c r="G132" s="1552">
        <v>547.12041076673927</v>
      </c>
      <c r="H132" s="1593">
        <v>29</v>
      </c>
      <c r="I132" s="1553">
        <v>848.10482758620697</v>
      </c>
      <c r="J132" s="1594">
        <v>0.15926065951491705</v>
      </c>
      <c r="K132" s="1550">
        <v>20</v>
      </c>
      <c r="L132" s="1551">
        <v>817.9</v>
      </c>
      <c r="M132" s="1595">
        <v>0.28143863991421009</v>
      </c>
      <c r="N132" s="1552">
        <v>0.10231812163082826</v>
      </c>
      <c r="O132" s="1551">
        <v>1673.7198336370886</v>
      </c>
      <c r="P132" s="1553">
        <v>6002.7928014204299</v>
      </c>
      <c r="Q132" s="1553">
        <v>35788.933343626297</v>
      </c>
      <c r="R132" s="1551">
        <v>28</v>
      </c>
      <c r="S132" s="1551">
        <v>1064.3875838668214</v>
      </c>
      <c r="T132" s="1552">
        <v>7712.9535062813138</v>
      </c>
      <c r="U132" s="1595">
        <v>0.21551224877885122</v>
      </c>
    </row>
    <row r="133" spans="1:21">
      <c r="A133" t="s">
        <v>167</v>
      </c>
      <c r="B133" t="s">
        <v>730</v>
      </c>
      <c r="C133" s="287">
        <v>55</v>
      </c>
      <c r="D133" s="1550">
        <v>3</v>
      </c>
      <c r="E133" s="1551">
        <v>956.33333333333337</v>
      </c>
      <c r="F133" s="1552">
        <v>0.19075804941910957</v>
      </c>
      <c r="G133" s="1552">
        <v>547.28484378342534</v>
      </c>
      <c r="H133" s="1593">
        <v>2</v>
      </c>
      <c r="I133" s="1553">
        <v>1253.7457405614716</v>
      </c>
      <c r="J133" s="1594">
        <v>0.13649699485343733</v>
      </c>
      <c r="K133" s="1550">
        <v>0</v>
      </c>
      <c r="L133" s="1551">
        <v>0</v>
      </c>
      <c r="M133" s="1595">
        <v>0.2334826600798878</v>
      </c>
      <c r="N133" s="1552">
        <v>0</v>
      </c>
      <c r="O133" s="1551">
        <v>0</v>
      </c>
      <c r="P133" s="1553">
        <v>9446.1761904242103</v>
      </c>
      <c r="Q133" s="1553">
        <v>60296.204278436308</v>
      </c>
      <c r="R133" s="1551">
        <v>52</v>
      </c>
      <c r="S133" s="1551">
        <v>2077.7368233755856</v>
      </c>
      <c r="T133" s="1552">
        <v>15056.063937504243</v>
      </c>
      <c r="U133" s="1595">
        <v>0.24970168715725832</v>
      </c>
    </row>
    <row r="134" spans="1:21">
      <c r="A134" t="s">
        <v>38</v>
      </c>
      <c r="B134" t="s">
        <v>732</v>
      </c>
      <c r="C134" s="287">
        <v>94</v>
      </c>
      <c r="D134" s="1550">
        <v>0</v>
      </c>
      <c r="E134" s="1551">
        <v>0</v>
      </c>
      <c r="F134" s="1552">
        <v>0</v>
      </c>
      <c r="G134" s="1552">
        <v>0</v>
      </c>
      <c r="H134" s="1593">
        <v>0</v>
      </c>
      <c r="I134" s="1553">
        <v>1045.957275886032</v>
      </c>
      <c r="J134" s="1594">
        <v>0.16663814568985108</v>
      </c>
      <c r="K134" s="1550">
        <v>0</v>
      </c>
      <c r="L134" s="1551">
        <v>0</v>
      </c>
      <c r="M134" s="1595">
        <v>0.33369832036967961</v>
      </c>
      <c r="N134" s="1552">
        <v>0</v>
      </c>
      <c r="O134" s="1551">
        <v>0</v>
      </c>
      <c r="P134" s="1553">
        <v>16383.859806898898</v>
      </c>
      <c r="Q134" s="1553">
        <v>104787.100049992</v>
      </c>
      <c r="R134" s="1551">
        <v>94</v>
      </c>
      <c r="S134" s="1551">
        <v>5467.2664987344651</v>
      </c>
      <c r="T134" s="1552">
        <v>39617.873179235248</v>
      </c>
      <c r="U134" s="1595">
        <v>0.37807967927668851</v>
      </c>
    </row>
    <row r="135" spans="1:21">
      <c r="A135" t="s">
        <v>169</v>
      </c>
      <c r="B135" t="s">
        <v>732</v>
      </c>
      <c r="C135" s="287">
        <v>128</v>
      </c>
      <c r="D135" s="1550">
        <v>0</v>
      </c>
      <c r="E135" s="1551">
        <v>0</v>
      </c>
      <c r="F135" s="1552">
        <v>0</v>
      </c>
      <c r="G135" s="1552">
        <v>0</v>
      </c>
      <c r="H135" s="1593">
        <v>39</v>
      </c>
      <c r="I135" s="1553">
        <v>890.43589743589746</v>
      </c>
      <c r="J135" s="1594">
        <v>0.16706636443359571</v>
      </c>
      <c r="K135" s="1550">
        <v>33</v>
      </c>
      <c r="L135" s="1551">
        <v>861.69696969696975</v>
      </c>
      <c r="M135" s="1595">
        <v>0.23513954280317254</v>
      </c>
      <c r="N135" s="1552">
        <v>0.12699139942248708</v>
      </c>
      <c r="O135" s="1551">
        <v>3611.1274339778424</v>
      </c>
      <c r="P135" s="1553">
        <v>17743.506807827085</v>
      </c>
      <c r="Q135" s="1553">
        <v>109598.74498425424</v>
      </c>
      <c r="R135" s="1551">
        <v>95</v>
      </c>
      <c r="S135" s="1551">
        <v>3323.0812246878968</v>
      </c>
      <c r="T135" s="1552">
        <v>24080.298729622438</v>
      </c>
      <c r="U135" s="1595">
        <v>0.21971327074121141</v>
      </c>
    </row>
    <row r="136" spans="1:21">
      <c r="A136" t="s">
        <v>33</v>
      </c>
      <c r="B136" t="s">
        <v>734</v>
      </c>
      <c r="C136" s="287">
        <v>954</v>
      </c>
      <c r="D136" s="1550">
        <v>30</v>
      </c>
      <c r="E136" s="1551">
        <v>1335.0666666666666</v>
      </c>
      <c r="F136" s="1552">
        <v>0.10122105647463289</v>
      </c>
      <c r="G136" s="1552">
        <v>4054.105753921996</v>
      </c>
      <c r="H136" s="1593">
        <v>162</v>
      </c>
      <c r="I136" s="1553">
        <v>1405.9254320987654</v>
      </c>
      <c r="J136" s="1594">
        <v>0.15832923509543473</v>
      </c>
      <c r="K136" s="1550">
        <v>79</v>
      </c>
      <c r="L136" s="1551">
        <v>1301.9905063291139</v>
      </c>
      <c r="M136" s="1595">
        <v>0.25017696456183375</v>
      </c>
      <c r="N136" s="1552">
        <v>0.11774761961490923</v>
      </c>
      <c r="O136" s="1551">
        <v>12111.196347635623</v>
      </c>
      <c r="P136" s="1553">
        <v>204261.54013583422</v>
      </c>
      <c r="Q136" s="1553">
        <v>1338715.2183756102</v>
      </c>
      <c r="R136" s="1551">
        <v>845</v>
      </c>
      <c r="S136" s="1551">
        <v>47057.34587691546</v>
      </c>
      <c r="T136" s="1552">
        <v>340995.25997764821</v>
      </c>
      <c r="U136" s="1595">
        <v>0.2547182965406265</v>
      </c>
    </row>
    <row r="137" spans="1:21">
      <c r="A137" t="s">
        <v>85</v>
      </c>
      <c r="B137" t="s">
        <v>729</v>
      </c>
      <c r="C137" s="287">
        <v>89</v>
      </c>
      <c r="D137" s="1550">
        <v>1</v>
      </c>
      <c r="E137" s="1551">
        <v>1040</v>
      </c>
      <c r="F137" s="1552">
        <v>6.227884615384615E-2</v>
      </c>
      <c r="G137" s="1552">
        <v>64.77</v>
      </c>
      <c r="H137" s="1593">
        <v>0</v>
      </c>
      <c r="I137" s="1553">
        <v>1243.0887425149701</v>
      </c>
      <c r="J137" s="1594">
        <v>0.15094699553265112</v>
      </c>
      <c r="K137" s="1550">
        <v>0</v>
      </c>
      <c r="L137" s="1551">
        <v>0</v>
      </c>
      <c r="M137" s="1595">
        <v>0.32612771454717537</v>
      </c>
      <c r="N137" s="1552">
        <v>0</v>
      </c>
      <c r="O137" s="1551">
        <v>0</v>
      </c>
      <c r="P137" s="1553">
        <v>16577.134955952457</v>
      </c>
      <c r="Q137" s="1553">
        <v>106928.94895617721</v>
      </c>
      <c r="R137" s="1551">
        <v>88</v>
      </c>
      <c r="S137" s="1551">
        <v>5385.1398448536447</v>
      </c>
      <c r="T137" s="1552">
        <v>39022.752498939451</v>
      </c>
      <c r="U137" s="1595">
        <v>0.36494095265943544</v>
      </c>
    </row>
    <row r="138" spans="1:21">
      <c r="A138" t="s">
        <v>258</v>
      </c>
      <c r="B138" t="s">
        <v>736</v>
      </c>
      <c r="C138" s="287">
        <v>42</v>
      </c>
      <c r="D138" s="1550">
        <v>0</v>
      </c>
      <c r="E138" s="1551">
        <v>0</v>
      </c>
      <c r="F138" s="1552">
        <v>0</v>
      </c>
      <c r="G138" s="1552">
        <v>0</v>
      </c>
      <c r="H138" s="1593">
        <v>3</v>
      </c>
      <c r="I138" s="1553">
        <v>1121.8146232876711</v>
      </c>
      <c r="J138" s="1594">
        <v>0.2465402206361047</v>
      </c>
      <c r="K138" s="1550">
        <v>0</v>
      </c>
      <c r="L138" s="1551">
        <v>0</v>
      </c>
      <c r="M138" s="1595">
        <v>0.32640460980310909</v>
      </c>
      <c r="N138" s="1552">
        <v>0</v>
      </c>
      <c r="O138" s="1551">
        <v>0</v>
      </c>
      <c r="P138" s="1553">
        <v>11616.041839002346</v>
      </c>
      <c r="Q138" s="1553">
        <v>77947.259702915544</v>
      </c>
      <c r="R138" s="1551">
        <v>42</v>
      </c>
      <c r="S138" s="1551">
        <v>3791.5296039161503</v>
      </c>
      <c r="T138" s="1552">
        <v>27474.852202290942</v>
      </c>
      <c r="U138" s="1595">
        <v>0.352480026969611</v>
      </c>
    </row>
    <row r="139" spans="1:21">
      <c r="A139" t="s">
        <v>1032</v>
      </c>
      <c r="B139" t="s">
        <v>476</v>
      </c>
      <c r="C139" s="287">
        <v>15</v>
      </c>
      <c r="D139" s="1550">
        <v>0</v>
      </c>
      <c r="E139" s="1551">
        <v>0</v>
      </c>
      <c r="F139" s="1552">
        <v>0</v>
      </c>
      <c r="G139" s="1552">
        <v>0</v>
      </c>
      <c r="H139" s="1593">
        <v>1</v>
      </c>
      <c r="I139" s="1553">
        <v>1711.790370798054</v>
      </c>
      <c r="J139" s="1594">
        <v>0.12277463874320498</v>
      </c>
      <c r="K139" s="1550">
        <v>0</v>
      </c>
      <c r="L139" s="1551">
        <v>0</v>
      </c>
      <c r="M139" s="1595">
        <v>0.28066172362567149</v>
      </c>
      <c r="N139" s="1552">
        <v>0</v>
      </c>
      <c r="O139" s="1551">
        <v>0</v>
      </c>
      <c r="P139" s="1553">
        <v>3152.4666656824197</v>
      </c>
      <c r="Q139" s="1553">
        <v>20620.048302046518</v>
      </c>
      <c r="R139" s="1551">
        <v>15</v>
      </c>
      <c r="S139" s="1551">
        <v>884.77672806290138</v>
      </c>
      <c r="T139" s="1552">
        <v>6411.4255656731975</v>
      </c>
      <c r="U139" s="1595">
        <v>0.31093164631611803</v>
      </c>
    </row>
    <row r="140" spans="1:21">
      <c r="A140" t="s">
        <v>173</v>
      </c>
      <c r="B140" t="s">
        <v>732</v>
      </c>
      <c r="C140" s="287">
        <v>172</v>
      </c>
      <c r="D140" s="1550">
        <v>13</v>
      </c>
      <c r="E140" s="1551">
        <v>1240.6153846153845</v>
      </c>
      <c r="F140" s="1552">
        <v>8.3674909907869369E-2</v>
      </c>
      <c r="G140" s="1552">
        <v>1349.508946994117</v>
      </c>
      <c r="H140" s="1593">
        <v>34</v>
      </c>
      <c r="I140" s="1553">
        <v>716</v>
      </c>
      <c r="J140" s="1594">
        <v>0.26033999333055258</v>
      </c>
      <c r="K140" s="1550">
        <v>26</v>
      </c>
      <c r="L140" s="1551">
        <v>681.07692307692309</v>
      </c>
      <c r="M140" s="1595">
        <v>0.63931372458836599</v>
      </c>
      <c r="N140" s="1552">
        <v>8.217545294613568E-2</v>
      </c>
      <c r="O140" s="1551">
        <v>1455.1629207701708</v>
      </c>
      <c r="P140" s="1553">
        <v>27596.32875264615</v>
      </c>
      <c r="Q140" s="1553">
        <v>174472.52719308803</v>
      </c>
      <c r="R140" s="1551">
        <v>133</v>
      </c>
      <c r="S140" s="1551">
        <v>15849.64650179063</v>
      </c>
      <c r="T140" s="1552">
        <v>114852.5108825408</v>
      </c>
      <c r="U140" s="1595">
        <v>0.65828421660582692</v>
      </c>
    </row>
    <row r="141" spans="1:21">
      <c r="A141" t="s">
        <v>1033</v>
      </c>
      <c r="B141" t="s">
        <v>732</v>
      </c>
      <c r="C141" s="287">
        <v>82</v>
      </c>
      <c r="D141" s="1550">
        <v>0</v>
      </c>
      <c r="E141" s="1551">
        <v>0</v>
      </c>
      <c r="F141" s="1552">
        <v>0</v>
      </c>
      <c r="G141" s="1552">
        <v>0</v>
      </c>
      <c r="H141" s="1593">
        <v>30</v>
      </c>
      <c r="I141" s="1553">
        <v>1107.4666666666667</v>
      </c>
      <c r="J141" s="1594">
        <v>0.1296972314948662</v>
      </c>
      <c r="K141" s="1550">
        <v>30</v>
      </c>
      <c r="L141" s="1551">
        <v>1107.4666666666667</v>
      </c>
      <c r="M141" s="1595">
        <v>0.12596964653745432</v>
      </c>
      <c r="N141" s="1552">
        <v>0.11109124306494436</v>
      </c>
      <c r="O141" s="1551">
        <v>3690.8954595897112</v>
      </c>
      <c r="P141" s="1553">
        <v>11159.934212844466</v>
      </c>
      <c r="Q141" s="1553">
        <v>68711.697194525113</v>
      </c>
      <c r="R141" s="1551">
        <v>52</v>
      </c>
      <c r="S141" s="1551">
        <v>940.87217172204987</v>
      </c>
      <c r="T141" s="1552">
        <v>6817.9142878409402</v>
      </c>
      <c r="U141" s="1595">
        <v>9.9224943731766616E-2</v>
      </c>
    </row>
    <row r="142" spans="1:21">
      <c r="A142" t="s">
        <v>1366</v>
      </c>
      <c r="B142" t="s">
        <v>735</v>
      </c>
      <c r="C142" s="287">
        <v>25</v>
      </c>
      <c r="D142" s="1550">
        <v>0</v>
      </c>
      <c r="E142" s="1551">
        <v>0</v>
      </c>
      <c r="F142" s="1552">
        <v>0</v>
      </c>
      <c r="G142" s="1552">
        <v>0</v>
      </c>
      <c r="H142" s="1593">
        <v>0</v>
      </c>
      <c r="I142" s="1553">
        <v>1747.5136673928823</v>
      </c>
      <c r="J142" s="1594">
        <v>0.15393570674124443</v>
      </c>
      <c r="K142" s="1550">
        <v>0</v>
      </c>
      <c r="L142" s="1551">
        <v>0</v>
      </c>
      <c r="M142" s="1595">
        <v>0.23015757030298531</v>
      </c>
      <c r="N142" s="1552">
        <v>0</v>
      </c>
      <c r="O142" s="1551">
        <v>0</v>
      </c>
      <c r="P142" s="1553">
        <v>6725.1187857526829</v>
      </c>
      <c r="Q142" s="1553">
        <v>45026.223085164362</v>
      </c>
      <c r="R142" s="1551">
        <v>25</v>
      </c>
      <c r="S142" s="1551">
        <v>1547.8369997278003</v>
      </c>
      <c r="T142" s="1552">
        <v>11216.210142955073</v>
      </c>
      <c r="U142" s="1595">
        <v>0.24910395263978269</v>
      </c>
    </row>
    <row r="143" spans="1:21">
      <c r="A143" t="s">
        <v>1179</v>
      </c>
      <c r="B143" t="s">
        <v>736</v>
      </c>
      <c r="C143" s="287">
        <v>6</v>
      </c>
      <c r="D143" s="1550">
        <v>0</v>
      </c>
      <c r="E143" s="1551">
        <v>0</v>
      </c>
      <c r="F143" s="1552">
        <v>0</v>
      </c>
      <c r="G143" s="1552">
        <v>0</v>
      </c>
      <c r="H143" s="1593">
        <v>0</v>
      </c>
      <c r="I143" s="1553">
        <v>1121.8146232876711</v>
      </c>
      <c r="J143" s="1594">
        <v>0.2465402206361047</v>
      </c>
      <c r="K143" s="1550">
        <v>0</v>
      </c>
      <c r="L143" s="1551">
        <v>0</v>
      </c>
      <c r="M143" s="1595">
        <v>0.32640460980310909</v>
      </c>
      <c r="N143" s="1552">
        <v>0</v>
      </c>
      <c r="O143" s="1551">
        <v>0</v>
      </c>
      <c r="P143" s="1553">
        <v>1659.4345484289067</v>
      </c>
      <c r="Q143" s="1553">
        <v>11135.322814702222</v>
      </c>
      <c r="R143" s="1551">
        <v>6</v>
      </c>
      <c r="S143" s="1551">
        <v>541.64708627373579</v>
      </c>
      <c r="T143" s="1552">
        <v>3924.9788860415633</v>
      </c>
      <c r="U143" s="1595">
        <v>0.35248002696961095</v>
      </c>
    </row>
    <row r="144" spans="1:21">
      <c r="A144" t="s">
        <v>177</v>
      </c>
      <c r="B144" t="s">
        <v>549</v>
      </c>
      <c r="C144" s="287">
        <v>34</v>
      </c>
      <c r="D144" s="1550">
        <v>3</v>
      </c>
      <c r="E144" s="1551">
        <v>1114</v>
      </c>
      <c r="F144" s="1552">
        <v>6.5044883303411127E-2</v>
      </c>
      <c r="G144" s="1552">
        <v>217.38</v>
      </c>
      <c r="H144" s="1593">
        <v>0</v>
      </c>
      <c r="I144" s="1553">
        <v>1817.0217554858932</v>
      </c>
      <c r="J144" s="1594">
        <v>0.1060456189069323</v>
      </c>
      <c r="K144" s="1550">
        <v>0</v>
      </c>
      <c r="L144" s="1551">
        <v>0</v>
      </c>
      <c r="M144" s="1595">
        <v>0.25858399409042854</v>
      </c>
      <c r="N144" s="1552">
        <v>0</v>
      </c>
      <c r="O144" s="1551">
        <v>0</v>
      </c>
      <c r="P144" s="1553">
        <v>6190.6830954637271</v>
      </c>
      <c r="Q144" s="1553">
        <v>39819.152865679178</v>
      </c>
      <c r="R144" s="1551">
        <v>31</v>
      </c>
      <c r="S144" s="1551">
        <v>1544.6005723377309</v>
      </c>
      <c r="T144" s="1552">
        <v>11192.757770563267</v>
      </c>
      <c r="U144" s="1595">
        <v>0.28108980139078998</v>
      </c>
    </row>
    <row r="145" spans="1:21">
      <c r="A145" t="s">
        <v>179</v>
      </c>
      <c r="B145" t="s">
        <v>730</v>
      </c>
      <c r="C145" s="287">
        <v>27</v>
      </c>
      <c r="D145" s="1550">
        <v>0</v>
      </c>
      <c r="E145" s="1551">
        <v>0</v>
      </c>
      <c r="F145" s="1552">
        <v>0</v>
      </c>
      <c r="G145" s="1552">
        <v>0</v>
      </c>
      <c r="H145" s="1593">
        <v>22</v>
      </c>
      <c r="I145" s="1553">
        <v>1010.1363636363636</v>
      </c>
      <c r="J145" s="1594">
        <v>0.17367377195253966</v>
      </c>
      <c r="K145" s="1550">
        <v>17</v>
      </c>
      <c r="L145" s="1551">
        <v>963.76470588235293</v>
      </c>
      <c r="M145" s="1595">
        <v>0.33388955654108587</v>
      </c>
      <c r="N145" s="1552">
        <v>0.11755650223396535</v>
      </c>
      <c r="O145" s="1551">
        <v>1926.0457326012884</v>
      </c>
      <c r="P145" s="1553">
        <v>3680.3876571927831</v>
      </c>
      <c r="Q145" s="1553">
        <v>22666.432298498425</v>
      </c>
      <c r="R145" s="1551">
        <v>10</v>
      </c>
      <c r="S145" s="1551">
        <v>585.75644722328934</v>
      </c>
      <c r="T145" s="1552">
        <v>4244.6119364006472</v>
      </c>
      <c r="U145" s="1595">
        <v>0.18726422758123423</v>
      </c>
    </row>
    <row r="146" spans="1:21">
      <c r="A146" t="s">
        <v>181</v>
      </c>
      <c r="B146" t="s">
        <v>732</v>
      </c>
      <c r="C146" s="287">
        <v>11</v>
      </c>
      <c r="D146" s="1550">
        <v>0</v>
      </c>
      <c r="E146" s="1551">
        <v>0</v>
      </c>
      <c r="F146" s="1552">
        <v>0</v>
      </c>
      <c r="G146" s="1552">
        <v>0</v>
      </c>
      <c r="H146" s="1593">
        <v>1</v>
      </c>
      <c r="I146" s="1553">
        <v>1045.957275886032</v>
      </c>
      <c r="J146" s="1594">
        <v>0.16663814568985108</v>
      </c>
      <c r="K146" s="1550">
        <v>1</v>
      </c>
      <c r="L146" s="1551">
        <v>968</v>
      </c>
      <c r="M146" s="1595">
        <v>0.33369832036967961</v>
      </c>
      <c r="N146" s="1552">
        <v>4.7386363636363636E-2</v>
      </c>
      <c r="O146" s="1551">
        <v>45.87</v>
      </c>
      <c r="P146" s="1553">
        <v>1788.8338092445636</v>
      </c>
      <c r="Q146" s="1553">
        <v>11331.694269888141</v>
      </c>
      <c r="R146" s="1551">
        <v>10</v>
      </c>
      <c r="S146" s="1551">
        <v>581.62409561004949</v>
      </c>
      <c r="T146" s="1552">
        <v>4214.6673594931117</v>
      </c>
      <c r="U146" s="1595">
        <v>0.37193620469383842</v>
      </c>
    </row>
    <row r="147" spans="1:21">
      <c r="A147" t="s">
        <v>1378</v>
      </c>
      <c r="B147" t="s">
        <v>736</v>
      </c>
      <c r="C147" s="287">
        <v>7</v>
      </c>
      <c r="D147" s="1550">
        <v>0</v>
      </c>
      <c r="E147" s="1551">
        <v>0</v>
      </c>
      <c r="F147" s="1552">
        <v>0</v>
      </c>
      <c r="G147" s="1552">
        <v>0</v>
      </c>
      <c r="H147" s="1593">
        <v>0</v>
      </c>
      <c r="I147" s="1553">
        <v>1121.8146232876711</v>
      </c>
      <c r="J147" s="1594">
        <v>0.2465402206361047</v>
      </c>
      <c r="K147" s="1550">
        <v>0</v>
      </c>
      <c r="L147" s="1551">
        <v>0</v>
      </c>
      <c r="M147" s="1595">
        <v>0.32640460980310909</v>
      </c>
      <c r="N147" s="1552">
        <v>0</v>
      </c>
      <c r="O147" s="1551">
        <v>0</v>
      </c>
      <c r="P147" s="1553">
        <v>1936.0069731670578</v>
      </c>
      <c r="Q147" s="1553">
        <v>12991.209950485925</v>
      </c>
      <c r="R147" s="1551">
        <v>7</v>
      </c>
      <c r="S147" s="1551">
        <v>631.92160065269172</v>
      </c>
      <c r="T147" s="1552">
        <v>4579.1420337151567</v>
      </c>
      <c r="U147" s="1595">
        <v>0.35248002696961095</v>
      </c>
    </row>
    <row r="148" spans="1:21">
      <c r="A148" t="s">
        <v>86</v>
      </c>
      <c r="B148" t="s">
        <v>732</v>
      </c>
      <c r="C148" s="287">
        <v>75</v>
      </c>
      <c r="D148" s="1550">
        <v>0</v>
      </c>
      <c r="E148" s="1551">
        <v>0</v>
      </c>
      <c r="F148" s="1552">
        <v>0</v>
      </c>
      <c r="G148" s="1552">
        <v>0</v>
      </c>
      <c r="H148" s="1593">
        <v>25</v>
      </c>
      <c r="I148" s="1553">
        <v>849.12</v>
      </c>
      <c r="J148" s="1594">
        <v>0.19357515361528724</v>
      </c>
      <c r="K148" s="1550">
        <v>20</v>
      </c>
      <c r="L148" s="1551">
        <v>880.2</v>
      </c>
      <c r="M148" s="1595">
        <v>0.48586161058114641</v>
      </c>
      <c r="N148" s="1552">
        <v>9.1387767784937235E-2</v>
      </c>
      <c r="O148" s="1551">
        <v>1608.7902640860352</v>
      </c>
      <c r="P148" s="1553">
        <v>10649.059658165736</v>
      </c>
      <c r="Q148" s="1553">
        <v>66047.533754824166</v>
      </c>
      <c r="R148" s="1551">
        <v>55</v>
      </c>
      <c r="S148" s="1551">
        <v>4392.3198478950062</v>
      </c>
      <c r="T148" s="1552">
        <v>31828.404694891346</v>
      </c>
      <c r="U148" s="1595">
        <v>0.48190148648156861</v>
      </c>
    </row>
    <row r="149" spans="1:21">
      <c r="A149" t="s">
        <v>1376</v>
      </c>
      <c r="B149" t="s">
        <v>476</v>
      </c>
      <c r="C149" s="287">
        <v>25</v>
      </c>
      <c r="D149" s="1550">
        <v>0</v>
      </c>
      <c r="E149" s="1551">
        <v>0</v>
      </c>
      <c r="F149" s="1552">
        <v>0</v>
      </c>
      <c r="G149" s="1552">
        <v>0</v>
      </c>
      <c r="H149" s="1593">
        <v>0</v>
      </c>
      <c r="I149" s="1553">
        <v>1711.790370798054</v>
      </c>
      <c r="J149" s="1594">
        <v>0.12277463874320498</v>
      </c>
      <c r="K149" s="1550">
        <v>0</v>
      </c>
      <c r="L149" s="1551">
        <v>0</v>
      </c>
      <c r="M149" s="1595">
        <v>0.28066172362567149</v>
      </c>
      <c r="N149" s="1552">
        <v>0</v>
      </c>
      <c r="O149" s="1551">
        <v>0</v>
      </c>
      <c r="P149" s="1553">
        <v>5254.1111094706994</v>
      </c>
      <c r="Q149" s="1553">
        <v>34366.747170077528</v>
      </c>
      <c r="R149" s="1551">
        <v>25</v>
      </c>
      <c r="S149" s="1551">
        <v>1474.6278801048356</v>
      </c>
      <c r="T149" s="1552">
        <v>10685.709276121997</v>
      </c>
      <c r="U149" s="1595">
        <v>0.31093164631611808</v>
      </c>
    </row>
    <row r="150" spans="1:21">
      <c r="A150" t="s">
        <v>1034</v>
      </c>
      <c r="B150" t="s">
        <v>736</v>
      </c>
      <c r="C150" s="287">
        <v>41</v>
      </c>
      <c r="D150" s="1550">
        <v>1</v>
      </c>
      <c r="E150" s="1551">
        <v>971</v>
      </c>
      <c r="F150" s="1552">
        <v>9.4119464469618955E-2</v>
      </c>
      <c r="G150" s="1552">
        <v>91.39</v>
      </c>
      <c r="H150" s="1593">
        <v>6</v>
      </c>
      <c r="I150" s="1553">
        <v>1121.8146232876711</v>
      </c>
      <c r="J150" s="1594">
        <v>0.2465402206361047</v>
      </c>
      <c r="K150" s="1550">
        <v>1</v>
      </c>
      <c r="L150" s="1551">
        <v>840</v>
      </c>
      <c r="M150" s="1595">
        <v>0.32640460980310909</v>
      </c>
      <c r="N150" s="1552">
        <v>0.13170981085540059</v>
      </c>
      <c r="O150" s="1551">
        <v>110.6362411185365</v>
      </c>
      <c r="P150" s="1553">
        <v>10988.35080590643</v>
      </c>
      <c r="Q150" s="1553">
        <v>73547.034825408904</v>
      </c>
      <c r="R150" s="1551">
        <v>39</v>
      </c>
      <c r="S150" s="1551">
        <v>3520.7060607792828</v>
      </c>
      <c r="T150" s="1552">
        <v>25512.362759270163</v>
      </c>
      <c r="U150" s="1595">
        <v>0.34688499434182757</v>
      </c>
    </row>
    <row r="151" spans="1:21">
      <c r="A151" t="s">
        <v>185</v>
      </c>
      <c r="B151" t="s">
        <v>730</v>
      </c>
      <c r="C151" s="287">
        <v>121</v>
      </c>
      <c r="D151" s="1550">
        <v>5</v>
      </c>
      <c r="E151" s="1551">
        <v>4496.8</v>
      </c>
      <c r="F151" s="1552">
        <v>7.7648290788905117E-2</v>
      </c>
      <c r="G151" s="1552">
        <v>1745.8441700977428</v>
      </c>
      <c r="H151" s="1593">
        <v>84</v>
      </c>
      <c r="I151" s="1553">
        <v>840.59464285714262</v>
      </c>
      <c r="J151" s="1594">
        <v>0.12126919353678706</v>
      </c>
      <c r="K151" s="1550">
        <v>76</v>
      </c>
      <c r="L151" s="1551">
        <v>819.6307894736841</v>
      </c>
      <c r="M151" s="1595">
        <v>0.19796509170142959</v>
      </c>
      <c r="N151" s="1552">
        <v>9.3752952927738956E-2</v>
      </c>
      <c r="O151" s="1551">
        <v>5840.0533185975391</v>
      </c>
      <c r="P151" s="1553">
        <v>11663.426865920452</v>
      </c>
      <c r="Q151" s="1553">
        <v>66578.020767539507</v>
      </c>
      <c r="R151" s="1551">
        <v>40</v>
      </c>
      <c r="S151" s="1551">
        <v>807.2084770776537</v>
      </c>
      <c r="T151" s="1552">
        <v>5849.3367904177803</v>
      </c>
      <c r="U151" s="1595">
        <v>8.785687413029343E-2</v>
      </c>
    </row>
    <row r="152" spans="1:21">
      <c r="A152" t="s">
        <v>87</v>
      </c>
      <c r="B152" t="s">
        <v>732</v>
      </c>
      <c r="C152" s="287">
        <v>100</v>
      </c>
      <c r="D152" s="1550">
        <v>1</v>
      </c>
      <c r="E152" s="1551">
        <v>5610</v>
      </c>
      <c r="F152" s="1552">
        <v>4.9040998217468809E-2</v>
      </c>
      <c r="G152" s="1552">
        <v>275.12</v>
      </c>
      <c r="H152" s="1593">
        <v>17</v>
      </c>
      <c r="I152" s="1553">
        <v>822.05882352941171</v>
      </c>
      <c r="J152" s="1594">
        <v>0.27564939392126342</v>
      </c>
      <c r="K152" s="1550">
        <v>10</v>
      </c>
      <c r="L152" s="1551">
        <v>883</v>
      </c>
      <c r="M152" s="1595">
        <v>0.24428958536120077</v>
      </c>
      <c r="N152" s="1552">
        <v>0.18329661267140829</v>
      </c>
      <c r="O152" s="1551">
        <v>1618.5090898885351</v>
      </c>
      <c r="P152" s="1553">
        <v>22061.030556030852</v>
      </c>
      <c r="Q152" s="1553">
        <v>145036.45330457139</v>
      </c>
      <c r="R152" s="1551">
        <v>89</v>
      </c>
      <c r="S152" s="1551">
        <v>4926.6861419767783</v>
      </c>
      <c r="T152" s="1552">
        <v>35700.624217223027</v>
      </c>
      <c r="U152" s="1595">
        <v>0.24614931904224785</v>
      </c>
    </row>
    <row r="153" spans="1:21">
      <c r="A153" t="s">
        <v>1035</v>
      </c>
      <c r="B153" t="s">
        <v>731</v>
      </c>
      <c r="C153" s="287">
        <v>20</v>
      </c>
      <c r="D153" s="1550">
        <v>0</v>
      </c>
      <c r="E153" s="1551">
        <v>0</v>
      </c>
      <c r="F153" s="1552">
        <v>0</v>
      </c>
      <c r="G153" s="1552">
        <v>0</v>
      </c>
      <c r="H153" s="1593">
        <v>7</v>
      </c>
      <c r="I153" s="1553">
        <v>1599.6428571428571</v>
      </c>
      <c r="J153" s="1594">
        <v>0.15431414630255985</v>
      </c>
      <c r="K153" s="1550">
        <v>2</v>
      </c>
      <c r="L153" s="1551">
        <v>1438.75</v>
      </c>
      <c r="M153" s="1595">
        <v>0.29993685238767825</v>
      </c>
      <c r="N153" s="1552">
        <v>0.12871212978725974</v>
      </c>
      <c r="O153" s="1551">
        <v>370.3691534628399</v>
      </c>
      <c r="P153" s="1553">
        <v>4813.6245474646184</v>
      </c>
      <c r="Q153" s="1553">
        <v>31916.119909163899</v>
      </c>
      <c r="R153" s="1551">
        <v>18</v>
      </c>
      <c r="S153" s="1551">
        <v>1332.6960372314668</v>
      </c>
      <c r="T153" s="1552">
        <v>9657.2176610975839</v>
      </c>
      <c r="U153" s="1595">
        <v>0.30258119372225944</v>
      </c>
    </row>
    <row r="154" spans="1:21">
      <c r="A154" t="s">
        <v>16</v>
      </c>
      <c r="B154" t="s">
        <v>736</v>
      </c>
      <c r="C154" s="287">
        <v>147</v>
      </c>
      <c r="D154" s="1550">
        <v>1</v>
      </c>
      <c r="E154" s="1551">
        <v>1140</v>
      </c>
      <c r="F154" s="1552">
        <v>8.5149122807017544E-2</v>
      </c>
      <c r="G154" s="1552">
        <v>97.07</v>
      </c>
      <c r="H154" s="1593">
        <v>20</v>
      </c>
      <c r="I154" s="1553">
        <v>1121.8146232876711</v>
      </c>
      <c r="J154" s="1594">
        <v>0.14982541708578631</v>
      </c>
      <c r="K154" s="1550">
        <v>2</v>
      </c>
      <c r="L154" s="1551">
        <v>1152</v>
      </c>
      <c r="M154" s="1595">
        <v>0.32640460980310909</v>
      </c>
      <c r="N154" s="1552">
        <v>0.13548804347826088</v>
      </c>
      <c r="O154" s="1551">
        <v>312.16445217391305</v>
      </c>
      <c r="P154" s="1553">
        <v>24612.227963263293</v>
      </c>
      <c r="Q154" s="1553">
        <v>156555.13016857457</v>
      </c>
      <c r="R154" s="1551">
        <v>144</v>
      </c>
      <c r="S154" s="1551">
        <v>7899.9686530543095</v>
      </c>
      <c r="T154" s="1552">
        <v>57246.149659813833</v>
      </c>
      <c r="U154" s="1595">
        <v>0.36566128237492213</v>
      </c>
    </row>
    <row r="155" spans="1:21">
      <c r="A155" t="s">
        <v>1367</v>
      </c>
      <c r="B155" t="s">
        <v>735</v>
      </c>
      <c r="C155" s="287">
        <v>109</v>
      </c>
      <c r="D155" s="1550">
        <v>0</v>
      </c>
      <c r="E155" s="1551">
        <v>0</v>
      </c>
      <c r="F155" s="1552">
        <v>0</v>
      </c>
      <c r="G155" s="1552">
        <v>0</v>
      </c>
      <c r="H155" s="1593">
        <v>0</v>
      </c>
      <c r="I155" s="1553">
        <v>1747.5136673928823</v>
      </c>
      <c r="J155" s="1594">
        <v>0.15393570674124443</v>
      </c>
      <c r="K155" s="1550">
        <v>0</v>
      </c>
      <c r="L155" s="1551">
        <v>0</v>
      </c>
      <c r="M155" s="1595">
        <v>0.23015757030298531</v>
      </c>
      <c r="N155" s="1552">
        <v>0</v>
      </c>
      <c r="O155" s="1551">
        <v>0</v>
      </c>
      <c r="P155" s="1553">
        <v>29321.517905881694</v>
      </c>
      <c r="Q155" s="1553">
        <v>196314.3326513166</v>
      </c>
      <c r="R155" s="1551">
        <v>109</v>
      </c>
      <c r="S155" s="1551">
        <v>6748.5693188132082</v>
      </c>
      <c r="T155" s="1552">
        <v>48902.676223284114</v>
      </c>
      <c r="U155" s="1595">
        <v>0.24910395263978269</v>
      </c>
    </row>
    <row r="156" spans="1:21">
      <c r="A156" t="s">
        <v>28</v>
      </c>
      <c r="B156" t="s">
        <v>732</v>
      </c>
      <c r="C156" s="287">
        <v>70</v>
      </c>
      <c r="D156" s="1550">
        <v>0</v>
      </c>
      <c r="E156" s="1551">
        <v>0</v>
      </c>
      <c r="F156" s="1552">
        <v>0</v>
      </c>
      <c r="G156" s="1552">
        <v>0</v>
      </c>
      <c r="H156" s="1593">
        <v>0</v>
      </c>
      <c r="I156" s="1553">
        <v>1045.957275886032</v>
      </c>
      <c r="J156" s="1594">
        <v>0.16663814568985108</v>
      </c>
      <c r="K156" s="1550">
        <v>0</v>
      </c>
      <c r="L156" s="1551">
        <v>0</v>
      </c>
      <c r="M156" s="1595">
        <v>0.33369832036967961</v>
      </c>
      <c r="N156" s="1552">
        <v>0</v>
      </c>
      <c r="O156" s="1551">
        <v>0</v>
      </c>
      <c r="P156" s="1553">
        <v>12200.746664711945</v>
      </c>
      <c r="Q156" s="1553">
        <v>78032.946845738741</v>
      </c>
      <c r="R156" s="1551">
        <v>70</v>
      </c>
      <c r="S156" s="1551">
        <v>4071.3686692703468</v>
      </c>
      <c r="T156" s="1552">
        <v>29502.671516451785</v>
      </c>
      <c r="U156" s="1595">
        <v>0.37807967927668851</v>
      </c>
    </row>
    <row r="157" spans="1:21">
      <c r="A157" t="s">
        <v>1357</v>
      </c>
      <c r="B157" t="s">
        <v>731</v>
      </c>
      <c r="C157" s="287">
        <v>19</v>
      </c>
      <c r="D157" s="1550">
        <v>0</v>
      </c>
      <c r="E157" s="1551">
        <v>0</v>
      </c>
      <c r="F157" s="1552">
        <v>0</v>
      </c>
      <c r="G157" s="1552">
        <v>0</v>
      </c>
      <c r="H157" s="1593">
        <v>0</v>
      </c>
      <c r="I157" s="1553">
        <v>1845.1516180904523</v>
      </c>
      <c r="J157" s="1594">
        <v>0.15431414630255985</v>
      </c>
      <c r="K157" s="1550">
        <v>0</v>
      </c>
      <c r="L157" s="1551">
        <v>0</v>
      </c>
      <c r="M157" s="1595">
        <v>0.29993685238767825</v>
      </c>
      <c r="N157" s="1552">
        <v>0</v>
      </c>
      <c r="O157" s="1551">
        <v>0</v>
      </c>
      <c r="P157" s="1553">
        <v>5409.9269381438871</v>
      </c>
      <c r="Q157" s="1553">
        <v>36385.412595245558</v>
      </c>
      <c r="R157" s="1551">
        <v>19</v>
      </c>
      <c r="S157" s="1551">
        <v>1622.6364574741872</v>
      </c>
      <c r="T157" s="1552">
        <v>11758.235199088313</v>
      </c>
      <c r="U157" s="1595">
        <v>0.32315794601226394</v>
      </c>
    </row>
    <row r="158" spans="1:21">
      <c r="A158" t="s">
        <v>1037</v>
      </c>
      <c r="B158" t="s">
        <v>731</v>
      </c>
      <c r="C158" s="287">
        <v>46</v>
      </c>
      <c r="D158" s="1550">
        <v>1</v>
      </c>
      <c r="E158" s="1551">
        <v>1247</v>
      </c>
      <c r="F158" s="1552">
        <v>0.13997594226142743</v>
      </c>
      <c r="G158" s="1552">
        <v>174.55</v>
      </c>
      <c r="H158" s="1593">
        <v>12</v>
      </c>
      <c r="I158" s="1553">
        <v>1094.5</v>
      </c>
      <c r="J158" s="1594">
        <v>0.32836543747144731</v>
      </c>
      <c r="K158" s="1550">
        <v>10</v>
      </c>
      <c r="L158" s="1551">
        <v>1109.3</v>
      </c>
      <c r="M158" s="1595">
        <v>0.49334837234440815</v>
      </c>
      <c r="N158" s="1552">
        <v>0.15127894847577772</v>
      </c>
      <c r="O158" s="1551">
        <v>1678.1373754418021</v>
      </c>
      <c r="P158" s="1553">
        <v>14431.546371379271</v>
      </c>
      <c r="Q158" s="1553">
        <v>97756.422981009193</v>
      </c>
      <c r="R158" s="1551">
        <v>35</v>
      </c>
      <c r="S158" s="1551">
        <v>6205.7596115955657</v>
      </c>
      <c r="T158" s="1552">
        <v>44969.272547793953</v>
      </c>
      <c r="U158" s="1595">
        <v>0.46001348224995897</v>
      </c>
    </row>
    <row r="159" spans="1:21">
      <c r="A159" t="s">
        <v>867</v>
      </c>
      <c r="B159" t="s">
        <v>476</v>
      </c>
      <c r="C159" s="287">
        <v>493</v>
      </c>
      <c r="D159" s="1550">
        <v>0</v>
      </c>
      <c r="E159" s="1551">
        <v>0</v>
      </c>
      <c r="F159" s="1552">
        <v>0</v>
      </c>
      <c r="G159" s="1552">
        <v>0</v>
      </c>
      <c r="H159" s="1593">
        <v>95</v>
      </c>
      <c r="I159" s="1553">
        <v>1084.9104210526316</v>
      </c>
      <c r="J159" s="1594">
        <v>0.1056128077680356</v>
      </c>
      <c r="K159" s="1550">
        <v>87</v>
      </c>
      <c r="L159" s="1551">
        <v>1054.9548275862069</v>
      </c>
      <c r="M159" s="1595">
        <v>0.16516637383274177</v>
      </c>
      <c r="N159" s="1552">
        <v>8.676091022055174E-2</v>
      </c>
      <c r="O159" s="1551">
        <v>7963.0091742161749</v>
      </c>
      <c r="P159" s="1553">
        <v>54482.666086349251</v>
      </c>
      <c r="Q159" s="1553">
        <v>321709.31946629891</v>
      </c>
      <c r="R159" s="1551">
        <v>406</v>
      </c>
      <c r="S159" s="1551">
        <v>7683.4830441202612</v>
      </c>
      <c r="T159" s="1552">
        <v>55677.413363190295</v>
      </c>
      <c r="U159" s="1595">
        <v>0.17306745560108916</v>
      </c>
    </row>
    <row r="160" spans="1:21">
      <c r="A160" t="s">
        <v>88</v>
      </c>
      <c r="B160" t="s">
        <v>736</v>
      </c>
      <c r="C160" s="287">
        <v>65</v>
      </c>
      <c r="D160" s="1550">
        <v>1</v>
      </c>
      <c r="E160" s="1551">
        <v>1312</v>
      </c>
      <c r="F160" s="1552">
        <v>7.1501524390243903E-2</v>
      </c>
      <c r="G160" s="1552">
        <v>93.81</v>
      </c>
      <c r="H160" s="1593">
        <v>14</v>
      </c>
      <c r="I160" s="1553">
        <v>970.28571428571433</v>
      </c>
      <c r="J160" s="1594">
        <v>0.18479168371505164</v>
      </c>
      <c r="K160" s="1550">
        <v>12</v>
      </c>
      <c r="L160" s="1551">
        <v>949</v>
      </c>
      <c r="M160" s="1595">
        <v>0.26300845541033541</v>
      </c>
      <c r="N160" s="1552">
        <v>0.1162012852306351</v>
      </c>
      <c r="O160" s="1551">
        <v>1323.3002362064724</v>
      </c>
      <c r="P160" s="1553">
        <v>10740.748239237444</v>
      </c>
      <c r="Q160" s="1553">
        <v>68194.552458242339</v>
      </c>
      <c r="R160" s="1551">
        <v>52</v>
      </c>
      <c r="S160" s="1551">
        <v>2452.19562998228</v>
      </c>
      <c r="T160" s="1552">
        <v>17769.533550596232</v>
      </c>
      <c r="U160" s="1595">
        <v>0.26057115869302133</v>
      </c>
    </row>
    <row r="161" spans="1:21">
      <c r="A161" t="s">
        <v>1040</v>
      </c>
      <c r="B161" t="s">
        <v>735</v>
      </c>
      <c r="C161" s="287">
        <v>93</v>
      </c>
      <c r="D161" s="1550">
        <v>2</v>
      </c>
      <c r="E161" s="1551">
        <v>1776.5</v>
      </c>
      <c r="F161" s="1552">
        <v>7.5530411789246368E-2</v>
      </c>
      <c r="G161" s="1552">
        <v>268.35955308719235</v>
      </c>
      <c r="H161" s="1593">
        <v>1</v>
      </c>
      <c r="I161" s="1553">
        <v>1747.5136673928823</v>
      </c>
      <c r="J161" s="1594">
        <v>0.15393570674124443</v>
      </c>
      <c r="K161" s="1550">
        <v>1</v>
      </c>
      <c r="L161" s="1551">
        <v>1728</v>
      </c>
      <c r="M161" s="1595">
        <v>0.23015757030298531</v>
      </c>
      <c r="N161" s="1552">
        <v>0.11608796296296296</v>
      </c>
      <c r="O161" s="1551">
        <v>200.6</v>
      </c>
      <c r="P161" s="1553">
        <v>24679.38718179685</v>
      </c>
      <c r="Q161" s="1553">
        <v>165047.87812896268</v>
      </c>
      <c r="R161" s="1551">
        <v>90</v>
      </c>
      <c r="S161" s="1551">
        <v>5572.2131990200814</v>
      </c>
      <c r="T161" s="1552">
        <v>40378.356514638268</v>
      </c>
      <c r="U161" s="1595">
        <v>0.24464632306928552</v>
      </c>
    </row>
    <row r="162" spans="1:21">
      <c r="A162" t="s">
        <v>1174</v>
      </c>
      <c r="B162" t="s">
        <v>476</v>
      </c>
      <c r="C162" s="287">
        <v>138</v>
      </c>
      <c r="D162" s="1550">
        <v>0</v>
      </c>
      <c r="E162" s="1551">
        <v>0</v>
      </c>
      <c r="F162" s="1552">
        <v>0</v>
      </c>
      <c r="G162" s="1552">
        <v>0</v>
      </c>
      <c r="H162" s="1593">
        <v>0</v>
      </c>
      <c r="I162" s="1553">
        <v>1711.790370798054</v>
      </c>
      <c r="J162" s="1594">
        <v>0.12277463874320498</v>
      </c>
      <c r="K162" s="1550">
        <v>0</v>
      </c>
      <c r="L162" s="1551">
        <v>0</v>
      </c>
      <c r="M162" s="1595">
        <v>0.28066172362567149</v>
      </c>
      <c r="N162" s="1552">
        <v>0</v>
      </c>
      <c r="O162" s="1551">
        <v>0</v>
      </c>
      <c r="P162" s="1553">
        <v>29002.693324278262</v>
      </c>
      <c r="Q162" s="1553">
        <v>189704.44437882796</v>
      </c>
      <c r="R162" s="1551">
        <v>138</v>
      </c>
      <c r="S162" s="1551">
        <v>8139.945898178692</v>
      </c>
      <c r="T162" s="1552">
        <v>58985.115204193418</v>
      </c>
      <c r="U162" s="1595">
        <v>0.31093164631611803</v>
      </c>
    </row>
    <row r="163" spans="1:21">
      <c r="A163" t="s">
        <v>89</v>
      </c>
      <c r="B163" t="s">
        <v>732</v>
      </c>
      <c r="C163" s="287">
        <v>184</v>
      </c>
      <c r="D163" s="1550">
        <v>0</v>
      </c>
      <c r="E163" s="1551">
        <v>0</v>
      </c>
      <c r="F163" s="1552">
        <v>0</v>
      </c>
      <c r="G163" s="1552">
        <v>0</v>
      </c>
      <c r="H163" s="1593">
        <v>23</v>
      </c>
      <c r="I163" s="1553">
        <v>1045.957275886032</v>
      </c>
      <c r="J163" s="1594">
        <v>0.2292737980737565</v>
      </c>
      <c r="K163" s="1550">
        <v>4</v>
      </c>
      <c r="L163" s="1551">
        <v>760</v>
      </c>
      <c r="M163" s="1595">
        <v>0.33369832036967961</v>
      </c>
      <c r="N163" s="1552">
        <v>0.15299499834656086</v>
      </c>
      <c r="O163" s="1551">
        <v>465.10479497354498</v>
      </c>
      <c r="P163" s="1553">
        <v>43631.012302722236</v>
      </c>
      <c r="Q163" s="1553">
        <v>288886.75581682776</v>
      </c>
      <c r="R163" s="1551">
        <v>180</v>
      </c>
      <c r="S163" s="1551">
        <v>14404.390832568681</v>
      </c>
      <c r="T163" s="1552">
        <v>104379.6437142658</v>
      </c>
      <c r="U163" s="1595">
        <v>0.36131681917757769</v>
      </c>
    </row>
    <row r="164" spans="1:21">
      <c r="A164" t="s">
        <v>1175</v>
      </c>
      <c r="B164" t="s">
        <v>476</v>
      </c>
      <c r="C164" s="287">
        <v>104</v>
      </c>
      <c r="D164" s="1550">
        <v>0</v>
      </c>
      <c r="E164" s="1551">
        <v>0</v>
      </c>
      <c r="F164" s="1552">
        <v>0</v>
      </c>
      <c r="G164" s="1552">
        <v>0</v>
      </c>
      <c r="H164" s="1593">
        <v>0</v>
      </c>
      <c r="I164" s="1553">
        <v>1711.790370798054</v>
      </c>
      <c r="J164" s="1594">
        <v>0.12277463874320498</v>
      </c>
      <c r="K164" s="1550">
        <v>0</v>
      </c>
      <c r="L164" s="1551">
        <v>0</v>
      </c>
      <c r="M164" s="1595">
        <v>0.28066172362567149</v>
      </c>
      <c r="N164" s="1552">
        <v>0</v>
      </c>
      <c r="O164" s="1551">
        <v>0</v>
      </c>
      <c r="P164" s="1553">
        <v>21857.102215398107</v>
      </c>
      <c r="Q164" s="1553">
        <v>142965.66822752249</v>
      </c>
      <c r="R164" s="1551">
        <v>104</v>
      </c>
      <c r="S164" s="1551">
        <v>6134.4519812361168</v>
      </c>
      <c r="T164" s="1552">
        <v>44452.550588667509</v>
      </c>
      <c r="U164" s="1595">
        <v>0.31093164631611814</v>
      </c>
    </row>
    <row r="165" spans="1:21">
      <c r="A165" t="s">
        <v>1041</v>
      </c>
      <c r="B165" t="s">
        <v>730</v>
      </c>
      <c r="C165" s="287">
        <v>231</v>
      </c>
      <c r="D165" s="1550">
        <v>11</v>
      </c>
      <c r="E165" s="1551">
        <v>1704.1818181818182</v>
      </c>
      <c r="F165" s="1552">
        <v>0.13446374145718043</v>
      </c>
      <c r="G165" s="1552">
        <v>2520.6572973563043</v>
      </c>
      <c r="H165" s="1593">
        <v>83</v>
      </c>
      <c r="I165" s="1553">
        <v>1481.2344578313255</v>
      </c>
      <c r="J165" s="1594">
        <v>0.16211314724736917</v>
      </c>
      <c r="K165" s="1550">
        <v>55</v>
      </c>
      <c r="L165" s="1551">
        <v>1293.4560000000001</v>
      </c>
      <c r="M165" s="1595">
        <v>0.2802887203636637</v>
      </c>
      <c r="N165" s="1552">
        <v>0.11877075459199467</v>
      </c>
      <c r="O165" s="1551">
        <v>8449.3609833348692</v>
      </c>
      <c r="P165" s="1553">
        <v>50591.068942788479</v>
      </c>
      <c r="Q165" s="1553">
        <v>332353.6879912208</v>
      </c>
      <c r="R165" s="1551">
        <v>165</v>
      </c>
      <c r="S165" s="1551">
        <v>11105.333589543143</v>
      </c>
      <c r="T165" s="1552">
        <v>80473.43180828364</v>
      </c>
      <c r="U165" s="1595">
        <v>0.2421319056053603</v>
      </c>
    </row>
    <row r="166" spans="1:21">
      <c r="A166" t="s">
        <v>1008</v>
      </c>
      <c r="B166" t="s">
        <v>735</v>
      </c>
      <c r="C166" s="287">
        <v>55</v>
      </c>
      <c r="D166" s="1550">
        <v>11</v>
      </c>
      <c r="E166" s="1551">
        <v>1669</v>
      </c>
      <c r="F166" s="1552">
        <v>0.10008906636680802</v>
      </c>
      <c r="G166" s="1552">
        <v>1837.5351694282285</v>
      </c>
      <c r="H166" s="1593">
        <v>3</v>
      </c>
      <c r="I166" s="1553">
        <v>1747.5136673928823</v>
      </c>
      <c r="J166" s="1594">
        <v>0.15393570674124443</v>
      </c>
      <c r="K166" s="1550">
        <v>0</v>
      </c>
      <c r="L166" s="1551">
        <v>0</v>
      </c>
      <c r="M166" s="1595">
        <v>0.23015757030298531</v>
      </c>
      <c r="N166" s="1552">
        <v>0</v>
      </c>
      <c r="O166" s="1551">
        <v>0</v>
      </c>
      <c r="P166" s="1553">
        <v>13673.74423235295</v>
      </c>
      <c r="Q166" s="1553">
        <v>90930.755306905441</v>
      </c>
      <c r="R166" s="1551">
        <v>44</v>
      </c>
      <c r="S166" s="1551">
        <v>2724.1931195209286</v>
      </c>
      <c r="T166" s="1552">
        <v>19740.529851600932</v>
      </c>
      <c r="U166" s="1595">
        <v>0.21709409302687055</v>
      </c>
    </row>
    <row r="167" spans="1:21">
      <c r="A167" t="s">
        <v>196</v>
      </c>
      <c r="B167" t="s">
        <v>732</v>
      </c>
      <c r="C167" s="287">
        <v>96</v>
      </c>
      <c r="D167" s="1550">
        <v>0</v>
      </c>
      <c r="E167" s="1551">
        <v>0</v>
      </c>
      <c r="F167" s="1552">
        <v>0</v>
      </c>
      <c r="G167" s="1552">
        <v>0</v>
      </c>
      <c r="H167" s="1593">
        <v>36</v>
      </c>
      <c r="I167" s="1553">
        <v>983.77777777777783</v>
      </c>
      <c r="J167" s="1594">
        <v>0.17037408735424203</v>
      </c>
      <c r="K167" s="1550">
        <v>22</v>
      </c>
      <c r="L167" s="1551">
        <v>991.81818181818187</v>
      </c>
      <c r="M167" s="1595">
        <v>0.26476630032745235</v>
      </c>
      <c r="N167" s="1552">
        <v>0.12972502307541081</v>
      </c>
      <c r="O167" s="1551">
        <v>2830.6000035054644</v>
      </c>
      <c r="P167" s="1553">
        <v>15233.757841077682</v>
      </c>
      <c r="Q167" s="1553">
        <v>96156.506094765806</v>
      </c>
      <c r="R167" s="1551">
        <v>74</v>
      </c>
      <c r="S167" s="1551">
        <v>3283.9382130314402</v>
      </c>
      <c r="T167" s="1552">
        <v>23796.65371761913</v>
      </c>
      <c r="U167" s="1595">
        <v>0.24747835257415285</v>
      </c>
    </row>
    <row r="168" spans="1:21">
      <c r="A168" t="s">
        <v>39</v>
      </c>
      <c r="B168" t="s">
        <v>732</v>
      </c>
      <c r="C168" s="287">
        <v>94</v>
      </c>
      <c r="D168" s="1550">
        <v>0</v>
      </c>
      <c r="E168" s="1551">
        <v>0</v>
      </c>
      <c r="F168" s="1552">
        <v>0</v>
      </c>
      <c r="G168" s="1552">
        <v>0</v>
      </c>
      <c r="H168" s="1593">
        <v>14</v>
      </c>
      <c r="I168" s="1553">
        <v>1045.957275886032</v>
      </c>
      <c r="J168" s="1594">
        <v>0.1327940994298458</v>
      </c>
      <c r="K168" s="1550">
        <v>6</v>
      </c>
      <c r="L168" s="1551">
        <v>1015.5</v>
      </c>
      <c r="M168" s="1595">
        <v>0.33369832036967961</v>
      </c>
      <c r="N168" s="1552">
        <v>9.1466977466394303E-2</v>
      </c>
      <c r="O168" s="1551">
        <v>557.30829370274046</v>
      </c>
      <c r="P168" s="1553">
        <v>12780.240289120215</v>
      </c>
      <c r="Q168" s="1553">
        <v>78673.915138552271</v>
      </c>
      <c r="R168" s="1551">
        <v>88</v>
      </c>
      <c r="S168" s="1551">
        <v>4078.7718768636278</v>
      </c>
      <c r="T168" s="1552">
        <v>29556.317948287156</v>
      </c>
      <c r="U168" s="1595">
        <v>0.37568129025021396</v>
      </c>
    </row>
    <row r="169" spans="1:21">
      <c r="A169" t="s">
        <v>1176</v>
      </c>
      <c r="B169" t="s">
        <v>476</v>
      </c>
      <c r="C169" s="287">
        <v>49</v>
      </c>
      <c r="D169" s="1550">
        <v>1</v>
      </c>
      <c r="E169" s="1551">
        <v>1569</v>
      </c>
      <c r="F169" s="1552">
        <v>3.9668578712555767E-2</v>
      </c>
      <c r="G169" s="1552">
        <v>62.24</v>
      </c>
      <c r="H169" s="1593">
        <v>7</v>
      </c>
      <c r="I169" s="1553">
        <v>1711.790370798054</v>
      </c>
      <c r="J169" s="1594">
        <v>0.12277463874320498</v>
      </c>
      <c r="K169" s="1550">
        <v>5</v>
      </c>
      <c r="L169" s="1551">
        <v>1122.4000000000001</v>
      </c>
      <c r="M169" s="1595">
        <v>0.28066172362567149</v>
      </c>
      <c r="N169" s="1552">
        <v>9.9747510822510821E-2</v>
      </c>
      <c r="O169" s="1551">
        <v>559.78303073593077</v>
      </c>
      <c r="P169" s="1553">
        <v>9659.0941390255339</v>
      </c>
      <c r="Q169" s="1553">
        <v>62728.653181344453</v>
      </c>
      <c r="R169" s="1551">
        <v>43</v>
      </c>
      <c r="S169" s="1551">
        <v>2536.3599537803175</v>
      </c>
      <c r="T169" s="1552">
        <v>18379.419954929836</v>
      </c>
      <c r="U169" s="1595">
        <v>0.29299879756378844</v>
      </c>
    </row>
    <row r="170" spans="1:21">
      <c r="A170" t="s">
        <v>1358</v>
      </c>
      <c r="B170" t="s">
        <v>731</v>
      </c>
      <c r="C170" s="287">
        <v>30</v>
      </c>
      <c r="D170" s="1550">
        <v>0</v>
      </c>
      <c r="E170" s="1551">
        <v>0</v>
      </c>
      <c r="F170" s="1552">
        <v>0</v>
      </c>
      <c r="G170" s="1552">
        <v>0</v>
      </c>
      <c r="H170" s="1593">
        <v>0</v>
      </c>
      <c r="I170" s="1553">
        <v>1845.1516180904523</v>
      </c>
      <c r="J170" s="1594">
        <v>0.15431414630255985</v>
      </c>
      <c r="K170" s="1550">
        <v>0</v>
      </c>
      <c r="L170" s="1551">
        <v>0</v>
      </c>
      <c r="M170" s="1595">
        <v>0.29993685238767825</v>
      </c>
      <c r="N170" s="1552">
        <v>0</v>
      </c>
      <c r="O170" s="1551">
        <v>0</v>
      </c>
      <c r="P170" s="1553">
        <v>8541.9899023324542</v>
      </c>
      <c r="Q170" s="1553">
        <v>57450.651466177202</v>
      </c>
      <c r="R170" s="1551">
        <v>30</v>
      </c>
      <c r="S170" s="1551">
        <v>2562.0575644329274</v>
      </c>
      <c r="T170" s="1552">
        <v>18565.634524876285</v>
      </c>
      <c r="U170" s="1595">
        <v>0.32315794601226394</v>
      </c>
    </row>
    <row r="171" spans="1:21">
      <c r="A171" t="s">
        <v>201</v>
      </c>
      <c r="B171" t="s">
        <v>728</v>
      </c>
      <c r="C171" s="287">
        <v>22</v>
      </c>
      <c r="D171" s="1550">
        <v>0</v>
      </c>
      <c r="E171" s="1551">
        <v>0</v>
      </c>
      <c r="F171" s="1552">
        <v>0</v>
      </c>
      <c r="G171" s="1552">
        <v>0</v>
      </c>
      <c r="H171" s="1593">
        <v>8</v>
      </c>
      <c r="I171" s="1553">
        <v>1537.6424999999999</v>
      </c>
      <c r="J171" s="1594">
        <v>0.12035946355715328</v>
      </c>
      <c r="K171" s="1550">
        <v>8</v>
      </c>
      <c r="L171" s="1551">
        <v>1537.6424999999999</v>
      </c>
      <c r="M171" s="1595">
        <v>0.32065910269953968</v>
      </c>
      <c r="N171" s="1552">
        <v>6.2789905066020932E-2</v>
      </c>
      <c r="O171" s="1551">
        <v>772.38741280383272</v>
      </c>
      <c r="P171" s="1553">
        <v>3363.3649830013533</v>
      </c>
      <c r="Q171" s="1553">
        <v>21110.470891314155</v>
      </c>
      <c r="R171" s="1551">
        <v>14</v>
      </c>
      <c r="S171" s="1551">
        <v>830.82054277417058</v>
      </c>
      <c r="T171" s="1552">
        <v>6020.438715754859</v>
      </c>
      <c r="U171" s="1595">
        <v>0.28518732465754482</v>
      </c>
    </row>
    <row r="172" spans="1:21">
      <c r="A172" t="s">
        <v>1043</v>
      </c>
      <c r="B172" t="s">
        <v>735</v>
      </c>
      <c r="C172" s="287">
        <v>171</v>
      </c>
      <c r="D172" s="1550">
        <v>4</v>
      </c>
      <c r="E172" s="1551">
        <v>1406.5</v>
      </c>
      <c r="F172" s="1552">
        <v>0.17734437887659524</v>
      </c>
      <c r="G172" s="1552">
        <v>997.73947555972484</v>
      </c>
      <c r="H172" s="1593">
        <v>78</v>
      </c>
      <c r="I172" s="1553">
        <v>1296.4038461538462</v>
      </c>
      <c r="J172" s="1594">
        <v>0.21145647869643716</v>
      </c>
      <c r="K172" s="1550">
        <v>57</v>
      </c>
      <c r="L172" s="1551">
        <v>1212.2631578947369</v>
      </c>
      <c r="M172" s="1595">
        <v>0.21822297176596811</v>
      </c>
      <c r="N172" s="1552">
        <v>0.15386386051873557</v>
      </c>
      <c r="O172" s="1551">
        <v>10631.838897984109</v>
      </c>
      <c r="P172" s="1553">
        <v>41784.207523926932</v>
      </c>
      <c r="Q172" s="1553">
        <v>277431.50379657198</v>
      </c>
      <c r="R172" s="1551">
        <v>110</v>
      </c>
      <c r="S172" s="1551">
        <v>6580.4327856972895</v>
      </c>
      <c r="T172" s="1552">
        <v>47684.295548531081</v>
      </c>
      <c r="U172" s="1595">
        <v>0.17187772439677876</v>
      </c>
    </row>
    <row r="173" spans="1:21">
      <c r="A173" t="s">
        <v>1180</v>
      </c>
      <c r="B173" t="s">
        <v>736</v>
      </c>
      <c r="C173" s="287">
        <v>18</v>
      </c>
      <c r="D173" s="1550">
        <v>0</v>
      </c>
      <c r="E173" s="1551">
        <v>0</v>
      </c>
      <c r="F173" s="1552">
        <v>0</v>
      </c>
      <c r="G173" s="1552">
        <v>0</v>
      </c>
      <c r="H173" s="1593">
        <v>0</v>
      </c>
      <c r="I173" s="1553">
        <v>1121.8146232876711</v>
      </c>
      <c r="J173" s="1594">
        <v>0.2465402206361047</v>
      </c>
      <c r="K173" s="1550">
        <v>0</v>
      </c>
      <c r="L173" s="1551">
        <v>0</v>
      </c>
      <c r="M173" s="1595">
        <v>0.32640460980310909</v>
      </c>
      <c r="N173" s="1552">
        <v>0</v>
      </c>
      <c r="O173" s="1551">
        <v>0</v>
      </c>
      <c r="P173" s="1553">
        <v>4978.30364528672</v>
      </c>
      <c r="Q173" s="1553">
        <v>33405.968444106664</v>
      </c>
      <c r="R173" s="1551">
        <v>18</v>
      </c>
      <c r="S173" s="1551">
        <v>1624.9412588212074</v>
      </c>
      <c r="T173" s="1552">
        <v>11774.93665812469</v>
      </c>
      <c r="U173" s="1595">
        <v>0.352480026969611</v>
      </c>
    </row>
    <row r="174" spans="1:21">
      <c r="A174" t="s">
        <v>90</v>
      </c>
      <c r="B174" t="s">
        <v>730</v>
      </c>
      <c r="C174" s="287">
        <v>114</v>
      </c>
      <c r="D174" s="1550">
        <v>54</v>
      </c>
      <c r="E174" s="1551">
        <v>825.44444444444446</v>
      </c>
      <c r="F174" s="1552">
        <v>0.19166113781524033</v>
      </c>
      <c r="G174" s="1552">
        <v>8543.1035569765227</v>
      </c>
      <c r="H174" s="1593">
        <v>66</v>
      </c>
      <c r="I174" s="1553">
        <v>903.51257575757575</v>
      </c>
      <c r="J174" s="1594">
        <v>0.12488160057465821</v>
      </c>
      <c r="K174" s="1550">
        <v>65</v>
      </c>
      <c r="L174" s="1551">
        <v>908.79738461538477</v>
      </c>
      <c r="M174" s="1595">
        <v>0.13467930038965795</v>
      </c>
      <c r="N174" s="1552">
        <v>9.8621669968120801E-2</v>
      </c>
      <c r="O174" s="1551">
        <v>5825.7625226729378</v>
      </c>
      <c r="P174" s="1553">
        <v>13804.70559664977</v>
      </c>
      <c r="Q174" s="1553">
        <v>83132.35939601282</v>
      </c>
      <c r="R174" s="1551">
        <v>0</v>
      </c>
      <c r="S174" s="1551">
        <v>0</v>
      </c>
      <c r="T174" s="1552">
        <v>0</v>
      </c>
      <c r="U174" s="1595">
        <v>0</v>
      </c>
    </row>
    <row r="175" spans="1:21">
      <c r="A175" t="s">
        <v>1044</v>
      </c>
      <c r="B175" t="s">
        <v>730</v>
      </c>
      <c r="C175" s="287">
        <v>50</v>
      </c>
      <c r="D175" s="1550">
        <v>4</v>
      </c>
      <c r="E175" s="1551">
        <v>1161</v>
      </c>
      <c r="F175" s="1552">
        <v>0.10731481481481482</v>
      </c>
      <c r="G175" s="1552">
        <v>498.37</v>
      </c>
      <c r="H175" s="1593">
        <v>26</v>
      </c>
      <c r="I175" s="1553">
        <v>1019.0769230769231</v>
      </c>
      <c r="J175" s="1594">
        <v>0.14845755700810109</v>
      </c>
      <c r="K175" s="1550">
        <v>20</v>
      </c>
      <c r="L175" s="1551">
        <v>1003</v>
      </c>
      <c r="M175" s="1595">
        <v>0.23395073758204316</v>
      </c>
      <c r="N175" s="1552">
        <v>0.11866101348280592</v>
      </c>
      <c r="O175" s="1551">
        <v>2380.3399304650866</v>
      </c>
      <c r="P175" s="1553">
        <v>6812.2413609517334</v>
      </c>
      <c r="Q175" s="1553">
        <v>41951.0243547227</v>
      </c>
      <c r="R175" s="1551">
        <v>26</v>
      </c>
      <c r="S175" s="1551">
        <v>920.25257946450029</v>
      </c>
      <c r="T175" s="1552">
        <v>6668.4969526413061</v>
      </c>
      <c r="U175" s="1595">
        <v>0.15895909707126352</v>
      </c>
    </row>
    <row r="176" spans="1:21">
      <c r="A176" t="s">
        <v>250</v>
      </c>
      <c r="B176" t="s">
        <v>732</v>
      </c>
      <c r="C176" s="287">
        <v>70</v>
      </c>
      <c r="D176" s="1550">
        <v>0</v>
      </c>
      <c r="E176" s="1551">
        <v>0</v>
      </c>
      <c r="F176" s="1552">
        <v>0</v>
      </c>
      <c r="G176" s="1552">
        <v>0</v>
      </c>
      <c r="H176" s="1593">
        <v>0</v>
      </c>
      <c r="I176" s="1553">
        <v>1045.957275886032</v>
      </c>
      <c r="J176" s="1594">
        <v>0.16663814568985108</v>
      </c>
      <c r="K176" s="1550">
        <v>0</v>
      </c>
      <c r="L176" s="1551">
        <v>0</v>
      </c>
      <c r="M176" s="1595">
        <v>0.33369832036967961</v>
      </c>
      <c r="N176" s="1552">
        <v>0</v>
      </c>
      <c r="O176" s="1551">
        <v>0</v>
      </c>
      <c r="P176" s="1553">
        <v>12200.746664711945</v>
      </c>
      <c r="Q176" s="1553">
        <v>78032.946845738741</v>
      </c>
      <c r="R176" s="1551">
        <v>70</v>
      </c>
      <c r="S176" s="1551">
        <v>4071.3686692703468</v>
      </c>
      <c r="T176" s="1552">
        <v>29502.671516451785</v>
      </c>
      <c r="U176" s="1595">
        <v>0.37807967927668851</v>
      </c>
    </row>
    <row r="177" spans="1:21">
      <c r="A177" t="s">
        <v>91</v>
      </c>
      <c r="B177" t="s">
        <v>732</v>
      </c>
      <c r="C177" s="287">
        <v>59</v>
      </c>
      <c r="D177" s="1550">
        <v>0</v>
      </c>
      <c r="E177" s="1551">
        <v>0</v>
      </c>
      <c r="F177" s="1552">
        <v>0</v>
      </c>
      <c r="G177" s="1552">
        <v>0</v>
      </c>
      <c r="H177" s="1593">
        <v>34</v>
      </c>
      <c r="I177" s="1553">
        <v>812.35294117647061</v>
      </c>
      <c r="J177" s="1594">
        <v>0.14470630119954386</v>
      </c>
      <c r="K177" s="1550">
        <v>28</v>
      </c>
      <c r="L177" s="1551">
        <v>808.28571428571433</v>
      </c>
      <c r="M177" s="1595">
        <v>0.3521411667985167</v>
      </c>
      <c r="N177" s="1552">
        <v>7.8311806736843112E-2</v>
      </c>
      <c r="O177" s="1551">
        <v>1772.3528100682333</v>
      </c>
      <c r="P177" s="1553">
        <v>5416.4830810409821</v>
      </c>
      <c r="Q177" s="1553">
        <v>30502.486094499873</v>
      </c>
      <c r="R177" s="1551">
        <v>31</v>
      </c>
      <c r="S177" s="1551">
        <v>1283.2482855861385</v>
      </c>
      <c r="T177" s="1552">
        <v>9298.9006201894081</v>
      </c>
      <c r="U177" s="1595">
        <v>0.30485713824704147</v>
      </c>
    </row>
    <row r="178" spans="1:21">
      <c r="A178" t="s">
        <v>1046</v>
      </c>
      <c r="B178" t="s">
        <v>735</v>
      </c>
      <c r="C178" s="287">
        <v>107</v>
      </c>
      <c r="D178" s="1550">
        <v>0</v>
      </c>
      <c r="E178" s="1551">
        <v>0</v>
      </c>
      <c r="F178" s="1552">
        <v>0</v>
      </c>
      <c r="G178" s="1552">
        <v>0</v>
      </c>
      <c r="H178" s="1593">
        <v>0</v>
      </c>
      <c r="I178" s="1553">
        <v>1747.5136673928823</v>
      </c>
      <c r="J178" s="1594">
        <v>0.15393570674124443</v>
      </c>
      <c r="K178" s="1550">
        <v>0</v>
      </c>
      <c r="L178" s="1551">
        <v>0</v>
      </c>
      <c r="M178" s="1595">
        <v>0.23015757030298531</v>
      </c>
      <c r="N178" s="1552">
        <v>0</v>
      </c>
      <c r="O178" s="1551">
        <v>0</v>
      </c>
      <c r="P178" s="1553">
        <v>28783.508403021482</v>
      </c>
      <c r="Q178" s="1553">
        <v>192712.23480450347</v>
      </c>
      <c r="R178" s="1551">
        <v>107</v>
      </c>
      <c r="S178" s="1551">
        <v>6624.7423588349848</v>
      </c>
      <c r="T178" s="1552">
        <v>48005.379411847709</v>
      </c>
      <c r="U178" s="1595">
        <v>0.24910395263978266</v>
      </c>
    </row>
    <row r="179" spans="1:21">
      <c r="A179" t="s">
        <v>203</v>
      </c>
      <c r="B179" t="s">
        <v>736</v>
      </c>
      <c r="C179" s="287">
        <v>37</v>
      </c>
      <c r="D179" s="1550">
        <v>1</v>
      </c>
      <c r="E179" s="1551">
        <v>1184</v>
      </c>
      <c r="F179" s="1552">
        <v>8.6250000000000007E-2</v>
      </c>
      <c r="G179" s="1552">
        <v>102.12</v>
      </c>
      <c r="H179" s="1593">
        <v>1</v>
      </c>
      <c r="I179" s="1553">
        <v>1121.8146232876711</v>
      </c>
      <c r="J179" s="1594">
        <v>0.2465402206361047</v>
      </c>
      <c r="K179" s="1550">
        <v>1</v>
      </c>
      <c r="L179" s="1551">
        <v>1040</v>
      </c>
      <c r="M179" s="1595">
        <v>0.32640460980310909</v>
      </c>
      <c r="N179" s="1552">
        <v>5.5125E-2</v>
      </c>
      <c r="O179" s="1551">
        <v>57.33</v>
      </c>
      <c r="P179" s="1553">
        <v>9839.4848658352894</v>
      </c>
      <c r="Q179" s="1553">
        <v>65814.962795907879</v>
      </c>
      <c r="R179" s="1551">
        <v>35</v>
      </c>
      <c r="S179" s="1551">
        <v>3159.6080032634591</v>
      </c>
      <c r="T179" s="1552">
        <v>22895.710168575788</v>
      </c>
      <c r="U179" s="1595">
        <v>0.34788001384389378</v>
      </c>
    </row>
    <row r="180" spans="1:21">
      <c r="A180" t="s">
        <v>35</v>
      </c>
      <c r="B180" t="s">
        <v>728</v>
      </c>
      <c r="C180" s="287">
        <v>13</v>
      </c>
      <c r="D180" s="1550">
        <v>0</v>
      </c>
      <c r="E180" s="1551">
        <v>0</v>
      </c>
      <c r="F180" s="1552">
        <v>0</v>
      </c>
      <c r="G180" s="1552">
        <v>0</v>
      </c>
      <c r="H180" s="1593">
        <v>2</v>
      </c>
      <c r="I180" s="1553">
        <v>920</v>
      </c>
      <c r="J180" s="1594">
        <v>0.12035946355715328</v>
      </c>
      <c r="K180" s="1550">
        <v>2</v>
      </c>
      <c r="L180" s="1551">
        <v>920</v>
      </c>
      <c r="M180" s="1595">
        <v>0.32065910269953968</v>
      </c>
      <c r="N180" s="1552">
        <v>7.396933839805428E-2</v>
      </c>
      <c r="O180" s="1551">
        <v>136.10358265241987</v>
      </c>
      <c r="P180" s="1553">
        <v>1354.1413538508109</v>
      </c>
      <c r="Q180" s="1553">
        <v>7885.2272018174699</v>
      </c>
      <c r="R180" s="1551">
        <v>11</v>
      </c>
      <c r="S180" s="1551">
        <v>390.57489876662333</v>
      </c>
      <c r="T180" s="1552">
        <v>2830.2528896132121</v>
      </c>
      <c r="U180" s="1595">
        <v>0.35893105134128106</v>
      </c>
    </row>
    <row r="181" spans="1:21">
      <c r="A181" t="s">
        <v>31</v>
      </c>
      <c r="B181" t="s">
        <v>734</v>
      </c>
      <c r="C181" s="287">
        <v>114</v>
      </c>
      <c r="D181" s="1550">
        <v>0</v>
      </c>
      <c r="E181" s="1551">
        <v>0</v>
      </c>
      <c r="F181" s="1552">
        <v>0</v>
      </c>
      <c r="G181" s="1552">
        <v>0</v>
      </c>
      <c r="H181" s="1593">
        <v>34</v>
      </c>
      <c r="I181" s="1553">
        <v>840.29411764705878</v>
      </c>
      <c r="J181" s="1594">
        <v>0.26278860430233231</v>
      </c>
      <c r="K181" s="1550">
        <v>33</v>
      </c>
      <c r="L181" s="1551">
        <v>843.93939393939399</v>
      </c>
      <c r="M181" s="1595">
        <v>0.42318500023077243</v>
      </c>
      <c r="N181" s="1552">
        <v>0.11368236411167582</v>
      </c>
      <c r="O181" s="1551">
        <v>3166.0538405101715</v>
      </c>
      <c r="P181" s="1553">
        <v>21052.451029284533</v>
      </c>
      <c r="Q181" s="1553">
        <v>135652.25383539518</v>
      </c>
      <c r="R181" s="1551">
        <v>81</v>
      </c>
      <c r="S181" s="1551">
        <v>7569.2549984591651</v>
      </c>
      <c r="T181" s="1552">
        <v>54849.673901878006</v>
      </c>
      <c r="U181" s="1595">
        <v>0.4043403065638288</v>
      </c>
    </row>
    <row r="182" spans="1:21">
      <c r="A182" s="46" t="s">
        <v>21</v>
      </c>
      <c r="B182" t="s">
        <v>729</v>
      </c>
      <c r="C182" s="287">
        <v>1216</v>
      </c>
      <c r="D182" s="1550">
        <v>59</v>
      </c>
      <c r="E182" s="1551">
        <v>1486.8305084745762</v>
      </c>
      <c r="F182" s="1552">
        <v>8.6594017444421495E-2</v>
      </c>
      <c r="G182" s="1552">
        <v>7596.2869922769869</v>
      </c>
      <c r="H182" s="1593">
        <v>186</v>
      </c>
      <c r="I182" s="1553">
        <v>1251.0733333333333</v>
      </c>
      <c r="J182" s="1594">
        <v>0.15056342593599567</v>
      </c>
      <c r="K182" s="1550">
        <v>97</v>
      </c>
      <c r="L182" s="1551">
        <v>1090.3282474226803</v>
      </c>
      <c r="M182" s="1595">
        <v>0.25089626237142265</v>
      </c>
      <c r="N182" s="1552">
        <v>0.10819736577165509</v>
      </c>
      <c r="O182" s="1551">
        <v>11443.152487163261</v>
      </c>
      <c r="P182" s="1553">
        <v>218707.27987310273</v>
      </c>
      <c r="Q182" s="1553">
        <v>1404550.1440079908</v>
      </c>
      <c r="R182" s="1551">
        <v>1060</v>
      </c>
      <c r="S182" s="1551">
        <v>50095.914870543682</v>
      </c>
      <c r="T182" s="1552">
        <v>363013.87587350491</v>
      </c>
      <c r="U182" s="1595">
        <v>0.25845561827904351</v>
      </c>
    </row>
    <row r="183" spans="1:21">
      <c r="A183" t="s">
        <v>1048</v>
      </c>
      <c r="B183" t="s">
        <v>730</v>
      </c>
      <c r="C183" s="287">
        <v>57</v>
      </c>
      <c r="D183" s="1550">
        <v>1</v>
      </c>
      <c r="E183" s="1551">
        <v>1952</v>
      </c>
      <c r="F183" s="1552">
        <v>9.4313524590163927E-2</v>
      </c>
      <c r="G183" s="1552">
        <v>184.1</v>
      </c>
      <c r="H183" s="1593">
        <v>37</v>
      </c>
      <c r="I183" s="1553">
        <v>971.24324324324323</v>
      </c>
      <c r="J183" s="1594">
        <v>0.15683228697055726</v>
      </c>
      <c r="K183" s="1550">
        <v>37</v>
      </c>
      <c r="L183" s="1551">
        <v>971.24324324324323</v>
      </c>
      <c r="M183" s="1595">
        <v>0.38897551866875746</v>
      </c>
      <c r="N183" s="1552">
        <v>9.2904862252492143E-2</v>
      </c>
      <c r="O183" s="1551">
        <v>3338.6291299055574</v>
      </c>
      <c r="P183" s="1553">
        <v>6416.8528117137994</v>
      </c>
      <c r="Q183" s="1553">
        <v>38048.063852998544</v>
      </c>
      <c r="R183" s="1551">
        <v>19</v>
      </c>
      <c r="S183" s="1551">
        <v>1125.7432602228948</v>
      </c>
      <c r="T183" s="1552">
        <v>8157.5598566876433</v>
      </c>
      <c r="U183" s="1595">
        <v>0.21440144466233466</v>
      </c>
    </row>
    <row r="184" spans="1:21">
      <c r="A184" t="s">
        <v>92</v>
      </c>
      <c r="B184" t="s">
        <v>734</v>
      </c>
      <c r="C184" s="287">
        <v>153</v>
      </c>
      <c r="D184" s="1550">
        <v>0</v>
      </c>
      <c r="E184" s="1551">
        <v>0</v>
      </c>
      <c r="F184" s="1552">
        <v>0</v>
      </c>
      <c r="G184" s="1552">
        <v>0</v>
      </c>
      <c r="H184" s="1593">
        <v>0</v>
      </c>
      <c r="I184" s="1553">
        <v>1150.5043326039388</v>
      </c>
      <c r="J184" s="1594">
        <v>0.20810870859113864</v>
      </c>
      <c r="K184" s="1550">
        <v>0</v>
      </c>
      <c r="L184" s="1551">
        <v>0</v>
      </c>
      <c r="M184" s="1595">
        <v>0.33143950254743459</v>
      </c>
      <c r="N184" s="1552">
        <v>0</v>
      </c>
      <c r="O184" s="1551">
        <v>0</v>
      </c>
      <c r="P184" s="1553">
        <v>36632.785545667481</v>
      </c>
      <c r="Q184" s="1553">
        <v>242771.05467874985</v>
      </c>
      <c r="R184" s="1551">
        <v>153</v>
      </c>
      <c r="S184" s="1551">
        <v>12141.552218182882</v>
      </c>
      <c r="T184" s="1552">
        <v>87982.262450600581</v>
      </c>
      <c r="U184" s="1595">
        <v>0.36240837099391576</v>
      </c>
    </row>
    <row r="185" spans="1:21">
      <c r="A185" t="s">
        <v>1050</v>
      </c>
      <c r="B185" t="s">
        <v>736</v>
      </c>
      <c r="C185" s="287">
        <v>27</v>
      </c>
      <c r="D185" s="1550">
        <v>6</v>
      </c>
      <c r="E185" s="1551">
        <v>1410.6666666666667</v>
      </c>
      <c r="F185" s="1552">
        <v>7.8216079114572665E-2</v>
      </c>
      <c r="G185" s="1552">
        <v>662.02089362574304</v>
      </c>
      <c r="H185" s="1593">
        <v>20</v>
      </c>
      <c r="I185" s="1553">
        <v>1185.2625</v>
      </c>
      <c r="J185" s="1594">
        <v>0.2576999515711923</v>
      </c>
      <c r="K185" s="1550">
        <v>16</v>
      </c>
      <c r="L185" s="1551">
        <v>1041.140625</v>
      </c>
      <c r="M185" s="1595">
        <v>0.23042203805975361</v>
      </c>
      <c r="N185" s="1552">
        <v>0.15797494127378373</v>
      </c>
      <c r="O185" s="1551">
        <v>2631.5860654740077</v>
      </c>
      <c r="P185" s="1553">
        <v>4820.8174033455025</v>
      </c>
      <c r="Q185" s="1553">
        <v>30930.415966271754</v>
      </c>
      <c r="R185" s="1551">
        <v>5</v>
      </c>
      <c r="S185" s="1551">
        <v>351.90294310924781</v>
      </c>
      <c r="T185" s="1552">
        <v>2550.0213268786069</v>
      </c>
      <c r="U185" s="1595">
        <v>8.244380966810444E-2</v>
      </c>
    </row>
    <row r="186" spans="1:21">
      <c r="A186" t="s">
        <v>1181</v>
      </c>
      <c r="B186" t="s">
        <v>736</v>
      </c>
      <c r="C186" s="287">
        <v>20</v>
      </c>
      <c r="D186" s="1550">
        <v>0</v>
      </c>
      <c r="E186" s="1551">
        <v>0</v>
      </c>
      <c r="F186" s="1552">
        <v>0</v>
      </c>
      <c r="G186" s="1552">
        <v>0</v>
      </c>
      <c r="H186" s="1593">
        <v>0</v>
      </c>
      <c r="I186" s="1553">
        <v>1121.8146232876711</v>
      </c>
      <c r="J186" s="1594">
        <v>0.2465402206361047</v>
      </c>
      <c r="K186" s="1550">
        <v>0</v>
      </c>
      <c r="L186" s="1551">
        <v>0</v>
      </c>
      <c r="M186" s="1595">
        <v>0.32640460980310909</v>
      </c>
      <c r="N186" s="1552">
        <v>0</v>
      </c>
      <c r="O186" s="1551">
        <v>0</v>
      </c>
      <c r="P186" s="1553">
        <v>5531.4484947630226</v>
      </c>
      <c r="Q186" s="1553">
        <v>37117.742715674074</v>
      </c>
      <c r="R186" s="1551">
        <v>20</v>
      </c>
      <c r="S186" s="1551">
        <v>1805.4902875791195</v>
      </c>
      <c r="T186" s="1552">
        <v>13083.26295347188</v>
      </c>
      <c r="U186" s="1595">
        <v>0.352480026969611</v>
      </c>
    </row>
    <row r="187" spans="1:21">
      <c r="A187" t="s">
        <v>1182</v>
      </c>
      <c r="B187" t="s">
        <v>736</v>
      </c>
      <c r="C187" s="287">
        <v>30</v>
      </c>
      <c r="D187" s="1550">
        <v>0</v>
      </c>
      <c r="E187" s="1551">
        <v>0</v>
      </c>
      <c r="F187" s="1552">
        <v>0</v>
      </c>
      <c r="G187" s="1552">
        <v>0</v>
      </c>
      <c r="H187" s="1593">
        <v>0</v>
      </c>
      <c r="I187" s="1553">
        <v>1121.8146232876711</v>
      </c>
      <c r="J187" s="1594">
        <v>0.2465402206361047</v>
      </c>
      <c r="K187" s="1550">
        <v>0</v>
      </c>
      <c r="L187" s="1551">
        <v>0</v>
      </c>
      <c r="M187" s="1595">
        <v>0.32640460980310909</v>
      </c>
      <c r="N187" s="1552">
        <v>0</v>
      </c>
      <c r="O187" s="1551">
        <v>0</v>
      </c>
      <c r="P187" s="1553">
        <v>8297.1727421445339</v>
      </c>
      <c r="Q187" s="1553">
        <v>55676.614073511111</v>
      </c>
      <c r="R187" s="1551">
        <v>30</v>
      </c>
      <c r="S187" s="1551">
        <v>2708.2354313686792</v>
      </c>
      <c r="T187" s="1552">
        <v>19624.89443020782</v>
      </c>
      <c r="U187" s="1595">
        <v>0.352480026969611</v>
      </c>
    </row>
    <row r="188" spans="1:21">
      <c r="A188" t="s">
        <v>209</v>
      </c>
      <c r="B188" t="s">
        <v>733</v>
      </c>
      <c r="C188" s="287">
        <v>114</v>
      </c>
      <c r="D188" s="1550">
        <v>14</v>
      </c>
      <c r="E188" s="1551">
        <v>1058.7628571428572</v>
      </c>
      <c r="F188" s="1552">
        <v>7.6788827252694342E-2</v>
      </c>
      <c r="G188" s="1552">
        <v>1138.2162139419675</v>
      </c>
      <c r="H188" s="1593">
        <v>8</v>
      </c>
      <c r="I188" s="1553">
        <v>1211.1853684210525</v>
      </c>
      <c r="J188" s="1594">
        <v>0.15453511940580131</v>
      </c>
      <c r="K188" s="1550">
        <v>2</v>
      </c>
      <c r="L188" s="1551">
        <v>1137</v>
      </c>
      <c r="M188" s="1595">
        <v>0.24834148928283944</v>
      </c>
      <c r="N188" s="1552">
        <v>0.13626589534429928</v>
      </c>
      <c r="O188" s="1551">
        <v>309.86864601293655</v>
      </c>
      <c r="P188" s="1553">
        <v>19790.811062042569</v>
      </c>
      <c r="Q188" s="1553">
        <v>126509.93523219253</v>
      </c>
      <c r="R188" s="1551">
        <v>98</v>
      </c>
      <c r="S188" s="1551">
        <v>4555.2599425338121</v>
      </c>
      <c r="T188" s="1552">
        <v>33009.130018360956</v>
      </c>
      <c r="U188" s="1595">
        <v>0.26092124668135347</v>
      </c>
    </row>
    <row r="189" spans="1:21">
      <c r="A189" t="s">
        <v>93</v>
      </c>
      <c r="B189" t="s">
        <v>736</v>
      </c>
      <c r="C189" s="287">
        <v>92</v>
      </c>
      <c r="D189" s="1550">
        <v>1</v>
      </c>
      <c r="E189" s="1551">
        <v>1184</v>
      </c>
      <c r="F189" s="1552">
        <v>7.3766891891891895E-2</v>
      </c>
      <c r="G189" s="1552">
        <v>87.34</v>
      </c>
      <c r="H189" s="1593">
        <v>0</v>
      </c>
      <c r="I189" s="1553">
        <v>1121.8146232876711</v>
      </c>
      <c r="J189" s="1594">
        <v>0.2465402206361047</v>
      </c>
      <c r="K189" s="1550">
        <v>0</v>
      </c>
      <c r="L189" s="1551">
        <v>0</v>
      </c>
      <c r="M189" s="1595">
        <v>0.32640460980310909</v>
      </c>
      <c r="N189" s="1552">
        <v>0</v>
      </c>
      <c r="O189" s="1551">
        <v>0</v>
      </c>
      <c r="P189" s="1553">
        <v>25255.430651171751</v>
      </c>
      <c r="Q189" s="1553">
        <v>169370.36703747645</v>
      </c>
      <c r="R189" s="1551">
        <v>91</v>
      </c>
      <c r="S189" s="1551">
        <v>8214.9808084849938</v>
      </c>
      <c r="T189" s="1552">
        <v>59528.846438297049</v>
      </c>
      <c r="U189" s="1595">
        <v>0.3514714378880997</v>
      </c>
    </row>
    <row r="190" spans="1:21">
      <c r="A190" t="s">
        <v>214</v>
      </c>
      <c r="B190" t="s">
        <v>732</v>
      </c>
      <c r="C190" s="287">
        <v>43</v>
      </c>
      <c r="D190" s="1550">
        <v>1</v>
      </c>
      <c r="E190" s="1551">
        <v>5418</v>
      </c>
      <c r="F190" s="1552">
        <v>7.8508674787744565E-2</v>
      </c>
      <c r="G190" s="1552">
        <v>425.36000000000007</v>
      </c>
      <c r="H190" s="1593">
        <v>23</v>
      </c>
      <c r="I190" s="1553">
        <v>717.47826086956525</v>
      </c>
      <c r="J190" s="1594">
        <v>0.2065995931956042</v>
      </c>
      <c r="K190" s="1550">
        <v>17</v>
      </c>
      <c r="L190" s="1551">
        <v>729.70588235294122</v>
      </c>
      <c r="M190" s="1595">
        <v>0.46265893240376221</v>
      </c>
      <c r="N190" s="1552">
        <v>0.10535136972379586</v>
      </c>
      <c r="O190" s="1551">
        <v>1306.8837414236875</v>
      </c>
      <c r="P190" s="1553">
        <v>5438.011661982232</v>
      </c>
      <c r="Q190" s="1553">
        <v>33030.664217262551</v>
      </c>
      <c r="R190" s="1551">
        <v>25</v>
      </c>
      <c r="S190" s="1551">
        <v>1714.506629861726</v>
      </c>
      <c r="T190" s="1552">
        <v>12423.961085954536</v>
      </c>
      <c r="U190" s="1595">
        <v>0.37613415837582526</v>
      </c>
    </row>
    <row r="191" spans="1:21">
      <c r="A191" t="s">
        <v>94</v>
      </c>
      <c r="B191" t="s">
        <v>732</v>
      </c>
      <c r="C191" s="287">
        <v>124</v>
      </c>
      <c r="D191" s="1550">
        <v>0</v>
      </c>
      <c r="E191" s="1551">
        <v>0</v>
      </c>
      <c r="F191" s="1552">
        <v>0</v>
      </c>
      <c r="G191" s="1552">
        <v>0</v>
      </c>
      <c r="H191" s="1593">
        <v>25</v>
      </c>
      <c r="I191" s="1553">
        <v>972.64</v>
      </c>
      <c r="J191" s="1594">
        <v>0.1976052375251528</v>
      </c>
      <c r="K191" s="1550">
        <v>19</v>
      </c>
      <c r="L191" s="1551">
        <v>1043.3684210526317</v>
      </c>
      <c r="M191" s="1595">
        <v>0.15551782266574635</v>
      </c>
      <c r="N191" s="1552">
        <v>0.1472993497615277</v>
      </c>
      <c r="O191" s="1551">
        <v>2920.0623096725258</v>
      </c>
      <c r="P191" s="1553">
        <v>23100.93192345131</v>
      </c>
      <c r="Q191" s="1553">
        <v>149013.70959022685</v>
      </c>
      <c r="R191" s="1551">
        <v>105</v>
      </c>
      <c r="S191" s="1551">
        <v>3138.4849018361979</v>
      </c>
      <c r="T191" s="1552">
        <v>22742.644216204331</v>
      </c>
      <c r="U191" s="1595">
        <v>0.15262115330692982</v>
      </c>
    </row>
    <row r="192" spans="1:21">
      <c r="A192" t="s">
        <v>29</v>
      </c>
      <c r="B192" t="s">
        <v>549</v>
      </c>
      <c r="C192" s="287">
        <v>84</v>
      </c>
      <c r="D192" s="1550">
        <v>0</v>
      </c>
      <c r="E192" s="1551">
        <v>0</v>
      </c>
      <c r="F192" s="1552">
        <v>0</v>
      </c>
      <c r="G192" s="1552">
        <v>0</v>
      </c>
      <c r="H192" s="1593">
        <v>4</v>
      </c>
      <c r="I192" s="1553">
        <v>1817.0217554858932</v>
      </c>
      <c r="J192" s="1594">
        <v>0.1060456189069323</v>
      </c>
      <c r="K192" s="1550">
        <v>2</v>
      </c>
      <c r="L192" s="1551">
        <v>816</v>
      </c>
      <c r="M192" s="1595">
        <v>0.25858399409042854</v>
      </c>
      <c r="N192" s="1552">
        <v>8.6516927083333334E-2</v>
      </c>
      <c r="O192" s="1551">
        <v>141.19562500000001</v>
      </c>
      <c r="P192" s="1553">
        <v>15941.545748484697</v>
      </c>
      <c r="Q192" s="1553">
        <v>103064.5344093094</v>
      </c>
      <c r="R192" s="1551">
        <v>82</v>
      </c>
      <c r="S192" s="1551">
        <v>4085.7176429578681</v>
      </c>
      <c r="T192" s="1552">
        <v>29606.649586651216</v>
      </c>
      <c r="U192" s="1595">
        <v>0.28726321577383429</v>
      </c>
    </row>
    <row r="193" spans="1:21">
      <c r="A193" t="s">
        <v>1052</v>
      </c>
      <c r="B193" t="s">
        <v>732</v>
      </c>
      <c r="C193" s="287">
        <v>15</v>
      </c>
      <c r="D193" s="1550">
        <v>0</v>
      </c>
      <c r="E193" s="1551">
        <v>0</v>
      </c>
      <c r="F193" s="1552">
        <v>0</v>
      </c>
      <c r="G193" s="1552">
        <v>0</v>
      </c>
      <c r="H193" s="1593">
        <v>11</v>
      </c>
      <c r="I193" s="1553">
        <v>951.09090909090912</v>
      </c>
      <c r="J193" s="1594">
        <v>0.14109592405250923</v>
      </c>
      <c r="K193" s="1550">
        <v>10</v>
      </c>
      <c r="L193" s="1551">
        <v>926.3</v>
      </c>
      <c r="M193" s="1595">
        <v>0.30662930199285537</v>
      </c>
      <c r="N193" s="1552">
        <v>9.548842176653613E-2</v>
      </c>
      <c r="O193" s="1551">
        <v>884.50925082342405</v>
      </c>
      <c r="P193" s="1553">
        <v>1555.4845042040383</v>
      </c>
      <c r="Q193" s="1553">
        <v>9047.7137985799873</v>
      </c>
      <c r="R193" s="1551">
        <v>5</v>
      </c>
      <c r="S193" s="1551">
        <v>205.74067359857708</v>
      </c>
      <c r="T193" s="1552">
        <v>1490.8744463665005</v>
      </c>
      <c r="U193" s="1595">
        <v>0.16477913421625792</v>
      </c>
    </row>
    <row r="194" spans="1:21">
      <c r="A194" t="s">
        <v>217</v>
      </c>
      <c r="B194" t="s">
        <v>549</v>
      </c>
      <c r="C194" s="287">
        <v>56</v>
      </c>
      <c r="D194" s="1550">
        <v>6</v>
      </c>
      <c r="E194" s="1551">
        <v>1331.8333333333333</v>
      </c>
      <c r="F194" s="1552">
        <v>6.5158724824774208E-2</v>
      </c>
      <c r="G194" s="1552">
        <v>520.68337007477066</v>
      </c>
      <c r="H194" s="1593">
        <v>0</v>
      </c>
      <c r="I194" s="1553">
        <v>1817.0217554858932</v>
      </c>
      <c r="J194" s="1594">
        <v>0.1060456189069323</v>
      </c>
      <c r="K194" s="1550">
        <v>0</v>
      </c>
      <c r="L194" s="1551">
        <v>0</v>
      </c>
      <c r="M194" s="1595">
        <v>0.25858399409042854</v>
      </c>
      <c r="N194" s="1552">
        <v>0</v>
      </c>
      <c r="O194" s="1551">
        <v>0</v>
      </c>
      <c r="P194" s="1553">
        <v>10155.043201467877</v>
      </c>
      <c r="Q194" s="1553">
        <v>65284.660880201998</v>
      </c>
      <c r="R194" s="1551">
        <v>50</v>
      </c>
      <c r="S194" s="1551">
        <v>2491.2912457060179</v>
      </c>
      <c r="T194" s="1552">
        <v>18052.835113811721</v>
      </c>
      <c r="U194" s="1595">
        <v>0.27652491213730668</v>
      </c>
    </row>
    <row r="195" spans="1:21">
      <c r="A195" t="s">
        <v>1053</v>
      </c>
      <c r="B195" t="s">
        <v>731</v>
      </c>
      <c r="C195" s="287">
        <v>22</v>
      </c>
      <c r="D195" s="1550">
        <v>0</v>
      </c>
      <c r="E195" s="1551">
        <v>0</v>
      </c>
      <c r="F195" s="1552">
        <v>0</v>
      </c>
      <c r="G195" s="1552">
        <v>0</v>
      </c>
      <c r="H195" s="1593">
        <v>1</v>
      </c>
      <c r="I195" s="1553">
        <v>1845.1516180904523</v>
      </c>
      <c r="J195" s="1594">
        <v>0.15431414630255985</v>
      </c>
      <c r="K195" s="1550">
        <v>1</v>
      </c>
      <c r="L195" s="1551">
        <v>3060</v>
      </c>
      <c r="M195" s="1595">
        <v>0.29993685238767825</v>
      </c>
      <c r="N195" s="1552">
        <v>5.9735294117647053E-2</v>
      </c>
      <c r="O195" s="1551">
        <v>182.79</v>
      </c>
      <c r="P195" s="1553">
        <v>6162.1829316327176</v>
      </c>
      <c r="Q195" s="1553">
        <v>41391.760374150123</v>
      </c>
      <c r="R195" s="1551">
        <v>21</v>
      </c>
      <c r="S195" s="1551">
        <v>1793.4402951030488</v>
      </c>
      <c r="T195" s="1552">
        <v>12995.944167413396</v>
      </c>
      <c r="U195" s="1595">
        <v>0.3139741835075367</v>
      </c>
    </row>
    <row r="196" spans="1:21">
      <c r="A196" t="s">
        <v>45</v>
      </c>
      <c r="B196" t="s">
        <v>730</v>
      </c>
      <c r="C196" s="287">
        <v>19</v>
      </c>
      <c r="D196" s="1550">
        <v>0</v>
      </c>
      <c r="E196" s="1551">
        <v>0</v>
      </c>
      <c r="F196" s="1552">
        <v>0</v>
      </c>
      <c r="G196" s="1552">
        <v>0</v>
      </c>
      <c r="H196" s="1593">
        <v>10</v>
      </c>
      <c r="I196" s="1553">
        <v>1077.9000000000001</v>
      </c>
      <c r="J196" s="1594">
        <v>0.18060061826452842</v>
      </c>
      <c r="K196" s="1550">
        <v>10</v>
      </c>
      <c r="L196" s="1551">
        <v>1077.9000000000001</v>
      </c>
      <c r="M196" s="1595">
        <v>0.34140133958054147</v>
      </c>
      <c r="N196" s="1552">
        <v>0.10983370710675036</v>
      </c>
      <c r="O196" s="1551">
        <v>1183.8975289036623</v>
      </c>
      <c r="P196" s="1553">
        <v>2935.922186749679</v>
      </c>
      <c r="Q196" s="1553">
        <v>18457.841932968688</v>
      </c>
      <c r="R196" s="1551">
        <v>9</v>
      </c>
      <c r="S196" s="1551">
        <v>598.14356516676992</v>
      </c>
      <c r="T196" s="1552">
        <v>4334.3736606287675</v>
      </c>
      <c r="U196" s="1595">
        <v>0.23482559209085413</v>
      </c>
    </row>
    <row r="197" spans="1:21">
      <c r="A197" t="s">
        <v>1054</v>
      </c>
      <c r="B197" t="s">
        <v>476</v>
      </c>
      <c r="C197" s="287">
        <v>41</v>
      </c>
      <c r="D197" s="1550">
        <v>0</v>
      </c>
      <c r="E197" s="1551">
        <v>0</v>
      </c>
      <c r="F197" s="1552">
        <v>0</v>
      </c>
      <c r="G197" s="1552">
        <v>0</v>
      </c>
      <c r="H197" s="1593">
        <v>3</v>
      </c>
      <c r="I197" s="1553">
        <v>1711.790370798054</v>
      </c>
      <c r="J197" s="1594">
        <v>0.12277463874320498</v>
      </c>
      <c r="K197" s="1550">
        <v>1</v>
      </c>
      <c r="L197" s="1551">
        <v>1920</v>
      </c>
      <c r="M197" s="1595">
        <v>0.28066172362567149</v>
      </c>
      <c r="N197" s="1552">
        <v>8.6343749999999997E-2</v>
      </c>
      <c r="O197" s="1551">
        <v>165.78</v>
      </c>
      <c r="P197" s="1553">
        <v>8572.3577751531193</v>
      </c>
      <c r="Q197" s="1553">
        <v>56039.838950384918</v>
      </c>
      <c r="R197" s="1551">
        <v>40</v>
      </c>
      <c r="S197" s="1551">
        <v>2359.4046081677375</v>
      </c>
      <c r="T197" s="1552">
        <v>17097.134841795199</v>
      </c>
      <c r="U197" s="1595">
        <v>0.30508893605015913</v>
      </c>
    </row>
    <row r="198" spans="1:21">
      <c r="A198" t="s">
        <v>1055</v>
      </c>
      <c r="B198" t="s">
        <v>730</v>
      </c>
      <c r="C198" s="287">
        <v>38</v>
      </c>
      <c r="D198" s="1550">
        <v>0</v>
      </c>
      <c r="E198" s="1551">
        <v>0</v>
      </c>
      <c r="F198" s="1552">
        <v>0</v>
      </c>
      <c r="G198" s="1552">
        <v>0</v>
      </c>
      <c r="H198" s="1593">
        <v>8</v>
      </c>
      <c r="I198" s="1553">
        <v>1087.5625</v>
      </c>
      <c r="J198" s="1594">
        <v>0.13649699485343733</v>
      </c>
      <c r="K198" s="1550">
        <v>0</v>
      </c>
      <c r="L198" s="1551">
        <v>0</v>
      </c>
      <c r="M198" s="1595">
        <v>0.2334826600798878</v>
      </c>
      <c r="N198" s="1552">
        <v>0</v>
      </c>
      <c r="O198" s="1551">
        <v>0</v>
      </c>
      <c r="P198" s="1553">
        <v>5641.0624926810742</v>
      </c>
      <c r="Q198" s="1553">
        <v>35243.351396239668</v>
      </c>
      <c r="R198" s="1551">
        <v>38</v>
      </c>
      <c r="S198" s="1551">
        <v>1317.0902764680598</v>
      </c>
      <c r="T198" s="1552">
        <v>9544.1324381743452</v>
      </c>
      <c r="U198" s="1595">
        <v>0.2708066077731946</v>
      </c>
    </row>
    <row r="199" spans="1:21">
      <c r="A199" t="s">
        <v>550</v>
      </c>
      <c r="B199" t="s">
        <v>476</v>
      </c>
      <c r="C199" s="287">
        <v>1252</v>
      </c>
      <c r="D199" s="1550">
        <v>102</v>
      </c>
      <c r="E199" s="1551">
        <v>2079.0196078431372</v>
      </c>
      <c r="F199" s="1552">
        <v>6.0688095339572361E-2</v>
      </c>
      <c r="G199" s="1552">
        <v>12869.517497709714</v>
      </c>
      <c r="H199" s="1593">
        <v>353</v>
      </c>
      <c r="I199" s="1553">
        <v>1724.5769230769231</v>
      </c>
      <c r="J199" s="1594">
        <v>0.1258844864427438</v>
      </c>
      <c r="K199" s="1550">
        <v>249</v>
      </c>
      <c r="L199" s="1551">
        <v>1653.922379032258</v>
      </c>
      <c r="M199" s="1595">
        <v>0.34469234677411842</v>
      </c>
      <c r="N199" s="1552">
        <v>7.7285456666919147E-2</v>
      </c>
      <c r="O199" s="1551">
        <v>31828.212442431206</v>
      </c>
      <c r="P199" s="1553">
        <v>240302.55968372463</v>
      </c>
      <c r="Q199" s="1553">
        <v>1555700.2875632218</v>
      </c>
      <c r="R199" s="1551">
        <v>901</v>
      </c>
      <c r="S199" s="1551">
        <v>67423.487804667748</v>
      </c>
      <c r="T199" s="1552">
        <v>488575.99858454888</v>
      </c>
      <c r="U199" s="1595">
        <v>0.31405535017919944</v>
      </c>
    </row>
    <row r="200" spans="1:21">
      <c r="A200" t="s">
        <v>220</v>
      </c>
      <c r="B200" t="s">
        <v>730</v>
      </c>
      <c r="C200" s="287">
        <v>27</v>
      </c>
      <c r="D200" s="1550">
        <v>0</v>
      </c>
      <c r="E200" s="1551">
        <v>0</v>
      </c>
      <c r="F200" s="1552">
        <v>0</v>
      </c>
      <c r="G200" s="1552">
        <v>0</v>
      </c>
      <c r="H200" s="1593">
        <v>6</v>
      </c>
      <c r="I200" s="1553">
        <v>1476.5</v>
      </c>
      <c r="J200" s="1594">
        <v>0.13649699485343733</v>
      </c>
      <c r="K200" s="1550">
        <v>0</v>
      </c>
      <c r="L200" s="1551">
        <v>0</v>
      </c>
      <c r="M200" s="1595">
        <v>0.2334826600798878</v>
      </c>
      <c r="N200" s="1552">
        <v>0</v>
      </c>
      <c r="O200" s="1551">
        <v>0</v>
      </c>
      <c r="P200" s="1553">
        <v>5441.5209483297058</v>
      </c>
      <c r="Q200" s="1553">
        <v>35428.267741519601</v>
      </c>
      <c r="R200" s="1551">
        <v>27</v>
      </c>
      <c r="S200" s="1551">
        <v>1270.5007858964534</v>
      </c>
      <c r="T200" s="1552">
        <v>9206.5274340322703</v>
      </c>
      <c r="U200" s="1595">
        <v>0.25986388894884704</v>
      </c>
    </row>
    <row r="201" spans="1:21">
      <c r="A201" t="s">
        <v>95</v>
      </c>
      <c r="B201" t="s">
        <v>732</v>
      </c>
      <c r="C201" s="287">
        <v>121</v>
      </c>
      <c r="D201" s="1550">
        <v>0</v>
      </c>
      <c r="E201" s="1551">
        <v>0</v>
      </c>
      <c r="F201" s="1552">
        <v>0</v>
      </c>
      <c r="G201" s="1552">
        <v>0</v>
      </c>
      <c r="H201" s="1593">
        <v>74</v>
      </c>
      <c r="I201" s="1553">
        <v>861.39635135135143</v>
      </c>
      <c r="J201" s="1594">
        <v>0.21231139568513221</v>
      </c>
      <c r="K201" s="1550">
        <v>70</v>
      </c>
      <c r="L201" s="1551">
        <v>874.61900000000003</v>
      </c>
      <c r="M201" s="1595">
        <v>0.27482236022152123</v>
      </c>
      <c r="N201" s="1552">
        <v>0.14031450541640444</v>
      </c>
      <c r="O201" s="1551">
        <v>8590.5212688953179</v>
      </c>
      <c r="P201" s="1553">
        <v>17917.618610163103</v>
      </c>
      <c r="Q201" s="1553">
        <v>111898.25079828335</v>
      </c>
      <c r="R201" s="1551">
        <v>51</v>
      </c>
      <c r="S201" s="1551">
        <v>2563.2949053430875</v>
      </c>
      <c r="T201" s="1552">
        <v>18574.600763355706</v>
      </c>
      <c r="U201" s="1595">
        <v>0.16599545239397667</v>
      </c>
    </row>
    <row r="202" spans="1:21">
      <c r="A202" t="s">
        <v>96</v>
      </c>
      <c r="B202" t="s">
        <v>732</v>
      </c>
      <c r="C202" s="287">
        <v>31</v>
      </c>
      <c r="D202" s="1550">
        <v>0</v>
      </c>
      <c r="E202" s="1551">
        <v>0</v>
      </c>
      <c r="F202" s="1552">
        <v>0</v>
      </c>
      <c r="G202" s="1552">
        <v>0</v>
      </c>
      <c r="H202" s="1593">
        <v>0</v>
      </c>
      <c r="I202" s="1553">
        <v>1045.957275886032</v>
      </c>
      <c r="J202" s="1594">
        <v>0.16663814568985108</v>
      </c>
      <c r="K202" s="1550">
        <v>0</v>
      </c>
      <c r="L202" s="1551">
        <v>0</v>
      </c>
      <c r="M202" s="1595">
        <v>0.33369832036967961</v>
      </c>
      <c r="N202" s="1552">
        <v>0</v>
      </c>
      <c r="O202" s="1551">
        <v>0</v>
      </c>
      <c r="P202" s="1553">
        <v>5403.1878086581473</v>
      </c>
      <c r="Q202" s="1553">
        <v>34557.447888827148</v>
      </c>
      <c r="R202" s="1551">
        <v>31</v>
      </c>
      <c r="S202" s="1551">
        <v>1803.0346963911536</v>
      </c>
      <c r="T202" s="1552">
        <v>13065.468814428648</v>
      </c>
      <c r="U202" s="1595">
        <v>0.37807967927668862</v>
      </c>
    </row>
    <row r="203" spans="1:21">
      <c r="A203" t="s">
        <v>259</v>
      </c>
      <c r="B203" t="s">
        <v>732</v>
      </c>
      <c r="C203" s="287">
        <v>19</v>
      </c>
      <c r="D203" s="1550">
        <v>0</v>
      </c>
      <c r="E203" s="1551">
        <v>0</v>
      </c>
      <c r="F203" s="1552">
        <v>0</v>
      </c>
      <c r="G203" s="1552">
        <v>0</v>
      </c>
      <c r="H203" s="1593">
        <v>7</v>
      </c>
      <c r="I203" s="1553">
        <v>873.14285714285711</v>
      </c>
      <c r="J203" s="1594">
        <v>0.16663814568985108</v>
      </c>
      <c r="K203" s="1550">
        <v>6</v>
      </c>
      <c r="L203" s="1551">
        <v>868.66666666666663</v>
      </c>
      <c r="M203" s="1595">
        <v>0.33369832036967961</v>
      </c>
      <c r="N203" s="1552">
        <v>0.10229920952209555</v>
      </c>
      <c r="O203" s="1551">
        <v>533.18348002916196</v>
      </c>
      <c r="P203" s="1553">
        <v>2424.6692663052772</v>
      </c>
      <c r="Q203" s="1553">
        <v>14753.110625400559</v>
      </c>
      <c r="R203" s="1551">
        <v>13</v>
      </c>
      <c r="S203" s="1551">
        <v>631.18562988346252</v>
      </c>
      <c r="T203" s="1552">
        <v>4573.8089121990033</v>
      </c>
      <c r="U203" s="1595">
        <v>0.31002335902804368</v>
      </c>
    </row>
    <row r="204" spans="1:21">
      <c r="A204" t="s">
        <v>1056</v>
      </c>
      <c r="B204" t="s">
        <v>476</v>
      </c>
      <c r="C204" s="287">
        <v>8</v>
      </c>
      <c r="D204" s="1550">
        <v>0</v>
      </c>
      <c r="E204" s="1551">
        <v>0</v>
      </c>
      <c r="F204" s="1552">
        <v>0</v>
      </c>
      <c r="G204" s="1552">
        <v>0</v>
      </c>
      <c r="H204" s="1593">
        <v>3</v>
      </c>
      <c r="I204" s="1553">
        <v>967</v>
      </c>
      <c r="J204" s="1594">
        <v>0.12277463874320498</v>
      </c>
      <c r="K204" s="1550">
        <v>3</v>
      </c>
      <c r="L204" s="1551">
        <v>967</v>
      </c>
      <c r="M204" s="1595">
        <v>0.28066172362567149</v>
      </c>
      <c r="N204" s="1552">
        <v>0.15986436589041661</v>
      </c>
      <c r="O204" s="1551">
        <v>463.76652544809861</v>
      </c>
      <c r="P204" s="1553">
        <v>1057.3819037714948</v>
      </c>
      <c r="Q204" s="1553">
        <v>6476.1007519673531</v>
      </c>
      <c r="R204" s="1551">
        <v>5</v>
      </c>
      <c r="S204" s="1551">
        <v>166.60511525094941</v>
      </c>
      <c r="T204" s="1552">
        <v>1207.2834438474595</v>
      </c>
      <c r="U204" s="1595">
        <v>0.1864213498347293</v>
      </c>
    </row>
    <row r="205" spans="1:21">
      <c r="A205" t="s">
        <v>210</v>
      </c>
      <c r="B205" t="s">
        <v>733</v>
      </c>
      <c r="C205" s="287">
        <v>186</v>
      </c>
      <c r="D205" s="1550">
        <v>10</v>
      </c>
      <c r="E205" s="1551">
        <v>1129.5999999999999</v>
      </c>
      <c r="F205" s="1552">
        <v>9.2829475253184718E-2</v>
      </c>
      <c r="G205" s="1552">
        <v>1048.6017524599745</v>
      </c>
      <c r="H205" s="1593">
        <v>32</v>
      </c>
      <c r="I205" s="1553">
        <v>1155.1171875</v>
      </c>
      <c r="J205" s="1594">
        <v>0.15154629149248822</v>
      </c>
      <c r="K205" s="1550">
        <v>8</v>
      </c>
      <c r="L205" s="1551">
        <v>1092.1875</v>
      </c>
      <c r="M205" s="1595">
        <v>0.24834148928283944</v>
      </c>
      <c r="N205" s="1552">
        <v>0.10725116476511505</v>
      </c>
      <c r="O205" s="1551">
        <v>937.1070521351927</v>
      </c>
      <c r="P205" s="1553">
        <v>31394.734773411339</v>
      </c>
      <c r="Q205" s="1553">
        <v>199921.55632906765</v>
      </c>
      <c r="R205" s="1551">
        <v>168</v>
      </c>
      <c r="S205" s="1551">
        <v>7303.4813074535077</v>
      </c>
      <c r="T205" s="1552">
        <v>52923.777590242804</v>
      </c>
      <c r="U205" s="1595">
        <v>0.26472271705974076</v>
      </c>
    </row>
    <row r="206" spans="1:21">
      <c r="A206" t="s">
        <v>211</v>
      </c>
      <c r="B206" t="s">
        <v>733</v>
      </c>
      <c r="C206" s="287">
        <v>60</v>
      </c>
      <c r="D206" s="1550">
        <v>6</v>
      </c>
      <c r="E206" s="1551">
        <v>917.54166666666663</v>
      </c>
      <c r="F206" s="1552">
        <v>9.3132912097205464E-2</v>
      </c>
      <c r="G206" s="1552">
        <v>512.7199643231404</v>
      </c>
      <c r="H206" s="1593">
        <v>15</v>
      </c>
      <c r="I206" s="1553">
        <v>977.1</v>
      </c>
      <c r="J206" s="1594">
        <v>0.19053166133601249</v>
      </c>
      <c r="K206" s="1550">
        <v>15</v>
      </c>
      <c r="L206" s="1551">
        <v>977.1</v>
      </c>
      <c r="M206" s="1595">
        <v>0.26327776691467952</v>
      </c>
      <c r="N206" s="1552">
        <v>0.13417573486827877</v>
      </c>
      <c r="O206" s="1551">
        <v>1966.5466580969278</v>
      </c>
      <c r="P206" s="1553">
        <v>9739.8375877853632</v>
      </c>
      <c r="Q206" s="1553">
        <v>61682.881070908421</v>
      </c>
      <c r="R206" s="1551">
        <v>39</v>
      </c>
      <c r="S206" s="1551">
        <v>1911.5469102869338</v>
      </c>
      <c r="T206" s="1552">
        <v>13851.78920497778</v>
      </c>
      <c r="U206" s="1595">
        <v>0.22456456255754756</v>
      </c>
    </row>
    <row r="207" spans="1:21">
      <c r="A207" t="s">
        <v>1354</v>
      </c>
      <c r="B207" t="s">
        <v>730</v>
      </c>
      <c r="C207" s="287">
        <v>3</v>
      </c>
      <c r="D207" s="1550">
        <v>0</v>
      </c>
      <c r="E207" s="1551">
        <v>0</v>
      </c>
      <c r="F207" s="1552">
        <v>0</v>
      </c>
      <c r="G207" s="1552">
        <v>0</v>
      </c>
      <c r="H207" s="1593">
        <v>0</v>
      </c>
      <c r="I207" s="1553">
        <v>1253.7457405614716</v>
      </c>
      <c r="J207" s="1594">
        <v>0.13649699485343733</v>
      </c>
      <c r="K207" s="1550">
        <v>0</v>
      </c>
      <c r="L207" s="1551">
        <v>0</v>
      </c>
      <c r="M207" s="1595">
        <v>0.2334826600798878</v>
      </c>
      <c r="N207" s="1552">
        <v>0</v>
      </c>
      <c r="O207" s="1551">
        <v>0</v>
      </c>
      <c r="P207" s="1553">
        <v>513.3975776908145</v>
      </c>
      <c r="Q207" s="1553">
        <v>3275.4896934116991</v>
      </c>
      <c r="R207" s="1551">
        <v>3</v>
      </c>
      <c r="S207" s="1551">
        <v>119.86943211782223</v>
      </c>
      <c r="T207" s="1552">
        <v>868.61907331755231</v>
      </c>
      <c r="U207" s="1595">
        <v>0.26518754586976345</v>
      </c>
    </row>
    <row r="208" spans="1:21">
      <c r="A208" t="s">
        <v>1057</v>
      </c>
      <c r="B208" t="s">
        <v>476</v>
      </c>
      <c r="C208" s="287">
        <v>22</v>
      </c>
      <c r="D208" s="1550">
        <v>0</v>
      </c>
      <c r="E208" s="1551">
        <v>0</v>
      </c>
      <c r="F208" s="1552">
        <v>0</v>
      </c>
      <c r="G208" s="1552">
        <v>0</v>
      </c>
      <c r="H208" s="1593">
        <v>7</v>
      </c>
      <c r="I208" s="1553">
        <v>1078.8571428571429</v>
      </c>
      <c r="J208" s="1594">
        <v>0.12277463874320498</v>
      </c>
      <c r="K208" s="1550">
        <v>4</v>
      </c>
      <c r="L208" s="1551">
        <v>1015.5</v>
      </c>
      <c r="M208" s="1595">
        <v>0.28066172362567149</v>
      </c>
      <c r="N208" s="1552">
        <v>0.11695207929610837</v>
      </c>
      <c r="O208" s="1551">
        <v>475.0593461007922</v>
      </c>
      <c r="P208" s="1553">
        <v>2859.2726735574083</v>
      </c>
      <c r="Q208" s="1553">
        <v>17457.628069256582</v>
      </c>
      <c r="R208" s="1551">
        <v>18</v>
      </c>
      <c r="S208" s="1551">
        <v>669.15742197527129</v>
      </c>
      <c r="T208" s="1552">
        <v>4848.9668259077625</v>
      </c>
      <c r="U208" s="1595">
        <v>0.27775633703910452</v>
      </c>
    </row>
    <row r="209" spans="1:21">
      <c r="A209" t="s">
        <v>233</v>
      </c>
      <c r="B209" t="s">
        <v>730</v>
      </c>
      <c r="C209" s="287">
        <v>44</v>
      </c>
      <c r="D209" s="1550">
        <v>2</v>
      </c>
      <c r="E209" s="1551">
        <v>1799</v>
      </c>
      <c r="F209" s="1552">
        <v>9.8514360740122431E-2</v>
      </c>
      <c r="G209" s="1552">
        <v>354.45466994296049</v>
      </c>
      <c r="H209" s="1593">
        <v>0</v>
      </c>
      <c r="I209" s="1553">
        <v>1253.7457405614716</v>
      </c>
      <c r="J209" s="1594">
        <v>0.13649699485343733</v>
      </c>
      <c r="K209" s="1550">
        <v>0</v>
      </c>
      <c r="L209" s="1551">
        <v>0</v>
      </c>
      <c r="M209" s="1595">
        <v>0.2334826600798878</v>
      </c>
      <c r="N209" s="1552">
        <v>0</v>
      </c>
      <c r="O209" s="1551">
        <v>0</v>
      </c>
      <c r="P209" s="1553">
        <v>7542.020757614363</v>
      </c>
      <c r="Q209" s="1553">
        <v>48128.846069669293</v>
      </c>
      <c r="R209" s="1551">
        <v>42</v>
      </c>
      <c r="S209" s="1551">
        <v>1678.1720496495111</v>
      </c>
      <c r="T209" s="1552">
        <v>12160.667026445732</v>
      </c>
      <c r="U209" s="1595">
        <v>0.25266899208101645</v>
      </c>
    </row>
    <row r="210" spans="1:21">
      <c r="A210" t="s">
        <v>1058</v>
      </c>
      <c r="B210" t="s">
        <v>735</v>
      </c>
      <c r="C210" s="287">
        <v>79</v>
      </c>
      <c r="D210" s="1550">
        <v>3</v>
      </c>
      <c r="E210" s="1551">
        <v>1290</v>
      </c>
      <c r="F210" s="1552">
        <v>0.10386829628429174</v>
      </c>
      <c r="G210" s="1552">
        <v>401.97030662020904</v>
      </c>
      <c r="H210" s="1593">
        <v>0</v>
      </c>
      <c r="I210" s="1553">
        <v>1747.5136673928823</v>
      </c>
      <c r="J210" s="1594">
        <v>0.15393570674124443</v>
      </c>
      <c r="K210" s="1550">
        <v>0</v>
      </c>
      <c r="L210" s="1551">
        <v>0</v>
      </c>
      <c r="M210" s="1595">
        <v>0.23015757030298531</v>
      </c>
      <c r="N210" s="1552">
        <v>0</v>
      </c>
      <c r="O210" s="1551">
        <v>0</v>
      </c>
      <c r="P210" s="1553">
        <v>20846.331415308367</v>
      </c>
      <c r="Q210" s="1553">
        <v>139347.76387904614</v>
      </c>
      <c r="R210" s="1551">
        <v>76</v>
      </c>
      <c r="S210" s="1551">
        <v>4705.4244791725123</v>
      </c>
      <c r="T210" s="1552">
        <v>34097.27883458342</v>
      </c>
      <c r="U210" s="1595">
        <v>0.24469196982722924</v>
      </c>
    </row>
    <row r="211" spans="1:21">
      <c r="A211" t="s">
        <v>223</v>
      </c>
      <c r="B211" t="s">
        <v>730</v>
      </c>
      <c r="C211" s="287">
        <v>35</v>
      </c>
      <c r="D211" s="1550">
        <v>0</v>
      </c>
      <c r="E211" s="1551">
        <v>0</v>
      </c>
      <c r="F211" s="1552">
        <v>0</v>
      </c>
      <c r="G211" s="1552">
        <v>0</v>
      </c>
      <c r="H211" s="1593">
        <v>44</v>
      </c>
      <c r="I211" s="1553">
        <v>1176.0529545454547</v>
      </c>
      <c r="J211" s="1594">
        <v>0.10275126725621107</v>
      </c>
      <c r="K211" s="1550">
        <v>17</v>
      </c>
      <c r="L211" s="1551">
        <v>1122.2352941176471</v>
      </c>
      <c r="M211" s="1595">
        <v>0.164806910893394</v>
      </c>
      <c r="N211" s="1552">
        <v>8.2344769329904005E-2</v>
      </c>
      <c r="O211" s="1551">
        <v>1570.9735092759086</v>
      </c>
      <c r="P211" s="1553">
        <v>3746.1102751951285</v>
      </c>
      <c r="Q211" s="1553">
        <v>21956.596197066148</v>
      </c>
      <c r="R211" s="1551">
        <v>18</v>
      </c>
      <c r="S211" s="1551">
        <v>358.47757116179412</v>
      </c>
      <c r="T211" s="1552">
        <v>2597.6635591434356</v>
      </c>
      <c r="U211" s="1595">
        <v>0.11830902822225864</v>
      </c>
    </row>
    <row r="212" spans="1:21">
      <c r="A212" t="s">
        <v>1059</v>
      </c>
      <c r="B212" t="s">
        <v>549</v>
      </c>
      <c r="C212" s="287">
        <v>77</v>
      </c>
      <c r="D212" s="1550">
        <v>6</v>
      </c>
      <c r="E212" s="1551">
        <v>1237</v>
      </c>
      <c r="F212" s="1552">
        <v>5.9301539620125299E-2</v>
      </c>
      <c r="G212" s="1552">
        <v>440.13602706056997</v>
      </c>
      <c r="H212" s="1593">
        <v>1</v>
      </c>
      <c r="I212" s="1553">
        <v>1817.0217554858932</v>
      </c>
      <c r="J212" s="1594">
        <v>0.1060456189069323</v>
      </c>
      <c r="K212" s="1550">
        <v>0</v>
      </c>
      <c r="L212" s="1551">
        <v>0</v>
      </c>
      <c r="M212" s="1595">
        <v>0.25858399409042854</v>
      </c>
      <c r="N212" s="1552">
        <v>0</v>
      </c>
      <c r="O212" s="1551">
        <v>0</v>
      </c>
      <c r="P212" s="1553">
        <v>14120.926987638783</v>
      </c>
      <c r="Q212" s="1553">
        <v>90909.4709249187</v>
      </c>
      <c r="R212" s="1551">
        <v>71</v>
      </c>
      <c r="S212" s="1551">
        <v>3537.633568902545</v>
      </c>
      <c r="T212" s="1552">
        <v>25635.025861612641</v>
      </c>
      <c r="U212" s="1595">
        <v>0.28198410573508204</v>
      </c>
    </row>
    <row r="213" spans="1:21">
      <c r="A213" t="s">
        <v>1060</v>
      </c>
      <c r="B213" t="s">
        <v>476</v>
      </c>
      <c r="C213" s="287">
        <v>26</v>
      </c>
      <c r="D213" s="1550">
        <v>0</v>
      </c>
      <c r="E213" s="1551">
        <v>0</v>
      </c>
      <c r="F213" s="1552">
        <v>0</v>
      </c>
      <c r="G213" s="1552">
        <v>0</v>
      </c>
      <c r="H213" s="1593">
        <v>4</v>
      </c>
      <c r="I213" s="1553">
        <v>719.75</v>
      </c>
      <c r="J213" s="1594">
        <v>0.12277463874320498</v>
      </c>
      <c r="K213" s="1550">
        <v>4</v>
      </c>
      <c r="L213" s="1551">
        <v>719.75</v>
      </c>
      <c r="M213" s="1595">
        <v>0.28066172362567149</v>
      </c>
      <c r="N213" s="1552">
        <v>0.16588291653710957</v>
      </c>
      <c r="O213" s="1551">
        <v>477.57691671033848</v>
      </c>
      <c r="P213" s="1553">
        <v>2421.6519338896178</v>
      </c>
      <c r="Q213" s="1553">
        <v>13693.41981079433</v>
      </c>
      <c r="R213" s="1551">
        <v>22</v>
      </c>
      <c r="S213" s="1551">
        <v>545.62744517914348</v>
      </c>
      <c r="T213" s="1552">
        <v>3953.8220665155322</v>
      </c>
      <c r="U213" s="1595">
        <v>0.28873883377173537</v>
      </c>
    </row>
    <row r="214" spans="1:21">
      <c r="A214" t="s">
        <v>1355</v>
      </c>
      <c r="B214" t="s">
        <v>730</v>
      </c>
      <c r="C214" s="287">
        <v>1</v>
      </c>
      <c r="D214" s="1550">
        <v>0</v>
      </c>
      <c r="E214" s="1551">
        <v>0</v>
      </c>
      <c r="F214" s="1552">
        <v>0</v>
      </c>
      <c r="G214" s="1552">
        <v>0</v>
      </c>
      <c r="H214" s="1593">
        <v>0</v>
      </c>
      <c r="I214" s="1553">
        <v>1253.7457405614716</v>
      </c>
      <c r="J214" s="1594">
        <v>0.13649699485343733</v>
      </c>
      <c r="K214" s="1550">
        <v>0</v>
      </c>
      <c r="L214" s="1551">
        <v>0</v>
      </c>
      <c r="M214" s="1595">
        <v>0.2334826600798878</v>
      </c>
      <c r="N214" s="1552">
        <v>0</v>
      </c>
      <c r="O214" s="1551">
        <v>0</v>
      </c>
      <c r="P214" s="1553">
        <v>171.13252589693818</v>
      </c>
      <c r="Q214" s="1553">
        <v>1091.8298978038997</v>
      </c>
      <c r="R214" s="1551">
        <v>1</v>
      </c>
      <c r="S214" s="1551">
        <v>39.956477372607409</v>
      </c>
      <c r="T214" s="1552">
        <v>289.53969110585075</v>
      </c>
      <c r="U214" s="1595">
        <v>0.2651875458697634</v>
      </c>
    </row>
    <row r="215" spans="1:21">
      <c r="A215" t="s">
        <v>27</v>
      </c>
      <c r="B215" t="s">
        <v>732</v>
      </c>
      <c r="C215" s="287">
        <v>165</v>
      </c>
      <c r="D215" s="1550">
        <v>11</v>
      </c>
      <c r="E215" s="1551">
        <v>1116.340909090909</v>
      </c>
      <c r="F215" s="1552">
        <v>6.6107806907514874E-2</v>
      </c>
      <c r="G215" s="1552">
        <v>811.78734187255566</v>
      </c>
      <c r="H215" s="1593">
        <v>10</v>
      </c>
      <c r="I215" s="1553">
        <v>1045.957275886032</v>
      </c>
      <c r="J215" s="1594">
        <v>9.5256006418466502E-2</v>
      </c>
      <c r="K215" s="1550">
        <v>4</v>
      </c>
      <c r="L215" s="1551">
        <v>915</v>
      </c>
      <c r="M215" s="1595">
        <v>0.33369832036967961</v>
      </c>
      <c r="N215" s="1552">
        <v>9.9448197397422194E-2</v>
      </c>
      <c r="O215" s="1551">
        <v>363.98040247456521</v>
      </c>
      <c r="P215" s="1553">
        <v>16120.824692133359</v>
      </c>
      <c r="Q215" s="1553">
        <v>92354.526754589562</v>
      </c>
      <c r="R215" s="1551">
        <v>150</v>
      </c>
      <c r="S215" s="1551">
        <v>4987.1404013054789</v>
      </c>
      <c r="T215" s="1552">
        <v>36138.698560184625</v>
      </c>
      <c r="U215" s="1595">
        <v>0.39130403056706381</v>
      </c>
    </row>
    <row r="216" spans="1:21">
      <c r="A216" t="s">
        <v>409</v>
      </c>
      <c r="B216" t="s">
        <v>736</v>
      </c>
      <c r="C216" s="287">
        <v>10</v>
      </c>
      <c r="D216" s="1550">
        <v>0</v>
      </c>
      <c r="E216" s="1551">
        <v>0</v>
      </c>
      <c r="F216" s="1552">
        <v>0</v>
      </c>
      <c r="G216" s="1552">
        <v>0</v>
      </c>
      <c r="H216" s="1593">
        <v>1</v>
      </c>
      <c r="I216" s="1553">
        <v>1121.8146232876711</v>
      </c>
      <c r="J216" s="1594">
        <v>0.2465402206361047</v>
      </c>
      <c r="K216" s="1550">
        <v>1</v>
      </c>
      <c r="L216" s="1551">
        <v>1280</v>
      </c>
      <c r="M216" s="1595">
        <v>0.32640460980310909</v>
      </c>
      <c r="N216" s="1552">
        <v>0.34623437499999998</v>
      </c>
      <c r="O216" s="1551">
        <v>443.17999999999995</v>
      </c>
      <c r="P216" s="1553">
        <v>2932.3318226433598</v>
      </c>
      <c r="Q216" s="1553">
        <v>19766.172627850432</v>
      </c>
      <c r="R216" s="1551">
        <v>9</v>
      </c>
      <c r="S216" s="1551">
        <v>812.47062941060369</v>
      </c>
      <c r="T216" s="1552">
        <v>5887.4683290623452</v>
      </c>
      <c r="U216" s="1595">
        <v>0.29785575791071123</v>
      </c>
    </row>
    <row r="217" spans="1:21">
      <c r="A217" t="s">
        <v>190</v>
      </c>
      <c r="B217" t="s">
        <v>732</v>
      </c>
      <c r="C217" s="287">
        <v>12</v>
      </c>
      <c r="D217" s="1550">
        <v>0</v>
      </c>
      <c r="E217" s="1551">
        <v>0</v>
      </c>
      <c r="F217" s="1552">
        <v>0</v>
      </c>
      <c r="G217" s="1552">
        <v>0</v>
      </c>
      <c r="H217" s="1593">
        <v>4</v>
      </c>
      <c r="I217" s="1553">
        <v>563.5</v>
      </c>
      <c r="J217" s="1594">
        <v>0.16663814568985108</v>
      </c>
      <c r="K217" s="1550">
        <v>4</v>
      </c>
      <c r="L217" s="1551">
        <v>563.5</v>
      </c>
      <c r="M217" s="1595">
        <v>0.33369832036967961</v>
      </c>
      <c r="N217" s="1552">
        <v>0.14307550348818052</v>
      </c>
      <c r="O217" s="1551">
        <v>322.4921848623589</v>
      </c>
      <c r="P217" s="1553">
        <v>1073.6969456322076</v>
      </c>
      <c r="Q217" s="1553">
        <v>6001.2822147261422</v>
      </c>
      <c r="R217" s="1551">
        <v>8</v>
      </c>
      <c r="S217" s="1551">
        <v>250.6757669226055</v>
      </c>
      <c r="T217" s="1552">
        <v>1816.4910646565615</v>
      </c>
      <c r="U217" s="1595">
        <v>0.30268382649947645</v>
      </c>
    </row>
    <row r="218" spans="1:21">
      <c r="A218" t="s">
        <v>34</v>
      </c>
      <c r="B218" t="s">
        <v>736</v>
      </c>
      <c r="C218" s="287">
        <v>62</v>
      </c>
      <c r="D218" s="1550">
        <v>5</v>
      </c>
      <c r="E218" s="1551">
        <v>1312</v>
      </c>
      <c r="F218" s="1552">
        <v>6.9736280487804878E-2</v>
      </c>
      <c r="G218" s="1552">
        <v>457.47</v>
      </c>
      <c r="H218" s="1593">
        <v>1</v>
      </c>
      <c r="I218" s="1553">
        <v>1121.8146232876711</v>
      </c>
      <c r="J218" s="1594">
        <v>0.2465402206361047</v>
      </c>
      <c r="K218" s="1550">
        <v>1</v>
      </c>
      <c r="L218" s="1551">
        <v>1216</v>
      </c>
      <c r="M218" s="1595">
        <v>0.32640460980310909</v>
      </c>
      <c r="N218" s="1552">
        <v>0.53028782894736848</v>
      </c>
      <c r="O218" s="1551">
        <v>644.83000000000004</v>
      </c>
      <c r="P218" s="1553">
        <v>16590.355785336462</v>
      </c>
      <c r="Q218" s="1553">
        <v>111027.79554591638</v>
      </c>
      <c r="R218" s="1551">
        <v>56</v>
      </c>
      <c r="S218" s="1551">
        <v>5055.3728052215338</v>
      </c>
      <c r="T218" s="1552">
        <v>36633.136269721253</v>
      </c>
      <c r="U218" s="1595">
        <v>0.32994563288948076</v>
      </c>
    </row>
    <row r="219" spans="1:21">
      <c r="A219" t="s">
        <v>97</v>
      </c>
      <c r="B219" t="s">
        <v>732</v>
      </c>
      <c r="C219" s="287">
        <v>73</v>
      </c>
      <c r="D219" s="1550">
        <v>0</v>
      </c>
      <c r="E219" s="1551">
        <v>0</v>
      </c>
      <c r="F219" s="1552">
        <v>0</v>
      </c>
      <c r="G219" s="1552">
        <v>0</v>
      </c>
      <c r="H219" s="1593">
        <v>30</v>
      </c>
      <c r="I219" s="1553">
        <v>861</v>
      </c>
      <c r="J219" s="1594">
        <v>0.21423115854642727</v>
      </c>
      <c r="K219" s="1550">
        <v>29</v>
      </c>
      <c r="L219" s="1551">
        <v>809.51724137931035</v>
      </c>
      <c r="M219" s="1595">
        <v>0.33615144766282096</v>
      </c>
      <c r="N219" s="1552">
        <v>0.13573048792775169</v>
      </c>
      <c r="O219" s="1551">
        <v>3186.4089345918987</v>
      </c>
      <c r="P219" s="1553">
        <v>11302.342144964749</v>
      </c>
      <c r="Q219" s="1553">
        <v>71077.986557715558</v>
      </c>
      <c r="R219" s="1551">
        <v>44</v>
      </c>
      <c r="S219" s="1551">
        <v>2728.1826978015997</v>
      </c>
      <c r="T219" s="1552">
        <v>19769.439839142025</v>
      </c>
      <c r="U219" s="1595">
        <v>0.27813730799885805</v>
      </c>
    </row>
    <row r="220" spans="1:21">
      <c r="A220" t="s">
        <v>1061</v>
      </c>
      <c r="B220" t="s">
        <v>728</v>
      </c>
      <c r="C220" s="287">
        <v>42</v>
      </c>
      <c r="D220" s="1550">
        <v>0</v>
      </c>
      <c r="E220" s="1551">
        <v>0</v>
      </c>
      <c r="F220" s="1552">
        <v>0</v>
      </c>
      <c r="G220" s="1552">
        <v>0</v>
      </c>
      <c r="H220" s="1593">
        <v>17</v>
      </c>
      <c r="I220" s="1553">
        <v>1052.8676470588234</v>
      </c>
      <c r="J220" s="1594">
        <v>0.13451098195512232</v>
      </c>
      <c r="K220" s="1550">
        <v>17</v>
      </c>
      <c r="L220" s="1551">
        <v>1052.8676470588234</v>
      </c>
      <c r="M220" s="1595">
        <v>0.30552728674580926</v>
      </c>
      <c r="N220" s="1552">
        <v>9.1571189990505245E-2</v>
      </c>
      <c r="O220" s="1551">
        <v>1639.0098368425556</v>
      </c>
      <c r="P220" s="1553">
        <v>5179.5663637090929</v>
      </c>
      <c r="Q220" s="1553">
        <v>31306.133070355747</v>
      </c>
      <c r="R220" s="1551">
        <v>25</v>
      </c>
      <c r="S220" s="1551">
        <v>1081.7366292236991</v>
      </c>
      <c r="T220" s="1552">
        <v>7838.671226258688</v>
      </c>
      <c r="U220" s="1595">
        <v>0.25038771823535255</v>
      </c>
    </row>
    <row r="221" spans="1:21">
      <c r="A221" t="s">
        <v>1062</v>
      </c>
      <c r="B221" t="s">
        <v>732</v>
      </c>
      <c r="C221" s="287">
        <v>151</v>
      </c>
      <c r="D221" s="1550">
        <v>3</v>
      </c>
      <c r="E221" s="1551">
        <v>1196.6666666666667</v>
      </c>
      <c r="F221" s="1552">
        <v>7.8006253872980005E-2</v>
      </c>
      <c r="G221" s="1552">
        <v>280.04245140399826</v>
      </c>
      <c r="H221" s="1593">
        <v>24</v>
      </c>
      <c r="I221" s="1553">
        <v>877.70833333333337</v>
      </c>
      <c r="J221" s="1594">
        <v>0.22542820737512179</v>
      </c>
      <c r="K221" s="1550">
        <v>23</v>
      </c>
      <c r="L221" s="1551">
        <v>869.95652173913038</v>
      </c>
      <c r="M221" s="1595">
        <v>0.38109259227306658</v>
      </c>
      <c r="N221" s="1552">
        <v>0.13044722364667177</v>
      </c>
      <c r="O221" s="1551">
        <v>2610.1184979462555</v>
      </c>
      <c r="P221" s="1553">
        <v>27622.687972042655</v>
      </c>
      <c r="Q221" s="1553">
        <v>177777.01429016417</v>
      </c>
      <c r="R221" s="1551">
        <v>125</v>
      </c>
      <c r="S221" s="1551">
        <v>9425.3828365415156</v>
      </c>
      <c r="T221" s="1552">
        <v>68299.875627112429</v>
      </c>
      <c r="U221" s="1595">
        <v>0.38418845034507504</v>
      </c>
    </row>
    <row r="222" spans="1:21">
      <c r="A222" t="s">
        <v>1063</v>
      </c>
      <c r="B222" t="s">
        <v>729</v>
      </c>
      <c r="C222" s="287">
        <v>96</v>
      </c>
      <c r="D222" s="1550">
        <v>7</v>
      </c>
      <c r="E222" s="1551">
        <v>1240</v>
      </c>
      <c r="F222" s="1552">
        <v>6.429057337220602E-2</v>
      </c>
      <c r="G222" s="1552">
        <v>558.04217687074822</v>
      </c>
      <c r="H222" s="1593">
        <v>14</v>
      </c>
      <c r="I222" s="1553">
        <v>1243.0887425149701</v>
      </c>
      <c r="J222" s="1594">
        <v>0.40198357024744602</v>
      </c>
      <c r="K222" s="1550">
        <v>12</v>
      </c>
      <c r="L222" s="1551">
        <v>706.83333333333337</v>
      </c>
      <c r="M222" s="1595">
        <v>0.50078707331019323</v>
      </c>
      <c r="N222" s="1552">
        <v>0.17000524865130015</v>
      </c>
      <c r="O222" s="1551">
        <v>1441.9845190603278</v>
      </c>
      <c r="P222" s="1553">
        <v>40477.023011425415</v>
      </c>
      <c r="Q222" s="1553">
        <v>279078.71747409721</v>
      </c>
      <c r="R222" s="1551">
        <v>77</v>
      </c>
      <c r="S222" s="1551">
        <v>19268.782374603499</v>
      </c>
      <c r="T222" s="1552">
        <v>139628.85778698185</v>
      </c>
      <c r="U222" s="1595">
        <v>0.50032069464394591</v>
      </c>
    </row>
    <row r="223" spans="1:21">
      <c r="A223" t="s">
        <v>1064</v>
      </c>
      <c r="B223" t="s">
        <v>728</v>
      </c>
      <c r="C223" s="287">
        <v>162</v>
      </c>
      <c r="D223" s="1550">
        <v>9</v>
      </c>
      <c r="E223" s="1551">
        <v>1104.6666666666667</v>
      </c>
      <c r="F223" s="1552">
        <v>0.102629916159704</v>
      </c>
      <c r="G223" s="1552">
        <v>1020.3466264597772</v>
      </c>
      <c r="H223" s="1593">
        <v>45</v>
      </c>
      <c r="I223" s="1553">
        <v>1186.3846666666666</v>
      </c>
      <c r="J223" s="1594">
        <v>0.15405060492254552</v>
      </c>
      <c r="K223" s="1550">
        <v>35</v>
      </c>
      <c r="L223" s="1551">
        <v>1023.6088571428571</v>
      </c>
      <c r="M223" s="1595">
        <v>0.37021059811217943</v>
      </c>
      <c r="N223" s="1552">
        <v>0.1005677303883981</v>
      </c>
      <c r="O223" s="1551">
        <v>3602.970684891171</v>
      </c>
      <c r="P223" s="1553">
        <v>26189.383828709182</v>
      </c>
      <c r="Q223" s="1553">
        <v>165759.88281673318</v>
      </c>
      <c r="R223" s="1551">
        <v>118</v>
      </c>
      <c r="S223" s="1551">
        <v>7983.9863843182384</v>
      </c>
      <c r="T223" s="1552">
        <v>57854.973799407519</v>
      </c>
      <c r="U223" s="1595">
        <v>0.34902880489709875</v>
      </c>
    </row>
    <row r="224" spans="1:21">
      <c r="A224" t="s">
        <v>1368</v>
      </c>
      <c r="B224" t="s">
        <v>735</v>
      </c>
      <c r="C224" s="287">
        <v>246</v>
      </c>
      <c r="D224" s="1550">
        <v>0</v>
      </c>
      <c r="E224" s="1551">
        <v>0</v>
      </c>
      <c r="F224" s="1552">
        <v>0</v>
      </c>
      <c r="G224" s="1552">
        <v>0</v>
      </c>
      <c r="H224" s="1593">
        <v>0</v>
      </c>
      <c r="I224" s="1553">
        <v>1747.5136673928823</v>
      </c>
      <c r="J224" s="1594">
        <v>0.15393570674124443</v>
      </c>
      <c r="K224" s="1550">
        <v>0</v>
      </c>
      <c r="L224" s="1551">
        <v>0</v>
      </c>
      <c r="M224" s="1595">
        <v>0.23015757030298531</v>
      </c>
      <c r="N224" s="1552">
        <v>0</v>
      </c>
      <c r="O224" s="1551">
        <v>0</v>
      </c>
      <c r="P224" s="1553">
        <v>66175.168851806389</v>
      </c>
      <c r="Q224" s="1553">
        <v>443058.0351580173</v>
      </c>
      <c r="R224" s="1551">
        <v>246</v>
      </c>
      <c r="S224" s="1551">
        <v>15230.716077321553</v>
      </c>
      <c r="T224" s="1552">
        <v>110367.50780667791</v>
      </c>
      <c r="U224" s="1595">
        <v>0.24910395263978269</v>
      </c>
    </row>
    <row r="225" spans="1:21">
      <c r="A225" t="s">
        <v>1065</v>
      </c>
      <c r="B225" t="s">
        <v>735</v>
      </c>
      <c r="C225" s="287">
        <v>429</v>
      </c>
      <c r="D225" s="1550">
        <v>0</v>
      </c>
      <c r="E225" s="1551">
        <v>0</v>
      </c>
      <c r="F225" s="1552">
        <v>0</v>
      </c>
      <c r="G225" s="1552">
        <v>0</v>
      </c>
      <c r="H225" s="1593">
        <v>0</v>
      </c>
      <c r="I225" s="1553">
        <v>1747.5136673928823</v>
      </c>
      <c r="J225" s="1594">
        <v>0.15393570674124443</v>
      </c>
      <c r="K225" s="1550">
        <v>0</v>
      </c>
      <c r="L225" s="1551">
        <v>0</v>
      </c>
      <c r="M225" s="1595">
        <v>0.23015757030298531</v>
      </c>
      <c r="N225" s="1552">
        <v>0</v>
      </c>
      <c r="O225" s="1551">
        <v>0</v>
      </c>
      <c r="P225" s="1553">
        <v>115403.03836351603</v>
      </c>
      <c r="Q225" s="1553">
        <v>772649.98814142041</v>
      </c>
      <c r="R225" s="1551">
        <v>429</v>
      </c>
      <c r="S225" s="1551">
        <v>26560.88291532905</v>
      </c>
      <c r="T225" s="1552">
        <v>192470.16605310905</v>
      </c>
      <c r="U225" s="1595">
        <v>0.24910395263978269</v>
      </c>
    </row>
    <row r="226" spans="1:21">
      <c r="A226" s="46" t="s">
        <v>227</v>
      </c>
      <c r="B226" t="s">
        <v>728</v>
      </c>
      <c r="C226" s="287">
        <v>246</v>
      </c>
      <c r="D226" s="1550">
        <v>3</v>
      </c>
      <c r="E226" s="1551">
        <v>1101.3333333333333</v>
      </c>
      <c r="F226" s="1552">
        <v>7.701630087766044E-2</v>
      </c>
      <c r="G226" s="1552">
        <v>254.46185809979005</v>
      </c>
      <c r="H226" s="1593">
        <v>64</v>
      </c>
      <c r="I226" s="1553">
        <v>1291.4073437500003</v>
      </c>
      <c r="J226" s="1594">
        <v>0.12062933996557673</v>
      </c>
      <c r="K226" s="1550">
        <v>50</v>
      </c>
      <c r="L226" s="1551">
        <v>1194.5518000000002</v>
      </c>
      <c r="M226" s="1595">
        <v>0.33376328856109294</v>
      </c>
      <c r="N226" s="1552">
        <v>8.1718934726383474E-2</v>
      </c>
      <c r="O226" s="1551">
        <v>4880.8750285741953</v>
      </c>
      <c r="P226" s="1553">
        <v>35201.188678803403</v>
      </c>
      <c r="Q226" s="1553">
        <v>218608.90346958986</v>
      </c>
      <c r="R226" s="1551">
        <v>193</v>
      </c>
      <c r="S226" s="1551">
        <v>10034.877567531543</v>
      </c>
      <c r="T226" s="1552">
        <v>72716.504112547409</v>
      </c>
      <c r="U226" s="1595">
        <v>0.33263285693513767</v>
      </c>
    </row>
    <row r="227" spans="1:21">
      <c r="A227" t="s">
        <v>98</v>
      </c>
      <c r="B227" t="s">
        <v>729</v>
      </c>
      <c r="C227" s="287">
        <v>166</v>
      </c>
      <c r="D227" s="1550">
        <v>10</v>
      </c>
      <c r="E227" s="1551">
        <v>1155.2</v>
      </c>
      <c r="F227" s="1552">
        <v>9.1145938967136145E-2</v>
      </c>
      <c r="G227" s="1552">
        <v>1052.9178869483567</v>
      </c>
      <c r="H227" s="1593">
        <v>0</v>
      </c>
      <c r="I227" s="1553">
        <v>1243.0887425149701</v>
      </c>
      <c r="J227" s="1594">
        <v>0.15094699553265112</v>
      </c>
      <c r="K227" s="1550">
        <v>0</v>
      </c>
      <c r="L227" s="1551">
        <v>0</v>
      </c>
      <c r="M227" s="1595">
        <v>0.32612771454717537</v>
      </c>
      <c r="N227" s="1552">
        <v>0</v>
      </c>
      <c r="O227" s="1551">
        <v>0</v>
      </c>
      <c r="P227" s="1553">
        <v>30324.837581591346</v>
      </c>
      <c r="Q227" s="1553">
        <v>195133.89551877786</v>
      </c>
      <c r="R227" s="1551">
        <v>156</v>
      </c>
      <c r="S227" s="1551">
        <v>9546.3842704223698</v>
      </c>
      <c r="T227" s="1552">
        <v>69176.697611756303</v>
      </c>
      <c r="U227" s="1595">
        <v>0.35450887416481358</v>
      </c>
    </row>
    <row r="228" spans="1:21">
      <c r="A228" t="s">
        <v>1066</v>
      </c>
      <c r="B228" t="s">
        <v>476</v>
      </c>
      <c r="C228" s="287">
        <v>120</v>
      </c>
      <c r="D228" s="1550">
        <v>0</v>
      </c>
      <c r="E228" s="1551">
        <v>0</v>
      </c>
      <c r="F228" s="1552">
        <v>0</v>
      </c>
      <c r="G228" s="1552">
        <v>0</v>
      </c>
      <c r="H228" s="1593">
        <v>11</v>
      </c>
      <c r="I228" s="1553">
        <v>1711.790370798054</v>
      </c>
      <c r="J228" s="1594">
        <v>9.2776509989066766E-2</v>
      </c>
      <c r="K228" s="1550">
        <v>10</v>
      </c>
      <c r="L228" s="1551">
        <v>1991.4</v>
      </c>
      <c r="M228" s="1595">
        <v>0.24805991081779935</v>
      </c>
      <c r="N228" s="1552">
        <v>6.6912624628766182E-2</v>
      </c>
      <c r="O228" s="1551">
        <v>1332.4980068572497</v>
      </c>
      <c r="P228" s="1553">
        <v>18802.031014765987</v>
      </c>
      <c r="Q228" s="1553">
        <v>118455.29720844916</v>
      </c>
      <c r="R228" s="1551">
        <v>110</v>
      </c>
      <c r="S228" s="1551">
        <v>4333.4907999704428</v>
      </c>
      <c r="T228" s="1552">
        <v>31402.107246162628</v>
      </c>
      <c r="U228" s="1595">
        <v>0.26509669036500277</v>
      </c>
    </row>
    <row r="229" spans="1:21">
      <c r="A229" t="s">
        <v>99</v>
      </c>
      <c r="B229" t="s">
        <v>732</v>
      </c>
      <c r="C229" s="287">
        <v>96</v>
      </c>
      <c r="D229" s="1550">
        <v>0</v>
      </c>
      <c r="E229" s="1551">
        <v>0</v>
      </c>
      <c r="F229" s="1552">
        <v>0</v>
      </c>
      <c r="G229" s="1552">
        <v>0</v>
      </c>
      <c r="H229" s="1593">
        <v>51</v>
      </c>
      <c r="I229" s="1553">
        <v>760.07843137254906</v>
      </c>
      <c r="J229" s="1594">
        <v>0.2839930954471982</v>
      </c>
      <c r="K229" s="1550">
        <v>45</v>
      </c>
      <c r="L229" s="1551">
        <v>764.8</v>
      </c>
      <c r="M229" s="1595">
        <v>0.4906217375874668</v>
      </c>
      <c r="N229" s="1552">
        <v>0.12726279514438857</v>
      </c>
      <c r="O229" s="1551">
        <v>4379.8763576892761</v>
      </c>
      <c r="P229" s="1553">
        <v>15388.584709604467</v>
      </c>
      <c r="Q229" s="1553">
        <v>97278.439924670049</v>
      </c>
      <c r="R229" s="1551">
        <v>51</v>
      </c>
      <c r="S229" s="1551">
        <v>5401.1116202102894</v>
      </c>
      <c r="T229" s="1552">
        <v>39138.490001523831</v>
      </c>
      <c r="U229" s="1595">
        <v>0.40233468003631312</v>
      </c>
    </row>
    <row r="230" spans="1:21">
      <c r="A230" t="s">
        <v>100</v>
      </c>
      <c r="B230" t="s">
        <v>734</v>
      </c>
      <c r="C230" s="287">
        <v>186</v>
      </c>
      <c r="D230" s="1550">
        <v>0</v>
      </c>
      <c r="E230" s="1551">
        <v>0</v>
      </c>
      <c r="F230" s="1552">
        <v>0</v>
      </c>
      <c r="G230" s="1552">
        <v>0</v>
      </c>
      <c r="H230" s="1593">
        <v>5</v>
      </c>
      <c r="I230" s="1553">
        <v>1150.5043326039388</v>
      </c>
      <c r="J230" s="1594">
        <v>0.20810870859113864</v>
      </c>
      <c r="K230" s="1550">
        <v>5</v>
      </c>
      <c r="L230" s="1551">
        <v>4362.6000000000004</v>
      </c>
      <c r="M230" s="1595">
        <v>0.33143950254743459</v>
      </c>
      <c r="N230" s="1552">
        <v>0.11325182909193572</v>
      </c>
      <c r="O230" s="1551">
        <v>2470.3621479823942</v>
      </c>
      <c r="P230" s="1553">
        <v>45807.186878477907</v>
      </c>
      <c r="Q230" s="1553">
        <v>304359.6150614341</v>
      </c>
      <c r="R230" s="1551">
        <v>181</v>
      </c>
      <c r="S230" s="1551">
        <v>14363.535630660796</v>
      </c>
      <c r="T230" s="1552">
        <v>104083.5915265275</v>
      </c>
      <c r="U230" s="1595">
        <v>0.34197569708950554</v>
      </c>
    </row>
    <row r="231" spans="1:21">
      <c r="A231" t="s">
        <v>1067</v>
      </c>
      <c r="B231" t="s">
        <v>735</v>
      </c>
      <c r="C231" s="287">
        <v>121</v>
      </c>
      <c r="D231" s="1550">
        <v>5</v>
      </c>
      <c r="E231" s="1551">
        <v>2244.8000000000002</v>
      </c>
      <c r="F231" s="1552">
        <v>9.8245226331590829E-2</v>
      </c>
      <c r="G231" s="1552">
        <v>1102.7044203457756</v>
      </c>
      <c r="H231" s="1593">
        <v>15</v>
      </c>
      <c r="I231" s="1553">
        <v>1747.5136673928823</v>
      </c>
      <c r="J231" s="1594">
        <v>0.20658009043260364</v>
      </c>
      <c r="K231" s="1550">
        <v>12</v>
      </c>
      <c r="L231" s="1551">
        <v>2570.5241666666661</v>
      </c>
      <c r="M231" s="1595">
        <v>0.16192122790874333</v>
      </c>
      <c r="N231" s="1552">
        <v>0.18812215353941289</v>
      </c>
      <c r="O231" s="1551">
        <v>5802.8705035012554</v>
      </c>
      <c r="P231" s="1553">
        <v>44449.734193839206</v>
      </c>
      <c r="Q231" s="1553">
        <v>304159.95792637102</v>
      </c>
      <c r="R231" s="1551">
        <v>104</v>
      </c>
      <c r="S231" s="1551">
        <v>6079.196369798562</v>
      </c>
      <c r="T231" s="1552">
        <v>44052.147607235951</v>
      </c>
      <c r="U231" s="1595">
        <v>0.1448321728723404</v>
      </c>
    </row>
    <row r="232" spans="1:21">
      <c r="A232" t="s">
        <v>1369</v>
      </c>
      <c r="B232" t="s">
        <v>735</v>
      </c>
      <c r="C232" s="287">
        <v>74</v>
      </c>
      <c r="D232" s="1550">
        <v>0</v>
      </c>
      <c r="E232" s="1551">
        <v>0</v>
      </c>
      <c r="F232" s="1552">
        <v>0</v>
      </c>
      <c r="G232" s="1552">
        <v>0</v>
      </c>
      <c r="H232" s="1593">
        <v>0</v>
      </c>
      <c r="I232" s="1553">
        <v>1747.5136673928823</v>
      </c>
      <c r="J232" s="1594">
        <v>0.15393570674124443</v>
      </c>
      <c r="K232" s="1550">
        <v>0</v>
      </c>
      <c r="L232" s="1551">
        <v>0</v>
      </c>
      <c r="M232" s="1595">
        <v>0.23015757030298531</v>
      </c>
      <c r="N232" s="1552">
        <v>0</v>
      </c>
      <c r="O232" s="1551">
        <v>0</v>
      </c>
      <c r="P232" s="1553">
        <v>19906.351605827938</v>
      </c>
      <c r="Q232" s="1553">
        <v>133277.62033208649</v>
      </c>
      <c r="R232" s="1551">
        <v>74</v>
      </c>
      <c r="S232" s="1551">
        <v>4581.597519194288</v>
      </c>
      <c r="T232" s="1552">
        <v>33199.982023147015</v>
      </c>
      <c r="U232" s="1595">
        <v>0.24910395263978272</v>
      </c>
    </row>
    <row r="233" spans="1:21">
      <c r="A233" t="s">
        <v>1068</v>
      </c>
      <c r="B233" t="s">
        <v>735</v>
      </c>
      <c r="C233" s="287">
        <v>928</v>
      </c>
      <c r="D233" s="1550">
        <v>130</v>
      </c>
      <c r="E233" s="1551">
        <v>2003.8563846153845</v>
      </c>
      <c r="F233" s="1552">
        <v>7.3456008094300279E-2</v>
      </c>
      <c r="G233" s="1552">
        <v>19135.387805055987</v>
      </c>
      <c r="H233" s="1593">
        <v>243</v>
      </c>
      <c r="I233" s="1553">
        <v>1861.0451440329216</v>
      </c>
      <c r="J233" s="1594">
        <v>0.13083507028260558</v>
      </c>
      <c r="K233" s="1550">
        <v>121</v>
      </c>
      <c r="L233" s="1551">
        <v>1853.134380165289</v>
      </c>
      <c r="M233" s="1595">
        <v>0.27677836912898424</v>
      </c>
      <c r="N233" s="1552">
        <v>9.6057057446209376E-2</v>
      </c>
      <c r="O233" s="1551">
        <v>21538.802908941016</v>
      </c>
      <c r="P233" s="1553">
        <v>205516.90190602245</v>
      </c>
      <c r="Q233" s="1553">
        <v>1351666.8254059597</v>
      </c>
      <c r="R233" s="1551">
        <v>677</v>
      </c>
      <c r="S233" s="1551">
        <v>45624.89676652896</v>
      </c>
      <c r="T233" s="1552">
        <v>330615.19396035478</v>
      </c>
      <c r="U233" s="1595">
        <v>0.24459814189865745</v>
      </c>
    </row>
    <row r="234" spans="1:21">
      <c r="A234" t="s">
        <v>101</v>
      </c>
      <c r="B234" t="s">
        <v>736</v>
      </c>
      <c r="C234" s="287">
        <v>36</v>
      </c>
      <c r="D234" s="1550">
        <v>6</v>
      </c>
      <c r="E234" s="1551">
        <v>1073.3333333333333</v>
      </c>
      <c r="F234" s="1552">
        <v>6.7251932668336567E-2</v>
      </c>
      <c r="G234" s="1552">
        <v>433.1024463840875</v>
      </c>
      <c r="H234" s="1593">
        <v>5</v>
      </c>
      <c r="I234" s="1553">
        <v>1121.8146232876711</v>
      </c>
      <c r="J234" s="1594">
        <v>0.2465402206361047</v>
      </c>
      <c r="K234" s="1550">
        <v>1</v>
      </c>
      <c r="L234" s="1551">
        <v>713</v>
      </c>
      <c r="M234" s="1595">
        <v>0.32640460980310909</v>
      </c>
      <c r="N234" s="1552">
        <v>8.8513323983169703E-2</v>
      </c>
      <c r="O234" s="1551">
        <v>63.11</v>
      </c>
      <c r="P234" s="1553">
        <v>8516.812763790469</v>
      </c>
      <c r="Q234" s="1553">
        <v>56378.643215872966</v>
      </c>
      <c r="R234" s="1551">
        <v>29</v>
      </c>
      <c r="S234" s="1551">
        <v>2617.960916989723</v>
      </c>
      <c r="T234" s="1552">
        <v>18970.731282534223</v>
      </c>
      <c r="U234" s="1595">
        <v>0.33648790038979093</v>
      </c>
    </row>
    <row r="235" spans="1:21">
      <c r="A235" t="s">
        <v>102</v>
      </c>
      <c r="B235" t="s">
        <v>729</v>
      </c>
      <c r="C235" s="287">
        <v>64</v>
      </c>
      <c r="D235" s="1550">
        <v>2</v>
      </c>
      <c r="E235" s="1551">
        <v>1232</v>
      </c>
      <c r="F235" s="1552">
        <v>6.3539448388050868E-2</v>
      </c>
      <c r="G235" s="1552">
        <v>156.56120082815733</v>
      </c>
      <c r="H235" s="1593">
        <v>7</v>
      </c>
      <c r="I235" s="1553">
        <v>1243.0887425149701</v>
      </c>
      <c r="J235" s="1594">
        <v>0.15094699553265112</v>
      </c>
      <c r="K235" s="1550">
        <v>7</v>
      </c>
      <c r="L235" s="1551">
        <v>892</v>
      </c>
      <c r="M235" s="1595">
        <v>0.32612771454717537</v>
      </c>
      <c r="N235" s="1552">
        <v>0.10098839394736478</v>
      </c>
      <c r="O235" s="1551">
        <v>630.57153180734565</v>
      </c>
      <c r="P235" s="1553">
        <v>11107.360830105788</v>
      </c>
      <c r="Q235" s="1553">
        <v>70999.426305114393</v>
      </c>
      <c r="R235" s="1551">
        <v>55</v>
      </c>
      <c r="S235" s="1551">
        <v>3365.7124030335276</v>
      </c>
      <c r="T235" s="1552">
        <v>24389.220311837154</v>
      </c>
      <c r="U235" s="1595">
        <v>0.34351292089356356</v>
      </c>
    </row>
    <row r="236" spans="1:21">
      <c r="A236" t="s">
        <v>103</v>
      </c>
      <c r="B236" t="s">
        <v>729</v>
      </c>
      <c r="C236" s="287">
        <v>141</v>
      </c>
      <c r="D236" s="1550">
        <v>0</v>
      </c>
      <c r="E236" s="1551">
        <v>0</v>
      </c>
      <c r="F236" s="1552">
        <v>0</v>
      </c>
      <c r="G236" s="1552">
        <v>0</v>
      </c>
      <c r="H236" s="1593">
        <v>0</v>
      </c>
      <c r="I236" s="1553">
        <v>1243.0887425149701</v>
      </c>
      <c r="J236" s="1594">
        <v>0.15094699553265112</v>
      </c>
      <c r="K236" s="1550">
        <v>0</v>
      </c>
      <c r="L236" s="1551">
        <v>0</v>
      </c>
      <c r="M236" s="1595">
        <v>0.32612771454717537</v>
      </c>
      <c r="N236" s="1552">
        <v>0</v>
      </c>
      <c r="O236" s="1551">
        <v>0</v>
      </c>
      <c r="P236" s="1553">
        <v>26457.312031696547</v>
      </c>
      <c r="Q236" s="1553">
        <v>170814.86979490251</v>
      </c>
      <c r="R236" s="1551">
        <v>141</v>
      </c>
      <c r="S236" s="1551">
        <v>8628.4627059586801</v>
      </c>
      <c r="T236" s="1552">
        <v>62525.092072164342</v>
      </c>
      <c r="U236" s="1595">
        <v>0.36604010029828343</v>
      </c>
    </row>
    <row r="237" spans="1:21">
      <c r="A237" t="s">
        <v>32</v>
      </c>
      <c r="B237" t="s">
        <v>734</v>
      </c>
      <c r="C237" s="287">
        <v>62</v>
      </c>
      <c r="D237" s="1550">
        <v>0</v>
      </c>
      <c r="E237" s="1551">
        <v>0</v>
      </c>
      <c r="F237" s="1552">
        <v>0</v>
      </c>
      <c r="G237" s="1552">
        <v>0</v>
      </c>
      <c r="H237" s="1593">
        <v>56</v>
      </c>
      <c r="I237" s="1553">
        <v>959.53678571428566</v>
      </c>
      <c r="J237" s="1594">
        <v>0.40111789806105586</v>
      </c>
      <c r="K237" s="1550">
        <v>1</v>
      </c>
      <c r="L237" s="1551">
        <v>1064</v>
      </c>
      <c r="M237" s="1595">
        <v>0.33143950254743459</v>
      </c>
      <c r="N237" s="1552">
        <v>0.12144736842105264</v>
      </c>
      <c r="O237" s="1551">
        <v>129.22</v>
      </c>
      <c r="P237" s="1553">
        <v>23607.35009447654</v>
      </c>
      <c r="Q237" s="1553">
        <v>161875.58039475753</v>
      </c>
      <c r="R237" s="1551">
        <v>61</v>
      </c>
      <c r="S237" s="1551">
        <v>7781.579759257258</v>
      </c>
      <c r="T237" s="1552">
        <v>56388.259125052587</v>
      </c>
      <c r="U237" s="1595">
        <v>0.3483432089481408</v>
      </c>
    </row>
    <row r="238" spans="1:21">
      <c r="A238" t="s">
        <v>1168</v>
      </c>
      <c r="B238" t="s">
        <v>731</v>
      </c>
      <c r="C238" s="287">
        <v>44</v>
      </c>
      <c r="D238" s="1550">
        <v>0</v>
      </c>
      <c r="E238" s="1551">
        <v>0</v>
      </c>
      <c r="F238" s="1552">
        <v>0</v>
      </c>
      <c r="G238" s="1552">
        <v>0</v>
      </c>
      <c r="H238" s="1593">
        <v>0</v>
      </c>
      <c r="I238" s="1553">
        <v>1845.1516180904523</v>
      </c>
      <c r="J238" s="1594">
        <v>0.15431414630255985</v>
      </c>
      <c r="K238" s="1550">
        <v>0</v>
      </c>
      <c r="L238" s="1551">
        <v>0</v>
      </c>
      <c r="M238" s="1595">
        <v>0.29993685238767825</v>
      </c>
      <c r="N238" s="1552">
        <v>0</v>
      </c>
      <c r="O238" s="1551">
        <v>0</v>
      </c>
      <c r="P238" s="1553">
        <v>12528.251856754265</v>
      </c>
      <c r="Q238" s="1553">
        <v>84260.955483726546</v>
      </c>
      <c r="R238" s="1551">
        <v>44</v>
      </c>
      <c r="S238" s="1551">
        <v>3757.6844278349599</v>
      </c>
      <c r="T238" s="1552">
        <v>27229.597303151881</v>
      </c>
      <c r="U238" s="1595">
        <v>0.32315794601226394</v>
      </c>
    </row>
    <row r="239" spans="1:21">
      <c r="A239" s="46" t="s">
        <v>551</v>
      </c>
      <c r="B239" t="s">
        <v>476</v>
      </c>
      <c r="C239" s="287">
        <v>3545</v>
      </c>
      <c r="D239" s="1550">
        <v>84</v>
      </c>
      <c r="E239" s="1551">
        <v>1657.1854761904765</v>
      </c>
      <c r="F239" s="1552">
        <v>5.8971738623157043E-2</v>
      </c>
      <c r="G239" s="1552">
        <v>8209.077135167734</v>
      </c>
      <c r="H239" s="1593">
        <v>731</v>
      </c>
      <c r="I239" s="1553">
        <v>1640.6899039780521</v>
      </c>
      <c r="J239" s="1594">
        <v>0.11578385298340069</v>
      </c>
      <c r="K239" s="1550">
        <v>441</v>
      </c>
      <c r="L239" s="1551">
        <v>1513.415328798186</v>
      </c>
      <c r="M239" s="1595">
        <v>0.24504749083529409</v>
      </c>
      <c r="N239" s="1552">
        <v>8.4936437793638284E-2</v>
      </c>
      <c r="O239" s="1551">
        <v>56687.951156308933</v>
      </c>
      <c r="P239" s="1553">
        <v>638592.53216478124</v>
      </c>
      <c r="Q239" s="1553">
        <v>4101897.3345274003</v>
      </c>
      <c r="R239" s="1551">
        <v>3020</v>
      </c>
      <c r="S239" s="1551">
        <v>140582.64372764304</v>
      </c>
      <c r="T239" s="1552">
        <v>1018714.8096206016</v>
      </c>
      <c r="U239" s="1595">
        <v>0.24835209819749735</v>
      </c>
    </row>
    <row r="240" spans="1:21">
      <c r="A240" t="s">
        <v>20</v>
      </c>
      <c r="B240" t="s">
        <v>476</v>
      </c>
      <c r="C240" s="287">
        <v>436</v>
      </c>
      <c r="D240" s="1550">
        <v>23</v>
      </c>
      <c r="E240" s="1551">
        <v>1754.9130434782608</v>
      </c>
      <c r="F240" s="1552">
        <v>6.8136328330886092E-2</v>
      </c>
      <c r="G240" s="1552">
        <v>2750.1866204195553</v>
      </c>
      <c r="H240" s="1593">
        <v>43</v>
      </c>
      <c r="I240" s="1553">
        <v>1711.790370798054</v>
      </c>
      <c r="J240" s="1594">
        <v>0.14620559264937283</v>
      </c>
      <c r="K240" s="1550">
        <v>13</v>
      </c>
      <c r="L240" s="1551">
        <v>1517.5084615384617</v>
      </c>
      <c r="M240" s="1595">
        <v>4.7323191627228534E-2</v>
      </c>
      <c r="N240" s="1552">
        <v>0.12174631097206057</v>
      </c>
      <c r="O240" s="1551">
        <v>2401.763741795532</v>
      </c>
      <c r="P240" s="1553">
        <v>105261.28062382276</v>
      </c>
      <c r="Q240" s="1553">
        <v>698121.16394074459</v>
      </c>
      <c r="R240" s="1551">
        <v>400</v>
      </c>
      <c r="S240" s="1551">
        <v>4737.4930196435671</v>
      </c>
      <c r="T240" s="1552">
        <v>34329.659562634544</v>
      </c>
      <c r="U240" s="1595">
        <v>4.917435731191841E-2</v>
      </c>
    </row>
    <row r="241" spans="1:21">
      <c r="A241" t="s">
        <v>1070</v>
      </c>
      <c r="B241" t="s">
        <v>735</v>
      </c>
      <c r="C241" s="287">
        <v>20</v>
      </c>
      <c r="D241" s="1550">
        <v>0</v>
      </c>
      <c r="E241" s="1551">
        <v>0</v>
      </c>
      <c r="F241" s="1552">
        <v>0</v>
      </c>
      <c r="G241" s="1552">
        <v>0</v>
      </c>
      <c r="H241" s="1593">
        <v>1</v>
      </c>
      <c r="I241" s="1553">
        <v>1747.5136673928823</v>
      </c>
      <c r="J241" s="1594">
        <v>0.15393570674124443</v>
      </c>
      <c r="K241" s="1550">
        <v>0</v>
      </c>
      <c r="L241" s="1551">
        <v>0</v>
      </c>
      <c r="M241" s="1595">
        <v>0.23015757030298531</v>
      </c>
      <c r="N241" s="1552">
        <v>0</v>
      </c>
      <c r="O241" s="1551">
        <v>0</v>
      </c>
      <c r="P241" s="1553">
        <v>5380.0950286021462</v>
      </c>
      <c r="Q241" s="1553">
        <v>36020.978468131492</v>
      </c>
      <c r="R241" s="1551">
        <v>20</v>
      </c>
      <c r="S241" s="1551">
        <v>1238.2695997822402</v>
      </c>
      <c r="T241" s="1552">
        <v>8972.9681143640591</v>
      </c>
      <c r="U241" s="1595">
        <v>0.24910395263978269</v>
      </c>
    </row>
    <row r="242" spans="1:21">
      <c r="A242" t="s">
        <v>253</v>
      </c>
      <c r="B242" t="s">
        <v>731</v>
      </c>
      <c r="C242" s="287">
        <v>77</v>
      </c>
      <c r="D242" s="1550">
        <v>0</v>
      </c>
      <c r="E242" s="1551">
        <v>0</v>
      </c>
      <c r="F242" s="1552">
        <v>0</v>
      </c>
      <c r="G242" s="1552">
        <v>0</v>
      </c>
      <c r="H242" s="1593">
        <v>9</v>
      </c>
      <c r="I242" s="1553">
        <v>1845.1516180904523</v>
      </c>
      <c r="J242" s="1594">
        <v>0.15431414630255985</v>
      </c>
      <c r="K242" s="1550">
        <v>3</v>
      </c>
      <c r="L242" s="1551">
        <v>1283.3333333333333</v>
      </c>
      <c r="M242" s="1595">
        <v>0.29993685238767825</v>
      </c>
      <c r="N242" s="1552">
        <v>0.14290813996887111</v>
      </c>
      <c r="O242" s="1551">
        <v>550.1963388801538</v>
      </c>
      <c r="P242" s="1553">
        <v>21620.438097966871</v>
      </c>
      <c r="Q242" s="1553">
        <v>145253.75433309327</v>
      </c>
      <c r="R242" s="1551">
        <v>74</v>
      </c>
      <c r="S242" s="1551">
        <v>6319.7419922678873</v>
      </c>
      <c r="T242" s="1552">
        <v>45795.231828028169</v>
      </c>
      <c r="U242" s="1595">
        <v>0.3152774400791829</v>
      </c>
    </row>
    <row r="243" spans="1:21">
      <c r="A243" t="s">
        <v>191</v>
      </c>
      <c r="B243" t="s">
        <v>732</v>
      </c>
      <c r="C243" s="287">
        <v>36</v>
      </c>
      <c r="D243" s="1550">
        <v>0</v>
      </c>
      <c r="E243" s="1551">
        <v>0</v>
      </c>
      <c r="F243" s="1552">
        <v>0</v>
      </c>
      <c r="G243" s="1552">
        <v>0</v>
      </c>
      <c r="H243" s="1593">
        <v>17</v>
      </c>
      <c r="I243" s="1553">
        <v>804</v>
      </c>
      <c r="J243" s="1594">
        <v>0.37200174888069304</v>
      </c>
      <c r="K243" s="1550">
        <v>5</v>
      </c>
      <c r="L243" s="1551">
        <v>909.6</v>
      </c>
      <c r="M243" s="1595">
        <v>0.33369832036967961</v>
      </c>
      <c r="N243" s="1552">
        <v>0.18393189314253097</v>
      </c>
      <c r="O243" s="1551">
        <v>836.52225001223087</v>
      </c>
      <c r="P243" s="1553">
        <v>10108.293839114624</v>
      </c>
      <c r="Q243" s="1553">
        <v>67911.114776192917</v>
      </c>
      <c r="R243" s="1551">
        <v>31</v>
      </c>
      <c r="S243" s="1551">
        <v>3093.9746061347837</v>
      </c>
      <c r="T243" s="1552">
        <v>22420.1058415564</v>
      </c>
      <c r="U243" s="1595">
        <v>0.33013897526853803</v>
      </c>
    </row>
    <row r="244" spans="1:21">
      <c r="A244" t="s">
        <v>1072</v>
      </c>
      <c r="B244" t="s">
        <v>730</v>
      </c>
      <c r="C244" s="287">
        <v>35</v>
      </c>
      <c r="D244" s="1550">
        <v>4</v>
      </c>
      <c r="E244" s="1551">
        <v>1290.25</v>
      </c>
      <c r="F244" s="1552">
        <v>9.7701711611543118E-2</v>
      </c>
      <c r="G244" s="1552">
        <v>504.23853362717404</v>
      </c>
      <c r="H244" s="1593">
        <v>20</v>
      </c>
      <c r="I244" s="1553">
        <v>1104.5635</v>
      </c>
      <c r="J244" s="1594">
        <v>0.16651507642261326</v>
      </c>
      <c r="K244" s="1550">
        <v>20</v>
      </c>
      <c r="L244" s="1551">
        <v>1104.5635</v>
      </c>
      <c r="M244" s="1595">
        <v>0.25303642441473584</v>
      </c>
      <c r="N244" s="1552">
        <v>0.12149154872148353</v>
      </c>
      <c r="O244" s="1551">
        <v>2683.9026055244472</v>
      </c>
      <c r="P244" s="1553">
        <v>5211.3323709290416</v>
      </c>
      <c r="Q244" s="1553">
        <v>32574.147615427832</v>
      </c>
      <c r="R244" s="1551">
        <v>11</v>
      </c>
      <c r="S244" s="1551">
        <v>511.94107519620371</v>
      </c>
      <c r="T244" s="1552">
        <v>3709.7179362043744</v>
      </c>
      <c r="U244" s="1595">
        <v>0.11388534183615508</v>
      </c>
    </row>
    <row r="245" spans="1:21">
      <c r="A245" t="s">
        <v>106</v>
      </c>
      <c r="B245" t="s">
        <v>729</v>
      </c>
      <c r="C245" s="287">
        <v>134</v>
      </c>
      <c r="D245" s="1550">
        <v>2</v>
      </c>
      <c r="E245" s="1551">
        <v>2224.5</v>
      </c>
      <c r="F245" s="1552">
        <v>7.0337154416722864E-2</v>
      </c>
      <c r="G245" s="1552">
        <v>312.93</v>
      </c>
      <c r="H245" s="1593">
        <v>16</v>
      </c>
      <c r="I245" s="1553">
        <v>1243.0887425149701</v>
      </c>
      <c r="J245" s="1594">
        <v>0.32743879322113711</v>
      </c>
      <c r="K245" s="1550">
        <v>16</v>
      </c>
      <c r="L245" s="1551">
        <v>562.0625</v>
      </c>
      <c r="M245" s="1595">
        <v>0.60070726988921097</v>
      </c>
      <c r="N245" s="1552">
        <v>0.13241119221849854</v>
      </c>
      <c r="O245" s="1551">
        <v>1190.7738516209574</v>
      </c>
      <c r="P245" s="1553">
        <v>48719.819266663348</v>
      </c>
      <c r="Q245" s="1553">
        <v>333175.21207727061</v>
      </c>
      <c r="R245" s="1551">
        <v>116</v>
      </c>
      <c r="S245" s="1551">
        <v>28363.063785744005</v>
      </c>
      <c r="T245" s="1552">
        <v>205529.44772278264</v>
      </c>
      <c r="U245" s="1595">
        <v>0.61688096914939716</v>
      </c>
    </row>
    <row r="246" spans="1:21">
      <c r="A246" t="s">
        <v>411</v>
      </c>
      <c r="B246" t="s">
        <v>736</v>
      </c>
      <c r="C246" s="287">
        <v>26</v>
      </c>
      <c r="D246" s="1550">
        <v>0</v>
      </c>
      <c r="E246" s="1551">
        <v>0</v>
      </c>
      <c r="F246" s="1552">
        <v>0</v>
      </c>
      <c r="G246" s="1552">
        <v>0</v>
      </c>
      <c r="H246" s="1593">
        <v>1</v>
      </c>
      <c r="I246" s="1553">
        <v>1121.8146232876711</v>
      </c>
      <c r="J246" s="1594">
        <v>0.2465402206361047</v>
      </c>
      <c r="K246" s="1550">
        <v>1</v>
      </c>
      <c r="L246" s="1551">
        <v>400</v>
      </c>
      <c r="M246" s="1595">
        <v>0.32640460980310909</v>
      </c>
      <c r="N246" s="1552">
        <v>0.25442500000000001</v>
      </c>
      <c r="O246" s="1551">
        <v>101.77000000000001</v>
      </c>
      <c r="P246" s="1553">
        <v>7016.0806184537778</v>
      </c>
      <c r="Q246" s="1553">
        <v>46986.381293143313</v>
      </c>
      <c r="R246" s="1551">
        <v>25</v>
      </c>
      <c r="S246" s="1551">
        <v>2256.8628594738993</v>
      </c>
      <c r="T246" s="1552">
        <v>16354.078691839848</v>
      </c>
      <c r="U246" s="1595">
        <v>0.34805997486395884</v>
      </c>
    </row>
    <row r="247" spans="1:21">
      <c r="A247" t="s">
        <v>192</v>
      </c>
      <c r="B247" t="s">
        <v>732</v>
      </c>
      <c r="C247" s="287">
        <v>20</v>
      </c>
      <c r="D247" s="1550">
        <v>0</v>
      </c>
      <c r="E247" s="1551">
        <v>0</v>
      </c>
      <c r="F247" s="1552">
        <v>0</v>
      </c>
      <c r="G247" s="1552">
        <v>0</v>
      </c>
      <c r="H247" s="1593">
        <v>2</v>
      </c>
      <c r="I247" s="1553">
        <v>1045.957275886032</v>
      </c>
      <c r="J247" s="1594">
        <v>0.16663814568985108</v>
      </c>
      <c r="K247" s="1550">
        <v>2</v>
      </c>
      <c r="L247" s="1551">
        <v>963.5</v>
      </c>
      <c r="M247" s="1595">
        <v>0.33369832036967961</v>
      </c>
      <c r="N247" s="1552">
        <v>0.16554242430297658</v>
      </c>
      <c r="O247" s="1551">
        <v>319.00025163183585</v>
      </c>
      <c r="P247" s="1553">
        <v>3456.3351082720505</v>
      </c>
      <c r="Q247" s="1553">
        <v>22080.689190377176</v>
      </c>
      <c r="R247" s="1551">
        <v>18</v>
      </c>
      <c r="S247" s="1551">
        <v>1046.9233720980892</v>
      </c>
      <c r="T247" s="1552">
        <v>7586.4012470876023</v>
      </c>
      <c r="U247" s="1595">
        <v>0.34357628884128205</v>
      </c>
    </row>
    <row r="248" spans="1:21">
      <c r="A248" t="s">
        <v>1074</v>
      </c>
      <c r="B248" t="s">
        <v>735</v>
      </c>
      <c r="C248" s="287">
        <v>0</v>
      </c>
      <c r="D248" s="1550">
        <v>19</v>
      </c>
      <c r="E248" s="1551">
        <v>2021.3157894736842</v>
      </c>
      <c r="F248" s="1552">
        <v>7.2886238995849187E-2</v>
      </c>
      <c r="G248" s="1552">
        <v>2799.196008635588</v>
      </c>
      <c r="H248" s="1593">
        <v>28</v>
      </c>
      <c r="I248" s="1553" t="e">
        <v>#DIV/0!</v>
      </c>
      <c r="J248" s="1594">
        <v>0.19624298890403699</v>
      </c>
      <c r="K248" s="1550">
        <v>21</v>
      </c>
      <c r="L248" s="1551">
        <v>1371.2261904761904</v>
      </c>
      <c r="M248" s="1595">
        <v>0.19268407974370433</v>
      </c>
      <c r="N248" s="1552">
        <v>0.14210141614449501</v>
      </c>
      <c r="O248" s="1551">
        <v>4091.916853942842</v>
      </c>
      <c r="P248" s="1553" t="e">
        <v>#DIV/0!</v>
      </c>
      <c r="Q248" s="1553" t="e">
        <v>#DIV/0!</v>
      </c>
      <c r="R248" s="1551">
        <v>0</v>
      </c>
      <c r="S248" s="1551" t="e">
        <v>#DIV/0!</v>
      </c>
      <c r="T248" s="1552" t="e">
        <v>#DIV/0!</v>
      </c>
      <c r="U248" s="1595" t="e">
        <v>#DIV/0!</v>
      </c>
    </row>
    <row r="249" spans="1:21">
      <c r="A249" t="s">
        <v>231</v>
      </c>
      <c r="B249" t="s">
        <v>736</v>
      </c>
      <c r="C249" s="287">
        <v>22</v>
      </c>
      <c r="D249" s="1550">
        <v>1</v>
      </c>
      <c r="E249" s="1551">
        <v>1344</v>
      </c>
      <c r="F249" s="1552">
        <v>7.3058035714285707E-2</v>
      </c>
      <c r="G249" s="1552">
        <v>98.19</v>
      </c>
      <c r="H249" s="1593">
        <v>16</v>
      </c>
      <c r="I249" s="1553">
        <v>986.8125</v>
      </c>
      <c r="J249" s="1594">
        <v>0.25501257535032912</v>
      </c>
      <c r="K249" s="1550">
        <v>7</v>
      </c>
      <c r="L249" s="1551">
        <v>704.57142857142856</v>
      </c>
      <c r="M249" s="1595">
        <v>0.32640460980310909</v>
      </c>
      <c r="N249" s="1552">
        <v>0.1837718191200334</v>
      </c>
      <c r="O249" s="1551">
        <v>906.36261190000471</v>
      </c>
      <c r="P249" s="1553">
        <v>4527.6469700805574</v>
      </c>
      <c r="Q249" s="1553">
        <v>29547.296884641717</v>
      </c>
      <c r="R249" s="1551">
        <v>14</v>
      </c>
      <c r="S249" s="1551">
        <v>1149.9542392814585</v>
      </c>
      <c r="T249" s="1552">
        <v>8333.001733923611</v>
      </c>
      <c r="U249" s="1595">
        <v>0.28202247286637555</v>
      </c>
    </row>
    <row r="250" spans="1:21">
      <c r="A250" t="s">
        <v>1075</v>
      </c>
      <c r="B250" t="s">
        <v>735</v>
      </c>
      <c r="C250" s="287">
        <v>449</v>
      </c>
      <c r="D250" s="1550">
        <v>38</v>
      </c>
      <c r="E250" s="1551">
        <v>1682.1963157894736</v>
      </c>
      <c r="F250" s="1552">
        <v>9.2672154860363551E-2</v>
      </c>
      <c r="G250" s="1552">
        <v>5923.9247843302546</v>
      </c>
      <c r="H250" s="1593">
        <v>25</v>
      </c>
      <c r="I250" s="1553">
        <v>1747.5136673928823</v>
      </c>
      <c r="J250" s="1594">
        <v>0.27531834167634561</v>
      </c>
      <c r="K250" s="1550">
        <v>21</v>
      </c>
      <c r="L250" s="1551">
        <v>976.82142857142856</v>
      </c>
      <c r="M250" s="1595">
        <v>0.24747695844100104</v>
      </c>
      <c r="N250" s="1552">
        <v>0.19051643849967814</v>
      </c>
      <c r="O250" s="1551">
        <v>3908.1113320535223</v>
      </c>
      <c r="P250" s="1553">
        <v>197469.83645209315</v>
      </c>
      <c r="Q250" s="1553">
        <v>1364371.7134209648</v>
      </c>
      <c r="R250" s="1551">
        <v>390</v>
      </c>
      <c r="S250" s="1551">
        <v>46436.032115641203</v>
      </c>
      <c r="T250" s="1552">
        <v>336492.98634522606</v>
      </c>
      <c r="U250" s="1595">
        <v>0.24662852728126308</v>
      </c>
    </row>
    <row r="251" spans="1:21">
      <c r="A251" t="s">
        <v>1076</v>
      </c>
      <c r="B251" t="s">
        <v>736</v>
      </c>
      <c r="C251" s="287">
        <v>53</v>
      </c>
      <c r="D251" s="1550">
        <v>20</v>
      </c>
      <c r="E251" s="1551">
        <v>1259.7</v>
      </c>
      <c r="F251" s="1552">
        <v>0.1130142738392115</v>
      </c>
      <c r="G251" s="1552">
        <v>2847.2816151050947</v>
      </c>
      <c r="H251" s="1593">
        <v>23</v>
      </c>
      <c r="I251" s="1553">
        <v>1101.695652173913</v>
      </c>
      <c r="J251" s="1594">
        <v>0.39306178248072948</v>
      </c>
      <c r="K251" s="1550">
        <v>20</v>
      </c>
      <c r="L251" s="1551">
        <v>1097.75</v>
      </c>
      <c r="M251" s="1595">
        <v>0.46067349619785086</v>
      </c>
      <c r="N251" s="1552">
        <v>0.17677589753494527</v>
      </c>
      <c r="O251" s="1551">
        <v>3881.1148303797236</v>
      </c>
      <c r="P251" s="1553">
        <v>12357.844383816542</v>
      </c>
      <c r="Q251" s="1553">
        <v>81691.770897221315</v>
      </c>
      <c r="R251" s="1551">
        <v>13</v>
      </c>
      <c r="S251" s="1551">
        <v>2593.3374634150587</v>
      </c>
      <c r="T251" s="1552">
        <v>18792.300459529408</v>
      </c>
      <c r="U251" s="1595">
        <v>0.23003908781916999</v>
      </c>
    </row>
    <row r="252" spans="1:21">
      <c r="A252" t="s">
        <v>1370</v>
      </c>
      <c r="B252" t="s">
        <v>735</v>
      </c>
      <c r="C252" s="287">
        <v>2713</v>
      </c>
      <c r="D252" s="1550">
        <v>0</v>
      </c>
      <c r="E252" s="1551">
        <v>0</v>
      </c>
      <c r="F252" s="1552">
        <v>0</v>
      </c>
      <c r="G252" s="1552">
        <v>0</v>
      </c>
      <c r="H252" s="1593">
        <v>0</v>
      </c>
      <c r="I252" s="1553">
        <v>1747.5136673928823</v>
      </c>
      <c r="J252" s="1594">
        <v>0.15393570674124443</v>
      </c>
      <c r="K252" s="1550">
        <v>0</v>
      </c>
      <c r="L252" s="1551">
        <v>0</v>
      </c>
      <c r="M252" s="1595">
        <v>0.23015757030298531</v>
      </c>
      <c r="N252" s="1552">
        <v>0</v>
      </c>
      <c r="O252" s="1551">
        <v>0</v>
      </c>
      <c r="P252" s="1553">
        <v>729809.89062988106</v>
      </c>
      <c r="Q252" s="1553">
        <v>4886245.7292020367</v>
      </c>
      <c r="R252" s="1551">
        <v>2713</v>
      </c>
      <c r="S252" s="1551">
        <v>167971.27121046087</v>
      </c>
      <c r="T252" s="1552">
        <v>1217183.1247134844</v>
      </c>
      <c r="U252" s="1595">
        <v>0.24910395263978266</v>
      </c>
    </row>
    <row r="253" spans="1:21">
      <c r="A253" t="s">
        <v>235</v>
      </c>
      <c r="B253" t="s">
        <v>736</v>
      </c>
      <c r="C253" s="287">
        <v>100</v>
      </c>
      <c r="D253" s="1550">
        <v>4</v>
      </c>
      <c r="E253" s="1551">
        <v>1767</v>
      </c>
      <c r="F253" s="1552">
        <v>0.2158675374925175</v>
      </c>
      <c r="G253" s="1552">
        <v>1525.7517549971137</v>
      </c>
      <c r="H253" s="1593">
        <v>54</v>
      </c>
      <c r="I253" s="1553">
        <v>808.66666666666663</v>
      </c>
      <c r="J253" s="1594">
        <v>0.27014461762664044</v>
      </c>
      <c r="K253" s="1550">
        <v>53</v>
      </c>
      <c r="L253" s="1551">
        <v>814.86792452830184</v>
      </c>
      <c r="M253" s="1595">
        <v>0.36527031037659557</v>
      </c>
      <c r="N253" s="1552">
        <v>0.13325424842073588</v>
      </c>
      <c r="O253" s="1551">
        <v>5754.9844807947411</v>
      </c>
      <c r="P253" s="1553">
        <v>16674.384976317146</v>
      </c>
      <c r="Q253" s="1553">
        <v>106002.78968345757</v>
      </c>
      <c r="R253" s="1551">
        <v>43</v>
      </c>
      <c r="S253" s="1551">
        <v>3431.2209910203896</v>
      </c>
      <c r="T253" s="1552">
        <v>24863.92022478543</v>
      </c>
      <c r="U253" s="1595">
        <v>0.23455911206708185</v>
      </c>
    </row>
    <row r="254" spans="1:21">
      <c r="A254" t="s">
        <v>237</v>
      </c>
      <c r="B254" t="s">
        <v>731</v>
      </c>
      <c r="C254" s="287">
        <v>36</v>
      </c>
      <c r="D254" s="1550">
        <v>5</v>
      </c>
      <c r="E254" s="1551">
        <v>1579.4</v>
      </c>
      <c r="F254" s="1552">
        <v>0.1181799693682867</v>
      </c>
      <c r="G254" s="1552">
        <v>933.26721810136019</v>
      </c>
      <c r="H254" s="1593">
        <v>0</v>
      </c>
      <c r="I254" s="1553">
        <v>1845.1516180904523</v>
      </c>
      <c r="J254" s="1594">
        <v>0.15431414630255985</v>
      </c>
      <c r="K254" s="1550">
        <v>0</v>
      </c>
      <c r="L254" s="1551">
        <v>0</v>
      </c>
      <c r="M254" s="1595">
        <v>0.29993685238767825</v>
      </c>
      <c r="N254" s="1552">
        <v>0</v>
      </c>
      <c r="O254" s="1551">
        <v>0</v>
      </c>
      <c r="P254" s="1553">
        <v>9759.9901171782294</v>
      </c>
      <c r="Q254" s="1553">
        <v>65387.174762161078</v>
      </c>
      <c r="R254" s="1551">
        <v>31</v>
      </c>
      <c r="S254" s="1551">
        <v>2647.4594832473581</v>
      </c>
      <c r="T254" s="1552">
        <v>19184.489009038825</v>
      </c>
      <c r="U254" s="1595">
        <v>0.29339834728783393</v>
      </c>
    </row>
    <row r="255" spans="1:21">
      <c r="A255" t="s">
        <v>1077</v>
      </c>
      <c r="B255" t="s">
        <v>731</v>
      </c>
      <c r="C255" s="287">
        <v>111</v>
      </c>
      <c r="D255" s="1550">
        <v>0</v>
      </c>
      <c r="E255" s="1551">
        <v>0</v>
      </c>
      <c r="F255" s="1552">
        <v>0</v>
      </c>
      <c r="G255" s="1552">
        <v>0</v>
      </c>
      <c r="H255" s="1593">
        <v>13</v>
      </c>
      <c r="I255" s="1553">
        <v>1845.1516180904523</v>
      </c>
      <c r="J255" s="1594">
        <v>0.18731170403603356</v>
      </c>
      <c r="K255" s="1550">
        <v>10</v>
      </c>
      <c r="L255" s="1551">
        <v>1332.865</v>
      </c>
      <c r="M255" s="1595">
        <v>0.19724468033409723</v>
      </c>
      <c r="N255" s="1552">
        <v>0.14320696645052783</v>
      </c>
      <c r="O255" s="1551">
        <v>1908.7555333808277</v>
      </c>
      <c r="P255" s="1553">
        <v>36816.223406106918</v>
      </c>
      <c r="Q255" s="1553">
        <v>250327.27105874577</v>
      </c>
      <c r="R255" s="1551">
        <v>101</v>
      </c>
      <c r="S255" s="1551">
        <v>6885.3123418286268</v>
      </c>
      <c r="T255" s="1552">
        <v>49893.567694410332</v>
      </c>
      <c r="U255" s="1595">
        <v>0.19931335280965659</v>
      </c>
    </row>
    <row r="256" spans="1:21">
      <c r="A256" t="s">
        <v>1379</v>
      </c>
      <c r="B256" t="s">
        <v>736</v>
      </c>
      <c r="C256" s="287">
        <v>0</v>
      </c>
      <c r="D256" s="1550">
        <v>0</v>
      </c>
      <c r="E256" s="1551">
        <v>0</v>
      </c>
      <c r="F256" s="1552">
        <v>0</v>
      </c>
      <c r="G256" s="1552">
        <v>0</v>
      </c>
      <c r="H256" s="1593">
        <v>2</v>
      </c>
      <c r="I256" s="1553" t="e">
        <v>#DIV/0!</v>
      </c>
      <c r="J256" s="1594">
        <v>0.2465402206361047</v>
      </c>
      <c r="K256" s="1550">
        <v>2</v>
      </c>
      <c r="L256" s="1551">
        <v>597.625</v>
      </c>
      <c r="M256" s="1595">
        <v>0.32640460980310909</v>
      </c>
      <c r="N256" s="1552">
        <v>0.1149717150017902</v>
      </c>
      <c r="O256" s="1551">
        <v>137.41994235588973</v>
      </c>
      <c r="P256" s="1553" t="e">
        <v>#DIV/0!</v>
      </c>
      <c r="Q256" s="1553" t="e">
        <v>#DIV/0!</v>
      </c>
      <c r="R256" s="1551">
        <v>0</v>
      </c>
      <c r="S256" s="1551" t="e">
        <v>#DIV/0!</v>
      </c>
      <c r="T256" s="1552" t="e">
        <v>#DIV/0!</v>
      </c>
      <c r="U256" s="1595" t="e">
        <v>#DIV/0!</v>
      </c>
    </row>
    <row r="257" spans="1:21">
      <c r="A257" t="s">
        <v>254</v>
      </c>
      <c r="B257" t="s">
        <v>729</v>
      </c>
      <c r="C257" s="287">
        <v>72</v>
      </c>
      <c r="D257" s="1550">
        <v>0</v>
      </c>
      <c r="E257" s="1551">
        <v>0</v>
      </c>
      <c r="F257" s="1552">
        <v>0</v>
      </c>
      <c r="G257" s="1552">
        <v>0</v>
      </c>
      <c r="H257" s="1593">
        <v>0</v>
      </c>
      <c r="I257" s="1553">
        <v>1243.0887425149701</v>
      </c>
      <c r="J257" s="1594">
        <v>0.15094699553265112</v>
      </c>
      <c r="K257" s="1550">
        <v>0</v>
      </c>
      <c r="L257" s="1551">
        <v>0</v>
      </c>
      <c r="M257" s="1595">
        <v>0.32612771454717537</v>
      </c>
      <c r="N257" s="1552">
        <v>0</v>
      </c>
      <c r="O257" s="1551">
        <v>0</v>
      </c>
      <c r="P257" s="1553">
        <v>13510.116782142919</v>
      </c>
      <c r="Q257" s="1553">
        <v>87224.614363354485</v>
      </c>
      <c r="R257" s="1551">
        <v>72</v>
      </c>
      <c r="S257" s="1551">
        <v>4406.0235094257096</v>
      </c>
      <c r="T257" s="1552">
        <v>31927.706590041373</v>
      </c>
      <c r="U257" s="1595">
        <v>0.36604010029828349</v>
      </c>
    </row>
    <row r="258" spans="1:21">
      <c r="A258" t="s">
        <v>239</v>
      </c>
      <c r="B258" t="s">
        <v>476</v>
      </c>
      <c r="C258" s="287">
        <v>72</v>
      </c>
      <c r="D258" s="1550">
        <v>0</v>
      </c>
      <c r="E258" s="1551">
        <v>0</v>
      </c>
      <c r="F258" s="1552">
        <v>0</v>
      </c>
      <c r="G258" s="1552">
        <v>0</v>
      </c>
      <c r="H258" s="1593">
        <v>8</v>
      </c>
      <c r="I258" s="1553">
        <v>1711.790370798054</v>
      </c>
      <c r="J258" s="1594">
        <v>0.12277463874320498</v>
      </c>
      <c r="K258" s="1550">
        <v>1</v>
      </c>
      <c r="L258" s="1551">
        <v>1170</v>
      </c>
      <c r="M258" s="1595">
        <v>0.28066172362567149</v>
      </c>
      <c r="N258" s="1552">
        <v>0.10538560337965275</v>
      </c>
      <c r="O258" s="1551">
        <v>123.30115595419372</v>
      </c>
      <c r="P258" s="1553">
        <v>15044.976706850979</v>
      </c>
      <c r="Q258" s="1553">
        <v>98346.787730804193</v>
      </c>
      <c r="R258" s="1551">
        <v>71</v>
      </c>
      <c r="S258" s="1551">
        <v>4187.9431794977336</v>
      </c>
      <c r="T258" s="1552">
        <v>30347.414344186473</v>
      </c>
      <c r="U258" s="1595">
        <v>0.30857555233276879</v>
      </c>
    </row>
    <row r="259" spans="1:21">
      <c r="A259" t="s">
        <v>66</v>
      </c>
      <c r="B259" t="s">
        <v>736</v>
      </c>
      <c r="C259" s="287">
        <v>43</v>
      </c>
      <c r="D259" s="1550">
        <v>2</v>
      </c>
      <c r="E259" s="1551">
        <v>768</v>
      </c>
      <c r="F259" s="1552">
        <v>6.7597656249999999E-2</v>
      </c>
      <c r="G259" s="1552">
        <v>103.83</v>
      </c>
      <c r="H259" s="1593">
        <v>9</v>
      </c>
      <c r="I259" s="1553">
        <v>817.41666666666663</v>
      </c>
      <c r="J259" s="1594">
        <v>0.2465402206361047</v>
      </c>
      <c r="K259" s="1550">
        <v>8</v>
      </c>
      <c r="L259" s="1551">
        <v>789.09375</v>
      </c>
      <c r="M259" s="1595">
        <v>0.32640460980310909</v>
      </c>
      <c r="N259" s="1552">
        <v>0.18418262457490289</v>
      </c>
      <c r="O259" s="1551">
        <v>1162.6988632852183</v>
      </c>
      <c r="P259" s="1553">
        <v>7916.8896798889828</v>
      </c>
      <c r="Q259" s="1553">
        <v>50993.548404992624</v>
      </c>
      <c r="R259" s="1551">
        <v>33</v>
      </c>
      <c r="S259" s="1551">
        <v>2170.7084273934379</v>
      </c>
      <c r="T259" s="1552">
        <v>15729.771212995925</v>
      </c>
      <c r="U259" s="1595">
        <v>0.30846590804133706</v>
      </c>
    </row>
    <row r="260" spans="1:21">
      <c r="A260" t="s">
        <v>423</v>
      </c>
      <c r="B260" t="s">
        <v>476</v>
      </c>
      <c r="C260" s="287">
        <v>214</v>
      </c>
      <c r="D260" s="1550">
        <v>9</v>
      </c>
      <c r="E260" s="1551">
        <v>2196.1111111111113</v>
      </c>
      <c r="F260" s="1552">
        <v>4.9824033395925851E-2</v>
      </c>
      <c r="G260" s="1552">
        <v>984.77202007047458</v>
      </c>
      <c r="H260" s="1593">
        <v>15</v>
      </c>
      <c r="I260" s="1553">
        <v>1711.790370798054</v>
      </c>
      <c r="J260" s="1594">
        <v>0.17725515739189696</v>
      </c>
      <c r="K260" s="1550">
        <v>12</v>
      </c>
      <c r="L260" s="1551">
        <v>1251.1666666666667</v>
      </c>
      <c r="M260" s="1595">
        <v>0.44530961230458915</v>
      </c>
      <c r="N260" s="1552">
        <v>9.6047701614995901E-2</v>
      </c>
      <c r="O260" s="1551">
        <v>1442.0601920475485</v>
      </c>
      <c r="P260" s="1553">
        <v>60987.600830482363</v>
      </c>
      <c r="Q260" s="1553">
        <v>410211.31036581419</v>
      </c>
      <c r="R260" s="1551">
        <v>193</v>
      </c>
      <c r="S260" s="1551">
        <v>26077.673169702575</v>
      </c>
      <c r="T260" s="1552">
        <v>188968.64615726503</v>
      </c>
      <c r="U260" s="1595">
        <v>0.46066171600375533</v>
      </c>
    </row>
    <row r="261" spans="1:21">
      <c r="A261" t="s">
        <v>107</v>
      </c>
      <c r="B261" t="s">
        <v>730</v>
      </c>
      <c r="C261" s="287">
        <v>231</v>
      </c>
      <c r="D261" s="1550">
        <v>8</v>
      </c>
      <c r="E261" s="1551">
        <v>1615.25</v>
      </c>
      <c r="F261" s="1552">
        <v>0.10391653934197603</v>
      </c>
      <c r="G261" s="1552">
        <v>1342.8095213770143</v>
      </c>
      <c r="H261" s="1593">
        <v>96</v>
      </c>
      <c r="I261" s="1553">
        <v>931.08989583333334</v>
      </c>
      <c r="J261" s="1594">
        <v>0.12732268185947884</v>
      </c>
      <c r="K261" s="1550">
        <v>62</v>
      </c>
      <c r="L261" s="1551">
        <v>996.95161290322585</v>
      </c>
      <c r="M261" s="1595">
        <v>0.15986845517508411</v>
      </c>
      <c r="N261" s="1552">
        <v>0.10631993688923375</v>
      </c>
      <c r="O261" s="1551">
        <v>6571.7416190604272</v>
      </c>
      <c r="P261" s="1553">
        <v>27000.918017389249</v>
      </c>
      <c r="Q261" s="1553">
        <v>161410.56534340035</v>
      </c>
      <c r="R261" s="1551">
        <v>161</v>
      </c>
      <c r="S261" s="1551">
        <v>3051.3079875231806</v>
      </c>
      <c r="T261" s="1552">
        <v>22110.927445820147</v>
      </c>
      <c r="U261" s="1595">
        <v>0.13698562667678685</v>
      </c>
    </row>
    <row r="262" spans="1:21">
      <c r="A262" s="46" t="s">
        <v>13</v>
      </c>
      <c r="B262" t="s">
        <v>736</v>
      </c>
      <c r="C262" s="287">
        <v>532</v>
      </c>
      <c r="D262" s="1550">
        <v>8</v>
      </c>
      <c r="E262" s="1551">
        <v>1776.75</v>
      </c>
      <c r="F262" s="1552">
        <v>9.6680292819374916E-2</v>
      </c>
      <c r="G262" s="1552">
        <v>1374.213682134595</v>
      </c>
      <c r="H262" s="1593">
        <v>102</v>
      </c>
      <c r="I262" s="1553">
        <v>1567.5615686274509</v>
      </c>
      <c r="J262" s="1594">
        <v>0.24754043971693904</v>
      </c>
      <c r="K262" s="1550">
        <v>64</v>
      </c>
      <c r="L262" s="1551">
        <v>1372.9789062499999</v>
      </c>
      <c r="M262" s="1595">
        <v>0.2630222786179589</v>
      </c>
      <c r="N262" s="1552">
        <v>0.16616973806379304</v>
      </c>
      <c r="O262" s="1551">
        <v>14601.442893995234</v>
      </c>
      <c r="P262" s="1553">
        <v>194471.70136758024</v>
      </c>
      <c r="Q262" s="1553">
        <v>1330340.4446926103</v>
      </c>
      <c r="R262" s="1551">
        <v>460</v>
      </c>
      <c r="S262" s="1551">
        <v>46948.436425340529</v>
      </c>
      <c r="T262" s="1552">
        <v>340206.06105319218</v>
      </c>
      <c r="U262" s="1595">
        <v>0.25572857114165276</v>
      </c>
    </row>
    <row r="263" spans="1:21">
      <c r="A263" t="s">
        <v>108</v>
      </c>
      <c r="B263" t="s">
        <v>732</v>
      </c>
      <c r="C263" s="287">
        <v>125</v>
      </c>
      <c r="D263" s="1550">
        <v>5</v>
      </c>
      <c r="E263" s="1551">
        <v>989.4</v>
      </c>
      <c r="F263" s="1552">
        <v>8.5791965224459504E-2</v>
      </c>
      <c r="G263" s="1552">
        <v>424.41285196540116</v>
      </c>
      <c r="H263" s="1593">
        <v>5</v>
      </c>
      <c r="I263" s="1553">
        <v>1045.957275886032</v>
      </c>
      <c r="J263" s="1594">
        <v>0.16663814568985108</v>
      </c>
      <c r="K263" s="1550">
        <v>2</v>
      </c>
      <c r="L263" s="1551">
        <v>740</v>
      </c>
      <c r="M263" s="1595">
        <v>0.33369832036967961</v>
      </c>
      <c r="N263" s="1552">
        <v>9.9522348484848491E-2</v>
      </c>
      <c r="O263" s="1551">
        <v>147.29307575757576</v>
      </c>
      <c r="P263" s="1553">
        <v>21138.67887680883</v>
      </c>
      <c r="Q263" s="1553">
        <v>134646.2237449915</v>
      </c>
      <c r="R263" s="1551">
        <v>118</v>
      </c>
      <c r="S263" s="1551">
        <v>6863.1643281985853</v>
      </c>
      <c r="T263" s="1552">
        <v>49733.07484201873</v>
      </c>
      <c r="U263" s="1595">
        <v>0.36936108164614367</v>
      </c>
    </row>
    <row r="264" spans="1:21">
      <c r="A264" t="s">
        <v>1359</v>
      </c>
      <c r="B264" t="s">
        <v>731</v>
      </c>
      <c r="C264" s="287">
        <v>18</v>
      </c>
      <c r="D264" s="1550">
        <v>0</v>
      </c>
      <c r="E264" s="1551">
        <v>0</v>
      </c>
      <c r="F264" s="1552">
        <v>0</v>
      </c>
      <c r="G264" s="1552">
        <v>0</v>
      </c>
      <c r="H264" s="1593">
        <v>0</v>
      </c>
      <c r="I264" s="1553">
        <v>1845.1516180904523</v>
      </c>
      <c r="J264" s="1594">
        <v>0.15431414630255985</v>
      </c>
      <c r="K264" s="1550">
        <v>0</v>
      </c>
      <c r="L264" s="1551">
        <v>0</v>
      </c>
      <c r="M264" s="1595">
        <v>0.29993685238767825</v>
      </c>
      <c r="N264" s="1552">
        <v>0</v>
      </c>
      <c r="O264" s="1551">
        <v>0</v>
      </c>
      <c r="P264" s="1553">
        <v>5125.1939413994724</v>
      </c>
      <c r="Q264" s="1553">
        <v>34470.39087970632</v>
      </c>
      <c r="R264" s="1551">
        <v>18</v>
      </c>
      <c r="S264" s="1551">
        <v>1537.2345386597563</v>
      </c>
      <c r="T264" s="1552">
        <v>11139.380714925768</v>
      </c>
      <c r="U264" s="1595">
        <v>0.32315794601226389</v>
      </c>
    </row>
    <row r="265" spans="1:21">
      <c r="A265" t="s">
        <v>1078</v>
      </c>
      <c r="B265" t="s">
        <v>731</v>
      </c>
      <c r="C265" s="287">
        <v>39</v>
      </c>
      <c r="D265" s="1550">
        <v>0</v>
      </c>
      <c r="E265" s="1551">
        <v>0</v>
      </c>
      <c r="F265" s="1552">
        <v>0</v>
      </c>
      <c r="G265" s="1552">
        <v>0</v>
      </c>
      <c r="H265" s="1593">
        <v>2</v>
      </c>
      <c r="I265" s="1553">
        <v>1845.1516180904523</v>
      </c>
      <c r="J265" s="1594">
        <v>0.15431414630255985</v>
      </c>
      <c r="K265" s="1550">
        <v>1</v>
      </c>
      <c r="L265" s="1551">
        <v>638.5</v>
      </c>
      <c r="M265" s="1595">
        <v>0.29993685238767825</v>
      </c>
      <c r="N265" s="1552">
        <v>0.553469068128426</v>
      </c>
      <c r="O265" s="1551">
        <v>353.39</v>
      </c>
      <c r="P265" s="1553">
        <v>11173.243876287774</v>
      </c>
      <c r="Q265" s="1553">
        <v>75183.361422375165</v>
      </c>
      <c r="R265" s="1551">
        <v>38</v>
      </c>
      <c r="S265" s="1551">
        <v>3245.2729149483744</v>
      </c>
      <c r="T265" s="1552">
        <v>23516.470398176625</v>
      </c>
      <c r="U265" s="1595">
        <v>0.31278822805038797</v>
      </c>
    </row>
    <row r="266" spans="1:21">
      <c r="A266" t="s">
        <v>1079</v>
      </c>
      <c r="B266" t="s">
        <v>735</v>
      </c>
      <c r="C266" s="287">
        <v>225</v>
      </c>
      <c r="D266" s="1550">
        <v>3</v>
      </c>
      <c r="E266" s="1551">
        <v>1726.8333333333333</v>
      </c>
      <c r="F266" s="1552">
        <v>0.13976313487783323</v>
      </c>
      <c r="G266" s="1552">
        <v>724.04292023461505</v>
      </c>
      <c r="H266" s="1593">
        <v>17</v>
      </c>
      <c r="I266" s="1553">
        <v>1747.5136673928823</v>
      </c>
      <c r="J266" s="1594">
        <v>0.38121618183809797</v>
      </c>
      <c r="K266" s="1550">
        <v>15</v>
      </c>
      <c r="L266" s="1551">
        <v>1046</v>
      </c>
      <c r="M266" s="1595">
        <v>0.34768255380252922</v>
      </c>
      <c r="N266" s="1552">
        <v>0.18032944352564087</v>
      </c>
      <c r="O266" s="1551">
        <v>2829.3689689173052</v>
      </c>
      <c r="P266" s="1553">
        <v>141452.77290378706</v>
      </c>
      <c r="Q266" s="1553">
        <v>991661.39785352931</v>
      </c>
      <c r="R266" s="1551">
        <v>207</v>
      </c>
      <c r="S266" s="1551">
        <v>47945.202005305291</v>
      </c>
      <c r="T266" s="1552">
        <v>347429.00003844412</v>
      </c>
      <c r="U266" s="1595">
        <v>0.35035043291032714</v>
      </c>
    </row>
    <row r="267" spans="1:21">
      <c r="A267" t="s">
        <v>241</v>
      </c>
      <c r="B267" t="s">
        <v>732</v>
      </c>
      <c r="C267" s="287">
        <v>92</v>
      </c>
      <c r="D267" s="1550">
        <v>0</v>
      </c>
      <c r="E267" s="1551">
        <v>0</v>
      </c>
      <c r="F267" s="1552">
        <v>0</v>
      </c>
      <c r="G267" s="1552">
        <v>0</v>
      </c>
      <c r="H267" s="1593">
        <v>9</v>
      </c>
      <c r="I267" s="1553">
        <v>1045.957275886032</v>
      </c>
      <c r="J267" s="1594">
        <v>0.16663814568985108</v>
      </c>
      <c r="K267" s="1550">
        <v>6</v>
      </c>
      <c r="L267" s="1551">
        <v>1003</v>
      </c>
      <c r="M267" s="1595">
        <v>0.33369832036967961</v>
      </c>
      <c r="N267" s="1552">
        <v>0.14585580074668533</v>
      </c>
      <c r="O267" s="1551">
        <v>877.76020889355232</v>
      </c>
      <c r="P267" s="1553">
        <v>15867.2489683968</v>
      </c>
      <c r="Q267" s="1553">
        <v>101340.0649883826</v>
      </c>
      <c r="R267" s="1551">
        <v>86</v>
      </c>
      <c r="S267" s="1551">
        <v>5001.9672222464251</v>
      </c>
      <c r="T267" s="1552">
        <v>36246.139291640757</v>
      </c>
      <c r="U267" s="1595">
        <v>0.35766840386174942</v>
      </c>
    </row>
    <row r="268" spans="1:21">
      <c r="A268" t="s">
        <v>243</v>
      </c>
      <c r="B268" t="s">
        <v>732</v>
      </c>
      <c r="C268" s="287">
        <v>96</v>
      </c>
      <c r="D268" s="1550">
        <v>4</v>
      </c>
      <c r="E268" s="1551">
        <v>884</v>
      </c>
      <c r="F268" s="1552">
        <v>7.5743778280542975E-2</v>
      </c>
      <c r="G268" s="1552">
        <v>267.83</v>
      </c>
      <c r="H268" s="1593">
        <v>0</v>
      </c>
      <c r="I268" s="1553">
        <v>1045.957275886032</v>
      </c>
      <c r="J268" s="1594">
        <v>0.16663814568985108</v>
      </c>
      <c r="K268" s="1550">
        <v>0</v>
      </c>
      <c r="L268" s="1551">
        <v>0</v>
      </c>
      <c r="M268" s="1595">
        <v>0.33369832036967961</v>
      </c>
      <c r="N268" s="1552">
        <v>0</v>
      </c>
      <c r="O268" s="1551">
        <v>0</v>
      </c>
      <c r="P268" s="1553">
        <v>16303.097045049984</v>
      </c>
      <c r="Q268" s="1553">
        <v>103905.3409061593</v>
      </c>
      <c r="R268" s="1551">
        <v>92</v>
      </c>
      <c r="S268" s="1551">
        <v>5350.9416796124551</v>
      </c>
      <c r="T268" s="1552">
        <v>38774.939707336627</v>
      </c>
      <c r="U268" s="1595">
        <v>0.37317561704894159</v>
      </c>
    </row>
    <row r="269" spans="1:21">
      <c r="A269" t="s">
        <v>1080</v>
      </c>
      <c r="B269" t="s">
        <v>732</v>
      </c>
      <c r="C269" s="287">
        <v>84</v>
      </c>
      <c r="D269" s="1550">
        <v>0</v>
      </c>
      <c r="E269" s="1551">
        <v>0</v>
      </c>
      <c r="F269" s="1552">
        <v>0</v>
      </c>
      <c r="G269" s="1552">
        <v>0</v>
      </c>
      <c r="H269" s="1593">
        <v>48</v>
      </c>
      <c r="I269" s="1553">
        <v>761.95833333333337</v>
      </c>
      <c r="J269" s="1594">
        <v>0.19335625343764792</v>
      </c>
      <c r="K269" s="1550">
        <v>47</v>
      </c>
      <c r="L269" s="1551">
        <v>757.74468085106378</v>
      </c>
      <c r="M269" s="1595">
        <v>0.54592120119851983</v>
      </c>
      <c r="N269" s="1552">
        <v>7.8520721902435087E-2</v>
      </c>
      <c r="O269" s="1551">
        <v>2796.436989833323</v>
      </c>
      <c r="P269" s="1553">
        <v>8247.6251083636525</v>
      </c>
      <c r="Q269" s="1553">
        <v>47311.486292490234</v>
      </c>
      <c r="R269" s="1551">
        <v>37</v>
      </c>
      <c r="S269" s="1551">
        <v>2975.9191656271769</v>
      </c>
      <c r="T269" s="1552">
        <v>21564.631634979542</v>
      </c>
      <c r="U269" s="1595">
        <v>0.45580118750998744</v>
      </c>
    </row>
    <row r="270" spans="1:21">
      <c r="A270" t="s">
        <v>245</v>
      </c>
      <c r="B270" t="s">
        <v>730</v>
      </c>
      <c r="C270" s="287">
        <v>29</v>
      </c>
      <c r="D270" s="1550">
        <v>0</v>
      </c>
      <c r="E270" s="1551">
        <v>0</v>
      </c>
      <c r="F270" s="1552">
        <v>0</v>
      </c>
      <c r="G270" s="1552">
        <v>0</v>
      </c>
      <c r="H270" s="1593">
        <v>0</v>
      </c>
      <c r="I270" s="1553">
        <v>1253.7457405614716</v>
      </c>
      <c r="J270" s="1594">
        <v>0.13649699485343733</v>
      </c>
      <c r="K270" s="1550">
        <v>0</v>
      </c>
      <c r="L270" s="1551">
        <v>0</v>
      </c>
      <c r="M270" s="1595">
        <v>0.2334826600798878</v>
      </c>
      <c r="N270" s="1552">
        <v>0</v>
      </c>
      <c r="O270" s="1551">
        <v>0</v>
      </c>
      <c r="P270" s="1553">
        <v>4962.843251011207</v>
      </c>
      <c r="Q270" s="1553">
        <v>31663.067036313092</v>
      </c>
      <c r="R270" s="1551">
        <v>29</v>
      </c>
      <c r="S270" s="1551">
        <v>1158.7378438056148</v>
      </c>
      <c r="T270" s="1552">
        <v>8396.6510420696723</v>
      </c>
      <c r="U270" s="1595">
        <v>0.2651875458697634</v>
      </c>
    </row>
    <row r="271" spans="1:21">
      <c r="A271" t="s">
        <v>1371</v>
      </c>
      <c r="B271" t="s">
        <v>735</v>
      </c>
      <c r="C271" s="287">
        <v>296</v>
      </c>
      <c r="D271" s="1550">
        <v>5</v>
      </c>
      <c r="E271" s="1551">
        <v>1686.2</v>
      </c>
      <c r="F271" s="1552">
        <v>9.6192962632328752E-2</v>
      </c>
      <c r="G271" s="1552">
        <v>811.00286795316379</v>
      </c>
      <c r="H271" s="1593">
        <v>0</v>
      </c>
      <c r="I271" s="1553">
        <v>1747.5136673928823</v>
      </c>
      <c r="J271" s="1594">
        <v>0.15393570674124443</v>
      </c>
      <c r="K271" s="1550">
        <v>0</v>
      </c>
      <c r="L271" s="1551">
        <v>0</v>
      </c>
      <c r="M271" s="1595">
        <v>0.23015757030298531</v>
      </c>
      <c r="N271" s="1552">
        <v>0</v>
      </c>
      <c r="O271" s="1551">
        <v>0</v>
      </c>
      <c r="P271" s="1553">
        <v>79091.385534114394</v>
      </c>
      <c r="Q271" s="1553">
        <v>529240.76473995927</v>
      </c>
      <c r="R271" s="1551">
        <v>291</v>
      </c>
      <c r="S271" s="1551">
        <v>18016.822676831594</v>
      </c>
      <c r="T271" s="1552">
        <v>130556.68606399705</v>
      </c>
      <c r="U271" s="1595">
        <v>0.24668675348193495</v>
      </c>
    </row>
    <row r="272" spans="1:21">
      <c r="A272" t="s">
        <v>1081</v>
      </c>
      <c r="B272" t="s">
        <v>735</v>
      </c>
      <c r="C272" s="287">
        <v>70</v>
      </c>
      <c r="D272" s="1550">
        <v>1</v>
      </c>
      <c r="E272" s="1551">
        <v>2275</v>
      </c>
      <c r="F272" s="1552">
        <v>5.8224175824175828E-2</v>
      </c>
      <c r="G272" s="1552">
        <v>132.46</v>
      </c>
      <c r="H272" s="1593">
        <v>34</v>
      </c>
      <c r="I272" s="1553">
        <v>1089.3007692307692</v>
      </c>
      <c r="J272" s="1594">
        <v>0.14667000333480421</v>
      </c>
      <c r="K272" s="1550">
        <v>24</v>
      </c>
      <c r="L272" s="1551">
        <v>1104.8512500000002</v>
      </c>
      <c r="M272" s="1595">
        <v>0.17133830170526873</v>
      </c>
      <c r="N272" s="1552">
        <v>0.11202507479501943</v>
      </c>
      <c r="O272" s="1551">
        <v>2970.5050540468974</v>
      </c>
      <c r="P272" s="1553">
        <v>10292.513689552574</v>
      </c>
      <c r="Q272" s="1553">
        <v>64205.171663424451</v>
      </c>
      <c r="R272" s="1551">
        <v>45</v>
      </c>
      <c r="S272" s="1551">
        <v>1231.8450532349748</v>
      </c>
      <c r="T272" s="1552">
        <v>8926.4134292389463</v>
      </c>
      <c r="U272" s="1595">
        <v>0.13902950802830774</v>
      </c>
    </row>
    <row r="273" spans="1:21">
      <c r="A273" t="s">
        <v>1082</v>
      </c>
      <c r="B273" t="s">
        <v>730</v>
      </c>
      <c r="C273" s="287">
        <v>7</v>
      </c>
      <c r="D273" s="1550">
        <v>0</v>
      </c>
      <c r="E273" s="1551">
        <v>0</v>
      </c>
      <c r="F273" s="1552">
        <v>0</v>
      </c>
      <c r="G273" s="1552">
        <v>0</v>
      </c>
      <c r="H273" s="1593">
        <v>0</v>
      </c>
      <c r="I273" s="1553">
        <v>1253.7457405614716</v>
      </c>
      <c r="J273" s="1594">
        <v>0.13649699485343733</v>
      </c>
      <c r="K273" s="1550">
        <v>0</v>
      </c>
      <c r="L273" s="1551">
        <v>0</v>
      </c>
      <c r="M273" s="1595">
        <v>0.2334826600798878</v>
      </c>
      <c r="N273" s="1552">
        <v>0</v>
      </c>
      <c r="O273" s="1551">
        <v>0</v>
      </c>
      <c r="P273" s="1553">
        <v>1197.9276812785672</v>
      </c>
      <c r="Q273" s="1553">
        <v>7642.8092846272975</v>
      </c>
      <c r="R273" s="1551">
        <v>7</v>
      </c>
      <c r="S273" s="1551">
        <v>279.69534160825185</v>
      </c>
      <c r="T273" s="1552">
        <v>2026.7778377409552</v>
      </c>
      <c r="U273" s="1595">
        <v>0.2651875458697634</v>
      </c>
    </row>
    <row r="274" spans="1:21">
      <c r="A274" t="s">
        <v>22</v>
      </c>
      <c r="B274" t="s">
        <v>729</v>
      </c>
      <c r="C274" s="287">
        <v>225</v>
      </c>
      <c r="D274" s="1550">
        <v>1</v>
      </c>
      <c r="E274" s="1551">
        <v>1662</v>
      </c>
      <c r="F274" s="1552">
        <v>8.3598074608904935E-2</v>
      </c>
      <c r="G274" s="1552">
        <v>138.94</v>
      </c>
      <c r="H274" s="1593">
        <v>12</v>
      </c>
      <c r="I274" s="1553">
        <v>1243.0887425149701</v>
      </c>
      <c r="J274" s="1594">
        <v>0.15363400001435698</v>
      </c>
      <c r="K274" s="1550">
        <v>1</v>
      </c>
      <c r="L274" s="1551">
        <v>400</v>
      </c>
      <c r="M274" s="1595">
        <v>0.32612771454717537</v>
      </c>
      <c r="N274" s="1552">
        <v>0.261575</v>
      </c>
      <c r="O274" s="1551">
        <v>104.63</v>
      </c>
      <c r="P274" s="1553">
        <v>42832.265182442396</v>
      </c>
      <c r="Q274" s="1553">
        <v>277020.03755393036</v>
      </c>
      <c r="R274" s="1551">
        <v>223</v>
      </c>
      <c r="S274" s="1551">
        <v>13889.35382539624</v>
      </c>
      <c r="T274" s="1552">
        <v>100647.49148837854</v>
      </c>
      <c r="U274" s="1595">
        <v>0.36332206282653634</v>
      </c>
    </row>
    <row r="275" spans="1:21">
      <c r="A275" t="s">
        <v>36</v>
      </c>
      <c r="B275" t="s">
        <v>728</v>
      </c>
      <c r="C275" s="287">
        <v>927</v>
      </c>
      <c r="D275" s="1550">
        <v>13</v>
      </c>
      <c r="E275" s="1551">
        <v>1656.6923076923076</v>
      </c>
      <c r="F275" s="1552">
        <v>8.5505020772234347E-2</v>
      </c>
      <c r="G275" s="1552">
        <v>1841.5216323716108</v>
      </c>
      <c r="H275" s="1593">
        <v>66</v>
      </c>
      <c r="I275" s="1553">
        <v>1280.0052617079887</v>
      </c>
      <c r="J275" s="1594">
        <v>0.11701111677620191</v>
      </c>
      <c r="K275" s="1550">
        <v>27</v>
      </c>
      <c r="L275" s="1551">
        <v>1309.3333333333333</v>
      </c>
      <c r="M275" s="1595">
        <v>0.33074683821200163</v>
      </c>
      <c r="N275" s="1552">
        <v>7.2051872075754184E-2</v>
      </c>
      <c r="O275" s="1551">
        <v>2547.177781622062</v>
      </c>
      <c r="P275" s="1553">
        <v>137238.98706369911</v>
      </c>
      <c r="Q275" s="1553">
        <v>857047.58741810941</v>
      </c>
      <c r="R275" s="1551">
        <v>887</v>
      </c>
      <c r="S275" s="1551">
        <v>43939.81259569501</v>
      </c>
      <c r="T275" s="1552">
        <v>318404.43909923919</v>
      </c>
      <c r="U275" s="1595">
        <v>0.37151313856263857</v>
      </c>
    </row>
    <row r="276" spans="1:21">
      <c r="A276" t="s">
        <v>1083</v>
      </c>
      <c r="B276" t="s">
        <v>732</v>
      </c>
      <c r="C276" s="287">
        <v>60</v>
      </c>
      <c r="D276" s="1550">
        <v>0</v>
      </c>
      <c r="E276" s="1551">
        <v>0</v>
      </c>
      <c r="F276" s="1552">
        <v>0</v>
      </c>
      <c r="G276" s="1552">
        <v>0</v>
      </c>
      <c r="H276" s="1593">
        <v>44</v>
      </c>
      <c r="I276" s="1553">
        <v>1048.8636363636363</v>
      </c>
      <c r="J276" s="1594">
        <v>0.18843350184091798</v>
      </c>
      <c r="K276" s="1550">
        <v>41</v>
      </c>
      <c r="L276" s="1551">
        <v>1049.8780487804879</v>
      </c>
      <c r="M276" s="1595">
        <v>0.22042339529474475</v>
      </c>
      <c r="N276" s="1552">
        <v>0.13665982864788639</v>
      </c>
      <c r="O276" s="1551">
        <v>5882.5223241482709</v>
      </c>
      <c r="P276" s="1553">
        <v>9637.7022352666554</v>
      </c>
      <c r="Q276" s="1553">
        <v>60942.769820772861</v>
      </c>
      <c r="R276" s="1551">
        <v>19</v>
      </c>
      <c r="S276" s="1551">
        <v>827.72950595133204</v>
      </c>
      <c r="T276" s="1552">
        <v>5998.0398981980579</v>
      </c>
      <c r="U276" s="1595">
        <v>9.8420861339872601E-2</v>
      </c>
    </row>
    <row r="277" spans="1:21">
      <c r="A277" s="46" t="s">
        <v>1084</v>
      </c>
      <c r="B277" t="s">
        <v>731</v>
      </c>
      <c r="C277" s="287">
        <v>1573</v>
      </c>
      <c r="D277" s="1550">
        <v>114</v>
      </c>
      <c r="E277" s="1551">
        <v>1859.0087719298247</v>
      </c>
      <c r="F277" s="1552">
        <v>7.4479637098752577E-2</v>
      </c>
      <c r="G277" s="1552">
        <v>15784.246051427339</v>
      </c>
      <c r="H277" s="1593">
        <v>337</v>
      </c>
      <c r="I277" s="1553">
        <v>1950.5563204747771</v>
      </c>
      <c r="J277" s="1594">
        <v>0.14525936498735212</v>
      </c>
      <c r="K277" s="1550">
        <v>166</v>
      </c>
      <c r="L277" s="1551">
        <v>1803.1689156626508</v>
      </c>
      <c r="M277" s="1595">
        <v>0.27725722831588423</v>
      </c>
      <c r="N277" s="1552">
        <v>0.10698377666302339</v>
      </c>
      <c r="O277" s="1551">
        <v>32023.030212787209</v>
      </c>
      <c r="P277" s="1553">
        <v>414161.46448632679</v>
      </c>
      <c r="Q277" s="1553">
        <v>2767955.6846835273</v>
      </c>
      <c r="R277" s="1551">
        <v>1293</v>
      </c>
      <c r="S277" s="1551">
        <v>101574.3468083786</v>
      </c>
      <c r="T277" s="1552">
        <v>736045.99136506231</v>
      </c>
      <c r="U277" s="1595">
        <v>0.26591682642824455</v>
      </c>
    </row>
    <row r="278" spans="1:21">
      <c r="A278" t="s">
        <v>414</v>
      </c>
      <c r="B278" t="s">
        <v>736</v>
      </c>
      <c r="C278" s="287">
        <v>61</v>
      </c>
      <c r="D278" s="1550">
        <v>1</v>
      </c>
      <c r="E278" s="1551">
        <v>3240</v>
      </c>
      <c r="F278" s="1552">
        <v>5.744753086419753E-2</v>
      </c>
      <c r="G278" s="1552">
        <v>186.13</v>
      </c>
      <c r="H278" s="1593">
        <v>42</v>
      </c>
      <c r="I278" s="1553">
        <v>786.61904761904759</v>
      </c>
      <c r="J278" s="1594">
        <v>0.40844579758018396</v>
      </c>
      <c r="K278" s="1550">
        <v>35</v>
      </c>
      <c r="L278" s="1551">
        <v>813.82857142857142</v>
      </c>
      <c r="M278" s="1595">
        <v>0.54067806579748579</v>
      </c>
      <c r="N278" s="1552">
        <v>0.14864239856509445</v>
      </c>
      <c r="O278" s="1551">
        <v>4233.9300807281497</v>
      </c>
      <c r="P278" s="1553">
        <v>12452.341188141316</v>
      </c>
      <c r="Q278" s="1553">
        <v>81190.443392328365</v>
      </c>
      <c r="R278" s="1551">
        <v>25</v>
      </c>
      <c r="S278" s="1551">
        <v>4342.878213097837</v>
      </c>
      <c r="T278" s="1552">
        <v>31470.131978969832</v>
      </c>
      <c r="U278" s="1595">
        <v>0.38760882025117044</v>
      </c>
    </row>
    <row r="279" spans="1:21">
      <c r="A279" t="s">
        <v>212</v>
      </c>
      <c r="B279" t="s">
        <v>733</v>
      </c>
      <c r="C279" s="287">
        <v>147</v>
      </c>
      <c r="D279" s="1550">
        <v>4</v>
      </c>
      <c r="E279" s="1551">
        <v>1196</v>
      </c>
      <c r="F279" s="1552">
        <v>9.2140468227424749E-2</v>
      </c>
      <c r="G279" s="1552">
        <v>440.8</v>
      </c>
      <c r="H279" s="1593">
        <v>30</v>
      </c>
      <c r="I279" s="1553">
        <v>1022.2283333333334</v>
      </c>
      <c r="J279" s="1594">
        <v>0.18519056766510303</v>
      </c>
      <c r="K279" s="1550">
        <v>19</v>
      </c>
      <c r="L279" s="1551">
        <v>967.0200000000001</v>
      </c>
      <c r="M279" s="1595">
        <v>0.16767508031243503</v>
      </c>
      <c r="N279" s="1552">
        <v>0.16250483879332364</v>
      </c>
      <c r="O279" s="1551">
        <v>2985.7631549884773</v>
      </c>
      <c r="P279" s="1553">
        <v>26900.636776324147</v>
      </c>
      <c r="Q279" s="1553">
        <v>173137.80272698656</v>
      </c>
      <c r="R279" s="1551">
        <v>124</v>
      </c>
      <c r="S279" s="1551">
        <v>3936.0171797174708</v>
      </c>
      <c r="T279" s="1552">
        <v>28521.863621141089</v>
      </c>
      <c r="U279" s="1595">
        <v>0.16473504440919798</v>
      </c>
    </row>
    <row r="280" spans="1:21">
      <c r="A280" t="s">
        <v>110</v>
      </c>
      <c r="B280" t="s">
        <v>729</v>
      </c>
      <c r="C280" s="287">
        <v>43</v>
      </c>
      <c r="D280" s="1550">
        <v>4</v>
      </c>
      <c r="E280" s="1551">
        <v>1168</v>
      </c>
      <c r="F280" s="1552">
        <v>5.9421068075117371E-2</v>
      </c>
      <c r="G280" s="1552">
        <v>277.61523004694834</v>
      </c>
      <c r="H280" s="1593">
        <v>0</v>
      </c>
      <c r="I280" s="1553">
        <v>1243.0887425149701</v>
      </c>
      <c r="J280" s="1594">
        <v>0.15094699553265112</v>
      </c>
      <c r="K280" s="1550">
        <v>0</v>
      </c>
      <c r="L280" s="1551">
        <v>0</v>
      </c>
      <c r="M280" s="1595">
        <v>0.32612771454717537</v>
      </c>
      <c r="N280" s="1552">
        <v>0</v>
      </c>
      <c r="O280" s="1551">
        <v>0</v>
      </c>
      <c r="P280" s="1553">
        <v>7595.5951537076962</v>
      </c>
      <c r="Q280" s="1553">
        <v>48665.327200780404</v>
      </c>
      <c r="R280" s="1551">
        <v>39</v>
      </c>
      <c r="S280" s="1551">
        <v>2386.5960676055925</v>
      </c>
      <c r="T280" s="1552">
        <v>17294.174402939076</v>
      </c>
      <c r="U280" s="1595">
        <v>0.35536952893767337</v>
      </c>
    </row>
    <row r="281" spans="1:21">
      <c r="A281" t="s">
        <v>1085</v>
      </c>
      <c r="B281" t="s">
        <v>476</v>
      </c>
      <c r="C281" s="287">
        <v>0</v>
      </c>
      <c r="D281" s="1550">
        <v>1</v>
      </c>
      <c r="E281" s="1551">
        <v>936</v>
      </c>
      <c r="F281" s="1552">
        <v>4.8985042735042734E-2</v>
      </c>
      <c r="G281" s="1552">
        <v>45.85</v>
      </c>
      <c r="H281" s="1593">
        <v>19</v>
      </c>
      <c r="I281" s="1553" t="e">
        <v>#DIV/0!</v>
      </c>
      <c r="J281" s="1594">
        <v>0.19269937413458105</v>
      </c>
      <c r="K281" s="1550">
        <v>12</v>
      </c>
      <c r="L281" s="1551">
        <v>1414.3333333333333</v>
      </c>
      <c r="M281" s="1595">
        <v>0.41606273386942449</v>
      </c>
      <c r="N281" s="1552">
        <v>0.11024068155680977</v>
      </c>
      <c r="O281" s="1551">
        <v>1871.0048473821753</v>
      </c>
      <c r="P281" s="1553" t="e">
        <v>#DIV/0!</v>
      </c>
      <c r="Q281" s="1553" t="e">
        <v>#DIV/0!</v>
      </c>
      <c r="R281" s="1551">
        <v>0</v>
      </c>
      <c r="S281" s="1551" t="e">
        <v>#DIV/0!</v>
      </c>
      <c r="T281" s="1552" t="e">
        <v>#DIV/0!</v>
      </c>
      <c r="U281" s="1595" t="e">
        <v>#DIV/0!</v>
      </c>
    </row>
    <row r="282" spans="1:21">
      <c r="A282" t="s">
        <v>68</v>
      </c>
      <c r="B282" t="s">
        <v>476</v>
      </c>
      <c r="C282" s="287">
        <v>20</v>
      </c>
      <c r="D282" s="1550">
        <v>0</v>
      </c>
      <c r="E282" s="1551">
        <v>0</v>
      </c>
      <c r="F282" s="1552">
        <v>0</v>
      </c>
      <c r="G282" s="1552">
        <v>0</v>
      </c>
      <c r="H282" s="1593">
        <v>2</v>
      </c>
      <c r="I282" s="1553">
        <v>1711.790370798054</v>
      </c>
      <c r="J282" s="1594">
        <v>0.12277463874320498</v>
      </c>
      <c r="K282" s="1550">
        <v>1</v>
      </c>
      <c r="L282" s="1551">
        <v>1536</v>
      </c>
      <c r="M282" s="1595">
        <v>0.28066172362567149</v>
      </c>
      <c r="N282" s="1552">
        <v>5.3802083333333334E-2</v>
      </c>
      <c r="O282" s="1551">
        <v>82.64</v>
      </c>
      <c r="P282" s="1553">
        <v>4075.764443197731</v>
      </c>
      <c r="Q282" s="1553">
        <v>26569.307559403846</v>
      </c>
      <c r="R282" s="1551">
        <v>19</v>
      </c>
      <c r="S282" s="1551">
        <v>1120.7171888796752</v>
      </c>
      <c r="T282" s="1552">
        <v>8121.139049852718</v>
      </c>
      <c r="U282" s="1595">
        <v>0.30565866391871216</v>
      </c>
    </row>
    <row r="283" spans="1:21">
      <c r="A283" t="s">
        <v>261</v>
      </c>
      <c r="B283" t="s">
        <v>729</v>
      </c>
      <c r="C283" s="287">
        <v>65</v>
      </c>
      <c r="D283" s="1550">
        <v>5</v>
      </c>
      <c r="E283" s="1551">
        <v>1171.8</v>
      </c>
      <c r="F283" s="1552">
        <v>7.4066606443842206E-2</v>
      </c>
      <c r="G283" s="1552">
        <v>433.9562471544715</v>
      </c>
      <c r="H283" s="1593">
        <v>0</v>
      </c>
      <c r="I283" s="1553">
        <v>1243.0887425149701</v>
      </c>
      <c r="J283" s="1594">
        <v>0.15094699553265112</v>
      </c>
      <c r="K283" s="1550">
        <v>0</v>
      </c>
      <c r="L283" s="1551">
        <v>0</v>
      </c>
      <c r="M283" s="1595">
        <v>0.32612771454717537</v>
      </c>
      <c r="N283" s="1552">
        <v>0</v>
      </c>
      <c r="O283" s="1551">
        <v>0</v>
      </c>
      <c r="P283" s="1553">
        <v>11692.386898940238</v>
      </c>
      <c r="Q283" s="1553">
        <v>75090.484774929253</v>
      </c>
      <c r="R283" s="1551">
        <v>60</v>
      </c>
      <c r="S283" s="1551">
        <v>3671.686257854758</v>
      </c>
      <c r="T283" s="1552">
        <v>26606.422158367808</v>
      </c>
      <c r="U283" s="1595">
        <v>0.35432481542922462</v>
      </c>
    </row>
    <row r="284" spans="1:21">
      <c r="A284" t="s">
        <v>1087</v>
      </c>
      <c r="B284" t="s">
        <v>735</v>
      </c>
      <c r="C284" s="287">
        <v>893</v>
      </c>
      <c r="D284" s="1550">
        <v>0</v>
      </c>
      <c r="E284" s="1551">
        <v>0</v>
      </c>
      <c r="F284" s="1552">
        <v>0</v>
      </c>
      <c r="G284" s="1552">
        <v>0</v>
      </c>
      <c r="H284" s="1593">
        <v>82</v>
      </c>
      <c r="I284" s="1553">
        <v>1747.5136673928823</v>
      </c>
      <c r="J284" s="1594">
        <v>0.23441426481419608</v>
      </c>
      <c r="K284" s="1550">
        <v>70</v>
      </c>
      <c r="L284" s="1551">
        <v>1224.0992857142858</v>
      </c>
      <c r="M284" s="1595">
        <v>0.30155136610059935</v>
      </c>
      <c r="N284" s="1552">
        <v>0.13421632004489434</v>
      </c>
      <c r="O284" s="1551">
        <v>11500.58710487086</v>
      </c>
      <c r="P284" s="1553">
        <v>348636.06140727783</v>
      </c>
      <c r="Q284" s="1553">
        <v>2393951.3145454912</v>
      </c>
      <c r="R284" s="1551">
        <v>823</v>
      </c>
      <c r="S284" s="1551">
        <v>101663.6628368643</v>
      </c>
      <c r="T284" s="1552">
        <v>736693.20896278473</v>
      </c>
      <c r="U284" s="1595">
        <v>0.30773107393065391</v>
      </c>
    </row>
    <row r="285" spans="1:21">
      <c r="A285" t="s">
        <v>1088</v>
      </c>
      <c r="B285" t="s">
        <v>736</v>
      </c>
      <c r="C285" s="287">
        <v>5</v>
      </c>
      <c r="D285" s="1550">
        <v>0</v>
      </c>
      <c r="E285" s="1551">
        <v>0</v>
      </c>
      <c r="F285" s="1552">
        <v>0</v>
      </c>
      <c r="G285" s="1552">
        <v>0</v>
      </c>
      <c r="H285" s="1593">
        <v>0</v>
      </c>
      <c r="I285" s="1553">
        <v>1121.8146232876711</v>
      </c>
      <c r="J285" s="1594">
        <v>0.2465402206361047</v>
      </c>
      <c r="K285" s="1550">
        <v>0</v>
      </c>
      <c r="L285" s="1551">
        <v>0</v>
      </c>
      <c r="M285" s="1595">
        <v>0.32640460980310909</v>
      </c>
      <c r="N285" s="1552">
        <v>0</v>
      </c>
      <c r="O285" s="1551">
        <v>0</v>
      </c>
      <c r="P285" s="1553">
        <v>1382.8621236907557</v>
      </c>
      <c r="Q285" s="1553">
        <v>9279.4356789185185</v>
      </c>
      <c r="R285" s="1551">
        <v>5</v>
      </c>
      <c r="S285" s="1551">
        <v>451.37257189477987</v>
      </c>
      <c r="T285" s="1552">
        <v>3270.81573836797</v>
      </c>
      <c r="U285" s="1595">
        <v>0.352480026969611</v>
      </c>
    </row>
    <row r="286" spans="1:21">
      <c r="A286" t="s">
        <v>1171</v>
      </c>
      <c r="B286" t="s">
        <v>549</v>
      </c>
      <c r="C286" s="287">
        <v>283</v>
      </c>
      <c r="D286" s="1550">
        <v>0</v>
      </c>
      <c r="E286" s="1551">
        <v>0</v>
      </c>
      <c r="F286" s="1552">
        <v>0</v>
      </c>
      <c r="G286" s="1552">
        <v>0</v>
      </c>
      <c r="H286" s="1593">
        <v>0</v>
      </c>
      <c r="I286" s="1553">
        <v>1817.0217554858932</v>
      </c>
      <c r="J286" s="1594">
        <v>0.1060456189069323</v>
      </c>
      <c r="K286" s="1550">
        <v>0</v>
      </c>
      <c r="L286" s="1551">
        <v>0</v>
      </c>
      <c r="M286" s="1595">
        <v>0.25858399409042854</v>
      </c>
      <c r="N286" s="1552">
        <v>0</v>
      </c>
      <c r="O286" s="1551">
        <v>0</v>
      </c>
      <c r="P286" s="1553">
        <v>54530.47664568499</v>
      </c>
      <c r="Q286" s="1553">
        <v>353190.55540351442</v>
      </c>
      <c r="R286" s="1551">
        <v>283</v>
      </c>
      <c r="S286" s="1551">
        <v>14100.708450696058</v>
      </c>
      <c r="T286" s="1552">
        <v>102179.04674417432</v>
      </c>
      <c r="U286" s="1595">
        <v>0.28930288531480247</v>
      </c>
    </row>
    <row r="287" spans="1:21">
      <c r="A287" t="s">
        <v>552</v>
      </c>
      <c r="B287" t="s">
        <v>476</v>
      </c>
      <c r="C287" s="287">
        <v>1053</v>
      </c>
      <c r="D287" s="1550">
        <v>25</v>
      </c>
      <c r="E287" s="1551">
        <v>1957.36</v>
      </c>
      <c r="F287" s="1552">
        <v>7.9476569809637174E-2</v>
      </c>
      <c r="G287" s="1552">
        <v>3889.1064670647852</v>
      </c>
      <c r="H287" s="1593">
        <v>254</v>
      </c>
      <c r="I287" s="1553">
        <v>1862.6019685039369</v>
      </c>
      <c r="J287" s="1594">
        <v>0.14985703946998408</v>
      </c>
      <c r="K287" s="1550">
        <v>166</v>
      </c>
      <c r="L287" s="1551">
        <v>1790.034939759036</v>
      </c>
      <c r="M287" s="1595">
        <v>0.32704920392711107</v>
      </c>
      <c r="N287" s="1552">
        <v>9.9105878151354437E-2</v>
      </c>
      <c r="O287" s="1551">
        <v>29448.895447986732</v>
      </c>
      <c r="P287" s="1553">
        <v>273942.90431990288</v>
      </c>
      <c r="Q287" s="1553">
        <v>1828974.8139123395</v>
      </c>
      <c r="R287" s="1551">
        <v>862</v>
      </c>
      <c r="S287" s="1551">
        <v>78689.641792466893</v>
      </c>
      <c r="T287" s="1552">
        <v>570214.79559758608</v>
      </c>
      <c r="U287" s="1595">
        <v>0.31176744002168405</v>
      </c>
    </row>
    <row r="288" spans="1:21">
      <c r="A288" s="46" t="s">
        <v>25</v>
      </c>
      <c r="B288" t="s">
        <v>476</v>
      </c>
      <c r="C288" s="287">
        <v>270</v>
      </c>
      <c r="D288" s="1550">
        <v>3</v>
      </c>
      <c r="E288" s="1551">
        <v>833.33333333333337</v>
      </c>
      <c r="F288" s="1552">
        <v>8.9344061087496998E-2</v>
      </c>
      <c r="G288" s="1552">
        <v>223.36015271874254</v>
      </c>
      <c r="H288" s="1593">
        <v>38</v>
      </c>
      <c r="I288" s="1553">
        <v>1711.790370798054</v>
      </c>
      <c r="J288" s="1594">
        <v>0.12930738951231135</v>
      </c>
      <c r="K288" s="1550">
        <v>28</v>
      </c>
      <c r="L288" s="1551">
        <v>1330.9807142857142</v>
      </c>
      <c r="M288" s="1595">
        <v>0.24394903291132031</v>
      </c>
      <c r="N288" s="1552">
        <v>9.7240744173074531E-2</v>
      </c>
      <c r="O288" s="1551">
        <v>3623.9155438402877</v>
      </c>
      <c r="P288" s="1553">
        <v>56749.243169968708</v>
      </c>
      <c r="Q288" s="1553">
        <v>371195.96499977325</v>
      </c>
      <c r="R288" s="1551">
        <v>239</v>
      </c>
      <c r="S288" s="1551">
        <v>12905.383804244413</v>
      </c>
      <c r="T288" s="1552">
        <v>93517.273943800086</v>
      </c>
      <c r="U288" s="1595">
        <v>0.25193504984316628</v>
      </c>
    </row>
    <row r="289" spans="1:21" s="1379" customFormat="1">
      <c r="A289"/>
      <c r="B289"/>
      <c r="C289" s="287"/>
      <c r="D289"/>
      <c r="E289" s="60"/>
      <c r="F289" s="1549"/>
      <c r="G289" s="1549"/>
      <c r="H289"/>
      <c r="I289" s="60"/>
      <c r="J289" s="1549"/>
      <c r="K289"/>
      <c r="L289" s="60"/>
      <c r="M289" s="49"/>
      <c r="N289" s="1549"/>
      <c r="O289" s="60"/>
      <c r="P289" s="60"/>
      <c r="Q289" s="60"/>
      <c r="R289" s="60"/>
      <c r="S289" s="60"/>
      <c r="T289" s="1549"/>
      <c r="U289" s="1592"/>
    </row>
  </sheetData>
  <sortState ref="A3:U288">
    <sortCondition ref="A3:A288"/>
  </sortState>
  <mergeCells count="5">
    <mergeCell ref="D1:G1"/>
    <mergeCell ref="H1:J1"/>
    <mergeCell ref="K1:O1"/>
    <mergeCell ref="P1:Q1"/>
    <mergeCell ref="R1:U1"/>
  </mergeCells>
  <conditionalFormatting sqref="P2:Q1048576 P1">
    <cfRule type="cellIs" dxfId="2" priority="1" operator="lessThan">
      <formula>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U479"/>
  <sheetViews>
    <sheetView workbookViewId="0">
      <selection activeCell="Q1" sqref="Q1:Q1048576"/>
    </sheetView>
  </sheetViews>
  <sheetFormatPr defaultRowHeight="12.75"/>
  <cols>
    <col min="1" max="1" width="33" bestFit="1" customWidth="1"/>
    <col min="2" max="2" width="31.5703125" bestFit="1" customWidth="1"/>
    <col min="3" max="21" width="9.140625" style="49"/>
  </cols>
  <sheetData>
    <row r="1" spans="1:21" s="90" customFormat="1">
      <c r="A1" s="19" t="s">
        <v>2078</v>
      </c>
      <c r="C1" s="49"/>
      <c r="D1" s="49"/>
      <c r="E1" s="49"/>
      <c r="F1" s="49"/>
      <c r="G1" s="49"/>
      <c r="H1" s="49"/>
      <c r="I1" s="49"/>
      <c r="J1" s="49"/>
      <c r="K1" s="49"/>
      <c r="L1" s="49"/>
      <c r="M1" s="49"/>
      <c r="N1" s="49"/>
      <c r="O1" s="49"/>
      <c r="P1" s="49"/>
      <c r="Q1" s="49"/>
      <c r="R1" s="49"/>
      <c r="S1" s="49"/>
      <c r="T1" s="49"/>
      <c r="U1" s="49"/>
    </row>
    <row r="2" spans="1:21" s="1617" customFormat="1" ht="76.5">
      <c r="A2" s="1617" t="s">
        <v>303</v>
      </c>
      <c r="B2" s="1617" t="s">
        <v>2004</v>
      </c>
      <c r="C2" s="1656" t="s">
        <v>2005</v>
      </c>
      <c r="D2" s="1656" t="s">
        <v>2006</v>
      </c>
      <c r="E2" s="1657" t="s">
        <v>2007</v>
      </c>
      <c r="F2" s="1657" t="s">
        <v>2008</v>
      </c>
      <c r="G2" s="1657" t="s">
        <v>2009</v>
      </c>
      <c r="H2" s="1657" t="s">
        <v>2010</v>
      </c>
      <c r="I2" s="1657" t="s">
        <v>631</v>
      </c>
      <c r="J2" s="1657" t="s">
        <v>2011</v>
      </c>
      <c r="K2" s="1657" t="s">
        <v>2012</v>
      </c>
      <c r="L2" s="1657" t="s">
        <v>2013</v>
      </c>
      <c r="M2" s="1657" t="s">
        <v>2014</v>
      </c>
      <c r="N2" s="1657" t="s">
        <v>2015</v>
      </c>
      <c r="O2" s="1657" t="s">
        <v>2016</v>
      </c>
      <c r="P2" s="1657" t="s">
        <v>2017</v>
      </c>
      <c r="Q2" s="1657" t="s">
        <v>2018</v>
      </c>
      <c r="R2" s="1657" t="s">
        <v>2019</v>
      </c>
      <c r="S2" s="1657" t="s">
        <v>2020</v>
      </c>
      <c r="T2" s="1657" t="s">
        <v>2021</v>
      </c>
      <c r="U2" s="1657" t="s">
        <v>2022</v>
      </c>
    </row>
    <row r="3" spans="1:21">
      <c r="A3" t="s">
        <v>969</v>
      </c>
      <c r="B3" t="s">
        <v>2023</v>
      </c>
      <c r="C3" s="49">
        <v>1</v>
      </c>
      <c r="D3" s="49">
        <v>9.6805421103581799E-2</v>
      </c>
      <c r="E3" s="49">
        <v>1.9361084220716359E-2</v>
      </c>
      <c r="F3" s="49">
        <v>1.452081316553727E-2</v>
      </c>
      <c r="G3" s="49">
        <v>1.3552758954501452E-2</v>
      </c>
      <c r="H3" s="49">
        <v>9.6805421103581795E-3</v>
      </c>
      <c r="I3" s="49">
        <v>3.8722168441432718E-2</v>
      </c>
      <c r="J3" s="49">
        <v>1.8393030009680542E-2</v>
      </c>
      <c r="K3" s="49">
        <v>0.87415295256534364</v>
      </c>
      <c r="L3" s="49">
        <v>8.8092933204259441E-2</v>
      </c>
      <c r="M3" s="49">
        <v>0</v>
      </c>
      <c r="N3" s="49">
        <v>1.2584704743465635E-2</v>
      </c>
      <c r="O3" s="49">
        <v>1.452081316553727E-2</v>
      </c>
      <c r="P3" s="49">
        <v>9.6805421103581795E-3</v>
      </c>
      <c r="Q3" s="49">
        <v>0</v>
      </c>
      <c r="R3" s="49">
        <v>1.2584704743465635E-2</v>
      </c>
      <c r="S3" s="49">
        <v>3.7754114230396901E-2</v>
      </c>
      <c r="T3" s="49">
        <v>1.7424975798644726E-2</v>
      </c>
      <c r="U3" s="49">
        <v>1.9361084220716361E-3</v>
      </c>
    </row>
    <row r="4" spans="1:21">
      <c r="A4" t="s">
        <v>1904</v>
      </c>
      <c r="B4" t="s">
        <v>2023</v>
      </c>
      <c r="C4" s="49">
        <v>1</v>
      </c>
      <c r="D4" s="49">
        <v>9.6805421103581799E-2</v>
      </c>
      <c r="E4" s="49">
        <v>1.9361084220716359E-2</v>
      </c>
      <c r="F4" s="49">
        <v>1.452081316553727E-2</v>
      </c>
      <c r="G4" s="49">
        <v>1.3552758954501452E-2</v>
      </c>
      <c r="H4" s="49">
        <v>9.6805421103581795E-3</v>
      </c>
      <c r="I4" s="49">
        <v>3.8722168441432718E-2</v>
      </c>
      <c r="J4" s="49">
        <v>1.8393030009680542E-2</v>
      </c>
      <c r="K4" s="49">
        <v>0.87415295256534364</v>
      </c>
      <c r="L4" s="49">
        <v>8.8092933204259441E-2</v>
      </c>
      <c r="M4" s="49">
        <v>0</v>
      </c>
      <c r="N4" s="49">
        <v>1.2584704743465635E-2</v>
      </c>
      <c r="O4" s="49">
        <v>1.452081316553727E-2</v>
      </c>
      <c r="P4" s="49">
        <v>9.6805421103581795E-3</v>
      </c>
      <c r="Q4" s="49">
        <v>0</v>
      </c>
      <c r="R4" s="49">
        <v>1.2584704743465635E-2</v>
      </c>
      <c r="S4" s="49">
        <v>3.7754114230396901E-2</v>
      </c>
      <c r="T4" s="49">
        <v>1.7424975798644726E-2</v>
      </c>
      <c r="U4" s="49">
        <v>1.9361084220716361E-3</v>
      </c>
    </row>
    <row r="5" spans="1:21">
      <c r="A5" t="s">
        <v>1384</v>
      </c>
      <c r="B5" t="s">
        <v>2024</v>
      </c>
      <c r="C5" s="49">
        <v>1</v>
      </c>
      <c r="D5" s="49">
        <v>3.9991113085980891E-2</v>
      </c>
      <c r="E5" s="49">
        <v>3.4436791824039102E-2</v>
      </c>
      <c r="F5" s="49">
        <v>1.5329926682959343E-2</v>
      </c>
      <c r="G5" s="49">
        <v>4.8878027105087761E-3</v>
      </c>
      <c r="H5" s="49">
        <v>4.6656298600311046E-3</v>
      </c>
      <c r="I5" s="49">
        <v>8.0648744723394797E-2</v>
      </c>
      <c r="J5" s="49">
        <v>2.7771606309708954E-2</v>
      </c>
      <c r="K5" s="49">
        <v>0.80493223728060426</v>
      </c>
      <c r="L5" s="49">
        <v>4.9988891357476119E-2</v>
      </c>
      <c r="M5" s="49">
        <v>0</v>
      </c>
      <c r="N5" s="49">
        <v>3.3325927571650742E-3</v>
      </c>
      <c r="O5" s="49">
        <v>5.6431904021328597E-2</v>
      </c>
      <c r="P5" s="49">
        <v>2.043990224394579E-2</v>
      </c>
      <c r="Q5" s="49">
        <v>0</v>
      </c>
      <c r="R5" s="49">
        <v>3.3325927571650742E-3</v>
      </c>
      <c r="S5" s="49">
        <v>1.7107309486780714E-2</v>
      </c>
      <c r="T5" s="49">
        <v>1.0219951121972895E-2</v>
      </c>
      <c r="U5" s="49">
        <v>1.5552099533437014E-3</v>
      </c>
    </row>
    <row r="6" spans="1:21">
      <c r="A6" t="s">
        <v>970</v>
      </c>
      <c r="B6" t="s">
        <v>2024</v>
      </c>
      <c r="C6" s="49">
        <v>1</v>
      </c>
      <c r="D6" s="49">
        <v>3.9991113085980891E-2</v>
      </c>
      <c r="E6" s="49">
        <v>3.4436791824039102E-2</v>
      </c>
      <c r="F6" s="49">
        <v>1.5329926682959343E-2</v>
      </c>
      <c r="G6" s="49">
        <v>4.8878027105087761E-3</v>
      </c>
      <c r="H6" s="49">
        <v>4.6656298600311046E-3</v>
      </c>
      <c r="I6" s="49">
        <v>8.0648744723394797E-2</v>
      </c>
      <c r="J6" s="49">
        <v>2.7771606309708954E-2</v>
      </c>
      <c r="K6" s="49">
        <v>0.80493223728060426</v>
      </c>
      <c r="L6" s="49">
        <v>4.9988891357476119E-2</v>
      </c>
      <c r="M6" s="49">
        <v>0</v>
      </c>
      <c r="N6" s="49">
        <v>3.3325927571650742E-3</v>
      </c>
      <c r="O6" s="49">
        <v>5.6431904021328597E-2</v>
      </c>
      <c r="P6" s="49">
        <v>2.043990224394579E-2</v>
      </c>
      <c r="Q6" s="49">
        <v>0</v>
      </c>
      <c r="R6" s="49">
        <v>3.3325927571650742E-3</v>
      </c>
      <c r="S6" s="49">
        <v>1.7107309486780714E-2</v>
      </c>
      <c r="T6" s="49">
        <v>1.0219951121972895E-2</v>
      </c>
      <c r="U6" s="49">
        <v>1.5552099533437014E-3</v>
      </c>
    </row>
    <row r="7" spans="1:21">
      <c r="A7" t="s">
        <v>49</v>
      </c>
      <c r="B7" t="s">
        <v>2025</v>
      </c>
      <c r="C7" s="49">
        <v>1</v>
      </c>
      <c r="D7" s="49">
        <v>3.4419458467186782E-2</v>
      </c>
      <c r="E7" s="49">
        <v>5.9660394676457089E-3</v>
      </c>
      <c r="F7" s="49">
        <v>4.8187241854061496E-3</v>
      </c>
      <c r="G7" s="49">
        <v>1.1473152822395595E-3</v>
      </c>
      <c r="H7" s="49">
        <v>1.8357044515832951E-3</v>
      </c>
      <c r="I7" s="49">
        <v>1.7668655346489214E-2</v>
      </c>
      <c r="J7" s="49">
        <v>1.0325837540156035E-2</v>
      </c>
      <c r="K7" s="49">
        <v>0.85589720055071139</v>
      </c>
      <c r="L7" s="49">
        <v>3.1895364846259752E-2</v>
      </c>
      <c r="M7" s="49">
        <v>2.2946305644791189E-4</v>
      </c>
      <c r="N7" s="49">
        <v>4.5892611289582378E-4</v>
      </c>
      <c r="O7" s="49">
        <v>0.11656723267553924</v>
      </c>
      <c r="P7" s="49">
        <v>1.6291877007801745E-2</v>
      </c>
      <c r="Q7" s="49">
        <v>0</v>
      </c>
      <c r="R7" s="49">
        <v>3.4419458467186783E-3</v>
      </c>
      <c r="S7" s="49">
        <v>2.5240936209270305E-3</v>
      </c>
      <c r="T7" s="49">
        <v>1.1473152822395595E-3</v>
      </c>
      <c r="U7" s="49">
        <v>0</v>
      </c>
    </row>
    <row r="8" spans="1:21">
      <c r="A8" t="s">
        <v>51</v>
      </c>
      <c r="B8" t="s">
        <v>2025</v>
      </c>
      <c r="C8" s="49">
        <v>1</v>
      </c>
      <c r="D8" s="49">
        <v>3.4419458467186782E-2</v>
      </c>
      <c r="E8" s="49">
        <v>5.9660394676457089E-3</v>
      </c>
      <c r="F8" s="49">
        <v>4.8187241854061496E-3</v>
      </c>
      <c r="G8" s="49">
        <v>1.1473152822395595E-3</v>
      </c>
      <c r="H8" s="49">
        <v>1.8357044515832951E-3</v>
      </c>
      <c r="I8" s="49">
        <v>1.7668655346489214E-2</v>
      </c>
      <c r="J8" s="49">
        <v>1.0325837540156035E-2</v>
      </c>
      <c r="K8" s="49">
        <v>0.85589720055071139</v>
      </c>
      <c r="L8" s="49">
        <v>3.1895364846259752E-2</v>
      </c>
      <c r="M8" s="49">
        <v>2.2946305644791189E-4</v>
      </c>
      <c r="N8" s="49">
        <v>4.5892611289582378E-4</v>
      </c>
      <c r="O8" s="49">
        <v>0.11656723267553924</v>
      </c>
      <c r="P8" s="49">
        <v>1.6291877007801745E-2</v>
      </c>
      <c r="Q8" s="49">
        <v>0</v>
      </c>
      <c r="R8" s="49">
        <v>3.4419458467186783E-3</v>
      </c>
      <c r="S8" s="49">
        <v>2.5240936209270305E-3</v>
      </c>
      <c r="T8" s="49">
        <v>1.1473152822395595E-3</v>
      </c>
      <c r="U8" s="49">
        <v>0</v>
      </c>
    </row>
    <row r="9" spans="1:21">
      <c r="A9" t="s">
        <v>53</v>
      </c>
      <c r="B9" t="s">
        <v>2026</v>
      </c>
      <c r="C9" s="49">
        <v>1</v>
      </c>
      <c r="D9" s="49">
        <v>0.39770114942528734</v>
      </c>
      <c r="E9" s="49">
        <v>1.3793103448275862E-2</v>
      </c>
      <c r="F9" s="49">
        <v>2.2988505747126436E-2</v>
      </c>
      <c r="G9" s="49">
        <v>2.2988505747126436E-3</v>
      </c>
      <c r="H9" s="49">
        <v>1.1494252873563218E-2</v>
      </c>
      <c r="I9" s="49">
        <v>2.7586206896551724E-2</v>
      </c>
      <c r="J9" s="49">
        <v>2.528735632183908E-2</v>
      </c>
      <c r="K9" s="49">
        <v>0.92183908045977014</v>
      </c>
      <c r="L9" s="49">
        <v>0.35632183908045978</v>
      </c>
      <c r="M9" s="49">
        <v>0</v>
      </c>
      <c r="N9" s="49">
        <v>2.0689655172413793E-2</v>
      </c>
      <c r="O9" s="49">
        <v>2.9885057471264367E-2</v>
      </c>
      <c r="P9" s="49">
        <v>2.528735632183908E-2</v>
      </c>
      <c r="Q9" s="49">
        <v>0</v>
      </c>
      <c r="R9" s="49">
        <v>2.0689655172413793E-2</v>
      </c>
      <c r="S9" s="49">
        <v>4.5977011494252873E-3</v>
      </c>
      <c r="T9" s="49">
        <v>6.8965517241379309E-3</v>
      </c>
      <c r="U9" s="49">
        <v>0</v>
      </c>
    </row>
    <row r="10" spans="1:21">
      <c r="A10" t="s">
        <v>70</v>
      </c>
      <c r="B10" t="s">
        <v>2027</v>
      </c>
      <c r="C10" s="49">
        <v>1</v>
      </c>
      <c r="D10" s="49">
        <v>3.5550458715596332E-2</v>
      </c>
      <c r="E10" s="49">
        <v>1.7201834862385322E-2</v>
      </c>
      <c r="F10" s="49">
        <v>1.0321100917431193E-2</v>
      </c>
      <c r="G10" s="49">
        <v>4.0137614678899085E-3</v>
      </c>
      <c r="H10" s="49">
        <v>4.0137614678899085E-3</v>
      </c>
      <c r="I10" s="49">
        <v>1.6628440366972478E-2</v>
      </c>
      <c r="J10" s="49">
        <v>8.600917431192661E-3</v>
      </c>
      <c r="K10" s="49">
        <v>0.76720183486238536</v>
      </c>
      <c r="L10" s="49">
        <v>3.6123853211009173E-2</v>
      </c>
      <c r="M10" s="49">
        <v>1.1467889908256881E-3</v>
      </c>
      <c r="N10" s="49">
        <v>1.7201834862385322E-3</v>
      </c>
      <c r="O10" s="49">
        <v>0.19094036697247707</v>
      </c>
      <c r="P10" s="49">
        <v>2.0642201834862386E-2</v>
      </c>
      <c r="Q10" s="49">
        <v>0</v>
      </c>
      <c r="R10" s="49">
        <v>7.4541284403669729E-3</v>
      </c>
      <c r="S10" s="49">
        <v>2.8669724770642203E-3</v>
      </c>
      <c r="T10" s="49">
        <v>2.8669724770642203E-3</v>
      </c>
      <c r="U10" s="49">
        <v>0</v>
      </c>
    </row>
    <row r="11" spans="1:21">
      <c r="A11" t="s">
        <v>971</v>
      </c>
      <c r="B11" t="s">
        <v>2028</v>
      </c>
      <c r="C11" s="49">
        <v>1</v>
      </c>
      <c r="D11" s="49">
        <v>3.9883268482490269E-2</v>
      </c>
      <c r="E11" s="49">
        <v>4.8638132295719845E-3</v>
      </c>
      <c r="F11" s="49">
        <v>5.8365758754863814E-3</v>
      </c>
      <c r="G11" s="49">
        <v>9.727626459143969E-4</v>
      </c>
      <c r="H11" s="49">
        <v>1.4591439688715954E-3</v>
      </c>
      <c r="I11" s="49">
        <v>8.7548638132295721E-3</v>
      </c>
      <c r="J11" s="49">
        <v>5.8365758754863814E-3</v>
      </c>
      <c r="K11" s="49">
        <v>0.51021400778210113</v>
      </c>
      <c r="L11" s="49">
        <v>2.6750972762645913E-2</v>
      </c>
      <c r="M11" s="49">
        <v>7.7821011673151752E-3</v>
      </c>
      <c r="N11" s="49">
        <v>5.350194552529183E-3</v>
      </c>
      <c r="O11" s="49">
        <v>0.46303501945525294</v>
      </c>
      <c r="P11" s="49">
        <v>3.1614785992217898E-2</v>
      </c>
      <c r="Q11" s="49">
        <v>9.727626459143969E-4</v>
      </c>
      <c r="R11" s="49">
        <v>1.4591439688715954E-3</v>
      </c>
      <c r="S11" s="49">
        <v>1.4591439688715954E-3</v>
      </c>
      <c r="T11" s="49">
        <v>1.9455252918287938E-3</v>
      </c>
      <c r="U11" s="49">
        <v>1.9455252918287938E-3</v>
      </c>
    </row>
    <row r="12" spans="1:21">
      <c r="A12" t="s">
        <v>1377</v>
      </c>
      <c r="B12" t="s">
        <v>2029</v>
      </c>
      <c r="C12" s="49">
        <v>1</v>
      </c>
      <c r="D12" s="49">
        <v>6.5778159931212388E-2</v>
      </c>
      <c r="E12" s="49">
        <v>3.5683576956147892E-2</v>
      </c>
      <c r="F12" s="49">
        <v>2.2785898538263114E-2</v>
      </c>
      <c r="G12" s="49">
        <v>4.7291487532244193E-3</v>
      </c>
      <c r="H12" s="49">
        <v>7.3086844368013756E-3</v>
      </c>
      <c r="I12" s="49">
        <v>4.9441100601891656E-2</v>
      </c>
      <c r="J12" s="49">
        <v>2.4505588993981083E-2</v>
      </c>
      <c r="K12" s="49">
        <v>0.53525365434221839</v>
      </c>
      <c r="L12" s="49">
        <v>5.6749785038693032E-2</v>
      </c>
      <c r="M12" s="49">
        <v>3.0094582975064487E-3</v>
      </c>
      <c r="N12" s="49">
        <v>4.2992261392949269E-3</v>
      </c>
      <c r="O12" s="49">
        <v>0.36328460877042135</v>
      </c>
      <c r="P12" s="49">
        <v>4.9011177987962166E-2</v>
      </c>
      <c r="Q12" s="49">
        <v>4.299226139294927E-4</v>
      </c>
      <c r="R12" s="49">
        <v>8.598452278589854E-4</v>
      </c>
      <c r="S12" s="49">
        <v>2.1496130696474634E-3</v>
      </c>
      <c r="T12" s="49">
        <v>3.869303525365434E-3</v>
      </c>
      <c r="U12" s="49">
        <v>6.0189165950128975E-3</v>
      </c>
    </row>
    <row r="13" spans="1:21">
      <c r="A13" t="s">
        <v>972</v>
      </c>
      <c r="B13" t="s">
        <v>2030</v>
      </c>
      <c r="C13" s="49">
        <v>1</v>
      </c>
      <c r="D13" s="49">
        <v>4.5556385362210607E-2</v>
      </c>
      <c r="E13" s="49">
        <v>1.6430171769977596E-2</v>
      </c>
      <c r="F13" s="49">
        <v>1.2696041822255415E-2</v>
      </c>
      <c r="G13" s="49">
        <v>0</v>
      </c>
      <c r="H13" s="49">
        <v>9.7087378640776691E-3</v>
      </c>
      <c r="I13" s="49">
        <v>1.2696041822255415E-2</v>
      </c>
      <c r="J13" s="49">
        <v>1.0455563853622106E-2</v>
      </c>
      <c r="K13" s="49">
        <v>0.85287528005974611</v>
      </c>
      <c r="L13" s="49">
        <v>4.8543689320388349E-2</v>
      </c>
      <c r="M13" s="49">
        <v>0</v>
      </c>
      <c r="N13" s="49">
        <v>9.7087378640776691E-3</v>
      </c>
      <c r="O13" s="49">
        <v>0.11277072442120986</v>
      </c>
      <c r="P13" s="49">
        <v>2.3898431665421958E-2</v>
      </c>
      <c r="Q13" s="49">
        <v>2.2404779686333084E-3</v>
      </c>
      <c r="R13" s="49">
        <v>4.4809559372666168E-3</v>
      </c>
      <c r="S13" s="49">
        <v>2.9873039581777448E-3</v>
      </c>
      <c r="T13" s="49">
        <v>5.2277819268110532E-3</v>
      </c>
      <c r="U13" s="49">
        <v>0</v>
      </c>
    </row>
    <row r="14" spans="1:21">
      <c r="A14" t="s">
        <v>1360</v>
      </c>
      <c r="B14" t="s">
        <v>2024</v>
      </c>
      <c r="C14" s="49">
        <v>1</v>
      </c>
      <c r="D14" s="49">
        <v>3.9991113085980891E-2</v>
      </c>
      <c r="E14" s="49">
        <v>3.4436791824039102E-2</v>
      </c>
      <c r="F14" s="49">
        <v>1.5329926682959343E-2</v>
      </c>
      <c r="G14" s="49">
        <v>4.8878027105087761E-3</v>
      </c>
      <c r="H14" s="49">
        <v>4.6656298600311046E-3</v>
      </c>
      <c r="I14" s="49">
        <v>8.0648744723394797E-2</v>
      </c>
      <c r="J14" s="49">
        <v>2.7771606309708954E-2</v>
      </c>
      <c r="K14" s="49">
        <v>0.80493223728060426</v>
      </c>
      <c r="L14" s="49">
        <v>4.9988891357476119E-2</v>
      </c>
      <c r="M14" s="49">
        <v>0</v>
      </c>
      <c r="N14" s="49">
        <v>3.3325927571650742E-3</v>
      </c>
      <c r="O14" s="49">
        <v>5.6431904021328597E-2</v>
      </c>
      <c r="P14" s="49">
        <v>2.043990224394579E-2</v>
      </c>
      <c r="Q14" s="49">
        <v>0</v>
      </c>
      <c r="R14" s="49">
        <v>3.3325927571650742E-3</v>
      </c>
      <c r="S14" s="49">
        <v>1.7107309486780714E-2</v>
      </c>
      <c r="T14" s="49">
        <v>1.0219951121972895E-2</v>
      </c>
      <c r="U14" s="49">
        <v>1.5552099533437014E-3</v>
      </c>
    </row>
    <row r="15" spans="1:21">
      <c r="A15" t="s">
        <v>2026</v>
      </c>
      <c r="B15" t="s">
        <v>2026</v>
      </c>
      <c r="C15" s="49">
        <v>1</v>
      </c>
      <c r="D15" s="49">
        <v>0.39770114942528734</v>
      </c>
      <c r="E15" s="49">
        <v>1.3793103448275862E-2</v>
      </c>
      <c r="F15" s="49">
        <v>2.2988505747126436E-2</v>
      </c>
      <c r="G15" s="49">
        <v>2.2988505747126436E-3</v>
      </c>
      <c r="H15" s="49">
        <v>1.1494252873563218E-2</v>
      </c>
      <c r="I15" s="49">
        <v>2.7586206896551724E-2</v>
      </c>
      <c r="J15" s="49">
        <v>2.528735632183908E-2</v>
      </c>
      <c r="K15" s="49">
        <v>0.92183908045977014</v>
      </c>
      <c r="L15" s="49">
        <v>0.35632183908045978</v>
      </c>
      <c r="M15" s="49">
        <v>0</v>
      </c>
      <c r="N15" s="49">
        <v>2.0689655172413793E-2</v>
      </c>
      <c r="O15" s="49">
        <v>2.9885057471264367E-2</v>
      </c>
      <c r="P15" s="49">
        <v>2.528735632183908E-2</v>
      </c>
      <c r="Q15" s="49">
        <v>0</v>
      </c>
      <c r="R15" s="49">
        <v>2.0689655172413793E-2</v>
      </c>
      <c r="S15" s="49">
        <v>4.5977011494252873E-3</v>
      </c>
      <c r="T15" s="49">
        <v>6.8965517241379309E-3</v>
      </c>
      <c r="U15" s="49">
        <v>0</v>
      </c>
    </row>
    <row r="16" spans="1:21">
      <c r="A16" t="s">
        <v>1908</v>
      </c>
      <c r="B16" t="s">
        <v>2031</v>
      </c>
      <c r="C16" s="49">
        <v>1</v>
      </c>
      <c r="D16" s="49">
        <v>1.3398451306108023E-2</v>
      </c>
      <c r="E16" s="49">
        <v>0.69887221668862254</v>
      </c>
      <c r="F16" s="49">
        <v>1.5679722391800276E-2</v>
      </c>
      <c r="G16" s="49">
        <v>1.2177489316582591E-2</v>
      </c>
      <c r="H16" s="49">
        <v>3.2451884458439095E-3</v>
      </c>
      <c r="I16" s="49">
        <v>5.7835041609099379E-2</v>
      </c>
      <c r="J16" s="49">
        <v>7.6149471451980848E-3</v>
      </c>
      <c r="K16" s="49">
        <v>0.1487645792500723</v>
      </c>
      <c r="L16" s="49">
        <v>9.1250843427690131E-3</v>
      </c>
      <c r="M16" s="49">
        <v>2.5061851363943066E-3</v>
      </c>
      <c r="N16" s="49">
        <v>1.2530925681971533E-3</v>
      </c>
      <c r="O16" s="49">
        <v>7.3836069787616879E-2</v>
      </c>
      <c r="P16" s="49">
        <v>6.8759438357484815E-3</v>
      </c>
      <c r="Q16" s="49">
        <v>0</v>
      </c>
      <c r="R16" s="49">
        <v>7.0687273077788134E-4</v>
      </c>
      <c r="S16" s="49">
        <v>4.2412363846672883E-3</v>
      </c>
      <c r="T16" s="49">
        <v>2.0242264563184783E-3</v>
      </c>
      <c r="U16" s="49">
        <v>1.7671818269447033E-3</v>
      </c>
    </row>
    <row r="17" spans="1:21">
      <c r="A17" t="s">
        <v>973</v>
      </c>
      <c r="B17" t="s">
        <v>2028</v>
      </c>
      <c r="C17" s="49">
        <v>1</v>
      </c>
      <c r="D17" s="49">
        <v>3.9883268482490269E-2</v>
      </c>
      <c r="E17" s="49">
        <v>4.8638132295719845E-3</v>
      </c>
      <c r="F17" s="49">
        <v>5.8365758754863814E-3</v>
      </c>
      <c r="G17" s="49">
        <v>9.727626459143969E-4</v>
      </c>
      <c r="H17" s="49">
        <v>1.4591439688715954E-3</v>
      </c>
      <c r="I17" s="49">
        <v>8.7548638132295721E-3</v>
      </c>
      <c r="J17" s="49">
        <v>5.8365758754863814E-3</v>
      </c>
      <c r="K17" s="49">
        <v>0.51021400778210113</v>
      </c>
      <c r="L17" s="49">
        <v>2.6750972762645913E-2</v>
      </c>
      <c r="M17" s="49">
        <v>7.7821011673151752E-3</v>
      </c>
      <c r="N17" s="49">
        <v>5.350194552529183E-3</v>
      </c>
      <c r="O17" s="49">
        <v>0.46303501945525294</v>
      </c>
      <c r="P17" s="49">
        <v>3.1614785992217898E-2</v>
      </c>
      <c r="Q17" s="49">
        <v>9.727626459143969E-4</v>
      </c>
      <c r="R17" s="49">
        <v>1.4591439688715954E-3</v>
      </c>
      <c r="S17" s="49">
        <v>1.4591439688715954E-3</v>
      </c>
      <c r="T17" s="49">
        <v>1.9455252918287938E-3</v>
      </c>
      <c r="U17" s="49">
        <v>1.9455252918287938E-3</v>
      </c>
    </row>
    <row r="18" spans="1:21">
      <c r="A18" t="s">
        <v>1574</v>
      </c>
      <c r="B18" t="s">
        <v>205</v>
      </c>
      <c r="C18" s="49">
        <v>1</v>
      </c>
      <c r="D18" s="49">
        <v>8.3919597989949746E-2</v>
      </c>
      <c r="E18" s="49">
        <v>0.66582914572864327</v>
      </c>
      <c r="F18" s="49">
        <v>5.4773869346733665E-2</v>
      </c>
      <c r="G18" s="49">
        <v>5.025125628140704E-4</v>
      </c>
      <c r="H18" s="49">
        <v>1.507537688442211E-3</v>
      </c>
      <c r="I18" s="49">
        <v>2.7638190954773871E-2</v>
      </c>
      <c r="J18" s="49">
        <v>1.6582914572864323E-2</v>
      </c>
      <c r="K18" s="49">
        <v>0.30351758793969852</v>
      </c>
      <c r="L18" s="49">
        <v>4.6733668341708542E-2</v>
      </c>
      <c r="M18" s="49">
        <v>0</v>
      </c>
      <c r="N18" s="49">
        <v>6.5326633165829146E-3</v>
      </c>
      <c r="O18" s="49">
        <v>0</v>
      </c>
      <c r="P18" s="49">
        <v>6.5326633165829146E-3</v>
      </c>
      <c r="Q18" s="49">
        <v>0</v>
      </c>
      <c r="R18" s="49">
        <v>6.5326633165829146E-3</v>
      </c>
      <c r="S18" s="49">
        <v>2.5125628140703518E-3</v>
      </c>
      <c r="T18" s="49">
        <v>2.0100502512562816E-3</v>
      </c>
      <c r="U18" s="49">
        <v>0</v>
      </c>
    </row>
    <row r="19" spans="1:21">
      <c r="A19" t="s">
        <v>30</v>
      </c>
      <c r="B19" t="s">
        <v>2032</v>
      </c>
      <c r="C19" s="49">
        <v>1</v>
      </c>
      <c r="D19" s="49">
        <v>3.8293216630196934E-2</v>
      </c>
      <c r="E19" s="49">
        <v>1.8599562363238512E-2</v>
      </c>
      <c r="F19" s="49">
        <v>1.0940919037199124E-2</v>
      </c>
      <c r="G19" s="49">
        <v>1.6411378555798686E-3</v>
      </c>
      <c r="H19" s="49">
        <v>3.2822757111597373E-3</v>
      </c>
      <c r="I19" s="49">
        <v>2.5164113785557989E-2</v>
      </c>
      <c r="J19" s="49">
        <v>9.8468271334792128E-3</v>
      </c>
      <c r="K19" s="49">
        <v>0.85175054704595188</v>
      </c>
      <c r="L19" s="49">
        <v>3.9934354485776806E-2</v>
      </c>
      <c r="M19" s="49">
        <v>0</v>
      </c>
      <c r="N19" s="49">
        <v>7.1115973741794312E-3</v>
      </c>
      <c r="O19" s="49">
        <v>5.9628008752735231E-2</v>
      </c>
      <c r="P19" s="49">
        <v>1.2035010940919038E-2</v>
      </c>
      <c r="Q19" s="49">
        <v>1.0940919037199124E-3</v>
      </c>
      <c r="R19" s="49">
        <v>1.6411378555798686E-3</v>
      </c>
      <c r="S19" s="49">
        <v>4.2122538293216633E-2</v>
      </c>
      <c r="T19" s="49">
        <v>1.6958424507658644E-2</v>
      </c>
      <c r="U19" s="49">
        <v>0</v>
      </c>
    </row>
    <row r="20" spans="1:21">
      <c r="A20" t="s">
        <v>206</v>
      </c>
      <c r="B20" t="s">
        <v>205</v>
      </c>
      <c r="C20" s="49">
        <v>1</v>
      </c>
      <c r="D20" s="49">
        <v>8.3919597989949746E-2</v>
      </c>
      <c r="E20" s="49">
        <v>0.66582914572864327</v>
      </c>
      <c r="F20" s="49">
        <v>5.4773869346733665E-2</v>
      </c>
      <c r="G20" s="49">
        <v>5.025125628140704E-4</v>
      </c>
      <c r="H20" s="49">
        <v>1.507537688442211E-3</v>
      </c>
      <c r="I20" s="49">
        <v>2.7638190954773871E-2</v>
      </c>
      <c r="J20" s="49">
        <v>1.6582914572864323E-2</v>
      </c>
      <c r="K20" s="49">
        <v>0.30351758793969852</v>
      </c>
      <c r="L20" s="49">
        <v>4.6733668341708542E-2</v>
      </c>
      <c r="M20" s="49">
        <v>0</v>
      </c>
      <c r="N20" s="49">
        <v>6.5326633165829146E-3</v>
      </c>
      <c r="O20" s="49">
        <v>0</v>
      </c>
      <c r="P20" s="49">
        <v>6.5326633165829146E-3</v>
      </c>
      <c r="Q20" s="49">
        <v>0</v>
      </c>
      <c r="R20" s="49">
        <v>6.5326633165829146E-3</v>
      </c>
      <c r="S20" s="49">
        <v>2.5125628140703518E-3</v>
      </c>
      <c r="T20" s="49">
        <v>2.0100502512562816E-3</v>
      </c>
      <c r="U20" s="49">
        <v>0</v>
      </c>
    </row>
    <row r="21" spans="1:21">
      <c r="A21" t="s">
        <v>974</v>
      </c>
      <c r="B21" t="s">
        <v>2033</v>
      </c>
      <c r="C21" s="49">
        <v>1</v>
      </c>
      <c r="D21" s="49">
        <v>2.0257826887661142E-2</v>
      </c>
      <c r="E21" s="49">
        <v>0.46183241252302026</v>
      </c>
      <c r="F21" s="49">
        <v>1.9843462246777164E-2</v>
      </c>
      <c r="G21" s="49">
        <v>4.2495395948434621E-2</v>
      </c>
      <c r="H21" s="49">
        <v>5.6629834254143642E-3</v>
      </c>
      <c r="I21" s="49">
        <v>6.3720073664825044E-2</v>
      </c>
      <c r="J21" s="49">
        <v>8.0570902394106816E-3</v>
      </c>
      <c r="K21" s="49">
        <v>0.30441988950276244</v>
      </c>
      <c r="L21" s="49">
        <v>1.6022099447513812E-2</v>
      </c>
      <c r="M21" s="49">
        <v>3.2228360957642726E-3</v>
      </c>
      <c r="N21" s="49">
        <v>1.4732965009208103E-3</v>
      </c>
      <c r="O21" s="49">
        <v>0.11754143646408839</v>
      </c>
      <c r="P21" s="49">
        <v>1.3305709023941069E-2</v>
      </c>
      <c r="Q21" s="49">
        <v>0</v>
      </c>
      <c r="R21" s="49">
        <v>1.0128913443830571E-3</v>
      </c>
      <c r="S21" s="49">
        <v>4.9723756906077344E-3</v>
      </c>
      <c r="T21" s="49">
        <v>2.2559852670349908E-3</v>
      </c>
      <c r="U21" s="49">
        <v>1.7955801104972376E-3</v>
      </c>
    </row>
    <row r="22" spans="1:21">
      <c r="A22" t="s">
        <v>975</v>
      </c>
      <c r="B22" t="s">
        <v>2034</v>
      </c>
      <c r="C22" s="49">
        <v>1</v>
      </c>
      <c r="D22" s="49">
        <v>0.12011173184357542</v>
      </c>
      <c r="E22" s="49">
        <v>1.3966480446927373E-2</v>
      </c>
      <c r="F22" s="49">
        <v>2.23463687150838E-2</v>
      </c>
      <c r="G22" s="49">
        <v>0</v>
      </c>
      <c r="H22" s="49">
        <v>1.2569832402234637E-2</v>
      </c>
      <c r="I22" s="49">
        <v>3.6312849162011177E-2</v>
      </c>
      <c r="J22" s="49">
        <v>2.7932960893854747E-2</v>
      </c>
      <c r="K22" s="49">
        <v>0.56564245810055869</v>
      </c>
      <c r="L22" s="49">
        <v>0.11312849162011174</v>
      </c>
      <c r="M22" s="49">
        <v>0.15502793296089384</v>
      </c>
      <c r="N22" s="49">
        <v>6.4245810055865923E-2</v>
      </c>
      <c r="O22" s="49">
        <v>0.22905027932960895</v>
      </c>
      <c r="P22" s="49">
        <v>7.2625698324022353E-2</v>
      </c>
      <c r="Q22" s="49">
        <v>0</v>
      </c>
      <c r="R22" s="49">
        <v>1.2569832402234637E-2</v>
      </c>
      <c r="S22" s="49">
        <v>0</v>
      </c>
      <c r="T22" s="49">
        <v>1.2569832402234637E-2</v>
      </c>
      <c r="U22" s="49">
        <v>0</v>
      </c>
    </row>
    <row r="23" spans="1:21">
      <c r="A23" t="s">
        <v>1385</v>
      </c>
      <c r="B23" t="s">
        <v>2027</v>
      </c>
      <c r="C23" s="49">
        <v>1</v>
      </c>
      <c r="D23" s="49">
        <v>3.5550458715596332E-2</v>
      </c>
      <c r="E23" s="49">
        <v>1.7201834862385322E-2</v>
      </c>
      <c r="F23" s="49">
        <v>1.0321100917431193E-2</v>
      </c>
      <c r="G23" s="49">
        <v>4.0137614678899085E-3</v>
      </c>
      <c r="H23" s="49">
        <v>4.0137614678899085E-3</v>
      </c>
      <c r="I23" s="49">
        <v>1.6628440366972478E-2</v>
      </c>
      <c r="J23" s="49">
        <v>8.600917431192661E-3</v>
      </c>
      <c r="K23" s="49">
        <v>0.76720183486238536</v>
      </c>
      <c r="L23" s="49">
        <v>3.6123853211009173E-2</v>
      </c>
      <c r="M23" s="49">
        <v>1.1467889908256881E-3</v>
      </c>
      <c r="N23" s="49">
        <v>1.7201834862385322E-3</v>
      </c>
      <c r="O23" s="49">
        <v>0.19094036697247707</v>
      </c>
      <c r="P23" s="49">
        <v>2.0642201834862386E-2</v>
      </c>
      <c r="Q23" s="49">
        <v>0</v>
      </c>
      <c r="R23" s="49">
        <v>7.4541284403669729E-3</v>
      </c>
      <c r="S23" s="49">
        <v>2.8669724770642203E-3</v>
      </c>
      <c r="T23" s="49">
        <v>2.8669724770642203E-3</v>
      </c>
      <c r="U23" s="49">
        <v>0</v>
      </c>
    </row>
    <row r="24" spans="1:21">
      <c r="A24" t="s">
        <v>40</v>
      </c>
      <c r="B24" t="s">
        <v>2035</v>
      </c>
      <c r="C24" s="49">
        <v>1</v>
      </c>
      <c r="D24" s="49">
        <v>7.2043010752688166E-2</v>
      </c>
      <c r="E24" s="49">
        <v>2.0430107526881722E-2</v>
      </c>
      <c r="F24" s="49">
        <v>1.2903225806451613E-2</v>
      </c>
      <c r="G24" s="49">
        <v>1.5053763440860216E-2</v>
      </c>
      <c r="H24" s="49">
        <v>1.1827956989247311E-2</v>
      </c>
      <c r="I24" s="49">
        <v>1.3978494623655914E-2</v>
      </c>
      <c r="J24" s="49">
        <v>1.1827956989247311E-2</v>
      </c>
      <c r="K24" s="49">
        <v>0.64193548387096777</v>
      </c>
      <c r="L24" s="49">
        <v>7.0967741935483872E-2</v>
      </c>
      <c r="M24" s="49">
        <v>0</v>
      </c>
      <c r="N24" s="49">
        <v>9.6774193548387101E-3</v>
      </c>
      <c r="O24" s="49">
        <v>0.3032258064516129</v>
      </c>
      <c r="P24" s="49">
        <v>5.3763440860215055E-2</v>
      </c>
      <c r="Q24" s="49">
        <v>4.3010752688172043E-3</v>
      </c>
      <c r="R24" s="49">
        <v>6.4516129032258064E-3</v>
      </c>
      <c r="S24" s="49">
        <v>1.0752688172043011E-3</v>
      </c>
      <c r="T24" s="49">
        <v>4.3010752688172043E-3</v>
      </c>
      <c r="U24" s="49">
        <v>0</v>
      </c>
    </row>
    <row r="25" spans="1:21">
      <c r="A25" t="s">
        <v>115</v>
      </c>
      <c r="B25" t="s">
        <v>2025</v>
      </c>
      <c r="C25" s="49">
        <v>1</v>
      </c>
      <c r="D25" s="49">
        <v>3.4419458467186782E-2</v>
      </c>
      <c r="E25" s="49">
        <v>5.9660394676457089E-3</v>
      </c>
      <c r="F25" s="49">
        <v>4.8187241854061496E-3</v>
      </c>
      <c r="G25" s="49">
        <v>1.1473152822395595E-3</v>
      </c>
      <c r="H25" s="49">
        <v>1.8357044515832951E-3</v>
      </c>
      <c r="I25" s="49">
        <v>1.7668655346489214E-2</v>
      </c>
      <c r="J25" s="49">
        <v>1.0325837540156035E-2</v>
      </c>
      <c r="K25" s="49">
        <v>0.85589720055071139</v>
      </c>
      <c r="L25" s="49">
        <v>3.1895364846259752E-2</v>
      </c>
      <c r="M25" s="49">
        <v>2.2946305644791189E-4</v>
      </c>
      <c r="N25" s="49">
        <v>4.5892611289582378E-4</v>
      </c>
      <c r="O25" s="49">
        <v>0.11656723267553924</v>
      </c>
      <c r="P25" s="49">
        <v>1.6291877007801745E-2</v>
      </c>
      <c r="Q25" s="49">
        <v>0</v>
      </c>
      <c r="R25" s="49">
        <v>3.4419458467186783E-3</v>
      </c>
      <c r="S25" s="49">
        <v>2.5240936209270305E-3</v>
      </c>
      <c r="T25" s="49">
        <v>1.1473152822395595E-3</v>
      </c>
      <c r="U25" s="49">
        <v>0</v>
      </c>
    </row>
    <row r="26" spans="1:21">
      <c r="A26" t="s">
        <v>1386</v>
      </c>
      <c r="B26" t="s">
        <v>2024</v>
      </c>
      <c r="C26" s="49">
        <v>1</v>
      </c>
      <c r="D26" s="49">
        <v>3.9991113085980891E-2</v>
      </c>
      <c r="E26" s="49">
        <v>3.4436791824039102E-2</v>
      </c>
      <c r="F26" s="49">
        <v>1.5329926682959343E-2</v>
      </c>
      <c r="G26" s="49">
        <v>4.8878027105087761E-3</v>
      </c>
      <c r="H26" s="49">
        <v>4.6656298600311046E-3</v>
      </c>
      <c r="I26" s="49">
        <v>8.0648744723394797E-2</v>
      </c>
      <c r="J26" s="49">
        <v>2.7771606309708954E-2</v>
      </c>
      <c r="K26" s="49">
        <v>0.80493223728060426</v>
      </c>
      <c r="L26" s="49">
        <v>4.9988891357476119E-2</v>
      </c>
      <c r="M26" s="49">
        <v>0</v>
      </c>
      <c r="N26" s="49">
        <v>3.3325927571650742E-3</v>
      </c>
      <c r="O26" s="49">
        <v>5.6431904021328597E-2</v>
      </c>
      <c r="P26" s="49">
        <v>2.043990224394579E-2</v>
      </c>
      <c r="Q26" s="49">
        <v>0</v>
      </c>
      <c r="R26" s="49">
        <v>3.3325927571650742E-3</v>
      </c>
      <c r="S26" s="49">
        <v>1.7107309486780714E-2</v>
      </c>
      <c r="T26" s="49">
        <v>1.0219951121972895E-2</v>
      </c>
      <c r="U26" s="49">
        <v>1.5552099533437014E-3</v>
      </c>
    </row>
    <row r="27" spans="1:21">
      <c r="A27" t="s">
        <v>71</v>
      </c>
      <c r="B27" t="s">
        <v>2028</v>
      </c>
      <c r="C27" s="49">
        <v>1</v>
      </c>
      <c r="D27" s="49">
        <v>3.9883268482490269E-2</v>
      </c>
      <c r="E27" s="49">
        <v>4.8638132295719845E-3</v>
      </c>
      <c r="F27" s="49">
        <v>5.8365758754863814E-3</v>
      </c>
      <c r="G27" s="49">
        <v>9.727626459143969E-4</v>
      </c>
      <c r="H27" s="49">
        <v>1.4591439688715954E-3</v>
      </c>
      <c r="I27" s="49">
        <v>8.7548638132295721E-3</v>
      </c>
      <c r="J27" s="49">
        <v>5.8365758754863814E-3</v>
      </c>
      <c r="K27" s="49">
        <v>0.51021400778210113</v>
      </c>
      <c r="L27" s="49">
        <v>2.6750972762645913E-2</v>
      </c>
      <c r="M27" s="49">
        <v>7.7821011673151752E-3</v>
      </c>
      <c r="N27" s="49">
        <v>5.350194552529183E-3</v>
      </c>
      <c r="O27" s="49">
        <v>0.46303501945525294</v>
      </c>
      <c r="P27" s="49">
        <v>3.1614785992217898E-2</v>
      </c>
      <c r="Q27" s="49">
        <v>9.727626459143969E-4</v>
      </c>
      <c r="R27" s="49">
        <v>1.4591439688715954E-3</v>
      </c>
      <c r="S27" s="49">
        <v>1.4591439688715954E-3</v>
      </c>
      <c r="T27" s="49">
        <v>1.9455252918287938E-3</v>
      </c>
      <c r="U27" s="49">
        <v>1.9455252918287938E-3</v>
      </c>
    </row>
    <row r="28" spans="1:21">
      <c r="A28" t="s">
        <v>398</v>
      </c>
      <c r="B28" t="s">
        <v>2028</v>
      </c>
      <c r="C28" s="49">
        <v>1</v>
      </c>
      <c r="D28" s="49">
        <v>3.9883268482490269E-2</v>
      </c>
      <c r="E28" s="49">
        <v>4.8638132295719845E-3</v>
      </c>
      <c r="F28" s="49">
        <v>5.8365758754863814E-3</v>
      </c>
      <c r="G28" s="49">
        <v>9.727626459143969E-4</v>
      </c>
      <c r="H28" s="49">
        <v>1.4591439688715954E-3</v>
      </c>
      <c r="I28" s="49">
        <v>8.7548638132295721E-3</v>
      </c>
      <c r="J28" s="49">
        <v>5.8365758754863814E-3</v>
      </c>
      <c r="K28" s="49">
        <v>0.51021400778210113</v>
      </c>
      <c r="L28" s="49">
        <v>2.6750972762645913E-2</v>
      </c>
      <c r="M28" s="49">
        <v>7.7821011673151752E-3</v>
      </c>
      <c r="N28" s="49">
        <v>5.350194552529183E-3</v>
      </c>
      <c r="O28" s="49">
        <v>0.46303501945525294</v>
      </c>
      <c r="P28" s="49">
        <v>3.1614785992217898E-2</v>
      </c>
      <c r="Q28" s="49">
        <v>9.727626459143969E-4</v>
      </c>
      <c r="R28" s="49">
        <v>1.4591439688715954E-3</v>
      </c>
      <c r="S28" s="49">
        <v>1.4591439688715954E-3</v>
      </c>
      <c r="T28" s="49">
        <v>1.9455252918287938E-3</v>
      </c>
      <c r="U28" s="49">
        <v>1.9455252918287938E-3</v>
      </c>
    </row>
    <row r="29" spans="1:21">
      <c r="A29" t="s">
        <v>24</v>
      </c>
      <c r="B29" t="s">
        <v>2023</v>
      </c>
      <c r="C29" s="49">
        <v>1</v>
      </c>
      <c r="D29" s="49">
        <v>9.6805421103581799E-2</v>
      </c>
      <c r="E29" s="49">
        <v>1.9361084220716359E-2</v>
      </c>
      <c r="F29" s="49">
        <v>1.452081316553727E-2</v>
      </c>
      <c r="G29" s="49">
        <v>1.3552758954501452E-2</v>
      </c>
      <c r="H29" s="49">
        <v>9.6805421103581795E-3</v>
      </c>
      <c r="I29" s="49">
        <v>3.8722168441432718E-2</v>
      </c>
      <c r="J29" s="49">
        <v>1.8393030009680542E-2</v>
      </c>
      <c r="K29" s="49">
        <v>0.87415295256534364</v>
      </c>
      <c r="L29" s="49">
        <v>8.8092933204259441E-2</v>
      </c>
      <c r="M29" s="49">
        <v>0</v>
      </c>
      <c r="N29" s="49">
        <v>1.2584704743465635E-2</v>
      </c>
      <c r="O29" s="49">
        <v>1.452081316553727E-2</v>
      </c>
      <c r="P29" s="49">
        <v>9.6805421103581795E-3</v>
      </c>
      <c r="Q29" s="49">
        <v>0</v>
      </c>
      <c r="R29" s="49">
        <v>1.2584704743465635E-2</v>
      </c>
      <c r="S29" s="49">
        <v>3.7754114230396901E-2</v>
      </c>
      <c r="T29" s="49">
        <v>1.7424975798644726E-2</v>
      </c>
      <c r="U29" s="49">
        <v>1.9361084220716361E-3</v>
      </c>
    </row>
    <row r="30" spans="1:21">
      <c r="A30" t="s">
        <v>117</v>
      </c>
      <c r="B30" t="s">
        <v>2025</v>
      </c>
      <c r="C30" s="49">
        <v>1</v>
      </c>
      <c r="D30" s="49">
        <v>3.4419458467186782E-2</v>
      </c>
      <c r="E30" s="49">
        <v>5.9660394676457089E-3</v>
      </c>
      <c r="F30" s="49">
        <v>4.8187241854061496E-3</v>
      </c>
      <c r="G30" s="49">
        <v>1.1473152822395595E-3</v>
      </c>
      <c r="H30" s="49">
        <v>1.8357044515832951E-3</v>
      </c>
      <c r="I30" s="49">
        <v>1.7668655346489214E-2</v>
      </c>
      <c r="J30" s="49">
        <v>1.0325837540156035E-2</v>
      </c>
      <c r="K30" s="49">
        <v>0.85589720055071139</v>
      </c>
      <c r="L30" s="49">
        <v>3.1895364846259752E-2</v>
      </c>
      <c r="M30" s="49">
        <v>2.2946305644791189E-4</v>
      </c>
      <c r="N30" s="49">
        <v>4.5892611289582378E-4</v>
      </c>
      <c r="O30" s="49">
        <v>0.11656723267553924</v>
      </c>
      <c r="P30" s="49">
        <v>1.6291877007801745E-2</v>
      </c>
      <c r="Q30" s="49">
        <v>0</v>
      </c>
      <c r="R30" s="49">
        <v>3.4419458467186783E-3</v>
      </c>
      <c r="S30" s="49">
        <v>2.5240936209270305E-3</v>
      </c>
      <c r="T30" s="49">
        <v>1.1473152822395595E-3</v>
      </c>
      <c r="U30" s="49">
        <v>0</v>
      </c>
    </row>
    <row r="31" spans="1:21">
      <c r="A31" t="s">
        <v>207</v>
      </c>
      <c r="B31" t="s">
        <v>205</v>
      </c>
      <c r="C31" s="49">
        <v>1</v>
      </c>
      <c r="D31" s="49">
        <v>8.3919597989949746E-2</v>
      </c>
      <c r="E31" s="49">
        <v>0.66582914572864327</v>
      </c>
      <c r="F31" s="49">
        <v>5.4773869346733665E-2</v>
      </c>
      <c r="G31" s="49">
        <v>5.025125628140704E-4</v>
      </c>
      <c r="H31" s="49">
        <v>1.507537688442211E-3</v>
      </c>
      <c r="I31" s="49">
        <v>2.7638190954773871E-2</v>
      </c>
      <c r="J31" s="49">
        <v>1.6582914572864323E-2</v>
      </c>
      <c r="K31" s="49">
        <v>0.30351758793969852</v>
      </c>
      <c r="L31" s="49">
        <v>4.6733668341708542E-2</v>
      </c>
      <c r="M31" s="49">
        <v>0</v>
      </c>
      <c r="N31" s="49">
        <v>6.5326633165829146E-3</v>
      </c>
      <c r="O31" s="49">
        <v>0</v>
      </c>
      <c r="P31" s="49">
        <v>6.5326633165829146E-3</v>
      </c>
      <c r="Q31" s="49">
        <v>0</v>
      </c>
      <c r="R31" s="49">
        <v>6.5326633165829146E-3</v>
      </c>
      <c r="S31" s="49">
        <v>2.5125628140703518E-3</v>
      </c>
      <c r="T31" s="49">
        <v>2.0100502512562816E-3</v>
      </c>
      <c r="U31" s="49">
        <v>0</v>
      </c>
    </row>
    <row r="32" spans="1:21">
      <c r="A32" t="s">
        <v>1486</v>
      </c>
      <c r="B32" t="s">
        <v>2023</v>
      </c>
      <c r="C32" s="49">
        <v>1</v>
      </c>
      <c r="D32" s="49">
        <v>9.6805421103581799E-2</v>
      </c>
      <c r="E32" s="49">
        <v>1.9361084220716359E-2</v>
      </c>
      <c r="F32" s="49">
        <v>1.452081316553727E-2</v>
      </c>
      <c r="G32" s="49">
        <v>1.3552758954501452E-2</v>
      </c>
      <c r="H32" s="49">
        <v>9.6805421103581795E-3</v>
      </c>
      <c r="I32" s="49">
        <v>3.8722168441432718E-2</v>
      </c>
      <c r="J32" s="49">
        <v>1.8393030009680542E-2</v>
      </c>
      <c r="K32" s="49">
        <v>0.87415295256534364</v>
      </c>
      <c r="L32" s="49">
        <v>8.8092933204259441E-2</v>
      </c>
      <c r="M32" s="49">
        <v>0</v>
      </c>
      <c r="N32" s="49">
        <v>1.2584704743465635E-2</v>
      </c>
      <c r="O32" s="49">
        <v>1.452081316553727E-2</v>
      </c>
      <c r="P32" s="49">
        <v>9.6805421103581795E-3</v>
      </c>
      <c r="Q32" s="49">
        <v>0</v>
      </c>
      <c r="R32" s="49">
        <v>1.2584704743465635E-2</v>
      </c>
      <c r="S32" s="49">
        <v>3.7754114230396901E-2</v>
      </c>
      <c r="T32" s="49">
        <v>1.7424975798644726E-2</v>
      </c>
      <c r="U32" s="49">
        <v>1.9361084220716361E-3</v>
      </c>
    </row>
    <row r="33" spans="1:21">
      <c r="A33" t="s">
        <v>977</v>
      </c>
      <c r="B33" t="s">
        <v>2036</v>
      </c>
      <c r="C33" s="49">
        <v>1</v>
      </c>
      <c r="D33" s="49">
        <v>1.7770063641623274E-2</v>
      </c>
      <c r="E33" s="49">
        <v>2.3473014298702372E-2</v>
      </c>
      <c r="F33" s="49">
        <v>7.8518885858335392E-3</v>
      </c>
      <c r="G33" s="49">
        <v>2.99198280849657E-2</v>
      </c>
      <c r="H33" s="49">
        <v>1.008347797338623E-2</v>
      </c>
      <c r="I33" s="49">
        <v>0.22555583106041821</v>
      </c>
      <c r="J33" s="49">
        <v>2.1406727828746176E-2</v>
      </c>
      <c r="K33" s="49">
        <v>0.67079923960657906</v>
      </c>
      <c r="L33" s="49">
        <v>2.6448466815439293E-2</v>
      </c>
      <c r="M33" s="49">
        <v>1.157120423175469E-3</v>
      </c>
      <c r="N33" s="49">
        <v>1.983635011157947E-3</v>
      </c>
      <c r="O33" s="49">
        <v>3.3473840813290356E-2</v>
      </c>
      <c r="P33" s="49">
        <v>1.157120423175469E-2</v>
      </c>
      <c r="Q33" s="49">
        <v>0</v>
      </c>
      <c r="R33" s="49">
        <v>1.6530291759649558E-3</v>
      </c>
      <c r="S33" s="49">
        <v>1.0166129432184479E-2</v>
      </c>
      <c r="T33" s="49">
        <v>5.0417389866931148E-3</v>
      </c>
      <c r="U33" s="49">
        <v>5.4549962806843544E-3</v>
      </c>
    </row>
    <row r="34" spans="1:21">
      <c r="A34" t="s">
        <v>1387</v>
      </c>
      <c r="B34" t="s">
        <v>2024</v>
      </c>
      <c r="C34" s="49">
        <v>1</v>
      </c>
      <c r="D34" s="49">
        <v>3.9991113085980891E-2</v>
      </c>
      <c r="E34" s="49">
        <v>3.4436791824039102E-2</v>
      </c>
      <c r="F34" s="49">
        <v>1.5329926682959343E-2</v>
      </c>
      <c r="G34" s="49">
        <v>4.8878027105087761E-3</v>
      </c>
      <c r="H34" s="49">
        <v>4.6656298600311046E-3</v>
      </c>
      <c r="I34" s="49">
        <v>8.0648744723394797E-2</v>
      </c>
      <c r="J34" s="49">
        <v>2.7771606309708954E-2</v>
      </c>
      <c r="K34" s="49">
        <v>0.80493223728060426</v>
      </c>
      <c r="L34" s="49">
        <v>4.9988891357476119E-2</v>
      </c>
      <c r="M34" s="49">
        <v>0</v>
      </c>
      <c r="N34" s="49">
        <v>3.3325927571650742E-3</v>
      </c>
      <c r="O34" s="49">
        <v>5.6431904021328597E-2</v>
      </c>
      <c r="P34" s="49">
        <v>2.043990224394579E-2</v>
      </c>
      <c r="Q34" s="49">
        <v>0</v>
      </c>
      <c r="R34" s="49">
        <v>3.3325927571650742E-3</v>
      </c>
      <c r="S34" s="49">
        <v>1.7107309486780714E-2</v>
      </c>
      <c r="T34" s="49">
        <v>1.0219951121972895E-2</v>
      </c>
      <c r="U34" s="49">
        <v>1.5552099533437014E-3</v>
      </c>
    </row>
    <row r="35" spans="1:21">
      <c r="A35" t="s">
        <v>1578</v>
      </c>
      <c r="B35" t="s">
        <v>2037</v>
      </c>
      <c r="C35" s="49">
        <v>1</v>
      </c>
      <c r="D35" s="49">
        <v>1.7899291896144767E-2</v>
      </c>
      <c r="E35" s="49">
        <v>5.4316061593795664E-2</v>
      </c>
      <c r="F35" s="49">
        <v>8.14881420703608E-3</v>
      </c>
      <c r="G35" s="49">
        <v>1.3993480948634372E-2</v>
      </c>
      <c r="H35" s="49">
        <v>4.3835000561987187E-3</v>
      </c>
      <c r="I35" s="49">
        <v>6.9433516915814314E-2</v>
      </c>
      <c r="J35" s="49">
        <v>9.3851860177587947E-3</v>
      </c>
      <c r="K35" s="49">
        <v>0.75665954816230185</v>
      </c>
      <c r="L35" s="49">
        <v>2.2648083623693381E-2</v>
      </c>
      <c r="M35" s="49">
        <v>1.6943913678768123E-2</v>
      </c>
      <c r="N35" s="49">
        <v>5.0297853208946834E-3</v>
      </c>
      <c r="O35" s="49">
        <v>7.0107901539844891E-2</v>
      </c>
      <c r="P35" s="49">
        <v>1.0340564235135439E-2</v>
      </c>
      <c r="Q35" s="49">
        <v>3.6529167134989322E-4</v>
      </c>
      <c r="R35" s="49">
        <v>6.1818590536135776E-4</v>
      </c>
      <c r="S35" s="49">
        <v>1.4162077104642014E-2</v>
      </c>
      <c r="T35" s="49">
        <v>4.3835000561987187E-3</v>
      </c>
      <c r="U35" s="49">
        <v>4.0182083848488252E-3</v>
      </c>
    </row>
    <row r="36" spans="1:21">
      <c r="A36" t="s">
        <v>978</v>
      </c>
      <c r="B36" t="s">
        <v>205</v>
      </c>
      <c r="C36" s="49">
        <v>1</v>
      </c>
      <c r="D36" s="49">
        <v>8.3919597989949746E-2</v>
      </c>
      <c r="E36" s="49">
        <v>0.66582914572864327</v>
      </c>
      <c r="F36" s="49">
        <v>5.4773869346733665E-2</v>
      </c>
      <c r="G36" s="49">
        <v>5.025125628140704E-4</v>
      </c>
      <c r="H36" s="49">
        <v>1.507537688442211E-3</v>
      </c>
      <c r="I36" s="49">
        <v>2.7638190954773871E-2</v>
      </c>
      <c r="J36" s="49">
        <v>1.6582914572864323E-2</v>
      </c>
      <c r="K36" s="49">
        <v>0.30351758793969852</v>
      </c>
      <c r="L36" s="49">
        <v>4.6733668341708542E-2</v>
      </c>
      <c r="M36" s="49">
        <v>0</v>
      </c>
      <c r="N36" s="49">
        <v>6.5326633165829146E-3</v>
      </c>
      <c r="O36" s="49">
        <v>0</v>
      </c>
      <c r="P36" s="49">
        <v>6.5326633165829146E-3</v>
      </c>
      <c r="Q36" s="49">
        <v>0</v>
      </c>
      <c r="R36" s="49">
        <v>6.5326633165829146E-3</v>
      </c>
      <c r="S36" s="49">
        <v>2.5125628140703518E-3</v>
      </c>
      <c r="T36" s="49">
        <v>2.0100502512562816E-3</v>
      </c>
      <c r="U36" s="49">
        <v>0</v>
      </c>
    </row>
    <row r="37" spans="1:21">
      <c r="A37" t="s">
        <v>1579</v>
      </c>
      <c r="B37" t="s">
        <v>2033</v>
      </c>
      <c r="C37" s="49">
        <v>1</v>
      </c>
      <c r="D37" s="49">
        <v>2.0257826887661142E-2</v>
      </c>
      <c r="E37" s="49">
        <v>0.46183241252302026</v>
      </c>
      <c r="F37" s="49">
        <v>1.9843462246777164E-2</v>
      </c>
      <c r="G37" s="49">
        <v>4.2495395948434621E-2</v>
      </c>
      <c r="H37" s="49">
        <v>5.6629834254143642E-3</v>
      </c>
      <c r="I37" s="49">
        <v>6.3720073664825044E-2</v>
      </c>
      <c r="J37" s="49">
        <v>8.0570902394106816E-3</v>
      </c>
      <c r="K37" s="49">
        <v>0.30441988950276244</v>
      </c>
      <c r="L37" s="49">
        <v>1.6022099447513812E-2</v>
      </c>
      <c r="M37" s="49">
        <v>3.2228360957642726E-3</v>
      </c>
      <c r="N37" s="49">
        <v>1.4732965009208103E-3</v>
      </c>
      <c r="O37" s="49">
        <v>0.11754143646408839</v>
      </c>
      <c r="P37" s="49">
        <v>1.3305709023941069E-2</v>
      </c>
      <c r="Q37" s="49">
        <v>0</v>
      </c>
      <c r="R37" s="49">
        <v>1.0128913443830571E-3</v>
      </c>
      <c r="S37" s="49">
        <v>4.9723756906077344E-3</v>
      </c>
      <c r="T37" s="49">
        <v>2.2559852670349908E-3</v>
      </c>
      <c r="U37" s="49">
        <v>1.7955801104972376E-3</v>
      </c>
    </row>
    <row r="38" spans="1:21">
      <c r="A38" t="s">
        <v>119</v>
      </c>
      <c r="B38" t="s">
        <v>2028</v>
      </c>
      <c r="C38" s="49">
        <v>1</v>
      </c>
      <c r="D38" s="49">
        <v>3.9883268482490269E-2</v>
      </c>
      <c r="E38" s="49">
        <v>4.8638132295719845E-3</v>
      </c>
      <c r="F38" s="49">
        <v>5.8365758754863814E-3</v>
      </c>
      <c r="G38" s="49">
        <v>9.727626459143969E-4</v>
      </c>
      <c r="H38" s="49">
        <v>1.4591439688715954E-3</v>
      </c>
      <c r="I38" s="49">
        <v>8.7548638132295721E-3</v>
      </c>
      <c r="J38" s="49">
        <v>5.8365758754863814E-3</v>
      </c>
      <c r="K38" s="49">
        <v>0.51021400778210113</v>
      </c>
      <c r="L38" s="49">
        <v>2.6750972762645913E-2</v>
      </c>
      <c r="M38" s="49">
        <v>7.7821011673151752E-3</v>
      </c>
      <c r="N38" s="49">
        <v>5.350194552529183E-3</v>
      </c>
      <c r="O38" s="49">
        <v>0.46303501945525294</v>
      </c>
      <c r="P38" s="49">
        <v>3.1614785992217898E-2</v>
      </c>
      <c r="Q38" s="49">
        <v>9.727626459143969E-4</v>
      </c>
      <c r="R38" s="49">
        <v>1.4591439688715954E-3</v>
      </c>
      <c r="S38" s="49">
        <v>1.4591439688715954E-3</v>
      </c>
      <c r="T38" s="49">
        <v>1.9455252918287938E-3</v>
      </c>
      <c r="U38" s="49">
        <v>1.9455252918287938E-3</v>
      </c>
    </row>
    <row r="39" spans="1:21">
      <c r="A39" t="s">
        <v>1512</v>
      </c>
      <c r="B39" t="s">
        <v>2026</v>
      </c>
      <c r="C39" s="49">
        <v>1</v>
      </c>
      <c r="D39" s="49">
        <v>0.39770114942528734</v>
      </c>
      <c r="E39" s="49">
        <v>1.3793103448275862E-2</v>
      </c>
      <c r="F39" s="49">
        <v>2.2988505747126436E-2</v>
      </c>
      <c r="G39" s="49">
        <v>2.2988505747126436E-3</v>
      </c>
      <c r="H39" s="49">
        <v>1.1494252873563218E-2</v>
      </c>
      <c r="I39" s="49">
        <v>2.7586206896551724E-2</v>
      </c>
      <c r="J39" s="49">
        <v>2.528735632183908E-2</v>
      </c>
      <c r="K39" s="49">
        <v>0.92183908045977014</v>
      </c>
      <c r="L39" s="49">
        <v>0.35632183908045978</v>
      </c>
      <c r="M39" s="49">
        <v>0</v>
      </c>
      <c r="N39" s="49">
        <v>2.0689655172413793E-2</v>
      </c>
      <c r="O39" s="49">
        <v>2.9885057471264367E-2</v>
      </c>
      <c r="P39" s="49">
        <v>2.528735632183908E-2</v>
      </c>
      <c r="Q39" s="49">
        <v>0</v>
      </c>
      <c r="R39" s="49">
        <v>2.0689655172413793E-2</v>
      </c>
      <c r="S39" s="49">
        <v>4.5977011494252873E-3</v>
      </c>
      <c r="T39" s="49">
        <v>6.8965517241379309E-3</v>
      </c>
      <c r="U39" s="49">
        <v>0</v>
      </c>
    </row>
    <row r="40" spans="1:21">
      <c r="A40" t="s">
        <v>2038</v>
      </c>
      <c r="B40" t="s">
        <v>2024</v>
      </c>
      <c r="C40" s="49">
        <v>1</v>
      </c>
      <c r="D40" s="49">
        <v>3.9991113085980891E-2</v>
      </c>
      <c r="E40" s="49">
        <v>3.4436791824039102E-2</v>
      </c>
      <c r="F40" s="49">
        <v>1.5329926682959343E-2</v>
      </c>
      <c r="G40" s="49">
        <v>4.8878027105087761E-3</v>
      </c>
      <c r="H40" s="49">
        <v>4.6656298600311046E-3</v>
      </c>
      <c r="I40" s="49">
        <v>8.0648744723394797E-2</v>
      </c>
      <c r="J40" s="49">
        <v>2.7771606309708954E-2</v>
      </c>
      <c r="K40" s="49">
        <v>0.80493223728060426</v>
      </c>
      <c r="L40" s="49">
        <v>4.9988891357476119E-2</v>
      </c>
      <c r="M40" s="49">
        <v>0</v>
      </c>
      <c r="N40" s="49">
        <v>3.3325927571650742E-3</v>
      </c>
      <c r="O40" s="49">
        <v>5.6431904021328597E-2</v>
      </c>
      <c r="P40" s="49">
        <v>2.043990224394579E-2</v>
      </c>
      <c r="Q40" s="49">
        <v>0</v>
      </c>
      <c r="R40" s="49">
        <v>3.3325927571650742E-3</v>
      </c>
      <c r="S40" s="49">
        <v>1.7107309486780714E-2</v>
      </c>
      <c r="T40" s="49">
        <v>1.0219951121972895E-2</v>
      </c>
      <c r="U40" s="49">
        <v>1.5552099533437014E-3</v>
      </c>
    </row>
    <row r="41" spans="1:21">
      <c r="A41" t="s">
        <v>1487</v>
      </c>
      <c r="B41" t="s">
        <v>2033</v>
      </c>
      <c r="C41" s="49">
        <v>1</v>
      </c>
      <c r="D41" s="49">
        <v>2.0257826887661142E-2</v>
      </c>
      <c r="E41" s="49">
        <v>0.46183241252302026</v>
      </c>
      <c r="F41" s="49">
        <v>1.9843462246777164E-2</v>
      </c>
      <c r="G41" s="49">
        <v>4.2495395948434621E-2</v>
      </c>
      <c r="H41" s="49">
        <v>5.6629834254143642E-3</v>
      </c>
      <c r="I41" s="49">
        <v>6.3720073664825044E-2</v>
      </c>
      <c r="J41" s="49">
        <v>8.0570902394106816E-3</v>
      </c>
      <c r="K41" s="49">
        <v>0.30441988950276244</v>
      </c>
      <c r="L41" s="49">
        <v>1.6022099447513812E-2</v>
      </c>
      <c r="M41" s="49">
        <v>3.2228360957642726E-3</v>
      </c>
      <c r="N41" s="49">
        <v>1.4732965009208103E-3</v>
      </c>
      <c r="O41" s="49">
        <v>0.11754143646408839</v>
      </c>
      <c r="P41" s="49">
        <v>1.3305709023941069E-2</v>
      </c>
      <c r="Q41" s="49">
        <v>0</v>
      </c>
      <c r="R41" s="49">
        <v>1.0128913443830571E-3</v>
      </c>
      <c r="S41" s="49">
        <v>4.9723756906077344E-3</v>
      </c>
      <c r="T41" s="49">
        <v>2.2559852670349908E-3</v>
      </c>
      <c r="U41" s="49">
        <v>1.7955801104972376E-3</v>
      </c>
    </row>
    <row r="42" spans="1:21">
      <c r="A42" t="s">
        <v>26</v>
      </c>
      <c r="B42" t="s">
        <v>2025</v>
      </c>
      <c r="C42" s="49">
        <v>1</v>
      </c>
      <c r="D42" s="49">
        <v>3.4419458467186782E-2</v>
      </c>
      <c r="E42" s="49">
        <v>5.9660394676457089E-3</v>
      </c>
      <c r="F42" s="49">
        <v>4.8187241854061496E-3</v>
      </c>
      <c r="G42" s="49">
        <v>1.1473152822395595E-3</v>
      </c>
      <c r="H42" s="49">
        <v>1.8357044515832951E-3</v>
      </c>
      <c r="I42" s="49">
        <v>1.7668655346489214E-2</v>
      </c>
      <c r="J42" s="49">
        <v>1.0325837540156035E-2</v>
      </c>
      <c r="K42" s="49">
        <v>0.85589720055071139</v>
      </c>
      <c r="L42" s="49">
        <v>3.1895364846259752E-2</v>
      </c>
      <c r="M42" s="49">
        <v>2.2946305644791189E-4</v>
      </c>
      <c r="N42" s="49">
        <v>4.5892611289582378E-4</v>
      </c>
      <c r="O42" s="49">
        <v>0.11656723267553924</v>
      </c>
      <c r="P42" s="49">
        <v>1.6291877007801745E-2</v>
      </c>
      <c r="Q42" s="49">
        <v>0</v>
      </c>
      <c r="R42" s="49">
        <v>3.4419458467186783E-3</v>
      </c>
      <c r="S42" s="49">
        <v>2.5240936209270305E-3</v>
      </c>
      <c r="T42" s="49">
        <v>1.1473152822395595E-3</v>
      </c>
      <c r="U42" s="49">
        <v>0</v>
      </c>
    </row>
    <row r="43" spans="1:21">
      <c r="A43" t="s">
        <v>979</v>
      </c>
      <c r="B43" t="s">
        <v>2028</v>
      </c>
      <c r="C43" s="49">
        <v>1</v>
      </c>
      <c r="D43" s="49">
        <v>3.9883268482490269E-2</v>
      </c>
      <c r="E43" s="49">
        <v>4.8638132295719845E-3</v>
      </c>
      <c r="F43" s="49">
        <v>5.8365758754863814E-3</v>
      </c>
      <c r="G43" s="49">
        <v>9.727626459143969E-4</v>
      </c>
      <c r="H43" s="49">
        <v>1.4591439688715954E-3</v>
      </c>
      <c r="I43" s="49">
        <v>8.7548638132295721E-3</v>
      </c>
      <c r="J43" s="49">
        <v>5.8365758754863814E-3</v>
      </c>
      <c r="K43" s="49">
        <v>0.51021400778210113</v>
      </c>
      <c r="L43" s="49">
        <v>2.6750972762645913E-2</v>
      </c>
      <c r="M43" s="49">
        <v>7.7821011673151752E-3</v>
      </c>
      <c r="N43" s="49">
        <v>5.350194552529183E-3</v>
      </c>
      <c r="O43" s="49">
        <v>0.46303501945525294</v>
      </c>
      <c r="P43" s="49">
        <v>3.1614785992217898E-2</v>
      </c>
      <c r="Q43" s="49">
        <v>9.727626459143969E-4</v>
      </c>
      <c r="R43" s="49">
        <v>1.4591439688715954E-3</v>
      </c>
      <c r="S43" s="49">
        <v>1.4591439688715954E-3</v>
      </c>
      <c r="T43" s="49">
        <v>1.9455252918287938E-3</v>
      </c>
      <c r="U43" s="49">
        <v>1.9455252918287938E-3</v>
      </c>
    </row>
    <row r="44" spans="1:21">
      <c r="A44" t="s">
        <v>1361</v>
      </c>
      <c r="B44" t="s">
        <v>2029</v>
      </c>
      <c r="C44" s="49">
        <v>1</v>
      </c>
      <c r="D44" s="49">
        <v>6.5778159931212388E-2</v>
      </c>
      <c r="E44" s="49">
        <v>3.5683576956147892E-2</v>
      </c>
      <c r="F44" s="49">
        <v>2.2785898538263114E-2</v>
      </c>
      <c r="G44" s="49">
        <v>4.7291487532244193E-3</v>
      </c>
      <c r="H44" s="49">
        <v>7.3086844368013756E-3</v>
      </c>
      <c r="I44" s="49">
        <v>4.9441100601891656E-2</v>
      </c>
      <c r="J44" s="49">
        <v>2.4505588993981083E-2</v>
      </c>
      <c r="K44" s="49">
        <v>0.53525365434221839</v>
      </c>
      <c r="L44" s="49">
        <v>5.6749785038693032E-2</v>
      </c>
      <c r="M44" s="49">
        <v>3.0094582975064487E-3</v>
      </c>
      <c r="N44" s="49">
        <v>4.2992261392949269E-3</v>
      </c>
      <c r="O44" s="49">
        <v>0.36328460877042135</v>
      </c>
      <c r="P44" s="49">
        <v>4.9011177987962166E-2</v>
      </c>
      <c r="Q44" s="49">
        <v>4.299226139294927E-4</v>
      </c>
      <c r="R44" s="49">
        <v>8.598452278589854E-4</v>
      </c>
      <c r="S44" s="49">
        <v>2.1496130696474634E-3</v>
      </c>
      <c r="T44" s="49">
        <v>3.869303525365434E-3</v>
      </c>
      <c r="U44" s="49">
        <v>6.0189165950128975E-3</v>
      </c>
    </row>
    <row r="45" spans="1:21">
      <c r="A45" t="s">
        <v>980</v>
      </c>
      <c r="B45" t="s">
        <v>2031</v>
      </c>
      <c r="C45" s="49">
        <v>1</v>
      </c>
      <c r="D45" s="49">
        <v>1.3398451306108023E-2</v>
      </c>
      <c r="E45" s="49">
        <v>0.69887221668862254</v>
      </c>
      <c r="F45" s="49">
        <v>1.5679722391800276E-2</v>
      </c>
      <c r="G45" s="49">
        <v>1.2177489316582591E-2</v>
      </c>
      <c r="H45" s="49">
        <v>3.2451884458439095E-3</v>
      </c>
      <c r="I45" s="49">
        <v>5.7835041609099379E-2</v>
      </c>
      <c r="J45" s="49">
        <v>7.6149471451980848E-3</v>
      </c>
      <c r="K45" s="49">
        <v>0.1487645792500723</v>
      </c>
      <c r="L45" s="49">
        <v>9.1250843427690131E-3</v>
      </c>
      <c r="M45" s="49">
        <v>2.5061851363943066E-3</v>
      </c>
      <c r="N45" s="49">
        <v>1.2530925681971533E-3</v>
      </c>
      <c r="O45" s="49">
        <v>7.3836069787616879E-2</v>
      </c>
      <c r="P45" s="49">
        <v>6.8759438357484815E-3</v>
      </c>
      <c r="Q45" s="49">
        <v>0</v>
      </c>
      <c r="R45" s="49">
        <v>7.0687273077788134E-4</v>
      </c>
      <c r="S45" s="49">
        <v>4.2412363846672883E-3</v>
      </c>
      <c r="T45" s="49">
        <v>2.0242264563184783E-3</v>
      </c>
      <c r="U45" s="49">
        <v>1.7671818269447033E-3</v>
      </c>
    </row>
    <row r="46" spans="1:21">
      <c r="A46" t="s">
        <v>1918</v>
      </c>
      <c r="B46" t="s">
        <v>2039</v>
      </c>
      <c r="C46" s="49">
        <v>1</v>
      </c>
      <c r="D46" s="49">
        <v>4.2857142857142858E-2</v>
      </c>
      <c r="E46" s="49">
        <v>6.2500000000000003E-3</v>
      </c>
      <c r="F46" s="49">
        <v>4.0178571428571425E-3</v>
      </c>
      <c r="G46" s="49">
        <v>3.2589285714285716E-2</v>
      </c>
      <c r="H46" s="49">
        <v>1.1607142857142858E-2</v>
      </c>
      <c r="I46" s="49">
        <v>0.1299107142857143</v>
      </c>
      <c r="J46" s="49">
        <v>2.5000000000000001E-2</v>
      </c>
      <c r="K46" s="49">
        <v>0.48303571428571429</v>
      </c>
      <c r="L46" s="49">
        <v>4.1517857142857141E-2</v>
      </c>
      <c r="M46" s="49">
        <v>8.9285714285714283E-4</v>
      </c>
      <c r="N46" s="49">
        <v>1.3392857142857143E-3</v>
      </c>
      <c r="O46" s="49">
        <v>0.34241071428571429</v>
      </c>
      <c r="P46" s="49">
        <v>3.7946428571428568E-2</v>
      </c>
      <c r="Q46" s="49">
        <v>0</v>
      </c>
      <c r="R46" s="49">
        <v>5.8035714285714288E-3</v>
      </c>
      <c r="S46" s="49">
        <v>4.0178571428571425E-3</v>
      </c>
      <c r="T46" s="49">
        <v>2.6785714285714286E-3</v>
      </c>
      <c r="U46" s="49">
        <v>8.9285714285714283E-4</v>
      </c>
    </row>
    <row r="47" spans="1:21">
      <c r="A47" t="s">
        <v>1519</v>
      </c>
      <c r="B47" t="s">
        <v>2027</v>
      </c>
      <c r="C47" s="49">
        <v>1</v>
      </c>
      <c r="D47" s="49">
        <v>3.5550458715596332E-2</v>
      </c>
      <c r="E47" s="49">
        <v>1.7201834862385322E-2</v>
      </c>
      <c r="F47" s="49">
        <v>1.0321100917431193E-2</v>
      </c>
      <c r="G47" s="49">
        <v>4.0137614678899085E-3</v>
      </c>
      <c r="H47" s="49">
        <v>4.0137614678899085E-3</v>
      </c>
      <c r="I47" s="49">
        <v>1.6628440366972478E-2</v>
      </c>
      <c r="J47" s="49">
        <v>8.600917431192661E-3</v>
      </c>
      <c r="K47" s="49">
        <v>0.76720183486238536</v>
      </c>
      <c r="L47" s="49">
        <v>3.6123853211009173E-2</v>
      </c>
      <c r="M47" s="49">
        <v>1.1467889908256881E-3</v>
      </c>
      <c r="N47" s="49">
        <v>1.7201834862385322E-3</v>
      </c>
      <c r="O47" s="49">
        <v>0.19094036697247707</v>
      </c>
      <c r="P47" s="49">
        <v>2.0642201834862386E-2</v>
      </c>
      <c r="Q47" s="49">
        <v>0</v>
      </c>
      <c r="R47" s="49">
        <v>7.4541284403669729E-3</v>
      </c>
      <c r="S47" s="49">
        <v>2.8669724770642203E-3</v>
      </c>
      <c r="T47" s="49">
        <v>2.8669724770642203E-3</v>
      </c>
      <c r="U47" s="49">
        <v>0</v>
      </c>
    </row>
    <row r="48" spans="1:21">
      <c r="A48" t="s">
        <v>399</v>
      </c>
      <c r="B48" t="s">
        <v>2028</v>
      </c>
      <c r="C48" s="49">
        <v>1</v>
      </c>
      <c r="D48" s="49">
        <v>3.9883268482490269E-2</v>
      </c>
      <c r="E48" s="49">
        <v>4.8638132295719845E-3</v>
      </c>
      <c r="F48" s="49">
        <v>5.8365758754863814E-3</v>
      </c>
      <c r="G48" s="49">
        <v>9.727626459143969E-4</v>
      </c>
      <c r="H48" s="49">
        <v>1.4591439688715954E-3</v>
      </c>
      <c r="I48" s="49">
        <v>8.7548638132295721E-3</v>
      </c>
      <c r="J48" s="49">
        <v>5.8365758754863814E-3</v>
      </c>
      <c r="K48" s="49">
        <v>0.51021400778210113</v>
      </c>
      <c r="L48" s="49">
        <v>2.6750972762645913E-2</v>
      </c>
      <c r="M48" s="49">
        <v>7.7821011673151752E-3</v>
      </c>
      <c r="N48" s="49">
        <v>5.350194552529183E-3</v>
      </c>
      <c r="O48" s="49">
        <v>0.46303501945525294</v>
      </c>
      <c r="P48" s="49">
        <v>3.1614785992217898E-2</v>
      </c>
      <c r="Q48" s="49">
        <v>9.727626459143969E-4</v>
      </c>
      <c r="R48" s="49">
        <v>1.4591439688715954E-3</v>
      </c>
      <c r="S48" s="49">
        <v>1.4591439688715954E-3</v>
      </c>
      <c r="T48" s="49">
        <v>1.9455252918287938E-3</v>
      </c>
      <c r="U48" s="49">
        <v>1.9455252918287938E-3</v>
      </c>
    </row>
    <row r="49" spans="1:21">
      <c r="A49" t="s">
        <v>1920</v>
      </c>
      <c r="B49" t="s">
        <v>2040</v>
      </c>
      <c r="C49" s="49">
        <v>1</v>
      </c>
      <c r="D49" s="49">
        <v>7.6134894684814847E-3</v>
      </c>
      <c r="E49" s="49">
        <v>0.82159151395331154</v>
      </c>
      <c r="F49" s="49">
        <v>1.093072770131549E-2</v>
      </c>
      <c r="G49" s="49">
        <v>8.5164626264162425E-3</v>
      </c>
      <c r="H49" s="49">
        <v>1.5683218006235268E-3</v>
      </c>
      <c r="I49" s="49">
        <v>0.13469508022203636</v>
      </c>
      <c r="J49" s="49">
        <v>7.3568549920158162E-3</v>
      </c>
      <c r="K49" s="49">
        <v>2.3097102881910123E-2</v>
      </c>
      <c r="L49" s="49">
        <v>3.6879324766177475E-3</v>
      </c>
      <c r="M49" s="49">
        <v>2.1861455402630978E-4</v>
      </c>
      <c r="N49" s="49">
        <v>2.4712949585582847E-4</v>
      </c>
      <c r="O49" s="49">
        <v>6.2067523382252302E-3</v>
      </c>
      <c r="P49" s="49">
        <v>1.777431374039997E-3</v>
      </c>
      <c r="Q49" s="49">
        <v>0</v>
      </c>
      <c r="R49" s="49">
        <v>2.0910957341647022E-4</v>
      </c>
      <c r="S49" s="49">
        <v>3.146148581856893E-3</v>
      </c>
      <c r="T49" s="49">
        <v>1.2356474792791423E-3</v>
      </c>
      <c r="U49" s="49">
        <v>2.5283248422173217E-3</v>
      </c>
    </row>
    <row r="50" spans="1:21">
      <c r="A50" t="s">
        <v>982</v>
      </c>
      <c r="B50" t="s">
        <v>2029</v>
      </c>
      <c r="C50" s="49">
        <v>1</v>
      </c>
      <c r="D50" s="49">
        <v>6.5778159931212388E-2</v>
      </c>
      <c r="E50" s="49">
        <v>3.5683576956147892E-2</v>
      </c>
      <c r="F50" s="49">
        <v>2.2785898538263114E-2</v>
      </c>
      <c r="G50" s="49">
        <v>4.7291487532244193E-3</v>
      </c>
      <c r="H50" s="49">
        <v>7.3086844368013756E-3</v>
      </c>
      <c r="I50" s="49">
        <v>4.9441100601891656E-2</v>
      </c>
      <c r="J50" s="49">
        <v>2.4505588993981083E-2</v>
      </c>
      <c r="K50" s="49">
        <v>0.53525365434221839</v>
      </c>
      <c r="L50" s="49">
        <v>5.6749785038693032E-2</v>
      </c>
      <c r="M50" s="49">
        <v>3.0094582975064487E-3</v>
      </c>
      <c r="N50" s="49">
        <v>4.2992261392949269E-3</v>
      </c>
      <c r="O50" s="49">
        <v>0.36328460877042135</v>
      </c>
      <c r="P50" s="49">
        <v>4.9011177987962166E-2</v>
      </c>
      <c r="Q50" s="49">
        <v>4.299226139294927E-4</v>
      </c>
      <c r="R50" s="49">
        <v>8.598452278589854E-4</v>
      </c>
      <c r="S50" s="49">
        <v>2.1496130696474634E-3</v>
      </c>
      <c r="T50" s="49">
        <v>3.869303525365434E-3</v>
      </c>
      <c r="U50" s="49">
        <v>6.0189165950128975E-3</v>
      </c>
    </row>
    <row r="51" spans="1:21">
      <c r="A51" t="s">
        <v>72</v>
      </c>
      <c r="B51" t="s">
        <v>2041</v>
      </c>
      <c r="C51" s="49">
        <v>1</v>
      </c>
      <c r="D51" s="49">
        <v>3.68251698248123E-2</v>
      </c>
      <c r="E51" s="49">
        <v>1.2870933142652842E-2</v>
      </c>
      <c r="F51" s="49">
        <v>7.5080443332141578E-3</v>
      </c>
      <c r="G51" s="49">
        <v>3.5752592062924561E-3</v>
      </c>
      <c r="H51" s="49">
        <v>3.5752592062924561E-3</v>
      </c>
      <c r="I51" s="49">
        <v>2.7887021809081158E-2</v>
      </c>
      <c r="J51" s="49">
        <v>1.3228459063282088E-2</v>
      </c>
      <c r="K51" s="49">
        <v>0.91383625312835182</v>
      </c>
      <c r="L51" s="49">
        <v>3.5037540221666073E-2</v>
      </c>
      <c r="M51" s="49">
        <v>0</v>
      </c>
      <c r="N51" s="49">
        <v>4.6478369681801929E-3</v>
      </c>
      <c r="O51" s="49">
        <v>4.0757954951734003E-2</v>
      </c>
      <c r="P51" s="49">
        <v>1.0725777618877368E-2</v>
      </c>
      <c r="Q51" s="49">
        <v>0</v>
      </c>
      <c r="R51" s="49">
        <v>4.6478369681801929E-3</v>
      </c>
      <c r="S51" s="49">
        <v>1.0725777618877368E-3</v>
      </c>
      <c r="T51" s="49">
        <v>1.4301036825169824E-3</v>
      </c>
      <c r="U51" s="49">
        <v>0</v>
      </c>
    </row>
    <row r="52" spans="1:21">
      <c r="A52" t="s">
        <v>2042</v>
      </c>
      <c r="B52" t="s">
        <v>2042</v>
      </c>
      <c r="C52" s="49">
        <v>1</v>
      </c>
      <c r="D52" s="49">
        <v>0.13020833333333334</v>
      </c>
      <c r="E52" s="49">
        <v>0</v>
      </c>
      <c r="F52" s="49">
        <v>2.34375E-2</v>
      </c>
      <c r="G52" s="49">
        <v>0</v>
      </c>
      <c r="H52" s="49">
        <v>2.34375E-2</v>
      </c>
      <c r="I52" s="49">
        <v>0</v>
      </c>
      <c r="J52" s="49">
        <v>2.34375E-2</v>
      </c>
      <c r="K52" s="49">
        <v>0.96354166666666663</v>
      </c>
      <c r="L52" s="49">
        <v>0.125</v>
      </c>
      <c r="M52" s="49">
        <v>0</v>
      </c>
      <c r="N52" s="49">
        <v>2.34375E-2</v>
      </c>
      <c r="O52" s="49">
        <v>1.3020833333333334E-2</v>
      </c>
      <c r="P52" s="49">
        <v>1.0416666666666666E-2</v>
      </c>
      <c r="Q52" s="49">
        <v>0</v>
      </c>
      <c r="R52" s="49">
        <v>2.34375E-2</v>
      </c>
      <c r="S52" s="49">
        <v>1.8229166666666668E-2</v>
      </c>
      <c r="T52" s="49">
        <v>1.5625E-2</v>
      </c>
      <c r="U52" s="49">
        <v>5.208333333333333E-3</v>
      </c>
    </row>
    <row r="53" spans="1:21">
      <c r="A53" t="s">
        <v>41</v>
      </c>
      <c r="B53" t="s">
        <v>2032</v>
      </c>
      <c r="C53" s="49">
        <v>1</v>
      </c>
      <c r="D53" s="49">
        <v>3.8293216630196934E-2</v>
      </c>
      <c r="E53" s="49">
        <v>1.8599562363238512E-2</v>
      </c>
      <c r="F53" s="49">
        <v>1.0940919037199124E-2</v>
      </c>
      <c r="G53" s="49">
        <v>1.6411378555798686E-3</v>
      </c>
      <c r="H53" s="49">
        <v>3.2822757111597373E-3</v>
      </c>
      <c r="I53" s="49">
        <v>2.5164113785557989E-2</v>
      </c>
      <c r="J53" s="49">
        <v>9.8468271334792128E-3</v>
      </c>
      <c r="K53" s="49">
        <v>0.85175054704595188</v>
      </c>
      <c r="L53" s="49">
        <v>3.9934354485776806E-2</v>
      </c>
      <c r="M53" s="49">
        <v>0</v>
      </c>
      <c r="N53" s="49">
        <v>7.1115973741794312E-3</v>
      </c>
      <c r="O53" s="49">
        <v>5.9628008752735231E-2</v>
      </c>
      <c r="P53" s="49">
        <v>1.2035010940919038E-2</v>
      </c>
      <c r="Q53" s="49">
        <v>1.0940919037199124E-3</v>
      </c>
      <c r="R53" s="49">
        <v>1.6411378555798686E-3</v>
      </c>
      <c r="S53" s="49">
        <v>4.2122538293216633E-2</v>
      </c>
      <c r="T53" s="49">
        <v>1.6958424507658644E-2</v>
      </c>
      <c r="U53" s="49">
        <v>0</v>
      </c>
    </row>
    <row r="54" spans="1:21">
      <c r="A54" t="s">
        <v>1580</v>
      </c>
      <c r="B54" t="s">
        <v>2031</v>
      </c>
      <c r="C54" s="49">
        <v>1</v>
      </c>
      <c r="D54" s="49">
        <v>1.3398451306108023E-2</v>
      </c>
      <c r="E54" s="49">
        <v>0.69887221668862254</v>
      </c>
      <c r="F54" s="49">
        <v>1.5679722391800276E-2</v>
      </c>
      <c r="G54" s="49">
        <v>1.2177489316582591E-2</v>
      </c>
      <c r="H54" s="49">
        <v>3.2451884458439095E-3</v>
      </c>
      <c r="I54" s="49">
        <v>5.7835041609099379E-2</v>
      </c>
      <c r="J54" s="49">
        <v>7.6149471451980848E-3</v>
      </c>
      <c r="K54" s="49">
        <v>0.1487645792500723</v>
      </c>
      <c r="L54" s="49">
        <v>9.1250843427690131E-3</v>
      </c>
      <c r="M54" s="49">
        <v>2.5061851363943066E-3</v>
      </c>
      <c r="N54" s="49">
        <v>1.2530925681971533E-3</v>
      </c>
      <c r="O54" s="49">
        <v>7.3836069787616879E-2</v>
      </c>
      <c r="P54" s="49">
        <v>6.8759438357484815E-3</v>
      </c>
      <c r="Q54" s="49">
        <v>0</v>
      </c>
      <c r="R54" s="49">
        <v>7.0687273077788134E-4</v>
      </c>
      <c r="S54" s="49">
        <v>4.2412363846672883E-3</v>
      </c>
      <c r="T54" s="49">
        <v>2.0242264563184783E-3</v>
      </c>
      <c r="U54" s="49">
        <v>1.7671818269447033E-3</v>
      </c>
    </row>
    <row r="55" spans="1:21">
      <c r="A55" t="s">
        <v>1581</v>
      </c>
      <c r="B55" t="s">
        <v>2031</v>
      </c>
      <c r="C55" s="49">
        <v>1</v>
      </c>
      <c r="D55" s="49">
        <v>1.3398451306108023E-2</v>
      </c>
      <c r="E55" s="49">
        <v>0.69887221668862254</v>
      </c>
      <c r="F55" s="49">
        <v>1.5679722391800276E-2</v>
      </c>
      <c r="G55" s="49">
        <v>1.2177489316582591E-2</v>
      </c>
      <c r="H55" s="49">
        <v>3.2451884458439095E-3</v>
      </c>
      <c r="I55" s="49">
        <v>5.7835041609099379E-2</v>
      </c>
      <c r="J55" s="49">
        <v>7.6149471451980848E-3</v>
      </c>
      <c r="K55" s="49">
        <v>0.1487645792500723</v>
      </c>
      <c r="L55" s="49">
        <v>9.1250843427690131E-3</v>
      </c>
      <c r="M55" s="49">
        <v>2.5061851363943066E-3</v>
      </c>
      <c r="N55" s="49">
        <v>1.2530925681971533E-3</v>
      </c>
      <c r="O55" s="49">
        <v>7.3836069787616879E-2</v>
      </c>
      <c r="P55" s="49">
        <v>6.8759438357484815E-3</v>
      </c>
      <c r="Q55" s="49">
        <v>0</v>
      </c>
      <c r="R55" s="49">
        <v>7.0687273077788134E-4</v>
      </c>
      <c r="S55" s="49">
        <v>4.2412363846672883E-3</v>
      </c>
      <c r="T55" s="49">
        <v>2.0242264563184783E-3</v>
      </c>
      <c r="U55" s="49">
        <v>1.7671818269447033E-3</v>
      </c>
    </row>
    <row r="56" spans="1:21">
      <c r="A56" t="s">
        <v>983</v>
      </c>
      <c r="B56" t="s">
        <v>2032</v>
      </c>
      <c r="C56" s="49">
        <v>1</v>
      </c>
      <c r="D56" s="49">
        <v>3.8293216630196934E-2</v>
      </c>
      <c r="E56" s="49">
        <v>1.8599562363238512E-2</v>
      </c>
      <c r="F56" s="49">
        <v>1.0940919037199124E-2</v>
      </c>
      <c r="G56" s="49">
        <v>1.6411378555798686E-3</v>
      </c>
      <c r="H56" s="49">
        <v>3.2822757111597373E-3</v>
      </c>
      <c r="I56" s="49">
        <v>2.5164113785557989E-2</v>
      </c>
      <c r="J56" s="49">
        <v>9.8468271334792128E-3</v>
      </c>
      <c r="K56" s="49">
        <v>0.85175054704595188</v>
      </c>
      <c r="L56" s="49">
        <v>3.9934354485776806E-2</v>
      </c>
      <c r="M56" s="49">
        <v>0</v>
      </c>
      <c r="N56" s="49">
        <v>7.1115973741794312E-3</v>
      </c>
      <c r="O56" s="49">
        <v>5.9628008752735231E-2</v>
      </c>
      <c r="P56" s="49">
        <v>1.2035010940919038E-2</v>
      </c>
      <c r="Q56" s="49">
        <v>1.0940919037199124E-3</v>
      </c>
      <c r="R56" s="49">
        <v>1.6411378555798686E-3</v>
      </c>
      <c r="S56" s="49">
        <v>4.2122538293216633E-2</v>
      </c>
      <c r="T56" s="49">
        <v>1.6958424507658644E-2</v>
      </c>
      <c r="U56" s="49">
        <v>0</v>
      </c>
    </row>
    <row r="57" spans="1:21">
      <c r="A57" t="s">
        <v>984</v>
      </c>
      <c r="B57" t="s">
        <v>2034</v>
      </c>
      <c r="C57" s="49">
        <v>1</v>
      </c>
      <c r="D57" s="49">
        <v>0.12011173184357542</v>
      </c>
      <c r="E57" s="49">
        <v>1.3966480446927373E-2</v>
      </c>
      <c r="F57" s="49">
        <v>2.23463687150838E-2</v>
      </c>
      <c r="G57" s="49">
        <v>0</v>
      </c>
      <c r="H57" s="49">
        <v>1.2569832402234637E-2</v>
      </c>
      <c r="I57" s="49">
        <v>3.6312849162011177E-2</v>
      </c>
      <c r="J57" s="49">
        <v>2.7932960893854747E-2</v>
      </c>
      <c r="K57" s="49">
        <v>0.56564245810055869</v>
      </c>
      <c r="L57" s="49">
        <v>0.11312849162011174</v>
      </c>
      <c r="M57" s="49">
        <v>0.15502793296089384</v>
      </c>
      <c r="N57" s="49">
        <v>6.4245810055865923E-2</v>
      </c>
      <c r="O57" s="49">
        <v>0.22905027932960895</v>
      </c>
      <c r="P57" s="49">
        <v>7.2625698324022353E-2</v>
      </c>
      <c r="Q57" s="49">
        <v>0</v>
      </c>
      <c r="R57" s="49">
        <v>1.2569832402234637E-2</v>
      </c>
      <c r="S57" s="49">
        <v>0</v>
      </c>
      <c r="T57" s="49">
        <v>1.2569832402234637E-2</v>
      </c>
      <c r="U57" s="49">
        <v>0</v>
      </c>
    </row>
    <row r="58" spans="1:21">
      <c r="A58" t="s">
        <v>1924</v>
      </c>
      <c r="B58" t="s">
        <v>2028</v>
      </c>
      <c r="C58" s="49">
        <v>1</v>
      </c>
      <c r="D58" s="49">
        <v>3.9883268482490269E-2</v>
      </c>
      <c r="E58" s="49">
        <v>4.8638132295719845E-3</v>
      </c>
      <c r="F58" s="49">
        <v>5.8365758754863814E-3</v>
      </c>
      <c r="G58" s="49">
        <v>9.727626459143969E-4</v>
      </c>
      <c r="H58" s="49">
        <v>1.4591439688715954E-3</v>
      </c>
      <c r="I58" s="49">
        <v>8.7548638132295721E-3</v>
      </c>
      <c r="J58" s="49">
        <v>5.8365758754863814E-3</v>
      </c>
      <c r="K58" s="49">
        <v>0.51021400778210113</v>
      </c>
      <c r="L58" s="49">
        <v>2.6750972762645913E-2</v>
      </c>
      <c r="M58" s="49">
        <v>7.7821011673151752E-3</v>
      </c>
      <c r="N58" s="49">
        <v>5.350194552529183E-3</v>
      </c>
      <c r="O58" s="49">
        <v>0.46303501945525294</v>
      </c>
      <c r="P58" s="49">
        <v>3.1614785992217898E-2</v>
      </c>
      <c r="Q58" s="49">
        <v>9.727626459143969E-4</v>
      </c>
      <c r="R58" s="49">
        <v>1.4591439688715954E-3</v>
      </c>
      <c r="S58" s="49">
        <v>1.4591439688715954E-3</v>
      </c>
      <c r="T58" s="49">
        <v>1.9455252918287938E-3</v>
      </c>
      <c r="U58" s="49">
        <v>1.9455252918287938E-3</v>
      </c>
    </row>
    <row r="59" spans="1:21">
      <c r="A59" t="s">
        <v>1925</v>
      </c>
      <c r="B59" t="s">
        <v>205</v>
      </c>
      <c r="C59" s="49">
        <v>1</v>
      </c>
      <c r="D59" s="49">
        <v>8.3919597989949746E-2</v>
      </c>
      <c r="E59" s="49">
        <v>0.66582914572864327</v>
      </c>
      <c r="F59" s="49">
        <v>5.4773869346733665E-2</v>
      </c>
      <c r="G59" s="49">
        <v>5.025125628140704E-4</v>
      </c>
      <c r="H59" s="49">
        <v>1.507537688442211E-3</v>
      </c>
      <c r="I59" s="49">
        <v>2.7638190954773871E-2</v>
      </c>
      <c r="J59" s="49">
        <v>1.6582914572864323E-2</v>
      </c>
      <c r="K59" s="49">
        <v>0.30351758793969852</v>
      </c>
      <c r="L59" s="49">
        <v>4.6733668341708542E-2</v>
      </c>
      <c r="M59" s="49">
        <v>0</v>
      </c>
      <c r="N59" s="49">
        <v>6.5326633165829146E-3</v>
      </c>
      <c r="O59" s="49">
        <v>0</v>
      </c>
      <c r="P59" s="49">
        <v>6.5326633165829146E-3</v>
      </c>
      <c r="Q59" s="49">
        <v>0</v>
      </c>
      <c r="R59" s="49">
        <v>6.5326633165829146E-3</v>
      </c>
      <c r="S59" s="49">
        <v>2.5125628140703518E-3</v>
      </c>
      <c r="T59" s="49">
        <v>2.0100502512562816E-3</v>
      </c>
      <c r="U59" s="49">
        <v>0</v>
      </c>
    </row>
    <row r="60" spans="1:21">
      <c r="A60" t="s">
        <v>1926</v>
      </c>
      <c r="B60" t="s">
        <v>2043</v>
      </c>
      <c r="C60" s="49">
        <v>1</v>
      </c>
      <c r="D60" s="49">
        <v>0.16535433070866143</v>
      </c>
      <c r="E60" s="49">
        <v>3.937007874015748E-2</v>
      </c>
      <c r="F60" s="49">
        <v>4.3307086614173228E-2</v>
      </c>
      <c r="G60" s="49">
        <v>3.937007874015748E-3</v>
      </c>
      <c r="H60" s="49">
        <v>1.1811023622047244E-2</v>
      </c>
      <c r="I60" s="49">
        <v>4.3307086614173228E-2</v>
      </c>
      <c r="J60" s="49">
        <v>3.1496062992125984E-2</v>
      </c>
      <c r="K60" s="49">
        <v>0.77952755905511806</v>
      </c>
      <c r="L60" s="49">
        <v>0.14173228346456693</v>
      </c>
      <c r="M60" s="49">
        <v>0</v>
      </c>
      <c r="N60" s="49">
        <v>3.5433070866141732E-2</v>
      </c>
      <c r="O60" s="49">
        <v>0.12992125984251968</v>
      </c>
      <c r="P60" s="49">
        <v>5.905511811023622E-2</v>
      </c>
      <c r="Q60" s="49">
        <v>0</v>
      </c>
      <c r="R60" s="49">
        <v>3.5433070866141732E-2</v>
      </c>
      <c r="S60" s="49">
        <v>3.937007874015748E-3</v>
      </c>
      <c r="T60" s="49">
        <v>7.874015748031496E-3</v>
      </c>
      <c r="U60" s="49">
        <v>0</v>
      </c>
    </row>
    <row r="61" spans="1:21">
      <c r="A61" t="s">
        <v>1928</v>
      </c>
      <c r="B61" t="s">
        <v>2040</v>
      </c>
      <c r="C61" s="49">
        <v>1</v>
      </c>
      <c r="D61" s="49">
        <v>7.6134894684814847E-3</v>
      </c>
      <c r="E61" s="49">
        <v>0.82159151395331154</v>
      </c>
      <c r="F61" s="49">
        <v>1.093072770131549E-2</v>
      </c>
      <c r="G61" s="49">
        <v>8.5164626264162425E-3</v>
      </c>
      <c r="H61" s="49">
        <v>1.5683218006235268E-3</v>
      </c>
      <c r="I61" s="49">
        <v>0.13469508022203636</v>
      </c>
      <c r="J61" s="49">
        <v>7.3568549920158162E-3</v>
      </c>
      <c r="K61" s="49">
        <v>2.3097102881910123E-2</v>
      </c>
      <c r="L61" s="49">
        <v>3.6879324766177475E-3</v>
      </c>
      <c r="M61" s="49">
        <v>2.1861455402630978E-4</v>
      </c>
      <c r="N61" s="49">
        <v>2.4712949585582847E-4</v>
      </c>
      <c r="O61" s="49">
        <v>6.2067523382252302E-3</v>
      </c>
      <c r="P61" s="49">
        <v>1.777431374039997E-3</v>
      </c>
      <c r="Q61" s="49">
        <v>0</v>
      </c>
      <c r="R61" s="49">
        <v>2.0910957341647022E-4</v>
      </c>
      <c r="S61" s="49">
        <v>3.146148581856893E-3</v>
      </c>
      <c r="T61" s="49">
        <v>1.2356474792791423E-3</v>
      </c>
      <c r="U61" s="49">
        <v>2.5283248422173217E-3</v>
      </c>
    </row>
    <row r="62" spans="1:21">
      <c r="A62" t="s">
        <v>123</v>
      </c>
      <c r="B62" t="s">
        <v>2028</v>
      </c>
      <c r="C62" s="49">
        <v>1</v>
      </c>
      <c r="D62" s="49">
        <v>3.9883268482490269E-2</v>
      </c>
      <c r="E62" s="49">
        <v>4.8638132295719845E-3</v>
      </c>
      <c r="F62" s="49">
        <v>5.8365758754863814E-3</v>
      </c>
      <c r="G62" s="49">
        <v>9.727626459143969E-4</v>
      </c>
      <c r="H62" s="49">
        <v>1.4591439688715954E-3</v>
      </c>
      <c r="I62" s="49">
        <v>8.7548638132295721E-3</v>
      </c>
      <c r="J62" s="49">
        <v>5.8365758754863814E-3</v>
      </c>
      <c r="K62" s="49">
        <v>0.51021400778210113</v>
      </c>
      <c r="L62" s="49">
        <v>2.6750972762645913E-2</v>
      </c>
      <c r="M62" s="49">
        <v>7.7821011673151752E-3</v>
      </c>
      <c r="N62" s="49">
        <v>5.350194552529183E-3</v>
      </c>
      <c r="O62" s="49">
        <v>0.46303501945525294</v>
      </c>
      <c r="P62" s="49">
        <v>3.1614785992217898E-2</v>
      </c>
      <c r="Q62" s="49">
        <v>9.727626459143969E-4</v>
      </c>
      <c r="R62" s="49">
        <v>1.4591439688715954E-3</v>
      </c>
      <c r="S62" s="49">
        <v>1.4591439688715954E-3</v>
      </c>
      <c r="T62" s="49">
        <v>1.9455252918287938E-3</v>
      </c>
      <c r="U62" s="49">
        <v>1.9455252918287938E-3</v>
      </c>
    </row>
    <row r="63" spans="1:21">
      <c r="A63" t="s">
        <v>985</v>
      </c>
      <c r="B63" t="s">
        <v>2028</v>
      </c>
      <c r="C63" s="49">
        <v>1</v>
      </c>
      <c r="D63" s="49">
        <v>3.9883268482490269E-2</v>
      </c>
      <c r="E63" s="49">
        <v>4.8638132295719845E-3</v>
      </c>
      <c r="F63" s="49">
        <v>5.8365758754863814E-3</v>
      </c>
      <c r="G63" s="49">
        <v>9.727626459143969E-4</v>
      </c>
      <c r="H63" s="49">
        <v>1.4591439688715954E-3</v>
      </c>
      <c r="I63" s="49">
        <v>8.7548638132295721E-3</v>
      </c>
      <c r="J63" s="49">
        <v>5.8365758754863814E-3</v>
      </c>
      <c r="K63" s="49">
        <v>0.51021400778210113</v>
      </c>
      <c r="L63" s="49">
        <v>2.6750972762645913E-2</v>
      </c>
      <c r="M63" s="49">
        <v>7.7821011673151752E-3</v>
      </c>
      <c r="N63" s="49">
        <v>5.350194552529183E-3</v>
      </c>
      <c r="O63" s="49">
        <v>0.46303501945525294</v>
      </c>
      <c r="P63" s="49">
        <v>3.1614785992217898E-2</v>
      </c>
      <c r="Q63" s="49">
        <v>9.727626459143969E-4</v>
      </c>
      <c r="R63" s="49">
        <v>1.4591439688715954E-3</v>
      </c>
      <c r="S63" s="49">
        <v>1.4591439688715954E-3</v>
      </c>
      <c r="T63" s="49">
        <v>1.9455252918287938E-3</v>
      </c>
      <c r="U63" s="49">
        <v>1.9455252918287938E-3</v>
      </c>
    </row>
    <row r="64" spans="1:21">
      <c r="A64" t="s">
        <v>1362</v>
      </c>
      <c r="B64" t="s">
        <v>2031</v>
      </c>
      <c r="C64" s="49">
        <v>1</v>
      </c>
      <c r="D64" s="49">
        <v>1.3398451306108023E-2</v>
      </c>
      <c r="E64" s="49">
        <v>0.69887221668862254</v>
      </c>
      <c r="F64" s="49">
        <v>1.5679722391800276E-2</v>
      </c>
      <c r="G64" s="49">
        <v>1.2177489316582591E-2</v>
      </c>
      <c r="H64" s="49">
        <v>3.2451884458439095E-3</v>
      </c>
      <c r="I64" s="49">
        <v>5.7835041609099379E-2</v>
      </c>
      <c r="J64" s="49">
        <v>7.6149471451980848E-3</v>
      </c>
      <c r="K64" s="49">
        <v>0.1487645792500723</v>
      </c>
      <c r="L64" s="49">
        <v>9.1250843427690131E-3</v>
      </c>
      <c r="M64" s="49">
        <v>2.5061851363943066E-3</v>
      </c>
      <c r="N64" s="49">
        <v>1.2530925681971533E-3</v>
      </c>
      <c r="O64" s="49">
        <v>7.3836069787616879E-2</v>
      </c>
      <c r="P64" s="49">
        <v>6.8759438357484815E-3</v>
      </c>
      <c r="Q64" s="49">
        <v>0</v>
      </c>
      <c r="R64" s="49">
        <v>7.0687273077788134E-4</v>
      </c>
      <c r="S64" s="49">
        <v>4.2412363846672883E-3</v>
      </c>
      <c r="T64" s="49">
        <v>2.0242264563184783E-3</v>
      </c>
      <c r="U64" s="49">
        <v>1.7671818269447033E-3</v>
      </c>
    </row>
    <row r="65" spans="1:21">
      <c r="A65" t="s">
        <v>1930</v>
      </c>
      <c r="B65" t="s">
        <v>2037</v>
      </c>
      <c r="C65" s="49">
        <v>1</v>
      </c>
      <c r="D65" s="49">
        <v>1.7899291896144767E-2</v>
      </c>
      <c r="E65" s="49">
        <v>5.4316061593795664E-2</v>
      </c>
      <c r="F65" s="49">
        <v>8.14881420703608E-3</v>
      </c>
      <c r="G65" s="49">
        <v>1.3993480948634372E-2</v>
      </c>
      <c r="H65" s="49">
        <v>4.3835000561987187E-3</v>
      </c>
      <c r="I65" s="49">
        <v>6.9433516915814314E-2</v>
      </c>
      <c r="J65" s="49">
        <v>9.3851860177587947E-3</v>
      </c>
      <c r="K65" s="49">
        <v>0.75665954816230185</v>
      </c>
      <c r="L65" s="49">
        <v>2.2648083623693381E-2</v>
      </c>
      <c r="M65" s="49">
        <v>1.6943913678768123E-2</v>
      </c>
      <c r="N65" s="49">
        <v>5.0297853208946834E-3</v>
      </c>
      <c r="O65" s="49">
        <v>7.0107901539844891E-2</v>
      </c>
      <c r="P65" s="49">
        <v>1.0340564235135439E-2</v>
      </c>
      <c r="Q65" s="49">
        <v>3.6529167134989322E-4</v>
      </c>
      <c r="R65" s="49">
        <v>6.1818590536135776E-4</v>
      </c>
      <c r="S65" s="49">
        <v>1.4162077104642014E-2</v>
      </c>
      <c r="T65" s="49">
        <v>4.3835000561987187E-3</v>
      </c>
      <c r="U65" s="49">
        <v>4.0182083848488252E-3</v>
      </c>
    </row>
    <row r="66" spans="1:21">
      <c r="A66" t="s">
        <v>199</v>
      </c>
      <c r="B66" t="s">
        <v>2025</v>
      </c>
      <c r="C66" s="49">
        <v>1</v>
      </c>
      <c r="D66" s="49">
        <v>3.4419458467186782E-2</v>
      </c>
      <c r="E66" s="49">
        <v>5.9660394676457089E-3</v>
      </c>
      <c r="F66" s="49">
        <v>4.8187241854061496E-3</v>
      </c>
      <c r="G66" s="49">
        <v>1.1473152822395595E-3</v>
      </c>
      <c r="H66" s="49">
        <v>1.8357044515832951E-3</v>
      </c>
      <c r="I66" s="49">
        <v>1.7668655346489214E-2</v>
      </c>
      <c r="J66" s="49">
        <v>1.0325837540156035E-2</v>
      </c>
      <c r="K66" s="49">
        <v>0.85589720055071139</v>
      </c>
      <c r="L66" s="49">
        <v>3.1895364846259752E-2</v>
      </c>
      <c r="M66" s="49">
        <v>2.2946305644791189E-4</v>
      </c>
      <c r="N66" s="49">
        <v>4.5892611289582378E-4</v>
      </c>
      <c r="O66" s="49">
        <v>0.11656723267553924</v>
      </c>
      <c r="P66" s="49">
        <v>1.6291877007801745E-2</v>
      </c>
      <c r="Q66" s="49">
        <v>0</v>
      </c>
      <c r="R66" s="49">
        <v>3.4419458467186783E-3</v>
      </c>
      <c r="S66" s="49">
        <v>2.5240936209270305E-3</v>
      </c>
      <c r="T66" s="49">
        <v>1.1473152822395595E-3</v>
      </c>
      <c r="U66" s="49">
        <v>0</v>
      </c>
    </row>
    <row r="67" spans="1:21">
      <c r="A67" t="s">
        <v>987</v>
      </c>
      <c r="B67" t="s">
        <v>2037</v>
      </c>
      <c r="C67" s="49">
        <v>1</v>
      </c>
      <c r="D67" s="49">
        <v>1.7899291896144767E-2</v>
      </c>
      <c r="E67" s="49">
        <v>5.4316061593795664E-2</v>
      </c>
      <c r="F67" s="49">
        <v>8.14881420703608E-3</v>
      </c>
      <c r="G67" s="49">
        <v>1.3993480948634372E-2</v>
      </c>
      <c r="H67" s="49">
        <v>4.3835000561987187E-3</v>
      </c>
      <c r="I67" s="49">
        <v>6.9433516915814314E-2</v>
      </c>
      <c r="J67" s="49">
        <v>9.3851860177587947E-3</v>
      </c>
      <c r="K67" s="49">
        <v>0.75665954816230185</v>
      </c>
      <c r="L67" s="49">
        <v>2.2648083623693381E-2</v>
      </c>
      <c r="M67" s="49">
        <v>1.6943913678768123E-2</v>
      </c>
      <c r="N67" s="49">
        <v>5.0297853208946834E-3</v>
      </c>
      <c r="O67" s="49">
        <v>7.0107901539844891E-2</v>
      </c>
      <c r="P67" s="49">
        <v>1.0340564235135439E-2</v>
      </c>
      <c r="Q67" s="49">
        <v>3.6529167134989322E-4</v>
      </c>
      <c r="R67" s="49">
        <v>6.1818590536135776E-4</v>
      </c>
      <c r="S67" s="49">
        <v>1.4162077104642014E-2</v>
      </c>
      <c r="T67" s="49">
        <v>4.3835000561987187E-3</v>
      </c>
      <c r="U67" s="49">
        <v>4.0182083848488252E-3</v>
      </c>
    </row>
    <row r="68" spans="1:21">
      <c r="A68" t="s">
        <v>1582</v>
      </c>
      <c r="B68" t="s">
        <v>2037</v>
      </c>
      <c r="C68" s="49">
        <v>1</v>
      </c>
      <c r="D68" s="49">
        <v>1.7899291896144767E-2</v>
      </c>
      <c r="E68" s="49">
        <v>5.4316061593795664E-2</v>
      </c>
      <c r="F68" s="49">
        <v>8.14881420703608E-3</v>
      </c>
      <c r="G68" s="49">
        <v>1.3993480948634372E-2</v>
      </c>
      <c r="H68" s="49">
        <v>4.3835000561987187E-3</v>
      </c>
      <c r="I68" s="49">
        <v>6.9433516915814314E-2</v>
      </c>
      <c r="J68" s="49">
        <v>9.3851860177587947E-3</v>
      </c>
      <c r="K68" s="49">
        <v>0.75665954816230185</v>
      </c>
      <c r="L68" s="49">
        <v>2.2648083623693381E-2</v>
      </c>
      <c r="M68" s="49">
        <v>1.6943913678768123E-2</v>
      </c>
      <c r="N68" s="49">
        <v>5.0297853208946834E-3</v>
      </c>
      <c r="O68" s="49">
        <v>7.0107901539844891E-2</v>
      </c>
      <c r="P68" s="49">
        <v>1.0340564235135439E-2</v>
      </c>
      <c r="Q68" s="49">
        <v>3.6529167134989322E-4</v>
      </c>
      <c r="R68" s="49">
        <v>6.1818590536135776E-4</v>
      </c>
      <c r="S68" s="49">
        <v>1.4162077104642014E-2</v>
      </c>
      <c r="T68" s="49">
        <v>4.3835000561987187E-3</v>
      </c>
      <c r="U68" s="49">
        <v>4.0182083848488252E-3</v>
      </c>
    </row>
    <row r="69" spans="1:21">
      <c r="A69" t="s">
        <v>125</v>
      </c>
      <c r="B69" t="s">
        <v>2044</v>
      </c>
      <c r="C69" s="49">
        <v>1</v>
      </c>
      <c r="D69" s="49">
        <v>4.81892523364486E-2</v>
      </c>
      <c r="E69" s="49">
        <v>4.6436915887850469E-2</v>
      </c>
      <c r="F69" s="49">
        <v>1.8107476635514017E-2</v>
      </c>
      <c r="G69" s="49">
        <v>2.9205607476635514E-2</v>
      </c>
      <c r="H69" s="49">
        <v>2.0443925233644859E-2</v>
      </c>
      <c r="I69" s="49">
        <v>2.27803738317757E-2</v>
      </c>
      <c r="J69" s="49">
        <v>1.4310747663551402E-2</v>
      </c>
      <c r="K69" s="49">
        <v>0.67873831775700932</v>
      </c>
      <c r="L69" s="49">
        <v>5.1401869158878503E-2</v>
      </c>
      <c r="M69" s="49">
        <v>3.7967289719626168E-3</v>
      </c>
      <c r="N69" s="49">
        <v>3.5046728971962616E-3</v>
      </c>
      <c r="O69" s="49">
        <v>0.21290887850467291</v>
      </c>
      <c r="P69" s="49">
        <v>3.6214953271028034E-2</v>
      </c>
      <c r="Q69" s="49">
        <v>0</v>
      </c>
      <c r="R69" s="49">
        <v>3.7967289719626168E-3</v>
      </c>
      <c r="S69" s="49">
        <v>3.7967289719626168E-3</v>
      </c>
      <c r="T69" s="49">
        <v>4.0887850467289715E-3</v>
      </c>
      <c r="U69" s="49">
        <v>2.3364485981308409E-3</v>
      </c>
    </row>
    <row r="70" spans="1:21">
      <c r="A70" t="s">
        <v>73</v>
      </c>
      <c r="B70" t="s">
        <v>2027</v>
      </c>
      <c r="C70" s="49">
        <v>1</v>
      </c>
      <c r="D70" s="49">
        <v>3.5550458715596332E-2</v>
      </c>
      <c r="E70" s="49">
        <v>1.7201834862385322E-2</v>
      </c>
      <c r="F70" s="49">
        <v>1.0321100917431193E-2</v>
      </c>
      <c r="G70" s="49">
        <v>4.0137614678899085E-3</v>
      </c>
      <c r="H70" s="49">
        <v>4.0137614678899085E-3</v>
      </c>
      <c r="I70" s="49">
        <v>1.6628440366972478E-2</v>
      </c>
      <c r="J70" s="49">
        <v>8.600917431192661E-3</v>
      </c>
      <c r="K70" s="49">
        <v>0.76720183486238536</v>
      </c>
      <c r="L70" s="49">
        <v>3.6123853211009173E-2</v>
      </c>
      <c r="M70" s="49">
        <v>1.1467889908256881E-3</v>
      </c>
      <c r="N70" s="49">
        <v>1.7201834862385322E-3</v>
      </c>
      <c r="O70" s="49">
        <v>0.19094036697247707</v>
      </c>
      <c r="P70" s="49">
        <v>2.0642201834862386E-2</v>
      </c>
      <c r="Q70" s="49">
        <v>0</v>
      </c>
      <c r="R70" s="49">
        <v>7.4541284403669729E-3</v>
      </c>
      <c r="S70" s="49">
        <v>2.8669724770642203E-3</v>
      </c>
      <c r="T70" s="49">
        <v>2.8669724770642203E-3</v>
      </c>
      <c r="U70" s="49">
        <v>0</v>
      </c>
    </row>
    <row r="71" spans="1:21">
      <c r="A71" t="s">
        <v>988</v>
      </c>
      <c r="B71" t="s">
        <v>2031</v>
      </c>
      <c r="C71" s="49">
        <v>1</v>
      </c>
      <c r="D71" s="49">
        <v>1.3398451306108023E-2</v>
      </c>
      <c r="E71" s="49">
        <v>0.69887221668862254</v>
      </c>
      <c r="F71" s="49">
        <v>1.5679722391800276E-2</v>
      </c>
      <c r="G71" s="49">
        <v>1.2177489316582591E-2</v>
      </c>
      <c r="H71" s="49">
        <v>3.2451884458439095E-3</v>
      </c>
      <c r="I71" s="49">
        <v>5.7835041609099379E-2</v>
      </c>
      <c r="J71" s="49">
        <v>7.6149471451980848E-3</v>
      </c>
      <c r="K71" s="49">
        <v>0.1487645792500723</v>
      </c>
      <c r="L71" s="49">
        <v>9.1250843427690131E-3</v>
      </c>
      <c r="M71" s="49">
        <v>2.5061851363943066E-3</v>
      </c>
      <c r="N71" s="49">
        <v>1.2530925681971533E-3</v>
      </c>
      <c r="O71" s="49">
        <v>7.3836069787616879E-2</v>
      </c>
      <c r="P71" s="49">
        <v>6.8759438357484815E-3</v>
      </c>
      <c r="Q71" s="49">
        <v>0</v>
      </c>
      <c r="R71" s="49">
        <v>7.0687273077788134E-4</v>
      </c>
      <c r="S71" s="49">
        <v>4.2412363846672883E-3</v>
      </c>
      <c r="T71" s="49">
        <v>2.0242264563184783E-3</v>
      </c>
      <c r="U71" s="49">
        <v>1.7671818269447033E-3</v>
      </c>
    </row>
    <row r="72" spans="1:21">
      <c r="A72" t="s">
        <v>989</v>
      </c>
      <c r="B72" t="s">
        <v>2029</v>
      </c>
      <c r="C72" s="49">
        <v>1</v>
      </c>
      <c r="D72" s="49">
        <v>6.5778159931212388E-2</v>
      </c>
      <c r="E72" s="49">
        <v>3.5683576956147892E-2</v>
      </c>
      <c r="F72" s="49">
        <v>2.2785898538263114E-2</v>
      </c>
      <c r="G72" s="49">
        <v>4.7291487532244193E-3</v>
      </c>
      <c r="H72" s="49">
        <v>7.3086844368013756E-3</v>
      </c>
      <c r="I72" s="49">
        <v>4.9441100601891656E-2</v>
      </c>
      <c r="J72" s="49">
        <v>2.4505588993981083E-2</v>
      </c>
      <c r="K72" s="49">
        <v>0.53525365434221839</v>
      </c>
      <c r="L72" s="49">
        <v>5.6749785038693032E-2</v>
      </c>
      <c r="M72" s="49">
        <v>3.0094582975064487E-3</v>
      </c>
      <c r="N72" s="49">
        <v>4.2992261392949269E-3</v>
      </c>
      <c r="O72" s="49">
        <v>0.36328460877042135</v>
      </c>
      <c r="P72" s="49">
        <v>4.9011177987962166E-2</v>
      </c>
      <c r="Q72" s="49">
        <v>4.299226139294927E-4</v>
      </c>
      <c r="R72" s="49">
        <v>8.598452278589854E-4</v>
      </c>
      <c r="S72" s="49">
        <v>2.1496130696474634E-3</v>
      </c>
      <c r="T72" s="49">
        <v>3.869303525365434E-3</v>
      </c>
      <c r="U72" s="49">
        <v>6.0189165950128975E-3</v>
      </c>
    </row>
    <row r="73" spans="1:21">
      <c r="A73" t="s">
        <v>990</v>
      </c>
      <c r="B73" t="s">
        <v>2045</v>
      </c>
      <c r="C73" s="49">
        <v>1</v>
      </c>
      <c r="D73" s="49">
        <v>0.11614173228346457</v>
      </c>
      <c r="E73" s="49">
        <v>0</v>
      </c>
      <c r="F73" s="49">
        <v>1.7716535433070866E-2</v>
      </c>
      <c r="G73" s="49">
        <v>0</v>
      </c>
      <c r="H73" s="49">
        <v>1.7716535433070866E-2</v>
      </c>
      <c r="I73" s="49">
        <v>1.1811023622047244E-2</v>
      </c>
      <c r="J73" s="49">
        <v>1.1811023622047244E-2</v>
      </c>
      <c r="K73" s="49">
        <v>0.86614173228346458</v>
      </c>
      <c r="L73" s="49">
        <v>0.11220472440944881</v>
      </c>
      <c r="M73" s="49">
        <v>0</v>
      </c>
      <c r="N73" s="49">
        <v>1.7716535433070866E-2</v>
      </c>
      <c r="O73" s="49">
        <v>0.1141732283464567</v>
      </c>
      <c r="P73" s="49">
        <v>3.1496062992125984E-2</v>
      </c>
      <c r="Q73" s="49">
        <v>0</v>
      </c>
      <c r="R73" s="49">
        <v>1.7716535433070866E-2</v>
      </c>
      <c r="S73" s="49">
        <v>7.874015748031496E-3</v>
      </c>
      <c r="T73" s="49">
        <v>7.874015748031496E-3</v>
      </c>
      <c r="U73" s="49">
        <v>0</v>
      </c>
    </row>
    <row r="74" spans="1:21">
      <c r="A74" t="s">
        <v>9</v>
      </c>
      <c r="B74" t="s">
        <v>2045</v>
      </c>
      <c r="C74" s="49">
        <v>1</v>
      </c>
      <c r="D74" s="49">
        <v>0.11614173228346457</v>
      </c>
      <c r="E74" s="49">
        <v>0</v>
      </c>
      <c r="F74" s="49">
        <v>1.7716535433070866E-2</v>
      </c>
      <c r="G74" s="49">
        <v>0</v>
      </c>
      <c r="H74" s="49">
        <v>1.7716535433070866E-2</v>
      </c>
      <c r="I74" s="49">
        <v>1.1811023622047244E-2</v>
      </c>
      <c r="J74" s="49">
        <v>1.1811023622047244E-2</v>
      </c>
      <c r="K74" s="49">
        <v>0.86614173228346458</v>
      </c>
      <c r="L74" s="49">
        <v>0.11220472440944881</v>
      </c>
      <c r="M74" s="49">
        <v>0</v>
      </c>
      <c r="N74" s="49">
        <v>1.7716535433070866E-2</v>
      </c>
      <c r="O74" s="49">
        <v>0.1141732283464567</v>
      </c>
      <c r="P74" s="49">
        <v>3.1496062992125984E-2</v>
      </c>
      <c r="Q74" s="49">
        <v>0</v>
      </c>
      <c r="R74" s="49">
        <v>1.7716535433070866E-2</v>
      </c>
      <c r="S74" s="49">
        <v>7.874015748031496E-3</v>
      </c>
      <c r="T74" s="49">
        <v>7.874015748031496E-3</v>
      </c>
      <c r="U74" s="49">
        <v>0</v>
      </c>
    </row>
    <row r="75" spans="1:21">
      <c r="A75" t="s">
        <v>255</v>
      </c>
      <c r="B75" t="s">
        <v>2045</v>
      </c>
      <c r="C75" s="49">
        <v>1</v>
      </c>
      <c r="D75" s="49">
        <v>0.11614173228346457</v>
      </c>
      <c r="E75" s="49">
        <v>0</v>
      </c>
      <c r="F75" s="49">
        <v>1.7716535433070866E-2</v>
      </c>
      <c r="G75" s="49">
        <v>0</v>
      </c>
      <c r="H75" s="49">
        <v>1.7716535433070866E-2</v>
      </c>
      <c r="I75" s="49">
        <v>1.1811023622047244E-2</v>
      </c>
      <c r="J75" s="49">
        <v>1.1811023622047244E-2</v>
      </c>
      <c r="K75" s="49">
        <v>0.86614173228346458</v>
      </c>
      <c r="L75" s="49">
        <v>0.11220472440944881</v>
      </c>
      <c r="M75" s="49">
        <v>0</v>
      </c>
      <c r="N75" s="49">
        <v>1.7716535433070866E-2</v>
      </c>
      <c r="O75" s="49">
        <v>0.1141732283464567</v>
      </c>
      <c r="P75" s="49">
        <v>3.1496062992125984E-2</v>
      </c>
      <c r="Q75" s="49">
        <v>0</v>
      </c>
      <c r="R75" s="49">
        <v>1.7716535433070866E-2</v>
      </c>
      <c r="S75" s="49">
        <v>7.874015748031496E-3</v>
      </c>
      <c r="T75" s="49">
        <v>7.874015748031496E-3</v>
      </c>
      <c r="U75" s="49">
        <v>0</v>
      </c>
    </row>
    <row r="76" spans="1:21">
      <c r="A76" t="s">
        <v>991</v>
      </c>
      <c r="B76" t="s">
        <v>2024</v>
      </c>
      <c r="C76" s="49">
        <v>1</v>
      </c>
      <c r="D76" s="49">
        <v>3.9991113085980891E-2</v>
      </c>
      <c r="E76" s="49">
        <v>3.4436791824039102E-2</v>
      </c>
      <c r="F76" s="49">
        <v>1.5329926682959343E-2</v>
      </c>
      <c r="G76" s="49">
        <v>4.8878027105087761E-3</v>
      </c>
      <c r="H76" s="49">
        <v>4.6656298600311046E-3</v>
      </c>
      <c r="I76" s="49">
        <v>8.0648744723394797E-2</v>
      </c>
      <c r="J76" s="49">
        <v>2.7771606309708954E-2</v>
      </c>
      <c r="K76" s="49">
        <v>0.80493223728060426</v>
      </c>
      <c r="L76" s="49">
        <v>4.9988891357476119E-2</v>
      </c>
      <c r="M76" s="49">
        <v>0</v>
      </c>
      <c r="N76" s="49">
        <v>3.3325927571650742E-3</v>
      </c>
      <c r="O76" s="49">
        <v>5.6431904021328597E-2</v>
      </c>
      <c r="P76" s="49">
        <v>2.043990224394579E-2</v>
      </c>
      <c r="Q76" s="49">
        <v>0</v>
      </c>
      <c r="R76" s="49">
        <v>3.3325927571650742E-3</v>
      </c>
      <c r="S76" s="49">
        <v>1.7107309486780714E-2</v>
      </c>
      <c r="T76" s="49">
        <v>1.0219951121972895E-2</v>
      </c>
      <c r="U76" s="49">
        <v>1.5552099533437014E-3</v>
      </c>
    </row>
    <row r="77" spans="1:21">
      <c r="A77" t="s">
        <v>1388</v>
      </c>
      <c r="B77" t="s">
        <v>2044</v>
      </c>
      <c r="C77" s="49">
        <v>1</v>
      </c>
      <c r="D77" s="49">
        <v>4.81892523364486E-2</v>
      </c>
      <c r="E77" s="49">
        <v>4.6436915887850469E-2</v>
      </c>
      <c r="F77" s="49">
        <v>1.8107476635514017E-2</v>
      </c>
      <c r="G77" s="49">
        <v>2.9205607476635514E-2</v>
      </c>
      <c r="H77" s="49">
        <v>2.0443925233644859E-2</v>
      </c>
      <c r="I77" s="49">
        <v>2.27803738317757E-2</v>
      </c>
      <c r="J77" s="49">
        <v>1.4310747663551402E-2</v>
      </c>
      <c r="K77" s="49">
        <v>0.67873831775700932</v>
      </c>
      <c r="L77" s="49">
        <v>5.1401869158878503E-2</v>
      </c>
      <c r="M77" s="49">
        <v>3.7967289719626168E-3</v>
      </c>
      <c r="N77" s="49">
        <v>3.5046728971962616E-3</v>
      </c>
      <c r="O77" s="49">
        <v>0.21290887850467291</v>
      </c>
      <c r="P77" s="49">
        <v>3.6214953271028034E-2</v>
      </c>
      <c r="Q77" s="49">
        <v>0</v>
      </c>
      <c r="R77" s="49">
        <v>3.7967289719626168E-3</v>
      </c>
      <c r="S77" s="49">
        <v>3.7967289719626168E-3</v>
      </c>
      <c r="T77" s="49">
        <v>4.0887850467289715E-3</v>
      </c>
      <c r="U77" s="49">
        <v>2.3364485981308409E-3</v>
      </c>
    </row>
    <row r="78" spans="1:21">
      <c r="A78" t="s">
        <v>10</v>
      </c>
      <c r="B78" t="s">
        <v>2044</v>
      </c>
      <c r="C78" s="49">
        <v>1</v>
      </c>
      <c r="D78" s="49">
        <v>4.81892523364486E-2</v>
      </c>
      <c r="E78" s="49">
        <v>4.6436915887850469E-2</v>
      </c>
      <c r="F78" s="49">
        <v>1.8107476635514017E-2</v>
      </c>
      <c r="G78" s="49">
        <v>2.9205607476635514E-2</v>
      </c>
      <c r="H78" s="49">
        <v>2.0443925233644859E-2</v>
      </c>
      <c r="I78" s="49">
        <v>2.27803738317757E-2</v>
      </c>
      <c r="J78" s="49">
        <v>1.4310747663551402E-2</v>
      </c>
      <c r="K78" s="49">
        <v>0.67873831775700932</v>
      </c>
      <c r="L78" s="49">
        <v>5.1401869158878503E-2</v>
      </c>
      <c r="M78" s="49">
        <v>3.7967289719626168E-3</v>
      </c>
      <c r="N78" s="49">
        <v>3.5046728971962616E-3</v>
      </c>
      <c r="O78" s="49">
        <v>0.21290887850467291</v>
      </c>
      <c r="P78" s="49">
        <v>3.6214953271028034E-2</v>
      </c>
      <c r="Q78" s="49">
        <v>0</v>
      </c>
      <c r="R78" s="49">
        <v>3.7967289719626168E-3</v>
      </c>
      <c r="S78" s="49">
        <v>3.7967289719626168E-3</v>
      </c>
      <c r="T78" s="49">
        <v>4.0887850467289715E-3</v>
      </c>
      <c r="U78" s="49">
        <v>2.3364485981308409E-3</v>
      </c>
    </row>
    <row r="79" spans="1:21">
      <c r="A79" t="s">
        <v>992</v>
      </c>
      <c r="B79" t="s">
        <v>2044</v>
      </c>
      <c r="C79" s="49">
        <v>1</v>
      </c>
      <c r="D79" s="49">
        <v>4.81892523364486E-2</v>
      </c>
      <c r="E79" s="49">
        <v>4.6436915887850469E-2</v>
      </c>
      <c r="F79" s="49">
        <v>1.8107476635514017E-2</v>
      </c>
      <c r="G79" s="49">
        <v>2.9205607476635514E-2</v>
      </c>
      <c r="H79" s="49">
        <v>2.0443925233644859E-2</v>
      </c>
      <c r="I79" s="49">
        <v>2.27803738317757E-2</v>
      </c>
      <c r="J79" s="49">
        <v>1.4310747663551402E-2</v>
      </c>
      <c r="K79" s="49">
        <v>0.67873831775700932</v>
      </c>
      <c r="L79" s="49">
        <v>5.1401869158878503E-2</v>
      </c>
      <c r="M79" s="49">
        <v>3.7967289719626168E-3</v>
      </c>
      <c r="N79" s="49">
        <v>3.5046728971962616E-3</v>
      </c>
      <c r="O79" s="49">
        <v>0.21290887850467291</v>
      </c>
      <c r="P79" s="49">
        <v>3.6214953271028034E-2</v>
      </c>
      <c r="Q79" s="49">
        <v>0</v>
      </c>
      <c r="R79" s="49">
        <v>3.7967289719626168E-3</v>
      </c>
      <c r="S79" s="49">
        <v>3.7967289719626168E-3</v>
      </c>
      <c r="T79" s="49">
        <v>4.0887850467289715E-3</v>
      </c>
      <c r="U79" s="49">
        <v>2.3364485981308409E-3</v>
      </c>
    </row>
    <row r="80" spans="1:21">
      <c r="A80" t="s">
        <v>188</v>
      </c>
      <c r="B80" t="s">
        <v>2025</v>
      </c>
      <c r="C80" s="49">
        <v>1</v>
      </c>
      <c r="D80" s="49">
        <v>3.4419458467186782E-2</v>
      </c>
      <c r="E80" s="49">
        <v>5.9660394676457089E-3</v>
      </c>
      <c r="F80" s="49">
        <v>4.8187241854061496E-3</v>
      </c>
      <c r="G80" s="49">
        <v>1.1473152822395595E-3</v>
      </c>
      <c r="H80" s="49">
        <v>1.8357044515832951E-3</v>
      </c>
      <c r="I80" s="49">
        <v>1.7668655346489214E-2</v>
      </c>
      <c r="J80" s="49">
        <v>1.0325837540156035E-2</v>
      </c>
      <c r="K80" s="49">
        <v>0.85589720055071139</v>
      </c>
      <c r="L80" s="49">
        <v>3.1895364846259752E-2</v>
      </c>
      <c r="M80" s="49">
        <v>2.2946305644791189E-4</v>
      </c>
      <c r="N80" s="49">
        <v>4.5892611289582378E-4</v>
      </c>
      <c r="O80" s="49">
        <v>0.11656723267553924</v>
      </c>
      <c r="P80" s="49">
        <v>1.6291877007801745E-2</v>
      </c>
      <c r="Q80" s="49">
        <v>0</v>
      </c>
      <c r="R80" s="49">
        <v>3.4419458467186783E-3</v>
      </c>
      <c r="S80" s="49">
        <v>2.5240936209270305E-3</v>
      </c>
      <c r="T80" s="49">
        <v>1.1473152822395595E-3</v>
      </c>
      <c r="U80" s="49">
        <v>0</v>
      </c>
    </row>
    <row r="81" spans="1:21">
      <c r="A81" t="s">
        <v>993</v>
      </c>
      <c r="B81" t="s">
        <v>2040</v>
      </c>
      <c r="C81" s="49">
        <v>1</v>
      </c>
      <c r="D81" s="49">
        <v>7.6134894684814847E-3</v>
      </c>
      <c r="E81" s="49">
        <v>0.82159151395331154</v>
      </c>
      <c r="F81" s="49">
        <v>1.093072770131549E-2</v>
      </c>
      <c r="G81" s="49">
        <v>8.5164626264162425E-3</v>
      </c>
      <c r="H81" s="49">
        <v>1.5683218006235268E-3</v>
      </c>
      <c r="I81" s="49">
        <v>0.13469508022203636</v>
      </c>
      <c r="J81" s="49">
        <v>7.3568549920158162E-3</v>
      </c>
      <c r="K81" s="49">
        <v>2.3097102881910123E-2</v>
      </c>
      <c r="L81" s="49">
        <v>3.6879324766177475E-3</v>
      </c>
      <c r="M81" s="49">
        <v>2.1861455402630978E-4</v>
      </c>
      <c r="N81" s="49">
        <v>2.4712949585582847E-4</v>
      </c>
      <c r="O81" s="49">
        <v>6.2067523382252302E-3</v>
      </c>
      <c r="P81" s="49">
        <v>1.777431374039997E-3</v>
      </c>
      <c r="Q81" s="49">
        <v>0</v>
      </c>
      <c r="R81" s="49">
        <v>2.0910957341647022E-4</v>
      </c>
      <c r="S81" s="49">
        <v>3.146148581856893E-3</v>
      </c>
      <c r="T81" s="49">
        <v>1.2356474792791423E-3</v>
      </c>
      <c r="U81" s="49">
        <v>2.5283248422173217E-3</v>
      </c>
    </row>
    <row r="82" spans="1:21">
      <c r="A82" t="s">
        <v>1521</v>
      </c>
      <c r="B82" t="s">
        <v>2027</v>
      </c>
      <c r="C82" s="49">
        <v>1</v>
      </c>
      <c r="D82" s="49">
        <v>3.5550458715596332E-2</v>
      </c>
      <c r="E82" s="49">
        <v>1.7201834862385322E-2</v>
      </c>
      <c r="F82" s="49">
        <v>1.0321100917431193E-2</v>
      </c>
      <c r="G82" s="49">
        <v>4.0137614678899085E-3</v>
      </c>
      <c r="H82" s="49">
        <v>4.0137614678899085E-3</v>
      </c>
      <c r="I82" s="49">
        <v>1.6628440366972478E-2</v>
      </c>
      <c r="J82" s="49">
        <v>8.600917431192661E-3</v>
      </c>
      <c r="K82" s="49">
        <v>0.76720183486238536</v>
      </c>
      <c r="L82" s="49">
        <v>3.6123853211009173E-2</v>
      </c>
      <c r="M82" s="49">
        <v>1.1467889908256881E-3</v>
      </c>
      <c r="N82" s="49">
        <v>1.7201834862385322E-3</v>
      </c>
      <c r="O82" s="49">
        <v>0.19094036697247707</v>
      </c>
      <c r="P82" s="49">
        <v>2.0642201834862386E-2</v>
      </c>
      <c r="Q82" s="49">
        <v>0</v>
      </c>
      <c r="R82" s="49">
        <v>7.4541284403669729E-3</v>
      </c>
      <c r="S82" s="49">
        <v>2.8669724770642203E-3</v>
      </c>
      <c r="T82" s="49">
        <v>2.8669724770642203E-3</v>
      </c>
      <c r="U82" s="49">
        <v>0</v>
      </c>
    </row>
    <row r="83" spans="1:21">
      <c r="A83" t="s">
        <v>132</v>
      </c>
      <c r="B83" t="s">
        <v>2028</v>
      </c>
      <c r="C83" s="49">
        <v>1</v>
      </c>
      <c r="D83" s="49">
        <v>3.9883268482490269E-2</v>
      </c>
      <c r="E83" s="49">
        <v>4.8638132295719845E-3</v>
      </c>
      <c r="F83" s="49">
        <v>5.8365758754863814E-3</v>
      </c>
      <c r="G83" s="49">
        <v>9.727626459143969E-4</v>
      </c>
      <c r="H83" s="49">
        <v>1.4591439688715954E-3</v>
      </c>
      <c r="I83" s="49">
        <v>8.7548638132295721E-3</v>
      </c>
      <c r="J83" s="49">
        <v>5.8365758754863814E-3</v>
      </c>
      <c r="K83" s="49">
        <v>0.51021400778210113</v>
      </c>
      <c r="L83" s="49">
        <v>2.6750972762645913E-2</v>
      </c>
      <c r="M83" s="49">
        <v>7.7821011673151752E-3</v>
      </c>
      <c r="N83" s="49">
        <v>5.350194552529183E-3</v>
      </c>
      <c r="O83" s="49">
        <v>0.46303501945525294</v>
      </c>
      <c r="P83" s="49">
        <v>3.1614785992217898E-2</v>
      </c>
      <c r="Q83" s="49">
        <v>9.727626459143969E-4</v>
      </c>
      <c r="R83" s="49">
        <v>1.4591439688715954E-3</v>
      </c>
      <c r="S83" s="49">
        <v>1.4591439688715954E-3</v>
      </c>
      <c r="T83" s="49">
        <v>1.9455252918287938E-3</v>
      </c>
      <c r="U83" s="49">
        <v>1.9455252918287938E-3</v>
      </c>
    </row>
    <row r="84" spans="1:21">
      <c r="A84" t="s">
        <v>994</v>
      </c>
      <c r="B84" t="s">
        <v>2028</v>
      </c>
      <c r="C84" s="49">
        <v>1</v>
      </c>
      <c r="D84" s="49">
        <v>3.9883268482490269E-2</v>
      </c>
      <c r="E84" s="49">
        <v>4.8638132295719845E-3</v>
      </c>
      <c r="F84" s="49">
        <v>5.8365758754863814E-3</v>
      </c>
      <c r="G84" s="49">
        <v>9.727626459143969E-4</v>
      </c>
      <c r="H84" s="49">
        <v>1.4591439688715954E-3</v>
      </c>
      <c r="I84" s="49">
        <v>8.7548638132295721E-3</v>
      </c>
      <c r="J84" s="49">
        <v>5.8365758754863814E-3</v>
      </c>
      <c r="K84" s="49">
        <v>0.51021400778210113</v>
      </c>
      <c r="L84" s="49">
        <v>2.6750972762645913E-2</v>
      </c>
      <c r="M84" s="49">
        <v>7.7821011673151752E-3</v>
      </c>
      <c r="N84" s="49">
        <v>5.350194552529183E-3</v>
      </c>
      <c r="O84" s="49">
        <v>0.46303501945525294</v>
      </c>
      <c r="P84" s="49">
        <v>3.1614785992217898E-2</v>
      </c>
      <c r="Q84" s="49">
        <v>9.727626459143969E-4</v>
      </c>
      <c r="R84" s="49">
        <v>1.4591439688715954E-3</v>
      </c>
      <c r="S84" s="49">
        <v>1.4591439688715954E-3</v>
      </c>
      <c r="T84" s="49">
        <v>1.9455252918287938E-3</v>
      </c>
      <c r="U84" s="49">
        <v>1.9455252918287938E-3</v>
      </c>
    </row>
    <row r="85" spans="1:21">
      <c r="A85" t="s">
        <v>2046</v>
      </c>
      <c r="B85" t="s">
        <v>2031</v>
      </c>
      <c r="C85" s="49">
        <v>1</v>
      </c>
      <c r="D85" s="49">
        <v>1.3398451306108023E-2</v>
      </c>
      <c r="E85" s="49">
        <v>0.69887221668862254</v>
      </c>
      <c r="F85" s="49">
        <v>1.5679722391800276E-2</v>
      </c>
      <c r="G85" s="49">
        <v>1.2177489316582591E-2</v>
      </c>
      <c r="H85" s="49">
        <v>3.2451884458439095E-3</v>
      </c>
      <c r="I85" s="49">
        <v>5.7835041609099379E-2</v>
      </c>
      <c r="J85" s="49">
        <v>7.6149471451980848E-3</v>
      </c>
      <c r="K85" s="49">
        <v>0.1487645792500723</v>
      </c>
      <c r="L85" s="49">
        <v>9.1250843427690131E-3</v>
      </c>
      <c r="M85" s="49">
        <v>2.5061851363943066E-3</v>
      </c>
      <c r="N85" s="49">
        <v>1.2530925681971533E-3</v>
      </c>
      <c r="O85" s="49">
        <v>7.3836069787616879E-2</v>
      </c>
      <c r="P85" s="49">
        <v>6.8759438357484815E-3</v>
      </c>
      <c r="Q85" s="49">
        <v>0</v>
      </c>
      <c r="R85" s="49">
        <v>7.0687273077788134E-4</v>
      </c>
      <c r="S85" s="49">
        <v>4.2412363846672883E-3</v>
      </c>
      <c r="T85" s="49">
        <v>2.0242264563184783E-3</v>
      </c>
      <c r="U85" s="49">
        <v>1.7671818269447033E-3</v>
      </c>
    </row>
    <row r="86" spans="1:21">
      <c r="A86" t="s">
        <v>2047</v>
      </c>
      <c r="B86" t="s">
        <v>2036</v>
      </c>
      <c r="C86" s="49">
        <v>1</v>
      </c>
      <c r="D86" s="49">
        <v>1.7770063641623274E-2</v>
      </c>
      <c r="E86" s="49">
        <v>2.3473014298702372E-2</v>
      </c>
      <c r="F86" s="49">
        <v>7.8518885858335392E-3</v>
      </c>
      <c r="G86" s="49">
        <v>2.99198280849657E-2</v>
      </c>
      <c r="H86" s="49">
        <v>1.008347797338623E-2</v>
      </c>
      <c r="I86" s="49">
        <v>0.22555583106041821</v>
      </c>
      <c r="J86" s="49">
        <v>2.1406727828746176E-2</v>
      </c>
      <c r="K86" s="49">
        <v>0.67079923960657906</v>
      </c>
      <c r="L86" s="49">
        <v>2.6448466815439293E-2</v>
      </c>
      <c r="M86" s="49">
        <v>1.157120423175469E-3</v>
      </c>
      <c r="N86" s="49">
        <v>1.983635011157947E-3</v>
      </c>
      <c r="O86" s="49">
        <v>3.3473840813290356E-2</v>
      </c>
      <c r="P86" s="49">
        <v>1.157120423175469E-2</v>
      </c>
      <c r="Q86" s="49">
        <v>0</v>
      </c>
      <c r="R86" s="49">
        <v>1.6530291759649558E-3</v>
      </c>
      <c r="S86" s="49">
        <v>1.0166129432184479E-2</v>
      </c>
      <c r="T86" s="49">
        <v>5.0417389866931148E-3</v>
      </c>
      <c r="U86" s="49">
        <v>5.4549962806843544E-3</v>
      </c>
    </row>
    <row r="87" spans="1:21">
      <c r="A87" t="s">
        <v>2048</v>
      </c>
      <c r="B87" t="s">
        <v>2049</v>
      </c>
      <c r="C87" s="49">
        <v>1</v>
      </c>
      <c r="D87" s="49">
        <v>4.4738323016319637E-2</v>
      </c>
      <c r="E87" s="49">
        <v>1.8851997749015192E-2</v>
      </c>
      <c r="F87" s="49">
        <v>1.2661789532920653E-2</v>
      </c>
      <c r="G87" s="49">
        <v>5.0365785030951044E-2</v>
      </c>
      <c r="H87" s="49">
        <v>2.2228474957794037E-2</v>
      </c>
      <c r="I87" s="49">
        <v>0.30050647158131683</v>
      </c>
      <c r="J87" s="49">
        <v>4.0236353404614518E-2</v>
      </c>
      <c r="K87" s="49">
        <v>0.56218345526167701</v>
      </c>
      <c r="L87" s="49">
        <v>4.6426561620709059E-2</v>
      </c>
      <c r="M87" s="49">
        <v>1.4068655036578502E-3</v>
      </c>
      <c r="N87" s="49">
        <v>2.8137310073157004E-3</v>
      </c>
      <c r="O87" s="49">
        <v>5.9369724254361281E-2</v>
      </c>
      <c r="P87" s="49">
        <v>1.7726505346088915E-2</v>
      </c>
      <c r="Q87" s="49">
        <v>0</v>
      </c>
      <c r="R87" s="49">
        <v>3.6578503095104106E-3</v>
      </c>
      <c r="S87" s="49">
        <v>2.5323579065841305E-3</v>
      </c>
      <c r="T87" s="49">
        <v>2.2509848058525606E-3</v>
      </c>
      <c r="U87" s="49">
        <v>4.7833427124366907E-3</v>
      </c>
    </row>
    <row r="88" spans="1:21">
      <c r="A88" t="s">
        <v>2050</v>
      </c>
      <c r="B88" t="s">
        <v>2051</v>
      </c>
      <c r="C88" s="49">
        <v>1</v>
      </c>
      <c r="D88" s="49">
        <v>7.7458659704090507E-2</v>
      </c>
      <c r="E88" s="49">
        <v>2.0887728459530026E-2</v>
      </c>
      <c r="F88" s="49">
        <v>2.1758050478677109E-2</v>
      </c>
      <c r="G88" s="49">
        <v>1.7406440382941688E-3</v>
      </c>
      <c r="H88" s="49">
        <v>3.4812880765883376E-3</v>
      </c>
      <c r="I88" s="49">
        <v>0.35422106179286333</v>
      </c>
      <c r="J88" s="49">
        <v>6.6144473455178418E-2</v>
      </c>
      <c r="K88" s="49">
        <v>0.36727589208006961</v>
      </c>
      <c r="L88" s="49">
        <v>6.7885117493472591E-2</v>
      </c>
      <c r="M88" s="49">
        <v>0</v>
      </c>
      <c r="N88" s="49">
        <v>7.832898172323759E-3</v>
      </c>
      <c r="O88" s="49">
        <v>0.24281984334203655</v>
      </c>
      <c r="P88" s="49">
        <v>6.4403829416884245E-2</v>
      </c>
      <c r="Q88" s="49">
        <v>0</v>
      </c>
      <c r="R88" s="49">
        <v>7.832898172323759E-3</v>
      </c>
      <c r="S88" s="49">
        <v>1.0443864229765013E-2</v>
      </c>
      <c r="T88" s="49">
        <v>1.392515230635335E-2</v>
      </c>
      <c r="U88" s="49">
        <v>2.6109660574412533E-3</v>
      </c>
    </row>
    <row r="89" spans="1:21">
      <c r="A89" t="s">
        <v>2052</v>
      </c>
      <c r="B89" t="s">
        <v>2043</v>
      </c>
      <c r="C89" s="49">
        <v>1</v>
      </c>
      <c r="D89" s="49">
        <v>0.16535433070866143</v>
      </c>
      <c r="E89" s="49">
        <v>3.937007874015748E-2</v>
      </c>
      <c r="F89" s="49">
        <v>4.3307086614173228E-2</v>
      </c>
      <c r="G89" s="49">
        <v>3.937007874015748E-3</v>
      </c>
      <c r="H89" s="49">
        <v>1.1811023622047244E-2</v>
      </c>
      <c r="I89" s="49">
        <v>4.3307086614173228E-2</v>
      </c>
      <c r="J89" s="49">
        <v>3.1496062992125984E-2</v>
      </c>
      <c r="K89" s="49">
        <v>0.77952755905511806</v>
      </c>
      <c r="L89" s="49">
        <v>0.14173228346456693</v>
      </c>
      <c r="M89" s="49">
        <v>0</v>
      </c>
      <c r="N89" s="49">
        <v>3.5433070866141732E-2</v>
      </c>
      <c r="O89" s="49">
        <v>0.12992125984251968</v>
      </c>
      <c r="P89" s="49">
        <v>5.905511811023622E-2</v>
      </c>
      <c r="Q89" s="49">
        <v>0</v>
      </c>
      <c r="R89" s="49">
        <v>3.5433070866141732E-2</v>
      </c>
      <c r="S89" s="49">
        <v>3.937007874015748E-3</v>
      </c>
      <c r="T89" s="49">
        <v>7.874015748031496E-3</v>
      </c>
      <c r="U89" s="49">
        <v>0</v>
      </c>
    </row>
    <row r="90" spans="1:21">
      <c r="A90" t="s">
        <v>995</v>
      </c>
      <c r="B90" t="s">
        <v>2033</v>
      </c>
      <c r="C90" s="49">
        <v>1</v>
      </c>
      <c r="D90" s="49">
        <v>2.0257826887661142E-2</v>
      </c>
      <c r="E90" s="49">
        <v>0.46183241252302026</v>
      </c>
      <c r="F90" s="49">
        <v>1.9843462246777164E-2</v>
      </c>
      <c r="G90" s="49">
        <v>4.2495395948434621E-2</v>
      </c>
      <c r="H90" s="49">
        <v>5.6629834254143642E-3</v>
      </c>
      <c r="I90" s="49">
        <v>6.3720073664825044E-2</v>
      </c>
      <c r="J90" s="49">
        <v>8.0570902394106816E-3</v>
      </c>
      <c r="K90" s="49">
        <v>0.30441988950276244</v>
      </c>
      <c r="L90" s="49">
        <v>1.6022099447513812E-2</v>
      </c>
      <c r="M90" s="49">
        <v>3.2228360957642726E-3</v>
      </c>
      <c r="N90" s="49">
        <v>1.4732965009208103E-3</v>
      </c>
      <c r="O90" s="49">
        <v>0.11754143646408839</v>
      </c>
      <c r="P90" s="49">
        <v>1.3305709023941069E-2</v>
      </c>
      <c r="Q90" s="49">
        <v>0</v>
      </c>
      <c r="R90" s="49">
        <v>1.0128913443830571E-3</v>
      </c>
      <c r="S90" s="49">
        <v>4.9723756906077344E-3</v>
      </c>
      <c r="T90" s="49">
        <v>2.2559852670349908E-3</v>
      </c>
      <c r="U90" s="49">
        <v>1.7955801104972376E-3</v>
      </c>
    </row>
    <row r="91" spans="1:21">
      <c r="A91" t="s">
        <v>996</v>
      </c>
      <c r="B91" t="s">
        <v>2030</v>
      </c>
      <c r="C91" s="49">
        <v>1</v>
      </c>
      <c r="D91" s="49">
        <v>4.5556385362210607E-2</v>
      </c>
      <c r="E91" s="49">
        <v>1.6430171769977596E-2</v>
      </c>
      <c r="F91" s="49">
        <v>1.2696041822255415E-2</v>
      </c>
      <c r="G91" s="49">
        <v>0</v>
      </c>
      <c r="H91" s="49">
        <v>9.7087378640776691E-3</v>
      </c>
      <c r="I91" s="49">
        <v>1.2696041822255415E-2</v>
      </c>
      <c r="J91" s="49">
        <v>1.0455563853622106E-2</v>
      </c>
      <c r="K91" s="49">
        <v>0.85287528005974611</v>
      </c>
      <c r="L91" s="49">
        <v>4.8543689320388349E-2</v>
      </c>
      <c r="M91" s="49">
        <v>0</v>
      </c>
      <c r="N91" s="49">
        <v>9.7087378640776691E-3</v>
      </c>
      <c r="O91" s="49">
        <v>0.11277072442120986</v>
      </c>
      <c r="P91" s="49">
        <v>2.3898431665421958E-2</v>
      </c>
      <c r="Q91" s="49">
        <v>2.2404779686333084E-3</v>
      </c>
      <c r="R91" s="49">
        <v>4.4809559372666168E-3</v>
      </c>
      <c r="S91" s="49">
        <v>2.9873039581777448E-3</v>
      </c>
      <c r="T91" s="49">
        <v>5.2277819268110532E-3</v>
      </c>
      <c r="U91" s="49">
        <v>0</v>
      </c>
    </row>
    <row r="92" spans="1:21">
      <c r="A92" t="s">
        <v>997</v>
      </c>
      <c r="B92" t="s">
        <v>2034</v>
      </c>
      <c r="C92" s="49">
        <v>1</v>
      </c>
      <c r="D92" s="49">
        <v>0.12011173184357542</v>
      </c>
      <c r="E92" s="49">
        <v>1.3966480446927373E-2</v>
      </c>
      <c r="F92" s="49">
        <v>2.23463687150838E-2</v>
      </c>
      <c r="G92" s="49">
        <v>0</v>
      </c>
      <c r="H92" s="49">
        <v>1.2569832402234637E-2</v>
      </c>
      <c r="I92" s="49">
        <v>3.6312849162011177E-2</v>
      </c>
      <c r="J92" s="49">
        <v>2.7932960893854747E-2</v>
      </c>
      <c r="K92" s="49">
        <v>0.56564245810055869</v>
      </c>
      <c r="L92" s="49">
        <v>0.11312849162011174</v>
      </c>
      <c r="M92" s="49">
        <v>0.15502793296089384</v>
      </c>
      <c r="N92" s="49">
        <v>6.4245810055865923E-2</v>
      </c>
      <c r="O92" s="49">
        <v>0.22905027932960895</v>
      </c>
      <c r="P92" s="49">
        <v>7.2625698324022353E-2</v>
      </c>
      <c r="Q92" s="49">
        <v>0</v>
      </c>
      <c r="R92" s="49">
        <v>1.2569832402234637E-2</v>
      </c>
      <c r="S92" s="49">
        <v>0</v>
      </c>
      <c r="T92" s="49">
        <v>1.2569832402234637E-2</v>
      </c>
      <c r="U92" s="49">
        <v>0</v>
      </c>
    </row>
    <row r="93" spans="1:21">
      <c r="A93" t="s">
        <v>12</v>
      </c>
      <c r="B93" t="s">
        <v>2039</v>
      </c>
      <c r="C93" s="49">
        <v>1</v>
      </c>
      <c r="D93" s="49">
        <v>4.2857142857142858E-2</v>
      </c>
      <c r="E93" s="49">
        <v>6.2500000000000003E-3</v>
      </c>
      <c r="F93" s="49">
        <v>4.0178571428571425E-3</v>
      </c>
      <c r="G93" s="49">
        <v>3.2589285714285716E-2</v>
      </c>
      <c r="H93" s="49">
        <v>1.1607142857142858E-2</v>
      </c>
      <c r="I93" s="49">
        <v>0.1299107142857143</v>
      </c>
      <c r="J93" s="49">
        <v>2.5000000000000001E-2</v>
      </c>
      <c r="K93" s="49">
        <v>0.48303571428571429</v>
      </c>
      <c r="L93" s="49">
        <v>4.1517857142857141E-2</v>
      </c>
      <c r="M93" s="49">
        <v>8.9285714285714283E-4</v>
      </c>
      <c r="N93" s="49">
        <v>1.3392857142857143E-3</v>
      </c>
      <c r="O93" s="49">
        <v>0.34241071428571429</v>
      </c>
      <c r="P93" s="49">
        <v>3.7946428571428568E-2</v>
      </c>
      <c r="Q93" s="49">
        <v>0</v>
      </c>
      <c r="R93" s="49">
        <v>5.8035714285714288E-3</v>
      </c>
      <c r="S93" s="49">
        <v>4.0178571428571425E-3</v>
      </c>
      <c r="T93" s="49">
        <v>2.6785714285714286E-3</v>
      </c>
      <c r="U93" s="49">
        <v>8.9285714285714283E-4</v>
      </c>
    </row>
    <row r="94" spans="1:21">
      <c r="A94" t="s">
        <v>1583</v>
      </c>
      <c r="B94" t="s">
        <v>2033</v>
      </c>
      <c r="C94" s="49">
        <v>1</v>
      </c>
      <c r="D94" s="49">
        <v>2.0257826887661142E-2</v>
      </c>
      <c r="E94" s="49">
        <v>0.46183241252302026</v>
      </c>
      <c r="F94" s="49">
        <v>1.9843462246777164E-2</v>
      </c>
      <c r="G94" s="49">
        <v>4.2495395948434621E-2</v>
      </c>
      <c r="H94" s="49">
        <v>5.6629834254143642E-3</v>
      </c>
      <c r="I94" s="49">
        <v>6.3720073664825044E-2</v>
      </c>
      <c r="J94" s="49">
        <v>8.0570902394106816E-3</v>
      </c>
      <c r="K94" s="49">
        <v>0.30441988950276244</v>
      </c>
      <c r="L94" s="49">
        <v>1.6022099447513812E-2</v>
      </c>
      <c r="M94" s="49">
        <v>3.2228360957642726E-3</v>
      </c>
      <c r="N94" s="49">
        <v>1.4732965009208103E-3</v>
      </c>
      <c r="O94" s="49">
        <v>0.11754143646408839</v>
      </c>
      <c r="P94" s="49">
        <v>1.3305709023941069E-2</v>
      </c>
      <c r="Q94" s="49">
        <v>0</v>
      </c>
      <c r="R94" s="49">
        <v>1.0128913443830571E-3</v>
      </c>
      <c r="S94" s="49">
        <v>4.9723756906077344E-3</v>
      </c>
      <c r="T94" s="49">
        <v>2.2559852670349908E-3</v>
      </c>
      <c r="U94" s="49">
        <v>1.7955801104972376E-3</v>
      </c>
    </row>
    <row r="95" spans="1:21">
      <c r="A95" t="s">
        <v>145</v>
      </c>
      <c r="B95" t="s">
        <v>2026</v>
      </c>
      <c r="C95" s="49">
        <v>1</v>
      </c>
      <c r="D95" s="49">
        <v>0.39770114942528734</v>
      </c>
      <c r="E95" s="49">
        <v>1.3793103448275862E-2</v>
      </c>
      <c r="F95" s="49">
        <v>2.2988505747126436E-2</v>
      </c>
      <c r="G95" s="49">
        <v>2.2988505747126436E-3</v>
      </c>
      <c r="H95" s="49">
        <v>1.1494252873563218E-2</v>
      </c>
      <c r="I95" s="49">
        <v>2.7586206896551724E-2</v>
      </c>
      <c r="J95" s="49">
        <v>2.528735632183908E-2</v>
      </c>
      <c r="K95" s="49">
        <v>0.92183908045977014</v>
      </c>
      <c r="L95" s="49">
        <v>0.35632183908045978</v>
      </c>
      <c r="M95" s="49">
        <v>0</v>
      </c>
      <c r="N95" s="49">
        <v>2.0689655172413793E-2</v>
      </c>
      <c r="O95" s="49">
        <v>2.9885057471264367E-2</v>
      </c>
      <c r="P95" s="49">
        <v>2.528735632183908E-2</v>
      </c>
      <c r="Q95" s="49">
        <v>0</v>
      </c>
      <c r="R95" s="49">
        <v>2.0689655172413793E-2</v>
      </c>
      <c r="S95" s="49">
        <v>4.5977011494252873E-3</v>
      </c>
      <c r="T95" s="49">
        <v>6.8965517241379309E-3</v>
      </c>
      <c r="U95" s="49">
        <v>0</v>
      </c>
    </row>
    <row r="96" spans="1:21">
      <c r="A96" t="s">
        <v>998</v>
      </c>
      <c r="B96" t="s">
        <v>2028</v>
      </c>
      <c r="C96" s="49">
        <v>1</v>
      </c>
      <c r="D96" s="49">
        <v>3.9883268482490269E-2</v>
      </c>
      <c r="E96" s="49">
        <v>4.8638132295719845E-3</v>
      </c>
      <c r="F96" s="49">
        <v>5.8365758754863814E-3</v>
      </c>
      <c r="G96" s="49">
        <v>9.727626459143969E-4</v>
      </c>
      <c r="H96" s="49">
        <v>1.4591439688715954E-3</v>
      </c>
      <c r="I96" s="49">
        <v>8.7548638132295721E-3</v>
      </c>
      <c r="J96" s="49">
        <v>5.8365758754863814E-3</v>
      </c>
      <c r="K96" s="49">
        <v>0.51021400778210113</v>
      </c>
      <c r="L96" s="49">
        <v>2.6750972762645913E-2</v>
      </c>
      <c r="M96" s="49">
        <v>7.7821011673151752E-3</v>
      </c>
      <c r="N96" s="49">
        <v>5.350194552529183E-3</v>
      </c>
      <c r="O96" s="49">
        <v>0.46303501945525294</v>
      </c>
      <c r="P96" s="49">
        <v>3.1614785992217898E-2</v>
      </c>
      <c r="Q96" s="49">
        <v>9.727626459143969E-4</v>
      </c>
      <c r="R96" s="49">
        <v>1.4591439688715954E-3</v>
      </c>
      <c r="S96" s="49">
        <v>1.4591439688715954E-3</v>
      </c>
      <c r="T96" s="49">
        <v>1.9455252918287938E-3</v>
      </c>
      <c r="U96" s="49">
        <v>1.9455252918287938E-3</v>
      </c>
    </row>
    <row r="97" spans="1:21">
      <c r="A97" t="s">
        <v>1584</v>
      </c>
      <c r="B97" t="s">
        <v>2037</v>
      </c>
      <c r="C97" s="49">
        <v>1</v>
      </c>
      <c r="D97" s="49">
        <v>1.7899291896144767E-2</v>
      </c>
      <c r="E97" s="49">
        <v>5.4316061593795664E-2</v>
      </c>
      <c r="F97" s="49">
        <v>8.14881420703608E-3</v>
      </c>
      <c r="G97" s="49">
        <v>1.3993480948634372E-2</v>
      </c>
      <c r="H97" s="49">
        <v>4.3835000561987187E-3</v>
      </c>
      <c r="I97" s="49">
        <v>6.9433516915814314E-2</v>
      </c>
      <c r="J97" s="49">
        <v>9.3851860177587947E-3</v>
      </c>
      <c r="K97" s="49">
        <v>0.75665954816230185</v>
      </c>
      <c r="L97" s="49">
        <v>2.2648083623693381E-2</v>
      </c>
      <c r="M97" s="49">
        <v>1.6943913678768123E-2</v>
      </c>
      <c r="N97" s="49">
        <v>5.0297853208946834E-3</v>
      </c>
      <c r="O97" s="49">
        <v>7.0107901539844891E-2</v>
      </c>
      <c r="P97" s="49">
        <v>1.0340564235135439E-2</v>
      </c>
      <c r="Q97" s="49">
        <v>3.6529167134989322E-4</v>
      </c>
      <c r="R97" s="49">
        <v>6.1818590536135776E-4</v>
      </c>
      <c r="S97" s="49">
        <v>1.4162077104642014E-2</v>
      </c>
      <c r="T97" s="49">
        <v>4.3835000561987187E-3</v>
      </c>
      <c r="U97" s="49">
        <v>4.0182083848488252E-3</v>
      </c>
    </row>
    <row r="98" spans="1:21">
      <c r="A98" t="s">
        <v>999</v>
      </c>
      <c r="B98" t="s">
        <v>2033</v>
      </c>
      <c r="C98" s="49">
        <v>1</v>
      </c>
      <c r="D98" s="49">
        <v>2.0257826887661142E-2</v>
      </c>
      <c r="E98" s="49">
        <v>0.46183241252302026</v>
      </c>
      <c r="F98" s="49">
        <v>1.9843462246777164E-2</v>
      </c>
      <c r="G98" s="49">
        <v>4.2495395948434621E-2</v>
      </c>
      <c r="H98" s="49">
        <v>5.6629834254143642E-3</v>
      </c>
      <c r="I98" s="49">
        <v>6.3720073664825044E-2</v>
      </c>
      <c r="J98" s="49">
        <v>8.0570902394106816E-3</v>
      </c>
      <c r="K98" s="49">
        <v>0.30441988950276244</v>
      </c>
      <c r="L98" s="49">
        <v>1.6022099447513812E-2</v>
      </c>
      <c r="M98" s="49">
        <v>3.2228360957642726E-3</v>
      </c>
      <c r="N98" s="49">
        <v>1.4732965009208103E-3</v>
      </c>
      <c r="O98" s="49">
        <v>0.11754143646408839</v>
      </c>
      <c r="P98" s="49">
        <v>1.3305709023941069E-2</v>
      </c>
      <c r="Q98" s="49">
        <v>0</v>
      </c>
      <c r="R98" s="49">
        <v>1.0128913443830571E-3</v>
      </c>
      <c r="S98" s="49">
        <v>4.9723756906077344E-3</v>
      </c>
      <c r="T98" s="49">
        <v>2.2559852670349908E-3</v>
      </c>
      <c r="U98" s="49">
        <v>1.7955801104972376E-3</v>
      </c>
    </row>
    <row r="99" spans="1:21">
      <c r="A99" t="s">
        <v>1000</v>
      </c>
      <c r="B99" t="s">
        <v>2044</v>
      </c>
      <c r="C99" s="49">
        <v>1</v>
      </c>
      <c r="D99" s="49">
        <v>4.81892523364486E-2</v>
      </c>
      <c r="E99" s="49">
        <v>4.6436915887850469E-2</v>
      </c>
      <c r="F99" s="49">
        <v>1.8107476635514017E-2</v>
      </c>
      <c r="G99" s="49">
        <v>2.9205607476635514E-2</v>
      </c>
      <c r="H99" s="49">
        <v>2.0443925233644859E-2</v>
      </c>
      <c r="I99" s="49">
        <v>2.27803738317757E-2</v>
      </c>
      <c r="J99" s="49">
        <v>1.4310747663551402E-2</v>
      </c>
      <c r="K99" s="49">
        <v>0.67873831775700932</v>
      </c>
      <c r="L99" s="49">
        <v>5.1401869158878503E-2</v>
      </c>
      <c r="M99" s="49">
        <v>3.7967289719626168E-3</v>
      </c>
      <c r="N99" s="49">
        <v>3.5046728971962616E-3</v>
      </c>
      <c r="O99" s="49">
        <v>0.21290887850467291</v>
      </c>
      <c r="P99" s="49">
        <v>3.6214953271028034E-2</v>
      </c>
      <c r="Q99" s="49">
        <v>0</v>
      </c>
      <c r="R99" s="49">
        <v>3.7967289719626168E-3</v>
      </c>
      <c r="S99" s="49">
        <v>3.7967289719626168E-3</v>
      </c>
      <c r="T99" s="49">
        <v>4.0887850467289715E-3</v>
      </c>
      <c r="U99" s="49">
        <v>2.3364485981308409E-3</v>
      </c>
    </row>
    <row r="100" spans="1:21">
      <c r="A100" t="s">
        <v>1389</v>
      </c>
      <c r="B100" t="s">
        <v>2044</v>
      </c>
      <c r="C100" s="49">
        <v>1</v>
      </c>
      <c r="D100" s="49">
        <v>4.81892523364486E-2</v>
      </c>
      <c r="E100" s="49">
        <v>4.6436915887850469E-2</v>
      </c>
      <c r="F100" s="49">
        <v>1.8107476635514017E-2</v>
      </c>
      <c r="G100" s="49">
        <v>2.9205607476635514E-2</v>
      </c>
      <c r="H100" s="49">
        <v>2.0443925233644859E-2</v>
      </c>
      <c r="I100" s="49">
        <v>2.27803738317757E-2</v>
      </c>
      <c r="J100" s="49">
        <v>1.4310747663551402E-2</v>
      </c>
      <c r="K100" s="49">
        <v>0.67873831775700932</v>
      </c>
      <c r="L100" s="49">
        <v>5.1401869158878503E-2</v>
      </c>
      <c r="M100" s="49">
        <v>3.7967289719626168E-3</v>
      </c>
      <c r="N100" s="49">
        <v>3.5046728971962616E-3</v>
      </c>
      <c r="O100" s="49">
        <v>0.21290887850467291</v>
      </c>
      <c r="P100" s="49">
        <v>3.6214953271028034E-2</v>
      </c>
      <c r="Q100" s="49">
        <v>0</v>
      </c>
      <c r="R100" s="49">
        <v>3.7967289719626168E-3</v>
      </c>
      <c r="S100" s="49">
        <v>3.7967289719626168E-3</v>
      </c>
      <c r="T100" s="49">
        <v>4.0887850467289715E-3</v>
      </c>
      <c r="U100" s="49">
        <v>2.3364485981308409E-3</v>
      </c>
    </row>
    <row r="101" spans="1:21">
      <c r="A101" t="s">
        <v>11</v>
      </c>
      <c r="B101" t="s">
        <v>2044</v>
      </c>
      <c r="C101" s="49">
        <v>1</v>
      </c>
      <c r="D101" s="49">
        <v>4.81892523364486E-2</v>
      </c>
      <c r="E101" s="49">
        <v>4.6436915887850469E-2</v>
      </c>
      <c r="F101" s="49">
        <v>1.8107476635514017E-2</v>
      </c>
      <c r="G101" s="49">
        <v>2.9205607476635514E-2</v>
      </c>
      <c r="H101" s="49">
        <v>2.0443925233644859E-2</v>
      </c>
      <c r="I101" s="49">
        <v>2.27803738317757E-2</v>
      </c>
      <c r="J101" s="49">
        <v>1.4310747663551402E-2</v>
      </c>
      <c r="K101" s="49">
        <v>0.67873831775700932</v>
      </c>
      <c r="L101" s="49">
        <v>5.1401869158878503E-2</v>
      </c>
      <c r="M101" s="49">
        <v>3.7967289719626168E-3</v>
      </c>
      <c r="N101" s="49">
        <v>3.5046728971962616E-3</v>
      </c>
      <c r="O101" s="49">
        <v>0.21290887850467291</v>
      </c>
      <c r="P101" s="49">
        <v>3.6214953271028034E-2</v>
      </c>
      <c r="Q101" s="49">
        <v>0</v>
      </c>
      <c r="R101" s="49">
        <v>3.7967289719626168E-3</v>
      </c>
      <c r="S101" s="49">
        <v>3.7967289719626168E-3</v>
      </c>
      <c r="T101" s="49">
        <v>4.0887850467289715E-3</v>
      </c>
      <c r="U101" s="49">
        <v>2.3364485981308409E-3</v>
      </c>
    </row>
    <row r="102" spans="1:21">
      <c r="A102" t="s">
        <v>1390</v>
      </c>
      <c r="B102" t="s">
        <v>2041</v>
      </c>
      <c r="C102" s="49">
        <v>1</v>
      </c>
      <c r="D102" s="49">
        <v>3.68251698248123E-2</v>
      </c>
      <c r="E102" s="49">
        <v>1.2870933142652842E-2</v>
      </c>
      <c r="F102" s="49">
        <v>7.5080443332141578E-3</v>
      </c>
      <c r="G102" s="49">
        <v>3.5752592062924561E-3</v>
      </c>
      <c r="H102" s="49">
        <v>3.5752592062924561E-3</v>
      </c>
      <c r="I102" s="49">
        <v>2.7887021809081158E-2</v>
      </c>
      <c r="J102" s="49">
        <v>1.3228459063282088E-2</v>
      </c>
      <c r="K102" s="49">
        <v>0.91383625312835182</v>
      </c>
      <c r="L102" s="49">
        <v>3.5037540221666073E-2</v>
      </c>
      <c r="M102" s="49">
        <v>0</v>
      </c>
      <c r="N102" s="49">
        <v>4.6478369681801929E-3</v>
      </c>
      <c r="O102" s="49">
        <v>4.0757954951734003E-2</v>
      </c>
      <c r="P102" s="49">
        <v>1.0725777618877368E-2</v>
      </c>
      <c r="Q102" s="49">
        <v>0</v>
      </c>
      <c r="R102" s="49">
        <v>4.6478369681801929E-3</v>
      </c>
      <c r="S102" s="49">
        <v>1.0725777618877368E-3</v>
      </c>
      <c r="T102" s="49">
        <v>1.4301036825169824E-3</v>
      </c>
      <c r="U102" s="49">
        <v>0</v>
      </c>
    </row>
    <row r="103" spans="1:21">
      <c r="A103" t="s">
        <v>1173</v>
      </c>
      <c r="B103" t="s">
        <v>2053</v>
      </c>
      <c r="C103" s="49">
        <v>1</v>
      </c>
      <c r="D103" s="49">
        <v>8.6746987951807228E-2</v>
      </c>
      <c r="E103" s="49">
        <v>3.2128514056224897E-2</v>
      </c>
      <c r="F103" s="49">
        <v>3.8554216867469883E-2</v>
      </c>
      <c r="G103" s="49">
        <v>7.2289156626506026E-3</v>
      </c>
      <c r="H103" s="49">
        <v>1.8473895582329317E-2</v>
      </c>
      <c r="I103" s="49">
        <v>4.1767068273092373E-2</v>
      </c>
      <c r="J103" s="49">
        <v>2.891566265060241E-2</v>
      </c>
      <c r="K103" s="49">
        <v>0.59839357429718876</v>
      </c>
      <c r="L103" s="49">
        <v>0.11244979919678715</v>
      </c>
      <c r="M103" s="49">
        <v>0</v>
      </c>
      <c r="N103" s="49">
        <v>7.2289156626506026E-3</v>
      </c>
      <c r="O103" s="49">
        <v>0.32048192771084338</v>
      </c>
      <c r="P103" s="49">
        <v>8.0321285140562249E-2</v>
      </c>
      <c r="Q103" s="49">
        <v>0</v>
      </c>
      <c r="R103" s="49">
        <v>7.2289156626506026E-3</v>
      </c>
      <c r="S103" s="49">
        <v>0</v>
      </c>
      <c r="T103" s="49">
        <v>7.2289156626506026E-3</v>
      </c>
      <c r="U103" s="49">
        <v>0</v>
      </c>
    </row>
    <row r="104" spans="1:21">
      <c r="A104" t="s">
        <v>57</v>
      </c>
      <c r="B104" t="s">
        <v>2039</v>
      </c>
      <c r="C104" s="49">
        <v>1</v>
      </c>
      <c r="D104" s="49">
        <v>4.2857142857142858E-2</v>
      </c>
      <c r="E104" s="49">
        <v>6.2500000000000003E-3</v>
      </c>
      <c r="F104" s="49">
        <v>4.0178571428571425E-3</v>
      </c>
      <c r="G104" s="49">
        <v>3.2589285714285716E-2</v>
      </c>
      <c r="H104" s="49">
        <v>1.1607142857142858E-2</v>
      </c>
      <c r="I104" s="49">
        <v>0.1299107142857143</v>
      </c>
      <c r="J104" s="49">
        <v>2.5000000000000001E-2</v>
      </c>
      <c r="K104" s="49">
        <v>0.48303571428571429</v>
      </c>
      <c r="L104" s="49">
        <v>4.1517857142857141E-2</v>
      </c>
      <c r="M104" s="49">
        <v>8.9285714285714283E-4</v>
      </c>
      <c r="N104" s="49">
        <v>1.3392857142857143E-3</v>
      </c>
      <c r="O104" s="49">
        <v>0.34241071428571429</v>
      </c>
      <c r="P104" s="49">
        <v>3.7946428571428568E-2</v>
      </c>
      <c r="Q104" s="49">
        <v>0</v>
      </c>
      <c r="R104" s="49">
        <v>5.8035714285714288E-3</v>
      </c>
      <c r="S104" s="49">
        <v>4.0178571428571425E-3</v>
      </c>
      <c r="T104" s="49">
        <v>2.6785714285714286E-3</v>
      </c>
      <c r="U104" s="49">
        <v>8.9285714285714283E-4</v>
      </c>
    </row>
    <row r="105" spans="1:21">
      <c r="A105" t="s">
        <v>189</v>
      </c>
      <c r="B105" t="s">
        <v>2025</v>
      </c>
      <c r="C105" s="49">
        <v>1</v>
      </c>
      <c r="D105" s="49">
        <v>3.4419458467186782E-2</v>
      </c>
      <c r="E105" s="49">
        <v>5.9660394676457089E-3</v>
      </c>
      <c r="F105" s="49">
        <v>4.8187241854061496E-3</v>
      </c>
      <c r="G105" s="49">
        <v>1.1473152822395595E-3</v>
      </c>
      <c r="H105" s="49">
        <v>1.8357044515832951E-3</v>
      </c>
      <c r="I105" s="49">
        <v>1.7668655346489214E-2</v>
      </c>
      <c r="J105" s="49">
        <v>1.0325837540156035E-2</v>
      </c>
      <c r="K105" s="49">
        <v>0.85589720055071139</v>
      </c>
      <c r="L105" s="49">
        <v>3.1895364846259752E-2</v>
      </c>
      <c r="M105" s="49">
        <v>2.2946305644791189E-4</v>
      </c>
      <c r="N105" s="49">
        <v>4.5892611289582378E-4</v>
      </c>
      <c r="O105" s="49">
        <v>0.11656723267553924</v>
      </c>
      <c r="P105" s="49">
        <v>1.6291877007801745E-2</v>
      </c>
      <c r="Q105" s="49">
        <v>0</v>
      </c>
      <c r="R105" s="49">
        <v>3.4419458467186783E-3</v>
      </c>
      <c r="S105" s="49">
        <v>2.5240936209270305E-3</v>
      </c>
      <c r="T105" s="49">
        <v>1.1473152822395595E-3</v>
      </c>
      <c r="U105" s="49">
        <v>0</v>
      </c>
    </row>
    <row r="106" spans="1:21">
      <c r="A106" t="s">
        <v>1363</v>
      </c>
      <c r="B106" t="s">
        <v>2033</v>
      </c>
      <c r="C106" s="49">
        <v>1</v>
      </c>
      <c r="D106" s="49">
        <v>2.0257826887661142E-2</v>
      </c>
      <c r="E106" s="49">
        <v>0.46183241252302026</v>
      </c>
      <c r="F106" s="49">
        <v>1.9843462246777164E-2</v>
      </c>
      <c r="G106" s="49">
        <v>4.2495395948434621E-2</v>
      </c>
      <c r="H106" s="49">
        <v>5.6629834254143642E-3</v>
      </c>
      <c r="I106" s="49">
        <v>6.3720073664825044E-2</v>
      </c>
      <c r="J106" s="49">
        <v>8.0570902394106816E-3</v>
      </c>
      <c r="K106" s="49">
        <v>0.30441988950276244</v>
      </c>
      <c r="L106" s="49">
        <v>1.6022099447513812E-2</v>
      </c>
      <c r="M106" s="49">
        <v>3.2228360957642726E-3</v>
      </c>
      <c r="N106" s="49">
        <v>1.4732965009208103E-3</v>
      </c>
      <c r="O106" s="49">
        <v>0.11754143646408839</v>
      </c>
      <c r="P106" s="49">
        <v>1.3305709023941069E-2</v>
      </c>
      <c r="Q106" s="49">
        <v>0</v>
      </c>
      <c r="R106" s="49">
        <v>1.0128913443830571E-3</v>
      </c>
      <c r="S106" s="49">
        <v>4.9723756906077344E-3</v>
      </c>
      <c r="T106" s="49">
        <v>2.2559852670349908E-3</v>
      </c>
      <c r="U106" s="49">
        <v>1.7955801104972376E-3</v>
      </c>
    </row>
    <row r="107" spans="1:21">
      <c r="A107" t="s">
        <v>1619</v>
      </c>
      <c r="B107" t="s">
        <v>2035</v>
      </c>
      <c r="C107" s="49">
        <v>1</v>
      </c>
      <c r="D107" s="49">
        <v>7.2043010752688166E-2</v>
      </c>
      <c r="E107" s="49">
        <v>2.0430107526881722E-2</v>
      </c>
      <c r="F107" s="49">
        <v>1.2903225806451613E-2</v>
      </c>
      <c r="G107" s="49">
        <v>1.5053763440860216E-2</v>
      </c>
      <c r="H107" s="49">
        <v>1.1827956989247311E-2</v>
      </c>
      <c r="I107" s="49">
        <v>1.3978494623655914E-2</v>
      </c>
      <c r="J107" s="49">
        <v>1.1827956989247311E-2</v>
      </c>
      <c r="K107" s="49">
        <v>0.64193548387096777</v>
      </c>
      <c r="L107" s="49">
        <v>7.0967741935483872E-2</v>
      </c>
      <c r="M107" s="49">
        <v>0</v>
      </c>
      <c r="N107" s="49">
        <v>9.6774193548387101E-3</v>
      </c>
      <c r="O107" s="49">
        <v>0.3032258064516129</v>
      </c>
      <c r="P107" s="49">
        <v>5.3763440860215055E-2</v>
      </c>
      <c r="Q107" s="49">
        <v>4.3010752688172043E-3</v>
      </c>
      <c r="R107" s="49">
        <v>6.4516129032258064E-3</v>
      </c>
      <c r="S107" s="49">
        <v>1.0752688172043011E-3</v>
      </c>
      <c r="T107" s="49">
        <v>4.3010752688172043E-3</v>
      </c>
      <c r="U107" s="49">
        <v>0</v>
      </c>
    </row>
    <row r="108" spans="1:21">
      <c r="A108" t="s">
        <v>42</v>
      </c>
      <c r="B108" t="s">
        <v>2032</v>
      </c>
      <c r="C108" s="49">
        <v>1</v>
      </c>
      <c r="D108" s="49">
        <v>3.8293216630196934E-2</v>
      </c>
      <c r="E108" s="49">
        <v>1.8599562363238512E-2</v>
      </c>
      <c r="F108" s="49">
        <v>1.0940919037199124E-2</v>
      </c>
      <c r="G108" s="49">
        <v>1.6411378555798686E-3</v>
      </c>
      <c r="H108" s="49">
        <v>3.2822757111597373E-3</v>
      </c>
      <c r="I108" s="49">
        <v>2.5164113785557989E-2</v>
      </c>
      <c r="J108" s="49">
        <v>9.8468271334792128E-3</v>
      </c>
      <c r="K108" s="49">
        <v>0.85175054704595188</v>
      </c>
      <c r="L108" s="49">
        <v>3.9934354485776806E-2</v>
      </c>
      <c r="M108" s="49">
        <v>0</v>
      </c>
      <c r="N108" s="49">
        <v>7.1115973741794312E-3</v>
      </c>
      <c r="O108" s="49">
        <v>5.9628008752735231E-2</v>
      </c>
      <c r="P108" s="49">
        <v>1.2035010940919038E-2</v>
      </c>
      <c r="Q108" s="49">
        <v>1.0940919037199124E-3</v>
      </c>
      <c r="R108" s="49">
        <v>1.6411378555798686E-3</v>
      </c>
      <c r="S108" s="49">
        <v>4.2122538293216633E-2</v>
      </c>
      <c r="T108" s="49">
        <v>1.6958424507658644E-2</v>
      </c>
      <c r="U108" s="49">
        <v>0</v>
      </c>
    </row>
    <row r="109" spans="1:21">
      <c r="A109" t="s">
        <v>1001</v>
      </c>
      <c r="B109" t="s">
        <v>2029</v>
      </c>
      <c r="C109" s="49">
        <v>1</v>
      </c>
      <c r="D109" s="49">
        <v>6.5778159931212388E-2</v>
      </c>
      <c r="E109" s="49">
        <v>3.5683576956147892E-2</v>
      </c>
      <c r="F109" s="49">
        <v>2.2785898538263114E-2</v>
      </c>
      <c r="G109" s="49">
        <v>4.7291487532244193E-3</v>
      </c>
      <c r="H109" s="49">
        <v>7.3086844368013756E-3</v>
      </c>
      <c r="I109" s="49">
        <v>4.9441100601891656E-2</v>
      </c>
      <c r="J109" s="49">
        <v>2.4505588993981083E-2</v>
      </c>
      <c r="K109" s="49">
        <v>0.53525365434221839</v>
      </c>
      <c r="L109" s="49">
        <v>5.6749785038693032E-2</v>
      </c>
      <c r="M109" s="49">
        <v>3.0094582975064487E-3</v>
      </c>
      <c r="N109" s="49">
        <v>4.2992261392949269E-3</v>
      </c>
      <c r="O109" s="49">
        <v>0.36328460877042135</v>
      </c>
      <c r="P109" s="49">
        <v>4.9011177987962166E-2</v>
      </c>
      <c r="Q109" s="49">
        <v>4.299226139294927E-4</v>
      </c>
      <c r="R109" s="49">
        <v>8.598452278589854E-4</v>
      </c>
      <c r="S109" s="49">
        <v>2.1496130696474634E-3</v>
      </c>
      <c r="T109" s="49">
        <v>3.869303525365434E-3</v>
      </c>
      <c r="U109" s="49">
        <v>6.0189165950128975E-3</v>
      </c>
    </row>
    <row r="110" spans="1:21">
      <c r="A110" t="s">
        <v>1364</v>
      </c>
      <c r="B110" t="s">
        <v>2029</v>
      </c>
      <c r="C110" s="49">
        <v>1</v>
      </c>
      <c r="D110" s="49">
        <v>6.5778159931212388E-2</v>
      </c>
      <c r="E110" s="49">
        <v>3.5683576956147892E-2</v>
      </c>
      <c r="F110" s="49">
        <v>2.2785898538263114E-2</v>
      </c>
      <c r="G110" s="49">
        <v>4.7291487532244193E-3</v>
      </c>
      <c r="H110" s="49">
        <v>7.3086844368013756E-3</v>
      </c>
      <c r="I110" s="49">
        <v>4.9441100601891656E-2</v>
      </c>
      <c r="J110" s="49">
        <v>2.4505588993981083E-2</v>
      </c>
      <c r="K110" s="49">
        <v>0.53525365434221839</v>
      </c>
      <c r="L110" s="49">
        <v>5.6749785038693032E-2</v>
      </c>
      <c r="M110" s="49">
        <v>3.0094582975064487E-3</v>
      </c>
      <c r="N110" s="49">
        <v>4.2992261392949269E-3</v>
      </c>
      <c r="O110" s="49">
        <v>0.36328460877042135</v>
      </c>
      <c r="P110" s="49">
        <v>4.9011177987962166E-2</v>
      </c>
      <c r="Q110" s="49">
        <v>4.299226139294927E-4</v>
      </c>
      <c r="R110" s="49">
        <v>8.598452278589854E-4</v>
      </c>
      <c r="S110" s="49">
        <v>2.1496130696474634E-3</v>
      </c>
      <c r="T110" s="49">
        <v>3.869303525365434E-3</v>
      </c>
      <c r="U110" s="49">
        <v>6.0189165950128975E-3</v>
      </c>
    </row>
    <row r="111" spans="1:21">
      <c r="A111" t="s">
        <v>2034</v>
      </c>
      <c r="B111" t="s">
        <v>2034</v>
      </c>
      <c r="C111" s="49">
        <v>1</v>
      </c>
      <c r="D111" s="49">
        <v>0.12011173184357542</v>
      </c>
      <c r="E111" s="49">
        <v>1.3966480446927373E-2</v>
      </c>
      <c r="F111" s="49">
        <v>2.23463687150838E-2</v>
      </c>
      <c r="G111" s="49">
        <v>0</v>
      </c>
      <c r="H111" s="49">
        <v>1.2569832402234637E-2</v>
      </c>
      <c r="I111" s="49">
        <v>3.6312849162011177E-2</v>
      </c>
      <c r="J111" s="49">
        <v>2.7932960893854747E-2</v>
      </c>
      <c r="K111" s="49">
        <v>0.56564245810055869</v>
      </c>
      <c r="L111" s="49">
        <v>0.11312849162011174</v>
      </c>
      <c r="M111" s="49">
        <v>0.15502793296089384</v>
      </c>
      <c r="N111" s="49">
        <v>6.4245810055865923E-2</v>
      </c>
      <c r="O111" s="49">
        <v>0.22905027932960895</v>
      </c>
      <c r="P111" s="49">
        <v>7.2625698324022353E-2</v>
      </c>
      <c r="Q111" s="49">
        <v>0</v>
      </c>
      <c r="R111" s="49">
        <v>1.2569832402234637E-2</v>
      </c>
      <c r="S111" s="49">
        <v>0</v>
      </c>
      <c r="T111" s="49">
        <v>1.2569832402234637E-2</v>
      </c>
      <c r="U111" s="49">
        <v>0</v>
      </c>
    </row>
    <row r="112" spans="1:21">
      <c r="A112" t="s">
        <v>1585</v>
      </c>
      <c r="B112" t="s">
        <v>2033</v>
      </c>
      <c r="C112" s="49">
        <v>1</v>
      </c>
      <c r="D112" s="49">
        <v>2.0257826887661142E-2</v>
      </c>
      <c r="E112" s="49">
        <v>0.46183241252302026</v>
      </c>
      <c r="F112" s="49">
        <v>1.9843462246777164E-2</v>
      </c>
      <c r="G112" s="49">
        <v>4.2495395948434621E-2</v>
      </c>
      <c r="H112" s="49">
        <v>5.6629834254143642E-3</v>
      </c>
      <c r="I112" s="49">
        <v>6.3720073664825044E-2</v>
      </c>
      <c r="J112" s="49">
        <v>8.0570902394106816E-3</v>
      </c>
      <c r="K112" s="49">
        <v>0.30441988950276244</v>
      </c>
      <c r="L112" s="49">
        <v>1.6022099447513812E-2</v>
      </c>
      <c r="M112" s="49">
        <v>3.2228360957642726E-3</v>
      </c>
      <c r="N112" s="49">
        <v>1.4732965009208103E-3</v>
      </c>
      <c r="O112" s="49">
        <v>0.11754143646408839</v>
      </c>
      <c r="P112" s="49">
        <v>1.3305709023941069E-2</v>
      </c>
      <c r="Q112" s="49">
        <v>0</v>
      </c>
      <c r="R112" s="49">
        <v>1.0128913443830571E-3</v>
      </c>
      <c r="S112" s="49">
        <v>4.9723756906077344E-3</v>
      </c>
      <c r="T112" s="49">
        <v>2.2559852670349908E-3</v>
      </c>
      <c r="U112" s="49">
        <v>1.7955801104972376E-3</v>
      </c>
    </row>
    <row r="113" spans="1:21">
      <c r="A113" t="s">
        <v>23</v>
      </c>
      <c r="B113" t="s">
        <v>2030</v>
      </c>
      <c r="C113" s="49">
        <v>1</v>
      </c>
      <c r="D113" s="49">
        <v>4.5556385362210607E-2</v>
      </c>
      <c r="E113" s="49">
        <v>1.6430171769977596E-2</v>
      </c>
      <c r="F113" s="49">
        <v>1.2696041822255415E-2</v>
      </c>
      <c r="G113" s="49">
        <v>0</v>
      </c>
      <c r="H113" s="49">
        <v>9.7087378640776691E-3</v>
      </c>
      <c r="I113" s="49">
        <v>1.2696041822255415E-2</v>
      </c>
      <c r="J113" s="49">
        <v>1.0455563853622106E-2</v>
      </c>
      <c r="K113" s="49">
        <v>0.85287528005974611</v>
      </c>
      <c r="L113" s="49">
        <v>4.8543689320388349E-2</v>
      </c>
      <c r="M113" s="49">
        <v>0</v>
      </c>
      <c r="N113" s="49">
        <v>9.7087378640776691E-3</v>
      </c>
      <c r="O113" s="49">
        <v>0.11277072442120986</v>
      </c>
      <c r="P113" s="49">
        <v>2.3898431665421958E-2</v>
      </c>
      <c r="Q113" s="49">
        <v>2.2404779686333084E-3</v>
      </c>
      <c r="R113" s="49">
        <v>4.4809559372666168E-3</v>
      </c>
      <c r="S113" s="49">
        <v>2.9873039581777448E-3</v>
      </c>
      <c r="T113" s="49">
        <v>5.2277819268110532E-3</v>
      </c>
      <c r="U113" s="49">
        <v>0</v>
      </c>
    </row>
    <row r="114" spans="1:21">
      <c r="A114" t="s">
        <v>135</v>
      </c>
      <c r="B114" t="s">
        <v>2041</v>
      </c>
      <c r="C114" s="49">
        <v>1</v>
      </c>
      <c r="D114" s="49">
        <v>3.68251698248123E-2</v>
      </c>
      <c r="E114" s="49">
        <v>1.2870933142652842E-2</v>
      </c>
      <c r="F114" s="49">
        <v>7.5080443332141578E-3</v>
      </c>
      <c r="G114" s="49">
        <v>3.5752592062924561E-3</v>
      </c>
      <c r="H114" s="49">
        <v>3.5752592062924561E-3</v>
      </c>
      <c r="I114" s="49">
        <v>2.7887021809081158E-2</v>
      </c>
      <c r="J114" s="49">
        <v>1.3228459063282088E-2</v>
      </c>
      <c r="K114" s="49">
        <v>0.91383625312835182</v>
      </c>
      <c r="L114" s="49">
        <v>3.5037540221666073E-2</v>
      </c>
      <c r="M114" s="49">
        <v>0</v>
      </c>
      <c r="N114" s="49">
        <v>4.6478369681801929E-3</v>
      </c>
      <c r="O114" s="49">
        <v>4.0757954951734003E-2</v>
      </c>
      <c r="P114" s="49">
        <v>1.0725777618877368E-2</v>
      </c>
      <c r="Q114" s="49">
        <v>0</v>
      </c>
      <c r="R114" s="49">
        <v>4.6478369681801929E-3</v>
      </c>
      <c r="S114" s="49">
        <v>1.0725777618877368E-3</v>
      </c>
      <c r="T114" s="49">
        <v>1.4301036825169824E-3</v>
      </c>
      <c r="U114" s="49">
        <v>0</v>
      </c>
    </row>
    <row r="115" spans="1:21">
      <c r="A115" t="s">
        <v>58</v>
      </c>
      <c r="B115" t="s">
        <v>2029</v>
      </c>
      <c r="C115" s="49">
        <v>1</v>
      </c>
      <c r="D115" s="49">
        <v>6.5778159931212388E-2</v>
      </c>
      <c r="E115" s="49">
        <v>3.5683576956147892E-2</v>
      </c>
      <c r="F115" s="49">
        <v>2.2785898538263114E-2</v>
      </c>
      <c r="G115" s="49">
        <v>4.7291487532244193E-3</v>
      </c>
      <c r="H115" s="49">
        <v>7.3086844368013756E-3</v>
      </c>
      <c r="I115" s="49">
        <v>4.9441100601891656E-2</v>
      </c>
      <c r="J115" s="49">
        <v>2.4505588993981083E-2</v>
      </c>
      <c r="K115" s="49">
        <v>0.53525365434221839</v>
      </c>
      <c r="L115" s="49">
        <v>5.6749785038693032E-2</v>
      </c>
      <c r="M115" s="49">
        <v>3.0094582975064487E-3</v>
      </c>
      <c r="N115" s="49">
        <v>4.2992261392949269E-3</v>
      </c>
      <c r="O115" s="49">
        <v>0.36328460877042135</v>
      </c>
      <c r="P115" s="49">
        <v>4.9011177987962166E-2</v>
      </c>
      <c r="Q115" s="49">
        <v>4.299226139294927E-4</v>
      </c>
      <c r="R115" s="49">
        <v>8.598452278589854E-4</v>
      </c>
      <c r="S115" s="49">
        <v>2.1496130696474634E-3</v>
      </c>
      <c r="T115" s="49">
        <v>3.869303525365434E-3</v>
      </c>
      <c r="U115" s="49">
        <v>6.0189165950128975E-3</v>
      </c>
    </row>
    <row r="116" spans="1:21">
      <c r="A116" t="s">
        <v>1177</v>
      </c>
      <c r="B116" t="s">
        <v>2029</v>
      </c>
      <c r="C116" s="49">
        <v>1</v>
      </c>
      <c r="D116" s="49">
        <v>6.5778159931212388E-2</v>
      </c>
      <c r="E116" s="49">
        <v>3.5683576956147892E-2</v>
      </c>
      <c r="F116" s="49">
        <v>2.2785898538263114E-2</v>
      </c>
      <c r="G116" s="49">
        <v>4.7291487532244193E-3</v>
      </c>
      <c r="H116" s="49">
        <v>7.3086844368013756E-3</v>
      </c>
      <c r="I116" s="49">
        <v>4.9441100601891656E-2</v>
      </c>
      <c r="J116" s="49">
        <v>2.4505588993981083E-2</v>
      </c>
      <c r="K116" s="49">
        <v>0.53525365434221839</v>
      </c>
      <c r="L116" s="49">
        <v>5.6749785038693032E-2</v>
      </c>
      <c r="M116" s="49">
        <v>3.0094582975064487E-3</v>
      </c>
      <c r="N116" s="49">
        <v>4.2992261392949269E-3</v>
      </c>
      <c r="O116" s="49">
        <v>0.36328460877042135</v>
      </c>
      <c r="P116" s="49">
        <v>4.9011177987962166E-2</v>
      </c>
      <c r="Q116" s="49">
        <v>4.299226139294927E-4</v>
      </c>
      <c r="R116" s="49">
        <v>8.598452278589854E-4</v>
      </c>
      <c r="S116" s="49">
        <v>2.1496130696474634E-3</v>
      </c>
      <c r="T116" s="49">
        <v>3.869303525365434E-3</v>
      </c>
      <c r="U116" s="49">
        <v>6.0189165950128975E-3</v>
      </c>
    </row>
    <row r="117" spans="1:21">
      <c r="A117" t="s">
        <v>1003</v>
      </c>
      <c r="B117" t="s">
        <v>2036</v>
      </c>
      <c r="C117" s="49">
        <v>1</v>
      </c>
      <c r="D117" s="49">
        <v>1.7770063641623274E-2</v>
      </c>
      <c r="E117" s="49">
        <v>2.3473014298702372E-2</v>
      </c>
      <c r="F117" s="49">
        <v>7.8518885858335392E-3</v>
      </c>
      <c r="G117" s="49">
        <v>2.99198280849657E-2</v>
      </c>
      <c r="H117" s="49">
        <v>1.008347797338623E-2</v>
      </c>
      <c r="I117" s="49">
        <v>0.22555583106041821</v>
      </c>
      <c r="J117" s="49">
        <v>2.1406727828746176E-2</v>
      </c>
      <c r="K117" s="49">
        <v>0.67079923960657906</v>
      </c>
      <c r="L117" s="49">
        <v>2.6448466815439293E-2</v>
      </c>
      <c r="M117" s="49">
        <v>1.157120423175469E-3</v>
      </c>
      <c r="N117" s="49">
        <v>1.983635011157947E-3</v>
      </c>
      <c r="O117" s="49">
        <v>3.3473840813290356E-2</v>
      </c>
      <c r="P117" s="49">
        <v>1.157120423175469E-2</v>
      </c>
      <c r="Q117" s="49">
        <v>0</v>
      </c>
      <c r="R117" s="49">
        <v>1.6530291759649558E-3</v>
      </c>
      <c r="S117" s="49">
        <v>1.0166129432184479E-2</v>
      </c>
      <c r="T117" s="49">
        <v>5.0417389866931148E-3</v>
      </c>
      <c r="U117" s="49">
        <v>5.4549962806843544E-3</v>
      </c>
    </row>
    <row r="118" spans="1:21">
      <c r="A118" t="s">
        <v>1004</v>
      </c>
      <c r="B118" t="s">
        <v>2029</v>
      </c>
      <c r="C118" s="49">
        <v>1</v>
      </c>
      <c r="D118" s="49">
        <v>6.5778159931212388E-2</v>
      </c>
      <c r="E118" s="49">
        <v>3.5683576956147892E-2</v>
      </c>
      <c r="F118" s="49">
        <v>2.2785898538263114E-2</v>
      </c>
      <c r="G118" s="49">
        <v>4.7291487532244193E-3</v>
      </c>
      <c r="H118" s="49">
        <v>7.3086844368013756E-3</v>
      </c>
      <c r="I118" s="49">
        <v>4.9441100601891656E-2</v>
      </c>
      <c r="J118" s="49">
        <v>2.4505588993981083E-2</v>
      </c>
      <c r="K118" s="49">
        <v>0.53525365434221839</v>
      </c>
      <c r="L118" s="49">
        <v>5.6749785038693032E-2</v>
      </c>
      <c r="M118" s="49">
        <v>3.0094582975064487E-3</v>
      </c>
      <c r="N118" s="49">
        <v>4.2992261392949269E-3</v>
      </c>
      <c r="O118" s="49">
        <v>0.36328460877042135</v>
      </c>
      <c r="P118" s="49">
        <v>4.9011177987962166E-2</v>
      </c>
      <c r="Q118" s="49">
        <v>4.299226139294927E-4</v>
      </c>
      <c r="R118" s="49">
        <v>8.598452278589854E-4</v>
      </c>
      <c r="S118" s="49">
        <v>2.1496130696474634E-3</v>
      </c>
      <c r="T118" s="49">
        <v>3.869303525365434E-3</v>
      </c>
      <c r="U118" s="49">
        <v>6.0189165950128975E-3</v>
      </c>
    </row>
    <row r="119" spans="1:21">
      <c r="A119" t="s">
        <v>1935</v>
      </c>
      <c r="B119" t="s">
        <v>2054</v>
      </c>
      <c r="C119" s="49">
        <v>1</v>
      </c>
      <c r="D119" s="49">
        <v>0.14805825242718446</v>
      </c>
      <c r="E119" s="49">
        <v>2.4271844660194174E-2</v>
      </c>
      <c r="F119" s="49">
        <v>2.9126213592233011E-2</v>
      </c>
      <c r="G119" s="49">
        <v>5.0970873786407765E-2</v>
      </c>
      <c r="H119" s="49">
        <v>4.12621359223301E-2</v>
      </c>
      <c r="I119" s="49">
        <v>3.3980582524271843E-2</v>
      </c>
      <c r="J119" s="49">
        <v>1.9417475728155338E-2</v>
      </c>
      <c r="K119" s="49">
        <v>0.80097087378640774</v>
      </c>
      <c r="L119" s="49">
        <v>0.13349514563106796</v>
      </c>
      <c r="M119" s="49">
        <v>0</v>
      </c>
      <c r="N119" s="49">
        <v>2.1844660194174758E-2</v>
      </c>
      <c r="O119" s="49">
        <v>8.9805825242718448E-2</v>
      </c>
      <c r="P119" s="49">
        <v>3.640776699029126E-2</v>
      </c>
      <c r="Q119" s="49">
        <v>0</v>
      </c>
      <c r="R119" s="49">
        <v>2.1844660194174758E-2</v>
      </c>
      <c r="S119" s="49">
        <v>0</v>
      </c>
      <c r="T119" s="49">
        <v>2.1844660194174758E-2</v>
      </c>
      <c r="U119" s="49">
        <v>0</v>
      </c>
    </row>
    <row r="120" spans="1:21">
      <c r="A120" t="s">
        <v>1006</v>
      </c>
      <c r="B120" t="s">
        <v>2029</v>
      </c>
      <c r="C120" s="49">
        <v>1</v>
      </c>
      <c r="D120" s="49">
        <v>6.5778159931212388E-2</v>
      </c>
      <c r="E120" s="49">
        <v>3.5683576956147892E-2</v>
      </c>
      <c r="F120" s="49">
        <v>2.2785898538263114E-2</v>
      </c>
      <c r="G120" s="49">
        <v>4.7291487532244193E-3</v>
      </c>
      <c r="H120" s="49">
        <v>7.3086844368013756E-3</v>
      </c>
      <c r="I120" s="49">
        <v>4.9441100601891656E-2</v>
      </c>
      <c r="J120" s="49">
        <v>2.4505588993981083E-2</v>
      </c>
      <c r="K120" s="49">
        <v>0.53525365434221839</v>
      </c>
      <c r="L120" s="49">
        <v>5.6749785038693032E-2</v>
      </c>
      <c r="M120" s="49">
        <v>3.0094582975064487E-3</v>
      </c>
      <c r="N120" s="49">
        <v>4.2992261392949269E-3</v>
      </c>
      <c r="O120" s="49">
        <v>0.36328460877042135</v>
      </c>
      <c r="P120" s="49">
        <v>4.9011177987962166E-2</v>
      </c>
      <c r="Q120" s="49">
        <v>4.299226139294927E-4</v>
      </c>
      <c r="R120" s="49">
        <v>8.598452278589854E-4</v>
      </c>
      <c r="S120" s="49">
        <v>2.1496130696474634E-3</v>
      </c>
      <c r="T120" s="49">
        <v>3.869303525365434E-3</v>
      </c>
      <c r="U120" s="49">
        <v>6.0189165950128975E-3</v>
      </c>
    </row>
    <row r="121" spans="1:21">
      <c r="A121" t="s">
        <v>1007</v>
      </c>
      <c r="B121" t="s">
        <v>2040</v>
      </c>
      <c r="C121" s="49">
        <v>1</v>
      </c>
      <c r="D121" s="49">
        <v>7.6134894684814847E-3</v>
      </c>
      <c r="E121" s="49">
        <v>0.82159151395331154</v>
      </c>
      <c r="F121" s="49">
        <v>1.093072770131549E-2</v>
      </c>
      <c r="G121" s="49">
        <v>8.5164626264162425E-3</v>
      </c>
      <c r="H121" s="49">
        <v>1.5683218006235268E-3</v>
      </c>
      <c r="I121" s="49">
        <v>0.13469508022203636</v>
      </c>
      <c r="J121" s="49">
        <v>7.3568549920158162E-3</v>
      </c>
      <c r="K121" s="49">
        <v>2.3097102881910123E-2</v>
      </c>
      <c r="L121" s="49">
        <v>3.6879324766177475E-3</v>
      </c>
      <c r="M121" s="49">
        <v>2.1861455402630978E-4</v>
      </c>
      <c r="N121" s="49">
        <v>2.4712949585582847E-4</v>
      </c>
      <c r="O121" s="49">
        <v>6.2067523382252302E-3</v>
      </c>
      <c r="P121" s="49">
        <v>1.777431374039997E-3</v>
      </c>
      <c r="Q121" s="49">
        <v>0</v>
      </c>
      <c r="R121" s="49">
        <v>2.0910957341647022E-4</v>
      </c>
      <c r="S121" s="49">
        <v>3.146148581856893E-3</v>
      </c>
      <c r="T121" s="49">
        <v>1.2356474792791423E-3</v>
      </c>
      <c r="U121" s="49">
        <v>2.5283248422173217E-3</v>
      </c>
    </row>
    <row r="122" spans="1:21">
      <c r="A122" t="s">
        <v>1178</v>
      </c>
      <c r="B122" t="s">
        <v>2029</v>
      </c>
      <c r="C122" s="49">
        <v>1</v>
      </c>
      <c r="D122" s="49">
        <v>6.5778159931212388E-2</v>
      </c>
      <c r="E122" s="49">
        <v>3.5683576956147892E-2</v>
      </c>
      <c r="F122" s="49">
        <v>2.2785898538263114E-2</v>
      </c>
      <c r="G122" s="49">
        <v>4.7291487532244193E-3</v>
      </c>
      <c r="H122" s="49">
        <v>7.3086844368013756E-3</v>
      </c>
      <c r="I122" s="49">
        <v>4.9441100601891656E-2</v>
      </c>
      <c r="J122" s="49">
        <v>2.4505588993981083E-2</v>
      </c>
      <c r="K122" s="49">
        <v>0.53525365434221839</v>
      </c>
      <c r="L122" s="49">
        <v>5.6749785038693032E-2</v>
      </c>
      <c r="M122" s="49">
        <v>3.0094582975064487E-3</v>
      </c>
      <c r="N122" s="49">
        <v>4.2992261392949269E-3</v>
      </c>
      <c r="O122" s="49">
        <v>0.36328460877042135</v>
      </c>
      <c r="P122" s="49">
        <v>4.9011177987962166E-2</v>
      </c>
      <c r="Q122" s="49">
        <v>4.299226139294927E-4</v>
      </c>
      <c r="R122" s="49">
        <v>8.598452278589854E-4</v>
      </c>
      <c r="S122" s="49">
        <v>2.1496130696474634E-3</v>
      </c>
      <c r="T122" s="49">
        <v>3.869303525365434E-3</v>
      </c>
      <c r="U122" s="49">
        <v>6.0189165950128975E-3</v>
      </c>
    </row>
    <row r="123" spans="1:21">
      <c r="A123" t="s">
        <v>1372</v>
      </c>
      <c r="B123" t="s">
        <v>2039</v>
      </c>
      <c r="C123" s="49">
        <v>1</v>
      </c>
      <c r="D123" s="49">
        <v>4.2857142857142858E-2</v>
      </c>
      <c r="E123" s="49">
        <v>6.2500000000000003E-3</v>
      </c>
      <c r="F123" s="49">
        <v>4.0178571428571425E-3</v>
      </c>
      <c r="G123" s="49">
        <v>3.2589285714285716E-2</v>
      </c>
      <c r="H123" s="49">
        <v>1.1607142857142858E-2</v>
      </c>
      <c r="I123" s="49">
        <v>0.1299107142857143</v>
      </c>
      <c r="J123" s="49">
        <v>2.5000000000000001E-2</v>
      </c>
      <c r="K123" s="49">
        <v>0.48303571428571429</v>
      </c>
      <c r="L123" s="49">
        <v>4.1517857142857141E-2</v>
      </c>
      <c r="M123" s="49">
        <v>8.9285714285714283E-4</v>
      </c>
      <c r="N123" s="49">
        <v>1.3392857142857143E-3</v>
      </c>
      <c r="O123" s="49">
        <v>0.34241071428571429</v>
      </c>
      <c r="P123" s="49">
        <v>3.7946428571428568E-2</v>
      </c>
      <c r="Q123" s="49">
        <v>0</v>
      </c>
      <c r="R123" s="49">
        <v>5.8035714285714288E-3</v>
      </c>
      <c r="S123" s="49">
        <v>4.0178571428571425E-3</v>
      </c>
      <c r="T123" s="49">
        <v>2.6785714285714286E-3</v>
      </c>
      <c r="U123" s="49">
        <v>8.9285714285714283E-4</v>
      </c>
    </row>
    <row r="124" spans="1:21">
      <c r="A124" t="s">
        <v>74</v>
      </c>
      <c r="B124" t="s">
        <v>2025</v>
      </c>
      <c r="C124" s="49">
        <v>1</v>
      </c>
      <c r="D124" s="49">
        <v>3.4419458467186782E-2</v>
      </c>
      <c r="E124" s="49">
        <v>5.9660394676457089E-3</v>
      </c>
      <c r="F124" s="49">
        <v>4.8187241854061496E-3</v>
      </c>
      <c r="G124" s="49">
        <v>1.1473152822395595E-3</v>
      </c>
      <c r="H124" s="49">
        <v>1.8357044515832951E-3</v>
      </c>
      <c r="I124" s="49">
        <v>1.7668655346489214E-2</v>
      </c>
      <c r="J124" s="49">
        <v>1.0325837540156035E-2</v>
      </c>
      <c r="K124" s="49">
        <v>0.85589720055071139</v>
      </c>
      <c r="L124" s="49">
        <v>3.1895364846259752E-2</v>
      </c>
      <c r="M124" s="49">
        <v>2.2946305644791189E-4</v>
      </c>
      <c r="N124" s="49">
        <v>4.5892611289582378E-4</v>
      </c>
      <c r="O124" s="49">
        <v>0.11656723267553924</v>
      </c>
      <c r="P124" s="49">
        <v>1.6291877007801745E-2</v>
      </c>
      <c r="Q124" s="49">
        <v>0</v>
      </c>
      <c r="R124" s="49">
        <v>3.4419458467186783E-3</v>
      </c>
      <c r="S124" s="49">
        <v>2.5240936209270305E-3</v>
      </c>
      <c r="T124" s="49">
        <v>1.1473152822395595E-3</v>
      </c>
      <c r="U124" s="49">
        <v>0</v>
      </c>
    </row>
    <row r="125" spans="1:21">
      <c r="A125" t="s">
        <v>137</v>
      </c>
      <c r="B125" t="s">
        <v>2045</v>
      </c>
      <c r="C125" s="49">
        <v>1</v>
      </c>
      <c r="D125" s="49">
        <v>0.11614173228346457</v>
      </c>
      <c r="E125" s="49">
        <v>0</v>
      </c>
      <c r="F125" s="49">
        <v>1.7716535433070866E-2</v>
      </c>
      <c r="G125" s="49">
        <v>0</v>
      </c>
      <c r="H125" s="49">
        <v>1.7716535433070866E-2</v>
      </c>
      <c r="I125" s="49">
        <v>1.1811023622047244E-2</v>
      </c>
      <c r="J125" s="49">
        <v>1.1811023622047244E-2</v>
      </c>
      <c r="K125" s="49">
        <v>0.86614173228346458</v>
      </c>
      <c r="L125" s="49">
        <v>0.11220472440944881</v>
      </c>
      <c r="M125" s="49">
        <v>0</v>
      </c>
      <c r="N125" s="49">
        <v>1.7716535433070866E-2</v>
      </c>
      <c r="O125" s="49">
        <v>0.1141732283464567</v>
      </c>
      <c r="P125" s="49">
        <v>3.1496062992125984E-2</v>
      </c>
      <c r="Q125" s="49">
        <v>0</v>
      </c>
      <c r="R125" s="49">
        <v>1.7716535433070866E-2</v>
      </c>
      <c r="S125" s="49">
        <v>7.874015748031496E-3</v>
      </c>
      <c r="T125" s="49">
        <v>7.874015748031496E-3</v>
      </c>
      <c r="U125" s="49">
        <v>0</v>
      </c>
    </row>
    <row r="126" spans="1:21">
      <c r="A126" t="s">
        <v>1586</v>
      </c>
      <c r="B126" t="s">
        <v>2037</v>
      </c>
      <c r="C126" s="49">
        <v>1</v>
      </c>
      <c r="D126" s="49">
        <v>1.7899291896144767E-2</v>
      </c>
      <c r="E126" s="49">
        <v>5.4316061593795664E-2</v>
      </c>
      <c r="F126" s="49">
        <v>8.14881420703608E-3</v>
      </c>
      <c r="G126" s="49">
        <v>1.3993480948634372E-2</v>
      </c>
      <c r="H126" s="49">
        <v>4.3835000561987187E-3</v>
      </c>
      <c r="I126" s="49">
        <v>6.9433516915814314E-2</v>
      </c>
      <c r="J126" s="49">
        <v>9.3851860177587947E-3</v>
      </c>
      <c r="K126" s="49">
        <v>0.75665954816230185</v>
      </c>
      <c r="L126" s="49">
        <v>2.2648083623693381E-2</v>
      </c>
      <c r="M126" s="49">
        <v>1.6943913678768123E-2</v>
      </c>
      <c r="N126" s="49">
        <v>5.0297853208946834E-3</v>
      </c>
      <c r="O126" s="49">
        <v>7.0107901539844891E-2</v>
      </c>
      <c r="P126" s="49">
        <v>1.0340564235135439E-2</v>
      </c>
      <c r="Q126" s="49">
        <v>3.6529167134989322E-4</v>
      </c>
      <c r="R126" s="49">
        <v>6.1818590536135776E-4</v>
      </c>
      <c r="S126" s="49">
        <v>1.4162077104642014E-2</v>
      </c>
      <c r="T126" s="49">
        <v>4.3835000561987187E-3</v>
      </c>
      <c r="U126" s="49">
        <v>4.0182083848488252E-3</v>
      </c>
    </row>
    <row r="127" spans="1:21">
      <c r="A127" t="s">
        <v>1587</v>
      </c>
      <c r="B127" t="s">
        <v>2040</v>
      </c>
      <c r="C127" s="49">
        <v>1</v>
      </c>
      <c r="D127" s="49">
        <v>7.6134894684814847E-3</v>
      </c>
      <c r="E127" s="49">
        <v>0.82159151395331154</v>
      </c>
      <c r="F127" s="49">
        <v>1.093072770131549E-2</v>
      </c>
      <c r="G127" s="49">
        <v>8.5164626264162425E-3</v>
      </c>
      <c r="H127" s="49">
        <v>1.5683218006235268E-3</v>
      </c>
      <c r="I127" s="49">
        <v>0.13469508022203636</v>
      </c>
      <c r="J127" s="49">
        <v>7.3568549920158162E-3</v>
      </c>
      <c r="K127" s="49">
        <v>2.3097102881910123E-2</v>
      </c>
      <c r="L127" s="49">
        <v>3.6879324766177475E-3</v>
      </c>
      <c r="M127" s="49">
        <v>2.1861455402630978E-4</v>
      </c>
      <c r="N127" s="49">
        <v>2.4712949585582847E-4</v>
      </c>
      <c r="O127" s="49">
        <v>6.2067523382252302E-3</v>
      </c>
      <c r="P127" s="49">
        <v>1.777431374039997E-3</v>
      </c>
      <c r="Q127" s="49">
        <v>0</v>
      </c>
      <c r="R127" s="49">
        <v>2.0910957341647022E-4</v>
      </c>
      <c r="S127" s="49">
        <v>3.146148581856893E-3</v>
      </c>
      <c r="T127" s="49">
        <v>1.2356474792791423E-3</v>
      </c>
      <c r="U127" s="49">
        <v>2.5283248422173217E-3</v>
      </c>
    </row>
    <row r="128" spans="1:21">
      <c r="A128" t="s">
        <v>1391</v>
      </c>
      <c r="B128" t="s">
        <v>2030</v>
      </c>
      <c r="C128" s="49">
        <v>1</v>
      </c>
      <c r="D128" s="49">
        <v>4.5556385362210607E-2</v>
      </c>
      <c r="E128" s="49">
        <v>1.6430171769977596E-2</v>
      </c>
      <c r="F128" s="49">
        <v>1.2696041822255415E-2</v>
      </c>
      <c r="G128" s="49">
        <v>0</v>
      </c>
      <c r="H128" s="49">
        <v>9.7087378640776691E-3</v>
      </c>
      <c r="I128" s="49">
        <v>1.2696041822255415E-2</v>
      </c>
      <c r="J128" s="49">
        <v>1.0455563853622106E-2</v>
      </c>
      <c r="K128" s="49">
        <v>0.85287528005974611</v>
      </c>
      <c r="L128" s="49">
        <v>4.8543689320388349E-2</v>
      </c>
      <c r="M128" s="49">
        <v>0</v>
      </c>
      <c r="N128" s="49">
        <v>9.7087378640776691E-3</v>
      </c>
      <c r="O128" s="49">
        <v>0.11277072442120986</v>
      </c>
      <c r="P128" s="49">
        <v>2.3898431665421958E-2</v>
      </c>
      <c r="Q128" s="49">
        <v>2.2404779686333084E-3</v>
      </c>
      <c r="R128" s="49">
        <v>4.4809559372666168E-3</v>
      </c>
      <c r="S128" s="49">
        <v>2.9873039581777448E-3</v>
      </c>
      <c r="T128" s="49">
        <v>5.2277819268110532E-3</v>
      </c>
      <c r="U128" s="49">
        <v>0</v>
      </c>
    </row>
    <row r="129" spans="1:21">
      <c r="A129" t="s">
        <v>139</v>
      </c>
      <c r="B129" t="s">
        <v>2030</v>
      </c>
      <c r="C129" s="49">
        <v>1</v>
      </c>
      <c r="D129" s="49">
        <v>4.5556385362210607E-2</v>
      </c>
      <c r="E129" s="49">
        <v>1.6430171769977596E-2</v>
      </c>
      <c r="F129" s="49">
        <v>1.2696041822255415E-2</v>
      </c>
      <c r="G129" s="49">
        <v>0</v>
      </c>
      <c r="H129" s="49">
        <v>9.7087378640776691E-3</v>
      </c>
      <c r="I129" s="49">
        <v>1.2696041822255415E-2</v>
      </c>
      <c r="J129" s="49">
        <v>1.0455563853622106E-2</v>
      </c>
      <c r="K129" s="49">
        <v>0.85287528005974611</v>
      </c>
      <c r="L129" s="49">
        <v>4.8543689320388349E-2</v>
      </c>
      <c r="M129" s="49">
        <v>0</v>
      </c>
      <c r="N129" s="49">
        <v>9.7087378640776691E-3</v>
      </c>
      <c r="O129" s="49">
        <v>0.11277072442120986</v>
      </c>
      <c r="P129" s="49">
        <v>2.3898431665421958E-2</v>
      </c>
      <c r="Q129" s="49">
        <v>2.2404779686333084E-3</v>
      </c>
      <c r="R129" s="49">
        <v>4.4809559372666168E-3</v>
      </c>
      <c r="S129" s="49">
        <v>2.9873039581777448E-3</v>
      </c>
      <c r="T129" s="49">
        <v>5.2277819268110532E-3</v>
      </c>
      <c r="U129" s="49">
        <v>0</v>
      </c>
    </row>
    <row r="130" spans="1:21">
      <c r="A130" t="s">
        <v>141</v>
      </c>
      <c r="B130" t="s">
        <v>2035</v>
      </c>
      <c r="C130" s="49">
        <v>1</v>
      </c>
      <c r="D130" s="49">
        <v>7.2043010752688166E-2</v>
      </c>
      <c r="E130" s="49">
        <v>2.0430107526881722E-2</v>
      </c>
      <c r="F130" s="49">
        <v>1.2903225806451613E-2</v>
      </c>
      <c r="G130" s="49">
        <v>1.5053763440860216E-2</v>
      </c>
      <c r="H130" s="49">
        <v>1.1827956989247311E-2</v>
      </c>
      <c r="I130" s="49">
        <v>1.3978494623655914E-2</v>
      </c>
      <c r="J130" s="49">
        <v>1.1827956989247311E-2</v>
      </c>
      <c r="K130" s="49">
        <v>0.64193548387096777</v>
      </c>
      <c r="L130" s="49">
        <v>7.0967741935483872E-2</v>
      </c>
      <c r="M130" s="49">
        <v>0</v>
      </c>
      <c r="N130" s="49">
        <v>9.6774193548387101E-3</v>
      </c>
      <c r="O130" s="49">
        <v>0.3032258064516129</v>
      </c>
      <c r="P130" s="49">
        <v>5.3763440860215055E-2</v>
      </c>
      <c r="Q130" s="49">
        <v>4.3010752688172043E-3</v>
      </c>
      <c r="R130" s="49">
        <v>6.4516129032258064E-3</v>
      </c>
      <c r="S130" s="49">
        <v>1.0752688172043011E-3</v>
      </c>
      <c r="T130" s="49">
        <v>4.3010752688172043E-3</v>
      </c>
      <c r="U130" s="49">
        <v>0</v>
      </c>
    </row>
    <row r="131" spans="1:21">
      <c r="A131" t="s">
        <v>75</v>
      </c>
      <c r="B131" t="s">
        <v>2041</v>
      </c>
      <c r="C131" s="49">
        <v>1</v>
      </c>
      <c r="D131" s="49">
        <v>3.68251698248123E-2</v>
      </c>
      <c r="E131" s="49">
        <v>1.2870933142652842E-2</v>
      </c>
      <c r="F131" s="49">
        <v>7.5080443332141578E-3</v>
      </c>
      <c r="G131" s="49">
        <v>3.5752592062924561E-3</v>
      </c>
      <c r="H131" s="49">
        <v>3.5752592062924561E-3</v>
      </c>
      <c r="I131" s="49">
        <v>2.7887021809081158E-2</v>
      </c>
      <c r="J131" s="49">
        <v>1.3228459063282088E-2</v>
      </c>
      <c r="K131" s="49">
        <v>0.91383625312835182</v>
      </c>
      <c r="L131" s="49">
        <v>3.5037540221666073E-2</v>
      </c>
      <c r="M131" s="49">
        <v>0</v>
      </c>
      <c r="N131" s="49">
        <v>4.6478369681801929E-3</v>
      </c>
      <c r="O131" s="49">
        <v>4.0757954951734003E-2</v>
      </c>
      <c r="P131" s="49">
        <v>1.0725777618877368E-2</v>
      </c>
      <c r="Q131" s="49">
        <v>0</v>
      </c>
      <c r="R131" s="49">
        <v>4.6478369681801929E-3</v>
      </c>
      <c r="S131" s="49">
        <v>1.0725777618877368E-3</v>
      </c>
      <c r="T131" s="49">
        <v>1.4301036825169824E-3</v>
      </c>
      <c r="U131" s="49">
        <v>0</v>
      </c>
    </row>
    <row r="132" spans="1:21">
      <c r="A132" t="s">
        <v>76</v>
      </c>
      <c r="B132" t="s">
        <v>2027</v>
      </c>
      <c r="C132" s="49">
        <v>1</v>
      </c>
      <c r="D132" s="49">
        <v>3.5550458715596332E-2</v>
      </c>
      <c r="E132" s="49">
        <v>1.7201834862385322E-2</v>
      </c>
      <c r="F132" s="49">
        <v>1.0321100917431193E-2</v>
      </c>
      <c r="G132" s="49">
        <v>4.0137614678899085E-3</v>
      </c>
      <c r="H132" s="49">
        <v>4.0137614678899085E-3</v>
      </c>
      <c r="I132" s="49">
        <v>1.6628440366972478E-2</v>
      </c>
      <c r="J132" s="49">
        <v>8.600917431192661E-3</v>
      </c>
      <c r="K132" s="49">
        <v>0.76720183486238536</v>
      </c>
      <c r="L132" s="49">
        <v>3.6123853211009173E-2</v>
      </c>
      <c r="M132" s="49">
        <v>1.1467889908256881E-3</v>
      </c>
      <c r="N132" s="49">
        <v>1.7201834862385322E-3</v>
      </c>
      <c r="O132" s="49">
        <v>0.19094036697247707</v>
      </c>
      <c r="P132" s="49">
        <v>2.0642201834862386E-2</v>
      </c>
      <c r="Q132" s="49">
        <v>0</v>
      </c>
      <c r="R132" s="49">
        <v>7.4541284403669729E-3</v>
      </c>
      <c r="S132" s="49">
        <v>2.8669724770642203E-3</v>
      </c>
      <c r="T132" s="49">
        <v>2.8669724770642203E-3</v>
      </c>
      <c r="U132" s="49">
        <v>0</v>
      </c>
    </row>
    <row r="133" spans="1:21">
      <c r="A133" t="s">
        <v>1009</v>
      </c>
      <c r="B133" t="s">
        <v>2037</v>
      </c>
      <c r="C133" s="49">
        <v>1</v>
      </c>
      <c r="D133" s="49">
        <v>1.7899291896144767E-2</v>
      </c>
      <c r="E133" s="49">
        <v>5.4316061593795664E-2</v>
      </c>
      <c r="F133" s="49">
        <v>8.14881420703608E-3</v>
      </c>
      <c r="G133" s="49">
        <v>1.3993480948634372E-2</v>
      </c>
      <c r="H133" s="49">
        <v>4.3835000561987187E-3</v>
      </c>
      <c r="I133" s="49">
        <v>6.9433516915814314E-2</v>
      </c>
      <c r="J133" s="49">
        <v>9.3851860177587947E-3</v>
      </c>
      <c r="K133" s="49">
        <v>0.75665954816230185</v>
      </c>
      <c r="L133" s="49">
        <v>2.2648083623693381E-2</v>
      </c>
      <c r="M133" s="49">
        <v>1.6943913678768123E-2</v>
      </c>
      <c r="N133" s="49">
        <v>5.0297853208946834E-3</v>
      </c>
      <c r="O133" s="49">
        <v>7.0107901539844891E-2</v>
      </c>
      <c r="P133" s="49">
        <v>1.0340564235135439E-2</v>
      </c>
      <c r="Q133" s="49">
        <v>3.6529167134989322E-4</v>
      </c>
      <c r="R133" s="49">
        <v>6.1818590536135776E-4</v>
      </c>
      <c r="S133" s="49">
        <v>1.4162077104642014E-2</v>
      </c>
      <c r="T133" s="49">
        <v>4.3835000561987187E-3</v>
      </c>
      <c r="U133" s="49">
        <v>4.0182083848488252E-3</v>
      </c>
    </row>
    <row r="134" spans="1:21">
      <c r="A134" t="s">
        <v>2055</v>
      </c>
      <c r="B134" t="s">
        <v>2037</v>
      </c>
      <c r="C134" s="49">
        <v>1</v>
      </c>
      <c r="D134" s="49">
        <v>1.7899291896144767E-2</v>
      </c>
      <c r="E134" s="49">
        <v>5.4316061593795664E-2</v>
      </c>
      <c r="F134" s="49">
        <v>8.14881420703608E-3</v>
      </c>
      <c r="G134" s="49">
        <v>1.3993480948634372E-2</v>
      </c>
      <c r="H134" s="49">
        <v>4.3835000561987187E-3</v>
      </c>
      <c r="I134" s="49">
        <v>6.9433516915814314E-2</v>
      </c>
      <c r="J134" s="49">
        <v>9.3851860177587947E-3</v>
      </c>
      <c r="K134" s="49">
        <v>0.75665954816230185</v>
      </c>
      <c r="L134" s="49">
        <v>2.2648083623693381E-2</v>
      </c>
      <c r="M134" s="49">
        <v>1.6943913678768123E-2</v>
      </c>
      <c r="N134" s="49">
        <v>5.0297853208946834E-3</v>
      </c>
      <c r="O134" s="49">
        <v>7.0107901539844891E-2</v>
      </c>
      <c r="P134" s="49">
        <v>1.0340564235135439E-2</v>
      </c>
      <c r="Q134" s="49">
        <v>3.6529167134989322E-4</v>
      </c>
      <c r="R134" s="49">
        <v>6.1818590536135776E-4</v>
      </c>
      <c r="S134" s="49">
        <v>1.4162077104642014E-2</v>
      </c>
      <c r="T134" s="49">
        <v>4.3835000561987187E-3</v>
      </c>
      <c r="U134" s="49">
        <v>4.0182083848488252E-3</v>
      </c>
    </row>
    <row r="135" spans="1:21">
      <c r="A135" t="s">
        <v>1523</v>
      </c>
      <c r="B135" t="s">
        <v>2031</v>
      </c>
      <c r="C135" s="49">
        <v>1</v>
      </c>
      <c r="D135" s="49">
        <v>1.3398451306108023E-2</v>
      </c>
      <c r="E135" s="49">
        <v>0.69887221668862254</v>
      </c>
      <c r="F135" s="49">
        <v>1.5679722391800276E-2</v>
      </c>
      <c r="G135" s="49">
        <v>1.2177489316582591E-2</v>
      </c>
      <c r="H135" s="49">
        <v>3.2451884458439095E-3</v>
      </c>
      <c r="I135" s="49">
        <v>5.7835041609099379E-2</v>
      </c>
      <c r="J135" s="49">
        <v>7.6149471451980848E-3</v>
      </c>
      <c r="K135" s="49">
        <v>0.1487645792500723</v>
      </c>
      <c r="L135" s="49">
        <v>9.1250843427690131E-3</v>
      </c>
      <c r="M135" s="49">
        <v>2.5061851363943066E-3</v>
      </c>
      <c r="N135" s="49">
        <v>1.2530925681971533E-3</v>
      </c>
      <c r="O135" s="49">
        <v>7.3836069787616879E-2</v>
      </c>
      <c r="P135" s="49">
        <v>6.8759438357484815E-3</v>
      </c>
      <c r="Q135" s="49">
        <v>0</v>
      </c>
      <c r="R135" s="49">
        <v>7.0687273077788134E-4</v>
      </c>
      <c r="S135" s="49">
        <v>4.2412363846672883E-3</v>
      </c>
      <c r="T135" s="49">
        <v>2.0242264563184783E-3</v>
      </c>
      <c r="U135" s="49">
        <v>1.7671818269447033E-3</v>
      </c>
    </row>
    <row r="136" spans="1:21">
      <c r="A136" t="s">
        <v>1010</v>
      </c>
      <c r="B136" t="s">
        <v>2028</v>
      </c>
      <c r="C136" s="49">
        <v>1</v>
      </c>
      <c r="D136" s="49">
        <v>3.9883268482490269E-2</v>
      </c>
      <c r="E136" s="49">
        <v>4.8638132295719845E-3</v>
      </c>
      <c r="F136" s="49">
        <v>5.8365758754863814E-3</v>
      </c>
      <c r="G136" s="49">
        <v>9.727626459143969E-4</v>
      </c>
      <c r="H136" s="49">
        <v>1.4591439688715954E-3</v>
      </c>
      <c r="I136" s="49">
        <v>8.7548638132295721E-3</v>
      </c>
      <c r="J136" s="49">
        <v>5.8365758754863814E-3</v>
      </c>
      <c r="K136" s="49">
        <v>0.51021400778210113</v>
      </c>
      <c r="L136" s="49">
        <v>2.6750972762645913E-2</v>
      </c>
      <c r="M136" s="49">
        <v>7.7821011673151752E-3</v>
      </c>
      <c r="N136" s="49">
        <v>5.350194552529183E-3</v>
      </c>
      <c r="O136" s="49">
        <v>0.46303501945525294</v>
      </c>
      <c r="P136" s="49">
        <v>3.1614785992217898E-2</v>
      </c>
      <c r="Q136" s="49">
        <v>9.727626459143969E-4</v>
      </c>
      <c r="R136" s="49">
        <v>1.4591439688715954E-3</v>
      </c>
      <c r="S136" s="49">
        <v>1.4591439688715954E-3</v>
      </c>
      <c r="T136" s="49">
        <v>1.9455252918287938E-3</v>
      </c>
      <c r="U136" s="49">
        <v>1.9455252918287938E-3</v>
      </c>
    </row>
    <row r="137" spans="1:21">
      <c r="A137" t="s">
        <v>1373</v>
      </c>
      <c r="B137" t="s">
        <v>2053</v>
      </c>
      <c r="C137" s="49">
        <v>1</v>
      </c>
      <c r="D137" s="49">
        <v>8.6746987951807228E-2</v>
      </c>
      <c r="E137" s="49">
        <v>3.2128514056224897E-2</v>
      </c>
      <c r="F137" s="49">
        <v>3.8554216867469883E-2</v>
      </c>
      <c r="G137" s="49">
        <v>7.2289156626506026E-3</v>
      </c>
      <c r="H137" s="49">
        <v>1.8473895582329317E-2</v>
      </c>
      <c r="I137" s="49">
        <v>4.1767068273092373E-2</v>
      </c>
      <c r="J137" s="49">
        <v>2.891566265060241E-2</v>
      </c>
      <c r="K137" s="49">
        <v>0.59839357429718876</v>
      </c>
      <c r="L137" s="49">
        <v>0.11244979919678715</v>
      </c>
      <c r="M137" s="49">
        <v>0</v>
      </c>
      <c r="N137" s="49">
        <v>7.2289156626506026E-3</v>
      </c>
      <c r="O137" s="49">
        <v>0.32048192771084338</v>
      </c>
      <c r="P137" s="49">
        <v>8.0321285140562249E-2</v>
      </c>
      <c r="Q137" s="49">
        <v>0</v>
      </c>
      <c r="R137" s="49">
        <v>7.2289156626506026E-3</v>
      </c>
      <c r="S137" s="49">
        <v>0</v>
      </c>
      <c r="T137" s="49">
        <v>7.2289156626506026E-3</v>
      </c>
      <c r="U137" s="49">
        <v>0</v>
      </c>
    </row>
    <row r="138" spans="1:21">
      <c r="A138" t="s">
        <v>1011</v>
      </c>
      <c r="B138" t="s">
        <v>2044</v>
      </c>
      <c r="C138" s="49">
        <v>1</v>
      </c>
      <c r="D138" s="49">
        <v>4.81892523364486E-2</v>
      </c>
      <c r="E138" s="49">
        <v>4.6436915887850469E-2</v>
      </c>
      <c r="F138" s="49">
        <v>1.8107476635514017E-2</v>
      </c>
      <c r="G138" s="49">
        <v>2.9205607476635514E-2</v>
      </c>
      <c r="H138" s="49">
        <v>2.0443925233644859E-2</v>
      </c>
      <c r="I138" s="49">
        <v>2.27803738317757E-2</v>
      </c>
      <c r="J138" s="49">
        <v>1.4310747663551402E-2</v>
      </c>
      <c r="K138" s="49">
        <v>0.67873831775700932</v>
      </c>
      <c r="L138" s="49">
        <v>5.1401869158878503E-2</v>
      </c>
      <c r="M138" s="49">
        <v>3.7967289719626168E-3</v>
      </c>
      <c r="N138" s="49">
        <v>3.5046728971962616E-3</v>
      </c>
      <c r="O138" s="49">
        <v>0.21290887850467291</v>
      </c>
      <c r="P138" s="49">
        <v>3.6214953271028034E-2</v>
      </c>
      <c r="Q138" s="49">
        <v>0</v>
      </c>
      <c r="R138" s="49">
        <v>3.7967289719626168E-3</v>
      </c>
      <c r="S138" s="49">
        <v>3.7967289719626168E-3</v>
      </c>
      <c r="T138" s="49">
        <v>4.0887850467289715E-3</v>
      </c>
      <c r="U138" s="49">
        <v>2.3364485981308409E-3</v>
      </c>
    </row>
    <row r="139" spans="1:21">
      <c r="A139" t="s">
        <v>293</v>
      </c>
      <c r="B139" t="s">
        <v>2037</v>
      </c>
      <c r="C139" s="49">
        <v>1</v>
      </c>
      <c r="D139" s="49">
        <v>1.7899291896144767E-2</v>
      </c>
      <c r="E139" s="49">
        <v>5.4316061593795664E-2</v>
      </c>
      <c r="F139" s="49">
        <v>8.14881420703608E-3</v>
      </c>
      <c r="G139" s="49">
        <v>1.3993480948634372E-2</v>
      </c>
      <c r="H139" s="49">
        <v>4.3835000561987187E-3</v>
      </c>
      <c r="I139" s="49">
        <v>6.9433516915814314E-2</v>
      </c>
      <c r="J139" s="49">
        <v>9.3851860177587947E-3</v>
      </c>
      <c r="K139" s="49">
        <v>0.75665954816230185</v>
      </c>
      <c r="L139" s="49">
        <v>2.2648083623693381E-2</v>
      </c>
      <c r="M139" s="49">
        <v>1.6943913678768123E-2</v>
      </c>
      <c r="N139" s="49">
        <v>5.0297853208946834E-3</v>
      </c>
      <c r="O139" s="49">
        <v>7.0107901539844891E-2</v>
      </c>
      <c r="P139" s="49">
        <v>1.0340564235135439E-2</v>
      </c>
      <c r="Q139" s="49">
        <v>3.6529167134989322E-4</v>
      </c>
      <c r="R139" s="49">
        <v>6.1818590536135776E-4</v>
      </c>
      <c r="S139" s="49">
        <v>1.4162077104642014E-2</v>
      </c>
      <c r="T139" s="49">
        <v>4.3835000561987187E-3</v>
      </c>
      <c r="U139" s="49">
        <v>4.0182083848488252E-3</v>
      </c>
    </row>
    <row r="140" spans="1:21">
      <c r="A140" t="s">
        <v>2056</v>
      </c>
      <c r="B140" t="s">
        <v>2037</v>
      </c>
      <c r="C140" s="49">
        <v>1</v>
      </c>
      <c r="D140" s="49">
        <v>1.7899291896144767E-2</v>
      </c>
      <c r="E140" s="49">
        <v>5.4316061593795664E-2</v>
      </c>
      <c r="F140" s="49">
        <v>8.14881420703608E-3</v>
      </c>
      <c r="G140" s="49">
        <v>1.3993480948634372E-2</v>
      </c>
      <c r="H140" s="49">
        <v>4.3835000561987187E-3</v>
      </c>
      <c r="I140" s="49">
        <v>6.9433516915814314E-2</v>
      </c>
      <c r="J140" s="49">
        <v>9.3851860177587947E-3</v>
      </c>
      <c r="K140" s="49">
        <v>0.75665954816230185</v>
      </c>
      <c r="L140" s="49">
        <v>2.2648083623693381E-2</v>
      </c>
      <c r="M140" s="49">
        <v>1.6943913678768123E-2</v>
      </c>
      <c r="N140" s="49">
        <v>5.0297853208946834E-3</v>
      </c>
      <c r="O140" s="49">
        <v>7.0107901539844891E-2</v>
      </c>
      <c r="P140" s="49">
        <v>1.0340564235135439E-2</v>
      </c>
      <c r="Q140" s="49">
        <v>3.6529167134989322E-4</v>
      </c>
      <c r="R140" s="49">
        <v>6.1818590536135776E-4</v>
      </c>
      <c r="S140" s="49">
        <v>1.4162077104642014E-2</v>
      </c>
      <c r="T140" s="49">
        <v>4.3835000561987187E-3</v>
      </c>
      <c r="U140" s="49">
        <v>4.0182083848488252E-3</v>
      </c>
    </row>
    <row r="141" spans="1:21">
      <c r="A141" t="s">
        <v>143</v>
      </c>
      <c r="B141" t="s">
        <v>2026</v>
      </c>
      <c r="C141" s="49">
        <v>1</v>
      </c>
      <c r="D141" s="49">
        <v>0.39770114942528734</v>
      </c>
      <c r="E141" s="49">
        <v>1.3793103448275862E-2</v>
      </c>
      <c r="F141" s="49">
        <v>2.2988505747126436E-2</v>
      </c>
      <c r="G141" s="49">
        <v>2.2988505747126436E-3</v>
      </c>
      <c r="H141" s="49">
        <v>1.1494252873563218E-2</v>
      </c>
      <c r="I141" s="49">
        <v>2.7586206896551724E-2</v>
      </c>
      <c r="J141" s="49">
        <v>2.528735632183908E-2</v>
      </c>
      <c r="K141" s="49">
        <v>0.92183908045977014</v>
      </c>
      <c r="L141" s="49">
        <v>0.35632183908045978</v>
      </c>
      <c r="M141" s="49">
        <v>0</v>
      </c>
      <c r="N141" s="49">
        <v>2.0689655172413793E-2</v>
      </c>
      <c r="O141" s="49">
        <v>2.9885057471264367E-2</v>
      </c>
      <c r="P141" s="49">
        <v>2.528735632183908E-2</v>
      </c>
      <c r="Q141" s="49">
        <v>0</v>
      </c>
      <c r="R141" s="49">
        <v>2.0689655172413793E-2</v>
      </c>
      <c r="S141" s="49">
        <v>4.5977011494252873E-3</v>
      </c>
      <c r="T141" s="49">
        <v>6.8965517241379309E-3</v>
      </c>
      <c r="U141" s="49">
        <v>0</v>
      </c>
    </row>
    <row r="142" spans="1:21">
      <c r="A142" t="s">
        <v>1588</v>
      </c>
      <c r="B142" t="s">
        <v>2031</v>
      </c>
      <c r="C142" s="49">
        <v>1</v>
      </c>
      <c r="D142" s="49">
        <v>1.3398451306108023E-2</v>
      </c>
      <c r="E142" s="49">
        <v>0.69887221668862254</v>
      </c>
      <c r="F142" s="49">
        <v>1.5679722391800276E-2</v>
      </c>
      <c r="G142" s="49">
        <v>1.2177489316582591E-2</v>
      </c>
      <c r="H142" s="49">
        <v>3.2451884458439095E-3</v>
      </c>
      <c r="I142" s="49">
        <v>5.7835041609099379E-2</v>
      </c>
      <c r="J142" s="49">
        <v>7.6149471451980848E-3</v>
      </c>
      <c r="K142" s="49">
        <v>0.1487645792500723</v>
      </c>
      <c r="L142" s="49">
        <v>9.1250843427690131E-3</v>
      </c>
      <c r="M142" s="49">
        <v>2.5061851363943066E-3</v>
      </c>
      <c r="N142" s="49">
        <v>1.2530925681971533E-3</v>
      </c>
      <c r="O142" s="49">
        <v>7.3836069787616879E-2</v>
      </c>
      <c r="P142" s="49">
        <v>6.8759438357484815E-3</v>
      </c>
      <c r="Q142" s="49">
        <v>0</v>
      </c>
      <c r="R142" s="49">
        <v>7.0687273077788134E-4</v>
      </c>
      <c r="S142" s="49">
        <v>4.2412363846672883E-3</v>
      </c>
      <c r="T142" s="49">
        <v>2.0242264563184783E-3</v>
      </c>
      <c r="U142" s="49">
        <v>1.7671818269447033E-3</v>
      </c>
    </row>
    <row r="143" spans="1:21">
      <c r="A143" t="s">
        <v>1589</v>
      </c>
      <c r="B143" t="s">
        <v>2037</v>
      </c>
      <c r="C143" s="49">
        <v>1</v>
      </c>
      <c r="D143" s="49">
        <v>1.7899291896144767E-2</v>
      </c>
      <c r="E143" s="49">
        <v>5.4316061593795664E-2</v>
      </c>
      <c r="F143" s="49">
        <v>8.14881420703608E-3</v>
      </c>
      <c r="G143" s="49">
        <v>1.3993480948634372E-2</v>
      </c>
      <c r="H143" s="49">
        <v>4.3835000561987187E-3</v>
      </c>
      <c r="I143" s="49">
        <v>6.9433516915814314E-2</v>
      </c>
      <c r="J143" s="49">
        <v>9.3851860177587947E-3</v>
      </c>
      <c r="K143" s="49">
        <v>0.75665954816230185</v>
      </c>
      <c r="L143" s="49">
        <v>2.2648083623693381E-2</v>
      </c>
      <c r="M143" s="49">
        <v>1.6943913678768123E-2</v>
      </c>
      <c r="N143" s="49">
        <v>5.0297853208946834E-3</v>
      </c>
      <c r="O143" s="49">
        <v>7.0107901539844891E-2</v>
      </c>
      <c r="P143" s="49">
        <v>1.0340564235135439E-2</v>
      </c>
      <c r="Q143" s="49">
        <v>3.6529167134989322E-4</v>
      </c>
      <c r="R143" s="49">
        <v>6.1818590536135776E-4</v>
      </c>
      <c r="S143" s="49">
        <v>1.4162077104642014E-2</v>
      </c>
      <c r="T143" s="49">
        <v>4.3835000561987187E-3</v>
      </c>
      <c r="U143" s="49">
        <v>4.0182083848488252E-3</v>
      </c>
    </row>
    <row r="144" spans="1:21">
      <c r="A144" t="s">
        <v>1392</v>
      </c>
      <c r="B144" t="s">
        <v>2034</v>
      </c>
      <c r="C144" s="49">
        <v>1</v>
      </c>
      <c r="D144" s="49">
        <v>0.12011173184357542</v>
      </c>
      <c r="E144" s="49">
        <v>1.3966480446927373E-2</v>
      </c>
      <c r="F144" s="49">
        <v>2.23463687150838E-2</v>
      </c>
      <c r="G144" s="49">
        <v>0</v>
      </c>
      <c r="H144" s="49">
        <v>1.2569832402234637E-2</v>
      </c>
      <c r="I144" s="49">
        <v>3.6312849162011177E-2</v>
      </c>
      <c r="J144" s="49">
        <v>2.7932960893854747E-2</v>
      </c>
      <c r="K144" s="49">
        <v>0.56564245810055869</v>
      </c>
      <c r="L144" s="49">
        <v>0.11312849162011174</v>
      </c>
      <c r="M144" s="49">
        <v>0.15502793296089384</v>
      </c>
      <c r="N144" s="49">
        <v>6.4245810055865923E-2</v>
      </c>
      <c r="O144" s="49">
        <v>0.22905027932960895</v>
      </c>
      <c r="P144" s="49">
        <v>7.2625698324022353E-2</v>
      </c>
      <c r="Q144" s="49">
        <v>0</v>
      </c>
      <c r="R144" s="49">
        <v>1.2569832402234637E-2</v>
      </c>
      <c r="S144" s="49">
        <v>0</v>
      </c>
      <c r="T144" s="49">
        <v>1.2569832402234637E-2</v>
      </c>
      <c r="U144" s="49">
        <v>0</v>
      </c>
    </row>
    <row r="145" spans="1:21">
      <c r="A145" t="s">
        <v>1393</v>
      </c>
      <c r="B145" t="s">
        <v>2031</v>
      </c>
      <c r="C145" s="49">
        <v>1</v>
      </c>
      <c r="D145" s="49">
        <v>1.3398451306108023E-2</v>
      </c>
      <c r="E145" s="49">
        <v>0.69887221668862254</v>
      </c>
      <c r="F145" s="49">
        <v>1.5679722391800276E-2</v>
      </c>
      <c r="G145" s="49">
        <v>1.2177489316582591E-2</v>
      </c>
      <c r="H145" s="49">
        <v>3.2451884458439095E-3</v>
      </c>
      <c r="I145" s="49">
        <v>5.7835041609099379E-2</v>
      </c>
      <c r="J145" s="49">
        <v>7.6149471451980848E-3</v>
      </c>
      <c r="K145" s="49">
        <v>0.1487645792500723</v>
      </c>
      <c r="L145" s="49">
        <v>9.1250843427690131E-3</v>
      </c>
      <c r="M145" s="49">
        <v>2.5061851363943066E-3</v>
      </c>
      <c r="N145" s="49">
        <v>1.2530925681971533E-3</v>
      </c>
      <c r="O145" s="49">
        <v>7.3836069787616879E-2</v>
      </c>
      <c r="P145" s="49">
        <v>6.8759438357484815E-3</v>
      </c>
      <c r="Q145" s="49">
        <v>0</v>
      </c>
      <c r="R145" s="49">
        <v>7.0687273077788134E-4</v>
      </c>
      <c r="S145" s="49">
        <v>4.2412363846672883E-3</v>
      </c>
      <c r="T145" s="49">
        <v>2.0242264563184783E-3</v>
      </c>
      <c r="U145" s="49">
        <v>1.7671818269447033E-3</v>
      </c>
    </row>
    <row r="146" spans="1:21">
      <c r="A146" t="s">
        <v>1524</v>
      </c>
      <c r="B146" t="s">
        <v>2028</v>
      </c>
      <c r="C146" s="49">
        <v>1</v>
      </c>
      <c r="D146" s="49">
        <v>3.9883268482490269E-2</v>
      </c>
      <c r="E146" s="49">
        <v>4.8638132295719845E-3</v>
      </c>
      <c r="F146" s="49">
        <v>5.8365758754863814E-3</v>
      </c>
      <c r="G146" s="49">
        <v>9.727626459143969E-4</v>
      </c>
      <c r="H146" s="49">
        <v>1.4591439688715954E-3</v>
      </c>
      <c r="I146" s="49">
        <v>8.7548638132295721E-3</v>
      </c>
      <c r="J146" s="49">
        <v>5.8365758754863814E-3</v>
      </c>
      <c r="K146" s="49">
        <v>0.51021400778210113</v>
      </c>
      <c r="L146" s="49">
        <v>2.6750972762645913E-2</v>
      </c>
      <c r="M146" s="49">
        <v>7.7821011673151752E-3</v>
      </c>
      <c r="N146" s="49">
        <v>5.350194552529183E-3</v>
      </c>
      <c r="O146" s="49">
        <v>0.46303501945525294</v>
      </c>
      <c r="P146" s="49">
        <v>3.1614785992217898E-2</v>
      </c>
      <c r="Q146" s="49">
        <v>9.727626459143969E-4</v>
      </c>
      <c r="R146" s="49">
        <v>1.4591439688715954E-3</v>
      </c>
      <c r="S146" s="49">
        <v>1.4591439688715954E-3</v>
      </c>
      <c r="T146" s="49">
        <v>1.9455252918287938E-3</v>
      </c>
      <c r="U146" s="49">
        <v>1.9455252918287938E-3</v>
      </c>
    </row>
    <row r="147" spans="1:21">
      <c r="A147" t="s">
        <v>1394</v>
      </c>
      <c r="B147" t="s">
        <v>2023</v>
      </c>
      <c r="C147" s="49">
        <v>1</v>
      </c>
      <c r="D147" s="49">
        <v>9.6805421103581799E-2</v>
      </c>
      <c r="E147" s="49">
        <v>1.9361084220716359E-2</v>
      </c>
      <c r="F147" s="49">
        <v>1.452081316553727E-2</v>
      </c>
      <c r="G147" s="49">
        <v>1.3552758954501452E-2</v>
      </c>
      <c r="H147" s="49">
        <v>9.6805421103581795E-3</v>
      </c>
      <c r="I147" s="49">
        <v>3.8722168441432718E-2</v>
      </c>
      <c r="J147" s="49">
        <v>1.8393030009680542E-2</v>
      </c>
      <c r="K147" s="49">
        <v>0.87415295256534364</v>
      </c>
      <c r="L147" s="49">
        <v>8.8092933204259441E-2</v>
      </c>
      <c r="M147" s="49">
        <v>0</v>
      </c>
      <c r="N147" s="49">
        <v>1.2584704743465635E-2</v>
      </c>
      <c r="O147" s="49">
        <v>1.452081316553727E-2</v>
      </c>
      <c r="P147" s="49">
        <v>9.6805421103581795E-3</v>
      </c>
      <c r="Q147" s="49">
        <v>0</v>
      </c>
      <c r="R147" s="49">
        <v>1.2584704743465635E-2</v>
      </c>
      <c r="S147" s="49">
        <v>3.7754114230396901E-2</v>
      </c>
      <c r="T147" s="49">
        <v>1.7424975798644726E-2</v>
      </c>
      <c r="U147" s="49">
        <v>1.9361084220716361E-3</v>
      </c>
    </row>
    <row r="148" spans="1:21">
      <c r="A148" t="s">
        <v>1590</v>
      </c>
      <c r="B148" t="s">
        <v>2029</v>
      </c>
      <c r="C148" s="49">
        <v>1</v>
      </c>
      <c r="D148" s="49">
        <v>6.5778159931212388E-2</v>
      </c>
      <c r="E148" s="49">
        <v>3.5683576956147892E-2</v>
      </c>
      <c r="F148" s="49">
        <v>2.2785898538263114E-2</v>
      </c>
      <c r="G148" s="49">
        <v>4.7291487532244193E-3</v>
      </c>
      <c r="H148" s="49">
        <v>7.3086844368013756E-3</v>
      </c>
      <c r="I148" s="49">
        <v>4.9441100601891656E-2</v>
      </c>
      <c r="J148" s="49">
        <v>2.4505588993981083E-2</v>
      </c>
      <c r="K148" s="49">
        <v>0.53525365434221839</v>
      </c>
      <c r="L148" s="49">
        <v>5.6749785038693032E-2</v>
      </c>
      <c r="M148" s="49">
        <v>3.0094582975064487E-3</v>
      </c>
      <c r="N148" s="49">
        <v>4.2992261392949269E-3</v>
      </c>
      <c r="O148" s="49">
        <v>0.36328460877042135</v>
      </c>
      <c r="P148" s="49">
        <v>4.9011177987962166E-2</v>
      </c>
      <c r="Q148" s="49">
        <v>4.299226139294927E-4</v>
      </c>
      <c r="R148" s="49">
        <v>8.598452278589854E-4</v>
      </c>
      <c r="S148" s="49">
        <v>2.1496130696474634E-3</v>
      </c>
      <c r="T148" s="49">
        <v>3.869303525365434E-3</v>
      </c>
      <c r="U148" s="49">
        <v>6.0189165950128975E-3</v>
      </c>
    </row>
    <row r="149" spans="1:21">
      <c r="A149" t="s">
        <v>2057</v>
      </c>
      <c r="B149" t="s">
        <v>2037</v>
      </c>
      <c r="C149" s="49">
        <v>1</v>
      </c>
      <c r="D149" s="49">
        <v>1.7899291896144767E-2</v>
      </c>
      <c r="E149" s="49">
        <v>5.4316061593795664E-2</v>
      </c>
      <c r="F149" s="49">
        <v>8.14881420703608E-3</v>
      </c>
      <c r="G149" s="49">
        <v>1.3993480948634372E-2</v>
      </c>
      <c r="H149" s="49">
        <v>4.3835000561987187E-3</v>
      </c>
      <c r="I149" s="49">
        <v>6.9433516915814314E-2</v>
      </c>
      <c r="J149" s="49">
        <v>9.3851860177587947E-3</v>
      </c>
      <c r="K149" s="49">
        <v>0.75665954816230185</v>
      </c>
      <c r="L149" s="49">
        <v>2.2648083623693381E-2</v>
      </c>
      <c r="M149" s="49">
        <v>1.6943913678768123E-2</v>
      </c>
      <c r="N149" s="49">
        <v>5.0297853208946834E-3</v>
      </c>
      <c r="O149" s="49">
        <v>7.0107901539844891E-2</v>
      </c>
      <c r="P149" s="49">
        <v>1.0340564235135439E-2</v>
      </c>
      <c r="Q149" s="49">
        <v>3.6529167134989322E-4</v>
      </c>
      <c r="R149" s="49">
        <v>6.1818590536135776E-4</v>
      </c>
      <c r="S149" s="49">
        <v>1.4162077104642014E-2</v>
      </c>
      <c r="T149" s="49">
        <v>4.3835000561987187E-3</v>
      </c>
      <c r="U149" s="49">
        <v>4.0182083848488252E-3</v>
      </c>
    </row>
    <row r="150" spans="1:21">
      <c r="A150" t="s">
        <v>17</v>
      </c>
      <c r="B150" t="s">
        <v>2028</v>
      </c>
      <c r="C150" s="49">
        <v>1</v>
      </c>
      <c r="D150" s="49">
        <v>3.9883268482490269E-2</v>
      </c>
      <c r="E150" s="49">
        <v>4.8638132295719845E-3</v>
      </c>
      <c r="F150" s="49">
        <v>5.8365758754863814E-3</v>
      </c>
      <c r="G150" s="49">
        <v>9.727626459143969E-4</v>
      </c>
      <c r="H150" s="49">
        <v>1.4591439688715954E-3</v>
      </c>
      <c r="I150" s="49">
        <v>8.7548638132295721E-3</v>
      </c>
      <c r="J150" s="49">
        <v>5.8365758754863814E-3</v>
      </c>
      <c r="K150" s="49">
        <v>0.51021400778210113</v>
      </c>
      <c r="L150" s="49">
        <v>2.6750972762645913E-2</v>
      </c>
      <c r="M150" s="49">
        <v>7.7821011673151752E-3</v>
      </c>
      <c r="N150" s="49">
        <v>5.350194552529183E-3</v>
      </c>
      <c r="O150" s="49">
        <v>0.46303501945525294</v>
      </c>
      <c r="P150" s="49">
        <v>3.1614785992217898E-2</v>
      </c>
      <c r="Q150" s="49">
        <v>9.727626459143969E-4</v>
      </c>
      <c r="R150" s="49">
        <v>1.4591439688715954E-3</v>
      </c>
      <c r="S150" s="49">
        <v>1.4591439688715954E-3</v>
      </c>
      <c r="T150" s="49">
        <v>1.9455252918287938E-3</v>
      </c>
      <c r="U150" s="49">
        <v>1.9455252918287938E-3</v>
      </c>
    </row>
    <row r="151" spans="1:21">
      <c r="A151" t="s">
        <v>1591</v>
      </c>
      <c r="B151" t="s">
        <v>2028</v>
      </c>
      <c r="C151" s="49">
        <v>1</v>
      </c>
      <c r="D151" s="49">
        <v>3.9883268482490269E-2</v>
      </c>
      <c r="E151" s="49">
        <v>4.8638132295719845E-3</v>
      </c>
      <c r="F151" s="49">
        <v>5.8365758754863814E-3</v>
      </c>
      <c r="G151" s="49">
        <v>9.727626459143969E-4</v>
      </c>
      <c r="H151" s="49">
        <v>1.4591439688715954E-3</v>
      </c>
      <c r="I151" s="49">
        <v>8.7548638132295721E-3</v>
      </c>
      <c r="J151" s="49">
        <v>5.8365758754863814E-3</v>
      </c>
      <c r="K151" s="49">
        <v>0.51021400778210113</v>
      </c>
      <c r="L151" s="49">
        <v>2.6750972762645913E-2</v>
      </c>
      <c r="M151" s="49">
        <v>7.7821011673151752E-3</v>
      </c>
      <c r="N151" s="49">
        <v>5.350194552529183E-3</v>
      </c>
      <c r="O151" s="49">
        <v>0.46303501945525294</v>
      </c>
      <c r="P151" s="49">
        <v>3.1614785992217898E-2</v>
      </c>
      <c r="Q151" s="49">
        <v>9.727626459143969E-4</v>
      </c>
      <c r="R151" s="49">
        <v>1.4591439688715954E-3</v>
      </c>
      <c r="S151" s="49">
        <v>1.4591439688715954E-3</v>
      </c>
      <c r="T151" s="49">
        <v>1.9455252918287938E-3</v>
      </c>
      <c r="U151" s="49">
        <v>1.9455252918287938E-3</v>
      </c>
    </row>
    <row r="152" spans="1:21">
      <c r="A152" t="s">
        <v>1592</v>
      </c>
      <c r="B152" t="s">
        <v>2037</v>
      </c>
      <c r="C152" s="49">
        <v>1</v>
      </c>
      <c r="D152" s="49">
        <v>1.7899291896144767E-2</v>
      </c>
      <c r="E152" s="49">
        <v>5.4316061593795664E-2</v>
      </c>
      <c r="F152" s="49">
        <v>8.14881420703608E-3</v>
      </c>
      <c r="G152" s="49">
        <v>1.3993480948634372E-2</v>
      </c>
      <c r="H152" s="49">
        <v>4.3835000561987187E-3</v>
      </c>
      <c r="I152" s="49">
        <v>6.9433516915814314E-2</v>
      </c>
      <c r="J152" s="49">
        <v>9.3851860177587947E-3</v>
      </c>
      <c r="K152" s="49">
        <v>0.75665954816230185</v>
      </c>
      <c r="L152" s="49">
        <v>2.2648083623693381E-2</v>
      </c>
      <c r="M152" s="49">
        <v>1.6943913678768123E-2</v>
      </c>
      <c r="N152" s="49">
        <v>5.0297853208946834E-3</v>
      </c>
      <c r="O152" s="49">
        <v>7.0107901539844891E-2</v>
      </c>
      <c r="P152" s="49">
        <v>1.0340564235135439E-2</v>
      </c>
      <c r="Q152" s="49">
        <v>3.6529167134989322E-4</v>
      </c>
      <c r="R152" s="49">
        <v>6.1818590536135776E-4</v>
      </c>
      <c r="S152" s="49">
        <v>1.4162077104642014E-2</v>
      </c>
      <c r="T152" s="49">
        <v>4.3835000561987187E-3</v>
      </c>
      <c r="U152" s="49">
        <v>4.0182083848488252E-3</v>
      </c>
    </row>
    <row r="153" spans="1:21">
      <c r="A153" t="s">
        <v>1593</v>
      </c>
      <c r="B153" t="s">
        <v>2033</v>
      </c>
      <c r="C153" s="49">
        <v>1</v>
      </c>
      <c r="D153" s="49">
        <v>2.0257826887661142E-2</v>
      </c>
      <c r="E153" s="49">
        <v>0.46183241252302026</v>
      </c>
      <c r="F153" s="49">
        <v>1.9843462246777164E-2</v>
      </c>
      <c r="G153" s="49">
        <v>4.2495395948434621E-2</v>
      </c>
      <c r="H153" s="49">
        <v>5.6629834254143642E-3</v>
      </c>
      <c r="I153" s="49">
        <v>6.3720073664825044E-2</v>
      </c>
      <c r="J153" s="49">
        <v>8.0570902394106816E-3</v>
      </c>
      <c r="K153" s="49">
        <v>0.30441988950276244</v>
      </c>
      <c r="L153" s="49">
        <v>1.6022099447513812E-2</v>
      </c>
      <c r="M153" s="49">
        <v>3.2228360957642726E-3</v>
      </c>
      <c r="N153" s="49">
        <v>1.4732965009208103E-3</v>
      </c>
      <c r="O153" s="49">
        <v>0.11754143646408839</v>
      </c>
      <c r="P153" s="49">
        <v>1.3305709023941069E-2</v>
      </c>
      <c r="Q153" s="49">
        <v>0</v>
      </c>
      <c r="R153" s="49">
        <v>1.0128913443830571E-3</v>
      </c>
      <c r="S153" s="49">
        <v>4.9723756906077344E-3</v>
      </c>
      <c r="T153" s="49">
        <v>2.2559852670349908E-3</v>
      </c>
      <c r="U153" s="49">
        <v>1.7955801104972376E-3</v>
      </c>
    </row>
    <row r="154" spans="1:21">
      <c r="A154" t="s">
        <v>1594</v>
      </c>
      <c r="B154" t="s">
        <v>2033</v>
      </c>
      <c r="C154" s="49">
        <v>1</v>
      </c>
      <c r="D154" s="49">
        <v>2.0257826887661142E-2</v>
      </c>
      <c r="E154" s="49">
        <v>0.46183241252302026</v>
      </c>
      <c r="F154" s="49">
        <v>1.9843462246777164E-2</v>
      </c>
      <c r="G154" s="49">
        <v>4.2495395948434621E-2</v>
      </c>
      <c r="H154" s="49">
        <v>5.6629834254143642E-3</v>
      </c>
      <c r="I154" s="49">
        <v>6.3720073664825044E-2</v>
      </c>
      <c r="J154" s="49">
        <v>8.0570902394106816E-3</v>
      </c>
      <c r="K154" s="49">
        <v>0.30441988950276244</v>
      </c>
      <c r="L154" s="49">
        <v>1.6022099447513812E-2</v>
      </c>
      <c r="M154" s="49">
        <v>3.2228360957642726E-3</v>
      </c>
      <c r="N154" s="49">
        <v>1.4732965009208103E-3</v>
      </c>
      <c r="O154" s="49">
        <v>0.11754143646408839</v>
      </c>
      <c r="P154" s="49">
        <v>1.3305709023941069E-2</v>
      </c>
      <c r="Q154" s="49">
        <v>0</v>
      </c>
      <c r="R154" s="49">
        <v>1.0128913443830571E-3</v>
      </c>
      <c r="S154" s="49">
        <v>4.9723756906077344E-3</v>
      </c>
      <c r="T154" s="49">
        <v>2.2559852670349908E-3</v>
      </c>
      <c r="U154" s="49">
        <v>1.7955801104972376E-3</v>
      </c>
    </row>
    <row r="155" spans="1:21">
      <c r="A155" t="s">
        <v>1595</v>
      </c>
      <c r="B155" t="s">
        <v>2033</v>
      </c>
      <c r="C155" s="49">
        <v>1</v>
      </c>
      <c r="D155" s="49">
        <v>2.0257826887661142E-2</v>
      </c>
      <c r="E155" s="49">
        <v>0.46183241252302026</v>
      </c>
      <c r="F155" s="49">
        <v>1.9843462246777164E-2</v>
      </c>
      <c r="G155" s="49">
        <v>4.2495395948434621E-2</v>
      </c>
      <c r="H155" s="49">
        <v>5.6629834254143642E-3</v>
      </c>
      <c r="I155" s="49">
        <v>6.3720073664825044E-2</v>
      </c>
      <c r="J155" s="49">
        <v>8.0570902394106816E-3</v>
      </c>
      <c r="K155" s="49">
        <v>0.30441988950276244</v>
      </c>
      <c r="L155" s="49">
        <v>1.6022099447513812E-2</v>
      </c>
      <c r="M155" s="49">
        <v>3.2228360957642726E-3</v>
      </c>
      <c r="N155" s="49">
        <v>1.4732965009208103E-3</v>
      </c>
      <c r="O155" s="49">
        <v>0.11754143646408839</v>
      </c>
      <c r="P155" s="49">
        <v>1.3305709023941069E-2</v>
      </c>
      <c r="Q155" s="49">
        <v>0</v>
      </c>
      <c r="R155" s="49">
        <v>1.0128913443830571E-3</v>
      </c>
      <c r="S155" s="49">
        <v>4.9723756906077344E-3</v>
      </c>
      <c r="T155" s="49">
        <v>2.2559852670349908E-3</v>
      </c>
      <c r="U155" s="49">
        <v>1.7955801104972376E-3</v>
      </c>
    </row>
    <row r="156" spans="1:21">
      <c r="A156" t="s">
        <v>1012</v>
      </c>
      <c r="B156" t="s">
        <v>2044</v>
      </c>
      <c r="C156" s="49">
        <v>1</v>
      </c>
      <c r="D156" s="49">
        <v>4.81892523364486E-2</v>
      </c>
      <c r="E156" s="49">
        <v>4.6436915887850469E-2</v>
      </c>
      <c r="F156" s="49">
        <v>1.8107476635514017E-2</v>
      </c>
      <c r="G156" s="49">
        <v>2.9205607476635514E-2</v>
      </c>
      <c r="H156" s="49">
        <v>2.0443925233644859E-2</v>
      </c>
      <c r="I156" s="49">
        <v>2.27803738317757E-2</v>
      </c>
      <c r="J156" s="49">
        <v>1.4310747663551402E-2</v>
      </c>
      <c r="K156" s="49">
        <v>0.67873831775700932</v>
      </c>
      <c r="L156" s="49">
        <v>5.1401869158878503E-2</v>
      </c>
      <c r="M156" s="49">
        <v>3.7967289719626168E-3</v>
      </c>
      <c r="N156" s="49">
        <v>3.5046728971962616E-3</v>
      </c>
      <c r="O156" s="49">
        <v>0.21290887850467291</v>
      </c>
      <c r="P156" s="49">
        <v>3.6214953271028034E-2</v>
      </c>
      <c r="Q156" s="49">
        <v>0</v>
      </c>
      <c r="R156" s="49">
        <v>3.7967289719626168E-3</v>
      </c>
      <c r="S156" s="49">
        <v>3.7967289719626168E-3</v>
      </c>
      <c r="T156" s="49">
        <v>4.0887850467289715E-3</v>
      </c>
      <c r="U156" s="49">
        <v>2.3364485981308409E-3</v>
      </c>
    </row>
    <row r="157" spans="1:21">
      <c r="A157" t="s">
        <v>256</v>
      </c>
      <c r="B157" t="s">
        <v>2028</v>
      </c>
      <c r="C157" s="49">
        <v>1</v>
      </c>
      <c r="D157" s="49">
        <v>3.9883268482490269E-2</v>
      </c>
      <c r="E157" s="49">
        <v>4.8638132295719845E-3</v>
      </c>
      <c r="F157" s="49">
        <v>5.8365758754863814E-3</v>
      </c>
      <c r="G157" s="49">
        <v>9.727626459143969E-4</v>
      </c>
      <c r="H157" s="49">
        <v>1.4591439688715954E-3</v>
      </c>
      <c r="I157" s="49">
        <v>8.7548638132295721E-3</v>
      </c>
      <c r="J157" s="49">
        <v>5.8365758754863814E-3</v>
      </c>
      <c r="K157" s="49">
        <v>0.51021400778210113</v>
      </c>
      <c r="L157" s="49">
        <v>2.6750972762645913E-2</v>
      </c>
      <c r="M157" s="49">
        <v>7.7821011673151752E-3</v>
      </c>
      <c r="N157" s="49">
        <v>5.350194552529183E-3</v>
      </c>
      <c r="O157" s="49">
        <v>0.46303501945525294</v>
      </c>
      <c r="P157" s="49">
        <v>3.1614785992217898E-2</v>
      </c>
      <c r="Q157" s="49">
        <v>9.727626459143969E-4</v>
      </c>
      <c r="R157" s="49">
        <v>1.4591439688715954E-3</v>
      </c>
      <c r="S157" s="49">
        <v>1.4591439688715954E-3</v>
      </c>
      <c r="T157" s="49">
        <v>1.9455252918287938E-3</v>
      </c>
      <c r="U157" s="49">
        <v>1.9455252918287938E-3</v>
      </c>
    </row>
    <row r="158" spans="1:21">
      <c r="A158" t="s">
        <v>77</v>
      </c>
      <c r="B158" t="s">
        <v>2041</v>
      </c>
      <c r="C158" s="49">
        <v>1</v>
      </c>
      <c r="D158" s="49">
        <v>3.68251698248123E-2</v>
      </c>
      <c r="E158" s="49">
        <v>1.2870933142652842E-2</v>
      </c>
      <c r="F158" s="49">
        <v>7.5080443332141578E-3</v>
      </c>
      <c r="G158" s="49">
        <v>3.5752592062924561E-3</v>
      </c>
      <c r="H158" s="49">
        <v>3.5752592062924561E-3</v>
      </c>
      <c r="I158" s="49">
        <v>2.7887021809081158E-2</v>
      </c>
      <c r="J158" s="49">
        <v>1.3228459063282088E-2</v>
      </c>
      <c r="K158" s="49">
        <v>0.91383625312835182</v>
      </c>
      <c r="L158" s="49">
        <v>3.5037540221666073E-2</v>
      </c>
      <c r="M158" s="49">
        <v>0</v>
      </c>
      <c r="N158" s="49">
        <v>4.6478369681801929E-3</v>
      </c>
      <c r="O158" s="49">
        <v>4.0757954951734003E-2</v>
      </c>
      <c r="P158" s="49">
        <v>1.0725777618877368E-2</v>
      </c>
      <c r="Q158" s="49">
        <v>0</v>
      </c>
      <c r="R158" s="49">
        <v>4.6478369681801929E-3</v>
      </c>
      <c r="S158" s="49">
        <v>1.0725777618877368E-3</v>
      </c>
      <c r="T158" s="49">
        <v>1.4301036825169824E-3</v>
      </c>
      <c r="U158" s="49">
        <v>0</v>
      </c>
    </row>
    <row r="159" spans="1:21">
      <c r="A159" t="s">
        <v>1374</v>
      </c>
      <c r="B159" t="s">
        <v>2035</v>
      </c>
      <c r="C159" s="49">
        <v>1</v>
      </c>
      <c r="D159" s="49">
        <v>7.2043010752688166E-2</v>
      </c>
      <c r="E159" s="49">
        <v>2.0430107526881722E-2</v>
      </c>
      <c r="F159" s="49">
        <v>1.2903225806451613E-2</v>
      </c>
      <c r="G159" s="49">
        <v>1.5053763440860216E-2</v>
      </c>
      <c r="H159" s="49">
        <v>1.1827956989247311E-2</v>
      </c>
      <c r="I159" s="49">
        <v>1.3978494623655914E-2</v>
      </c>
      <c r="J159" s="49">
        <v>1.1827956989247311E-2</v>
      </c>
      <c r="K159" s="49">
        <v>0.64193548387096777</v>
      </c>
      <c r="L159" s="49">
        <v>7.0967741935483872E-2</v>
      </c>
      <c r="M159" s="49">
        <v>0</v>
      </c>
      <c r="N159" s="49">
        <v>9.6774193548387101E-3</v>
      </c>
      <c r="O159" s="49">
        <v>0.3032258064516129</v>
      </c>
      <c r="P159" s="49">
        <v>5.3763440860215055E-2</v>
      </c>
      <c r="Q159" s="49">
        <v>4.3010752688172043E-3</v>
      </c>
      <c r="R159" s="49">
        <v>6.4516129032258064E-3</v>
      </c>
      <c r="S159" s="49">
        <v>1.0752688172043011E-3</v>
      </c>
      <c r="T159" s="49">
        <v>4.3010752688172043E-3</v>
      </c>
      <c r="U159" s="49">
        <v>0</v>
      </c>
    </row>
    <row r="160" spans="1:21">
      <c r="A160" t="s">
        <v>1596</v>
      </c>
      <c r="B160" t="s">
        <v>2031</v>
      </c>
      <c r="C160" s="49">
        <v>1</v>
      </c>
      <c r="D160" s="49">
        <v>1.3398451306108023E-2</v>
      </c>
      <c r="E160" s="49">
        <v>0.69887221668862254</v>
      </c>
      <c r="F160" s="49">
        <v>1.5679722391800276E-2</v>
      </c>
      <c r="G160" s="49">
        <v>1.2177489316582591E-2</v>
      </c>
      <c r="H160" s="49">
        <v>3.2451884458439095E-3</v>
      </c>
      <c r="I160" s="49">
        <v>5.7835041609099379E-2</v>
      </c>
      <c r="J160" s="49">
        <v>7.6149471451980848E-3</v>
      </c>
      <c r="K160" s="49">
        <v>0.1487645792500723</v>
      </c>
      <c r="L160" s="49">
        <v>9.1250843427690131E-3</v>
      </c>
      <c r="M160" s="49">
        <v>2.5061851363943066E-3</v>
      </c>
      <c r="N160" s="49">
        <v>1.2530925681971533E-3</v>
      </c>
      <c r="O160" s="49">
        <v>7.3836069787616879E-2</v>
      </c>
      <c r="P160" s="49">
        <v>6.8759438357484815E-3</v>
      </c>
      <c r="Q160" s="49">
        <v>0</v>
      </c>
      <c r="R160" s="49">
        <v>7.0687273077788134E-4</v>
      </c>
      <c r="S160" s="49">
        <v>4.2412363846672883E-3</v>
      </c>
      <c r="T160" s="49">
        <v>2.0242264563184783E-3</v>
      </c>
      <c r="U160" s="49">
        <v>1.7671818269447033E-3</v>
      </c>
    </row>
    <row r="161" spans="1:21">
      <c r="A161" t="s">
        <v>1395</v>
      </c>
      <c r="B161" t="s">
        <v>2025</v>
      </c>
      <c r="C161" s="49">
        <v>1</v>
      </c>
      <c r="D161" s="49">
        <v>3.4419458467186782E-2</v>
      </c>
      <c r="E161" s="49">
        <v>5.9660394676457089E-3</v>
      </c>
      <c r="F161" s="49">
        <v>4.8187241854061496E-3</v>
      </c>
      <c r="G161" s="49">
        <v>1.1473152822395595E-3</v>
      </c>
      <c r="H161" s="49">
        <v>1.8357044515832951E-3</v>
      </c>
      <c r="I161" s="49">
        <v>1.7668655346489214E-2</v>
      </c>
      <c r="J161" s="49">
        <v>1.0325837540156035E-2</v>
      </c>
      <c r="K161" s="49">
        <v>0.85589720055071139</v>
      </c>
      <c r="L161" s="49">
        <v>3.1895364846259752E-2</v>
      </c>
      <c r="M161" s="49">
        <v>2.2946305644791189E-4</v>
      </c>
      <c r="N161" s="49">
        <v>4.5892611289582378E-4</v>
      </c>
      <c r="O161" s="49">
        <v>0.11656723267553924</v>
      </c>
      <c r="P161" s="49">
        <v>1.6291877007801745E-2</v>
      </c>
      <c r="Q161" s="49">
        <v>0</v>
      </c>
      <c r="R161" s="49">
        <v>3.4419458467186783E-3</v>
      </c>
      <c r="S161" s="49">
        <v>2.5240936209270305E-3</v>
      </c>
      <c r="T161" s="49">
        <v>1.1473152822395595E-3</v>
      </c>
      <c r="U161" s="49">
        <v>0</v>
      </c>
    </row>
    <row r="162" spans="1:21">
      <c r="A162" t="s">
        <v>1013</v>
      </c>
      <c r="B162" t="s">
        <v>2040</v>
      </c>
      <c r="C162" s="49">
        <v>1</v>
      </c>
      <c r="D162" s="49">
        <v>7.6134894684814847E-3</v>
      </c>
      <c r="E162" s="49">
        <v>0.82159151395331154</v>
      </c>
      <c r="F162" s="49">
        <v>1.093072770131549E-2</v>
      </c>
      <c r="G162" s="49">
        <v>8.5164626264162425E-3</v>
      </c>
      <c r="H162" s="49">
        <v>1.5683218006235268E-3</v>
      </c>
      <c r="I162" s="49">
        <v>0.13469508022203636</v>
      </c>
      <c r="J162" s="49">
        <v>7.3568549920158162E-3</v>
      </c>
      <c r="K162" s="49">
        <v>2.3097102881910123E-2</v>
      </c>
      <c r="L162" s="49">
        <v>3.6879324766177475E-3</v>
      </c>
      <c r="M162" s="49">
        <v>2.1861455402630978E-4</v>
      </c>
      <c r="N162" s="49">
        <v>2.4712949585582847E-4</v>
      </c>
      <c r="O162" s="49">
        <v>6.2067523382252302E-3</v>
      </c>
      <c r="P162" s="49">
        <v>1.777431374039997E-3</v>
      </c>
      <c r="Q162" s="49">
        <v>0</v>
      </c>
      <c r="R162" s="49">
        <v>2.0910957341647022E-4</v>
      </c>
      <c r="S162" s="49">
        <v>3.146148581856893E-3</v>
      </c>
      <c r="T162" s="49">
        <v>1.2356474792791423E-3</v>
      </c>
      <c r="U162" s="49">
        <v>2.5283248422173217E-3</v>
      </c>
    </row>
    <row r="163" spans="1:21">
      <c r="A163" t="s">
        <v>1365</v>
      </c>
      <c r="B163" t="s">
        <v>2031</v>
      </c>
      <c r="C163" s="49">
        <v>1</v>
      </c>
      <c r="D163" s="49">
        <v>1.3398451306108023E-2</v>
      </c>
      <c r="E163" s="49">
        <v>0.69887221668862254</v>
      </c>
      <c r="F163" s="49">
        <v>1.5679722391800276E-2</v>
      </c>
      <c r="G163" s="49">
        <v>1.2177489316582591E-2</v>
      </c>
      <c r="H163" s="49">
        <v>3.2451884458439095E-3</v>
      </c>
      <c r="I163" s="49">
        <v>5.7835041609099379E-2</v>
      </c>
      <c r="J163" s="49">
        <v>7.6149471451980848E-3</v>
      </c>
      <c r="K163" s="49">
        <v>0.1487645792500723</v>
      </c>
      <c r="L163" s="49">
        <v>9.1250843427690131E-3</v>
      </c>
      <c r="M163" s="49">
        <v>2.5061851363943066E-3</v>
      </c>
      <c r="N163" s="49">
        <v>1.2530925681971533E-3</v>
      </c>
      <c r="O163" s="49">
        <v>7.3836069787616879E-2</v>
      </c>
      <c r="P163" s="49">
        <v>6.8759438357484815E-3</v>
      </c>
      <c r="Q163" s="49">
        <v>0</v>
      </c>
      <c r="R163" s="49">
        <v>7.0687273077788134E-4</v>
      </c>
      <c r="S163" s="49">
        <v>4.2412363846672883E-3</v>
      </c>
      <c r="T163" s="49">
        <v>2.0242264563184783E-3</v>
      </c>
      <c r="U163" s="49">
        <v>1.7671818269447033E-3</v>
      </c>
    </row>
    <row r="164" spans="1:21">
      <c r="A164" t="s">
        <v>1167</v>
      </c>
      <c r="B164" t="s">
        <v>2044</v>
      </c>
      <c r="C164" s="49">
        <v>1</v>
      </c>
      <c r="D164" s="49">
        <v>4.81892523364486E-2</v>
      </c>
      <c r="E164" s="49">
        <v>4.6436915887850469E-2</v>
      </c>
      <c r="F164" s="49">
        <v>1.8107476635514017E-2</v>
      </c>
      <c r="G164" s="49">
        <v>2.9205607476635514E-2</v>
      </c>
      <c r="H164" s="49">
        <v>2.0443925233644859E-2</v>
      </c>
      <c r="I164" s="49">
        <v>2.27803738317757E-2</v>
      </c>
      <c r="J164" s="49">
        <v>1.4310747663551402E-2</v>
      </c>
      <c r="K164" s="49">
        <v>0.67873831775700932</v>
      </c>
      <c r="L164" s="49">
        <v>5.1401869158878503E-2</v>
      </c>
      <c r="M164" s="49">
        <v>3.7967289719626168E-3</v>
      </c>
      <c r="N164" s="49">
        <v>3.5046728971962616E-3</v>
      </c>
      <c r="O164" s="49">
        <v>0.21290887850467291</v>
      </c>
      <c r="P164" s="49">
        <v>3.6214953271028034E-2</v>
      </c>
      <c r="Q164" s="49">
        <v>0</v>
      </c>
      <c r="R164" s="49">
        <v>3.7967289719626168E-3</v>
      </c>
      <c r="S164" s="49">
        <v>3.7967289719626168E-3</v>
      </c>
      <c r="T164" s="49">
        <v>4.0887850467289715E-3</v>
      </c>
      <c r="U164" s="49">
        <v>2.3364485981308409E-3</v>
      </c>
    </row>
    <row r="165" spans="1:21">
      <c r="A165" t="s">
        <v>2058</v>
      </c>
      <c r="B165" t="s">
        <v>2029</v>
      </c>
      <c r="C165" s="49">
        <v>1</v>
      </c>
      <c r="D165" s="49">
        <v>6.5778159931212388E-2</v>
      </c>
      <c r="E165" s="49">
        <v>3.5683576956147892E-2</v>
      </c>
      <c r="F165" s="49">
        <v>2.2785898538263114E-2</v>
      </c>
      <c r="G165" s="49">
        <v>4.7291487532244193E-3</v>
      </c>
      <c r="H165" s="49">
        <v>7.3086844368013756E-3</v>
      </c>
      <c r="I165" s="49">
        <v>4.9441100601891656E-2</v>
      </c>
      <c r="J165" s="49">
        <v>2.4505588993981083E-2</v>
      </c>
      <c r="K165" s="49">
        <v>0.53525365434221839</v>
      </c>
      <c r="L165" s="49">
        <v>5.6749785038693032E-2</v>
      </c>
      <c r="M165" s="49">
        <v>3.0094582975064487E-3</v>
      </c>
      <c r="N165" s="49">
        <v>4.2992261392949269E-3</v>
      </c>
      <c r="O165" s="49">
        <v>0.36328460877042135</v>
      </c>
      <c r="P165" s="49">
        <v>4.9011177987962166E-2</v>
      </c>
      <c r="Q165" s="49">
        <v>4.299226139294927E-4</v>
      </c>
      <c r="R165" s="49">
        <v>8.598452278589854E-4</v>
      </c>
      <c r="S165" s="49">
        <v>2.1496130696474634E-3</v>
      </c>
      <c r="T165" s="49">
        <v>3.869303525365434E-3</v>
      </c>
      <c r="U165" s="49">
        <v>6.0189165950128975E-3</v>
      </c>
    </row>
    <row r="166" spans="1:21">
      <c r="A166" t="s">
        <v>1597</v>
      </c>
      <c r="B166" t="s">
        <v>2037</v>
      </c>
      <c r="C166" s="49">
        <v>1</v>
      </c>
      <c r="D166" s="49">
        <v>1.7899291896144767E-2</v>
      </c>
      <c r="E166" s="49">
        <v>5.4316061593795664E-2</v>
      </c>
      <c r="F166" s="49">
        <v>8.14881420703608E-3</v>
      </c>
      <c r="G166" s="49">
        <v>1.3993480948634372E-2</v>
      </c>
      <c r="H166" s="49">
        <v>4.3835000561987187E-3</v>
      </c>
      <c r="I166" s="49">
        <v>6.9433516915814314E-2</v>
      </c>
      <c r="J166" s="49">
        <v>9.3851860177587947E-3</v>
      </c>
      <c r="K166" s="49">
        <v>0.75665954816230185</v>
      </c>
      <c r="L166" s="49">
        <v>2.2648083623693381E-2</v>
      </c>
      <c r="M166" s="49">
        <v>1.6943913678768123E-2</v>
      </c>
      <c r="N166" s="49">
        <v>5.0297853208946834E-3</v>
      </c>
      <c r="O166" s="49">
        <v>7.0107901539844891E-2</v>
      </c>
      <c r="P166" s="49">
        <v>1.0340564235135439E-2</v>
      </c>
      <c r="Q166" s="49">
        <v>3.6529167134989322E-4</v>
      </c>
      <c r="R166" s="49">
        <v>6.1818590536135776E-4</v>
      </c>
      <c r="S166" s="49">
        <v>1.4162077104642014E-2</v>
      </c>
      <c r="T166" s="49">
        <v>4.3835000561987187E-3</v>
      </c>
      <c r="U166" s="49">
        <v>4.0182083848488252E-3</v>
      </c>
    </row>
    <row r="167" spans="1:21">
      <c r="A167" t="s">
        <v>148</v>
      </c>
      <c r="B167" t="s">
        <v>2041</v>
      </c>
      <c r="C167" s="49">
        <v>1</v>
      </c>
      <c r="D167" s="49">
        <v>3.68251698248123E-2</v>
      </c>
      <c r="E167" s="49">
        <v>1.2870933142652842E-2</v>
      </c>
      <c r="F167" s="49">
        <v>7.5080443332141578E-3</v>
      </c>
      <c r="G167" s="49">
        <v>3.5752592062924561E-3</v>
      </c>
      <c r="H167" s="49">
        <v>3.5752592062924561E-3</v>
      </c>
      <c r="I167" s="49">
        <v>2.7887021809081158E-2</v>
      </c>
      <c r="J167" s="49">
        <v>1.3228459063282088E-2</v>
      </c>
      <c r="K167" s="49">
        <v>0.91383625312835182</v>
      </c>
      <c r="L167" s="49">
        <v>3.5037540221666073E-2</v>
      </c>
      <c r="M167" s="49">
        <v>0</v>
      </c>
      <c r="N167" s="49">
        <v>4.6478369681801929E-3</v>
      </c>
      <c r="O167" s="49">
        <v>4.0757954951734003E-2</v>
      </c>
      <c r="P167" s="49">
        <v>1.0725777618877368E-2</v>
      </c>
      <c r="Q167" s="49">
        <v>0</v>
      </c>
      <c r="R167" s="49">
        <v>4.6478369681801929E-3</v>
      </c>
      <c r="S167" s="49">
        <v>1.0725777618877368E-3</v>
      </c>
      <c r="T167" s="49">
        <v>1.4301036825169824E-3</v>
      </c>
      <c r="U167" s="49">
        <v>0</v>
      </c>
    </row>
    <row r="168" spans="1:21">
      <c r="A168" t="s">
        <v>78</v>
      </c>
      <c r="B168" t="s">
        <v>2025</v>
      </c>
      <c r="C168" s="49">
        <v>1</v>
      </c>
      <c r="D168" s="49">
        <v>3.4419458467186782E-2</v>
      </c>
      <c r="E168" s="49">
        <v>5.9660394676457089E-3</v>
      </c>
      <c r="F168" s="49">
        <v>4.8187241854061496E-3</v>
      </c>
      <c r="G168" s="49">
        <v>1.1473152822395595E-3</v>
      </c>
      <c r="H168" s="49">
        <v>1.8357044515832951E-3</v>
      </c>
      <c r="I168" s="49">
        <v>1.7668655346489214E-2</v>
      </c>
      <c r="J168" s="49">
        <v>1.0325837540156035E-2</v>
      </c>
      <c r="K168" s="49">
        <v>0.85589720055071139</v>
      </c>
      <c r="L168" s="49">
        <v>3.1895364846259752E-2</v>
      </c>
      <c r="M168" s="49">
        <v>2.2946305644791189E-4</v>
      </c>
      <c r="N168" s="49">
        <v>4.5892611289582378E-4</v>
      </c>
      <c r="O168" s="49">
        <v>0.11656723267553924</v>
      </c>
      <c r="P168" s="49">
        <v>1.6291877007801745E-2</v>
      </c>
      <c r="Q168" s="49">
        <v>0</v>
      </c>
      <c r="R168" s="49">
        <v>3.4419458467186783E-3</v>
      </c>
      <c r="S168" s="49">
        <v>2.5240936209270305E-3</v>
      </c>
      <c r="T168" s="49">
        <v>1.1473152822395595E-3</v>
      </c>
      <c r="U168" s="49">
        <v>0</v>
      </c>
    </row>
    <row r="169" spans="1:21">
      <c r="A169" t="s">
        <v>79</v>
      </c>
      <c r="B169" t="s">
        <v>2028</v>
      </c>
      <c r="C169" s="49">
        <v>1</v>
      </c>
      <c r="D169" s="49">
        <v>3.9883268482490269E-2</v>
      </c>
      <c r="E169" s="49">
        <v>4.8638132295719845E-3</v>
      </c>
      <c r="F169" s="49">
        <v>5.8365758754863814E-3</v>
      </c>
      <c r="G169" s="49">
        <v>9.727626459143969E-4</v>
      </c>
      <c r="H169" s="49">
        <v>1.4591439688715954E-3</v>
      </c>
      <c r="I169" s="49">
        <v>8.7548638132295721E-3</v>
      </c>
      <c r="J169" s="49">
        <v>5.8365758754863814E-3</v>
      </c>
      <c r="K169" s="49">
        <v>0.51021400778210113</v>
      </c>
      <c r="L169" s="49">
        <v>2.6750972762645913E-2</v>
      </c>
      <c r="M169" s="49">
        <v>7.7821011673151752E-3</v>
      </c>
      <c r="N169" s="49">
        <v>5.350194552529183E-3</v>
      </c>
      <c r="O169" s="49">
        <v>0.46303501945525294</v>
      </c>
      <c r="P169" s="49">
        <v>3.1614785992217898E-2</v>
      </c>
      <c r="Q169" s="49">
        <v>9.727626459143969E-4</v>
      </c>
      <c r="R169" s="49">
        <v>1.4591439688715954E-3</v>
      </c>
      <c r="S169" s="49">
        <v>1.4591439688715954E-3</v>
      </c>
      <c r="T169" s="49">
        <v>1.9455252918287938E-3</v>
      </c>
      <c r="U169" s="49">
        <v>1.9455252918287938E-3</v>
      </c>
    </row>
    <row r="170" spans="1:21">
      <c r="A170" t="s">
        <v>1015</v>
      </c>
      <c r="B170" t="s">
        <v>2044</v>
      </c>
      <c r="C170" s="49">
        <v>1</v>
      </c>
      <c r="D170" s="49">
        <v>4.81892523364486E-2</v>
      </c>
      <c r="E170" s="49">
        <v>4.6436915887850469E-2</v>
      </c>
      <c r="F170" s="49">
        <v>1.8107476635514017E-2</v>
      </c>
      <c r="G170" s="49">
        <v>2.9205607476635514E-2</v>
      </c>
      <c r="H170" s="49">
        <v>2.0443925233644859E-2</v>
      </c>
      <c r="I170" s="49">
        <v>2.27803738317757E-2</v>
      </c>
      <c r="J170" s="49">
        <v>1.4310747663551402E-2</v>
      </c>
      <c r="K170" s="49">
        <v>0.67873831775700932</v>
      </c>
      <c r="L170" s="49">
        <v>5.1401869158878503E-2</v>
      </c>
      <c r="M170" s="49">
        <v>3.7967289719626168E-3</v>
      </c>
      <c r="N170" s="49">
        <v>3.5046728971962616E-3</v>
      </c>
      <c r="O170" s="49">
        <v>0.21290887850467291</v>
      </c>
      <c r="P170" s="49">
        <v>3.6214953271028034E-2</v>
      </c>
      <c r="Q170" s="49">
        <v>0</v>
      </c>
      <c r="R170" s="49">
        <v>3.7967289719626168E-3</v>
      </c>
      <c r="S170" s="49">
        <v>3.7967289719626168E-3</v>
      </c>
      <c r="T170" s="49">
        <v>4.0887850467289715E-3</v>
      </c>
      <c r="U170" s="49">
        <v>2.3364485981308409E-3</v>
      </c>
    </row>
    <row r="171" spans="1:21">
      <c r="A171" t="s">
        <v>8</v>
      </c>
      <c r="B171" t="s">
        <v>2035</v>
      </c>
      <c r="C171" s="49">
        <v>1</v>
      </c>
      <c r="D171" s="49">
        <v>7.2043010752688166E-2</v>
      </c>
      <c r="E171" s="49">
        <v>2.0430107526881722E-2</v>
      </c>
      <c r="F171" s="49">
        <v>1.2903225806451613E-2</v>
      </c>
      <c r="G171" s="49">
        <v>1.5053763440860216E-2</v>
      </c>
      <c r="H171" s="49">
        <v>1.1827956989247311E-2</v>
      </c>
      <c r="I171" s="49">
        <v>1.3978494623655914E-2</v>
      </c>
      <c r="J171" s="49">
        <v>1.1827956989247311E-2</v>
      </c>
      <c r="K171" s="49">
        <v>0.64193548387096777</v>
      </c>
      <c r="L171" s="49">
        <v>7.0967741935483872E-2</v>
      </c>
      <c r="M171" s="49">
        <v>0</v>
      </c>
      <c r="N171" s="49">
        <v>9.6774193548387101E-3</v>
      </c>
      <c r="O171" s="49">
        <v>0.3032258064516129</v>
      </c>
      <c r="P171" s="49">
        <v>5.3763440860215055E-2</v>
      </c>
      <c r="Q171" s="49">
        <v>4.3010752688172043E-3</v>
      </c>
      <c r="R171" s="49">
        <v>6.4516129032258064E-3</v>
      </c>
      <c r="S171" s="49">
        <v>1.0752688172043011E-3</v>
      </c>
      <c r="T171" s="49">
        <v>4.3010752688172043E-3</v>
      </c>
      <c r="U171" s="49">
        <v>0</v>
      </c>
    </row>
    <row r="172" spans="1:21">
      <c r="A172" t="s">
        <v>18</v>
      </c>
      <c r="B172" t="s">
        <v>2053</v>
      </c>
      <c r="C172" s="49">
        <v>1</v>
      </c>
      <c r="D172" s="49">
        <v>8.6746987951807228E-2</v>
      </c>
      <c r="E172" s="49">
        <v>3.2128514056224897E-2</v>
      </c>
      <c r="F172" s="49">
        <v>3.8554216867469883E-2</v>
      </c>
      <c r="G172" s="49">
        <v>7.2289156626506026E-3</v>
      </c>
      <c r="H172" s="49">
        <v>1.8473895582329317E-2</v>
      </c>
      <c r="I172" s="49">
        <v>4.1767068273092373E-2</v>
      </c>
      <c r="J172" s="49">
        <v>2.891566265060241E-2</v>
      </c>
      <c r="K172" s="49">
        <v>0.59839357429718876</v>
      </c>
      <c r="L172" s="49">
        <v>0.11244979919678715</v>
      </c>
      <c r="M172" s="49">
        <v>0</v>
      </c>
      <c r="N172" s="49">
        <v>7.2289156626506026E-3</v>
      </c>
      <c r="O172" s="49">
        <v>0.32048192771084338</v>
      </c>
      <c r="P172" s="49">
        <v>8.0321285140562249E-2</v>
      </c>
      <c r="Q172" s="49">
        <v>0</v>
      </c>
      <c r="R172" s="49">
        <v>7.2289156626506026E-3</v>
      </c>
      <c r="S172" s="49">
        <v>0</v>
      </c>
      <c r="T172" s="49">
        <v>7.2289156626506026E-3</v>
      </c>
      <c r="U172" s="49">
        <v>0</v>
      </c>
    </row>
    <row r="173" spans="1:21">
      <c r="A173" t="s">
        <v>2053</v>
      </c>
      <c r="B173" t="s">
        <v>2053</v>
      </c>
      <c r="C173" s="49">
        <v>1</v>
      </c>
      <c r="D173" s="49">
        <v>8.6746987951807228E-2</v>
      </c>
      <c r="E173" s="49">
        <v>3.2128514056224897E-2</v>
      </c>
      <c r="F173" s="49">
        <v>3.8554216867469883E-2</v>
      </c>
      <c r="G173" s="49">
        <v>7.2289156626506026E-3</v>
      </c>
      <c r="H173" s="49">
        <v>1.8473895582329317E-2</v>
      </c>
      <c r="I173" s="49">
        <v>4.1767068273092373E-2</v>
      </c>
      <c r="J173" s="49">
        <v>2.891566265060241E-2</v>
      </c>
      <c r="K173" s="49">
        <v>0.59839357429718876</v>
      </c>
      <c r="L173" s="49">
        <v>0.11244979919678715</v>
      </c>
      <c r="M173" s="49">
        <v>0</v>
      </c>
      <c r="N173" s="49">
        <v>7.2289156626506026E-3</v>
      </c>
      <c r="O173" s="49">
        <v>0.32048192771084338</v>
      </c>
      <c r="P173" s="49">
        <v>8.0321285140562249E-2</v>
      </c>
      <c r="Q173" s="49">
        <v>0</v>
      </c>
      <c r="R173" s="49">
        <v>7.2289156626506026E-3</v>
      </c>
      <c r="S173" s="49">
        <v>0</v>
      </c>
      <c r="T173" s="49">
        <v>7.2289156626506026E-3</v>
      </c>
      <c r="U173" s="49">
        <v>0</v>
      </c>
    </row>
    <row r="174" spans="1:21">
      <c r="A174" t="s">
        <v>1016</v>
      </c>
      <c r="B174" t="s">
        <v>2033</v>
      </c>
      <c r="C174" s="49">
        <v>1</v>
      </c>
      <c r="D174" s="49">
        <v>2.0257826887661142E-2</v>
      </c>
      <c r="E174" s="49">
        <v>0.46183241252302026</v>
      </c>
      <c r="F174" s="49">
        <v>1.9843462246777164E-2</v>
      </c>
      <c r="G174" s="49">
        <v>4.2495395948434621E-2</v>
      </c>
      <c r="H174" s="49">
        <v>5.6629834254143642E-3</v>
      </c>
      <c r="I174" s="49">
        <v>6.3720073664825044E-2</v>
      </c>
      <c r="J174" s="49">
        <v>8.0570902394106816E-3</v>
      </c>
      <c r="K174" s="49">
        <v>0.30441988950276244</v>
      </c>
      <c r="L174" s="49">
        <v>1.6022099447513812E-2</v>
      </c>
      <c r="M174" s="49">
        <v>3.2228360957642726E-3</v>
      </c>
      <c r="N174" s="49">
        <v>1.4732965009208103E-3</v>
      </c>
      <c r="O174" s="49">
        <v>0.11754143646408839</v>
      </c>
      <c r="P174" s="49">
        <v>1.3305709023941069E-2</v>
      </c>
      <c r="Q174" s="49">
        <v>0</v>
      </c>
      <c r="R174" s="49">
        <v>1.0128913443830571E-3</v>
      </c>
      <c r="S174" s="49">
        <v>4.9723756906077344E-3</v>
      </c>
      <c r="T174" s="49">
        <v>2.2559852670349908E-3</v>
      </c>
      <c r="U174" s="49">
        <v>1.7955801104972376E-3</v>
      </c>
    </row>
    <row r="175" spans="1:21">
      <c r="A175" t="s">
        <v>1396</v>
      </c>
      <c r="B175" t="s">
        <v>2027</v>
      </c>
      <c r="C175" s="49">
        <v>1</v>
      </c>
      <c r="D175" s="49">
        <v>3.5550458715596332E-2</v>
      </c>
      <c r="E175" s="49">
        <v>1.7201834862385322E-2</v>
      </c>
      <c r="F175" s="49">
        <v>1.0321100917431193E-2</v>
      </c>
      <c r="G175" s="49">
        <v>4.0137614678899085E-3</v>
      </c>
      <c r="H175" s="49">
        <v>4.0137614678899085E-3</v>
      </c>
      <c r="I175" s="49">
        <v>1.6628440366972478E-2</v>
      </c>
      <c r="J175" s="49">
        <v>8.600917431192661E-3</v>
      </c>
      <c r="K175" s="49">
        <v>0.76720183486238536</v>
      </c>
      <c r="L175" s="49">
        <v>3.6123853211009173E-2</v>
      </c>
      <c r="M175" s="49">
        <v>1.1467889908256881E-3</v>
      </c>
      <c r="N175" s="49">
        <v>1.7201834862385322E-3</v>
      </c>
      <c r="O175" s="49">
        <v>0.19094036697247707</v>
      </c>
      <c r="P175" s="49">
        <v>2.0642201834862386E-2</v>
      </c>
      <c r="Q175" s="49">
        <v>0</v>
      </c>
      <c r="R175" s="49">
        <v>7.4541284403669729E-3</v>
      </c>
      <c r="S175" s="49">
        <v>2.8669724770642203E-3</v>
      </c>
      <c r="T175" s="49">
        <v>2.8669724770642203E-3</v>
      </c>
      <c r="U175" s="49">
        <v>0</v>
      </c>
    </row>
    <row r="176" spans="1:21">
      <c r="A176" t="s">
        <v>1598</v>
      </c>
      <c r="B176" t="s">
        <v>2033</v>
      </c>
      <c r="C176" s="49">
        <v>1</v>
      </c>
      <c r="D176" s="49">
        <v>2.0257826887661142E-2</v>
      </c>
      <c r="E176" s="49">
        <v>0.46183241252302026</v>
      </c>
      <c r="F176" s="49">
        <v>1.9843462246777164E-2</v>
      </c>
      <c r="G176" s="49">
        <v>4.2495395948434621E-2</v>
      </c>
      <c r="H176" s="49">
        <v>5.6629834254143642E-3</v>
      </c>
      <c r="I176" s="49">
        <v>6.3720073664825044E-2</v>
      </c>
      <c r="J176" s="49">
        <v>8.0570902394106816E-3</v>
      </c>
      <c r="K176" s="49">
        <v>0.30441988950276244</v>
      </c>
      <c r="L176" s="49">
        <v>1.6022099447513812E-2</v>
      </c>
      <c r="M176" s="49">
        <v>3.2228360957642726E-3</v>
      </c>
      <c r="N176" s="49">
        <v>1.4732965009208103E-3</v>
      </c>
      <c r="O176" s="49">
        <v>0.11754143646408839</v>
      </c>
      <c r="P176" s="49">
        <v>1.3305709023941069E-2</v>
      </c>
      <c r="Q176" s="49">
        <v>0</v>
      </c>
      <c r="R176" s="49">
        <v>1.0128913443830571E-3</v>
      </c>
      <c r="S176" s="49">
        <v>4.9723756906077344E-3</v>
      </c>
      <c r="T176" s="49">
        <v>2.2559852670349908E-3</v>
      </c>
      <c r="U176" s="49">
        <v>1.7955801104972376E-3</v>
      </c>
    </row>
    <row r="177" spans="1:21">
      <c r="A177" t="s">
        <v>1599</v>
      </c>
      <c r="B177" t="s">
        <v>2037</v>
      </c>
      <c r="C177" s="49">
        <v>1</v>
      </c>
      <c r="D177" s="49">
        <v>1.7899291896144767E-2</v>
      </c>
      <c r="E177" s="49">
        <v>5.4316061593795664E-2</v>
      </c>
      <c r="F177" s="49">
        <v>8.14881420703608E-3</v>
      </c>
      <c r="G177" s="49">
        <v>1.3993480948634372E-2</v>
      </c>
      <c r="H177" s="49">
        <v>4.3835000561987187E-3</v>
      </c>
      <c r="I177" s="49">
        <v>6.9433516915814314E-2</v>
      </c>
      <c r="J177" s="49">
        <v>9.3851860177587947E-3</v>
      </c>
      <c r="K177" s="49">
        <v>0.75665954816230185</v>
      </c>
      <c r="L177" s="49">
        <v>2.2648083623693381E-2</v>
      </c>
      <c r="M177" s="49">
        <v>1.6943913678768123E-2</v>
      </c>
      <c r="N177" s="49">
        <v>5.0297853208946834E-3</v>
      </c>
      <c r="O177" s="49">
        <v>7.0107901539844891E-2</v>
      </c>
      <c r="P177" s="49">
        <v>1.0340564235135439E-2</v>
      </c>
      <c r="Q177" s="49">
        <v>3.6529167134989322E-4</v>
      </c>
      <c r="R177" s="49">
        <v>6.1818590536135776E-4</v>
      </c>
      <c r="S177" s="49">
        <v>1.4162077104642014E-2</v>
      </c>
      <c r="T177" s="49">
        <v>4.3835000561987187E-3</v>
      </c>
      <c r="U177" s="49">
        <v>4.0182083848488252E-3</v>
      </c>
    </row>
    <row r="178" spans="1:21">
      <c r="A178" t="s">
        <v>1947</v>
      </c>
      <c r="B178" t="s">
        <v>2037</v>
      </c>
      <c r="C178" s="49">
        <v>1</v>
      </c>
      <c r="D178" s="49">
        <v>1.7899291896144767E-2</v>
      </c>
      <c r="E178" s="49">
        <v>5.4316061593795664E-2</v>
      </c>
      <c r="F178" s="49">
        <v>8.14881420703608E-3</v>
      </c>
      <c r="G178" s="49">
        <v>1.3993480948634372E-2</v>
      </c>
      <c r="H178" s="49">
        <v>4.3835000561987187E-3</v>
      </c>
      <c r="I178" s="49">
        <v>6.9433516915814314E-2</v>
      </c>
      <c r="J178" s="49">
        <v>9.3851860177587947E-3</v>
      </c>
      <c r="K178" s="49">
        <v>0.75665954816230185</v>
      </c>
      <c r="L178" s="49">
        <v>2.2648083623693381E-2</v>
      </c>
      <c r="M178" s="49">
        <v>1.6943913678768123E-2</v>
      </c>
      <c r="N178" s="49">
        <v>5.0297853208946834E-3</v>
      </c>
      <c r="O178" s="49">
        <v>7.0107901539844891E-2</v>
      </c>
      <c r="P178" s="49">
        <v>1.0340564235135439E-2</v>
      </c>
      <c r="Q178" s="49">
        <v>3.6529167134989322E-4</v>
      </c>
      <c r="R178" s="49">
        <v>6.1818590536135776E-4</v>
      </c>
      <c r="S178" s="49">
        <v>1.4162077104642014E-2</v>
      </c>
      <c r="T178" s="49">
        <v>4.3835000561987187E-3</v>
      </c>
      <c r="U178" s="49">
        <v>4.0182083848488252E-3</v>
      </c>
    </row>
    <row r="179" spans="1:21">
      <c r="A179" t="s">
        <v>1017</v>
      </c>
      <c r="B179" t="s">
        <v>2034</v>
      </c>
      <c r="C179" s="49">
        <v>1</v>
      </c>
      <c r="D179" s="49">
        <v>0.12011173184357542</v>
      </c>
      <c r="E179" s="49">
        <v>1.3966480446927373E-2</v>
      </c>
      <c r="F179" s="49">
        <v>2.23463687150838E-2</v>
      </c>
      <c r="G179" s="49">
        <v>0</v>
      </c>
      <c r="H179" s="49">
        <v>1.2569832402234637E-2</v>
      </c>
      <c r="I179" s="49">
        <v>3.6312849162011177E-2</v>
      </c>
      <c r="J179" s="49">
        <v>2.7932960893854747E-2</v>
      </c>
      <c r="K179" s="49">
        <v>0.56564245810055869</v>
      </c>
      <c r="L179" s="49">
        <v>0.11312849162011174</v>
      </c>
      <c r="M179" s="49">
        <v>0.15502793296089384</v>
      </c>
      <c r="N179" s="49">
        <v>6.4245810055865923E-2</v>
      </c>
      <c r="O179" s="49">
        <v>0.22905027932960895</v>
      </c>
      <c r="P179" s="49">
        <v>7.2625698324022353E-2</v>
      </c>
      <c r="Q179" s="49">
        <v>0</v>
      </c>
      <c r="R179" s="49">
        <v>1.2569832402234637E-2</v>
      </c>
      <c r="S179" s="49">
        <v>0</v>
      </c>
      <c r="T179" s="49">
        <v>1.2569832402234637E-2</v>
      </c>
      <c r="U179" s="49">
        <v>0</v>
      </c>
    </row>
    <row r="180" spans="1:21">
      <c r="A180" t="s">
        <v>60</v>
      </c>
      <c r="B180" t="s">
        <v>2029</v>
      </c>
      <c r="C180" s="49">
        <v>1</v>
      </c>
      <c r="D180" s="49">
        <v>6.5778159931212388E-2</v>
      </c>
      <c r="E180" s="49">
        <v>3.5683576956147892E-2</v>
      </c>
      <c r="F180" s="49">
        <v>2.2785898538263114E-2</v>
      </c>
      <c r="G180" s="49">
        <v>4.7291487532244193E-3</v>
      </c>
      <c r="H180" s="49">
        <v>7.3086844368013756E-3</v>
      </c>
      <c r="I180" s="49">
        <v>4.9441100601891656E-2</v>
      </c>
      <c r="J180" s="49">
        <v>2.4505588993981083E-2</v>
      </c>
      <c r="K180" s="49">
        <v>0.53525365434221839</v>
      </c>
      <c r="L180" s="49">
        <v>5.6749785038693032E-2</v>
      </c>
      <c r="M180" s="49">
        <v>3.0094582975064487E-3</v>
      </c>
      <c r="N180" s="49">
        <v>4.2992261392949269E-3</v>
      </c>
      <c r="O180" s="49">
        <v>0.36328460877042135</v>
      </c>
      <c r="P180" s="49">
        <v>4.9011177987962166E-2</v>
      </c>
      <c r="Q180" s="49">
        <v>4.299226139294927E-4</v>
      </c>
      <c r="R180" s="49">
        <v>8.598452278589854E-4</v>
      </c>
      <c r="S180" s="49">
        <v>2.1496130696474634E-3</v>
      </c>
      <c r="T180" s="49">
        <v>3.869303525365434E-3</v>
      </c>
      <c r="U180" s="49">
        <v>6.0189165950128975E-3</v>
      </c>
    </row>
    <row r="181" spans="1:21">
      <c r="A181" t="s">
        <v>1375</v>
      </c>
      <c r="B181" t="s">
        <v>2059</v>
      </c>
      <c r="C181" s="49">
        <v>1</v>
      </c>
      <c r="D181" s="49">
        <v>8.0949482653682292E-2</v>
      </c>
      <c r="E181" s="49">
        <v>4.6865489957395007E-2</v>
      </c>
      <c r="F181" s="49">
        <v>2.9823493609251371E-2</v>
      </c>
      <c r="G181" s="49">
        <v>9.1296409007912364E-3</v>
      </c>
      <c r="H181" s="49">
        <v>7.3037127206329886E-3</v>
      </c>
      <c r="I181" s="49">
        <v>0.27267194157029823</v>
      </c>
      <c r="J181" s="49">
        <v>4.9908703590992087E-2</v>
      </c>
      <c r="K181" s="49">
        <v>0.52525867315885577</v>
      </c>
      <c r="L181" s="49">
        <v>6.8167985392574557E-2</v>
      </c>
      <c r="M181" s="49">
        <v>0</v>
      </c>
      <c r="N181" s="49">
        <v>5.4777845404747416E-3</v>
      </c>
      <c r="O181" s="49">
        <v>0.14242239805234327</v>
      </c>
      <c r="P181" s="49">
        <v>3.7127206329884359E-2</v>
      </c>
      <c r="Q181" s="49">
        <v>0</v>
      </c>
      <c r="R181" s="49">
        <v>5.4777845404747416E-3</v>
      </c>
      <c r="S181" s="49">
        <v>3.0432136335970784E-3</v>
      </c>
      <c r="T181" s="49">
        <v>3.0432136335970784E-3</v>
      </c>
      <c r="U181" s="49">
        <v>6.0864272671941571E-4</v>
      </c>
    </row>
    <row r="182" spans="1:21">
      <c r="A182" t="s">
        <v>61</v>
      </c>
      <c r="B182" t="s">
        <v>2039</v>
      </c>
      <c r="C182" s="49">
        <v>1</v>
      </c>
      <c r="D182" s="49">
        <v>4.2857142857142858E-2</v>
      </c>
      <c r="E182" s="49">
        <v>6.2500000000000003E-3</v>
      </c>
      <c r="F182" s="49">
        <v>4.0178571428571425E-3</v>
      </c>
      <c r="G182" s="49">
        <v>3.2589285714285716E-2</v>
      </c>
      <c r="H182" s="49">
        <v>1.1607142857142858E-2</v>
      </c>
      <c r="I182" s="49">
        <v>0.1299107142857143</v>
      </c>
      <c r="J182" s="49">
        <v>2.5000000000000001E-2</v>
      </c>
      <c r="K182" s="49">
        <v>0.48303571428571429</v>
      </c>
      <c r="L182" s="49">
        <v>4.1517857142857141E-2</v>
      </c>
      <c r="M182" s="49">
        <v>8.9285714285714283E-4</v>
      </c>
      <c r="N182" s="49">
        <v>1.3392857142857143E-3</v>
      </c>
      <c r="O182" s="49">
        <v>0.34241071428571429</v>
      </c>
      <c r="P182" s="49">
        <v>3.7946428571428568E-2</v>
      </c>
      <c r="Q182" s="49">
        <v>0</v>
      </c>
      <c r="R182" s="49">
        <v>5.8035714285714288E-3</v>
      </c>
      <c r="S182" s="49">
        <v>4.0178571428571425E-3</v>
      </c>
      <c r="T182" s="49">
        <v>2.6785714285714286E-3</v>
      </c>
      <c r="U182" s="49">
        <v>8.9285714285714283E-4</v>
      </c>
    </row>
    <row r="183" spans="1:21">
      <c r="A183" t="s">
        <v>80</v>
      </c>
      <c r="B183" t="s">
        <v>2028</v>
      </c>
      <c r="C183" s="49">
        <v>1</v>
      </c>
      <c r="D183" s="49">
        <v>3.9883268482490269E-2</v>
      </c>
      <c r="E183" s="49">
        <v>4.8638132295719845E-3</v>
      </c>
      <c r="F183" s="49">
        <v>5.8365758754863814E-3</v>
      </c>
      <c r="G183" s="49">
        <v>9.727626459143969E-4</v>
      </c>
      <c r="H183" s="49">
        <v>1.4591439688715954E-3</v>
      </c>
      <c r="I183" s="49">
        <v>8.7548638132295721E-3</v>
      </c>
      <c r="J183" s="49">
        <v>5.8365758754863814E-3</v>
      </c>
      <c r="K183" s="49">
        <v>0.51021400778210113</v>
      </c>
      <c r="L183" s="49">
        <v>2.6750972762645913E-2</v>
      </c>
      <c r="M183" s="49">
        <v>7.7821011673151752E-3</v>
      </c>
      <c r="N183" s="49">
        <v>5.350194552529183E-3</v>
      </c>
      <c r="O183" s="49">
        <v>0.46303501945525294</v>
      </c>
      <c r="P183" s="49">
        <v>3.1614785992217898E-2</v>
      </c>
      <c r="Q183" s="49">
        <v>9.727626459143969E-4</v>
      </c>
      <c r="R183" s="49">
        <v>1.4591439688715954E-3</v>
      </c>
      <c r="S183" s="49">
        <v>1.4591439688715954E-3</v>
      </c>
      <c r="T183" s="49">
        <v>1.9455252918287938E-3</v>
      </c>
      <c r="U183" s="49">
        <v>1.9455252918287938E-3</v>
      </c>
    </row>
    <row r="184" spans="1:21">
      <c r="A184" t="s">
        <v>1018</v>
      </c>
      <c r="B184" t="s">
        <v>2033</v>
      </c>
      <c r="C184" s="49">
        <v>1</v>
      </c>
      <c r="D184" s="49">
        <v>2.0257826887661142E-2</v>
      </c>
      <c r="E184" s="49">
        <v>0.46183241252302026</v>
      </c>
      <c r="F184" s="49">
        <v>1.9843462246777164E-2</v>
      </c>
      <c r="G184" s="49">
        <v>4.2495395948434621E-2</v>
      </c>
      <c r="H184" s="49">
        <v>5.6629834254143642E-3</v>
      </c>
      <c r="I184" s="49">
        <v>6.3720073664825044E-2</v>
      </c>
      <c r="J184" s="49">
        <v>8.0570902394106816E-3</v>
      </c>
      <c r="K184" s="49">
        <v>0.30441988950276244</v>
      </c>
      <c r="L184" s="49">
        <v>1.6022099447513812E-2</v>
      </c>
      <c r="M184" s="49">
        <v>3.2228360957642726E-3</v>
      </c>
      <c r="N184" s="49">
        <v>1.4732965009208103E-3</v>
      </c>
      <c r="O184" s="49">
        <v>0.11754143646408839</v>
      </c>
      <c r="P184" s="49">
        <v>1.3305709023941069E-2</v>
      </c>
      <c r="Q184" s="49">
        <v>0</v>
      </c>
      <c r="R184" s="49">
        <v>1.0128913443830571E-3</v>
      </c>
      <c r="S184" s="49">
        <v>4.9723756906077344E-3</v>
      </c>
      <c r="T184" s="49">
        <v>2.2559852670349908E-3</v>
      </c>
      <c r="U184" s="49">
        <v>1.7955801104972376E-3</v>
      </c>
    </row>
    <row r="185" spans="1:21">
      <c r="A185" t="s">
        <v>14</v>
      </c>
      <c r="B185" t="s">
        <v>2035</v>
      </c>
      <c r="C185" s="49">
        <v>1</v>
      </c>
      <c r="D185" s="49">
        <v>7.2043010752688166E-2</v>
      </c>
      <c r="E185" s="49">
        <v>2.0430107526881722E-2</v>
      </c>
      <c r="F185" s="49">
        <v>1.2903225806451613E-2</v>
      </c>
      <c r="G185" s="49">
        <v>1.5053763440860216E-2</v>
      </c>
      <c r="H185" s="49">
        <v>1.1827956989247311E-2</v>
      </c>
      <c r="I185" s="49">
        <v>1.3978494623655914E-2</v>
      </c>
      <c r="J185" s="49">
        <v>1.1827956989247311E-2</v>
      </c>
      <c r="K185" s="49">
        <v>0.64193548387096777</v>
      </c>
      <c r="L185" s="49">
        <v>7.0967741935483872E-2</v>
      </c>
      <c r="M185" s="49">
        <v>0</v>
      </c>
      <c r="N185" s="49">
        <v>9.6774193548387101E-3</v>
      </c>
      <c r="O185" s="49">
        <v>0.3032258064516129</v>
      </c>
      <c r="P185" s="49">
        <v>5.3763440860215055E-2</v>
      </c>
      <c r="Q185" s="49">
        <v>4.3010752688172043E-3</v>
      </c>
      <c r="R185" s="49">
        <v>6.4516129032258064E-3</v>
      </c>
      <c r="S185" s="49">
        <v>1.0752688172043011E-3</v>
      </c>
      <c r="T185" s="49">
        <v>4.3010752688172043E-3</v>
      </c>
      <c r="U185" s="49">
        <v>0</v>
      </c>
    </row>
    <row r="186" spans="1:21">
      <c r="A186" t="s">
        <v>19</v>
      </c>
      <c r="B186" t="s">
        <v>2027</v>
      </c>
      <c r="C186" s="49">
        <v>1</v>
      </c>
      <c r="D186" s="49">
        <v>3.5550458715596332E-2</v>
      </c>
      <c r="E186" s="49">
        <v>1.7201834862385322E-2</v>
      </c>
      <c r="F186" s="49">
        <v>1.0321100917431193E-2</v>
      </c>
      <c r="G186" s="49">
        <v>4.0137614678899085E-3</v>
      </c>
      <c r="H186" s="49">
        <v>4.0137614678899085E-3</v>
      </c>
      <c r="I186" s="49">
        <v>1.6628440366972478E-2</v>
      </c>
      <c r="J186" s="49">
        <v>8.600917431192661E-3</v>
      </c>
      <c r="K186" s="49">
        <v>0.76720183486238536</v>
      </c>
      <c r="L186" s="49">
        <v>3.6123853211009173E-2</v>
      </c>
      <c r="M186" s="49">
        <v>1.1467889908256881E-3</v>
      </c>
      <c r="N186" s="49">
        <v>1.7201834862385322E-3</v>
      </c>
      <c r="O186" s="49">
        <v>0.19094036697247707</v>
      </c>
      <c r="P186" s="49">
        <v>2.0642201834862386E-2</v>
      </c>
      <c r="Q186" s="49">
        <v>0</v>
      </c>
      <c r="R186" s="49">
        <v>7.4541284403669729E-3</v>
      </c>
      <c r="S186" s="49">
        <v>2.8669724770642203E-3</v>
      </c>
      <c r="T186" s="49">
        <v>2.8669724770642203E-3</v>
      </c>
      <c r="U186" s="49">
        <v>0</v>
      </c>
    </row>
    <row r="187" spans="1:21">
      <c r="A187" t="s">
        <v>1019</v>
      </c>
      <c r="B187" t="s">
        <v>2033</v>
      </c>
      <c r="C187" s="49">
        <v>1</v>
      </c>
      <c r="D187" s="49">
        <v>2.0257826887661142E-2</v>
      </c>
      <c r="E187" s="49">
        <v>0.46183241252302026</v>
      </c>
      <c r="F187" s="49">
        <v>1.9843462246777164E-2</v>
      </c>
      <c r="G187" s="49">
        <v>4.2495395948434621E-2</v>
      </c>
      <c r="H187" s="49">
        <v>5.6629834254143642E-3</v>
      </c>
      <c r="I187" s="49">
        <v>6.3720073664825044E-2</v>
      </c>
      <c r="J187" s="49">
        <v>8.0570902394106816E-3</v>
      </c>
      <c r="K187" s="49">
        <v>0.30441988950276244</v>
      </c>
      <c r="L187" s="49">
        <v>1.6022099447513812E-2</v>
      </c>
      <c r="M187" s="49">
        <v>3.2228360957642726E-3</v>
      </c>
      <c r="N187" s="49">
        <v>1.4732965009208103E-3</v>
      </c>
      <c r="O187" s="49">
        <v>0.11754143646408839</v>
      </c>
      <c r="P187" s="49">
        <v>1.3305709023941069E-2</v>
      </c>
      <c r="Q187" s="49">
        <v>0</v>
      </c>
      <c r="R187" s="49">
        <v>1.0128913443830571E-3</v>
      </c>
      <c r="S187" s="49">
        <v>4.9723756906077344E-3</v>
      </c>
      <c r="T187" s="49">
        <v>2.2559852670349908E-3</v>
      </c>
      <c r="U187" s="49">
        <v>1.7955801104972376E-3</v>
      </c>
    </row>
    <row r="188" spans="1:21">
      <c r="A188" t="s">
        <v>1020</v>
      </c>
      <c r="B188" t="s">
        <v>2031</v>
      </c>
      <c r="C188" s="49">
        <v>1</v>
      </c>
      <c r="D188" s="49">
        <v>1.3398451306108023E-2</v>
      </c>
      <c r="E188" s="49">
        <v>0.69887221668862254</v>
      </c>
      <c r="F188" s="49">
        <v>1.5679722391800276E-2</v>
      </c>
      <c r="G188" s="49">
        <v>1.2177489316582591E-2</v>
      </c>
      <c r="H188" s="49">
        <v>3.2451884458439095E-3</v>
      </c>
      <c r="I188" s="49">
        <v>5.7835041609099379E-2</v>
      </c>
      <c r="J188" s="49">
        <v>7.6149471451980848E-3</v>
      </c>
      <c r="K188" s="49">
        <v>0.1487645792500723</v>
      </c>
      <c r="L188" s="49">
        <v>9.1250843427690131E-3</v>
      </c>
      <c r="M188" s="49">
        <v>2.5061851363943066E-3</v>
      </c>
      <c r="N188" s="49">
        <v>1.2530925681971533E-3</v>
      </c>
      <c r="O188" s="49">
        <v>7.3836069787616879E-2</v>
      </c>
      <c r="P188" s="49">
        <v>6.8759438357484815E-3</v>
      </c>
      <c r="Q188" s="49">
        <v>0</v>
      </c>
      <c r="R188" s="49">
        <v>7.0687273077788134E-4</v>
      </c>
      <c r="S188" s="49">
        <v>4.2412363846672883E-3</v>
      </c>
      <c r="T188" s="49">
        <v>2.0242264563184783E-3</v>
      </c>
      <c r="U188" s="49">
        <v>1.7671818269447033E-3</v>
      </c>
    </row>
    <row r="189" spans="1:21">
      <c r="A189" t="s">
        <v>152</v>
      </c>
      <c r="B189" t="s">
        <v>2028</v>
      </c>
      <c r="C189" s="49">
        <v>1</v>
      </c>
      <c r="D189" s="49">
        <v>3.9883268482490269E-2</v>
      </c>
      <c r="E189" s="49">
        <v>4.8638132295719845E-3</v>
      </c>
      <c r="F189" s="49">
        <v>5.8365758754863814E-3</v>
      </c>
      <c r="G189" s="49">
        <v>9.727626459143969E-4</v>
      </c>
      <c r="H189" s="49">
        <v>1.4591439688715954E-3</v>
      </c>
      <c r="I189" s="49">
        <v>8.7548638132295721E-3</v>
      </c>
      <c r="J189" s="49">
        <v>5.8365758754863814E-3</v>
      </c>
      <c r="K189" s="49">
        <v>0.51021400778210113</v>
      </c>
      <c r="L189" s="49">
        <v>2.6750972762645913E-2</v>
      </c>
      <c r="M189" s="49">
        <v>7.7821011673151752E-3</v>
      </c>
      <c r="N189" s="49">
        <v>5.350194552529183E-3</v>
      </c>
      <c r="O189" s="49">
        <v>0.46303501945525294</v>
      </c>
      <c r="P189" s="49">
        <v>3.1614785992217898E-2</v>
      </c>
      <c r="Q189" s="49">
        <v>9.727626459143969E-4</v>
      </c>
      <c r="R189" s="49">
        <v>1.4591439688715954E-3</v>
      </c>
      <c r="S189" s="49">
        <v>1.4591439688715954E-3</v>
      </c>
      <c r="T189" s="49">
        <v>1.9455252918287938E-3</v>
      </c>
      <c r="U189" s="49">
        <v>1.9455252918287938E-3</v>
      </c>
    </row>
    <row r="190" spans="1:21">
      <c r="A190" t="s">
        <v>81</v>
      </c>
      <c r="B190" t="s">
        <v>2028</v>
      </c>
      <c r="C190" s="49">
        <v>1</v>
      </c>
      <c r="D190" s="49">
        <v>3.9883268482490269E-2</v>
      </c>
      <c r="E190" s="49">
        <v>4.8638132295719845E-3</v>
      </c>
      <c r="F190" s="49">
        <v>5.8365758754863814E-3</v>
      </c>
      <c r="G190" s="49">
        <v>9.727626459143969E-4</v>
      </c>
      <c r="H190" s="49">
        <v>1.4591439688715954E-3</v>
      </c>
      <c r="I190" s="49">
        <v>8.7548638132295721E-3</v>
      </c>
      <c r="J190" s="49">
        <v>5.8365758754863814E-3</v>
      </c>
      <c r="K190" s="49">
        <v>0.51021400778210113</v>
      </c>
      <c r="L190" s="49">
        <v>2.6750972762645913E-2</v>
      </c>
      <c r="M190" s="49">
        <v>7.7821011673151752E-3</v>
      </c>
      <c r="N190" s="49">
        <v>5.350194552529183E-3</v>
      </c>
      <c r="O190" s="49">
        <v>0.46303501945525294</v>
      </c>
      <c r="P190" s="49">
        <v>3.1614785992217898E-2</v>
      </c>
      <c r="Q190" s="49">
        <v>9.727626459143969E-4</v>
      </c>
      <c r="R190" s="49">
        <v>1.4591439688715954E-3</v>
      </c>
      <c r="S190" s="49">
        <v>1.4591439688715954E-3</v>
      </c>
      <c r="T190" s="49">
        <v>1.9455252918287938E-3</v>
      </c>
      <c r="U190" s="49">
        <v>1.9455252918287938E-3</v>
      </c>
    </row>
    <row r="191" spans="1:21">
      <c r="A191" t="s">
        <v>37</v>
      </c>
      <c r="B191" t="s">
        <v>2039</v>
      </c>
      <c r="C191" s="49">
        <v>1</v>
      </c>
      <c r="D191" s="49">
        <v>4.2857142857142858E-2</v>
      </c>
      <c r="E191" s="49">
        <v>6.2500000000000003E-3</v>
      </c>
      <c r="F191" s="49">
        <v>4.0178571428571425E-3</v>
      </c>
      <c r="G191" s="49">
        <v>3.2589285714285716E-2</v>
      </c>
      <c r="H191" s="49">
        <v>1.1607142857142858E-2</v>
      </c>
      <c r="I191" s="49">
        <v>0.1299107142857143</v>
      </c>
      <c r="J191" s="49">
        <v>2.5000000000000001E-2</v>
      </c>
      <c r="K191" s="49">
        <v>0.48303571428571429</v>
      </c>
      <c r="L191" s="49">
        <v>4.1517857142857141E-2</v>
      </c>
      <c r="M191" s="49">
        <v>8.9285714285714283E-4</v>
      </c>
      <c r="N191" s="49">
        <v>1.3392857142857143E-3</v>
      </c>
      <c r="O191" s="49">
        <v>0.34241071428571429</v>
      </c>
      <c r="P191" s="49">
        <v>3.7946428571428568E-2</v>
      </c>
      <c r="Q191" s="49">
        <v>0</v>
      </c>
      <c r="R191" s="49">
        <v>5.8035714285714288E-3</v>
      </c>
      <c r="S191" s="49">
        <v>4.0178571428571425E-3</v>
      </c>
      <c r="T191" s="49">
        <v>2.6785714285714286E-3</v>
      </c>
      <c r="U191" s="49">
        <v>8.9285714285714283E-4</v>
      </c>
    </row>
    <row r="192" spans="1:21">
      <c r="A192" t="s">
        <v>1021</v>
      </c>
      <c r="B192" t="s">
        <v>2039</v>
      </c>
      <c r="C192" s="49">
        <v>1</v>
      </c>
      <c r="D192" s="49">
        <v>4.2857142857142858E-2</v>
      </c>
      <c r="E192" s="49">
        <v>6.2500000000000003E-3</v>
      </c>
      <c r="F192" s="49">
        <v>4.0178571428571425E-3</v>
      </c>
      <c r="G192" s="49">
        <v>3.2589285714285716E-2</v>
      </c>
      <c r="H192" s="49">
        <v>1.1607142857142858E-2</v>
      </c>
      <c r="I192" s="49">
        <v>0.1299107142857143</v>
      </c>
      <c r="J192" s="49">
        <v>2.5000000000000001E-2</v>
      </c>
      <c r="K192" s="49">
        <v>0.48303571428571429</v>
      </c>
      <c r="L192" s="49">
        <v>4.1517857142857141E-2</v>
      </c>
      <c r="M192" s="49">
        <v>8.9285714285714283E-4</v>
      </c>
      <c r="N192" s="49">
        <v>1.3392857142857143E-3</v>
      </c>
      <c r="O192" s="49">
        <v>0.34241071428571429</v>
      </c>
      <c r="P192" s="49">
        <v>3.7946428571428568E-2</v>
      </c>
      <c r="Q192" s="49">
        <v>0</v>
      </c>
      <c r="R192" s="49">
        <v>5.8035714285714288E-3</v>
      </c>
      <c r="S192" s="49">
        <v>4.0178571428571425E-3</v>
      </c>
      <c r="T192" s="49">
        <v>2.6785714285714286E-3</v>
      </c>
      <c r="U192" s="49">
        <v>8.9285714285714283E-4</v>
      </c>
    </row>
    <row r="193" spans="1:21">
      <c r="A193" t="s">
        <v>1397</v>
      </c>
      <c r="B193" t="s">
        <v>2028</v>
      </c>
      <c r="C193" s="49">
        <v>1</v>
      </c>
      <c r="D193" s="49">
        <v>3.9883268482490269E-2</v>
      </c>
      <c r="E193" s="49">
        <v>4.8638132295719845E-3</v>
      </c>
      <c r="F193" s="49">
        <v>5.8365758754863814E-3</v>
      </c>
      <c r="G193" s="49">
        <v>9.727626459143969E-4</v>
      </c>
      <c r="H193" s="49">
        <v>1.4591439688715954E-3</v>
      </c>
      <c r="I193" s="49">
        <v>8.7548638132295721E-3</v>
      </c>
      <c r="J193" s="49">
        <v>5.8365758754863814E-3</v>
      </c>
      <c r="K193" s="49">
        <v>0.51021400778210113</v>
      </c>
      <c r="L193" s="49">
        <v>2.6750972762645913E-2</v>
      </c>
      <c r="M193" s="49">
        <v>7.7821011673151752E-3</v>
      </c>
      <c r="N193" s="49">
        <v>5.350194552529183E-3</v>
      </c>
      <c r="O193" s="49">
        <v>0.46303501945525294</v>
      </c>
      <c r="P193" s="49">
        <v>3.1614785992217898E-2</v>
      </c>
      <c r="Q193" s="49">
        <v>9.727626459143969E-4</v>
      </c>
      <c r="R193" s="49">
        <v>1.4591439688715954E-3</v>
      </c>
      <c r="S193" s="49">
        <v>1.4591439688715954E-3</v>
      </c>
      <c r="T193" s="49">
        <v>1.9455252918287938E-3</v>
      </c>
      <c r="U193" s="49">
        <v>1.9455252918287938E-3</v>
      </c>
    </row>
    <row r="194" spans="1:21">
      <c r="A194" t="s">
        <v>154</v>
      </c>
      <c r="B194" t="s">
        <v>2045</v>
      </c>
      <c r="C194" s="49">
        <v>1</v>
      </c>
      <c r="D194" s="49">
        <v>0.11614173228346457</v>
      </c>
      <c r="E194" s="49">
        <v>0</v>
      </c>
      <c r="F194" s="49">
        <v>1.7716535433070866E-2</v>
      </c>
      <c r="G194" s="49">
        <v>0</v>
      </c>
      <c r="H194" s="49">
        <v>1.7716535433070866E-2</v>
      </c>
      <c r="I194" s="49">
        <v>1.1811023622047244E-2</v>
      </c>
      <c r="J194" s="49">
        <v>1.1811023622047244E-2</v>
      </c>
      <c r="K194" s="49">
        <v>0.86614173228346458</v>
      </c>
      <c r="L194" s="49">
        <v>0.11220472440944881</v>
      </c>
      <c r="M194" s="49">
        <v>0</v>
      </c>
      <c r="N194" s="49">
        <v>1.7716535433070866E-2</v>
      </c>
      <c r="O194" s="49">
        <v>0.1141732283464567</v>
      </c>
      <c r="P194" s="49">
        <v>3.1496062992125984E-2</v>
      </c>
      <c r="Q194" s="49">
        <v>0</v>
      </c>
      <c r="R194" s="49">
        <v>1.7716535433070866E-2</v>
      </c>
      <c r="S194" s="49">
        <v>7.874015748031496E-3</v>
      </c>
      <c r="T194" s="49">
        <v>7.874015748031496E-3</v>
      </c>
      <c r="U194" s="49">
        <v>0</v>
      </c>
    </row>
    <row r="195" spans="1:21">
      <c r="A195" t="s">
        <v>1022</v>
      </c>
      <c r="B195" t="s">
        <v>2045</v>
      </c>
      <c r="C195" s="49">
        <v>1</v>
      </c>
      <c r="D195" s="49">
        <v>0.11614173228346457</v>
      </c>
      <c r="E195" s="49">
        <v>0</v>
      </c>
      <c r="F195" s="49">
        <v>1.7716535433070866E-2</v>
      </c>
      <c r="G195" s="49">
        <v>0</v>
      </c>
      <c r="H195" s="49">
        <v>1.7716535433070866E-2</v>
      </c>
      <c r="I195" s="49">
        <v>1.1811023622047244E-2</v>
      </c>
      <c r="J195" s="49">
        <v>1.1811023622047244E-2</v>
      </c>
      <c r="K195" s="49">
        <v>0.86614173228346458</v>
      </c>
      <c r="L195" s="49">
        <v>0.11220472440944881</v>
      </c>
      <c r="M195" s="49">
        <v>0</v>
      </c>
      <c r="N195" s="49">
        <v>1.7716535433070866E-2</v>
      </c>
      <c r="O195" s="49">
        <v>0.1141732283464567</v>
      </c>
      <c r="P195" s="49">
        <v>3.1496062992125984E-2</v>
      </c>
      <c r="Q195" s="49">
        <v>0</v>
      </c>
      <c r="R195" s="49">
        <v>1.7716535433070866E-2</v>
      </c>
      <c r="S195" s="49">
        <v>7.874015748031496E-3</v>
      </c>
      <c r="T195" s="49">
        <v>7.874015748031496E-3</v>
      </c>
      <c r="U195" s="49">
        <v>0</v>
      </c>
    </row>
    <row r="196" spans="1:21">
      <c r="A196" t="s">
        <v>1024</v>
      </c>
      <c r="B196" t="s">
        <v>2045</v>
      </c>
      <c r="C196" s="49">
        <v>1</v>
      </c>
      <c r="D196" s="49">
        <v>0.11614173228346457</v>
      </c>
      <c r="E196" s="49">
        <v>0</v>
      </c>
      <c r="F196" s="49">
        <v>1.7716535433070866E-2</v>
      </c>
      <c r="G196" s="49">
        <v>0</v>
      </c>
      <c r="H196" s="49">
        <v>1.7716535433070866E-2</v>
      </c>
      <c r="I196" s="49">
        <v>1.1811023622047244E-2</v>
      </c>
      <c r="J196" s="49">
        <v>1.1811023622047244E-2</v>
      </c>
      <c r="K196" s="49">
        <v>0.86614173228346458</v>
      </c>
      <c r="L196" s="49">
        <v>0.11220472440944881</v>
      </c>
      <c r="M196" s="49">
        <v>0</v>
      </c>
      <c r="N196" s="49">
        <v>1.7716535433070866E-2</v>
      </c>
      <c r="O196" s="49">
        <v>0.1141732283464567</v>
      </c>
      <c r="P196" s="49">
        <v>3.1496062992125984E-2</v>
      </c>
      <c r="Q196" s="49">
        <v>0</v>
      </c>
      <c r="R196" s="49">
        <v>1.7716535433070866E-2</v>
      </c>
      <c r="S196" s="49">
        <v>7.874015748031496E-3</v>
      </c>
      <c r="T196" s="49">
        <v>7.874015748031496E-3</v>
      </c>
      <c r="U196" s="49">
        <v>0</v>
      </c>
    </row>
    <row r="197" spans="1:21">
      <c r="A197" t="s">
        <v>1025</v>
      </c>
      <c r="B197" t="s">
        <v>2033</v>
      </c>
      <c r="C197" s="49">
        <v>1</v>
      </c>
      <c r="D197" s="49">
        <v>2.0257826887661142E-2</v>
      </c>
      <c r="E197" s="49">
        <v>0.46183241252302026</v>
      </c>
      <c r="F197" s="49">
        <v>1.9843462246777164E-2</v>
      </c>
      <c r="G197" s="49">
        <v>4.2495395948434621E-2</v>
      </c>
      <c r="H197" s="49">
        <v>5.6629834254143642E-3</v>
      </c>
      <c r="I197" s="49">
        <v>6.3720073664825044E-2</v>
      </c>
      <c r="J197" s="49">
        <v>8.0570902394106816E-3</v>
      </c>
      <c r="K197" s="49">
        <v>0.30441988950276244</v>
      </c>
      <c r="L197" s="49">
        <v>1.6022099447513812E-2</v>
      </c>
      <c r="M197" s="49">
        <v>3.2228360957642726E-3</v>
      </c>
      <c r="N197" s="49">
        <v>1.4732965009208103E-3</v>
      </c>
      <c r="O197" s="49">
        <v>0.11754143646408839</v>
      </c>
      <c r="P197" s="49">
        <v>1.3305709023941069E-2</v>
      </c>
      <c r="Q197" s="49">
        <v>0</v>
      </c>
      <c r="R197" s="49">
        <v>1.0128913443830571E-3</v>
      </c>
      <c r="S197" s="49">
        <v>4.9723756906077344E-3</v>
      </c>
      <c r="T197" s="49">
        <v>2.2559852670349908E-3</v>
      </c>
      <c r="U197" s="49">
        <v>1.7955801104972376E-3</v>
      </c>
    </row>
    <row r="198" spans="1:21">
      <c r="A198" t="s">
        <v>2060</v>
      </c>
      <c r="B198" t="s">
        <v>2040</v>
      </c>
      <c r="C198" s="49">
        <v>1</v>
      </c>
      <c r="D198" s="49">
        <v>7.6134894684814847E-3</v>
      </c>
      <c r="E198" s="49">
        <v>0.82159151395331154</v>
      </c>
      <c r="F198" s="49">
        <v>1.093072770131549E-2</v>
      </c>
      <c r="G198" s="49">
        <v>8.5164626264162425E-3</v>
      </c>
      <c r="H198" s="49">
        <v>1.5683218006235268E-3</v>
      </c>
      <c r="I198" s="49">
        <v>0.13469508022203636</v>
      </c>
      <c r="J198" s="49">
        <v>7.3568549920158162E-3</v>
      </c>
      <c r="K198" s="49">
        <v>2.3097102881910123E-2</v>
      </c>
      <c r="L198" s="49">
        <v>3.6879324766177475E-3</v>
      </c>
      <c r="M198" s="49">
        <v>2.1861455402630978E-4</v>
      </c>
      <c r="N198" s="49">
        <v>2.4712949585582847E-4</v>
      </c>
      <c r="O198" s="49">
        <v>6.2067523382252302E-3</v>
      </c>
      <c r="P198" s="49">
        <v>1.777431374039997E-3</v>
      </c>
      <c r="Q198" s="49">
        <v>0</v>
      </c>
      <c r="R198" s="49">
        <v>2.0910957341647022E-4</v>
      </c>
      <c r="S198" s="49">
        <v>3.146148581856893E-3</v>
      </c>
      <c r="T198" s="49">
        <v>1.2356474792791423E-3</v>
      </c>
      <c r="U198" s="49">
        <v>2.5283248422173217E-3</v>
      </c>
    </row>
    <row r="199" spans="1:21">
      <c r="A199" t="s">
        <v>294</v>
      </c>
      <c r="B199" t="s">
        <v>2036</v>
      </c>
      <c r="C199" s="49">
        <v>1</v>
      </c>
      <c r="D199" s="49">
        <v>1.7770063641623274E-2</v>
      </c>
      <c r="E199" s="49">
        <v>2.3473014298702372E-2</v>
      </c>
      <c r="F199" s="49">
        <v>7.8518885858335392E-3</v>
      </c>
      <c r="G199" s="49">
        <v>2.99198280849657E-2</v>
      </c>
      <c r="H199" s="49">
        <v>1.008347797338623E-2</v>
      </c>
      <c r="I199" s="49">
        <v>0.22555583106041821</v>
      </c>
      <c r="J199" s="49">
        <v>2.1406727828746176E-2</v>
      </c>
      <c r="K199" s="49">
        <v>0.67079923960657906</v>
      </c>
      <c r="L199" s="49">
        <v>2.6448466815439293E-2</v>
      </c>
      <c r="M199" s="49">
        <v>1.157120423175469E-3</v>
      </c>
      <c r="N199" s="49">
        <v>1.983635011157947E-3</v>
      </c>
      <c r="O199" s="49">
        <v>3.3473840813290356E-2</v>
      </c>
      <c r="P199" s="49">
        <v>1.157120423175469E-2</v>
      </c>
      <c r="Q199" s="49">
        <v>0</v>
      </c>
      <c r="R199" s="49">
        <v>1.6530291759649558E-3</v>
      </c>
      <c r="S199" s="49">
        <v>1.0166129432184479E-2</v>
      </c>
      <c r="T199" s="49">
        <v>5.0417389866931148E-3</v>
      </c>
      <c r="U199" s="49">
        <v>5.4549962806843544E-3</v>
      </c>
    </row>
    <row r="200" spans="1:21">
      <c r="A200" t="s">
        <v>1398</v>
      </c>
      <c r="B200" t="s">
        <v>2033</v>
      </c>
      <c r="C200" s="49">
        <v>1</v>
      </c>
      <c r="D200" s="49">
        <v>2.0257826887661142E-2</v>
      </c>
      <c r="E200" s="49">
        <v>0.46183241252302026</v>
      </c>
      <c r="F200" s="49">
        <v>1.9843462246777164E-2</v>
      </c>
      <c r="G200" s="49">
        <v>4.2495395948434621E-2</v>
      </c>
      <c r="H200" s="49">
        <v>5.6629834254143642E-3</v>
      </c>
      <c r="I200" s="49">
        <v>6.3720073664825044E-2</v>
      </c>
      <c r="J200" s="49">
        <v>8.0570902394106816E-3</v>
      </c>
      <c r="K200" s="49">
        <v>0.30441988950276244</v>
      </c>
      <c r="L200" s="49">
        <v>1.6022099447513812E-2</v>
      </c>
      <c r="M200" s="49">
        <v>3.2228360957642726E-3</v>
      </c>
      <c r="N200" s="49">
        <v>1.4732965009208103E-3</v>
      </c>
      <c r="O200" s="49">
        <v>0.11754143646408839</v>
      </c>
      <c r="P200" s="49">
        <v>1.3305709023941069E-2</v>
      </c>
      <c r="Q200" s="49">
        <v>0</v>
      </c>
      <c r="R200" s="49">
        <v>1.0128913443830571E-3</v>
      </c>
      <c r="S200" s="49">
        <v>4.9723756906077344E-3</v>
      </c>
      <c r="T200" s="49">
        <v>2.2559852670349908E-3</v>
      </c>
      <c r="U200" s="49">
        <v>1.7955801104972376E-3</v>
      </c>
    </row>
    <row r="201" spans="1:21">
      <c r="A201" t="s">
        <v>1600</v>
      </c>
      <c r="B201" t="s">
        <v>2033</v>
      </c>
      <c r="C201" s="49">
        <v>1</v>
      </c>
      <c r="D201" s="49">
        <v>2.0257826887661142E-2</v>
      </c>
      <c r="E201" s="49">
        <v>0.46183241252302026</v>
      </c>
      <c r="F201" s="49">
        <v>1.9843462246777164E-2</v>
      </c>
      <c r="G201" s="49">
        <v>4.2495395948434621E-2</v>
      </c>
      <c r="H201" s="49">
        <v>5.6629834254143642E-3</v>
      </c>
      <c r="I201" s="49">
        <v>6.3720073664825044E-2</v>
      </c>
      <c r="J201" s="49">
        <v>8.0570902394106816E-3</v>
      </c>
      <c r="K201" s="49">
        <v>0.30441988950276244</v>
      </c>
      <c r="L201" s="49">
        <v>1.6022099447513812E-2</v>
      </c>
      <c r="M201" s="49">
        <v>3.2228360957642726E-3</v>
      </c>
      <c r="N201" s="49">
        <v>1.4732965009208103E-3</v>
      </c>
      <c r="O201" s="49">
        <v>0.11754143646408839</v>
      </c>
      <c r="P201" s="49">
        <v>1.3305709023941069E-2</v>
      </c>
      <c r="Q201" s="49">
        <v>0</v>
      </c>
      <c r="R201" s="49">
        <v>1.0128913443830571E-3</v>
      </c>
      <c r="S201" s="49">
        <v>4.9723756906077344E-3</v>
      </c>
      <c r="T201" s="49">
        <v>2.2559852670349908E-3</v>
      </c>
      <c r="U201" s="49">
        <v>1.7955801104972376E-3</v>
      </c>
    </row>
    <row r="202" spans="1:21">
      <c r="A202" t="s">
        <v>1399</v>
      </c>
      <c r="B202" t="s">
        <v>2024</v>
      </c>
      <c r="C202" s="49">
        <v>1</v>
      </c>
      <c r="D202" s="49">
        <v>3.9991113085980891E-2</v>
      </c>
      <c r="E202" s="49">
        <v>3.4436791824039102E-2</v>
      </c>
      <c r="F202" s="49">
        <v>1.5329926682959343E-2</v>
      </c>
      <c r="G202" s="49">
        <v>4.8878027105087761E-3</v>
      </c>
      <c r="H202" s="49">
        <v>4.6656298600311046E-3</v>
      </c>
      <c r="I202" s="49">
        <v>8.0648744723394797E-2</v>
      </c>
      <c r="J202" s="49">
        <v>2.7771606309708954E-2</v>
      </c>
      <c r="K202" s="49">
        <v>0.80493223728060426</v>
      </c>
      <c r="L202" s="49">
        <v>4.9988891357476119E-2</v>
      </c>
      <c r="M202" s="49">
        <v>0</v>
      </c>
      <c r="N202" s="49">
        <v>3.3325927571650742E-3</v>
      </c>
      <c r="O202" s="49">
        <v>5.6431904021328597E-2</v>
      </c>
      <c r="P202" s="49">
        <v>2.043990224394579E-2</v>
      </c>
      <c r="Q202" s="49">
        <v>0</v>
      </c>
      <c r="R202" s="49">
        <v>3.3325927571650742E-3</v>
      </c>
      <c r="S202" s="49">
        <v>1.7107309486780714E-2</v>
      </c>
      <c r="T202" s="49">
        <v>1.0219951121972895E-2</v>
      </c>
      <c r="U202" s="49">
        <v>1.5552099533437014E-3</v>
      </c>
    </row>
    <row r="203" spans="1:21">
      <c r="A203" t="s">
        <v>15</v>
      </c>
      <c r="B203" t="s">
        <v>2039</v>
      </c>
      <c r="C203" s="49">
        <v>1</v>
      </c>
      <c r="D203" s="49">
        <v>4.2857142857142858E-2</v>
      </c>
      <c r="E203" s="49">
        <v>6.2500000000000003E-3</v>
      </c>
      <c r="F203" s="49">
        <v>4.0178571428571425E-3</v>
      </c>
      <c r="G203" s="49">
        <v>3.2589285714285716E-2</v>
      </c>
      <c r="H203" s="49">
        <v>1.1607142857142858E-2</v>
      </c>
      <c r="I203" s="49">
        <v>0.1299107142857143</v>
      </c>
      <c r="J203" s="49">
        <v>2.5000000000000001E-2</v>
      </c>
      <c r="K203" s="49">
        <v>0.48303571428571429</v>
      </c>
      <c r="L203" s="49">
        <v>4.1517857142857141E-2</v>
      </c>
      <c r="M203" s="49">
        <v>8.9285714285714283E-4</v>
      </c>
      <c r="N203" s="49">
        <v>1.3392857142857143E-3</v>
      </c>
      <c r="O203" s="49">
        <v>0.34241071428571429</v>
      </c>
      <c r="P203" s="49">
        <v>3.7946428571428568E-2</v>
      </c>
      <c r="Q203" s="49">
        <v>0</v>
      </c>
      <c r="R203" s="49">
        <v>5.8035714285714288E-3</v>
      </c>
      <c r="S203" s="49">
        <v>4.0178571428571425E-3</v>
      </c>
      <c r="T203" s="49">
        <v>2.6785714285714286E-3</v>
      </c>
      <c r="U203" s="49">
        <v>8.9285714285714283E-4</v>
      </c>
    </row>
    <row r="204" spans="1:21">
      <c r="A204" t="s">
        <v>208</v>
      </c>
      <c r="B204" t="s">
        <v>205</v>
      </c>
      <c r="C204" s="49">
        <v>1</v>
      </c>
      <c r="D204" s="49">
        <v>8.3919597989949746E-2</v>
      </c>
      <c r="E204" s="49">
        <v>0.66582914572864327</v>
      </c>
      <c r="F204" s="49">
        <v>5.4773869346733665E-2</v>
      </c>
      <c r="G204" s="49">
        <v>5.025125628140704E-4</v>
      </c>
      <c r="H204" s="49">
        <v>1.507537688442211E-3</v>
      </c>
      <c r="I204" s="49">
        <v>2.7638190954773871E-2</v>
      </c>
      <c r="J204" s="49">
        <v>1.6582914572864323E-2</v>
      </c>
      <c r="K204" s="49">
        <v>0.30351758793969852</v>
      </c>
      <c r="L204" s="49">
        <v>4.6733668341708542E-2</v>
      </c>
      <c r="M204" s="49">
        <v>0</v>
      </c>
      <c r="N204" s="49">
        <v>6.5326633165829146E-3</v>
      </c>
      <c r="O204" s="49">
        <v>0</v>
      </c>
      <c r="P204" s="49">
        <v>6.5326633165829146E-3</v>
      </c>
      <c r="Q204" s="49">
        <v>0</v>
      </c>
      <c r="R204" s="49">
        <v>6.5326633165829146E-3</v>
      </c>
      <c r="S204" s="49">
        <v>2.5125628140703518E-3</v>
      </c>
      <c r="T204" s="49">
        <v>2.0100502512562816E-3</v>
      </c>
      <c r="U204" s="49">
        <v>0</v>
      </c>
    </row>
    <row r="205" spans="1:21">
      <c r="A205" t="s">
        <v>1601</v>
      </c>
      <c r="B205" t="s">
        <v>2033</v>
      </c>
      <c r="C205" s="49">
        <v>1</v>
      </c>
      <c r="D205" s="49">
        <v>2.0257826887661142E-2</v>
      </c>
      <c r="E205" s="49">
        <v>0.46183241252302026</v>
      </c>
      <c r="F205" s="49">
        <v>1.9843462246777164E-2</v>
      </c>
      <c r="G205" s="49">
        <v>4.2495395948434621E-2</v>
      </c>
      <c r="H205" s="49">
        <v>5.6629834254143642E-3</v>
      </c>
      <c r="I205" s="49">
        <v>6.3720073664825044E-2</v>
      </c>
      <c r="J205" s="49">
        <v>8.0570902394106816E-3</v>
      </c>
      <c r="K205" s="49">
        <v>0.30441988950276244</v>
      </c>
      <c r="L205" s="49">
        <v>1.6022099447513812E-2</v>
      </c>
      <c r="M205" s="49">
        <v>3.2228360957642726E-3</v>
      </c>
      <c r="N205" s="49">
        <v>1.4732965009208103E-3</v>
      </c>
      <c r="O205" s="49">
        <v>0.11754143646408839</v>
      </c>
      <c r="P205" s="49">
        <v>1.3305709023941069E-2</v>
      </c>
      <c r="Q205" s="49">
        <v>0</v>
      </c>
      <c r="R205" s="49">
        <v>1.0128913443830571E-3</v>
      </c>
      <c r="S205" s="49">
        <v>4.9723756906077344E-3</v>
      </c>
      <c r="T205" s="49">
        <v>2.2559852670349908E-3</v>
      </c>
      <c r="U205" s="49">
        <v>1.7955801104972376E-3</v>
      </c>
    </row>
    <row r="206" spans="1:21">
      <c r="A206" t="s">
        <v>82</v>
      </c>
      <c r="B206" t="s">
        <v>2028</v>
      </c>
      <c r="C206" s="49">
        <v>1</v>
      </c>
      <c r="D206" s="49">
        <v>3.9883268482490269E-2</v>
      </c>
      <c r="E206" s="49">
        <v>4.8638132295719845E-3</v>
      </c>
      <c r="F206" s="49">
        <v>5.8365758754863814E-3</v>
      </c>
      <c r="G206" s="49">
        <v>9.727626459143969E-4</v>
      </c>
      <c r="H206" s="49">
        <v>1.4591439688715954E-3</v>
      </c>
      <c r="I206" s="49">
        <v>8.7548638132295721E-3</v>
      </c>
      <c r="J206" s="49">
        <v>5.8365758754863814E-3</v>
      </c>
      <c r="K206" s="49">
        <v>0.51021400778210113</v>
      </c>
      <c r="L206" s="49">
        <v>2.6750972762645913E-2</v>
      </c>
      <c r="M206" s="49">
        <v>7.7821011673151752E-3</v>
      </c>
      <c r="N206" s="49">
        <v>5.350194552529183E-3</v>
      </c>
      <c r="O206" s="49">
        <v>0.46303501945525294</v>
      </c>
      <c r="P206" s="49">
        <v>3.1614785992217898E-2</v>
      </c>
      <c r="Q206" s="49">
        <v>9.727626459143969E-4</v>
      </c>
      <c r="R206" s="49">
        <v>1.4591439688715954E-3</v>
      </c>
      <c r="S206" s="49">
        <v>1.4591439688715954E-3</v>
      </c>
      <c r="T206" s="49">
        <v>1.9455252918287938E-3</v>
      </c>
      <c r="U206" s="49">
        <v>1.9455252918287938E-3</v>
      </c>
    </row>
    <row r="207" spans="1:21">
      <c r="A207" t="s">
        <v>1400</v>
      </c>
      <c r="B207" t="s">
        <v>2042</v>
      </c>
      <c r="C207" s="49">
        <v>1</v>
      </c>
      <c r="D207" s="49">
        <v>0.13020833333333334</v>
      </c>
      <c r="E207" s="49">
        <v>0</v>
      </c>
      <c r="F207" s="49">
        <v>2.34375E-2</v>
      </c>
      <c r="G207" s="49">
        <v>0</v>
      </c>
      <c r="H207" s="49">
        <v>2.34375E-2</v>
      </c>
      <c r="I207" s="49">
        <v>0</v>
      </c>
      <c r="J207" s="49">
        <v>2.34375E-2</v>
      </c>
      <c r="K207" s="49">
        <v>0.96354166666666663</v>
      </c>
      <c r="L207" s="49">
        <v>0.125</v>
      </c>
      <c r="M207" s="49">
        <v>0</v>
      </c>
      <c r="N207" s="49">
        <v>2.34375E-2</v>
      </c>
      <c r="O207" s="49">
        <v>1.3020833333333334E-2</v>
      </c>
      <c r="P207" s="49">
        <v>1.0416666666666666E-2</v>
      </c>
      <c r="Q207" s="49">
        <v>0</v>
      </c>
      <c r="R207" s="49">
        <v>2.34375E-2</v>
      </c>
      <c r="S207" s="49">
        <v>1.8229166666666668E-2</v>
      </c>
      <c r="T207" s="49">
        <v>1.5625E-2</v>
      </c>
      <c r="U207" s="49">
        <v>5.208333333333333E-3</v>
      </c>
    </row>
    <row r="208" spans="1:21">
      <c r="A208" t="s">
        <v>112</v>
      </c>
      <c r="B208" t="s">
        <v>2024</v>
      </c>
      <c r="C208" s="49">
        <v>1</v>
      </c>
      <c r="D208" s="49">
        <v>3.9991113085980891E-2</v>
      </c>
      <c r="E208" s="49">
        <v>3.4436791824039102E-2</v>
      </c>
      <c r="F208" s="49">
        <v>1.5329926682959343E-2</v>
      </c>
      <c r="G208" s="49">
        <v>4.8878027105087761E-3</v>
      </c>
      <c r="H208" s="49">
        <v>4.6656298600311046E-3</v>
      </c>
      <c r="I208" s="49">
        <v>8.0648744723394797E-2</v>
      </c>
      <c r="J208" s="49">
        <v>2.7771606309708954E-2</v>
      </c>
      <c r="K208" s="49">
        <v>0.80493223728060426</v>
      </c>
      <c r="L208" s="49">
        <v>4.9988891357476119E-2</v>
      </c>
      <c r="M208" s="49">
        <v>0</v>
      </c>
      <c r="N208" s="49">
        <v>3.3325927571650742E-3</v>
      </c>
      <c r="O208" s="49">
        <v>5.6431904021328597E-2</v>
      </c>
      <c r="P208" s="49">
        <v>2.043990224394579E-2</v>
      </c>
      <c r="Q208" s="49">
        <v>0</v>
      </c>
      <c r="R208" s="49">
        <v>3.3325927571650742E-3</v>
      </c>
      <c r="S208" s="49">
        <v>1.7107309486780714E-2</v>
      </c>
      <c r="T208" s="49">
        <v>1.0219951121972895E-2</v>
      </c>
      <c r="U208" s="49">
        <v>1.5552099533437014E-3</v>
      </c>
    </row>
    <row r="209" spans="1:21">
      <c r="A209" t="s">
        <v>1028</v>
      </c>
      <c r="B209" t="s">
        <v>2039</v>
      </c>
      <c r="C209" s="49">
        <v>1</v>
      </c>
      <c r="D209" s="49">
        <v>4.2857142857142858E-2</v>
      </c>
      <c r="E209" s="49">
        <v>6.2500000000000003E-3</v>
      </c>
      <c r="F209" s="49">
        <v>4.0178571428571425E-3</v>
      </c>
      <c r="G209" s="49">
        <v>3.2589285714285716E-2</v>
      </c>
      <c r="H209" s="49">
        <v>1.1607142857142858E-2</v>
      </c>
      <c r="I209" s="49">
        <v>0.1299107142857143</v>
      </c>
      <c r="J209" s="49">
        <v>2.5000000000000001E-2</v>
      </c>
      <c r="K209" s="49">
        <v>0.48303571428571429</v>
      </c>
      <c r="L209" s="49">
        <v>4.1517857142857141E-2</v>
      </c>
      <c r="M209" s="49">
        <v>8.9285714285714283E-4</v>
      </c>
      <c r="N209" s="49">
        <v>1.3392857142857143E-3</v>
      </c>
      <c r="O209" s="49">
        <v>0.34241071428571429</v>
      </c>
      <c r="P209" s="49">
        <v>3.7946428571428568E-2</v>
      </c>
      <c r="Q209" s="49">
        <v>0</v>
      </c>
      <c r="R209" s="49">
        <v>5.8035714285714288E-3</v>
      </c>
      <c r="S209" s="49">
        <v>4.0178571428571425E-3</v>
      </c>
      <c r="T209" s="49">
        <v>2.6785714285714286E-3</v>
      </c>
      <c r="U209" s="49">
        <v>8.9285714285714283E-4</v>
      </c>
    </row>
    <row r="210" spans="1:21">
      <c r="A210" t="s">
        <v>83</v>
      </c>
      <c r="B210" t="s">
        <v>2025</v>
      </c>
      <c r="C210" s="49">
        <v>1</v>
      </c>
      <c r="D210" s="49">
        <v>3.4419458467186782E-2</v>
      </c>
      <c r="E210" s="49">
        <v>5.9660394676457089E-3</v>
      </c>
      <c r="F210" s="49">
        <v>4.8187241854061496E-3</v>
      </c>
      <c r="G210" s="49">
        <v>1.1473152822395595E-3</v>
      </c>
      <c r="H210" s="49">
        <v>1.8357044515832951E-3</v>
      </c>
      <c r="I210" s="49">
        <v>1.7668655346489214E-2</v>
      </c>
      <c r="J210" s="49">
        <v>1.0325837540156035E-2</v>
      </c>
      <c r="K210" s="49">
        <v>0.85589720055071139</v>
      </c>
      <c r="L210" s="49">
        <v>3.1895364846259752E-2</v>
      </c>
      <c r="M210" s="49">
        <v>2.2946305644791189E-4</v>
      </c>
      <c r="N210" s="49">
        <v>4.5892611289582378E-4</v>
      </c>
      <c r="O210" s="49">
        <v>0.11656723267553924</v>
      </c>
      <c r="P210" s="49">
        <v>1.6291877007801745E-2</v>
      </c>
      <c r="Q210" s="49">
        <v>0</v>
      </c>
      <c r="R210" s="49">
        <v>3.4419458467186783E-3</v>
      </c>
      <c r="S210" s="49">
        <v>2.5240936209270305E-3</v>
      </c>
      <c r="T210" s="49">
        <v>1.1473152822395595E-3</v>
      </c>
      <c r="U210" s="49">
        <v>0</v>
      </c>
    </row>
    <row r="211" spans="1:21">
      <c r="A211" t="s">
        <v>1029</v>
      </c>
      <c r="B211" t="s">
        <v>2033</v>
      </c>
      <c r="C211" s="49">
        <v>1</v>
      </c>
      <c r="D211" s="49">
        <v>2.0257826887661142E-2</v>
      </c>
      <c r="E211" s="49">
        <v>0.46183241252302026</v>
      </c>
      <c r="F211" s="49">
        <v>1.9843462246777164E-2</v>
      </c>
      <c r="G211" s="49">
        <v>4.2495395948434621E-2</v>
      </c>
      <c r="H211" s="49">
        <v>5.6629834254143642E-3</v>
      </c>
      <c r="I211" s="49">
        <v>6.3720073664825044E-2</v>
      </c>
      <c r="J211" s="49">
        <v>8.0570902394106816E-3</v>
      </c>
      <c r="K211" s="49">
        <v>0.30441988950276244</v>
      </c>
      <c r="L211" s="49">
        <v>1.6022099447513812E-2</v>
      </c>
      <c r="M211" s="49">
        <v>3.2228360957642726E-3</v>
      </c>
      <c r="N211" s="49">
        <v>1.4732965009208103E-3</v>
      </c>
      <c r="O211" s="49">
        <v>0.11754143646408839</v>
      </c>
      <c r="P211" s="49">
        <v>1.3305709023941069E-2</v>
      </c>
      <c r="Q211" s="49">
        <v>0</v>
      </c>
      <c r="R211" s="49">
        <v>1.0128913443830571E-3</v>
      </c>
      <c r="S211" s="49">
        <v>4.9723756906077344E-3</v>
      </c>
      <c r="T211" s="49">
        <v>2.2559852670349908E-3</v>
      </c>
      <c r="U211" s="49">
        <v>1.7955801104972376E-3</v>
      </c>
    </row>
    <row r="212" spans="1:21">
      <c r="A212" t="s">
        <v>295</v>
      </c>
      <c r="B212" t="s">
        <v>2033</v>
      </c>
      <c r="C212" s="49">
        <v>1</v>
      </c>
      <c r="D212" s="49">
        <v>2.0257826887661142E-2</v>
      </c>
      <c r="E212" s="49">
        <v>0.46183241252302026</v>
      </c>
      <c r="F212" s="49">
        <v>1.9843462246777164E-2</v>
      </c>
      <c r="G212" s="49">
        <v>4.2495395948434621E-2</v>
      </c>
      <c r="H212" s="49">
        <v>5.6629834254143642E-3</v>
      </c>
      <c r="I212" s="49">
        <v>6.3720073664825044E-2</v>
      </c>
      <c r="J212" s="49">
        <v>8.0570902394106816E-3</v>
      </c>
      <c r="K212" s="49">
        <v>0.30441988950276244</v>
      </c>
      <c r="L212" s="49">
        <v>1.6022099447513812E-2</v>
      </c>
      <c r="M212" s="49">
        <v>3.2228360957642726E-3</v>
      </c>
      <c r="N212" s="49">
        <v>1.4732965009208103E-3</v>
      </c>
      <c r="O212" s="49">
        <v>0.11754143646408839</v>
      </c>
      <c r="P212" s="49">
        <v>1.3305709023941069E-2</v>
      </c>
      <c r="Q212" s="49">
        <v>0</v>
      </c>
      <c r="R212" s="49">
        <v>1.0128913443830571E-3</v>
      </c>
      <c r="S212" s="49">
        <v>4.9723756906077344E-3</v>
      </c>
      <c r="T212" s="49">
        <v>2.2559852670349908E-3</v>
      </c>
      <c r="U212" s="49">
        <v>1.7955801104972376E-3</v>
      </c>
    </row>
    <row r="213" spans="1:21">
      <c r="A213" t="s">
        <v>2033</v>
      </c>
      <c r="B213" t="s">
        <v>2033</v>
      </c>
      <c r="C213" s="49">
        <v>1</v>
      </c>
      <c r="D213" s="49">
        <v>2.0257826887661142E-2</v>
      </c>
      <c r="E213" s="49">
        <v>0.46183241252302026</v>
      </c>
      <c r="F213" s="49">
        <v>1.9843462246777164E-2</v>
      </c>
      <c r="G213" s="49">
        <v>4.2495395948434621E-2</v>
      </c>
      <c r="H213" s="49">
        <v>5.6629834254143642E-3</v>
      </c>
      <c r="I213" s="49">
        <v>6.3720073664825044E-2</v>
      </c>
      <c r="J213" s="49">
        <v>8.0570902394106816E-3</v>
      </c>
      <c r="K213" s="49">
        <v>0.30441988950276244</v>
      </c>
      <c r="L213" s="49">
        <v>1.6022099447513812E-2</v>
      </c>
      <c r="M213" s="49">
        <v>3.2228360957642726E-3</v>
      </c>
      <c r="N213" s="49">
        <v>1.4732965009208103E-3</v>
      </c>
      <c r="O213" s="49">
        <v>0.11754143646408839</v>
      </c>
      <c r="P213" s="49">
        <v>1.3305709023941069E-2</v>
      </c>
      <c r="Q213" s="49">
        <v>0</v>
      </c>
      <c r="R213" s="49">
        <v>1.0128913443830571E-3</v>
      </c>
      <c r="S213" s="49">
        <v>4.9723756906077344E-3</v>
      </c>
      <c r="T213" s="49">
        <v>2.2559852670349908E-3</v>
      </c>
      <c r="U213" s="49">
        <v>1.7955801104972376E-3</v>
      </c>
    </row>
    <row r="214" spans="1:21">
      <c r="A214" t="s">
        <v>1030</v>
      </c>
      <c r="B214" t="s">
        <v>2044</v>
      </c>
      <c r="C214" s="49">
        <v>1</v>
      </c>
      <c r="D214" s="49">
        <v>4.81892523364486E-2</v>
      </c>
      <c r="E214" s="49">
        <v>4.6436915887850469E-2</v>
      </c>
      <c r="F214" s="49">
        <v>1.8107476635514017E-2</v>
      </c>
      <c r="G214" s="49">
        <v>2.9205607476635514E-2</v>
      </c>
      <c r="H214" s="49">
        <v>2.0443925233644859E-2</v>
      </c>
      <c r="I214" s="49">
        <v>2.27803738317757E-2</v>
      </c>
      <c r="J214" s="49">
        <v>1.4310747663551402E-2</v>
      </c>
      <c r="K214" s="49">
        <v>0.67873831775700932</v>
      </c>
      <c r="L214" s="49">
        <v>5.1401869158878503E-2</v>
      </c>
      <c r="M214" s="49">
        <v>3.7967289719626168E-3</v>
      </c>
      <c r="N214" s="49">
        <v>3.5046728971962616E-3</v>
      </c>
      <c r="O214" s="49">
        <v>0.21290887850467291</v>
      </c>
      <c r="P214" s="49">
        <v>3.6214953271028034E-2</v>
      </c>
      <c r="Q214" s="49">
        <v>0</v>
      </c>
      <c r="R214" s="49">
        <v>3.7967289719626168E-3</v>
      </c>
      <c r="S214" s="49">
        <v>3.7967289719626168E-3</v>
      </c>
      <c r="T214" s="49">
        <v>4.0887850467289715E-3</v>
      </c>
      <c r="U214" s="49">
        <v>2.3364485981308409E-3</v>
      </c>
    </row>
    <row r="215" spans="1:21">
      <c r="A215" t="s">
        <v>296</v>
      </c>
      <c r="B215" t="s">
        <v>2061</v>
      </c>
      <c r="C215" s="49">
        <v>1</v>
      </c>
      <c r="D215" s="49">
        <v>3.4372049102927286E-2</v>
      </c>
      <c r="E215" s="49">
        <v>2.0963172804532578E-2</v>
      </c>
      <c r="F215" s="49">
        <v>9.442870632672332E-3</v>
      </c>
      <c r="G215" s="49">
        <v>3.4372049102927286E-2</v>
      </c>
      <c r="H215" s="49">
        <v>1.0387157695939566E-2</v>
      </c>
      <c r="I215" s="49">
        <v>0.25136921624173747</v>
      </c>
      <c r="J215" s="49">
        <v>3.0972615675165249E-2</v>
      </c>
      <c r="K215" s="49">
        <v>0.60396600566572234</v>
      </c>
      <c r="L215" s="49">
        <v>4.0982058545797923E-2</v>
      </c>
      <c r="M215" s="49">
        <v>0</v>
      </c>
      <c r="N215" s="49">
        <v>2.8328611898016999E-3</v>
      </c>
      <c r="O215" s="49">
        <v>7.818696883852691E-2</v>
      </c>
      <c r="P215" s="49">
        <v>2.0774315391879131E-2</v>
      </c>
      <c r="Q215" s="49">
        <v>0</v>
      </c>
      <c r="R215" s="49">
        <v>2.8328611898016999E-3</v>
      </c>
      <c r="S215" s="49">
        <v>1.0764872521246459E-2</v>
      </c>
      <c r="T215" s="49">
        <v>8.1208687440982065E-3</v>
      </c>
      <c r="U215" s="49">
        <v>3.7771482530689327E-4</v>
      </c>
    </row>
    <row r="216" spans="1:21">
      <c r="A216" t="s">
        <v>2061</v>
      </c>
      <c r="B216" t="s">
        <v>2061</v>
      </c>
      <c r="C216" s="49">
        <v>1</v>
      </c>
      <c r="D216" s="49">
        <v>3.4372049102927286E-2</v>
      </c>
      <c r="E216" s="49">
        <v>2.0963172804532578E-2</v>
      </c>
      <c r="F216" s="49">
        <v>9.442870632672332E-3</v>
      </c>
      <c r="G216" s="49">
        <v>3.4372049102927286E-2</v>
      </c>
      <c r="H216" s="49">
        <v>1.0387157695939566E-2</v>
      </c>
      <c r="I216" s="49">
        <v>0.25136921624173747</v>
      </c>
      <c r="J216" s="49">
        <v>3.0972615675165249E-2</v>
      </c>
      <c r="K216" s="49">
        <v>0.60396600566572234</v>
      </c>
      <c r="L216" s="49">
        <v>4.0982058545797923E-2</v>
      </c>
      <c r="M216" s="49">
        <v>0</v>
      </c>
      <c r="N216" s="49">
        <v>2.8328611898016999E-3</v>
      </c>
      <c r="O216" s="49">
        <v>7.818696883852691E-2</v>
      </c>
      <c r="P216" s="49">
        <v>2.0774315391879131E-2</v>
      </c>
      <c r="Q216" s="49">
        <v>0</v>
      </c>
      <c r="R216" s="49">
        <v>2.8328611898016999E-3</v>
      </c>
      <c r="S216" s="49">
        <v>1.0764872521246459E-2</v>
      </c>
      <c r="T216" s="49">
        <v>8.1208687440982065E-3</v>
      </c>
      <c r="U216" s="49">
        <v>3.7771482530689327E-4</v>
      </c>
    </row>
    <row r="217" spans="1:21">
      <c r="A217" t="s">
        <v>46</v>
      </c>
      <c r="B217" t="s">
        <v>2032</v>
      </c>
      <c r="C217" s="49">
        <v>1</v>
      </c>
      <c r="D217" s="49">
        <v>3.8293216630196934E-2</v>
      </c>
      <c r="E217" s="49">
        <v>1.8599562363238512E-2</v>
      </c>
      <c r="F217" s="49">
        <v>1.0940919037199124E-2</v>
      </c>
      <c r="G217" s="49">
        <v>1.6411378555798686E-3</v>
      </c>
      <c r="H217" s="49">
        <v>3.2822757111597373E-3</v>
      </c>
      <c r="I217" s="49">
        <v>2.5164113785557989E-2</v>
      </c>
      <c r="J217" s="49">
        <v>9.8468271334792128E-3</v>
      </c>
      <c r="K217" s="49">
        <v>0.85175054704595188</v>
      </c>
      <c r="L217" s="49">
        <v>3.9934354485776806E-2</v>
      </c>
      <c r="M217" s="49">
        <v>0</v>
      </c>
      <c r="N217" s="49">
        <v>7.1115973741794312E-3</v>
      </c>
      <c r="O217" s="49">
        <v>5.9628008752735231E-2</v>
      </c>
      <c r="P217" s="49">
        <v>1.2035010940919038E-2</v>
      </c>
      <c r="Q217" s="49">
        <v>1.0940919037199124E-3</v>
      </c>
      <c r="R217" s="49">
        <v>1.6411378555798686E-3</v>
      </c>
      <c r="S217" s="49">
        <v>4.2122538293216633E-2</v>
      </c>
      <c r="T217" s="49">
        <v>1.6958424507658644E-2</v>
      </c>
      <c r="U217" s="49">
        <v>0</v>
      </c>
    </row>
    <row r="218" spans="1:21">
      <c r="A218" t="s">
        <v>162</v>
      </c>
      <c r="B218" t="s">
        <v>2026</v>
      </c>
      <c r="C218" s="49">
        <v>1</v>
      </c>
      <c r="D218" s="49">
        <v>0.39770114942528734</v>
      </c>
      <c r="E218" s="49">
        <v>1.3793103448275862E-2</v>
      </c>
      <c r="F218" s="49">
        <v>2.2988505747126436E-2</v>
      </c>
      <c r="G218" s="49">
        <v>2.2988505747126436E-3</v>
      </c>
      <c r="H218" s="49">
        <v>1.1494252873563218E-2</v>
      </c>
      <c r="I218" s="49">
        <v>2.7586206896551724E-2</v>
      </c>
      <c r="J218" s="49">
        <v>2.528735632183908E-2</v>
      </c>
      <c r="K218" s="49">
        <v>0.92183908045977014</v>
      </c>
      <c r="L218" s="49">
        <v>0.35632183908045978</v>
      </c>
      <c r="M218" s="49">
        <v>0</v>
      </c>
      <c r="N218" s="49">
        <v>2.0689655172413793E-2</v>
      </c>
      <c r="O218" s="49">
        <v>2.9885057471264367E-2</v>
      </c>
      <c r="P218" s="49">
        <v>2.528735632183908E-2</v>
      </c>
      <c r="Q218" s="49">
        <v>0</v>
      </c>
      <c r="R218" s="49">
        <v>2.0689655172413793E-2</v>
      </c>
      <c r="S218" s="49">
        <v>4.5977011494252873E-3</v>
      </c>
      <c r="T218" s="49">
        <v>6.8965517241379309E-3</v>
      </c>
      <c r="U218" s="49">
        <v>0</v>
      </c>
    </row>
    <row r="219" spans="1:21">
      <c r="A219" t="s">
        <v>1401</v>
      </c>
      <c r="B219" t="s">
        <v>2041</v>
      </c>
      <c r="C219" s="49">
        <v>1</v>
      </c>
      <c r="D219" s="49">
        <v>3.68251698248123E-2</v>
      </c>
      <c r="E219" s="49">
        <v>1.2870933142652842E-2</v>
      </c>
      <c r="F219" s="49">
        <v>7.5080443332141578E-3</v>
      </c>
      <c r="G219" s="49">
        <v>3.5752592062924561E-3</v>
      </c>
      <c r="H219" s="49">
        <v>3.5752592062924561E-3</v>
      </c>
      <c r="I219" s="49">
        <v>2.7887021809081158E-2</v>
      </c>
      <c r="J219" s="49">
        <v>1.3228459063282088E-2</v>
      </c>
      <c r="K219" s="49">
        <v>0.91383625312835182</v>
      </c>
      <c r="L219" s="49">
        <v>3.5037540221666073E-2</v>
      </c>
      <c r="M219" s="49">
        <v>0</v>
      </c>
      <c r="N219" s="49">
        <v>4.6478369681801929E-3</v>
      </c>
      <c r="O219" s="49">
        <v>4.0757954951734003E-2</v>
      </c>
      <c r="P219" s="49">
        <v>1.0725777618877368E-2</v>
      </c>
      <c r="Q219" s="49">
        <v>0</v>
      </c>
      <c r="R219" s="49">
        <v>4.6478369681801929E-3</v>
      </c>
      <c r="S219" s="49">
        <v>1.0725777618877368E-3</v>
      </c>
      <c r="T219" s="49">
        <v>1.4301036825169824E-3</v>
      </c>
      <c r="U219" s="49">
        <v>0</v>
      </c>
    </row>
    <row r="220" spans="1:21">
      <c r="A220" t="s">
        <v>1031</v>
      </c>
      <c r="B220" t="s">
        <v>2042</v>
      </c>
      <c r="C220" s="49">
        <v>1</v>
      </c>
      <c r="D220" s="49">
        <v>0.13020833333333334</v>
      </c>
      <c r="E220" s="49">
        <v>0</v>
      </c>
      <c r="F220" s="49">
        <v>2.34375E-2</v>
      </c>
      <c r="G220" s="49">
        <v>0</v>
      </c>
      <c r="H220" s="49">
        <v>2.34375E-2</v>
      </c>
      <c r="I220" s="49">
        <v>0</v>
      </c>
      <c r="J220" s="49">
        <v>2.34375E-2</v>
      </c>
      <c r="K220" s="49">
        <v>0.96354166666666663</v>
      </c>
      <c r="L220" s="49">
        <v>0.125</v>
      </c>
      <c r="M220" s="49">
        <v>0</v>
      </c>
      <c r="N220" s="49">
        <v>2.34375E-2</v>
      </c>
      <c r="O220" s="49">
        <v>1.3020833333333334E-2</v>
      </c>
      <c r="P220" s="49">
        <v>1.0416666666666666E-2</v>
      </c>
      <c r="Q220" s="49">
        <v>0</v>
      </c>
      <c r="R220" s="49">
        <v>2.34375E-2</v>
      </c>
      <c r="S220" s="49">
        <v>1.8229166666666668E-2</v>
      </c>
      <c r="T220" s="49">
        <v>1.5625E-2</v>
      </c>
      <c r="U220" s="49">
        <v>5.208333333333333E-3</v>
      </c>
    </row>
    <row r="221" spans="1:21">
      <c r="A221" t="s">
        <v>257</v>
      </c>
      <c r="B221" t="s">
        <v>2025</v>
      </c>
      <c r="C221" s="49">
        <v>1</v>
      </c>
      <c r="D221" s="49">
        <v>3.4419458467186782E-2</v>
      </c>
      <c r="E221" s="49">
        <v>5.9660394676457089E-3</v>
      </c>
      <c r="F221" s="49">
        <v>4.8187241854061496E-3</v>
      </c>
      <c r="G221" s="49">
        <v>1.1473152822395595E-3</v>
      </c>
      <c r="H221" s="49">
        <v>1.8357044515832951E-3</v>
      </c>
      <c r="I221" s="49">
        <v>1.7668655346489214E-2</v>
      </c>
      <c r="J221" s="49">
        <v>1.0325837540156035E-2</v>
      </c>
      <c r="K221" s="49">
        <v>0.85589720055071139</v>
      </c>
      <c r="L221" s="49">
        <v>3.1895364846259752E-2</v>
      </c>
      <c r="M221" s="49">
        <v>2.2946305644791189E-4</v>
      </c>
      <c r="N221" s="49">
        <v>4.5892611289582378E-4</v>
      </c>
      <c r="O221" s="49">
        <v>0.11656723267553924</v>
      </c>
      <c r="P221" s="49">
        <v>1.6291877007801745E-2</v>
      </c>
      <c r="Q221" s="49">
        <v>0</v>
      </c>
      <c r="R221" s="49">
        <v>3.4419458467186783E-3</v>
      </c>
      <c r="S221" s="49">
        <v>2.5240936209270305E-3</v>
      </c>
      <c r="T221" s="49">
        <v>1.1473152822395595E-3</v>
      </c>
      <c r="U221" s="49">
        <v>0</v>
      </c>
    </row>
    <row r="222" spans="1:21">
      <c r="A222" t="s">
        <v>84</v>
      </c>
      <c r="B222" t="s">
        <v>2032</v>
      </c>
      <c r="C222" s="49">
        <v>1</v>
      </c>
      <c r="D222" s="49">
        <v>3.8293216630196934E-2</v>
      </c>
      <c r="E222" s="49">
        <v>1.8599562363238512E-2</v>
      </c>
      <c r="F222" s="49">
        <v>1.0940919037199124E-2</v>
      </c>
      <c r="G222" s="49">
        <v>1.6411378555798686E-3</v>
      </c>
      <c r="H222" s="49">
        <v>3.2822757111597373E-3</v>
      </c>
      <c r="I222" s="49">
        <v>2.5164113785557989E-2</v>
      </c>
      <c r="J222" s="49">
        <v>9.8468271334792128E-3</v>
      </c>
      <c r="K222" s="49">
        <v>0.85175054704595188</v>
      </c>
      <c r="L222" s="49">
        <v>3.9934354485776806E-2</v>
      </c>
      <c r="M222" s="49">
        <v>0</v>
      </c>
      <c r="N222" s="49">
        <v>7.1115973741794312E-3</v>
      </c>
      <c r="O222" s="49">
        <v>5.9628008752735231E-2</v>
      </c>
      <c r="P222" s="49">
        <v>1.2035010940919038E-2</v>
      </c>
      <c r="Q222" s="49">
        <v>1.0940919037199124E-3</v>
      </c>
      <c r="R222" s="49">
        <v>1.6411378555798686E-3</v>
      </c>
      <c r="S222" s="49">
        <v>4.2122538293216633E-2</v>
      </c>
      <c r="T222" s="49">
        <v>1.6958424507658644E-2</v>
      </c>
      <c r="U222" s="49">
        <v>0</v>
      </c>
    </row>
    <row r="223" spans="1:21">
      <c r="A223" t="s">
        <v>62</v>
      </c>
      <c r="B223" t="s">
        <v>2039</v>
      </c>
      <c r="C223" s="49">
        <v>1</v>
      </c>
      <c r="D223" s="49">
        <v>4.2857142857142858E-2</v>
      </c>
      <c r="E223" s="49">
        <v>6.2500000000000003E-3</v>
      </c>
      <c r="F223" s="49">
        <v>4.0178571428571425E-3</v>
      </c>
      <c r="G223" s="49">
        <v>3.2589285714285716E-2</v>
      </c>
      <c r="H223" s="49">
        <v>1.1607142857142858E-2</v>
      </c>
      <c r="I223" s="49">
        <v>0.1299107142857143</v>
      </c>
      <c r="J223" s="49">
        <v>2.5000000000000001E-2</v>
      </c>
      <c r="K223" s="49">
        <v>0.48303571428571429</v>
      </c>
      <c r="L223" s="49">
        <v>4.1517857142857141E-2</v>
      </c>
      <c r="M223" s="49">
        <v>8.9285714285714283E-4</v>
      </c>
      <c r="N223" s="49">
        <v>1.3392857142857143E-3</v>
      </c>
      <c r="O223" s="49">
        <v>0.34241071428571429</v>
      </c>
      <c r="P223" s="49">
        <v>3.7946428571428568E-2</v>
      </c>
      <c r="Q223" s="49">
        <v>0</v>
      </c>
      <c r="R223" s="49">
        <v>5.8035714285714288E-3</v>
      </c>
      <c r="S223" s="49">
        <v>4.0178571428571425E-3</v>
      </c>
      <c r="T223" s="49">
        <v>2.6785714285714286E-3</v>
      </c>
      <c r="U223" s="49">
        <v>8.9285714285714283E-4</v>
      </c>
    </row>
    <row r="224" spans="1:21">
      <c r="A224" t="s">
        <v>1953</v>
      </c>
      <c r="B224" t="s">
        <v>2053</v>
      </c>
      <c r="C224" s="49">
        <v>1</v>
      </c>
      <c r="D224" s="49">
        <v>8.6746987951807228E-2</v>
      </c>
      <c r="E224" s="49">
        <v>3.2128514056224897E-2</v>
      </c>
      <c r="F224" s="49">
        <v>3.8554216867469883E-2</v>
      </c>
      <c r="G224" s="49">
        <v>7.2289156626506026E-3</v>
      </c>
      <c r="H224" s="49">
        <v>1.8473895582329317E-2</v>
      </c>
      <c r="I224" s="49">
        <v>4.1767068273092373E-2</v>
      </c>
      <c r="J224" s="49">
        <v>2.891566265060241E-2</v>
      </c>
      <c r="K224" s="49">
        <v>0.59839357429718876</v>
      </c>
      <c r="L224" s="49">
        <v>0.11244979919678715</v>
      </c>
      <c r="M224" s="49">
        <v>0</v>
      </c>
      <c r="N224" s="49">
        <v>7.2289156626506026E-3</v>
      </c>
      <c r="O224" s="49">
        <v>0.32048192771084338</v>
      </c>
      <c r="P224" s="49">
        <v>8.0321285140562249E-2</v>
      </c>
      <c r="Q224" s="49">
        <v>0</v>
      </c>
      <c r="R224" s="49">
        <v>7.2289156626506026E-3</v>
      </c>
      <c r="S224" s="49">
        <v>0</v>
      </c>
      <c r="T224" s="49">
        <v>7.2289156626506026E-3</v>
      </c>
      <c r="U224" s="49">
        <v>0</v>
      </c>
    </row>
    <row r="225" spans="1:21">
      <c r="A225" t="s">
        <v>159</v>
      </c>
      <c r="B225" t="s">
        <v>2035</v>
      </c>
      <c r="C225" s="49">
        <v>1</v>
      </c>
      <c r="D225" s="49">
        <v>7.2043010752688166E-2</v>
      </c>
      <c r="E225" s="49">
        <v>2.0430107526881722E-2</v>
      </c>
      <c r="F225" s="49">
        <v>1.2903225806451613E-2</v>
      </c>
      <c r="G225" s="49">
        <v>1.5053763440860216E-2</v>
      </c>
      <c r="H225" s="49">
        <v>1.1827956989247311E-2</v>
      </c>
      <c r="I225" s="49">
        <v>1.3978494623655914E-2</v>
      </c>
      <c r="J225" s="49">
        <v>1.1827956989247311E-2</v>
      </c>
      <c r="K225" s="49">
        <v>0.64193548387096777</v>
      </c>
      <c r="L225" s="49">
        <v>7.0967741935483872E-2</v>
      </c>
      <c r="M225" s="49">
        <v>0</v>
      </c>
      <c r="N225" s="49">
        <v>9.6774193548387101E-3</v>
      </c>
      <c r="O225" s="49">
        <v>0.3032258064516129</v>
      </c>
      <c r="P225" s="49">
        <v>5.3763440860215055E-2</v>
      </c>
      <c r="Q225" s="49">
        <v>4.3010752688172043E-3</v>
      </c>
      <c r="R225" s="49">
        <v>6.4516129032258064E-3</v>
      </c>
      <c r="S225" s="49">
        <v>1.0752688172043011E-3</v>
      </c>
      <c r="T225" s="49">
        <v>4.3010752688172043E-3</v>
      </c>
      <c r="U225" s="49">
        <v>0</v>
      </c>
    </row>
    <row r="226" spans="1:21">
      <c r="A226" t="s">
        <v>2062</v>
      </c>
      <c r="B226" t="s">
        <v>2043</v>
      </c>
      <c r="C226" s="49">
        <v>1</v>
      </c>
      <c r="D226" s="49">
        <v>0.16535433070866143</v>
      </c>
      <c r="E226" s="49">
        <v>3.937007874015748E-2</v>
      </c>
      <c r="F226" s="49">
        <v>4.3307086614173228E-2</v>
      </c>
      <c r="G226" s="49">
        <v>3.937007874015748E-3</v>
      </c>
      <c r="H226" s="49">
        <v>1.1811023622047244E-2</v>
      </c>
      <c r="I226" s="49">
        <v>4.3307086614173228E-2</v>
      </c>
      <c r="J226" s="49">
        <v>3.1496062992125984E-2</v>
      </c>
      <c r="K226" s="49">
        <v>0.77952755905511806</v>
      </c>
      <c r="L226" s="49">
        <v>0.14173228346456693</v>
      </c>
      <c r="M226" s="49">
        <v>0</v>
      </c>
      <c r="N226" s="49">
        <v>3.5433070866141732E-2</v>
      </c>
      <c r="O226" s="49">
        <v>0.12992125984251968</v>
      </c>
      <c r="P226" s="49">
        <v>5.905511811023622E-2</v>
      </c>
      <c r="Q226" s="49">
        <v>0</v>
      </c>
      <c r="R226" s="49">
        <v>3.5433070866141732E-2</v>
      </c>
      <c r="S226" s="49">
        <v>3.937007874015748E-3</v>
      </c>
      <c r="T226" s="49">
        <v>7.874015748031496E-3</v>
      </c>
      <c r="U226" s="49">
        <v>0</v>
      </c>
    </row>
    <row r="227" spans="1:21">
      <c r="A227" t="s">
        <v>2063</v>
      </c>
      <c r="B227" t="s">
        <v>2031</v>
      </c>
      <c r="C227" s="49">
        <v>1</v>
      </c>
      <c r="D227" s="49">
        <v>1.3398451306108023E-2</v>
      </c>
      <c r="E227" s="49">
        <v>0.69887221668862254</v>
      </c>
      <c r="F227" s="49">
        <v>1.5679722391800276E-2</v>
      </c>
      <c r="G227" s="49">
        <v>1.2177489316582591E-2</v>
      </c>
      <c r="H227" s="49">
        <v>3.2451884458439095E-3</v>
      </c>
      <c r="I227" s="49">
        <v>5.7835041609099379E-2</v>
      </c>
      <c r="J227" s="49">
        <v>7.6149471451980848E-3</v>
      </c>
      <c r="K227" s="49">
        <v>0.1487645792500723</v>
      </c>
      <c r="L227" s="49">
        <v>9.1250843427690131E-3</v>
      </c>
      <c r="M227" s="49">
        <v>2.5061851363943066E-3</v>
      </c>
      <c r="N227" s="49">
        <v>1.2530925681971533E-3</v>
      </c>
      <c r="O227" s="49">
        <v>7.3836069787616879E-2</v>
      </c>
      <c r="P227" s="49">
        <v>6.8759438357484815E-3</v>
      </c>
      <c r="Q227" s="49">
        <v>0</v>
      </c>
      <c r="R227" s="49">
        <v>7.0687273077788134E-4</v>
      </c>
      <c r="S227" s="49">
        <v>4.2412363846672883E-3</v>
      </c>
      <c r="T227" s="49">
        <v>2.0242264563184783E-3</v>
      </c>
      <c r="U227" s="49">
        <v>1.7671818269447033E-3</v>
      </c>
    </row>
    <row r="228" spans="1:21">
      <c r="A228" t="s">
        <v>1602</v>
      </c>
      <c r="B228" t="s">
        <v>2031</v>
      </c>
      <c r="C228" s="49">
        <v>1</v>
      </c>
      <c r="D228" s="49">
        <v>1.3398451306108023E-2</v>
      </c>
      <c r="E228" s="49">
        <v>0.69887221668862254</v>
      </c>
      <c r="F228" s="49">
        <v>1.5679722391800276E-2</v>
      </c>
      <c r="G228" s="49">
        <v>1.2177489316582591E-2</v>
      </c>
      <c r="H228" s="49">
        <v>3.2451884458439095E-3</v>
      </c>
      <c r="I228" s="49">
        <v>5.7835041609099379E-2</v>
      </c>
      <c r="J228" s="49">
        <v>7.6149471451980848E-3</v>
      </c>
      <c r="K228" s="49">
        <v>0.1487645792500723</v>
      </c>
      <c r="L228" s="49">
        <v>9.1250843427690131E-3</v>
      </c>
      <c r="M228" s="49">
        <v>2.5061851363943066E-3</v>
      </c>
      <c r="N228" s="49">
        <v>1.2530925681971533E-3</v>
      </c>
      <c r="O228" s="49">
        <v>7.3836069787616879E-2</v>
      </c>
      <c r="P228" s="49">
        <v>6.8759438357484815E-3</v>
      </c>
      <c r="Q228" s="49">
        <v>0</v>
      </c>
      <c r="R228" s="49">
        <v>7.0687273077788134E-4</v>
      </c>
      <c r="S228" s="49">
        <v>4.2412363846672883E-3</v>
      </c>
      <c r="T228" s="49">
        <v>2.0242264563184783E-3</v>
      </c>
      <c r="U228" s="49">
        <v>1.7671818269447033E-3</v>
      </c>
    </row>
    <row r="229" spans="1:21">
      <c r="A229" t="s">
        <v>1603</v>
      </c>
      <c r="B229" t="s">
        <v>2031</v>
      </c>
      <c r="C229" s="49">
        <v>1</v>
      </c>
      <c r="D229" s="49">
        <v>1.3398451306108023E-2</v>
      </c>
      <c r="E229" s="49">
        <v>0.69887221668862254</v>
      </c>
      <c r="F229" s="49">
        <v>1.5679722391800276E-2</v>
      </c>
      <c r="G229" s="49">
        <v>1.2177489316582591E-2</v>
      </c>
      <c r="H229" s="49">
        <v>3.2451884458439095E-3</v>
      </c>
      <c r="I229" s="49">
        <v>5.7835041609099379E-2</v>
      </c>
      <c r="J229" s="49">
        <v>7.6149471451980848E-3</v>
      </c>
      <c r="K229" s="49">
        <v>0.1487645792500723</v>
      </c>
      <c r="L229" s="49">
        <v>9.1250843427690131E-3</v>
      </c>
      <c r="M229" s="49">
        <v>2.5061851363943066E-3</v>
      </c>
      <c r="N229" s="49">
        <v>1.2530925681971533E-3</v>
      </c>
      <c r="O229" s="49">
        <v>7.3836069787616879E-2</v>
      </c>
      <c r="P229" s="49">
        <v>6.8759438357484815E-3</v>
      </c>
      <c r="Q229" s="49">
        <v>0</v>
      </c>
      <c r="R229" s="49">
        <v>7.0687273077788134E-4</v>
      </c>
      <c r="S229" s="49">
        <v>4.2412363846672883E-3</v>
      </c>
      <c r="T229" s="49">
        <v>2.0242264563184783E-3</v>
      </c>
      <c r="U229" s="49">
        <v>1.7671818269447033E-3</v>
      </c>
    </row>
    <row r="230" spans="1:21">
      <c r="A230" t="s">
        <v>43</v>
      </c>
      <c r="B230" t="s">
        <v>2032</v>
      </c>
      <c r="C230" s="49">
        <v>1</v>
      </c>
      <c r="D230" s="49">
        <v>3.8293216630196934E-2</v>
      </c>
      <c r="E230" s="49">
        <v>1.8599562363238512E-2</v>
      </c>
      <c r="F230" s="49">
        <v>1.0940919037199124E-2</v>
      </c>
      <c r="G230" s="49">
        <v>1.6411378555798686E-3</v>
      </c>
      <c r="H230" s="49">
        <v>3.2822757111597373E-3</v>
      </c>
      <c r="I230" s="49">
        <v>2.5164113785557989E-2</v>
      </c>
      <c r="J230" s="49">
        <v>9.8468271334792128E-3</v>
      </c>
      <c r="K230" s="49">
        <v>0.85175054704595188</v>
      </c>
      <c r="L230" s="49">
        <v>3.9934354485776806E-2</v>
      </c>
      <c r="M230" s="49">
        <v>0</v>
      </c>
      <c r="N230" s="49">
        <v>7.1115973741794312E-3</v>
      </c>
      <c r="O230" s="49">
        <v>5.9628008752735231E-2</v>
      </c>
      <c r="P230" s="49">
        <v>1.2035010940919038E-2</v>
      </c>
      <c r="Q230" s="49">
        <v>1.0940919037199124E-3</v>
      </c>
      <c r="R230" s="49">
        <v>1.6411378555798686E-3</v>
      </c>
      <c r="S230" s="49">
        <v>4.2122538293216633E-2</v>
      </c>
      <c r="T230" s="49">
        <v>1.6958424507658644E-2</v>
      </c>
      <c r="U230" s="49">
        <v>0</v>
      </c>
    </row>
    <row r="231" spans="1:21">
      <c r="A231" t="s">
        <v>549</v>
      </c>
      <c r="B231" t="s">
        <v>2024</v>
      </c>
      <c r="C231" s="49">
        <v>1</v>
      </c>
      <c r="D231" s="49">
        <v>3.9991113085980891E-2</v>
      </c>
      <c r="E231" s="49">
        <v>3.4436791824039102E-2</v>
      </c>
      <c r="F231" s="49">
        <v>1.5329926682959343E-2</v>
      </c>
      <c r="G231" s="49">
        <v>4.8878027105087761E-3</v>
      </c>
      <c r="H231" s="49">
        <v>4.6656298600311046E-3</v>
      </c>
      <c r="I231" s="49">
        <v>8.0648744723394797E-2</v>
      </c>
      <c r="J231" s="49">
        <v>2.7771606309708954E-2</v>
      </c>
      <c r="K231" s="49">
        <v>0.80493223728060426</v>
      </c>
      <c r="L231" s="49">
        <v>4.9988891357476119E-2</v>
      </c>
      <c r="M231" s="49">
        <v>0</v>
      </c>
      <c r="N231" s="49">
        <v>3.3325927571650742E-3</v>
      </c>
      <c r="O231" s="49">
        <v>5.6431904021328597E-2</v>
      </c>
      <c r="P231" s="49">
        <v>2.043990224394579E-2</v>
      </c>
      <c r="Q231" s="49">
        <v>0</v>
      </c>
      <c r="R231" s="49">
        <v>3.3325927571650742E-3</v>
      </c>
      <c r="S231" s="49">
        <v>1.7107309486780714E-2</v>
      </c>
      <c r="T231" s="49">
        <v>1.0219951121972895E-2</v>
      </c>
      <c r="U231" s="49">
        <v>1.5552099533437014E-3</v>
      </c>
    </row>
    <row r="232" spans="1:21">
      <c r="A232" t="s">
        <v>2024</v>
      </c>
      <c r="B232" t="s">
        <v>2024</v>
      </c>
      <c r="C232" s="49">
        <v>1</v>
      </c>
      <c r="D232" s="49">
        <v>3.9991113085980891E-2</v>
      </c>
      <c r="E232" s="49">
        <v>3.4436791824039102E-2</v>
      </c>
      <c r="F232" s="49">
        <v>1.5329926682959343E-2</v>
      </c>
      <c r="G232" s="49">
        <v>4.8878027105087761E-3</v>
      </c>
      <c r="H232" s="49">
        <v>4.6656298600311046E-3</v>
      </c>
      <c r="I232" s="49">
        <v>8.0648744723394797E-2</v>
      </c>
      <c r="J232" s="49">
        <v>2.7771606309708954E-2</v>
      </c>
      <c r="K232" s="49">
        <v>0.80493223728060426</v>
      </c>
      <c r="L232" s="49">
        <v>4.9988891357476119E-2</v>
      </c>
      <c r="M232" s="49">
        <v>0</v>
      </c>
      <c r="N232" s="49">
        <v>3.3325927571650742E-3</v>
      </c>
      <c r="O232" s="49">
        <v>5.6431904021328597E-2</v>
      </c>
      <c r="P232" s="49">
        <v>2.043990224394579E-2</v>
      </c>
      <c r="Q232" s="49">
        <v>0</v>
      </c>
      <c r="R232" s="49">
        <v>3.3325927571650742E-3</v>
      </c>
      <c r="S232" s="49">
        <v>1.7107309486780714E-2</v>
      </c>
      <c r="T232" s="49">
        <v>1.0219951121972895E-2</v>
      </c>
      <c r="U232" s="49">
        <v>1.5552099533437014E-3</v>
      </c>
    </row>
    <row r="233" spans="1:21">
      <c r="A233" t="s">
        <v>1170</v>
      </c>
      <c r="B233" t="s">
        <v>2024</v>
      </c>
      <c r="C233" s="49">
        <v>1</v>
      </c>
      <c r="D233" s="49">
        <v>3.9991113085980891E-2</v>
      </c>
      <c r="E233" s="49">
        <v>3.4436791824039102E-2</v>
      </c>
      <c r="F233" s="49">
        <v>1.5329926682959343E-2</v>
      </c>
      <c r="G233" s="49">
        <v>4.8878027105087761E-3</v>
      </c>
      <c r="H233" s="49">
        <v>4.6656298600311046E-3</v>
      </c>
      <c r="I233" s="49">
        <v>8.0648744723394797E-2</v>
      </c>
      <c r="J233" s="49">
        <v>2.7771606309708954E-2</v>
      </c>
      <c r="K233" s="49">
        <v>0.80493223728060426</v>
      </c>
      <c r="L233" s="49">
        <v>4.9988891357476119E-2</v>
      </c>
      <c r="M233" s="49">
        <v>0</v>
      </c>
      <c r="N233" s="49">
        <v>3.3325927571650742E-3</v>
      </c>
      <c r="O233" s="49">
        <v>5.6431904021328597E-2</v>
      </c>
      <c r="P233" s="49">
        <v>2.043990224394579E-2</v>
      </c>
      <c r="Q233" s="49">
        <v>0</v>
      </c>
      <c r="R233" s="49">
        <v>3.3325927571650742E-3</v>
      </c>
      <c r="S233" s="49">
        <v>1.7107309486780714E-2</v>
      </c>
      <c r="T233" s="49">
        <v>1.0219951121972895E-2</v>
      </c>
      <c r="U233" s="49">
        <v>1.5552099533437014E-3</v>
      </c>
    </row>
    <row r="234" spans="1:21">
      <c r="A234" t="s">
        <v>44</v>
      </c>
      <c r="B234" t="s">
        <v>2045</v>
      </c>
      <c r="C234" s="49">
        <v>1</v>
      </c>
      <c r="D234" s="49">
        <v>0.11614173228346457</v>
      </c>
      <c r="E234" s="49">
        <v>0</v>
      </c>
      <c r="F234" s="49">
        <v>1.7716535433070866E-2</v>
      </c>
      <c r="G234" s="49">
        <v>0</v>
      </c>
      <c r="H234" s="49">
        <v>1.7716535433070866E-2</v>
      </c>
      <c r="I234" s="49">
        <v>1.1811023622047244E-2</v>
      </c>
      <c r="J234" s="49">
        <v>1.1811023622047244E-2</v>
      </c>
      <c r="K234" s="49">
        <v>0.86614173228346458</v>
      </c>
      <c r="L234" s="49">
        <v>0.11220472440944881</v>
      </c>
      <c r="M234" s="49">
        <v>0</v>
      </c>
      <c r="N234" s="49">
        <v>1.7716535433070866E-2</v>
      </c>
      <c r="O234" s="49">
        <v>0.1141732283464567</v>
      </c>
      <c r="P234" s="49">
        <v>3.1496062992125984E-2</v>
      </c>
      <c r="Q234" s="49">
        <v>0</v>
      </c>
      <c r="R234" s="49">
        <v>1.7716535433070866E-2</v>
      </c>
      <c r="S234" s="49">
        <v>7.874015748031496E-3</v>
      </c>
      <c r="T234" s="49">
        <v>7.874015748031496E-3</v>
      </c>
      <c r="U234" s="49">
        <v>0</v>
      </c>
    </row>
    <row r="235" spans="1:21">
      <c r="A235" t="s">
        <v>167</v>
      </c>
      <c r="B235" t="s">
        <v>2030</v>
      </c>
      <c r="C235" s="49">
        <v>1</v>
      </c>
      <c r="D235" s="49">
        <v>4.5556385362210607E-2</v>
      </c>
      <c r="E235" s="49">
        <v>1.6430171769977596E-2</v>
      </c>
      <c r="F235" s="49">
        <v>1.2696041822255415E-2</v>
      </c>
      <c r="G235" s="49">
        <v>0</v>
      </c>
      <c r="H235" s="49">
        <v>9.7087378640776691E-3</v>
      </c>
      <c r="I235" s="49">
        <v>1.2696041822255415E-2</v>
      </c>
      <c r="J235" s="49">
        <v>1.0455563853622106E-2</v>
      </c>
      <c r="K235" s="49">
        <v>0.85287528005974611</v>
      </c>
      <c r="L235" s="49">
        <v>4.8543689320388349E-2</v>
      </c>
      <c r="M235" s="49">
        <v>0</v>
      </c>
      <c r="N235" s="49">
        <v>9.7087378640776691E-3</v>
      </c>
      <c r="O235" s="49">
        <v>0.11277072442120986</v>
      </c>
      <c r="P235" s="49">
        <v>2.3898431665421958E-2</v>
      </c>
      <c r="Q235" s="49">
        <v>2.2404779686333084E-3</v>
      </c>
      <c r="R235" s="49">
        <v>4.4809559372666168E-3</v>
      </c>
      <c r="S235" s="49">
        <v>2.9873039581777448E-3</v>
      </c>
      <c r="T235" s="49">
        <v>5.2277819268110532E-3</v>
      </c>
      <c r="U235" s="49">
        <v>0</v>
      </c>
    </row>
    <row r="236" spans="1:21">
      <c r="A236" t="s">
        <v>38</v>
      </c>
      <c r="B236" t="s">
        <v>2025</v>
      </c>
      <c r="C236" s="49">
        <v>1</v>
      </c>
      <c r="D236" s="49">
        <v>3.4419458467186782E-2</v>
      </c>
      <c r="E236" s="49">
        <v>5.9660394676457089E-3</v>
      </c>
      <c r="F236" s="49">
        <v>4.8187241854061496E-3</v>
      </c>
      <c r="G236" s="49">
        <v>1.1473152822395595E-3</v>
      </c>
      <c r="H236" s="49">
        <v>1.8357044515832951E-3</v>
      </c>
      <c r="I236" s="49">
        <v>1.7668655346489214E-2</v>
      </c>
      <c r="J236" s="49">
        <v>1.0325837540156035E-2</v>
      </c>
      <c r="K236" s="49">
        <v>0.85589720055071139</v>
      </c>
      <c r="L236" s="49">
        <v>3.1895364846259752E-2</v>
      </c>
      <c r="M236" s="49">
        <v>2.2946305644791189E-4</v>
      </c>
      <c r="N236" s="49">
        <v>4.5892611289582378E-4</v>
      </c>
      <c r="O236" s="49">
        <v>0.11656723267553924</v>
      </c>
      <c r="P236" s="49">
        <v>1.6291877007801745E-2</v>
      </c>
      <c r="Q236" s="49">
        <v>0</v>
      </c>
      <c r="R236" s="49">
        <v>3.4419458467186783E-3</v>
      </c>
      <c r="S236" s="49">
        <v>2.5240936209270305E-3</v>
      </c>
      <c r="T236" s="49">
        <v>1.1473152822395595E-3</v>
      </c>
      <c r="U236" s="49">
        <v>0</v>
      </c>
    </row>
    <row r="237" spans="1:21">
      <c r="A237" t="s">
        <v>169</v>
      </c>
      <c r="B237" t="s">
        <v>2027</v>
      </c>
      <c r="C237" s="49">
        <v>1</v>
      </c>
      <c r="D237" s="49">
        <v>3.5550458715596332E-2</v>
      </c>
      <c r="E237" s="49">
        <v>1.7201834862385322E-2</v>
      </c>
      <c r="F237" s="49">
        <v>1.0321100917431193E-2</v>
      </c>
      <c r="G237" s="49">
        <v>4.0137614678899085E-3</v>
      </c>
      <c r="H237" s="49">
        <v>4.0137614678899085E-3</v>
      </c>
      <c r="I237" s="49">
        <v>1.6628440366972478E-2</v>
      </c>
      <c r="J237" s="49">
        <v>8.600917431192661E-3</v>
      </c>
      <c r="K237" s="49">
        <v>0.76720183486238536</v>
      </c>
      <c r="L237" s="49">
        <v>3.6123853211009173E-2</v>
      </c>
      <c r="M237" s="49">
        <v>1.1467889908256881E-3</v>
      </c>
      <c r="N237" s="49">
        <v>1.7201834862385322E-3</v>
      </c>
      <c r="O237" s="49">
        <v>0.19094036697247707</v>
      </c>
      <c r="P237" s="49">
        <v>2.0642201834862386E-2</v>
      </c>
      <c r="Q237" s="49">
        <v>0</v>
      </c>
      <c r="R237" s="49">
        <v>7.4541284403669729E-3</v>
      </c>
      <c r="S237" s="49">
        <v>2.8669724770642203E-3</v>
      </c>
      <c r="T237" s="49">
        <v>2.8669724770642203E-3</v>
      </c>
      <c r="U237" s="49">
        <v>0</v>
      </c>
    </row>
    <row r="238" spans="1:21">
      <c r="A238" t="s">
        <v>33</v>
      </c>
      <c r="B238" t="s">
        <v>2032</v>
      </c>
      <c r="C238" s="49">
        <v>1</v>
      </c>
      <c r="D238" s="49">
        <v>3.8293216630196934E-2</v>
      </c>
      <c r="E238" s="49">
        <v>1.8599562363238512E-2</v>
      </c>
      <c r="F238" s="49">
        <v>1.0940919037199124E-2</v>
      </c>
      <c r="G238" s="49">
        <v>1.6411378555798686E-3</v>
      </c>
      <c r="H238" s="49">
        <v>3.2822757111597373E-3</v>
      </c>
      <c r="I238" s="49">
        <v>2.5164113785557989E-2</v>
      </c>
      <c r="J238" s="49">
        <v>9.8468271334792128E-3</v>
      </c>
      <c r="K238" s="49">
        <v>0.85175054704595188</v>
      </c>
      <c r="L238" s="49">
        <v>3.9934354485776806E-2</v>
      </c>
      <c r="M238" s="49">
        <v>0</v>
      </c>
      <c r="N238" s="49">
        <v>7.1115973741794312E-3</v>
      </c>
      <c r="O238" s="49">
        <v>5.9628008752735231E-2</v>
      </c>
      <c r="P238" s="49">
        <v>1.2035010940919038E-2</v>
      </c>
      <c r="Q238" s="49">
        <v>1.0940919037199124E-3</v>
      </c>
      <c r="R238" s="49">
        <v>1.6411378555798686E-3</v>
      </c>
      <c r="S238" s="49">
        <v>4.2122538293216633E-2</v>
      </c>
      <c r="T238" s="49">
        <v>1.6958424507658644E-2</v>
      </c>
      <c r="U238" s="49">
        <v>0</v>
      </c>
    </row>
    <row r="239" spans="1:21">
      <c r="A239" t="s">
        <v>85</v>
      </c>
      <c r="B239" t="s">
        <v>2041</v>
      </c>
      <c r="C239" s="49">
        <v>1</v>
      </c>
      <c r="D239" s="49">
        <v>3.68251698248123E-2</v>
      </c>
      <c r="E239" s="49">
        <v>1.2870933142652842E-2</v>
      </c>
      <c r="F239" s="49">
        <v>7.5080443332141578E-3</v>
      </c>
      <c r="G239" s="49">
        <v>3.5752592062924561E-3</v>
      </c>
      <c r="H239" s="49">
        <v>3.5752592062924561E-3</v>
      </c>
      <c r="I239" s="49">
        <v>2.7887021809081158E-2</v>
      </c>
      <c r="J239" s="49">
        <v>1.3228459063282088E-2</v>
      </c>
      <c r="K239" s="49">
        <v>0.91383625312835182</v>
      </c>
      <c r="L239" s="49">
        <v>3.5037540221666073E-2</v>
      </c>
      <c r="M239" s="49">
        <v>0</v>
      </c>
      <c r="N239" s="49">
        <v>4.6478369681801929E-3</v>
      </c>
      <c r="O239" s="49">
        <v>4.0757954951734003E-2</v>
      </c>
      <c r="P239" s="49">
        <v>1.0725777618877368E-2</v>
      </c>
      <c r="Q239" s="49">
        <v>0</v>
      </c>
      <c r="R239" s="49">
        <v>4.6478369681801929E-3</v>
      </c>
      <c r="S239" s="49">
        <v>1.0725777618877368E-3</v>
      </c>
      <c r="T239" s="49">
        <v>1.4301036825169824E-3</v>
      </c>
      <c r="U239" s="49">
        <v>0</v>
      </c>
    </row>
    <row r="240" spans="1:21">
      <c r="A240" t="s">
        <v>258</v>
      </c>
      <c r="B240" t="s">
        <v>2028</v>
      </c>
      <c r="C240" s="49">
        <v>1</v>
      </c>
      <c r="D240" s="49">
        <v>3.9883268482490269E-2</v>
      </c>
      <c r="E240" s="49">
        <v>4.8638132295719845E-3</v>
      </c>
      <c r="F240" s="49">
        <v>5.8365758754863814E-3</v>
      </c>
      <c r="G240" s="49">
        <v>9.727626459143969E-4</v>
      </c>
      <c r="H240" s="49">
        <v>1.4591439688715954E-3</v>
      </c>
      <c r="I240" s="49">
        <v>8.7548638132295721E-3</v>
      </c>
      <c r="J240" s="49">
        <v>5.8365758754863814E-3</v>
      </c>
      <c r="K240" s="49">
        <v>0.51021400778210113</v>
      </c>
      <c r="L240" s="49">
        <v>2.6750972762645913E-2</v>
      </c>
      <c r="M240" s="49">
        <v>7.7821011673151752E-3</v>
      </c>
      <c r="N240" s="49">
        <v>5.350194552529183E-3</v>
      </c>
      <c r="O240" s="49">
        <v>0.46303501945525294</v>
      </c>
      <c r="P240" s="49">
        <v>3.1614785992217898E-2</v>
      </c>
      <c r="Q240" s="49">
        <v>9.727626459143969E-4</v>
      </c>
      <c r="R240" s="49">
        <v>1.4591439688715954E-3</v>
      </c>
      <c r="S240" s="49">
        <v>1.4591439688715954E-3</v>
      </c>
      <c r="T240" s="49">
        <v>1.9455252918287938E-3</v>
      </c>
      <c r="U240" s="49">
        <v>1.9455252918287938E-3</v>
      </c>
    </row>
    <row r="241" spans="1:21">
      <c r="A241" t="s">
        <v>1032</v>
      </c>
      <c r="B241" t="s">
        <v>2059</v>
      </c>
      <c r="C241" s="49">
        <v>1</v>
      </c>
      <c r="D241" s="49">
        <v>8.0949482653682292E-2</v>
      </c>
      <c r="E241" s="49">
        <v>4.6865489957395007E-2</v>
      </c>
      <c r="F241" s="49">
        <v>2.9823493609251371E-2</v>
      </c>
      <c r="G241" s="49">
        <v>9.1296409007912364E-3</v>
      </c>
      <c r="H241" s="49">
        <v>7.3037127206329886E-3</v>
      </c>
      <c r="I241" s="49">
        <v>0.27267194157029823</v>
      </c>
      <c r="J241" s="49">
        <v>4.9908703590992087E-2</v>
      </c>
      <c r="K241" s="49">
        <v>0.52525867315885577</v>
      </c>
      <c r="L241" s="49">
        <v>6.8167985392574557E-2</v>
      </c>
      <c r="M241" s="49">
        <v>0</v>
      </c>
      <c r="N241" s="49">
        <v>5.4777845404747416E-3</v>
      </c>
      <c r="O241" s="49">
        <v>0.14242239805234327</v>
      </c>
      <c r="P241" s="49">
        <v>3.7127206329884359E-2</v>
      </c>
      <c r="Q241" s="49">
        <v>0</v>
      </c>
      <c r="R241" s="49">
        <v>5.4777845404747416E-3</v>
      </c>
      <c r="S241" s="49">
        <v>3.0432136335970784E-3</v>
      </c>
      <c r="T241" s="49">
        <v>3.0432136335970784E-3</v>
      </c>
      <c r="U241" s="49">
        <v>6.0864272671941571E-4</v>
      </c>
    </row>
    <row r="242" spans="1:21">
      <c r="A242" t="s">
        <v>173</v>
      </c>
      <c r="B242" t="s">
        <v>2025</v>
      </c>
      <c r="C242" s="49">
        <v>1</v>
      </c>
      <c r="D242" s="49">
        <v>3.4419458467186782E-2</v>
      </c>
      <c r="E242" s="49">
        <v>5.9660394676457089E-3</v>
      </c>
      <c r="F242" s="49">
        <v>4.8187241854061496E-3</v>
      </c>
      <c r="G242" s="49">
        <v>1.1473152822395595E-3</v>
      </c>
      <c r="H242" s="49">
        <v>1.8357044515832951E-3</v>
      </c>
      <c r="I242" s="49">
        <v>1.7668655346489214E-2</v>
      </c>
      <c r="J242" s="49">
        <v>1.0325837540156035E-2</v>
      </c>
      <c r="K242" s="49">
        <v>0.85589720055071139</v>
      </c>
      <c r="L242" s="49">
        <v>3.1895364846259752E-2</v>
      </c>
      <c r="M242" s="49">
        <v>2.2946305644791189E-4</v>
      </c>
      <c r="N242" s="49">
        <v>4.5892611289582378E-4</v>
      </c>
      <c r="O242" s="49">
        <v>0.11656723267553924</v>
      </c>
      <c r="P242" s="49">
        <v>1.6291877007801745E-2</v>
      </c>
      <c r="Q242" s="49">
        <v>0</v>
      </c>
      <c r="R242" s="49">
        <v>3.4419458467186783E-3</v>
      </c>
      <c r="S242" s="49">
        <v>2.5240936209270305E-3</v>
      </c>
      <c r="T242" s="49">
        <v>1.1473152822395595E-3</v>
      </c>
      <c r="U242" s="49">
        <v>0</v>
      </c>
    </row>
    <row r="243" spans="1:21">
      <c r="A243" t="s">
        <v>1033</v>
      </c>
      <c r="B243" t="s">
        <v>2025</v>
      </c>
      <c r="C243" s="49">
        <v>1</v>
      </c>
      <c r="D243" s="49">
        <v>3.4419458467186782E-2</v>
      </c>
      <c r="E243" s="49">
        <v>5.9660394676457089E-3</v>
      </c>
      <c r="F243" s="49">
        <v>4.8187241854061496E-3</v>
      </c>
      <c r="G243" s="49">
        <v>1.1473152822395595E-3</v>
      </c>
      <c r="H243" s="49">
        <v>1.8357044515832951E-3</v>
      </c>
      <c r="I243" s="49">
        <v>1.7668655346489214E-2</v>
      </c>
      <c r="J243" s="49">
        <v>1.0325837540156035E-2</v>
      </c>
      <c r="K243" s="49">
        <v>0.85589720055071139</v>
      </c>
      <c r="L243" s="49">
        <v>3.1895364846259752E-2</v>
      </c>
      <c r="M243" s="49">
        <v>2.2946305644791189E-4</v>
      </c>
      <c r="N243" s="49">
        <v>4.5892611289582378E-4</v>
      </c>
      <c r="O243" s="49">
        <v>0.11656723267553924</v>
      </c>
      <c r="P243" s="49">
        <v>1.6291877007801745E-2</v>
      </c>
      <c r="Q243" s="49">
        <v>0</v>
      </c>
      <c r="R243" s="49">
        <v>3.4419458467186783E-3</v>
      </c>
      <c r="S243" s="49">
        <v>2.5240936209270305E-3</v>
      </c>
      <c r="T243" s="49">
        <v>1.1473152822395595E-3</v>
      </c>
      <c r="U243" s="49">
        <v>0</v>
      </c>
    </row>
    <row r="244" spans="1:21">
      <c r="A244" t="s">
        <v>2045</v>
      </c>
      <c r="B244" t="s">
        <v>2045</v>
      </c>
      <c r="C244" s="49">
        <v>1</v>
      </c>
      <c r="D244" s="49">
        <v>0.11614173228346457</v>
      </c>
      <c r="E244" s="49">
        <v>0</v>
      </c>
      <c r="F244" s="49">
        <v>1.7716535433070866E-2</v>
      </c>
      <c r="G244" s="49">
        <v>0</v>
      </c>
      <c r="H244" s="49">
        <v>1.7716535433070866E-2</v>
      </c>
      <c r="I244" s="49">
        <v>1.1811023622047244E-2</v>
      </c>
      <c r="J244" s="49">
        <v>1.1811023622047244E-2</v>
      </c>
      <c r="K244" s="49">
        <v>0.86614173228346458</v>
      </c>
      <c r="L244" s="49">
        <v>0.11220472440944881</v>
      </c>
      <c r="M244" s="49">
        <v>0</v>
      </c>
      <c r="N244" s="49">
        <v>1.7716535433070866E-2</v>
      </c>
      <c r="O244" s="49">
        <v>0.1141732283464567</v>
      </c>
      <c r="P244" s="49">
        <v>3.1496062992125984E-2</v>
      </c>
      <c r="Q244" s="49">
        <v>0</v>
      </c>
      <c r="R244" s="49">
        <v>1.7716535433070866E-2</v>
      </c>
      <c r="S244" s="49">
        <v>7.874015748031496E-3</v>
      </c>
      <c r="T244" s="49">
        <v>7.874015748031496E-3</v>
      </c>
      <c r="U244" s="49">
        <v>0</v>
      </c>
    </row>
    <row r="245" spans="1:21">
      <c r="A245" t="s">
        <v>1366</v>
      </c>
      <c r="B245" t="s">
        <v>2031</v>
      </c>
      <c r="C245" s="49">
        <v>1</v>
      </c>
      <c r="D245" s="49">
        <v>1.3398451306108023E-2</v>
      </c>
      <c r="E245" s="49">
        <v>0.69887221668862254</v>
      </c>
      <c r="F245" s="49">
        <v>1.5679722391800276E-2</v>
      </c>
      <c r="G245" s="49">
        <v>1.2177489316582591E-2</v>
      </c>
      <c r="H245" s="49">
        <v>3.2451884458439095E-3</v>
      </c>
      <c r="I245" s="49">
        <v>5.7835041609099379E-2</v>
      </c>
      <c r="J245" s="49">
        <v>7.6149471451980848E-3</v>
      </c>
      <c r="K245" s="49">
        <v>0.1487645792500723</v>
      </c>
      <c r="L245" s="49">
        <v>9.1250843427690131E-3</v>
      </c>
      <c r="M245" s="49">
        <v>2.5061851363943066E-3</v>
      </c>
      <c r="N245" s="49">
        <v>1.2530925681971533E-3</v>
      </c>
      <c r="O245" s="49">
        <v>7.3836069787616879E-2</v>
      </c>
      <c r="P245" s="49">
        <v>6.8759438357484815E-3</v>
      </c>
      <c r="Q245" s="49">
        <v>0</v>
      </c>
      <c r="R245" s="49">
        <v>7.0687273077788134E-4</v>
      </c>
      <c r="S245" s="49">
        <v>4.2412363846672883E-3</v>
      </c>
      <c r="T245" s="49">
        <v>2.0242264563184783E-3</v>
      </c>
      <c r="U245" s="49">
        <v>1.7671818269447033E-3</v>
      </c>
    </row>
    <row r="246" spans="1:21">
      <c r="A246" t="s">
        <v>1179</v>
      </c>
      <c r="B246" t="s">
        <v>2028</v>
      </c>
      <c r="C246" s="49">
        <v>1</v>
      </c>
      <c r="D246" s="49">
        <v>3.9883268482490269E-2</v>
      </c>
      <c r="E246" s="49">
        <v>4.8638132295719845E-3</v>
      </c>
      <c r="F246" s="49">
        <v>5.8365758754863814E-3</v>
      </c>
      <c r="G246" s="49">
        <v>9.727626459143969E-4</v>
      </c>
      <c r="H246" s="49">
        <v>1.4591439688715954E-3</v>
      </c>
      <c r="I246" s="49">
        <v>8.7548638132295721E-3</v>
      </c>
      <c r="J246" s="49">
        <v>5.8365758754863814E-3</v>
      </c>
      <c r="K246" s="49">
        <v>0.51021400778210113</v>
      </c>
      <c r="L246" s="49">
        <v>2.6750972762645913E-2</v>
      </c>
      <c r="M246" s="49">
        <v>7.7821011673151752E-3</v>
      </c>
      <c r="N246" s="49">
        <v>5.350194552529183E-3</v>
      </c>
      <c r="O246" s="49">
        <v>0.46303501945525294</v>
      </c>
      <c r="P246" s="49">
        <v>3.1614785992217898E-2</v>
      </c>
      <c r="Q246" s="49">
        <v>9.727626459143969E-4</v>
      </c>
      <c r="R246" s="49">
        <v>1.4591439688715954E-3</v>
      </c>
      <c r="S246" s="49">
        <v>1.4591439688715954E-3</v>
      </c>
      <c r="T246" s="49">
        <v>1.9455252918287938E-3</v>
      </c>
      <c r="U246" s="49">
        <v>1.9455252918287938E-3</v>
      </c>
    </row>
    <row r="247" spans="1:21">
      <c r="A247" t="s">
        <v>1604</v>
      </c>
      <c r="B247" t="s">
        <v>2031</v>
      </c>
      <c r="C247" s="49">
        <v>1</v>
      </c>
      <c r="D247" s="49">
        <v>1.3398451306108023E-2</v>
      </c>
      <c r="E247" s="49">
        <v>0.69887221668862254</v>
      </c>
      <c r="F247" s="49">
        <v>1.5679722391800276E-2</v>
      </c>
      <c r="G247" s="49">
        <v>1.2177489316582591E-2</v>
      </c>
      <c r="H247" s="49">
        <v>3.2451884458439095E-3</v>
      </c>
      <c r="I247" s="49">
        <v>5.7835041609099379E-2</v>
      </c>
      <c r="J247" s="49">
        <v>7.6149471451980848E-3</v>
      </c>
      <c r="K247" s="49">
        <v>0.1487645792500723</v>
      </c>
      <c r="L247" s="49">
        <v>9.1250843427690131E-3</v>
      </c>
      <c r="M247" s="49">
        <v>2.5061851363943066E-3</v>
      </c>
      <c r="N247" s="49">
        <v>1.2530925681971533E-3</v>
      </c>
      <c r="O247" s="49">
        <v>7.3836069787616879E-2</v>
      </c>
      <c r="P247" s="49">
        <v>6.8759438357484815E-3</v>
      </c>
      <c r="Q247" s="49">
        <v>0</v>
      </c>
      <c r="R247" s="49">
        <v>7.0687273077788134E-4</v>
      </c>
      <c r="S247" s="49">
        <v>4.2412363846672883E-3</v>
      </c>
      <c r="T247" s="49">
        <v>2.0242264563184783E-3</v>
      </c>
      <c r="U247" s="49">
        <v>1.7671818269447033E-3</v>
      </c>
    </row>
    <row r="248" spans="1:21">
      <c r="A248" t="s">
        <v>177</v>
      </c>
      <c r="B248" t="s">
        <v>2024</v>
      </c>
      <c r="C248" s="49">
        <v>1</v>
      </c>
      <c r="D248" s="49">
        <v>3.9991113085980891E-2</v>
      </c>
      <c r="E248" s="49">
        <v>3.4436791824039102E-2</v>
      </c>
      <c r="F248" s="49">
        <v>1.5329926682959343E-2</v>
      </c>
      <c r="G248" s="49">
        <v>4.8878027105087761E-3</v>
      </c>
      <c r="H248" s="49">
        <v>4.6656298600311046E-3</v>
      </c>
      <c r="I248" s="49">
        <v>8.0648744723394797E-2</v>
      </c>
      <c r="J248" s="49">
        <v>2.7771606309708954E-2</v>
      </c>
      <c r="K248" s="49">
        <v>0.80493223728060426</v>
      </c>
      <c r="L248" s="49">
        <v>4.9988891357476119E-2</v>
      </c>
      <c r="M248" s="49">
        <v>0</v>
      </c>
      <c r="N248" s="49">
        <v>3.3325927571650742E-3</v>
      </c>
      <c r="O248" s="49">
        <v>5.6431904021328597E-2</v>
      </c>
      <c r="P248" s="49">
        <v>2.043990224394579E-2</v>
      </c>
      <c r="Q248" s="49">
        <v>0</v>
      </c>
      <c r="R248" s="49">
        <v>3.3325927571650742E-3</v>
      </c>
      <c r="S248" s="49">
        <v>1.7107309486780714E-2</v>
      </c>
      <c r="T248" s="49">
        <v>1.0219951121972895E-2</v>
      </c>
      <c r="U248" s="49">
        <v>1.5552099533437014E-3</v>
      </c>
    </row>
    <row r="249" spans="1:21">
      <c r="A249" t="s">
        <v>1605</v>
      </c>
      <c r="B249" t="s">
        <v>2031</v>
      </c>
      <c r="C249" s="49">
        <v>1</v>
      </c>
      <c r="D249" s="49">
        <v>1.3398451306108023E-2</v>
      </c>
      <c r="E249" s="49">
        <v>0.69887221668862254</v>
      </c>
      <c r="F249" s="49">
        <v>1.5679722391800276E-2</v>
      </c>
      <c r="G249" s="49">
        <v>1.2177489316582591E-2</v>
      </c>
      <c r="H249" s="49">
        <v>3.2451884458439095E-3</v>
      </c>
      <c r="I249" s="49">
        <v>5.7835041609099379E-2</v>
      </c>
      <c r="J249" s="49">
        <v>7.6149471451980848E-3</v>
      </c>
      <c r="K249" s="49">
        <v>0.1487645792500723</v>
      </c>
      <c r="L249" s="49">
        <v>9.1250843427690131E-3</v>
      </c>
      <c r="M249" s="49">
        <v>2.5061851363943066E-3</v>
      </c>
      <c r="N249" s="49">
        <v>1.2530925681971533E-3</v>
      </c>
      <c r="O249" s="49">
        <v>7.3836069787616879E-2</v>
      </c>
      <c r="P249" s="49">
        <v>6.8759438357484815E-3</v>
      </c>
      <c r="Q249" s="49">
        <v>0</v>
      </c>
      <c r="R249" s="49">
        <v>7.0687273077788134E-4</v>
      </c>
      <c r="S249" s="49">
        <v>4.2412363846672883E-3</v>
      </c>
      <c r="T249" s="49">
        <v>2.0242264563184783E-3</v>
      </c>
      <c r="U249" s="49">
        <v>1.7671818269447033E-3</v>
      </c>
    </row>
    <row r="250" spans="1:21">
      <c r="A250" t="s">
        <v>179</v>
      </c>
      <c r="B250" t="s">
        <v>2045</v>
      </c>
      <c r="C250" s="49">
        <v>1</v>
      </c>
      <c r="D250" s="49">
        <v>0.11614173228346457</v>
      </c>
      <c r="E250" s="49">
        <v>0</v>
      </c>
      <c r="F250" s="49">
        <v>1.7716535433070866E-2</v>
      </c>
      <c r="G250" s="49">
        <v>0</v>
      </c>
      <c r="H250" s="49">
        <v>1.7716535433070866E-2</v>
      </c>
      <c r="I250" s="49">
        <v>1.1811023622047244E-2</v>
      </c>
      <c r="J250" s="49">
        <v>1.1811023622047244E-2</v>
      </c>
      <c r="K250" s="49">
        <v>0.86614173228346458</v>
      </c>
      <c r="L250" s="49">
        <v>0.11220472440944881</v>
      </c>
      <c r="M250" s="49">
        <v>0</v>
      </c>
      <c r="N250" s="49">
        <v>1.7716535433070866E-2</v>
      </c>
      <c r="O250" s="49">
        <v>0.1141732283464567</v>
      </c>
      <c r="P250" s="49">
        <v>3.1496062992125984E-2</v>
      </c>
      <c r="Q250" s="49">
        <v>0</v>
      </c>
      <c r="R250" s="49">
        <v>1.7716535433070866E-2</v>
      </c>
      <c r="S250" s="49">
        <v>7.874015748031496E-3</v>
      </c>
      <c r="T250" s="49">
        <v>7.874015748031496E-3</v>
      </c>
      <c r="U250" s="49">
        <v>0</v>
      </c>
    </row>
    <row r="251" spans="1:21">
      <c r="A251" t="s">
        <v>2064</v>
      </c>
      <c r="B251" t="s">
        <v>2034</v>
      </c>
      <c r="C251" s="49">
        <v>1</v>
      </c>
      <c r="D251" s="49">
        <v>0.12011173184357542</v>
      </c>
      <c r="E251" s="49">
        <v>1.3966480446927373E-2</v>
      </c>
      <c r="F251" s="49">
        <v>2.23463687150838E-2</v>
      </c>
      <c r="G251" s="49">
        <v>0</v>
      </c>
      <c r="H251" s="49">
        <v>1.2569832402234637E-2</v>
      </c>
      <c r="I251" s="49">
        <v>3.6312849162011177E-2</v>
      </c>
      <c r="J251" s="49">
        <v>2.7932960893854747E-2</v>
      </c>
      <c r="K251" s="49">
        <v>0.56564245810055869</v>
      </c>
      <c r="L251" s="49">
        <v>0.11312849162011174</v>
      </c>
      <c r="M251" s="49">
        <v>0.15502793296089384</v>
      </c>
      <c r="N251" s="49">
        <v>6.4245810055865923E-2</v>
      </c>
      <c r="O251" s="49">
        <v>0.22905027932960895</v>
      </c>
      <c r="P251" s="49">
        <v>7.2625698324022353E-2</v>
      </c>
      <c r="Q251" s="49">
        <v>0</v>
      </c>
      <c r="R251" s="49">
        <v>1.2569832402234637E-2</v>
      </c>
      <c r="S251" s="49">
        <v>0</v>
      </c>
      <c r="T251" s="49">
        <v>1.2569832402234637E-2</v>
      </c>
      <c r="U251" s="49">
        <v>0</v>
      </c>
    </row>
    <row r="252" spans="1:21">
      <c r="A252" t="s">
        <v>181</v>
      </c>
      <c r="B252" t="s">
        <v>2025</v>
      </c>
      <c r="C252" s="49">
        <v>1</v>
      </c>
      <c r="D252" s="49">
        <v>3.4419458467186782E-2</v>
      </c>
      <c r="E252" s="49">
        <v>5.9660394676457089E-3</v>
      </c>
      <c r="F252" s="49">
        <v>4.8187241854061496E-3</v>
      </c>
      <c r="G252" s="49">
        <v>1.1473152822395595E-3</v>
      </c>
      <c r="H252" s="49">
        <v>1.8357044515832951E-3</v>
      </c>
      <c r="I252" s="49">
        <v>1.7668655346489214E-2</v>
      </c>
      <c r="J252" s="49">
        <v>1.0325837540156035E-2</v>
      </c>
      <c r="K252" s="49">
        <v>0.85589720055071139</v>
      </c>
      <c r="L252" s="49">
        <v>3.1895364846259752E-2</v>
      </c>
      <c r="M252" s="49">
        <v>2.2946305644791189E-4</v>
      </c>
      <c r="N252" s="49">
        <v>4.5892611289582378E-4</v>
      </c>
      <c r="O252" s="49">
        <v>0.11656723267553924</v>
      </c>
      <c r="P252" s="49">
        <v>1.6291877007801745E-2</v>
      </c>
      <c r="Q252" s="49">
        <v>0</v>
      </c>
      <c r="R252" s="49">
        <v>3.4419458467186783E-3</v>
      </c>
      <c r="S252" s="49">
        <v>2.5240936209270305E-3</v>
      </c>
      <c r="T252" s="49">
        <v>1.1473152822395595E-3</v>
      </c>
      <c r="U252" s="49">
        <v>0</v>
      </c>
    </row>
    <row r="253" spans="1:21">
      <c r="A253" t="s">
        <v>1402</v>
      </c>
      <c r="B253" t="s">
        <v>2024</v>
      </c>
      <c r="C253" s="49">
        <v>1</v>
      </c>
      <c r="D253" s="49">
        <v>3.9991113085980891E-2</v>
      </c>
      <c r="E253" s="49">
        <v>3.4436791824039102E-2</v>
      </c>
      <c r="F253" s="49">
        <v>1.5329926682959343E-2</v>
      </c>
      <c r="G253" s="49">
        <v>4.8878027105087761E-3</v>
      </c>
      <c r="H253" s="49">
        <v>4.6656298600311046E-3</v>
      </c>
      <c r="I253" s="49">
        <v>8.0648744723394797E-2</v>
      </c>
      <c r="J253" s="49">
        <v>2.7771606309708954E-2</v>
      </c>
      <c r="K253" s="49">
        <v>0.80493223728060426</v>
      </c>
      <c r="L253" s="49">
        <v>4.9988891357476119E-2</v>
      </c>
      <c r="M253" s="49">
        <v>0</v>
      </c>
      <c r="N253" s="49">
        <v>3.3325927571650742E-3</v>
      </c>
      <c r="O253" s="49">
        <v>5.6431904021328597E-2</v>
      </c>
      <c r="P253" s="49">
        <v>2.043990224394579E-2</v>
      </c>
      <c r="Q253" s="49">
        <v>0</v>
      </c>
      <c r="R253" s="49">
        <v>3.3325927571650742E-3</v>
      </c>
      <c r="S253" s="49">
        <v>1.7107309486780714E-2</v>
      </c>
      <c r="T253" s="49">
        <v>1.0219951121972895E-2</v>
      </c>
      <c r="U253" s="49">
        <v>1.5552099533437014E-3</v>
      </c>
    </row>
    <row r="254" spans="1:21">
      <c r="A254" t="s">
        <v>1378</v>
      </c>
      <c r="B254" t="s">
        <v>2028</v>
      </c>
      <c r="C254" s="49">
        <v>1</v>
      </c>
      <c r="D254" s="49">
        <v>3.9883268482490269E-2</v>
      </c>
      <c r="E254" s="49">
        <v>4.8638132295719845E-3</v>
      </c>
      <c r="F254" s="49">
        <v>5.8365758754863814E-3</v>
      </c>
      <c r="G254" s="49">
        <v>9.727626459143969E-4</v>
      </c>
      <c r="H254" s="49">
        <v>1.4591439688715954E-3</v>
      </c>
      <c r="I254" s="49">
        <v>8.7548638132295721E-3</v>
      </c>
      <c r="J254" s="49">
        <v>5.8365758754863814E-3</v>
      </c>
      <c r="K254" s="49">
        <v>0.51021400778210113</v>
      </c>
      <c r="L254" s="49">
        <v>2.6750972762645913E-2</v>
      </c>
      <c r="M254" s="49">
        <v>7.7821011673151752E-3</v>
      </c>
      <c r="N254" s="49">
        <v>5.350194552529183E-3</v>
      </c>
      <c r="O254" s="49">
        <v>0.46303501945525294</v>
      </c>
      <c r="P254" s="49">
        <v>3.1614785992217898E-2</v>
      </c>
      <c r="Q254" s="49">
        <v>9.727626459143969E-4</v>
      </c>
      <c r="R254" s="49">
        <v>1.4591439688715954E-3</v>
      </c>
      <c r="S254" s="49">
        <v>1.4591439688715954E-3</v>
      </c>
      <c r="T254" s="49">
        <v>1.9455252918287938E-3</v>
      </c>
      <c r="U254" s="49">
        <v>1.9455252918287938E-3</v>
      </c>
    </row>
    <row r="255" spans="1:21">
      <c r="A255" t="s">
        <v>1403</v>
      </c>
      <c r="B255" t="s">
        <v>2061</v>
      </c>
      <c r="C255" s="49">
        <v>1</v>
      </c>
      <c r="D255" s="49">
        <v>3.4372049102927286E-2</v>
      </c>
      <c r="E255" s="49">
        <v>2.0963172804532578E-2</v>
      </c>
      <c r="F255" s="49">
        <v>9.442870632672332E-3</v>
      </c>
      <c r="G255" s="49">
        <v>3.4372049102927286E-2</v>
      </c>
      <c r="H255" s="49">
        <v>1.0387157695939566E-2</v>
      </c>
      <c r="I255" s="49">
        <v>0.25136921624173747</v>
      </c>
      <c r="J255" s="49">
        <v>3.0972615675165249E-2</v>
      </c>
      <c r="K255" s="49">
        <v>0.60396600566572234</v>
      </c>
      <c r="L255" s="49">
        <v>4.0982058545797923E-2</v>
      </c>
      <c r="M255" s="49">
        <v>0</v>
      </c>
      <c r="N255" s="49">
        <v>2.8328611898016999E-3</v>
      </c>
      <c r="O255" s="49">
        <v>7.818696883852691E-2</v>
      </c>
      <c r="P255" s="49">
        <v>2.0774315391879131E-2</v>
      </c>
      <c r="Q255" s="49">
        <v>0</v>
      </c>
      <c r="R255" s="49">
        <v>2.8328611898016999E-3</v>
      </c>
      <c r="S255" s="49">
        <v>1.0764872521246459E-2</v>
      </c>
      <c r="T255" s="49">
        <v>8.1208687440982065E-3</v>
      </c>
      <c r="U255" s="49">
        <v>3.7771482530689327E-4</v>
      </c>
    </row>
    <row r="256" spans="1:21">
      <c r="A256" t="s">
        <v>1404</v>
      </c>
      <c r="B256" t="s">
        <v>2033</v>
      </c>
      <c r="C256" s="49">
        <v>1</v>
      </c>
      <c r="D256" s="49">
        <v>2.0257826887661142E-2</v>
      </c>
      <c r="E256" s="49">
        <v>0.46183241252302026</v>
      </c>
      <c r="F256" s="49">
        <v>1.9843462246777164E-2</v>
      </c>
      <c r="G256" s="49">
        <v>4.2495395948434621E-2</v>
      </c>
      <c r="H256" s="49">
        <v>5.6629834254143642E-3</v>
      </c>
      <c r="I256" s="49">
        <v>6.3720073664825044E-2</v>
      </c>
      <c r="J256" s="49">
        <v>8.0570902394106816E-3</v>
      </c>
      <c r="K256" s="49">
        <v>0.30441988950276244</v>
      </c>
      <c r="L256" s="49">
        <v>1.6022099447513812E-2</v>
      </c>
      <c r="M256" s="49">
        <v>3.2228360957642726E-3</v>
      </c>
      <c r="N256" s="49">
        <v>1.4732965009208103E-3</v>
      </c>
      <c r="O256" s="49">
        <v>0.11754143646408839</v>
      </c>
      <c r="P256" s="49">
        <v>1.3305709023941069E-2</v>
      </c>
      <c r="Q256" s="49">
        <v>0</v>
      </c>
      <c r="R256" s="49">
        <v>1.0128913443830571E-3</v>
      </c>
      <c r="S256" s="49">
        <v>4.9723756906077344E-3</v>
      </c>
      <c r="T256" s="49">
        <v>2.2559852670349908E-3</v>
      </c>
      <c r="U256" s="49">
        <v>1.7955801104972376E-3</v>
      </c>
    </row>
    <row r="257" spans="1:21">
      <c r="A257" t="s">
        <v>86</v>
      </c>
      <c r="B257" t="s">
        <v>2025</v>
      </c>
      <c r="C257" s="49">
        <v>1</v>
      </c>
      <c r="D257" s="49">
        <v>3.4419458467186782E-2</v>
      </c>
      <c r="E257" s="49">
        <v>5.9660394676457089E-3</v>
      </c>
      <c r="F257" s="49">
        <v>4.8187241854061496E-3</v>
      </c>
      <c r="G257" s="49">
        <v>1.1473152822395595E-3</v>
      </c>
      <c r="H257" s="49">
        <v>1.8357044515832951E-3</v>
      </c>
      <c r="I257" s="49">
        <v>1.7668655346489214E-2</v>
      </c>
      <c r="J257" s="49">
        <v>1.0325837540156035E-2</v>
      </c>
      <c r="K257" s="49">
        <v>0.85589720055071139</v>
      </c>
      <c r="L257" s="49">
        <v>3.1895364846259752E-2</v>
      </c>
      <c r="M257" s="49">
        <v>2.2946305644791189E-4</v>
      </c>
      <c r="N257" s="49">
        <v>4.5892611289582378E-4</v>
      </c>
      <c r="O257" s="49">
        <v>0.11656723267553924</v>
      </c>
      <c r="P257" s="49">
        <v>1.6291877007801745E-2</v>
      </c>
      <c r="Q257" s="49">
        <v>0</v>
      </c>
      <c r="R257" s="49">
        <v>3.4419458467186783E-3</v>
      </c>
      <c r="S257" s="49">
        <v>2.5240936209270305E-3</v>
      </c>
      <c r="T257" s="49">
        <v>1.1473152822395595E-3</v>
      </c>
      <c r="U257" s="49">
        <v>0</v>
      </c>
    </row>
    <row r="258" spans="1:21">
      <c r="A258" t="s">
        <v>1376</v>
      </c>
      <c r="B258" t="s">
        <v>2053</v>
      </c>
      <c r="C258" s="49">
        <v>1</v>
      </c>
      <c r="D258" s="49">
        <v>8.6746987951807228E-2</v>
      </c>
      <c r="E258" s="49">
        <v>3.2128514056224897E-2</v>
      </c>
      <c r="F258" s="49">
        <v>3.8554216867469883E-2</v>
      </c>
      <c r="G258" s="49">
        <v>7.2289156626506026E-3</v>
      </c>
      <c r="H258" s="49">
        <v>1.8473895582329317E-2</v>
      </c>
      <c r="I258" s="49">
        <v>4.1767068273092373E-2</v>
      </c>
      <c r="J258" s="49">
        <v>2.891566265060241E-2</v>
      </c>
      <c r="K258" s="49">
        <v>0.59839357429718876</v>
      </c>
      <c r="L258" s="49">
        <v>0.11244979919678715</v>
      </c>
      <c r="M258" s="49">
        <v>0</v>
      </c>
      <c r="N258" s="49">
        <v>7.2289156626506026E-3</v>
      </c>
      <c r="O258" s="49">
        <v>0.32048192771084338</v>
      </c>
      <c r="P258" s="49">
        <v>8.0321285140562249E-2</v>
      </c>
      <c r="Q258" s="49">
        <v>0</v>
      </c>
      <c r="R258" s="49">
        <v>7.2289156626506026E-3</v>
      </c>
      <c r="S258" s="49">
        <v>0</v>
      </c>
      <c r="T258" s="49">
        <v>7.2289156626506026E-3</v>
      </c>
      <c r="U258" s="49">
        <v>0</v>
      </c>
    </row>
    <row r="259" spans="1:21">
      <c r="A259" t="s">
        <v>1034</v>
      </c>
      <c r="B259" t="s">
        <v>2028</v>
      </c>
      <c r="C259" s="49">
        <v>1</v>
      </c>
      <c r="D259" s="49">
        <v>3.9883268482490269E-2</v>
      </c>
      <c r="E259" s="49">
        <v>4.8638132295719845E-3</v>
      </c>
      <c r="F259" s="49">
        <v>5.8365758754863814E-3</v>
      </c>
      <c r="G259" s="49">
        <v>9.727626459143969E-4</v>
      </c>
      <c r="H259" s="49">
        <v>1.4591439688715954E-3</v>
      </c>
      <c r="I259" s="49">
        <v>8.7548638132295721E-3</v>
      </c>
      <c r="J259" s="49">
        <v>5.8365758754863814E-3</v>
      </c>
      <c r="K259" s="49">
        <v>0.51021400778210113</v>
      </c>
      <c r="L259" s="49">
        <v>2.6750972762645913E-2</v>
      </c>
      <c r="M259" s="49">
        <v>7.7821011673151752E-3</v>
      </c>
      <c r="N259" s="49">
        <v>5.350194552529183E-3</v>
      </c>
      <c r="O259" s="49">
        <v>0.46303501945525294</v>
      </c>
      <c r="P259" s="49">
        <v>3.1614785992217898E-2</v>
      </c>
      <c r="Q259" s="49">
        <v>9.727626459143969E-4</v>
      </c>
      <c r="R259" s="49">
        <v>1.4591439688715954E-3</v>
      </c>
      <c r="S259" s="49">
        <v>1.4591439688715954E-3</v>
      </c>
      <c r="T259" s="49">
        <v>1.9455252918287938E-3</v>
      </c>
      <c r="U259" s="49">
        <v>1.9455252918287938E-3</v>
      </c>
    </row>
    <row r="260" spans="1:21">
      <c r="A260" t="s">
        <v>185</v>
      </c>
      <c r="B260" t="s">
        <v>2030</v>
      </c>
      <c r="C260" s="49">
        <v>1</v>
      </c>
      <c r="D260" s="49">
        <v>4.5556385362210607E-2</v>
      </c>
      <c r="E260" s="49">
        <v>1.6430171769977596E-2</v>
      </c>
      <c r="F260" s="49">
        <v>1.2696041822255415E-2</v>
      </c>
      <c r="G260" s="49">
        <v>0</v>
      </c>
      <c r="H260" s="49">
        <v>9.7087378640776691E-3</v>
      </c>
      <c r="I260" s="49">
        <v>1.2696041822255415E-2</v>
      </c>
      <c r="J260" s="49">
        <v>1.0455563853622106E-2</v>
      </c>
      <c r="K260" s="49">
        <v>0.85287528005974611</v>
      </c>
      <c r="L260" s="49">
        <v>4.8543689320388349E-2</v>
      </c>
      <c r="M260" s="49">
        <v>0</v>
      </c>
      <c r="N260" s="49">
        <v>9.7087378640776691E-3</v>
      </c>
      <c r="O260" s="49">
        <v>0.11277072442120986</v>
      </c>
      <c r="P260" s="49">
        <v>2.3898431665421958E-2</v>
      </c>
      <c r="Q260" s="49">
        <v>2.2404779686333084E-3</v>
      </c>
      <c r="R260" s="49">
        <v>4.4809559372666168E-3</v>
      </c>
      <c r="S260" s="49">
        <v>2.9873039581777448E-3</v>
      </c>
      <c r="T260" s="49">
        <v>5.2277819268110532E-3</v>
      </c>
      <c r="U260" s="49">
        <v>0</v>
      </c>
    </row>
    <row r="261" spans="1:21">
      <c r="A261" t="s">
        <v>87</v>
      </c>
      <c r="B261" t="s">
        <v>2027</v>
      </c>
      <c r="C261" s="49">
        <v>1</v>
      </c>
      <c r="D261" s="49">
        <v>3.5550458715596332E-2</v>
      </c>
      <c r="E261" s="49">
        <v>1.7201834862385322E-2</v>
      </c>
      <c r="F261" s="49">
        <v>1.0321100917431193E-2</v>
      </c>
      <c r="G261" s="49">
        <v>4.0137614678899085E-3</v>
      </c>
      <c r="H261" s="49">
        <v>4.0137614678899085E-3</v>
      </c>
      <c r="I261" s="49">
        <v>1.6628440366972478E-2</v>
      </c>
      <c r="J261" s="49">
        <v>8.600917431192661E-3</v>
      </c>
      <c r="K261" s="49">
        <v>0.76720183486238536</v>
      </c>
      <c r="L261" s="49">
        <v>3.6123853211009173E-2</v>
      </c>
      <c r="M261" s="49">
        <v>1.1467889908256881E-3</v>
      </c>
      <c r="N261" s="49">
        <v>1.7201834862385322E-3</v>
      </c>
      <c r="O261" s="49">
        <v>0.19094036697247707</v>
      </c>
      <c r="P261" s="49">
        <v>2.0642201834862386E-2</v>
      </c>
      <c r="Q261" s="49">
        <v>0</v>
      </c>
      <c r="R261" s="49">
        <v>7.4541284403669729E-3</v>
      </c>
      <c r="S261" s="49">
        <v>2.8669724770642203E-3</v>
      </c>
      <c r="T261" s="49">
        <v>2.8669724770642203E-3</v>
      </c>
      <c r="U261" s="49">
        <v>0</v>
      </c>
    </row>
    <row r="262" spans="1:21">
      <c r="A262" t="s">
        <v>1405</v>
      </c>
      <c r="B262" t="s">
        <v>2041</v>
      </c>
      <c r="C262" s="49">
        <v>1</v>
      </c>
      <c r="D262" s="49">
        <v>3.68251698248123E-2</v>
      </c>
      <c r="E262" s="49">
        <v>1.2870933142652842E-2</v>
      </c>
      <c r="F262" s="49">
        <v>7.5080443332141578E-3</v>
      </c>
      <c r="G262" s="49">
        <v>3.5752592062924561E-3</v>
      </c>
      <c r="H262" s="49">
        <v>3.5752592062924561E-3</v>
      </c>
      <c r="I262" s="49">
        <v>2.7887021809081158E-2</v>
      </c>
      <c r="J262" s="49">
        <v>1.3228459063282088E-2</v>
      </c>
      <c r="K262" s="49">
        <v>0.91383625312835182</v>
      </c>
      <c r="L262" s="49">
        <v>3.5037540221666073E-2</v>
      </c>
      <c r="M262" s="49">
        <v>0</v>
      </c>
      <c r="N262" s="49">
        <v>4.6478369681801929E-3</v>
      </c>
      <c r="O262" s="49">
        <v>4.0757954951734003E-2</v>
      </c>
      <c r="P262" s="49">
        <v>1.0725777618877368E-2</v>
      </c>
      <c r="Q262" s="49">
        <v>0</v>
      </c>
      <c r="R262" s="49">
        <v>4.6478369681801929E-3</v>
      </c>
      <c r="S262" s="49">
        <v>1.0725777618877368E-3</v>
      </c>
      <c r="T262" s="49">
        <v>1.4301036825169824E-3</v>
      </c>
      <c r="U262" s="49">
        <v>0</v>
      </c>
    </row>
    <row r="263" spans="1:21">
      <c r="A263" t="s">
        <v>2031</v>
      </c>
      <c r="B263" t="s">
        <v>2031</v>
      </c>
      <c r="C263" s="49">
        <v>1</v>
      </c>
      <c r="D263" s="49">
        <v>1.3398451306108023E-2</v>
      </c>
      <c r="E263" s="49">
        <v>0.69887221668862254</v>
      </c>
      <c r="F263" s="49">
        <v>1.5679722391800276E-2</v>
      </c>
      <c r="G263" s="49">
        <v>1.2177489316582591E-2</v>
      </c>
      <c r="H263" s="49">
        <v>3.2451884458439095E-3</v>
      </c>
      <c r="I263" s="49">
        <v>5.7835041609099379E-2</v>
      </c>
      <c r="J263" s="49">
        <v>7.6149471451980848E-3</v>
      </c>
      <c r="K263" s="49">
        <v>0.1487645792500723</v>
      </c>
      <c r="L263" s="49">
        <v>9.1250843427690131E-3</v>
      </c>
      <c r="M263" s="49">
        <v>2.5061851363943066E-3</v>
      </c>
      <c r="N263" s="49">
        <v>1.2530925681971533E-3</v>
      </c>
      <c r="O263" s="49">
        <v>7.3836069787616879E-2</v>
      </c>
      <c r="P263" s="49">
        <v>6.8759438357484815E-3</v>
      </c>
      <c r="Q263" s="49">
        <v>0</v>
      </c>
      <c r="R263" s="49">
        <v>7.0687273077788134E-4</v>
      </c>
      <c r="S263" s="49">
        <v>4.2412363846672883E-3</v>
      </c>
      <c r="T263" s="49">
        <v>2.0242264563184783E-3</v>
      </c>
      <c r="U263" s="49">
        <v>1.7671818269447033E-3</v>
      </c>
    </row>
    <row r="264" spans="1:21">
      <c r="A264" t="s">
        <v>1035</v>
      </c>
      <c r="B264" t="s">
        <v>2044</v>
      </c>
      <c r="C264" s="49">
        <v>1</v>
      </c>
      <c r="D264" s="49">
        <v>4.81892523364486E-2</v>
      </c>
      <c r="E264" s="49">
        <v>4.6436915887850469E-2</v>
      </c>
      <c r="F264" s="49">
        <v>1.8107476635514017E-2</v>
      </c>
      <c r="G264" s="49">
        <v>2.9205607476635514E-2</v>
      </c>
      <c r="H264" s="49">
        <v>2.0443925233644859E-2</v>
      </c>
      <c r="I264" s="49">
        <v>2.27803738317757E-2</v>
      </c>
      <c r="J264" s="49">
        <v>1.4310747663551402E-2</v>
      </c>
      <c r="K264" s="49">
        <v>0.67873831775700932</v>
      </c>
      <c r="L264" s="49">
        <v>5.1401869158878503E-2</v>
      </c>
      <c r="M264" s="49">
        <v>3.7967289719626168E-3</v>
      </c>
      <c r="N264" s="49">
        <v>3.5046728971962616E-3</v>
      </c>
      <c r="O264" s="49">
        <v>0.21290887850467291</v>
      </c>
      <c r="P264" s="49">
        <v>3.6214953271028034E-2</v>
      </c>
      <c r="Q264" s="49">
        <v>0</v>
      </c>
      <c r="R264" s="49">
        <v>3.7967289719626168E-3</v>
      </c>
      <c r="S264" s="49">
        <v>3.7967289719626168E-3</v>
      </c>
      <c r="T264" s="49">
        <v>4.0887850467289715E-3</v>
      </c>
      <c r="U264" s="49">
        <v>2.3364485981308409E-3</v>
      </c>
    </row>
    <row r="265" spans="1:21">
      <c r="A265" t="s">
        <v>16</v>
      </c>
      <c r="B265" t="s">
        <v>2028</v>
      </c>
      <c r="C265" s="49">
        <v>1</v>
      </c>
      <c r="D265" s="49">
        <v>3.9883268482490269E-2</v>
      </c>
      <c r="E265" s="49">
        <v>4.8638132295719845E-3</v>
      </c>
      <c r="F265" s="49">
        <v>5.8365758754863814E-3</v>
      </c>
      <c r="G265" s="49">
        <v>9.727626459143969E-4</v>
      </c>
      <c r="H265" s="49">
        <v>1.4591439688715954E-3</v>
      </c>
      <c r="I265" s="49">
        <v>8.7548638132295721E-3</v>
      </c>
      <c r="J265" s="49">
        <v>5.8365758754863814E-3</v>
      </c>
      <c r="K265" s="49">
        <v>0.51021400778210113</v>
      </c>
      <c r="L265" s="49">
        <v>2.6750972762645913E-2</v>
      </c>
      <c r="M265" s="49">
        <v>7.7821011673151752E-3</v>
      </c>
      <c r="N265" s="49">
        <v>5.350194552529183E-3</v>
      </c>
      <c r="O265" s="49">
        <v>0.46303501945525294</v>
      </c>
      <c r="P265" s="49">
        <v>3.1614785992217898E-2</v>
      </c>
      <c r="Q265" s="49">
        <v>9.727626459143969E-4</v>
      </c>
      <c r="R265" s="49">
        <v>1.4591439688715954E-3</v>
      </c>
      <c r="S265" s="49">
        <v>1.4591439688715954E-3</v>
      </c>
      <c r="T265" s="49">
        <v>1.9455252918287938E-3</v>
      </c>
      <c r="U265" s="49">
        <v>1.9455252918287938E-3</v>
      </c>
    </row>
    <row r="266" spans="1:21">
      <c r="A266" t="s">
        <v>1367</v>
      </c>
      <c r="B266" t="s">
        <v>2034</v>
      </c>
      <c r="C266" s="49">
        <v>1</v>
      </c>
      <c r="D266" s="49">
        <v>0.12011173184357542</v>
      </c>
      <c r="E266" s="49">
        <v>1.3966480446927373E-2</v>
      </c>
      <c r="F266" s="49">
        <v>2.23463687150838E-2</v>
      </c>
      <c r="G266" s="49">
        <v>0</v>
      </c>
      <c r="H266" s="49">
        <v>1.2569832402234637E-2</v>
      </c>
      <c r="I266" s="49">
        <v>3.6312849162011177E-2</v>
      </c>
      <c r="J266" s="49">
        <v>2.7932960893854747E-2</v>
      </c>
      <c r="K266" s="49">
        <v>0.56564245810055869</v>
      </c>
      <c r="L266" s="49">
        <v>0.11312849162011174</v>
      </c>
      <c r="M266" s="49">
        <v>0.15502793296089384</v>
      </c>
      <c r="N266" s="49">
        <v>6.4245810055865923E-2</v>
      </c>
      <c r="O266" s="49">
        <v>0.22905027932960895</v>
      </c>
      <c r="P266" s="49">
        <v>7.2625698324022353E-2</v>
      </c>
      <c r="Q266" s="49">
        <v>0</v>
      </c>
      <c r="R266" s="49">
        <v>1.2569832402234637E-2</v>
      </c>
      <c r="S266" s="49">
        <v>0</v>
      </c>
      <c r="T266" s="49">
        <v>1.2569832402234637E-2</v>
      </c>
      <c r="U266" s="49">
        <v>0</v>
      </c>
    </row>
    <row r="267" spans="1:21">
      <c r="A267" t="s">
        <v>1606</v>
      </c>
      <c r="B267" t="s">
        <v>2031</v>
      </c>
      <c r="C267" s="49">
        <v>1</v>
      </c>
      <c r="D267" s="49">
        <v>1.3398451306108023E-2</v>
      </c>
      <c r="E267" s="49">
        <v>0.69887221668862254</v>
      </c>
      <c r="F267" s="49">
        <v>1.5679722391800276E-2</v>
      </c>
      <c r="G267" s="49">
        <v>1.2177489316582591E-2</v>
      </c>
      <c r="H267" s="49">
        <v>3.2451884458439095E-3</v>
      </c>
      <c r="I267" s="49">
        <v>5.7835041609099379E-2</v>
      </c>
      <c r="J267" s="49">
        <v>7.6149471451980848E-3</v>
      </c>
      <c r="K267" s="49">
        <v>0.1487645792500723</v>
      </c>
      <c r="L267" s="49">
        <v>9.1250843427690131E-3</v>
      </c>
      <c r="M267" s="49">
        <v>2.5061851363943066E-3</v>
      </c>
      <c r="N267" s="49">
        <v>1.2530925681971533E-3</v>
      </c>
      <c r="O267" s="49">
        <v>7.3836069787616879E-2</v>
      </c>
      <c r="P267" s="49">
        <v>6.8759438357484815E-3</v>
      </c>
      <c r="Q267" s="49">
        <v>0</v>
      </c>
      <c r="R267" s="49">
        <v>7.0687273077788134E-4</v>
      </c>
      <c r="S267" s="49">
        <v>4.2412363846672883E-3</v>
      </c>
      <c r="T267" s="49">
        <v>2.0242264563184783E-3</v>
      </c>
      <c r="U267" s="49">
        <v>1.7671818269447033E-3</v>
      </c>
    </row>
    <row r="268" spans="1:21">
      <c r="A268" t="s">
        <v>1406</v>
      </c>
      <c r="B268" t="s">
        <v>2028</v>
      </c>
      <c r="C268" s="49">
        <v>1</v>
      </c>
      <c r="D268" s="49">
        <v>3.9883268482490269E-2</v>
      </c>
      <c r="E268" s="49">
        <v>4.8638132295719845E-3</v>
      </c>
      <c r="F268" s="49">
        <v>5.8365758754863814E-3</v>
      </c>
      <c r="G268" s="49">
        <v>9.727626459143969E-4</v>
      </c>
      <c r="H268" s="49">
        <v>1.4591439688715954E-3</v>
      </c>
      <c r="I268" s="49">
        <v>8.7548638132295721E-3</v>
      </c>
      <c r="J268" s="49">
        <v>5.8365758754863814E-3</v>
      </c>
      <c r="K268" s="49">
        <v>0.51021400778210113</v>
      </c>
      <c r="L268" s="49">
        <v>2.6750972762645913E-2</v>
      </c>
      <c r="M268" s="49">
        <v>7.7821011673151752E-3</v>
      </c>
      <c r="N268" s="49">
        <v>5.350194552529183E-3</v>
      </c>
      <c r="O268" s="49">
        <v>0.46303501945525294</v>
      </c>
      <c r="P268" s="49">
        <v>3.1614785992217898E-2</v>
      </c>
      <c r="Q268" s="49">
        <v>9.727626459143969E-4</v>
      </c>
      <c r="R268" s="49">
        <v>1.4591439688715954E-3</v>
      </c>
      <c r="S268" s="49">
        <v>1.4591439688715954E-3</v>
      </c>
      <c r="T268" s="49">
        <v>1.9455252918287938E-3</v>
      </c>
      <c r="U268" s="49">
        <v>1.9455252918287938E-3</v>
      </c>
    </row>
    <row r="269" spans="1:21">
      <c r="A269" t="s">
        <v>28</v>
      </c>
      <c r="B269" t="s">
        <v>2025</v>
      </c>
      <c r="C269" s="49">
        <v>1</v>
      </c>
      <c r="D269" s="49">
        <v>3.4419458467186782E-2</v>
      </c>
      <c r="E269" s="49">
        <v>5.9660394676457089E-3</v>
      </c>
      <c r="F269" s="49">
        <v>4.8187241854061496E-3</v>
      </c>
      <c r="G269" s="49">
        <v>1.1473152822395595E-3</v>
      </c>
      <c r="H269" s="49">
        <v>1.8357044515832951E-3</v>
      </c>
      <c r="I269" s="49">
        <v>1.7668655346489214E-2</v>
      </c>
      <c r="J269" s="49">
        <v>1.0325837540156035E-2</v>
      </c>
      <c r="K269" s="49">
        <v>0.85589720055071139</v>
      </c>
      <c r="L269" s="49">
        <v>3.1895364846259752E-2</v>
      </c>
      <c r="M269" s="49">
        <v>2.2946305644791189E-4</v>
      </c>
      <c r="N269" s="49">
        <v>4.5892611289582378E-4</v>
      </c>
      <c r="O269" s="49">
        <v>0.11656723267553924</v>
      </c>
      <c r="P269" s="49">
        <v>1.6291877007801745E-2</v>
      </c>
      <c r="Q269" s="49">
        <v>0</v>
      </c>
      <c r="R269" s="49">
        <v>3.4419458467186783E-3</v>
      </c>
      <c r="S269" s="49">
        <v>2.5240936209270305E-3</v>
      </c>
      <c r="T269" s="49">
        <v>1.1473152822395595E-3</v>
      </c>
      <c r="U269" s="49">
        <v>0</v>
      </c>
    </row>
    <row r="270" spans="1:21">
      <c r="A270" t="s">
        <v>1357</v>
      </c>
      <c r="B270" t="s">
        <v>2044</v>
      </c>
      <c r="C270" s="49">
        <v>1</v>
      </c>
      <c r="D270" s="49">
        <v>4.81892523364486E-2</v>
      </c>
      <c r="E270" s="49">
        <v>4.6436915887850469E-2</v>
      </c>
      <c r="F270" s="49">
        <v>1.8107476635514017E-2</v>
      </c>
      <c r="G270" s="49">
        <v>2.9205607476635514E-2</v>
      </c>
      <c r="H270" s="49">
        <v>2.0443925233644859E-2</v>
      </c>
      <c r="I270" s="49">
        <v>2.27803738317757E-2</v>
      </c>
      <c r="J270" s="49">
        <v>1.4310747663551402E-2</v>
      </c>
      <c r="K270" s="49">
        <v>0.67873831775700932</v>
      </c>
      <c r="L270" s="49">
        <v>5.1401869158878503E-2</v>
      </c>
      <c r="M270" s="49">
        <v>3.7967289719626168E-3</v>
      </c>
      <c r="N270" s="49">
        <v>3.5046728971962616E-3</v>
      </c>
      <c r="O270" s="49">
        <v>0.21290887850467291</v>
      </c>
      <c r="P270" s="49">
        <v>3.6214953271028034E-2</v>
      </c>
      <c r="Q270" s="49">
        <v>0</v>
      </c>
      <c r="R270" s="49">
        <v>3.7967289719626168E-3</v>
      </c>
      <c r="S270" s="49">
        <v>3.7967289719626168E-3</v>
      </c>
      <c r="T270" s="49">
        <v>4.0887850467289715E-3</v>
      </c>
      <c r="U270" s="49">
        <v>2.3364485981308409E-3</v>
      </c>
    </row>
    <row r="271" spans="1:21">
      <c r="A271" t="s">
        <v>1037</v>
      </c>
      <c r="B271" t="s">
        <v>2044</v>
      </c>
      <c r="C271" s="49">
        <v>1</v>
      </c>
      <c r="D271" s="49">
        <v>4.81892523364486E-2</v>
      </c>
      <c r="E271" s="49">
        <v>4.6436915887850469E-2</v>
      </c>
      <c r="F271" s="49">
        <v>1.8107476635514017E-2</v>
      </c>
      <c r="G271" s="49">
        <v>2.9205607476635514E-2</v>
      </c>
      <c r="H271" s="49">
        <v>2.0443925233644859E-2</v>
      </c>
      <c r="I271" s="49">
        <v>2.27803738317757E-2</v>
      </c>
      <c r="J271" s="49">
        <v>1.4310747663551402E-2</v>
      </c>
      <c r="K271" s="49">
        <v>0.67873831775700932</v>
      </c>
      <c r="L271" s="49">
        <v>5.1401869158878503E-2</v>
      </c>
      <c r="M271" s="49">
        <v>3.7967289719626168E-3</v>
      </c>
      <c r="N271" s="49">
        <v>3.5046728971962616E-3</v>
      </c>
      <c r="O271" s="49">
        <v>0.21290887850467291</v>
      </c>
      <c r="P271" s="49">
        <v>3.6214953271028034E-2</v>
      </c>
      <c r="Q271" s="49">
        <v>0</v>
      </c>
      <c r="R271" s="49">
        <v>3.7967289719626168E-3</v>
      </c>
      <c r="S271" s="49">
        <v>3.7967289719626168E-3</v>
      </c>
      <c r="T271" s="49">
        <v>4.0887850467289715E-3</v>
      </c>
      <c r="U271" s="49">
        <v>2.3364485981308409E-3</v>
      </c>
    </row>
    <row r="272" spans="1:21">
      <c r="A272" t="s">
        <v>1407</v>
      </c>
      <c r="B272" t="s">
        <v>2025</v>
      </c>
      <c r="C272" s="49">
        <v>1</v>
      </c>
      <c r="D272" s="49">
        <v>3.4419458467186782E-2</v>
      </c>
      <c r="E272" s="49">
        <v>5.9660394676457089E-3</v>
      </c>
      <c r="F272" s="49">
        <v>4.8187241854061496E-3</v>
      </c>
      <c r="G272" s="49">
        <v>1.1473152822395595E-3</v>
      </c>
      <c r="H272" s="49">
        <v>1.8357044515832951E-3</v>
      </c>
      <c r="I272" s="49">
        <v>1.7668655346489214E-2</v>
      </c>
      <c r="J272" s="49">
        <v>1.0325837540156035E-2</v>
      </c>
      <c r="K272" s="49">
        <v>0.85589720055071139</v>
      </c>
      <c r="L272" s="49">
        <v>3.1895364846259752E-2</v>
      </c>
      <c r="M272" s="49">
        <v>2.2946305644791189E-4</v>
      </c>
      <c r="N272" s="49">
        <v>4.5892611289582378E-4</v>
      </c>
      <c r="O272" s="49">
        <v>0.11656723267553924</v>
      </c>
      <c r="P272" s="49">
        <v>1.6291877007801745E-2</v>
      </c>
      <c r="Q272" s="49">
        <v>0</v>
      </c>
      <c r="R272" s="49">
        <v>3.4419458467186783E-3</v>
      </c>
      <c r="S272" s="49">
        <v>2.5240936209270305E-3</v>
      </c>
      <c r="T272" s="49">
        <v>1.1473152822395595E-3</v>
      </c>
      <c r="U272" s="49">
        <v>0</v>
      </c>
    </row>
    <row r="273" spans="1:21">
      <c r="A273" t="s">
        <v>867</v>
      </c>
      <c r="B273" t="s">
        <v>2039</v>
      </c>
      <c r="C273" s="49">
        <v>1</v>
      </c>
      <c r="D273" s="49">
        <v>4.2857142857142858E-2</v>
      </c>
      <c r="E273" s="49">
        <v>6.2500000000000003E-3</v>
      </c>
      <c r="F273" s="49">
        <v>4.0178571428571425E-3</v>
      </c>
      <c r="G273" s="49">
        <v>3.2589285714285716E-2</v>
      </c>
      <c r="H273" s="49">
        <v>1.1607142857142858E-2</v>
      </c>
      <c r="I273" s="49">
        <v>0.1299107142857143</v>
      </c>
      <c r="J273" s="49">
        <v>2.5000000000000001E-2</v>
      </c>
      <c r="K273" s="49">
        <v>0.48303571428571429</v>
      </c>
      <c r="L273" s="49">
        <v>4.1517857142857141E-2</v>
      </c>
      <c r="M273" s="49">
        <v>8.9285714285714283E-4</v>
      </c>
      <c r="N273" s="49">
        <v>1.3392857142857143E-3</v>
      </c>
      <c r="O273" s="49">
        <v>0.34241071428571429</v>
      </c>
      <c r="P273" s="49">
        <v>3.7946428571428568E-2</v>
      </c>
      <c r="Q273" s="49">
        <v>0</v>
      </c>
      <c r="R273" s="49">
        <v>5.8035714285714288E-3</v>
      </c>
      <c r="S273" s="49">
        <v>4.0178571428571425E-3</v>
      </c>
      <c r="T273" s="49">
        <v>2.6785714285714286E-3</v>
      </c>
      <c r="U273" s="49">
        <v>8.9285714285714283E-4</v>
      </c>
    </row>
    <row r="274" spans="1:21">
      <c r="A274" t="s">
        <v>1038</v>
      </c>
      <c r="B274" t="s">
        <v>2051</v>
      </c>
      <c r="C274" s="49">
        <v>1</v>
      </c>
      <c r="D274" s="49">
        <v>7.7458659704090507E-2</v>
      </c>
      <c r="E274" s="49">
        <v>2.0887728459530026E-2</v>
      </c>
      <c r="F274" s="49">
        <v>2.1758050478677109E-2</v>
      </c>
      <c r="G274" s="49">
        <v>1.7406440382941688E-3</v>
      </c>
      <c r="H274" s="49">
        <v>3.4812880765883376E-3</v>
      </c>
      <c r="I274" s="49">
        <v>0.35422106179286333</v>
      </c>
      <c r="J274" s="49">
        <v>6.6144473455178418E-2</v>
      </c>
      <c r="K274" s="49">
        <v>0.36727589208006961</v>
      </c>
      <c r="L274" s="49">
        <v>6.7885117493472591E-2</v>
      </c>
      <c r="M274" s="49">
        <v>0</v>
      </c>
      <c r="N274" s="49">
        <v>7.832898172323759E-3</v>
      </c>
      <c r="O274" s="49">
        <v>0.24281984334203655</v>
      </c>
      <c r="P274" s="49">
        <v>6.4403829416884245E-2</v>
      </c>
      <c r="Q274" s="49">
        <v>0</v>
      </c>
      <c r="R274" s="49">
        <v>7.832898172323759E-3</v>
      </c>
      <c r="S274" s="49">
        <v>1.0443864229765013E-2</v>
      </c>
      <c r="T274" s="49">
        <v>1.392515230635335E-2</v>
      </c>
      <c r="U274" s="49">
        <v>2.6109660574412533E-3</v>
      </c>
    </row>
    <row r="275" spans="1:21">
      <c r="A275" t="s">
        <v>1954</v>
      </c>
      <c r="B275" t="s">
        <v>2033</v>
      </c>
      <c r="C275" s="49">
        <v>1</v>
      </c>
      <c r="D275" s="49">
        <v>2.0257826887661142E-2</v>
      </c>
      <c r="E275" s="49">
        <v>0.46183241252302026</v>
      </c>
      <c r="F275" s="49">
        <v>1.9843462246777164E-2</v>
      </c>
      <c r="G275" s="49">
        <v>4.2495395948434621E-2</v>
      </c>
      <c r="H275" s="49">
        <v>5.6629834254143642E-3</v>
      </c>
      <c r="I275" s="49">
        <v>6.3720073664825044E-2</v>
      </c>
      <c r="J275" s="49">
        <v>8.0570902394106816E-3</v>
      </c>
      <c r="K275" s="49">
        <v>0.30441988950276244</v>
      </c>
      <c r="L275" s="49">
        <v>1.6022099447513812E-2</v>
      </c>
      <c r="M275" s="49">
        <v>3.2228360957642726E-3</v>
      </c>
      <c r="N275" s="49">
        <v>1.4732965009208103E-3</v>
      </c>
      <c r="O275" s="49">
        <v>0.11754143646408839</v>
      </c>
      <c r="P275" s="49">
        <v>1.3305709023941069E-2</v>
      </c>
      <c r="Q275" s="49">
        <v>0</v>
      </c>
      <c r="R275" s="49">
        <v>1.0128913443830571E-3</v>
      </c>
      <c r="S275" s="49">
        <v>4.9723756906077344E-3</v>
      </c>
      <c r="T275" s="49">
        <v>2.2559852670349908E-3</v>
      </c>
      <c r="U275" s="49">
        <v>1.7955801104972376E-3</v>
      </c>
    </row>
    <row r="276" spans="1:21">
      <c r="A276" t="s">
        <v>88</v>
      </c>
      <c r="B276" t="s">
        <v>2028</v>
      </c>
      <c r="C276" s="49">
        <v>1</v>
      </c>
      <c r="D276" s="49">
        <v>3.9883268482490269E-2</v>
      </c>
      <c r="E276" s="49">
        <v>4.8638132295719845E-3</v>
      </c>
      <c r="F276" s="49">
        <v>5.8365758754863814E-3</v>
      </c>
      <c r="G276" s="49">
        <v>9.727626459143969E-4</v>
      </c>
      <c r="H276" s="49">
        <v>1.4591439688715954E-3</v>
      </c>
      <c r="I276" s="49">
        <v>8.7548638132295721E-3</v>
      </c>
      <c r="J276" s="49">
        <v>5.8365758754863814E-3</v>
      </c>
      <c r="K276" s="49">
        <v>0.51021400778210113</v>
      </c>
      <c r="L276" s="49">
        <v>2.6750972762645913E-2</v>
      </c>
      <c r="M276" s="49">
        <v>7.7821011673151752E-3</v>
      </c>
      <c r="N276" s="49">
        <v>5.350194552529183E-3</v>
      </c>
      <c r="O276" s="49">
        <v>0.46303501945525294</v>
      </c>
      <c r="P276" s="49">
        <v>3.1614785992217898E-2</v>
      </c>
      <c r="Q276" s="49">
        <v>9.727626459143969E-4</v>
      </c>
      <c r="R276" s="49">
        <v>1.4591439688715954E-3</v>
      </c>
      <c r="S276" s="49">
        <v>1.4591439688715954E-3</v>
      </c>
      <c r="T276" s="49">
        <v>1.9455252918287938E-3</v>
      </c>
      <c r="U276" s="49">
        <v>1.9455252918287938E-3</v>
      </c>
    </row>
    <row r="277" spans="1:21">
      <c r="A277" t="s">
        <v>1955</v>
      </c>
      <c r="B277" t="s">
        <v>2031</v>
      </c>
      <c r="C277" s="49">
        <v>1</v>
      </c>
      <c r="D277" s="49">
        <v>1.3398451306108023E-2</v>
      </c>
      <c r="E277" s="49">
        <v>0.69887221668862254</v>
      </c>
      <c r="F277" s="49">
        <v>1.5679722391800276E-2</v>
      </c>
      <c r="G277" s="49">
        <v>1.2177489316582591E-2</v>
      </c>
      <c r="H277" s="49">
        <v>3.2451884458439095E-3</v>
      </c>
      <c r="I277" s="49">
        <v>5.7835041609099379E-2</v>
      </c>
      <c r="J277" s="49">
        <v>7.6149471451980848E-3</v>
      </c>
      <c r="K277" s="49">
        <v>0.1487645792500723</v>
      </c>
      <c r="L277" s="49">
        <v>9.1250843427690131E-3</v>
      </c>
      <c r="M277" s="49">
        <v>2.5061851363943066E-3</v>
      </c>
      <c r="N277" s="49">
        <v>1.2530925681971533E-3</v>
      </c>
      <c r="O277" s="49">
        <v>7.3836069787616879E-2</v>
      </c>
      <c r="P277" s="49">
        <v>6.8759438357484815E-3</v>
      </c>
      <c r="Q277" s="49">
        <v>0</v>
      </c>
      <c r="R277" s="49">
        <v>7.0687273077788134E-4</v>
      </c>
      <c r="S277" s="49">
        <v>4.2412363846672883E-3</v>
      </c>
      <c r="T277" s="49">
        <v>2.0242264563184783E-3</v>
      </c>
      <c r="U277" s="49">
        <v>1.7671818269447033E-3</v>
      </c>
    </row>
    <row r="278" spans="1:21">
      <c r="A278" t="s">
        <v>1608</v>
      </c>
      <c r="B278" t="s">
        <v>2037</v>
      </c>
      <c r="C278" s="49">
        <v>1</v>
      </c>
      <c r="D278" s="49">
        <v>1.7899291896144767E-2</v>
      </c>
      <c r="E278" s="49">
        <v>5.4316061593795664E-2</v>
      </c>
      <c r="F278" s="49">
        <v>8.14881420703608E-3</v>
      </c>
      <c r="G278" s="49">
        <v>1.3993480948634372E-2</v>
      </c>
      <c r="H278" s="49">
        <v>4.3835000561987187E-3</v>
      </c>
      <c r="I278" s="49">
        <v>6.9433516915814314E-2</v>
      </c>
      <c r="J278" s="49">
        <v>9.3851860177587947E-3</v>
      </c>
      <c r="K278" s="49">
        <v>0.75665954816230185</v>
      </c>
      <c r="L278" s="49">
        <v>2.2648083623693381E-2</v>
      </c>
      <c r="M278" s="49">
        <v>1.6943913678768123E-2</v>
      </c>
      <c r="N278" s="49">
        <v>5.0297853208946834E-3</v>
      </c>
      <c r="O278" s="49">
        <v>7.0107901539844891E-2</v>
      </c>
      <c r="P278" s="49">
        <v>1.0340564235135439E-2</v>
      </c>
      <c r="Q278" s="49">
        <v>3.6529167134989322E-4</v>
      </c>
      <c r="R278" s="49">
        <v>6.1818590536135776E-4</v>
      </c>
      <c r="S278" s="49">
        <v>1.4162077104642014E-2</v>
      </c>
      <c r="T278" s="49">
        <v>4.3835000561987187E-3</v>
      </c>
      <c r="U278" s="49">
        <v>4.0182083848488252E-3</v>
      </c>
    </row>
    <row r="279" spans="1:21">
      <c r="A279" t="s">
        <v>1040</v>
      </c>
      <c r="B279" t="s">
        <v>2033</v>
      </c>
      <c r="C279" s="49">
        <v>1</v>
      </c>
      <c r="D279" s="49">
        <v>2.0257826887661142E-2</v>
      </c>
      <c r="E279" s="49">
        <v>0.46183241252302026</v>
      </c>
      <c r="F279" s="49">
        <v>1.9843462246777164E-2</v>
      </c>
      <c r="G279" s="49">
        <v>4.2495395948434621E-2</v>
      </c>
      <c r="H279" s="49">
        <v>5.6629834254143642E-3</v>
      </c>
      <c r="I279" s="49">
        <v>6.3720073664825044E-2</v>
      </c>
      <c r="J279" s="49">
        <v>8.0570902394106816E-3</v>
      </c>
      <c r="K279" s="49">
        <v>0.30441988950276244</v>
      </c>
      <c r="L279" s="49">
        <v>1.6022099447513812E-2</v>
      </c>
      <c r="M279" s="49">
        <v>3.2228360957642726E-3</v>
      </c>
      <c r="N279" s="49">
        <v>1.4732965009208103E-3</v>
      </c>
      <c r="O279" s="49">
        <v>0.11754143646408839</v>
      </c>
      <c r="P279" s="49">
        <v>1.3305709023941069E-2</v>
      </c>
      <c r="Q279" s="49">
        <v>0</v>
      </c>
      <c r="R279" s="49">
        <v>1.0128913443830571E-3</v>
      </c>
      <c r="S279" s="49">
        <v>4.9723756906077344E-3</v>
      </c>
      <c r="T279" s="49">
        <v>2.2559852670349908E-3</v>
      </c>
      <c r="U279" s="49">
        <v>1.7955801104972376E-3</v>
      </c>
    </row>
    <row r="280" spans="1:21">
      <c r="A280" t="s">
        <v>1174</v>
      </c>
      <c r="B280" t="s">
        <v>2053</v>
      </c>
      <c r="C280" s="49">
        <v>1</v>
      </c>
      <c r="D280" s="49">
        <v>8.6746987951807228E-2</v>
      </c>
      <c r="E280" s="49">
        <v>3.2128514056224897E-2</v>
      </c>
      <c r="F280" s="49">
        <v>3.8554216867469883E-2</v>
      </c>
      <c r="G280" s="49">
        <v>7.2289156626506026E-3</v>
      </c>
      <c r="H280" s="49">
        <v>1.8473895582329317E-2</v>
      </c>
      <c r="I280" s="49">
        <v>4.1767068273092373E-2</v>
      </c>
      <c r="J280" s="49">
        <v>2.891566265060241E-2</v>
      </c>
      <c r="K280" s="49">
        <v>0.59839357429718876</v>
      </c>
      <c r="L280" s="49">
        <v>0.11244979919678715</v>
      </c>
      <c r="M280" s="49">
        <v>0</v>
      </c>
      <c r="N280" s="49">
        <v>7.2289156626506026E-3</v>
      </c>
      <c r="O280" s="49">
        <v>0.32048192771084338</v>
      </c>
      <c r="P280" s="49">
        <v>8.0321285140562249E-2</v>
      </c>
      <c r="Q280" s="49">
        <v>0</v>
      </c>
      <c r="R280" s="49">
        <v>7.2289156626506026E-3</v>
      </c>
      <c r="S280" s="49">
        <v>0</v>
      </c>
      <c r="T280" s="49">
        <v>7.2289156626506026E-3</v>
      </c>
      <c r="U280" s="49">
        <v>0</v>
      </c>
    </row>
    <row r="281" spans="1:21">
      <c r="A281" t="s">
        <v>1408</v>
      </c>
      <c r="B281" t="s">
        <v>2061</v>
      </c>
      <c r="C281" s="49">
        <v>1</v>
      </c>
      <c r="D281" s="49">
        <v>3.4372049102927286E-2</v>
      </c>
      <c r="E281" s="49">
        <v>2.0963172804532578E-2</v>
      </c>
      <c r="F281" s="49">
        <v>9.442870632672332E-3</v>
      </c>
      <c r="G281" s="49">
        <v>3.4372049102927286E-2</v>
      </c>
      <c r="H281" s="49">
        <v>1.0387157695939566E-2</v>
      </c>
      <c r="I281" s="49">
        <v>0.25136921624173747</v>
      </c>
      <c r="J281" s="49">
        <v>3.0972615675165249E-2</v>
      </c>
      <c r="K281" s="49">
        <v>0.60396600566572234</v>
      </c>
      <c r="L281" s="49">
        <v>4.0982058545797923E-2</v>
      </c>
      <c r="M281" s="49">
        <v>0</v>
      </c>
      <c r="N281" s="49">
        <v>2.8328611898016999E-3</v>
      </c>
      <c r="O281" s="49">
        <v>7.818696883852691E-2</v>
      </c>
      <c r="P281" s="49">
        <v>2.0774315391879131E-2</v>
      </c>
      <c r="Q281" s="49">
        <v>0</v>
      </c>
      <c r="R281" s="49">
        <v>2.8328611898016999E-3</v>
      </c>
      <c r="S281" s="49">
        <v>1.0764872521246459E-2</v>
      </c>
      <c r="T281" s="49">
        <v>8.1208687440982065E-3</v>
      </c>
      <c r="U281" s="49">
        <v>3.7771482530689327E-4</v>
      </c>
    </row>
    <row r="282" spans="1:21">
      <c r="A282" t="s">
        <v>89</v>
      </c>
      <c r="B282" t="s">
        <v>2027</v>
      </c>
      <c r="C282" s="49">
        <v>1</v>
      </c>
      <c r="D282" s="49">
        <v>3.5550458715596332E-2</v>
      </c>
      <c r="E282" s="49">
        <v>1.7201834862385322E-2</v>
      </c>
      <c r="F282" s="49">
        <v>1.0321100917431193E-2</v>
      </c>
      <c r="G282" s="49">
        <v>4.0137614678899085E-3</v>
      </c>
      <c r="H282" s="49">
        <v>4.0137614678899085E-3</v>
      </c>
      <c r="I282" s="49">
        <v>1.6628440366972478E-2</v>
      </c>
      <c r="J282" s="49">
        <v>8.600917431192661E-3</v>
      </c>
      <c r="K282" s="49">
        <v>0.76720183486238536</v>
      </c>
      <c r="L282" s="49">
        <v>3.6123853211009173E-2</v>
      </c>
      <c r="M282" s="49">
        <v>1.1467889908256881E-3</v>
      </c>
      <c r="N282" s="49">
        <v>1.7201834862385322E-3</v>
      </c>
      <c r="O282" s="49">
        <v>0.19094036697247707</v>
      </c>
      <c r="P282" s="49">
        <v>2.0642201834862386E-2</v>
      </c>
      <c r="Q282" s="49">
        <v>0</v>
      </c>
      <c r="R282" s="49">
        <v>7.4541284403669729E-3</v>
      </c>
      <c r="S282" s="49">
        <v>2.8669724770642203E-3</v>
      </c>
      <c r="T282" s="49">
        <v>2.8669724770642203E-3</v>
      </c>
      <c r="U282" s="49">
        <v>0</v>
      </c>
    </row>
    <row r="283" spans="1:21">
      <c r="A283" t="s">
        <v>1175</v>
      </c>
      <c r="B283" t="s">
        <v>2053</v>
      </c>
      <c r="C283" s="49">
        <v>1</v>
      </c>
      <c r="D283" s="49">
        <v>8.6746987951807228E-2</v>
      </c>
      <c r="E283" s="49">
        <v>3.2128514056224897E-2</v>
      </c>
      <c r="F283" s="49">
        <v>3.8554216867469883E-2</v>
      </c>
      <c r="G283" s="49">
        <v>7.2289156626506026E-3</v>
      </c>
      <c r="H283" s="49">
        <v>1.8473895582329317E-2</v>
      </c>
      <c r="I283" s="49">
        <v>4.1767068273092373E-2</v>
      </c>
      <c r="J283" s="49">
        <v>2.891566265060241E-2</v>
      </c>
      <c r="K283" s="49">
        <v>0.59839357429718876</v>
      </c>
      <c r="L283" s="49">
        <v>0.11244979919678715</v>
      </c>
      <c r="M283" s="49">
        <v>0</v>
      </c>
      <c r="N283" s="49">
        <v>7.2289156626506026E-3</v>
      </c>
      <c r="O283" s="49">
        <v>0.32048192771084338</v>
      </c>
      <c r="P283" s="49">
        <v>8.0321285140562249E-2</v>
      </c>
      <c r="Q283" s="49">
        <v>0</v>
      </c>
      <c r="R283" s="49">
        <v>7.2289156626506026E-3</v>
      </c>
      <c r="S283" s="49">
        <v>0</v>
      </c>
      <c r="T283" s="49">
        <v>7.2289156626506026E-3</v>
      </c>
      <c r="U283" s="49">
        <v>0</v>
      </c>
    </row>
    <row r="284" spans="1:21">
      <c r="A284" t="s">
        <v>2065</v>
      </c>
      <c r="B284" t="s">
        <v>2040</v>
      </c>
      <c r="C284" s="49">
        <v>1</v>
      </c>
      <c r="D284" s="49">
        <v>7.6134894684814847E-3</v>
      </c>
      <c r="E284" s="49">
        <v>0.82159151395331154</v>
      </c>
      <c r="F284" s="49">
        <v>1.093072770131549E-2</v>
      </c>
      <c r="G284" s="49">
        <v>8.5164626264162425E-3</v>
      </c>
      <c r="H284" s="49">
        <v>1.5683218006235268E-3</v>
      </c>
      <c r="I284" s="49">
        <v>0.13469508022203636</v>
      </c>
      <c r="J284" s="49">
        <v>7.3568549920158162E-3</v>
      </c>
      <c r="K284" s="49">
        <v>2.3097102881910123E-2</v>
      </c>
      <c r="L284" s="49">
        <v>3.6879324766177475E-3</v>
      </c>
      <c r="M284" s="49">
        <v>2.1861455402630978E-4</v>
      </c>
      <c r="N284" s="49">
        <v>2.4712949585582847E-4</v>
      </c>
      <c r="O284" s="49">
        <v>6.2067523382252302E-3</v>
      </c>
      <c r="P284" s="49">
        <v>1.777431374039997E-3</v>
      </c>
      <c r="Q284" s="49">
        <v>0</v>
      </c>
      <c r="R284" s="49">
        <v>2.0910957341647022E-4</v>
      </c>
      <c r="S284" s="49">
        <v>3.146148581856893E-3</v>
      </c>
      <c r="T284" s="49">
        <v>1.2356474792791423E-3</v>
      </c>
      <c r="U284" s="49">
        <v>2.5283248422173217E-3</v>
      </c>
    </row>
    <row r="285" spans="1:21">
      <c r="A285" t="s">
        <v>2066</v>
      </c>
      <c r="B285" t="s">
        <v>2054</v>
      </c>
      <c r="C285" s="49">
        <v>1</v>
      </c>
      <c r="D285" s="49">
        <v>0.14805825242718446</v>
      </c>
      <c r="E285" s="49">
        <v>2.4271844660194174E-2</v>
      </c>
      <c r="F285" s="49">
        <v>2.9126213592233011E-2</v>
      </c>
      <c r="G285" s="49">
        <v>5.0970873786407765E-2</v>
      </c>
      <c r="H285" s="49">
        <v>4.12621359223301E-2</v>
      </c>
      <c r="I285" s="49">
        <v>3.3980582524271843E-2</v>
      </c>
      <c r="J285" s="49">
        <v>1.9417475728155338E-2</v>
      </c>
      <c r="K285" s="49">
        <v>0.80097087378640774</v>
      </c>
      <c r="L285" s="49">
        <v>0.13349514563106796</v>
      </c>
      <c r="M285" s="49">
        <v>0</v>
      </c>
      <c r="N285" s="49">
        <v>2.1844660194174758E-2</v>
      </c>
      <c r="O285" s="49">
        <v>8.9805825242718448E-2</v>
      </c>
      <c r="P285" s="49">
        <v>3.640776699029126E-2</v>
      </c>
      <c r="Q285" s="49">
        <v>0</v>
      </c>
      <c r="R285" s="49">
        <v>2.1844660194174758E-2</v>
      </c>
      <c r="S285" s="49">
        <v>0</v>
      </c>
      <c r="T285" s="49">
        <v>2.1844660194174758E-2</v>
      </c>
      <c r="U285" s="49">
        <v>0</v>
      </c>
    </row>
    <row r="286" spans="1:21">
      <c r="A286" t="s">
        <v>1409</v>
      </c>
      <c r="B286" t="s">
        <v>2044</v>
      </c>
      <c r="C286" s="49">
        <v>1</v>
      </c>
      <c r="D286" s="49">
        <v>4.81892523364486E-2</v>
      </c>
      <c r="E286" s="49">
        <v>4.6436915887850469E-2</v>
      </c>
      <c r="F286" s="49">
        <v>1.8107476635514017E-2</v>
      </c>
      <c r="G286" s="49">
        <v>2.9205607476635514E-2</v>
      </c>
      <c r="H286" s="49">
        <v>2.0443925233644859E-2</v>
      </c>
      <c r="I286" s="49">
        <v>2.27803738317757E-2</v>
      </c>
      <c r="J286" s="49">
        <v>1.4310747663551402E-2</v>
      </c>
      <c r="K286" s="49">
        <v>0.67873831775700932</v>
      </c>
      <c r="L286" s="49">
        <v>5.1401869158878503E-2</v>
      </c>
      <c r="M286" s="49">
        <v>3.7967289719626168E-3</v>
      </c>
      <c r="N286" s="49">
        <v>3.5046728971962616E-3</v>
      </c>
      <c r="O286" s="49">
        <v>0.21290887850467291</v>
      </c>
      <c r="P286" s="49">
        <v>3.6214953271028034E-2</v>
      </c>
      <c r="Q286" s="49">
        <v>0</v>
      </c>
      <c r="R286" s="49">
        <v>3.7967289719626168E-3</v>
      </c>
      <c r="S286" s="49">
        <v>3.7967289719626168E-3</v>
      </c>
      <c r="T286" s="49">
        <v>4.0887850467289715E-3</v>
      </c>
      <c r="U286" s="49">
        <v>2.3364485981308409E-3</v>
      </c>
    </row>
    <row r="287" spans="1:21">
      <c r="A287" t="s">
        <v>1410</v>
      </c>
      <c r="B287" t="s">
        <v>2025</v>
      </c>
      <c r="C287" s="49">
        <v>1</v>
      </c>
      <c r="D287" s="49">
        <v>3.4419458467186782E-2</v>
      </c>
      <c r="E287" s="49">
        <v>5.9660394676457089E-3</v>
      </c>
      <c r="F287" s="49">
        <v>4.8187241854061496E-3</v>
      </c>
      <c r="G287" s="49">
        <v>1.1473152822395595E-3</v>
      </c>
      <c r="H287" s="49">
        <v>1.8357044515832951E-3</v>
      </c>
      <c r="I287" s="49">
        <v>1.7668655346489214E-2</v>
      </c>
      <c r="J287" s="49">
        <v>1.0325837540156035E-2</v>
      </c>
      <c r="K287" s="49">
        <v>0.85589720055071139</v>
      </c>
      <c r="L287" s="49">
        <v>3.1895364846259752E-2</v>
      </c>
      <c r="M287" s="49">
        <v>2.2946305644791189E-4</v>
      </c>
      <c r="N287" s="49">
        <v>4.5892611289582378E-4</v>
      </c>
      <c r="O287" s="49">
        <v>0.11656723267553924</v>
      </c>
      <c r="P287" s="49">
        <v>1.6291877007801745E-2</v>
      </c>
      <c r="Q287" s="49">
        <v>0</v>
      </c>
      <c r="R287" s="49">
        <v>3.4419458467186783E-3</v>
      </c>
      <c r="S287" s="49">
        <v>2.5240936209270305E-3</v>
      </c>
      <c r="T287" s="49">
        <v>1.1473152822395595E-3</v>
      </c>
      <c r="U287" s="49">
        <v>0</v>
      </c>
    </row>
    <row r="288" spans="1:21">
      <c r="A288" t="s">
        <v>1041</v>
      </c>
      <c r="B288" t="s">
        <v>2042</v>
      </c>
      <c r="C288" s="49">
        <v>1</v>
      </c>
      <c r="D288" s="49">
        <v>0.13020833333333334</v>
      </c>
      <c r="E288" s="49">
        <v>0</v>
      </c>
      <c r="F288" s="49">
        <v>2.34375E-2</v>
      </c>
      <c r="G288" s="49">
        <v>0</v>
      </c>
      <c r="H288" s="49">
        <v>2.34375E-2</v>
      </c>
      <c r="I288" s="49">
        <v>0</v>
      </c>
      <c r="J288" s="49">
        <v>2.34375E-2</v>
      </c>
      <c r="K288" s="49">
        <v>0.96354166666666663</v>
      </c>
      <c r="L288" s="49">
        <v>0.125</v>
      </c>
      <c r="M288" s="49">
        <v>0</v>
      </c>
      <c r="N288" s="49">
        <v>2.34375E-2</v>
      </c>
      <c r="O288" s="49">
        <v>1.3020833333333334E-2</v>
      </c>
      <c r="P288" s="49">
        <v>1.0416666666666666E-2</v>
      </c>
      <c r="Q288" s="49">
        <v>0</v>
      </c>
      <c r="R288" s="49">
        <v>2.34375E-2</v>
      </c>
      <c r="S288" s="49">
        <v>1.8229166666666668E-2</v>
      </c>
      <c r="T288" s="49">
        <v>1.5625E-2</v>
      </c>
      <c r="U288" s="49">
        <v>5.208333333333333E-3</v>
      </c>
    </row>
    <row r="289" spans="1:21">
      <c r="A289" t="s">
        <v>1008</v>
      </c>
      <c r="B289" t="s">
        <v>2033</v>
      </c>
      <c r="C289" s="49">
        <v>1</v>
      </c>
      <c r="D289" s="49">
        <v>2.0257826887661142E-2</v>
      </c>
      <c r="E289" s="49">
        <v>0.46183241252302026</v>
      </c>
      <c r="F289" s="49">
        <v>1.9843462246777164E-2</v>
      </c>
      <c r="G289" s="49">
        <v>4.2495395948434621E-2</v>
      </c>
      <c r="H289" s="49">
        <v>5.6629834254143642E-3</v>
      </c>
      <c r="I289" s="49">
        <v>6.3720073664825044E-2</v>
      </c>
      <c r="J289" s="49">
        <v>8.0570902394106816E-3</v>
      </c>
      <c r="K289" s="49">
        <v>0.30441988950276244</v>
      </c>
      <c r="L289" s="49">
        <v>1.6022099447513812E-2</v>
      </c>
      <c r="M289" s="49">
        <v>3.2228360957642726E-3</v>
      </c>
      <c r="N289" s="49">
        <v>1.4732965009208103E-3</v>
      </c>
      <c r="O289" s="49">
        <v>0.11754143646408839</v>
      </c>
      <c r="P289" s="49">
        <v>1.3305709023941069E-2</v>
      </c>
      <c r="Q289" s="49">
        <v>0</v>
      </c>
      <c r="R289" s="49">
        <v>1.0128913443830571E-3</v>
      </c>
      <c r="S289" s="49">
        <v>4.9723756906077344E-3</v>
      </c>
      <c r="T289" s="49">
        <v>2.2559852670349908E-3</v>
      </c>
      <c r="U289" s="49">
        <v>1.7955801104972376E-3</v>
      </c>
    </row>
    <row r="290" spans="1:21">
      <c r="A290" t="s">
        <v>1042</v>
      </c>
      <c r="B290" t="s">
        <v>2025</v>
      </c>
      <c r="C290" s="49">
        <v>1</v>
      </c>
      <c r="D290" s="49">
        <v>3.4419458467186782E-2</v>
      </c>
      <c r="E290" s="49">
        <v>5.9660394676457089E-3</v>
      </c>
      <c r="F290" s="49">
        <v>4.8187241854061496E-3</v>
      </c>
      <c r="G290" s="49">
        <v>1.1473152822395595E-3</v>
      </c>
      <c r="H290" s="49">
        <v>1.8357044515832951E-3</v>
      </c>
      <c r="I290" s="49">
        <v>1.7668655346489214E-2</v>
      </c>
      <c r="J290" s="49">
        <v>1.0325837540156035E-2</v>
      </c>
      <c r="K290" s="49">
        <v>0.85589720055071139</v>
      </c>
      <c r="L290" s="49">
        <v>3.1895364846259752E-2</v>
      </c>
      <c r="M290" s="49">
        <v>2.2946305644791189E-4</v>
      </c>
      <c r="N290" s="49">
        <v>4.5892611289582378E-4</v>
      </c>
      <c r="O290" s="49">
        <v>0.11656723267553924</v>
      </c>
      <c r="P290" s="49">
        <v>1.6291877007801745E-2</v>
      </c>
      <c r="Q290" s="49">
        <v>0</v>
      </c>
      <c r="R290" s="49">
        <v>3.4419458467186783E-3</v>
      </c>
      <c r="S290" s="49">
        <v>2.5240936209270305E-3</v>
      </c>
      <c r="T290" s="49">
        <v>1.1473152822395595E-3</v>
      </c>
      <c r="U290" s="49">
        <v>0</v>
      </c>
    </row>
    <row r="291" spans="1:21">
      <c r="A291" t="s">
        <v>196</v>
      </c>
      <c r="B291" t="s">
        <v>2025</v>
      </c>
      <c r="C291" s="49">
        <v>1</v>
      </c>
      <c r="D291" s="49">
        <v>3.4419458467186782E-2</v>
      </c>
      <c r="E291" s="49">
        <v>5.9660394676457089E-3</v>
      </c>
      <c r="F291" s="49">
        <v>4.8187241854061496E-3</v>
      </c>
      <c r="G291" s="49">
        <v>1.1473152822395595E-3</v>
      </c>
      <c r="H291" s="49">
        <v>1.8357044515832951E-3</v>
      </c>
      <c r="I291" s="49">
        <v>1.7668655346489214E-2</v>
      </c>
      <c r="J291" s="49">
        <v>1.0325837540156035E-2</v>
      </c>
      <c r="K291" s="49">
        <v>0.85589720055071139</v>
      </c>
      <c r="L291" s="49">
        <v>3.1895364846259752E-2</v>
      </c>
      <c r="M291" s="49">
        <v>2.2946305644791189E-4</v>
      </c>
      <c r="N291" s="49">
        <v>4.5892611289582378E-4</v>
      </c>
      <c r="O291" s="49">
        <v>0.11656723267553924</v>
      </c>
      <c r="P291" s="49">
        <v>1.6291877007801745E-2</v>
      </c>
      <c r="Q291" s="49">
        <v>0</v>
      </c>
      <c r="R291" s="49">
        <v>3.4419458467186783E-3</v>
      </c>
      <c r="S291" s="49">
        <v>2.5240936209270305E-3</v>
      </c>
      <c r="T291" s="49">
        <v>1.1473152822395595E-3</v>
      </c>
      <c r="U291" s="49">
        <v>0</v>
      </c>
    </row>
    <row r="292" spans="1:21">
      <c r="A292" t="s">
        <v>39</v>
      </c>
      <c r="B292" t="s">
        <v>2025</v>
      </c>
      <c r="C292" s="49">
        <v>1</v>
      </c>
      <c r="D292" s="49">
        <v>3.4419458467186782E-2</v>
      </c>
      <c r="E292" s="49">
        <v>5.9660394676457089E-3</v>
      </c>
      <c r="F292" s="49">
        <v>4.8187241854061496E-3</v>
      </c>
      <c r="G292" s="49">
        <v>1.1473152822395595E-3</v>
      </c>
      <c r="H292" s="49">
        <v>1.8357044515832951E-3</v>
      </c>
      <c r="I292" s="49">
        <v>1.7668655346489214E-2</v>
      </c>
      <c r="J292" s="49">
        <v>1.0325837540156035E-2</v>
      </c>
      <c r="K292" s="49">
        <v>0.85589720055071139</v>
      </c>
      <c r="L292" s="49">
        <v>3.1895364846259752E-2</v>
      </c>
      <c r="M292" s="49">
        <v>2.2946305644791189E-4</v>
      </c>
      <c r="N292" s="49">
        <v>4.5892611289582378E-4</v>
      </c>
      <c r="O292" s="49">
        <v>0.11656723267553924</v>
      </c>
      <c r="P292" s="49">
        <v>1.6291877007801745E-2</v>
      </c>
      <c r="Q292" s="49">
        <v>0</v>
      </c>
      <c r="R292" s="49">
        <v>3.4419458467186783E-3</v>
      </c>
      <c r="S292" s="49">
        <v>2.5240936209270305E-3</v>
      </c>
      <c r="T292" s="49">
        <v>1.1473152822395595E-3</v>
      </c>
      <c r="U292" s="49">
        <v>0</v>
      </c>
    </row>
    <row r="293" spans="1:21">
      <c r="A293" t="s">
        <v>1176</v>
      </c>
      <c r="B293" t="s">
        <v>2039</v>
      </c>
      <c r="C293" s="49">
        <v>1</v>
      </c>
      <c r="D293" s="49">
        <v>4.2857142857142858E-2</v>
      </c>
      <c r="E293" s="49">
        <v>6.2500000000000003E-3</v>
      </c>
      <c r="F293" s="49">
        <v>4.0178571428571425E-3</v>
      </c>
      <c r="G293" s="49">
        <v>3.2589285714285716E-2</v>
      </c>
      <c r="H293" s="49">
        <v>1.1607142857142858E-2</v>
      </c>
      <c r="I293" s="49">
        <v>0.1299107142857143</v>
      </c>
      <c r="J293" s="49">
        <v>2.5000000000000001E-2</v>
      </c>
      <c r="K293" s="49">
        <v>0.48303571428571429</v>
      </c>
      <c r="L293" s="49">
        <v>4.1517857142857141E-2</v>
      </c>
      <c r="M293" s="49">
        <v>8.9285714285714283E-4</v>
      </c>
      <c r="N293" s="49">
        <v>1.3392857142857143E-3</v>
      </c>
      <c r="O293" s="49">
        <v>0.34241071428571429</v>
      </c>
      <c r="P293" s="49">
        <v>3.7946428571428568E-2</v>
      </c>
      <c r="Q293" s="49">
        <v>0</v>
      </c>
      <c r="R293" s="49">
        <v>5.8035714285714288E-3</v>
      </c>
      <c r="S293" s="49">
        <v>4.0178571428571425E-3</v>
      </c>
      <c r="T293" s="49">
        <v>2.6785714285714286E-3</v>
      </c>
      <c r="U293" s="49">
        <v>8.9285714285714283E-4</v>
      </c>
    </row>
    <row r="294" spans="1:21">
      <c r="A294" t="s">
        <v>1358</v>
      </c>
      <c r="B294" t="s">
        <v>2044</v>
      </c>
      <c r="C294" s="49">
        <v>1</v>
      </c>
      <c r="D294" s="49">
        <v>4.81892523364486E-2</v>
      </c>
      <c r="E294" s="49">
        <v>4.6436915887850469E-2</v>
      </c>
      <c r="F294" s="49">
        <v>1.8107476635514017E-2</v>
      </c>
      <c r="G294" s="49">
        <v>2.9205607476635514E-2</v>
      </c>
      <c r="H294" s="49">
        <v>2.0443925233644859E-2</v>
      </c>
      <c r="I294" s="49">
        <v>2.27803738317757E-2</v>
      </c>
      <c r="J294" s="49">
        <v>1.4310747663551402E-2</v>
      </c>
      <c r="K294" s="49">
        <v>0.67873831775700932</v>
      </c>
      <c r="L294" s="49">
        <v>5.1401869158878503E-2</v>
      </c>
      <c r="M294" s="49">
        <v>3.7967289719626168E-3</v>
      </c>
      <c r="N294" s="49">
        <v>3.5046728971962616E-3</v>
      </c>
      <c r="O294" s="49">
        <v>0.21290887850467291</v>
      </c>
      <c r="P294" s="49">
        <v>3.6214953271028034E-2</v>
      </c>
      <c r="Q294" s="49">
        <v>0</v>
      </c>
      <c r="R294" s="49">
        <v>3.7967289719626168E-3</v>
      </c>
      <c r="S294" s="49">
        <v>3.7967289719626168E-3</v>
      </c>
      <c r="T294" s="49">
        <v>4.0887850467289715E-3</v>
      </c>
      <c r="U294" s="49">
        <v>2.3364485981308409E-3</v>
      </c>
    </row>
    <row r="295" spans="1:21">
      <c r="A295" t="s">
        <v>201</v>
      </c>
      <c r="B295" t="s">
        <v>2026</v>
      </c>
      <c r="C295" s="49">
        <v>1</v>
      </c>
      <c r="D295" s="49">
        <v>0.39770114942528734</v>
      </c>
      <c r="E295" s="49">
        <v>1.3793103448275862E-2</v>
      </c>
      <c r="F295" s="49">
        <v>2.2988505747126436E-2</v>
      </c>
      <c r="G295" s="49">
        <v>2.2988505747126436E-3</v>
      </c>
      <c r="H295" s="49">
        <v>1.1494252873563218E-2</v>
      </c>
      <c r="I295" s="49">
        <v>2.7586206896551724E-2</v>
      </c>
      <c r="J295" s="49">
        <v>2.528735632183908E-2</v>
      </c>
      <c r="K295" s="49">
        <v>0.92183908045977014</v>
      </c>
      <c r="L295" s="49">
        <v>0.35632183908045978</v>
      </c>
      <c r="M295" s="49">
        <v>0</v>
      </c>
      <c r="N295" s="49">
        <v>2.0689655172413793E-2</v>
      </c>
      <c r="O295" s="49">
        <v>2.9885057471264367E-2</v>
      </c>
      <c r="P295" s="49">
        <v>2.528735632183908E-2</v>
      </c>
      <c r="Q295" s="49">
        <v>0</v>
      </c>
      <c r="R295" s="49">
        <v>2.0689655172413793E-2</v>
      </c>
      <c r="S295" s="49">
        <v>4.5977011494252873E-3</v>
      </c>
      <c r="T295" s="49">
        <v>6.8965517241379309E-3</v>
      </c>
      <c r="U295" s="49">
        <v>0</v>
      </c>
    </row>
    <row r="296" spans="1:21">
      <c r="A296" t="s">
        <v>1043</v>
      </c>
      <c r="B296" t="s">
        <v>2028</v>
      </c>
      <c r="C296" s="49">
        <v>1</v>
      </c>
      <c r="D296" s="49">
        <v>3.9883268482490269E-2</v>
      </c>
      <c r="E296" s="49">
        <v>4.8638132295719845E-3</v>
      </c>
      <c r="F296" s="49">
        <v>5.8365758754863814E-3</v>
      </c>
      <c r="G296" s="49">
        <v>9.727626459143969E-4</v>
      </c>
      <c r="H296" s="49">
        <v>1.4591439688715954E-3</v>
      </c>
      <c r="I296" s="49">
        <v>8.7548638132295721E-3</v>
      </c>
      <c r="J296" s="49">
        <v>5.8365758754863814E-3</v>
      </c>
      <c r="K296" s="49">
        <v>0.51021400778210113</v>
      </c>
      <c r="L296" s="49">
        <v>2.6750972762645913E-2</v>
      </c>
      <c r="M296" s="49">
        <v>7.7821011673151752E-3</v>
      </c>
      <c r="N296" s="49">
        <v>5.350194552529183E-3</v>
      </c>
      <c r="O296" s="49">
        <v>0.46303501945525294</v>
      </c>
      <c r="P296" s="49">
        <v>3.1614785992217898E-2</v>
      </c>
      <c r="Q296" s="49">
        <v>9.727626459143969E-4</v>
      </c>
      <c r="R296" s="49">
        <v>1.4591439688715954E-3</v>
      </c>
      <c r="S296" s="49">
        <v>1.4591439688715954E-3</v>
      </c>
      <c r="T296" s="49">
        <v>1.9455252918287938E-3</v>
      </c>
      <c r="U296" s="49">
        <v>1.9455252918287938E-3</v>
      </c>
    </row>
    <row r="297" spans="1:21">
      <c r="A297" t="s">
        <v>1180</v>
      </c>
      <c r="B297" t="s">
        <v>2028</v>
      </c>
      <c r="C297" s="49">
        <v>1</v>
      </c>
      <c r="D297" s="49">
        <v>3.9883268482490269E-2</v>
      </c>
      <c r="E297" s="49">
        <v>4.8638132295719845E-3</v>
      </c>
      <c r="F297" s="49">
        <v>5.8365758754863814E-3</v>
      </c>
      <c r="G297" s="49">
        <v>9.727626459143969E-4</v>
      </c>
      <c r="H297" s="49">
        <v>1.4591439688715954E-3</v>
      </c>
      <c r="I297" s="49">
        <v>8.7548638132295721E-3</v>
      </c>
      <c r="J297" s="49">
        <v>5.8365758754863814E-3</v>
      </c>
      <c r="K297" s="49">
        <v>0.51021400778210113</v>
      </c>
      <c r="L297" s="49">
        <v>2.6750972762645913E-2</v>
      </c>
      <c r="M297" s="49">
        <v>7.7821011673151752E-3</v>
      </c>
      <c r="N297" s="49">
        <v>5.350194552529183E-3</v>
      </c>
      <c r="O297" s="49">
        <v>0.46303501945525294</v>
      </c>
      <c r="P297" s="49">
        <v>3.1614785992217898E-2</v>
      </c>
      <c r="Q297" s="49">
        <v>9.727626459143969E-4</v>
      </c>
      <c r="R297" s="49">
        <v>1.4591439688715954E-3</v>
      </c>
      <c r="S297" s="49">
        <v>1.4591439688715954E-3</v>
      </c>
      <c r="T297" s="49">
        <v>1.9455252918287938E-3</v>
      </c>
      <c r="U297" s="49">
        <v>1.9455252918287938E-3</v>
      </c>
    </row>
    <row r="298" spans="1:21">
      <c r="A298" t="s">
        <v>90</v>
      </c>
      <c r="B298" t="s">
        <v>2030</v>
      </c>
      <c r="C298" s="49">
        <v>1</v>
      </c>
      <c r="D298" s="49">
        <v>4.5556385362210607E-2</v>
      </c>
      <c r="E298" s="49">
        <v>1.6430171769977596E-2</v>
      </c>
      <c r="F298" s="49">
        <v>1.2696041822255415E-2</v>
      </c>
      <c r="G298" s="49">
        <v>0</v>
      </c>
      <c r="H298" s="49">
        <v>9.7087378640776691E-3</v>
      </c>
      <c r="I298" s="49">
        <v>1.2696041822255415E-2</v>
      </c>
      <c r="J298" s="49">
        <v>1.0455563853622106E-2</v>
      </c>
      <c r="K298" s="49">
        <v>0.85287528005974611</v>
      </c>
      <c r="L298" s="49">
        <v>4.8543689320388349E-2</v>
      </c>
      <c r="M298" s="49">
        <v>0</v>
      </c>
      <c r="N298" s="49">
        <v>9.7087378640776691E-3</v>
      </c>
      <c r="O298" s="49">
        <v>0.11277072442120986</v>
      </c>
      <c r="P298" s="49">
        <v>2.3898431665421958E-2</v>
      </c>
      <c r="Q298" s="49">
        <v>2.2404779686333084E-3</v>
      </c>
      <c r="R298" s="49">
        <v>4.4809559372666168E-3</v>
      </c>
      <c r="S298" s="49">
        <v>2.9873039581777448E-3</v>
      </c>
      <c r="T298" s="49">
        <v>5.2277819268110532E-3</v>
      </c>
      <c r="U298" s="49">
        <v>0</v>
      </c>
    </row>
    <row r="299" spans="1:21">
      <c r="A299" t="s">
        <v>1044</v>
      </c>
      <c r="B299" t="s">
        <v>2045</v>
      </c>
      <c r="C299" s="49">
        <v>1</v>
      </c>
      <c r="D299" s="49">
        <v>0.11614173228346457</v>
      </c>
      <c r="E299" s="49">
        <v>0</v>
      </c>
      <c r="F299" s="49">
        <v>1.7716535433070866E-2</v>
      </c>
      <c r="G299" s="49">
        <v>0</v>
      </c>
      <c r="H299" s="49">
        <v>1.7716535433070866E-2</v>
      </c>
      <c r="I299" s="49">
        <v>1.1811023622047244E-2</v>
      </c>
      <c r="J299" s="49">
        <v>1.1811023622047244E-2</v>
      </c>
      <c r="K299" s="49">
        <v>0.86614173228346458</v>
      </c>
      <c r="L299" s="49">
        <v>0.11220472440944881</v>
      </c>
      <c r="M299" s="49">
        <v>0</v>
      </c>
      <c r="N299" s="49">
        <v>1.7716535433070866E-2</v>
      </c>
      <c r="O299" s="49">
        <v>0.1141732283464567</v>
      </c>
      <c r="P299" s="49">
        <v>3.1496062992125984E-2</v>
      </c>
      <c r="Q299" s="49">
        <v>0</v>
      </c>
      <c r="R299" s="49">
        <v>1.7716535433070866E-2</v>
      </c>
      <c r="S299" s="49">
        <v>7.874015748031496E-3</v>
      </c>
      <c r="T299" s="49">
        <v>7.874015748031496E-3</v>
      </c>
      <c r="U299" s="49">
        <v>0</v>
      </c>
    </row>
    <row r="300" spans="1:21">
      <c r="A300" t="s">
        <v>250</v>
      </c>
      <c r="B300" t="s">
        <v>2025</v>
      </c>
      <c r="C300" s="49">
        <v>1</v>
      </c>
      <c r="D300" s="49">
        <v>3.4419458467186782E-2</v>
      </c>
      <c r="E300" s="49">
        <v>5.9660394676457089E-3</v>
      </c>
      <c r="F300" s="49">
        <v>4.8187241854061496E-3</v>
      </c>
      <c r="G300" s="49">
        <v>1.1473152822395595E-3</v>
      </c>
      <c r="H300" s="49">
        <v>1.8357044515832951E-3</v>
      </c>
      <c r="I300" s="49">
        <v>1.7668655346489214E-2</v>
      </c>
      <c r="J300" s="49">
        <v>1.0325837540156035E-2</v>
      </c>
      <c r="K300" s="49">
        <v>0.85589720055071139</v>
      </c>
      <c r="L300" s="49">
        <v>3.1895364846259752E-2</v>
      </c>
      <c r="M300" s="49">
        <v>2.2946305644791189E-4</v>
      </c>
      <c r="N300" s="49">
        <v>4.5892611289582378E-4</v>
      </c>
      <c r="O300" s="49">
        <v>0.11656723267553924</v>
      </c>
      <c r="P300" s="49">
        <v>1.6291877007801745E-2</v>
      </c>
      <c r="Q300" s="49">
        <v>0</v>
      </c>
      <c r="R300" s="49">
        <v>3.4419458467186783E-3</v>
      </c>
      <c r="S300" s="49">
        <v>2.5240936209270305E-3</v>
      </c>
      <c r="T300" s="49">
        <v>1.1473152822395595E-3</v>
      </c>
      <c r="U300" s="49">
        <v>0</v>
      </c>
    </row>
    <row r="301" spans="1:21">
      <c r="A301" t="s">
        <v>91</v>
      </c>
      <c r="B301" t="s">
        <v>2025</v>
      </c>
      <c r="C301" s="49">
        <v>1</v>
      </c>
      <c r="D301" s="49">
        <v>3.4419458467186782E-2</v>
      </c>
      <c r="E301" s="49">
        <v>5.9660394676457089E-3</v>
      </c>
      <c r="F301" s="49">
        <v>4.8187241854061496E-3</v>
      </c>
      <c r="G301" s="49">
        <v>1.1473152822395595E-3</v>
      </c>
      <c r="H301" s="49">
        <v>1.8357044515832951E-3</v>
      </c>
      <c r="I301" s="49">
        <v>1.7668655346489214E-2</v>
      </c>
      <c r="J301" s="49">
        <v>1.0325837540156035E-2</v>
      </c>
      <c r="K301" s="49">
        <v>0.85589720055071139</v>
      </c>
      <c r="L301" s="49">
        <v>3.1895364846259752E-2</v>
      </c>
      <c r="M301" s="49">
        <v>2.2946305644791189E-4</v>
      </c>
      <c r="N301" s="49">
        <v>4.5892611289582378E-4</v>
      </c>
      <c r="O301" s="49">
        <v>0.11656723267553924</v>
      </c>
      <c r="P301" s="49">
        <v>1.6291877007801745E-2</v>
      </c>
      <c r="Q301" s="49">
        <v>0</v>
      </c>
      <c r="R301" s="49">
        <v>3.4419458467186783E-3</v>
      </c>
      <c r="S301" s="49">
        <v>2.5240936209270305E-3</v>
      </c>
      <c r="T301" s="49">
        <v>1.1473152822395595E-3</v>
      </c>
      <c r="U301" s="49">
        <v>0</v>
      </c>
    </row>
    <row r="302" spans="1:21">
      <c r="A302" t="s">
        <v>1045</v>
      </c>
      <c r="B302" t="s">
        <v>2033</v>
      </c>
      <c r="C302" s="49">
        <v>1</v>
      </c>
      <c r="D302" s="49">
        <v>2.0257826887661142E-2</v>
      </c>
      <c r="E302" s="49">
        <v>0.46183241252302026</v>
      </c>
      <c r="F302" s="49">
        <v>1.9843462246777164E-2</v>
      </c>
      <c r="G302" s="49">
        <v>4.2495395948434621E-2</v>
      </c>
      <c r="H302" s="49">
        <v>5.6629834254143642E-3</v>
      </c>
      <c r="I302" s="49">
        <v>6.3720073664825044E-2</v>
      </c>
      <c r="J302" s="49">
        <v>8.0570902394106816E-3</v>
      </c>
      <c r="K302" s="49">
        <v>0.30441988950276244</v>
      </c>
      <c r="L302" s="49">
        <v>1.6022099447513812E-2</v>
      </c>
      <c r="M302" s="49">
        <v>3.2228360957642726E-3</v>
      </c>
      <c r="N302" s="49">
        <v>1.4732965009208103E-3</v>
      </c>
      <c r="O302" s="49">
        <v>0.11754143646408839</v>
      </c>
      <c r="P302" s="49">
        <v>1.3305709023941069E-2</v>
      </c>
      <c r="Q302" s="49">
        <v>0</v>
      </c>
      <c r="R302" s="49">
        <v>1.0128913443830571E-3</v>
      </c>
      <c r="S302" s="49">
        <v>4.9723756906077344E-3</v>
      </c>
      <c r="T302" s="49">
        <v>2.2559852670349908E-3</v>
      </c>
      <c r="U302" s="49">
        <v>1.7955801104972376E-3</v>
      </c>
    </row>
    <row r="303" spans="1:21">
      <c r="A303" t="s">
        <v>1046</v>
      </c>
      <c r="B303" t="s">
        <v>2033</v>
      </c>
      <c r="C303" s="49">
        <v>1</v>
      </c>
      <c r="D303" s="49">
        <v>2.0257826887661142E-2</v>
      </c>
      <c r="E303" s="49">
        <v>0.46183241252302026</v>
      </c>
      <c r="F303" s="49">
        <v>1.9843462246777164E-2</v>
      </c>
      <c r="G303" s="49">
        <v>4.2495395948434621E-2</v>
      </c>
      <c r="H303" s="49">
        <v>5.6629834254143642E-3</v>
      </c>
      <c r="I303" s="49">
        <v>6.3720073664825044E-2</v>
      </c>
      <c r="J303" s="49">
        <v>8.0570902394106816E-3</v>
      </c>
      <c r="K303" s="49">
        <v>0.30441988950276244</v>
      </c>
      <c r="L303" s="49">
        <v>1.6022099447513812E-2</v>
      </c>
      <c r="M303" s="49">
        <v>3.2228360957642726E-3</v>
      </c>
      <c r="N303" s="49">
        <v>1.4732965009208103E-3</v>
      </c>
      <c r="O303" s="49">
        <v>0.11754143646408839</v>
      </c>
      <c r="P303" s="49">
        <v>1.3305709023941069E-2</v>
      </c>
      <c r="Q303" s="49">
        <v>0</v>
      </c>
      <c r="R303" s="49">
        <v>1.0128913443830571E-3</v>
      </c>
      <c r="S303" s="49">
        <v>4.9723756906077344E-3</v>
      </c>
      <c r="T303" s="49">
        <v>2.2559852670349908E-3</v>
      </c>
      <c r="U303" s="49">
        <v>1.7955801104972376E-3</v>
      </c>
    </row>
    <row r="304" spans="1:21">
      <c r="A304" t="s">
        <v>203</v>
      </c>
      <c r="B304" t="s">
        <v>2028</v>
      </c>
      <c r="C304" s="49">
        <v>1</v>
      </c>
      <c r="D304" s="49">
        <v>3.9883268482490269E-2</v>
      </c>
      <c r="E304" s="49">
        <v>4.8638132295719845E-3</v>
      </c>
      <c r="F304" s="49">
        <v>5.8365758754863814E-3</v>
      </c>
      <c r="G304" s="49">
        <v>9.727626459143969E-4</v>
      </c>
      <c r="H304" s="49">
        <v>1.4591439688715954E-3</v>
      </c>
      <c r="I304" s="49">
        <v>8.7548638132295721E-3</v>
      </c>
      <c r="J304" s="49">
        <v>5.8365758754863814E-3</v>
      </c>
      <c r="K304" s="49">
        <v>0.51021400778210113</v>
      </c>
      <c r="L304" s="49">
        <v>2.6750972762645913E-2</v>
      </c>
      <c r="M304" s="49">
        <v>7.7821011673151752E-3</v>
      </c>
      <c r="N304" s="49">
        <v>5.350194552529183E-3</v>
      </c>
      <c r="O304" s="49">
        <v>0.46303501945525294</v>
      </c>
      <c r="P304" s="49">
        <v>3.1614785992217898E-2</v>
      </c>
      <c r="Q304" s="49">
        <v>9.727626459143969E-4</v>
      </c>
      <c r="R304" s="49">
        <v>1.4591439688715954E-3</v>
      </c>
      <c r="S304" s="49">
        <v>1.4591439688715954E-3</v>
      </c>
      <c r="T304" s="49">
        <v>1.9455252918287938E-3</v>
      </c>
      <c r="U304" s="49">
        <v>1.9455252918287938E-3</v>
      </c>
    </row>
    <row r="305" spans="1:21">
      <c r="A305" t="s">
        <v>35</v>
      </c>
      <c r="B305" t="s">
        <v>2023</v>
      </c>
      <c r="C305" s="49">
        <v>1</v>
      </c>
      <c r="D305" s="49">
        <v>9.6805421103581799E-2</v>
      </c>
      <c r="E305" s="49">
        <v>1.9361084220716359E-2</v>
      </c>
      <c r="F305" s="49">
        <v>1.452081316553727E-2</v>
      </c>
      <c r="G305" s="49">
        <v>1.3552758954501452E-2</v>
      </c>
      <c r="H305" s="49">
        <v>9.6805421103581795E-3</v>
      </c>
      <c r="I305" s="49">
        <v>3.8722168441432718E-2</v>
      </c>
      <c r="J305" s="49">
        <v>1.8393030009680542E-2</v>
      </c>
      <c r="K305" s="49">
        <v>0.87415295256534364</v>
      </c>
      <c r="L305" s="49">
        <v>8.8092933204259441E-2</v>
      </c>
      <c r="M305" s="49">
        <v>0</v>
      </c>
      <c r="N305" s="49">
        <v>1.2584704743465635E-2</v>
      </c>
      <c r="O305" s="49">
        <v>1.452081316553727E-2</v>
      </c>
      <c r="P305" s="49">
        <v>9.6805421103581795E-3</v>
      </c>
      <c r="Q305" s="49">
        <v>0</v>
      </c>
      <c r="R305" s="49">
        <v>1.2584704743465635E-2</v>
      </c>
      <c r="S305" s="49">
        <v>3.7754114230396901E-2</v>
      </c>
      <c r="T305" s="49">
        <v>1.7424975798644726E-2</v>
      </c>
      <c r="U305" s="49">
        <v>1.9361084220716361E-3</v>
      </c>
    </row>
    <row r="306" spans="1:21">
      <c r="A306" t="s">
        <v>1047</v>
      </c>
      <c r="B306" t="s">
        <v>2033</v>
      </c>
      <c r="C306" s="49">
        <v>1</v>
      </c>
      <c r="D306" s="49">
        <v>2.0257826887661142E-2</v>
      </c>
      <c r="E306" s="49">
        <v>0.46183241252302026</v>
      </c>
      <c r="F306" s="49">
        <v>1.9843462246777164E-2</v>
      </c>
      <c r="G306" s="49">
        <v>4.2495395948434621E-2</v>
      </c>
      <c r="H306" s="49">
        <v>5.6629834254143642E-3</v>
      </c>
      <c r="I306" s="49">
        <v>6.3720073664825044E-2</v>
      </c>
      <c r="J306" s="49">
        <v>8.0570902394106816E-3</v>
      </c>
      <c r="K306" s="49">
        <v>0.30441988950276244</v>
      </c>
      <c r="L306" s="49">
        <v>1.6022099447513812E-2</v>
      </c>
      <c r="M306" s="49">
        <v>3.2228360957642726E-3</v>
      </c>
      <c r="N306" s="49">
        <v>1.4732965009208103E-3</v>
      </c>
      <c r="O306" s="49">
        <v>0.11754143646408839</v>
      </c>
      <c r="P306" s="49">
        <v>1.3305709023941069E-2</v>
      </c>
      <c r="Q306" s="49">
        <v>0</v>
      </c>
      <c r="R306" s="49">
        <v>1.0128913443830571E-3</v>
      </c>
      <c r="S306" s="49">
        <v>4.9723756906077344E-3</v>
      </c>
      <c r="T306" s="49">
        <v>2.2559852670349908E-3</v>
      </c>
      <c r="U306" s="49">
        <v>1.7955801104972376E-3</v>
      </c>
    </row>
    <row r="307" spans="1:21">
      <c r="A307" t="s">
        <v>31</v>
      </c>
      <c r="B307" t="s">
        <v>2032</v>
      </c>
      <c r="C307" s="49">
        <v>1</v>
      </c>
      <c r="D307" s="49">
        <v>3.8293216630196934E-2</v>
      </c>
      <c r="E307" s="49">
        <v>1.8599562363238512E-2</v>
      </c>
      <c r="F307" s="49">
        <v>1.0940919037199124E-2</v>
      </c>
      <c r="G307" s="49">
        <v>1.6411378555798686E-3</v>
      </c>
      <c r="H307" s="49">
        <v>3.2822757111597373E-3</v>
      </c>
      <c r="I307" s="49">
        <v>2.5164113785557989E-2</v>
      </c>
      <c r="J307" s="49">
        <v>9.8468271334792128E-3</v>
      </c>
      <c r="K307" s="49">
        <v>0.85175054704595188</v>
      </c>
      <c r="L307" s="49">
        <v>3.9934354485776806E-2</v>
      </c>
      <c r="M307" s="49">
        <v>0</v>
      </c>
      <c r="N307" s="49">
        <v>7.1115973741794312E-3</v>
      </c>
      <c r="O307" s="49">
        <v>5.9628008752735231E-2</v>
      </c>
      <c r="P307" s="49">
        <v>1.2035010940919038E-2</v>
      </c>
      <c r="Q307" s="49">
        <v>1.0940919037199124E-3</v>
      </c>
      <c r="R307" s="49">
        <v>1.6411378555798686E-3</v>
      </c>
      <c r="S307" s="49">
        <v>4.2122538293216633E-2</v>
      </c>
      <c r="T307" s="49">
        <v>1.6958424507658644E-2</v>
      </c>
      <c r="U307" s="49">
        <v>0</v>
      </c>
    </row>
    <row r="308" spans="1:21">
      <c r="A308" t="s">
        <v>21</v>
      </c>
      <c r="B308" t="s">
        <v>2041</v>
      </c>
      <c r="C308" s="49">
        <v>1</v>
      </c>
      <c r="D308" s="49">
        <v>3.68251698248123E-2</v>
      </c>
      <c r="E308" s="49">
        <v>1.2870933142652842E-2</v>
      </c>
      <c r="F308" s="49">
        <v>7.5080443332141578E-3</v>
      </c>
      <c r="G308" s="49">
        <v>3.5752592062924561E-3</v>
      </c>
      <c r="H308" s="49">
        <v>3.5752592062924561E-3</v>
      </c>
      <c r="I308" s="49">
        <v>2.7887021809081158E-2</v>
      </c>
      <c r="J308" s="49">
        <v>1.3228459063282088E-2</v>
      </c>
      <c r="K308" s="49">
        <v>0.91383625312835182</v>
      </c>
      <c r="L308" s="49">
        <v>3.5037540221666073E-2</v>
      </c>
      <c r="M308" s="49">
        <v>0</v>
      </c>
      <c r="N308" s="49">
        <v>4.6478369681801929E-3</v>
      </c>
      <c r="O308" s="49">
        <v>4.0757954951734003E-2</v>
      </c>
      <c r="P308" s="49">
        <v>1.0725777618877368E-2</v>
      </c>
      <c r="Q308" s="49">
        <v>0</v>
      </c>
      <c r="R308" s="49">
        <v>4.6478369681801929E-3</v>
      </c>
      <c r="S308" s="49">
        <v>1.0725777618877368E-3</v>
      </c>
      <c r="T308" s="49">
        <v>1.4301036825169824E-3</v>
      </c>
      <c r="U308" s="49">
        <v>0</v>
      </c>
    </row>
    <row r="309" spans="1:21">
      <c r="A309" t="s">
        <v>1048</v>
      </c>
      <c r="B309" t="s">
        <v>2045</v>
      </c>
      <c r="C309" s="49">
        <v>1</v>
      </c>
      <c r="D309" s="49">
        <v>0.11614173228346457</v>
      </c>
      <c r="E309" s="49">
        <v>0</v>
      </c>
      <c r="F309" s="49">
        <v>1.7716535433070866E-2</v>
      </c>
      <c r="G309" s="49">
        <v>0</v>
      </c>
      <c r="H309" s="49">
        <v>1.7716535433070866E-2</v>
      </c>
      <c r="I309" s="49">
        <v>1.1811023622047244E-2</v>
      </c>
      <c r="J309" s="49">
        <v>1.1811023622047244E-2</v>
      </c>
      <c r="K309" s="49">
        <v>0.86614173228346458</v>
      </c>
      <c r="L309" s="49">
        <v>0.11220472440944881</v>
      </c>
      <c r="M309" s="49">
        <v>0</v>
      </c>
      <c r="N309" s="49">
        <v>1.7716535433070866E-2</v>
      </c>
      <c r="O309" s="49">
        <v>0.1141732283464567</v>
      </c>
      <c r="P309" s="49">
        <v>3.1496062992125984E-2</v>
      </c>
      <c r="Q309" s="49">
        <v>0</v>
      </c>
      <c r="R309" s="49">
        <v>1.7716535433070866E-2</v>
      </c>
      <c r="S309" s="49">
        <v>7.874015748031496E-3</v>
      </c>
      <c r="T309" s="49">
        <v>7.874015748031496E-3</v>
      </c>
      <c r="U309" s="49">
        <v>0</v>
      </c>
    </row>
    <row r="310" spans="1:21">
      <c r="A310" t="s">
        <v>92</v>
      </c>
      <c r="B310" t="s">
        <v>2032</v>
      </c>
      <c r="C310" s="49">
        <v>1</v>
      </c>
      <c r="D310" s="49">
        <v>3.8293216630196934E-2</v>
      </c>
      <c r="E310" s="49">
        <v>1.8599562363238512E-2</v>
      </c>
      <c r="F310" s="49">
        <v>1.0940919037199124E-2</v>
      </c>
      <c r="G310" s="49">
        <v>1.6411378555798686E-3</v>
      </c>
      <c r="H310" s="49">
        <v>3.2822757111597373E-3</v>
      </c>
      <c r="I310" s="49">
        <v>2.5164113785557989E-2</v>
      </c>
      <c r="J310" s="49">
        <v>9.8468271334792128E-3</v>
      </c>
      <c r="K310" s="49">
        <v>0.85175054704595188</v>
      </c>
      <c r="L310" s="49">
        <v>3.9934354485776806E-2</v>
      </c>
      <c r="M310" s="49">
        <v>0</v>
      </c>
      <c r="N310" s="49">
        <v>7.1115973741794312E-3</v>
      </c>
      <c r="O310" s="49">
        <v>5.9628008752735231E-2</v>
      </c>
      <c r="P310" s="49">
        <v>1.2035010940919038E-2</v>
      </c>
      <c r="Q310" s="49">
        <v>1.0940919037199124E-3</v>
      </c>
      <c r="R310" s="49">
        <v>1.6411378555798686E-3</v>
      </c>
      <c r="S310" s="49">
        <v>4.2122538293216633E-2</v>
      </c>
      <c r="T310" s="49">
        <v>1.6958424507658644E-2</v>
      </c>
      <c r="U310" s="49">
        <v>0</v>
      </c>
    </row>
    <row r="311" spans="1:21">
      <c r="A311" t="s">
        <v>1956</v>
      </c>
      <c r="B311" t="s">
        <v>2031</v>
      </c>
      <c r="C311" s="49">
        <v>1</v>
      </c>
      <c r="D311" s="49">
        <v>1.3398451306108023E-2</v>
      </c>
      <c r="E311" s="49">
        <v>0.69887221668862254</v>
      </c>
      <c r="F311" s="49">
        <v>1.5679722391800276E-2</v>
      </c>
      <c r="G311" s="49">
        <v>1.2177489316582591E-2</v>
      </c>
      <c r="H311" s="49">
        <v>3.2451884458439095E-3</v>
      </c>
      <c r="I311" s="49">
        <v>5.7835041609099379E-2</v>
      </c>
      <c r="J311" s="49">
        <v>7.6149471451980848E-3</v>
      </c>
      <c r="K311" s="49">
        <v>0.1487645792500723</v>
      </c>
      <c r="L311" s="49">
        <v>9.1250843427690131E-3</v>
      </c>
      <c r="M311" s="49">
        <v>2.5061851363943066E-3</v>
      </c>
      <c r="N311" s="49">
        <v>1.2530925681971533E-3</v>
      </c>
      <c r="O311" s="49">
        <v>7.3836069787616879E-2</v>
      </c>
      <c r="P311" s="49">
        <v>6.8759438357484815E-3</v>
      </c>
      <c r="Q311" s="49">
        <v>0</v>
      </c>
      <c r="R311" s="49">
        <v>7.0687273077788134E-4</v>
      </c>
      <c r="S311" s="49">
        <v>4.2412363846672883E-3</v>
      </c>
      <c r="T311" s="49">
        <v>2.0242264563184783E-3</v>
      </c>
      <c r="U311" s="49">
        <v>1.7671818269447033E-3</v>
      </c>
    </row>
    <row r="312" spans="1:21">
      <c r="A312" t="s">
        <v>1049</v>
      </c>
      <c r="B312" t="s">
        <v>2037</v>
      </c>
      <c r="C312" s="49">
        <v>1</v>
      </c>
      <c r="D312" s="49">
        <v>1.7899291896144767E-2</v>
      </c>
      <c r="E312" s="49">
        <v>5.4316061593795664E-2</v>
      </c>
      <c r="F312" s="49">
        <v>8.14881420703608E-3</v>
      </c>
      <c r="G312" s="49">
        <v>1.3993480948634372E-2</v>
      </c>
      <c r="H312" s="49">
        <v>4.3835000561987187E-3</v>
      </c>
      <c r="I312" s="49">
        <v>6.9433516915814314E-2</v>
      </c>
      <c r="J312" s="49">
        <v>9.3851860177587947E-3</v>
      </c>
      <c r="K312" s="49">
        <v>0.75665954816230185</v>
      </c>
      <c r="L312" s="49">
        <v>2.2648083623693381E-2</v>
      </c>
      <c r="M312" s="49">
        <v>1.6943913678768123E-2</v>
      </c>
      <c r="N312" s="49">
        <v>5.0297853208946834E-3</v>
      </c>
      <c r="O312" s="49">
        <v>7.0107901539844891E-2</v>
      </c>
      <c r="P312" s="49">
        <v>1.0340564235135439E-2</v>
      </c>
      <c r="Q312" s="49">
        <v>3.6529167134989322E-4</v>
      </c>
      <c r="R312" s="49">
        <v>6.1818590536135776E-4</v>
      </c>
      <c r="S312" s="49">
        <v>1.4162077104642014E-2</v>
      </c>
      <c r="T312" s="49">
        <v>4.3835000561987187E-3</v>
      </c>
      <c r="U312" s="49">
        <v>4.0182083848488252E-3</v>
      </c>
    </row>
    <row r="313" spans="1:21">
      <c r="A313" t="s">
        <v>205</v>
      </c>
      <c r="B313" t="s">
        <v>205</v>
      </c>
      <c r="C313" s="49">
        <v>1</v>
      </c>
      <c r="D313" s="49">
        <v>8.3919597989949746E-2</v>
      </c>
      <c r="E313" s="49">
        <v>0.66582914572864327</v>
      </c>
      <c r="F313" s="49">
        <v>5.4773869346733665E-2</v>
      </c>
      <c r="G313" s="49">
        <v>5.025125628140704E-4</v>
      </c>
      <c r="H313" s="49">
        <v>1.507537688442211E-3</v>
      </c>
      <c r="I313" s="49">
        <v>2.7638190954773871E-2</v>
      </c>
      <c r="J313" s="49">
        <v>1.6582914572864323E-2</v>
      </c>
      <c r="K313" s="49">
        <v>0.30351758793969852</v>
      </c>
      <c r="L313" s="49">
        <v>4.6733668341708542E-2</v>
      </c>
      <c r="M313" s="49">
        <v>0</v>
      </c>
      <c r="N313" s="49">
        <v>6.5326633165829146E-3</v>
      </c>
      <c r="O313" s="49">
        <v>0</v>
      </c>
      <c r="P313" s="49">
        <v>6.5326633165829146E-3</v>
      </c>
      <c r="Q313" s="49">
        <v>0</v>
      </c>
      <c r="R313" s="49">
        <v>6.5326633165829146E-3</v>
      </c>
      <c r="S313" s="49">
        <v>2.5125628140703518E-3</v>
      </c>
      <c r="T313" s="49">
        <v>2.0100502512562816E-3</v>
      </c>
      <c r="U313" s="49">
        <v>0</v>
      </c>
    </row>
    <row r="314" spans="1:21">
      <c r="A314" t="s">
        <v>1050</v>
      </c>
      <c r="B314" t="s">
        <v>2029</v>
      </c>
      <c r="C314" s="49">
        <v>1</v>
      </c>
      <c r="D314" s="49">
        <v>6.5778159931212388E-2</v>
      </c>
      <c r="E314" s="49">
        <v>3.5683576956147892E-2</v>
      </c>
      <c r="F314" s="49">
        <v>2.2785898538263114E-2</v>
      </c>
      <c r="G314" s="49">
        <v>4.7291487532244193E-3</v>
      </c>
      <c r="H314" s="49">
        <v>7.3086844368013756E-3</v>
      </c>
      <c r="I314" s="49">
        <v>4.9441100601891656E-2</v>
      </c>
      <c r="J314" s="49">
        <v>2.4505588993981083E-2</v>
      </c>
      <c r="K314" s="49">
        <v>0.53525365434221839</v>
      </c>
      <c r="L314" s="49">
        <v>5.6749785038693032E-2</v>
      </c>
      <c r="M314" s="49">
        <v>3.0094582975064487E-3</v>
      </c>
      <c r="N314" s="49">
        <v>4.2992261392949269E-3</v>
      </c>
      <c r="O314" s="49">
        <v>0.36328460877042135</v>
      </c>
      <c r="P314" s="49">
        <v>4.9011177987962166E-2</v>
      </c>
      <c r="Q314" s="49">
        <v>4.299226139294927E-4</v>
      </c>
      <c r="R314" s="49">
        <v>8.598452278589854E-4</v>
      </c>
      <c r="S314" s="49">
        <v>2.1496130696474634E-3</v>
      </c>
      <c r="T314" s="49">
        <v>3.869303525365434E-3</v>
      </c>
      <c r="U314" s="49">
        <v>6.0189165950128975E-3</v>
      </c>
    </row>
    <row r="315" spans="1:21">
      <c r="A315" t="s">
        <v>1181</v>
      </c>
      <c r="B315" t="s">
        <v>2029</v>
      </c>
      <c r="C315" s="49">
        <v>1</v>
      </c>
      <c r="D315" s="49">
        <v>6.5778159931212388E-2</v>
      </c>
      <c r="E315" s="49">
        <v>3.5683576956147892E-2</v>
      </c>
      <c r="F315" s="49">
        <v>2.2785898538263114E-2</v>
      </c>
      <c r="G315" s="49">
        <v>4.7291487532244193E-3</v>
      </c>
      <c r="H315" s="49">
        <v>7.3086844368013756E-3</v>
      </c>
      <c r="I315" s="49">
        <v>4.9441100601891656E-2</v>
      </c>
      <c r="J315" s="49">
        <v>2.4505588993981083E-2</v>
      </c>
      <c r="K315" s="49">
        <v>0.53525365434221839</v>
      </c>
      <c r="L315" s="49">
        <v>5.6749785038693032E-2</v>
      </c>
      <c r="M315" s="49">
        <v>3.0094582975064487E-3</v>
      </c>
      <c r="N315" s="49">
        <v>4.2992261392949269E-3</v>
      </c>
      <c r="O315" s="49">
        <v>0.36328460877042135</v>
      </c>
      <c r="P315" s="49">
        <v>4.9011177987962166E-2</v>
      </c>
      <c r="Q315" s="49">
        <v>4.299226139294927E-4</v>
      </c>
      <c r="R315" s="49">
        <v>8.598452278589854E-4</v>
      </c>
      <c r="S315" s="49">
        <v>2.1496130696474634E-3</v>
      </c>
      <c r="T315" s="49">
        <v>3.869303525365434E-3</v>
      </c>
      <c r="U315" s="49">
        <v>6.0189165950128975E-3</v>
      </c>
    </row>
    <row r="316" spans="1:21">
      <c r="A316" t="s">
        <v>1182</v>
      </c>
      <c r="B316" t="s">
        <v>2029</v>
      </c>
      <c r="C316" s="49">
        <v>1</v>
      </c>
      <c r="D316" s="49">
        <v>6.5778159931212388E-2</v>
      </c>
      <c r="E316" s="49">
        <v>3.5683576956147892E-2</v>
      </c>
      <c r="F316" s="49">
        <v>2.2785898538263114E-2</v>
      </c>
      <c r="G316" s="49">
        <v>4.7291487532244193E-3</v>
      </c>
      <c r="H316" s="49">
        <v>7.3086844368013756E-3</v>
      </c>
      <c r="I316" s="49">
        <v>4.9441100601891656E-2</v>
      </c>
      <c r="J316" s="49">
        <v>2.4505588993981083E-2</v>
      </c>
      <c r="K316" s="49">
        <v>0.53525365434221839</v>
      </c>
      <c r="L316" s="49">
        <v>5.6749785038693032E-2</v>
      </c>
      <c r="M316" s="49">
        <v>3.0094582975064487E-3</v>
      </c>
      <c r="N316" s="49">
        <v>4.2992261392949269E-3</v>
      </c>
      <c r="O316" s="49">
        <v>0.36328460877042135</v>
      </c>
      <c r="P316" s="49">
        <v>4.9011177987962166E-2</v>
      </c>
      <c r="Q316" s="49">
        <v>4.299226139294927E-4</v>
      </c>
      <c r="R316" s="49">
        <v>8.598452278589854E-4</v>
      </c>
      <c r="S316" s="49">
        <v>2.1496130696474634E-3</v>
      </c>
      <c r="T316" s="49">
        <v>3.869303525365434E-3</v>
      </c>
      <c r="U316" s="49">
        <v>6.0189165950128975E-3</v>
      </c>
    </row>
    <row r="317" spans="1:21">
      <c r="A317" t="s">
        <v>2032</v>
      </c>
      <c r="B317" t="s">
        <v>2032</v>
      </c>
      <c r="C317" s="49">
        <v>1</v>
      </c>
      <c r="D317" s="49">
        <v>3.8293216630196934E-2</v>
      </c>
      <c r="E317" s="49">
        <v>1.8599562363238512E-2</v>
      </c>
      <c r="F317" s="49">
        <v>1.0940919037199124E-2</v>
      </c>
      <c r="G317" s="49">
        <v>1.6411378555798686E-3</v>
      </c>
      <c r="H317" s="49">
        <v>3.2822757111597373E-3</v>
      </c>
      <c r="I317" s="49">
        <v>2.5164113785557989E-2</v>
      </c>
      <c r="J317" s="49">
        <v>9.8468271334792128E-3</v>
      </c>
      <c r="K317" s="49">
        <v>0.85175054704595188</v>
      </c>
      <c r="L317" s="49">
        <v>3.9934354485776806E-2</v>
      </c>
      <c r="M317" s="49">
        <v>0</v>
      </c>
      <c r="N317" s="49">
        <v>7.1115973741794312E-3</v>
      </c>
      <c r="O317" s="49">
        <v>5.9628008752735231E-2</v>
      </c>
      <c r="P317" s="49">
        <v>1.2035010940919038E-2</v>
      </c>
      <c r="Q317" s="49">
        <v>1.0940919037199124E-3</v>
      </c>
      <c r="R317" s="49">
        <v>1.6411378555798686E-3</v>
      </c>
      <c r="S317" s="49">
        <v>4.2122538293216633E-2</v>
      </c>
      <c r="T317" s="49">
        <v>1.6958424507658644E-2</v>
      </c>
      <c r="U317" s="49">
        <v>0</v>
      </c>
    </row>
    <row r="318" spans="1:21">
      <c r="A318" t="s">
        <v>209</v>
      </c>
      <c r="B318" t="s">
        <v>205</v>
      </c>
      <c r="C318" s="49">
        <v>1</v>
      </c>
      <c r="D318" s="49">
        <v>8.3919597989949746E-2</v>
      </c>
      <c r="E318" s="49">
        <v>0.66582914572864327</v>
      </c>
      <c r="F318" s="49">
        <v>5.4773869346733665E-2</v>
      </c>
      <c r="G318" s="49">
        <v>5.025125628140704E-4</v>
      </c>
      <c r="H318" s="49">
        <v>1.507537688442211E-3</v>
      </c>
      <c r="I318" s="49">
        <v>2.7638190954773871E-2</v>
      </c>
      <c r="J318" s="49">
        <v>1.6582914572864323E-2</v>
      </c>
      <c r="K318" s="49">
        <v>0.30351758793969852</v>
      </c>
      <c r="L318" s="49">
        <v>4.6733668341708542E-2</v>
      </c>
      <c r="M318" s="49">
        <v>0</v>
      </c>
      <c r="N318" s="49">
        <v>6.5326633165829146E-3</v>
      </c>
      <c r="O318" s="49">
        <v>0</v>
      </c>
      <c r="P318" s="49">
        <v>6.5326633165829146E-3</v>
      </c>
      <c r="Q318" s="49">
        <v>0</v>
      </c>
      <c r="R318" s="49">
        <v>6.5326633165829146E-3</v>
      </c>
      <c r="S318" s="49">
        <v>2.5125628140703518E-3</v>
      </c>
      <c r="T318" s="49">
        <v>2.0100502512562816E-3</v>
      </c>
      <c r="U318" s="49">
        <v>0</v>
      </c>
    </row>
    <row r="319" spans="1:21">
      <c r="A319" t="s">
        <v>93</v>
      </c>
      <c r="B319" t="s">
        <v>2028</v>
      </c>
      <c r="C319" s="49">
        <v>1</v>
      </c>
      <c r="D319" s="49">
        <v>3.9883268482490269E-2</v>
      </c>
      <c r="E319" s="49">
        <v>4.8638132295719845E-3</v>
      </c>
      <c r="F319" s="49">
        <v>5.8365758754863814E-3</v>
      </c>
      <c r="G319" s="49">
        <v>9.727626459143969E-4</v>
      </c>
      <c r="H319" s="49">
        <v>1.4591439688715954E-3</v>
      </c>
      <c r="I319" s="49">
        <v>8.7548638132295721E-3</v>
      </c>
      <c r="J319" s="49">
        <v>5.8365758754863814E-3</v>
      </c>
      <c r="K319" s="49">
        <v>0.51021400778210113</v>
      </c>
      <c r="L319" s="49">
        <v>2.6750972762645913E-2</v>
      </c>
      <c r="M319" s="49">
        <v>7.7821011673151752E-3</v>
      </c>
      <c r="N319" s="49">
        <v>5.350194552529183E-3</v>
      </c>
      <c r="O319" s="49">
        <v>0.46303501945525294</v>
      </c>
      <c r="P319" s="49">
        <v>3.1614785992217898E-2</v>
      </c>
      <c r="Q319" s="49">
        <v>9.727626459143969E-4</v>
      </c>
      <c r="R319" s="49">
        <v>1.4591439688715954E-3</v>
      </c>
      <c r="S319" s="49">
        <v>1.4591439688715954E-3</v>
      </c>
      <c r="T319" s="49">
        <v>1.9455252918287938E-3</v>
      </c>
      <c r="U319" s="49">
        <v>1.9455252918287938E-3</v>
      </c>
    </row>
    <row r="320" spans="1:21">
      <c r="A320" t="s">
        <v>214</v>
      </c>
      <c r="B320" t="s">
        <v>2027</v>
      </c>
      <c r="C320" s="49">
        <v>1</v>
      </c>
      <c r="D320" s="49">
        <v>3.5550458715596332E-2</v>
      </c>
      <c r="E320" s="49">
        <v>1.7201834862385322E-2</v>
      </c>
      <c r="F320" s="49">
        <v>1.0321100917431193E-2</v>
      </c>
      <c r="G320" s="49">
        <v>4.0137614678899085E-3</v>
      </c>
      <c r="H320" s="49">
        <v>4.0137614678899085E-3</v>
      </c>
      <c r="I320" s="49">
        <v>1.6628440366972478E-2</v>
      </c>
      <c r="J320" s="49">
        <v>8.600917431192661E-3</v>
      </c>
      <c r="K320" s="49">
        <v>0.76720183486238536</v>
      </c>
      <c r="L320" s="49">
        <v>3.6123853211009173E-2</v>
      </c>
      <c r="M320" s="49">
        <v>1.1467889908256881E-3</v>
      </c>
      <c r="N320" s="49">
        <v>1.7201834862385322E-3</v>
      </c>
      <c r="O320" s="49">
        <v>0.19094036697247707</v>
      </c>
      <c r="P320" s="49">
        <v>2.0642201834862386E-2</v>
      </c>
      <c r="Q320" s="49">
        <v>0</v>
      </c>
      <c r="R320" s="49">
        <v>7.4541284403669729E-3</v>
      </c>
      <c r="S320" s="49">
        <v>2.8669724770642203E-3</v>
      </c>
      <c r="T320" s="49">
        <v>2.8669724770642203E-3</v>
      </c>
      <c r="U320" s="49">
        <v>0</v>
      </c>
    </row>
    <row r="321" spans="1:21">
      <c r="A321" t="s">
        <v>94</v>
      </c>
      <c r="B321" t="s">
        <v>2025</v>
      </c>
      <c r="C321" s="49">
        <v>1</v>
      </c>
      <c r="D321" s="49">
        <v>3.4419458467186782E-2</v>
      </c>
      <c r="E321" s="49">
        <v>5.9660394676457089E-3</v>
      </c>
      <c r="F321" s="49">
        <v>4.8187241854061496E-3</v>
      </c>
      <c r="G321" s="49">
        <v>1.1473152822395595E-3</v>
      </c>
      <c r="H321" s="49">
        <v>1.8357044515832951E-3</v>
      </c>
      <c r="I321" s="49">
        <v>1.7668655346489214E-2</v>
      </c>
      <c r="J321" s="49">
        <v>1.0325837540156035E-2</v>
      </c>
      <c r="K321" s="49">
        <v>0.85589720055071139</v>
      </c>
      <c r="L321" s="49">
        <v>3.1895364846259752E-2</v>
      </c>
      <c r="M321" s="49">
        <v>2.2946305644791189E-4</v>
      </c>
      <c r="N321" s="49">
        <v>4.5892611289582378E-4</v>
      </c>
      <c r="O321" s="49">
        <v>0.11656723267553924</v>
      </c>
      <c r="P321" s="49">
        <v>1.6291877007801745E-2</v>
      </c>
      <c r="Q321" s="49">
        <v>0</v>
      </c>
      <c r="R321" s="49">
        <v>3.4419458467186783E-3</v>
      </c>
      <c r="S321" s="49">
        <v>2.5240936209270305E-3</v>
      </c>
      <c r="T321" s="49">
        <v>1.1473152822395595E-3</v>
      </c>
      <c r="U321" s="49">
        <v>0</v>
      </c>
    </row>
    <row r="322" spans="1:21">
      <c r="A322" t="s">
        <v>1411</v>
      </c>
      <c r="B322" t="s">
        <v>2025</v>
      </c>
      <c r="C322" s="49">
        <v>1</v>
      </c>
      <c r="D322" s="49">
        <v>3.4419458467186782E-2</v>
      </c>
      <c r="E322" s="49">
        <v>5.9660394676457089E-3</v>
      </c>
      <c r="F322" s="49">
        <v>4.8187241854061496E-3</v>
      </c>
      <c r="G322" s="49">
        <v>1.1473152822395595E-3</v>
      </c>
      <c r="H322" s="49">
        <v>1.8357044515832951E-3</v>
      </c>
      <c r="I322" s="49">
        <v>1.7668655346489214E-2</v>
      </c>
      <c r="J322" s="49">
        <v>1.0325837540156035E-2</v>
      </c>
      <c r="K322" s="49">
        <v>0.85589720055071139</v>
      </c>
      <c r="L322" s="49">
        <v>3.1895364846259752E-2</v>
      </c>
      <c r="M322" s="49">
        <v>2.2946305644791189E-4</v>
      </c>
      <c r="N322" s="49">
        <v>4.5892611289582378E-4</v>
      </c>
      <c r="O322" s="49">
        <v>0.11656723267553924</v>
      </c>
      <c r="P322" s="49">
        <v>1.6291877007801745E-2</v>
      </c>
      <c r="Q322" s="49">
        <v>0</v>
      </c>
      <c r="R322" s="49">
        <v>3.4419458467186783E-3</v>
      </c>
      <c r="S322" s="49">
        <v>2.5240936209270305E-3</v>
      </c>
      <c r="T322" s="49">
        <v>1.1473152822395595E-3</v>
      </c>
      <c r="U322" s="49">
        <v>0</v>
      </c>
    </row>
    <row r="323" spans="1:21">
      <c r="A323" t="s">
        <v>1518</v>
      </c>
      <c r="B323" t="s">
        <v>2027</v>
      </c>
      <c r="C323" s="49">
        <v>1</v>
      </c>
      <c r="D323" s="49">
        <v>3.5550458715596332E-2</v>
      </c>
      <c r="E323" s="49">
        <v>1.7201834862385322E-2</v>
      </c>
      <c r="F323" s="49">
        <v>1.0321100917431193E-2</v>
      </c>
      <c r="G323" s="49">
        <v>4.0137614678899085E-3</v>
      </c>
      <c r="H323" s="49">
        <v>4.0137614678899085E-3</v>
      </c>
      <c r="I323" s="49">
        <v>1.6628440366972478E-2</v>
      </c>
      <c r="J323" s="49">
        <v>8.600917431192661E-3</v>
      </c>
      <c r="K323" s="49">
        <v>0.76720183486238536</v>
      </c>
      <c r="L323" s="49">
        <v>3.6123853211009173E-2</v>
      </c>
      <c r="M323" s="49">
        <v>1.1467889908256881E-3</v>
      </c>
      <c r="N323" s="49">
        <v>1.7201834862385322E-3</v>
      </c>
      <c r="O323" s="49">
        <v>0.19094036697247707</v>
      </c>
      <c r="P323" s="49">
        <v>2.0642201834862386E-2</v>
      </c>
      <c r="Q323" s="49">
        <v>0</v>
      </c>
      <c r="R323" s="49">
        <v>7.4541284403669729E-3</v>
      </c>
      <c r="S323" s="49">
        <v>2.8669724770642203E-3</v>
      </c>
      <c r="T323" s="49">
        <v>2.8669724770642203E-3</v>
      </c>
      <c r="U323" s="49">
        <v>0</v>
      </c>
    </row>
    <row r="324" spans="1:21">
      <c r="A324" t="s">
        <v>29</v>
      </c>
      <c r="B324" t="s">
        <v>2024</v>
      </c>
      <c r="C324" s="49">
        <v>1</v>
      </c>
      <c r="D324" s="49">
        <v>3.9991113085980891E-2</v>
      </c>
      <c r="E324" s="49">
        <v>3.4436791824039102E-2</v>
      </c>
      <c r="F324" s="49">
        <v>1.5329926682959343E-2</v>
      </c>
      <c r="G324" s="49">
        <v>4.8878027105087761E-3</v>
      </c>
      <c r="H324" s="49">
        <v>4.6656298600311046E-3</v>
      </c>
      <c r="I324" s="49">
        <v>8.0648744723394797E-2</v>
      </c>
      <c r="J324" s="49">
        <v>2.7771606309708954E-2</v>
      </c>
      <c r="K324" s="49">
        <v>0.80493223728060426</v>
      </c>
      <c r="L324" s="49">
        <v>4.9988891357476119E-2</v>
      </c>
      <c r="M324" s="49">
        <v>0</v>
      </c>
      <c r="N324" s="49">
        <v>3.3325927571650742E-3</v>
      </c>
      <c r="O324" s="49">
        <v>5.6431904021328597E-2</v>
      </c>
      <c r="P324" s="49">
        <v>2.043990224394579E-2</v>
      </c>
      <c r="Q324" s="49">
        <v>0</v>
      </c>
      <c r="R324" s="49">
        <v>3.3325927571650742E-3</v>
      </c>
      <c r="S324" s="49">
        <v>1.7107309486780714E-2</v>
      </c>
      <c r="T324" s="49">
        <v>1.0219951121972895E-2</v>
      </c>
      <c r="U324" s="49">
        <v>1.5552099533437014E-3</v>
      </c>
    </row>
    <row r="325" spans="1:21">
      <c r="A325" t="s">
        <v>2067</v>
      </c>
      <c r="B325" t="s">
        <v>205</v>
      </c>
      <c r="C325" s="49">
        <v>1</v>
      </c>
      <c r="D325" s="49">
        <v>8.3919597989949746E-2</v>
      </c>
      <c r="E325" s="49">
        <v>0.66582914572864327</v>
      </c>
      <c r="F325" s="49">
        <v>5.4773869346733665E-2</v>
      </c>
      <c r="G325" s="49">
        <v>5.025125628140704E-4</v>
      </c>
      <c r="H325" s="49">
        <v>1.507537688442211E-3</v>
      </c>
      <c r="I325" s="49">
        <v>2.7638190954773871E-2</v>
      </c>
      <c r="J325" s="49">
        <v>1.6582914572864323E-2</v>
      </c>
      <c r="K325" s="49">
        <v>0.30351758793969852</v>
      </c>
      <c r="L325" s="49">
        <v>4.6733668341708542E-2</v>
      </c>
      <c r="M325" s="49">
        <v>0</v>
      </c>
      <c r="N325" s="49">
        <v>6.5326633165829146E-3</v>
      </c>
      <c r="O325" s="49">
        <v>0</v>
      </c>
      <c r="P325" s="49">
        <v>6.5326633165829146E-3</v>
      </c>
      <c r="Q325" s="49">
        <v>0</v>
      </c>
      <c r="R325" s="49">
        <v>6.5326633165829146E-3</v>
      </c>
      <c r="S325" s="49">
        <v>2.5125628140703518E-3</v>
      </c>
      <c r="T325" s="49">
        <v>2.0100502512562816E-3</v>
      </c>
      <c r="U325" s="49">
        <v>0</v>
      </c>
    </row>
    <row r="326" spans="1:21">
      <c r="A326" t="s">
        <v>2068</v>
      </c>
      <c r="B326" t="s">
        <v>2030</v>
      </c>
      <c r="C326" s="49">
        <v>1</v>
      </c>
      <c r="D326" s="49">
        <v>4.5556385362210607E-2</v>
      </c>
      <c r="E326" s="49">
        <v>1.6430171769977596E-2</v>
      </c>
      <c r="F326" s="49">
        <v>1.2696041822255415E-2</v>
      </c>
      <c r="G326" s="49">
        <v>0</v>
      </c>
      <c r="H326" s="49">
        <v>9.7087378640776691E-3</v>
      </c>
      <c r="I326" s="49">
        <v>1.2696041822255415E-2</v>
      </c>
      <c r="J326" s="49">
        <v>1.0455563853622106E-2</v>
      </c>
      <c r="K326" s="49">
        <v>0.85287528005974611</v>
      </c>
      <c r="L326" s="49">
        <v>4.8543689320388349E-2</v>
      </c>
      <c r="M326" s="49">
        <v>0</v>
      </c>
      <c r="N326" s="49">
        <v>9.7087378640776691E-3</v>
      </c>
      <c r="O326" s="49">
        <v>0.11277072442120986</v>
      </c>
      <c r="P326" s="49">
        <v>2.3898431665421958E-2</v>
      </c>
      <c r="Q326" s="49">
        <v>2.2404779686333084E-3</v>
      </c>
      <c r="R326" s="49">
        <v>4.4809559372666168E-3</v>
      </c>
      <c r="S326" s="49">
        <v>2.9873039581777448E-3</v>
      </c>
      <c r="T326" s="49">
        <v>5.2277819268110532E-3</v>
      </c>
      <c r="U326" s="49">
        <v>0</v>
      </c>
    </row>
    <row r="327" spans="1:21">
      <c r="A327" t="s">
        <v>1412</v>
      </c>
      <c r="B327" t="s">
        <v>2028</v>
      </c>
      <c r="C327" s="49">
        <v>1</v>
      </c>
      <c r="D327" s="49">
        <v>3.9883268482490269E-2</v>
      </c>
      <c r="E327" s="49">
        <v>4.8638132295719845E-3</v>
      </c>
      <c r="F327" s="49">
        <v>5.8365758754863814E-3</v>
      </c>
      <c r="G327" s="49">
        <v>9.727626459143969E-4</v>
      </c>
      <c r="H327" s="49">
        <v>1.4591439688715954E-3</v>
      </c>
      <c r="I327" s="49">
        <v>8.7548638132295721E-3</v>
      </c>
      <c r="J327" s="49">
        <v>5.8365758754863814E-3</v>
      </c>
      <c r="K327" s="49">
        <v>0.51021400778210113</v>
      </c>
      <c r="L327" s="49">
        <v>2.6750972762645913E-2</v>
      </c>
      <c r="M327" s="49">
        <v>7.7821011673151752E-3</v>
      </c>
      <c r="N327" s="49">
        <v>5.350194552529183E-3</v>
      </c>
      <c r="O327" s="49">
        <v>0.46303501945525294</v>
      </c>
      <c r="P327" s="49">
        <v>3.1614785992217898E-2</v>
      </c>
      <c r="Q327" s="49">
        <v>9.727626459143969E-4</v>
      </c>
      <c r="R327" s="49">
        <v>1.4591439688715954E-3</v>
      </c>
      <c r="S327" s="49">
        <v>1.4591439688715954E-3</v>
      </c>
      <c r="T327" s="49">
        <v>1.9455252918287938E-3</v>
      </c>
      <c r="U327" s="49">
        <v>1.9455252918287938E-3</v>
      </c>
    </row>
    <row r="328" spans="1:21">
      <c r="A328" t="s">
        <v>1052</v>
      </c>
      <c r="B328" t="s">
        <v>2025</v>
      </c>
      <c r="C328" s="49">
        <v>1</v>
      </c>
      <c r="D328" s="49">
        <v>3.4419458467186782E-2</v>
      </c>
      <c r="E328" s="49">
        <v>5.9660394676457089E-3</v>
      </c>
      <c r="F328" s="49">
        <v>4.8187241854061496E-3</v>
      </c>
      <c r="G328" s="49">
        <v>1.1473152822395595E-3</v>
      </c>
      <c r="H328" s="49">
        <v>1.8357044515832951E-3</v>
      </c>
      <c r="I328" s="49">
        <v>1.7668655346489214E-2</v>
      </c>
      <c r="J328" s="49">
        <v>1.0325837540156035E-2</v>
      </c>
      <c r="K328" s="49">
        <v>0.85589720055071139</v>
      </c>
      <c r="L328" s="49">
        <v>3.1895364846259752E-2</v>
      </c>
      <c r="M328" s="49">
        <v>2.2946305644791189E-4</v>
      </c>
      <c r="N328" s="49">
        <v>4.5892611289582378E-4</v>
      </c>
      <c r="O328" s="49">
        <v>0.11656723267553924</v>
      </c>
      <c r="P328" s="49">
        <v>1.6291877007801745E-2</v>
      </c>
      <c r="Q328" s="49">
        <v>0</v>
      </c>
      <c r="R328" s="49">
        <v>3.4419458467186783E-3</v>
      </c>
      <c r="S328" s="49">
        <v>2.5240936209270305E-3</v>
      </c>
      <c r="T328" s="49">
        <v>1.1473152822395595E-3</v>
      </c>
      <c r="U328" s="49">
        <v>0</v>
      </c>
    </row>
    <row r="329" spans="1:21">
      <c r="A329" t="s">
        <v>217</v>
      </c>
      <c r="B329" t="s">
        <v>2024</v>
      </c>
      <c r="C329" s="49">
        <v>1</v>
      </c>
      <c r="D329" s="49">
        <v>3.9991113085980891E-2</v>
      </c>
      <c r="E329" s="49">
        <v>3.4436791824039102E-2</v>
      </c>
      <c r="F329" s="49">
        <v>1.5329926682959343E-2</v>
      </c>
      <c r="G329" s="49">
        <v>4.8878027105087761E-3</v>
      </c>
      <c r="H329" s="49">
        <v>4.6656298600311046E-3</v>
      </c>
      <c r="I329" s="49">
        <v>8.0648744723394797E-2</v>
      </c>
      <c r="J329" s="49">
        <v>2.7771606309708954E-2</v>
      </c>
      <c r="K329" s="49">
        <v>0.80493223728060426</v>
      </c>
      <c r="L329" s="49">
        <v>4.9988891357476119E-2</v>
      </c>
      <c r="M329" s="49">
        <v>0</v>
      </c>
      <c r="N329" s="49">
        <v>3.3325927571650742E-3</v>
      </c>
      <c r="O329" s="49">
        <v>5.6431904021328597E-2</v>
      </c>
      <c r="P329" s="49">
        <v>2.043990224394579E-2</v>
      </c>
      <c r="Q329" s="49">
        <v>0</v>
      </c>
      <c r="R329" s="49">
        <v>3.3325927571650742E-3</v>
      </c>
      <c r="S329" s="49">
        <v>1.7107309486780714E-2</v>
      </c>
      <c r="T329" s="49">
        <v>1.0219951121972895E-2</v>
      </c>
      <c r="U329" s="49">
        <v>1.5552099533437014E-3</v>
      </c>
    </row>
    <row r="330" spans="1:21">
      <c r="A330" t="s">
        <v>1413</v>
      </c>
      <c r="B330" t="s">
        <v>2027</v>
      </c>
      <c r="C330" s="49">
        <v>1</v>
      </c>
      <c r="D330" s="49">
        <v>3.5550458715596332E-2</v>
      </c>
      <c r="E330" s="49">
        <v>1.7201834862385322E-2</v>
      </c>
      <c r="F330" s="49">
        <v>1.0321100917431193E-2</v>
      </c>
      <c r="G330" s="49">
        <v>4.0137614678899085E-3</v>
      </c>
      <c r="H330" s="49">
        <v>4.0137614678899085E-3</v>
      </c>
      <c r="I330" s="49">
        <v>1.6628440366972478E-2</v>
      </c>
      <c r="J330" s="49">
        <v>8.600917431192661E-3</v>
      </c>
      <c r="K330" s="49">
        <v>0.76720183486238536</v>
      </c>
      <c r="L330" s="49">
        <v>3.6123853211009173E-2</v>
      </c>
      <c r="M330" s="49">
        <v>1.1467889908256881E-3</v>
      </c>
      <c r="N330" s="49">
        <v>1.7201834862385322E-3</v>
      </c>
      <c r="O330" s="49">
        <v>0.19094036697247707</v>
      </c>
      <c r="P330" s="49">
        <v>2.0642201834862386E-2</v>
      </c>
      <c r="Q330" s="49">
        <v>0</v>
      </c>
      <c r="R330" s="49">
        <v>7.4541284403669729E-3</v>
      </c>
      <c r="S330" s="49">
        <v>2.8669724770642203E-3</v>
      </c>
      <c r="T330" s="49">
        <v>2.8669724770642203E-3</v>
      </c>
      <c r="U330" s="49">
        <v>0</v>
      </c>
    </row>
    <row r="331" spans="1:21">
      <c r="A331" t="s">
        <v>297</v>
      </c>
      <c r="B331" t="s">
        <v>2031</v>
      </c>
      <c r="C331" s="49">
        <v>1</v>
      </c>
      <c r="D331" s="49">
        <v>1.3398451306108023E-2</v>
      </c>
      <c r="E331" s="49">
        <v>0.69887221668862254</v>
      </c>
      <c r="F331" s="49">
        <v>1.5679722391800276E-2</v>
      </c>
      <c r="G331" s="49">
        <v>1.2177489316582591E-2</v>
      </c>
      <c r="H331" s="49">
        <v>3.2451884458439095E-3</v>
      </c>
      <c r="I331" s="49">
        <v>5.7835041609099379E-2</v>
      </c>
      <c r="J331" s="49">
        <v>7.6149471451980848E-3</v>
      </c>
      <c r="K331" s="49">
        <v>0.1487645792500723</v>
      </c>
      <c r="L331" s="49">
        <v>9.1250843427690131E-3</v>
      </c>
      <c r="M331" s="49">
        <v>2.5061851363943066E-3</v>
      </c>
      <c r="N331" s="49">
        <v>1.2530925681971533E-3</v>
      </c>
      <c r="O331" s="49">
        <v>7.3836069787616879E-2</v>
      </c>
      <c r="P331" s="49">
        <v>6.8759438357484815E-3</v>
      </c>
      <c r="Q331" s="49">
        <v>0</v>
      </c>
      <c r="R331" s="49">
        <v>7.0687273077788134E-4</v>
      </c>
      <c r="S331" s="49">
        <v>4.2412363846672883E-3</v>
      </c>
      <c r="T331" s="49">
        <v>2.0242264563184783E-3</v>
      </c>
      <c r="U331" s="49">
        <v>1.7671818269447033E-3</v>
      </c>
    </row>
    <row r="332" spans="1:21">
      <c r="A332" t="s">
        <v>1414</v>
      </c>
      <c r="B332" t="s">
        <v>2026</v>
      </c>
      <c r="C332" s="49">
        <v>1</v>
      </c>
      <c r="D332" s="49">
        <v>0.39770114942528734</v>
      </c>
      <c r="E332" s="49">
        <v>1.3793103448275862E-2</v>
      </c>
      <c r="F332" s="49">
        <v>2.2988505747126436E-2</v>
      </c>
      <c r="G332" s="49">
        <v>2.2988505747126436E-3</v>
      </c>
      <c r="H332" s="49">
        <v>1.1494252873563218E-2</v>
      </c>
      <c r="I332" s="49">
        <v>2.7586206896551724E-2</v>
      </c>
      <c r="J332" s="49">
        <v>2.528735632183908E-2</v>
      </c>
      <c r="K332" s="49">
        <v>0.92183908045977014</v>
      </c>
      <c r="L332" s="49">
        <v>0.35632183908045978</v>
      </c>
      <c r="M332" s="49">
        <v>0</v>
      </c>
      <c r="N332" s="49">
        <v>2.0689655172413793E-2</v>
      </c>
      <c r="O332" s="49">
        <v>2.9885057471264367E-2</v>
      </c>
      <c r="P332" s="49">
        <v>2.528735632183908E-2</v>
      </c>
      <c r="Q332" s="49">
        <v>0</v>
      </c>
      <c r="R332" s="49">
        <v>2.0689655172413793E-2</v>
      </c>
      <c r="S332" s="49">
        <v>4.5977011494252873E-3</v>
      </c>
      <c r="T332" s="49">
        <v>6.8965517241379309E-3</v>
      </c>
      <c r="U332" s="49">
        <v>0</v>
      </c>
    </row>
    <row r="333" spans="1:21">
      <c r="A333" t="s">
        <v>1053</v>
      </c>
      <c r="B333" t="s">
        <v>2044</v>
      </c>
      <c r="C333" s="49">
        <v>1</v>
      </c>
      <c r="D333" s="49">
        <v>4.81892523364486E-2</v>
      </c>
      <c r="E333" s="49">
        <v>4.6436915887850469E-2</v>
      </c>
      <c r="F333" s="49">
        <v>1.8107476635514017E-2</v>
      </c>
      <c r="G333" s="49">
        <v>2.9205607476635514E-2</v>
      </c>
      <c r="H333" s="49">
        <v>2.0443925233644859E-2</v>
      </c>
      <c r="I333" s="49">
        <v>2.27803738317757E-2</v>
      </c>
      <c r="J333" s="49">
        <v>1.4310747663551402E-2</v>
      </c>
      <c r="K333" s="49">
        <v>0.67873831775700932</v>
      </c>
      <c r="L333" s="49">
        <v>5.1401869158878503E-2</v>
      </c>
      <c r="M333" s="49">
        <v>3.7967289719626168E-3</v>
      </c>
      <c r="N333" s="49">
        <v>3.5046728971962616E-3</v>
      </c>
      <c r="O333" s="49">
        <v>0.21290887850467291</v>
      </c>
      <c r="P333" s="49">
        <v>3.6214953271028034E-2</v>
      </c>
      <c r="Q333" s="49">
        <v>0</v>
      </c>
      <c r="R333" s="49">
        <v>3.7967289719626168E-3</v>
      </c>
      <c r="S333" s="49">
        <v>3.7967289719626168E-3</v>
      </c>
      <c r="T333" s="49">
        <v>4.0887850467289715E-3</v>
      </c>
      <c r="U333" s="49">
        <v>2.3364485981308409E-3</v>
      </c>
    </row>
    <row r="334" spans="1:21">
      <c r="A334" t="s">
        <v>45</v>
      </c>
      <c r="B334" t="s">
        <v>2045</v>
      </c>
      <c r="C334" s="49">
        <v>1</v>
      </c>
      <c r="D334" s="49">
        <v>0.11614173228346457</v>
      </c>
      <c r="E334" s="49">
        <v>0</v>
      </c>
      <c r="F334" s="49">
        <v>1.7716535433070866E-2</v>
      </c>
      <c r="G334" s="49">
        <v>0</v>
      </c>
      <c r="H334" s="49">
        <v>1.7716535433070866E-2</v>
      </c>
      <c r="I334" s="49">
        <v>1.1811023622047244E-2</v>
      </c>
      <c r="J334" s="49">
        <v>1.1811023622047244E-2</v>
      </c>
      <c r="K334" s="49">
        <v>0.86614173228346458</v>
      </c>
      <c r="L334" s="49">
        <v>0.11220472440944881</v>
      </c>
      <c r="M334" s="49">
        <v>0</v>
      </c>
      <c r="N334" s="49">
        <v>1.7716535433070866E-2</v>
      </c>
      <c r="O334" s="49">
        <v>0.1141732283464567</v>
      </c>
      <c r="P334" s="49">
        <v>3.1496062992125984E-2</v>
      </c>
      <c r="Q334" s="49">
        <v>0</v>
      </c>
      <c r="R334" s="49">
        <v>1.7716535433070866E-2</v>
      </c>
      <c r="S334" s="49">
        <v>7.874015748031496E-3</v>
      </c>
      <c r="T334" s="49">
        <v>7.874015748031496E-3</v>
      </c>
      <c r="U334" s="49">
        <v>0</v>
      </c>
    </row>
    <row r="335" spans="1:21">
      <c r="A335" t="s">
        <v>1054</v>
      </c>
      <c r="B335" t="s">
        <v>2035</v>
      </c>
      <c r="C335" s="49">
        <v>1</v>
      </c>
      <c r="D335" s="49">
        <v>7.2043010752688166E-2</v>
      </c>
      <c r="E335" s="49">
        <v>2.0430107526881722E-2</v>
      </c>
      <c r="F335" s="49">
        <v>1.2903225806451613E-2</v>
      </c>
      <c r="G335" s="49">
        <v>1.5053763440860216E-2</v>
      </c>
      <c r="H335" s="49">
        <v>1.1827956989247311E-2</v>
      </c>
      <c r="I335" s="49">
        <v>1.3978494623655914E-2</v>
      </c>
      <c r="J335" s="49">
        <v>1.1827956989247311E-2</v>
      </c>
      <c r="K335" s="49">
        <v>0.64193548387096777</v>
      </c>
      <c r="L335" s="49">
        <v>7.0967741935483872E-2</v>
      </c>
      <c r="M335" s="49">
        <v>0</v>
      </c>
      <c r="N335" s="49">
        <v>9.6774193548387101E-3</v>
      </c>
      <c r="O335" s="49">
        <v>0.3032258064516129</v>
      </c>
      <c r="P335" s="49">
        <v>5.3763440860215055E-2</v>
      </c>
      <c r="Q335" s="49">
        <v>4.3010752688172043E-3</v>
      </c>
      <c r="R335" s="49">
        <v>6.4516129032258064E-3</v>
      </c>
      <c r="S335" s="49">
        <v>1.0752688172043011E-3</v>
      </c>
      <c r="T335" s="49">
        <v>4.3010752688172043E-3</v>
      </c>
      <c r="U335" s="49">
        <v>0</v>
      </c>
    </row>
    <row r="336" spans="1:21">
      <c r="A336" t="s">
        <v>1957</v>
      </c>
      <c r="B336" t="s">
        <v>2061</v>
      </c>
      <c r="C336" s="49">
        <v>1</v>
      </c>
      <c r="D336" s="49">
        <v>3.4372049102927286E-2</v>
      </c>
      <c r="E336" s="49">
        <v>2.0963172804532578E-2</v>
      </c>
      <c r="F336" s="49">
        <v>9.442870632672332E-3</v>
      </c>
      <c r="G336" s="49">
        <v>3.4372049102927286E-2</v>
      </c>
      <c r="H336" s="49">
        <v>1.0387157695939566E-2</v>
      </c>
      <c r="I336" s="49">
        <v>0.25136921624173747</v>
      </c>
      <c r="J336" s="49">
        <v>3.0972615675165249E-2</v>
      </c>
      <c r="K336" s="49">
        <v>0.60396600566572234</v>
      </c>
      <c r="L336" s="49">
        <v>4.0982058545797923E-2</v>
      </c>
      <c r="M336" s="49">
        <v>0</v>
      </c>
      <c r="N336" s="49">
        <v>2.8328611898016999E-3</v>
      </c>
      <c r="O336" s="49">
        <v>7.818696883852691E-2</v>
      </c>
      <c r="P336" s="49">
        <v>2.0774315391879131E-2</v>
      </c>
      <c r="Q336" s="49">
        <v>0</v>
      </c>
      <c r="R336" s="49">
        <v>2.8328611898016999E-3</v>
      </c>
      <c r="S336" s="49">
        <v>1.0764872521246459E-2</v>
      </c>
      <c r="T336" s="49">
        <v>8.1208687440982065E-3</v>
      </c>
      <c r="U336" s="49">
        <v>3.7771482530689327E-4</v>
      </c>
    </row>
    <row r="337" spans="1:21">
      <c r="A337" t="s">
        <v>1055</v>
      </c>
      <c r="B337" t="s">
        <v>2045</v>
      </c>
      <c r="C337" s="49">
        <v>1</v>
      </c>
      <c r="D337" s="49">
        <v>0.11614173228346457</v>
      </c>
      <c r="E337" s="49">
        <v>0</v>
      </c>
      <c r="F337" s="49">
        <v>1.7716535433070866E-2</v>
      </c>
      <c r="G337" s="49">
        <v>0</v>
      </c>
      <c r="H337" s="49">
        <v>1.7716535433070866E-2</v>
      </c>
      <c r="I337" s="49">
        <v>1.1811023622047244E-2</v>
      </c>
      <c r="J337" s="49">
        <v>1.1811023622047244E-2</v>
      </c>
      <c r="K337" s="49">
        <v>0.86614173228346458</v>
      </c>
      <c r="L337" s="49">
        <v>0.11220472440944881</v>
      </c>
      <c r="M337" s="49">
        <v>0</v>
      </c>
      <c r="N337" s="49">
        <v>1.7716535433070866E-2</v>
      </c>
      <c r="O337" s="49">
        <v>0.1141732283464567</v>
      </c>
      <c r="P337" s="49">
        <v>3.1496062992125984E-2</v>
      </c>
      <c r="Q337" s="49">
        <v>0</v>
      </c>
      <c r="R337" s="49">
        <v>1.7716535433070866E-2</v>
      </c>
      <c r="S337" s="49">
        <v>7.874015748031496E-3</v>
      </c>
      <c r="T337" s="49">
        <v>7.874015748031496E-3</v>
      </c>
      <c r="U337" s="49">
        <v>0</v>
      </c>
    </row>
    <row r="338" spans="1:21">
      <c r="A338" t="s">
        <v>1958</v>
      </c>
      <c r="B338" t="s">
        <v>2040</v>
      </c>
      <c r="C338" s="49">
        <v>1</v>
      </c>
      <c r="D338" s="49">
        <v>7.6134894684814847E-3</v>
      </c>
      <c r="E338" s="49">
        <v>0.82159151395331154</v>
      </c>
      <c r="F338" s="49">
        <v>1.093072770131549E-2</v>
      </c>
      <c r="G338" s="49">
        <v>8.5164626264162425E-3</v>
      </c>
      <c r="H338" s="49">
        <v>1.5683218006235268E-3</v>
      </c>
      <c r="I338" s="49">
        <v>0.13469508022203636</v>
      </c>
      <c r="J338" s="49">
        <v>7.3568549920158162E-3</v>
      </c>
      <c r="K338" s="49">
        <v>2.3097102881910123E-2</v>
      </c>
      <c r="L338" s="49">
        <v>3.6879324766177475E-3</v>
      </c>
      <c r="M338" s="49">
        <v>2.1861455402630978E-4</v>
      </c>
      <c r="N338" s="49">
        <v>2.4712949585582847E-4</v>
      </c>
      <c r="O338" s="49">
        <v>6.2067523382252302E-3</v>
      </c>
      <c r="P338" s="49">
        <v>1.777431374039997E-3</v>
      </c>
      <c r="Q338" s="49">
        <v>0</v>
      </c>
      <c r="R338" s="49">
        <v>2.0910957341647022E-4</v>
      </c>
      <c r="S338" s="49">
        <v>3.146148581856893E-3</v>
      </c>
      <c r="T338" s="49">
        <v>1.2356474792791423E-3</v>
      </c>
      <c r="U338" s="49">
        <v>2.5283248422173217E-3</v>
      </c>
    </row>
    <row r="339" spans="1:21">
      <c r="A339" t="s">
        <v>550</v>
      </c>
      <c r="B339" t="s">
        <v>2059</v>
      </c>
      <c r="C339" s="49">
        <v>1</v>
      </c>
      <c r="D339" s="49">
        <v>8.0949482653682292E-2</v>
      </c>
      <c r="E339" s="49">
        <v>4.6865489957395007E-2</v>
      </c>
      <c r="F339" s="49">
        <v>2.9823493609251371E-2</v>
      </c>
      <c r="G339" s="49">
        <v>9.1296409007912364E-3</v>
      </c>
      <c r="H339" s="49">
        <v>7.3037127206329886E-3</v>
      </c>
      <c r="I339" s="49">
        <v>0.27267194157029823</v>
      </c>
      <c r="J339" s="49">
        <v>4.9908703590992087E-2</v>
      </c>
      <c r="K339" s="49">
        <v>0.52525867315885577</v>
      </c>
      <c r="L339" s="49">
        <v>6.8167985392574557E-2</v>
      </c>
      <c r="M339" s="49">
        <v>0</v>
      </c>
      <c r="N339" s="49">
        <v>5.4777845404747416E-3</v>
      </c>
      <c r="O339" s="49">
        <v>0.14242239805234327</v>
      </c>
      <c r="P339" s="49">
        <v>3.7127206329884359E-2</v>
      </c>
      <c r="Q339" s="49">
        <v>0</v>
      </c>
      <c r="R339" s="49">
        <v>5.4777845404747416E-3</v>
      </c>
      <c r="S339" s="49">
        <v>3.0432136335970784E-3</v>
      </c>
      <c r="T339" s="49">
        <v>3.0432136335970784E-3</v>
      </c>
      <c r="U339" s="49">
        <v>6.0864272671941571E-4</v>
      </c>
    </row>
    <row r="340" spans="1:21">
      <c r="A340" t="s">
        <v>2069</v>
      </c>
      <c r="B340" t="s">
        <v>2059</v>
      </c>
      <c r="C340" s="49">
        <v>1</v>
      </c>
      <c r="D340" s="49">
        <v>8.0949482653682292E-2</v>
      </c>
      <c r="E340" s="49">
        <v>4.6865489957395007E-2</v>
      </c>
      <c r="F340" s="49">
        <v>2.9823493609251371E-2</v>
      </c>
      <c r="G340" s="49">
        <v>9.1296409007912364E-3</v>
      </c>
      <c r="H340" s="49">
        <v>7.3037127206329886E-3</v>
      </c>
      <c r="I340" s="49">
        <v>0.27267194157029823</v>
      </c>
      <c r="J340" s="49">
        <v>4.9908703590992087E-2</v>
      </c>
      <c r="K340" s="49">
        <v>0.52525867315885577</v>
      </c>
      <c r="L340" s="49">
        <v>6.8167985392574557E-2</v>
      </c>
      <c r="M340" s="49">
        <v>0</v>
      </c>
      <c r="N340" s="49">
        <v>5.4777845404747416E-3</v>
      </c>
      <c r="O340" s="49">
        <v>0.14242239805234327</v>
      </c>
      <c r="P340" s="49">
        <v>3.7127206329884359E-2</v>
      </c>
      <c r="Q340" s="49">
        <v>0</v>
      </c>
      <c r="R340" s="49">
        <v>5.4777845404747416E-3</v>
      </c>
      <c r="S340" s="49">
        <v>3.0432136335970784E-3</v>
      </c>
      <c r="T340" s="49">
        <v>3.0432136335970784E-3</v>
      </c>
      <c r="U340" s="49">
        <v>6.0864272671941571E-4</v>
      </c>
    </row>
    <row r="341" spans="1:21">
      <c r="A341" t="s">
        <v>1609</v>
      </c>
      <c r="B341" t="s">
        <v>2031</v>
      </c>
      <c r="C341" s="49">
        <v>1</v>
      </c>
      <c r="D341" s="49">
        <v>1.3398451306108023E-2</v>
      </c>
      <c r="E341" s="49">
        <v>0.69887221668862254</v>
      </c>
      <c r="F341" s="49">
        <v>1.5679722391800276E-2</v>
      </c>
      <c r="G341" s="49">
        <v>1.2177489316582591E-2</v>
      </c>
      <c r="H341" s="49">
        <v>3.2451884458439095E-3</v>
      </c>
      <c r="I341" s="49">
        <v>5.7835041609099379E-2</v>
      </c>
      <c r="J341" s="49">
        <v>7.6149471451980848E-3</v>
      </c>
      <c r="K341" s="49">
        <v>0.1487645792500723</v>
      </c>
      <c r="L341" s="49">
        <v>9.1250843427690131E-3</v>
      </c>
      <c r="M341" s="49">
        <v>2.5061851363943066E-3</v>
      </c>
      <c r="N341" s="49">
        <v>1.2530925681971533E-3</v>
      </c>
      <c r="O341" s="49">
        <v>7.3836069787616879E-2</v>
      </c>
      <c r="P341" s="49">
        <v>6.8759438357484815E-3</v>
      </c>
      <c r="Q341" s="49">
        <v>0</v>
      </c>
      <c r="R341" s="49">
        <v>7.0687273077788134E-4</v>
      </c>
      <c r="S341" s="49">
        <v>4.2412363846672883E-3</v>
      </c>
      <c r="T341" s="49">
        <v>2.0242264563184783E-3</v>
      </c>
      <c r="U341" s="49">
        <v>1.7671818269447033E-3</v>
      </c>
    </row>
    <row r="342" spans="1:21">
      <c r="A342" t="s">
        <v>1415</v>
      </c>
      <c r="B342" t="s">
        <v>2045</v>
      </c>
      <c r="C342" s="49">
        <v>1</v>
      </c>
      <c r="D342" s="49">
        <v>0.11614173228346457</v>
      </c>
      <c r="E342" s="49">
        <v>0</v>
      </c>
      <c r="F342" s="49">
        <v>1.7716535433070866E-2</v>
      </c>
      <c r="G342" s="49">
        <v>0</v>
      </c>
      <c r="H342" s="49">
        <v>1.7716535433070866E-2</v>
      </c>
      <c r="I342" s="49">
        <v>1.1811023622047244E-2</v>
      </c>
      <c r="J342" s="49">
        <v>1.1811023622047244E-2</v>
      </c>
      <c r="K342" s="49">
        <v>0.86614173228346458</v>
      </c>
      <c r="L342" s="49">
        <v>0.11220472440944881</v>
      </c>
      <c r="M342" s="49">
        <v>0</v>
      </c>
      <c r="N342" s="49">
        <v>1.7716535433070866E-2</v>
      </c>
      <c r="O342" s="49">
        <v>0.1141732283464567</v>
      </c>
      <c r="P342" s="49">
        <v>3.1496062992125984E-2</v>
      </c>
      <c r="Q342" s="49">
        <v>0</v>
      </c>
      <c r="R342" s="49">
        <v>1.7716535433070866E-2</v>
      </c>
      <c r="S342" s="49">
        <v>7.874015748031496E-3</v>
      </c>
      <c r="T342" s="49">
        <v>7.874015748031496E-3</v>
      </c>
      <c r="U342" s="49">
        <v>0</v>
      </c>
    </row>
    <row r="343" spans="1:21">
      <c r="A343" t="s">
        <v>220</v>
      </c>
      <c r="B343" t="s">
        <v>2045</v>
      </c>
      <c r="C343" s="49">
        <v>1</v>
      </c>
      <c r="D343" s="49">
        <v>0.11614173228346457</v>
      </c>
      <c r="E343" s="49">
        <v>0</v>
      </c>
      <c r="F343" s="49">
        <v>1.7716535433070866E-2</v>
      </c>
      <c r="G343" s="49">
        <v>0</v>
      </c>
      <c r="H343" s="49">
        <v>1.7716535433070866E-2</v>
      </c>
      <c r="I343" s="49">
        <v>1.1811023622047244E-2</v>
      </c>
      <c r="J343" s="49">
        <v>1.1811023622047244E-2</v>
      </c>
      <c r="K343" s="49">
        <v>0.86614173228346458</v>
      </c>
      <c r="L343" s="49">
        <v>0.11220472440944881</v>
      </c>
      <c r="M343" s="49">
        <v>0</v>
      </c>
      <c r="N343" s="49">
        <v>1.7716535433070866E-2</v>
      </c>
      <c r="O343" s="49">
        <v>0.1141732283464567</v>
      </c>
      <c r="P343" s="49">
        <v>3.1496062992125984E-2</v>
      </c>
      <c r="Q343" s="49">
        <v>0</v>
      </c>
      <c r="R343" s="49">
        <v>1.7716535433070866E-2</v>
      </c>
      <c r="S343" s="49">
        <v>7.874015748031496E-3</v>
      </c>
      <c r="T343" s="49">
        <v>7.874015748031496E-3</v>
      </c>
      <c r="U343" s="49">
        <v>0</v>
      </c>
    </row>
    <row r="344" spans="1:21">
      <c r="A344" t="s">
        <v>95</v>
      </c>
      <c r="B344" t="s">
        <v>2027</v>
      </c>
      <c r="C344" s="49">
        <v>1</v>
      </c>
      <c r="D344" s="49">
        <v>3.5550458715596332E-2</v>
      </c>
      <c r="E344" s="49">
        <v>1.7201834862385322E-2</v>
      </c>
      <c r="F344" s="49">
        <v>1.0321100917431193E-2</v>
      </c>
      <c r="G344" s="49">
        <v>4.0137614678899085E-3</v>
      </c>
      <c r="H344" s="49">
        <v>4.0137614678899085E-3</v>
      </c>
      <c r="I344" s="49">
        <v>1.6628440366972478E-2</v>
      </c>
      <c r="J344" s="49">
        <v>8.600917431192661E-3</v>
      </c>
      <c r="K344" s="49">
        <v>0.76720183486238536</v>
      </c>
      <c r="L344" s="49">
        <v>3.6123853211009173E-2</v>
      </c>
      <c r="M344" s="49">
        <v>1.1467889908256881E-3</v>
      </c>
      <c r="N344" s="49">
        <v>1.7201834862385322E-3</v>
      </c>
      <c r="O344" s="49">
        <v>0.19094036697247707</v>
      </c>
      <c r="P344" s="49">
        <v>2.0642201834862386E-2</v>
      </c>
      <c r="Q344" s="49">
        <v>0</v>
      </c>
      <c r="R344" s="49">
        <v>7.4541284403669729E-3</v>
      </c>
      <c r="S344" s="49">
        <v>2.8669724770642203E-3</v>
      </c>
      <c r="T344" s="49">
        <v>2.8669724770642203E-3</v>
      </c>
      <c r="U344" s="49">
        <v>0</v>
      </c>
    </row>
    <row r="345" spans="1:21">
      <c r="A345" t="s">
        <v>96</v>
      </c>
      <c r="B345" t="s">
        <v>2027</v>
      </c>
      <c r="C345" s="49">
        <v>1</v>
      </c>
      <c r="D345" s="49">
        <v>3.5550458715596332E-2</v>
      </c>
      <c r="E345" s="49">
        <v>1.7201834862385322E-2</v>
      </c>
      <c r="F345" s="49">
        <v>1.0321100917431193E-2</v>
      </c>
      <c r="G345" s="49">
        <v>4.0137614678899085E-3</v>
      </c>
      <c r="H345" s="49">
        <v>4.0137614678899085E-3</v>
      </c>
      <c r="I345" s="49">
        <v>1.6628440366972478E-2</v>
      </c>
      <c r="J345" s="49">
        <v>8.600917431192661E-3</v>
      </c>
      <c r="K345" s="49">
        <v>0.76720183486238536</v>
      </c>
      <c r="L345" s="49">
        <v>3.6123853211009173E-2</v>
      </c>
      <c r="M345" s="49">
        <v>1.1467889908256881E-3</v>
      </c>
      <c r="N345" s="49">
        <v>1.7201834862385322E-3</v>
      </c>
      <c r="O345" s="49">
        <v>0.19094036697247707</v>
      </c>
      <c r="P345" s="49">
        <v>2.0642201834862386E-2</v>
      </c>
      <c r="Q345" s="49">
        <v>0</v>
      </c>
      <c r="R345" s="49">
        <v>7.4541284403669729E-3</v>
      </c>
      <c r="S345" s="49">
        <v>2.8669724770642203E-3</v>
      </c>
      <c r="T345" s="49">
        <v>2.8669724770642203E-3</v>
      </c>
      <c r="U345" s="49">
        <v>0</v>
      </c>
    </row>
    <row r="346" spans="1:21">
      <c r="A346" t="s">
        <v>259</v>
      </c>
      <c r="B346" t="s">
        <v>2025</v>
      </c>
      <c r="C346" s="49">
        <v>1</v>
      </c>
      <c r="D346" s="49">
        <v>3.4419458467186782E-2</v>
      </c>
      <c r="E346" s="49">
        <v>5.9660394676457089E-3</v>
      </c>
      <c r="F346" s="49">
        <v>4.8187241854061496E-3</v>
      </c>
      <c r="G346" s="49">
        <v>1.1473152822395595E-3</v>
      </c>
      <c r="H346" s="49">
        <v>1.8357044515832951E-3</v>
      </c>
      <c r="I346" s="49">
        <v>1.7668655346489214E-2</v>
      </c>
      <c r="J346" s="49">
        <v>1.0325837540156035E-2</v>
      </c>
      <c r="K346" s="49">
        <v>0.85589720055071139</v>
      </c>
      <c r="L346" s="49">
        <v>3.1895364846259752E-2</v>
      </c>
      <c r="M346" s="49">
        <v>2.2946305644791189E-4</v>
      </c>
      <c r="N346" s="49">
        <v>4.5892611289582378E-4</v>
      </c>
      <c r="O346" s="49">
        <v>0.11656723267553924</v>
      </c>
      <c r="P346" s="49">
        <v>1.6291877007801745E-2</v>
      </c>
      <c r="Q346" s="49">
        <v>0</v>
      </c>
      <c r="R346" s="49">
        <v>3.4419458467186783E-3</v>
      </c>
      <c r="S346" s="49">
        <v>2.5240936209270305E-3</v>
      </c>
      <c r="T346" s="49">
        <v>1.1473152822395595E-3</v>
      </c>
      <c r="U346" s="49">
        <v>0</v>
      </c>
    </row>
    <row r="347" spans="1:21">
      <c r="A347" t="s">
        <v>1610</v>
      </c>
      <c r="B347" t="s">
        <v>2037</v>
      </c>
      <c r="C347" s="49">
        <v>1</v>
      </c>
      <c r="D347" s="49">
        <v>1.7899291896144767E-2</v>
      </c>
      <c r="E347" s="49">
        <v>5.4316061593795664E-2</v>
      </c>
      <c r="F347" s="49">
        <v>8.14881420703608E-3</v>
      </c>
      <c r="G347" s="49">
        <v>1.3993480948634372E-2</v>
      </c>
      <c r="H347" s="49">
        <v>4.3835000561987187E-3</v>
      </c>
      <c r="I347" s="49">
        <v>6.9433516915814314E-2</v>
      </c>
      <c r="J347" s="49">
        <v>9.3851860177587947E-3</v>
      </c>
      <c r="K347" s="49">
        <v>0.75665954816230185</v>
      </c>
      <c r="L347" s="49">
        <v>2.2648083623693381E-2</v>
      </c>
      <c r="M347" s="49">
        <v>1.6943913678768123E-2</v>
      </c>
      <c r="N347" s="49">
        <v>5.0297853208946834E-3</v>
      </c>
      <c r="O347" s="49">
        <v>7.0107901539844891E-2</v>
      </c>
      <c r="P347" s="49">
        <v>1.0340564235135439E-2</v>
      </c>
      <c r="Q347" s="49">
        <v>3.6529167134989322E-4</v>
      </c>
      <c r="R347" s="49">
        <v>6.1818590536135776E-4</v>
      </c>
      <c r="S347" s="49">
        <v>1.4162077104642014E-2</v>
      </c>
      <c r="T347" s="49">
        <v>4.3835000561987187E-3</v>
      </c>
      <c r="U347" s="49">
        <v>4.0182083848488252E-3</v>
      </c>
    </row>
    <row r="348" spans="1:21">
      <c r="A348" t="s">
        <v>1056</v>
      </c>
      <c r="B348" t="s">
        <v>2039</v>
      </c>
      <c r="C348" s="49">
        <v>1</v>
      </c>
      <c r="D348" s="49">
        <v>4.2857142857142858E-2</v>
      </c>
      <c r="E348" s="49">
        <v>6.2500000000000003E-3</v>
      </c>
      <c r="F348" s="49">
        <v>4.0178571428571425E-3</v>
      </c>
      <c r="G348" s="49">
        <v>3.2589285714285716E-2</v>
      </c>
      <c r="H348" s="49">
        <v>1.1607142857142858E-2</v>
      </c>
      <c r="I348" s="49">
        <v>0.1299107142857143</v>
      </c>
      <c r="J348" s="49">
        <v>2.5000000000000001E-2</v>
      </c>
      <c r="K348" s="49">
        <v>0.48303571428571429</v>
      </c>
      <c r="L348" s="49">
        <v>4.1517857142857141E-2</v>
      </c>
      <c r="M348" s="49">
        <v>8.9285714285714283E-4</v>
      </c>
      <c r="N348" s="49">
        <v>1.3392857142857143E-3</v>
      </c>
      <c r="O348" s="49">
        <v>0.34241071428571429</v>
      </c>
      <c r="P348" s="49">
        <v>3.7946428571428568E-2</v>
      </c>
      <c r="Q348" s="49">
        <v>0</v>
      </c>
      <c r="R348" s="49">
        <v>5.8035714285714288E-3</v>
      </c>
      <c r="S348" s="49">
        <v>4.0178571428571425E-3</v>
      </c>
      <c r="T348" s="49">
        <v>2.6785714285714286E-3</v>
      </c>
      <c r="U348" s="49">
        <v>8.9285714285714283E-4</v>
      </c>
    </row>
    <row r="349" spans="1:21">
      <c r="A349" t="s">
        <v>210</v>
      </c>
      <c r="B349" t="s">
        <v>205</v>
      </c>
      <c r="C349" s="49">
        <v>1</v>
      </c>
      <c r="D349" s="49">
        <v>8.3919597989949746E-2</v>
      </c>
      <c r="E349" s="49">
        <v>0.66582914572864327</v>
      </c>
      <c r="F349" s="49">
        <v>5.4773869346733665E-2</v>
      </c>
      <c r="G349" s="49">
        <v>5.025125628140704E-4</v>
      </c>
      <c r="H349" s="49">
        <v>1.507537688442211E-3</v>
      </c>
      <c r="I349" s="49">
        <v>2.7638190954773871E-2</v>
      </c>
      <c r="J349" s="49">
        <v>1.6582914572864323E-2</v>
      </c>
      <c r="K349" s="49">
        <v>0.30351758793969852</v>
      </c>
      <c r="L349" s="49">
        <v>4.6733668341708542E-2</v>
      </c>
      <c r="M349" s="49">
        <v>0</v>
      </c>
      <c r="N349" s="49">
        <v>6.5326633165829146E-3</v>
      </c>
      <c r="O349" s="49">
        <v>0</v>
      </c>
      <c r="P349" s="49">
        <v>6.5326633165829146E-3</v>
      </c>
      <c r="Q349" s="49">
        <v>0</v>
      </c>
      <c r="R349" s="49">
        <v>6.5326633165829146E-3</v>
      </c>
      <c r="S349" s="49">
        <v>2.5125628140703518E-3</v>
      </c>
      <c r="T349" s="49">
        <v>2.0100502512562816E-3</v>
      </c>
      <c r="U349" s="49">
        <v>0</v>
      </c>
    </row>
    <row r="350" spans="1:21">
      <c r="A350" t="s">
        <v>211</v>
      </c>
      <c r="B350" t="s">
        <v>205</v>
      </c>
      <c r="C350" s="49">
        <v>1</v>
      </c>
      <c r="D350" s="49">
        <v>8.3919597989949746E-2</v>
      </c>
      <c r="E350" s="49">
        <v>0.66582914572864327</v>
      </c>
      <c r="F350" s="49">
        <v>5.4773869346733665E-2</v>
      </c>
      <c r="G350" s="49">
        <v>5.025125628140704E-4</v>
      </c>
      <c r="H350" s="49">
        <v>1.507537688442211E-3</v>
      </c>
      <c r="I350" s="49">
        <v>2.7638190954773871E-2</v>
      </c>
      <c r="J350" s="49">
        <v>1.6582914572864323E-2</v>
      </c>
      <c r="K350" s="49">
        <v>0.30351758793969852</v>
      </c>
      <c r="L350" s="49">
        <v>4.6733668341708542E-2</v>
      </c>
      <c r="M350" s="49">
        <v>0</v>
      </c>
      <c r="N350" s="49">
        <v>6.5326633165829146E-3</v>
      </c>
      <c r="O350" s="49">
        <v>0</v>
      </c>
      <c r="P350" s="49">
        <v>6.5326633165829146E-3</v>
      </c>
      <c r="Q350" s="49">
        <v>0</v>
      </c>
      <c r="R350" s="49">
        <v>6.5326633165829146E-3</v>
      </c>
      <c r="S350" s="49">
        <v>2.5125628140703518E-3</v>
      </c>
      <c r="T350" s="49">
        <v>2.0100502512562816E-3</v>
      </c>
      <c r="U350" s="49">
        <v>0</v>
      </c>
    </row>
    <row r="351" spans="1:21">
      <c r="A351" t="s">
        <v>1611</v>
      </c>
      <c r="B351" t="s">
        <v>2031</v>
      </c>
      <c r="C351" s="49">
        <v>1</v>
      </c>
      <c r="D351" s="49">
        <v>1.3398451306108023E-2</v>
      </c>
      <c r="E351" s="49">
        <v>0.69887221668862254</v>
      </c>
      <c r="F351" s="49">
        <v>1.5679722391800276E-2</v>
      </c>
      <c r="G351" s="49">
        <v>1.2177489316582591E-2</v>
      </c>
      <c r="H351" s="49">
        <v>3.2451884458439095E-3</v>
      </c>
      <c r="I351" s="49">
        <v>5.7835041609099379E-2</v>
      </c>
      <c r="J351" s="49">
        <v>7.6149471451980848E-3</v>
      </c>
      <c r="K351" s="49">
        <v>0.1487645792500723</v>
      </c>
      <c r="L351" s="49">
        <v>9.1250843427690131E-3</v>
      </c>
      <c r="M351" s="49">
        <v>2.5061851363943066E-3</v>
      </c>
      <c r="N351" s="49">
        <v>1.2530925681971533E-3</v>
      </c>
      <c r="O351" s="49">
        <v>7.3836069787616879E-2</v>
      </c>
      <c r="P351" s="49">
        <v>6.8759438357484815E-3</v>
      </c>
      <c r="Q351" s="49">
        <v>0</v>
      </c>
      <c r="R351" s="49">
        <v>7.0687273077788134E-4</v>
      </c>
      <c r="S351" s="49">
        <v>4.2412363846672883E-3</v>
      </c>
      <c r="T351" s="49">
        <v>2.0242264563184783E-3</v>
      </c>
      <c r="U351" s="49">
        <v>1.7671818269447033E-3</v>
      </c>
    </row>
    <row r="352" spans="1:21">
      <c r="A352" t="s">
        <v>1416</v>
      </c>
      <c r="B352" t="s">
        <v>2033</v>
      </c>
      <c r="C352" s="49">
        <v>1</v>
      </c>
      <c r="D352" s="49">
        <v>2.0257826887661142E-2</v>
      </c>
      <c r="E352" s="49">
        <v>0.46183241252302026</v>
      </c>
      <c r="F352" s="49">
        <v>1.9843462246777164E-2</v>
      </c>
      <c r="G352" s="49">
        <v>4.2495395948434621E-2</v>
      </c>
      <c r="H352" s="49">
        <v>5.6629834254143642E-3</v>
      </c>
      <c r="I352" s="49">
        <v>6.3720073664825044E-2</v>
      </c>
      <c r="J352" s="49">
        <v>8.0570902394106816E-3</v>
      </c>
      <c r="K352" s="49">
        <v>0.30441988950276244</v>
      </c>
      <c r="L352" s="49">
        <v>1.6022099447513812E-2</v>
      </c>
      <c r="M352" s="49">
        <v>3.2228360957642726E-3</v>
      </c>
      <c r="N352" s="49">
        <v>1.4732965009208103E-3</v>
      </c>
      <c r="O352" s="49">
        <v>0.11754143646408839</v>
      </c>
      <c r="P352" s="49">
        <v>1.3305709023941069E-2</v>
      </c>
      <c r="Q352" s="49">
        <v>0</v>
      </c>
      <c r="R352" s="49">
        <v>1.0128913443830571E-3</v>
      </c>
      <c r="S352" s="49">
        <v>4.9723756906077344E-3</v>
      </c>
      <c r="T352" s="49">
        <v>2.2559852670349908E-3</v>
      </c>
      <c r="U352" s="49">
        <v>1.7955801104972376E-3</v>
      </c>
    </row>
    <row r="353" spans="1:21">
      <c r="A353" t="s">
        <v>1417</v>
      </c>
      <c r="B353" t="s">
        <v>2028</v>
      </c>
      <c r="C353" s="49">
        <v>1</v>
      </c>
      <c r="D353" s="49">
        <v>3.9883268482490269E-2</v>
      </c>
      <c r="E353" s="49">
        <v>4.8638132295719845E-3</v>
      </c>
      <c r="F353" s="49">
        <v>5.8365758754863814E-3</v>
      </c>
      <c r="G353" s="49">
        <v>9.727626459143969E-4</v>
      </c>
      <c r="H353" s="49">
        <v>1.4591439688715954E-3</v>
      </c>
      <c r="I353" s="49">
        <v>8.7548638132295721E-3</v>
      </c>
      <c r="J353" s="49">
        <v>5.8365758754863814E-3</v>
      </c>
      <c r="K353" s="49">
        <v>0.51021400778210113</v>
      </c>
      <c r="L353" s="49">
        <v>2.6750972762645913E-2</v>
      </c>
      <c r="M353" s="49">
        <v>7.7821011673151752E-3</v>
      </c>
      <c r="N353" s="49">
        <v>5.350194552529183E-3</v>
      </c>
      <c r="O353" s="49">
        <v>0.46303501945525294</v>
      </c>
      <c r="P353" s="49">
        <v>3.1614785992217898E-2</v>
      </c>
      <c r="Q353" s="49">
        <v>9.727626459143969E-4</v>
      </c>
      <c r="R353" s="49">
        <v>1.4591439688715954E-3</v>
      </c>
      <c r="S353" s="49">
        <v>1.4591439688715954E-3</v>
      </c>
      <c r="T353" s="49">
        <v>1.9455252918287938E-3</v>
      </c>
      <c r="U353" s="49">
        <v>1.9455252918287938E-3</v>
      </c>
    </row>
    <row r="354" spans="1:21">
      <c r="A354" t="s">
        <v>1354</v>
      </c>
      <c r="B354" t="s">
        <v>2045</v>
      </c>
      <c r="C354" s="49">
        <v>1</v>
      </c>
      <c r="D354" s="49">
        <v>0.11614173228346457</v>
      </c>
      <c r="E354" s="49">
        <v>0</v>
      </c>
      <c r="F354" s="49">
        <v>1.7716535433070866E-2</v>
      </c>
      <c r="G354" s="49">
        <v>0</v>
      </c>
      <c r="H354" s="49">
        <v>1.7716535433070866E-2</v>
      </c>
      <c r="I354" s="49">
        <v>1.1811023622047244E-2</v>
      </c>
      <c r="J354" s="49">
        <v>1.1811023622047244E-2</v>
      </c>
      <c r="K354" s="49">
        <v>0.86614173228346458</v>
      </c>
      <c r="L354" s="49">
        <v>0.11220472440944881</v>
      </c>
      <c r="M354" s="49">
        <v>0</v>
      </c>
      <c r="N354" s="49">
        <v>1.7716535433070866E-2</v>
      </c>
      <c r="O354" s="49">
        <v>0.1141732283464567</v>
      </c>
      <c r="P354" s="49">
        <v>3.1496062992125984E-2</v>
      </c>
      <c r="Q354" s="49">
        <v>0</v>
      </c>
      <c r="R354" s="49">
        <v>1.7716535433070866E-2</v>
      </c>
      <c r="S354" s="49">
        <v>7.874015748031496E-3</v>
      </c>
      <c r="T354" s="49">
        <v>7.874015748031496E-3</v>
      </c>
      <c r="U354" s="49">
        <v>0</v>
      </c>
    </row>
    <row r="355" spans="1:21">
      <c r="A355" t="s">
        <v>1057</v>
      </c>
      <c r="B355" t="s">
        <v>2039</v>
      </c>
      <c r="C355" s="49">
        <v>1</v>
      </c>
      <c r="D355" s="49">
        <v>4.2857142857142858E-2</v>
      </c>
      <c r="E355" s="49">
        <v>6.2500000000000003E-3</v>
      </c>
      <c r="F355" s="49">
        <v>4.0178571428571425E-3</v>
      </c>
      <c r="G355" s="49">
        <v>3.2589285714285716E-2</v>
      </c>
      <c r="H355" s="49">
        <v>1.1607142857142858E-2</v>
      </c>
      <c r="I355" s="49">
        <v>0.1299107142857143</v>
      </c>
      <c r="J355" s="49">
        <v>2.5000000000000001E-2</v>
      </c>
      <c r="K355" s="49">
        <v>0.48303571428571429</v>
      </c>
      <c r="L355" s="49">
        <v>4.1517857142857141E-2</v>
      </c>
      <c r="M355" s="49">
        <v>8.9285714285714283E-4</v>
      </c>
      <c r="N355" s="49">
        <v>1.3392857142857143E-3</v>
      </c>
      <c r="O355" s="49">
        <v>0.34241071428571429</v>
      </c>
      <c r="P355" s="49">
        <v>3.7946428571428568E-2</v>
      </c>
      <c r="Q355" s="49">
        <v>0</v>
      </c>
      <c r="R355" s="49">
        <v>5.8035714285714288E-3</v>
      </c>
      <c r="S355" s="49">
        <v>4.0178571428571425E-3</v>
      </c>
      <c r="T355" s="49">
        <v>2.6785714285714286E-3</v>
      </c>
      <c r="U355" s="49">
        <v>8.9285714285714283E-4</v>
      </c>
    </row>
    <row r="356" spans="1:21">
      <c r="A356" t="s">
        <v>233</v>
      </c>
      <c r="B356" t="s">
        <v>2045</v>
      </c>
      <c r="C356" s="49">
        <v>1</v>
      </c>
      <c r="D356" s="49">
        <v>0.11614173228346457</v>
      </c>
      <c r="E356" s="49">
        <v>0</v>
      </c>
      <c r="F356" s="49">
        <v>1.7716535433070866E-2</v>
      </c>
      <c r="G356" s="49">
        <v>0</v>
      </c>
      <c r="H356" s="49">
        <v>1.7716535433070866E-2</v>
      </c>
      <c r="I356" s="49">
        <v>1.1811023622047244E-2</v>
      </c>
      <c r="J356" s="49">
        <v>1.1811023622047244E-2</v>
      </c>
      <c r="K356" s="49">
        <v>0.86614173228346458</v>
      </c>
      <c r="L356" s="49">
        <v>0.11220472440944881</v>
      </c>
      <c r="M356" s="49">
        <v>0</v>
      </c>
      <c r="N356" s="49">
        <v>1.7716535433070866E-2</v>
      </c>
      <c r="O356" s="49">
        <v>0.1141732283464567</v>
      </c>
      <c r="P356" s="49">
        <v>3.1496062992125984E-2</v>
      </c>
      <c r="Q356" s="49">
        <v>0</v>
      </c>
      <c r="R356" s="49">
        <v>1.7716535433070866E-2</v>
      </c>
      <c r="S356" s="49">
        <v>7.874015748031496E-3</v>
      </c>
      <c r="T356" s="49">
        <v>7.874015748031496E-3</v>
      </c>
      <c r="U356" s="49">
        <v>0</v>
      </c>
    </row>
    <row r="357" spans="1:21">
      <c r="A357" t="s">
        <v>1418</v>
      </c>
      <c r="B357" t="s">
        <v>2041</v>
      </c>
      <c r="C357" s="49">
        <v>1</v>
      </c>
      <c r="D357" s="49">
        <v>3.68251698248123E-2</v>
      </c>
      <c r="E357" s="49">
        <v>1.2870933142652842E-2</v>
      </c>
      <c r="F357" s="49">
        <v>7.5080443332141578E-3</v>
      </c>
      <c r="G357" s="49">
        <v>3.5752592062924561E-3</v>
      </c>
      <c r="H357" s="49">
        <v>3.5752592062924561E-3</v>
      </c>
      <c r="I357" s="49">
        <v>2.7887021809081158E-2</v>
      </c>
      <c r="J357" s="49">
        <v>1.3228459063282088E-2</v>
      </c>
      <c r="K357" s="49">
        <v>0.91383625312835182</v>
      </c>
      <c r="L357" s="49">
        <v>3.5037540221666073E-2</v>
      </c>
      <c r="M357" s="49">
        <v>0</v>
      </c>
      <c r="N357" s="49">
        <v>4.6478369681801929E-3</v>
      </c>
      <c r="O357" s="49">
        <v>4.0757954951734003E-2</v>
      </c>
      <c r="P357" s="49">
        <v>1.0725777618877368E-2</v>
      </c>
      <c r="Q357" s="49">
        <v>0</v>
      </c>
      <c r="R357" s="49">
        <v>4.6478369681801929E-3</v>
      </c>
      <c r="S357" s="49">
        <v>1.0725777618877368E-3</v>
      </c>
      <c r="T357" s="49">
        <v>1.4301036825169824E-3</v>
      </c>
      <c r="U357" s="49">
        <v>0</v>
      </c>
    </row>
    <row r="358" spans="1:21">
      <c r="A358" t="s">
        <v>1058</v>
      </c>
      <c r="B358" t="s">
        <v>2033</v>
      </c>
      <c r="C358" s="49">
        <v>1</v>
      </c>
      <c r="D358" s="49">
        <v>2.0257826887661142E-2</v>
      </c>
      <c r="E358" s="49">
        <v>0.46183241252302026</v>
      </c>
      <c r="F358" s="49">
        <v>1.9843462246777164E-2</v>
      </c>
      <c r="G358" s="49">
        <v>4.2495395948434621E-2</v>
      </c>
      <c r="H358" s="49">
        <v>5.6629834254143642E-3</v>
      </c>
      <c r="I358" s="49">
        <v>6.3720073664825044E-2</v>
      </c>
      <c r="J358" s="49">
        <v>8.0570902394106816E-3</v>
      </c>
      <c r="K358" s="49">
        <v>0.30441988950276244</v>
      </c>
      <c r="L358" s="49">
        <v>1.6022099447513812E-2</v>
      </c>
      <c r="M358" s="49">
        <v>3.2228360957642726E-3</v>
      </c>
      <c r="N358" s="49">
        <v>1.4732965009208103E-3</v>
      </c>
      <c r="O358" s="49">
        <v>0.11754143646408839</v>
      </c>
      <c r="P358" s="49">
        <v>1.3305709023941069E-2</v>
      </c>
      <c r="Q358" s="49">
        <v>0</v>
      </c>
      <c r="R358" s="49">
        <v>1.0128913443830571E-3</v>
      </c>
      <c r="S358" s="49">
        <v>4.9723756906077344E-3</v>
      </c>
      <c r="T358" s="49">
        <v>2.2559852670349908E-3</v>
      </c>
      <c r="U358" s="49">
        <v>1.7955801104972376E-3</v>
      </c>
    </row>
    <row r="359" spans="1:21">
      <c r="A359" t="s">
        <v>223</v>
      </c>
      <c r="B359" t="s">
        <v>2045</v>
      </c>
      <c r="C359" s="49">
        <v>1</v>
      </c>
      <c r="D359" s="49">
        <v>0.11614173228346457</v>
      </c>
      <c r="E359" s="49">
        <v>0</v>
      </c>
      <c r="F359" s="49">
        <v>1.7716535433070866E-2</v>
      </c>
      <c r="G359" s="49">
        <v>0</v>
      </c>
      <c r="H359" s="49">
        <v>1.7716535433070866E-2</v>
      </c>
      <c r="I359" s="49">
        <v>1.1811023622047244E-2</v>
      </c>
      <c r="J359" s="49">
        <v>1.1811023622047244E-2</v>
      </c>
      <c r="K359" s="49">
        <v>0.86614173228346458</v>
      </c>
      <c r="L359" s="49">
        <v>0.11220472440944881</v>
      </c>
      <c r="M359" s="49">
        <v>0</v>
      </c>
      <c r="N359" s="49">
        <v>1.7716535433070866E-2</v>
      </c>
      <c r="O359" s="49">
        <v>0.1141732283464567</v>
      </c>
      <c r="P359" s="49">
        <v>3.1496062992125984E-2</v>
      </c>
      <c r="Q359" s="49">
        <v>0</v>
      </c>
      <c r="R359" s="49">
        <v>1.7716535433070866E-2</v>
      </c>
      <c r="S359" s="49">
        <v>7.874015748031496E-3</v>
      </c>
      <c r="T359" s="49">
        <v>7.874015748031496E-3</v>
      </c>
      <c r="U359" s="49">
        <v>0</v>
      </c>
    </row>
    <row r="360" spans="1:21">
      <c r="A360" t="s">
        <v>1059</v>
      </c>
      <c r="B360" t="s">
        <v>2024</v>
      </c>
      <c r="C360" s="49">
        <v>1</v>
      </c>
      <c r="D360" s="49">
        <v>3.9991113085980891E-2</v>
      </c>
      <c r="E360" s="49">
        <v>3.4436791824039102E-2</v>
      </c>
      <c r="F360" s="49">
        <v>1.5329926682959343E-2</v>
      </c>
      <c r="G360" s="49">
        <v>4.8878027105087761E-3</v>
      </c>
      <c r="H360" s="49">
        <v>4.6656298600311046E-3</v>
      </c>
      <c r="I360" s="49">
        <v>8.0648744723394797E-2</v>
      </c>
      <c r="J360" s="49">
        <v>2.7771606309708954E-2</v>
      </c>
      <c r="K360" s="49">
        <v>0.80493223728060426</v>
      </c>
      <c r="L360" s="49">
        <v>4.9988891357476119E-2</v>
      </c>
      <c r="M360" s="49">
        <v>0</v>
      </c>
      <c r="N360" s="49">
        <v>3.3325927571650742E-3</v>
      </c>
      <c r="O360" s="49">
        <v>5.6431904021328597E-2</v>
      </c>
      <c r="P360" s="49">
        <v>2.043990224394579E-2</v>
      </c>
      <c r="Q360" s="49">
        <v>0</v>
      </c>
      <c r="R360" s="49">
        <v>3.3325927571650742E-3</v>
      </c>
      <c r="S360" s="49">
        <v>1.7107309486780714E-2</v>
      </c>
      <c r="T360" s="49">
        <v>1.0219951121972895E-2</v>
      </c>
      <c r="U360" s="49">
        <v>1.5552099533437014E-3</v>
      </c>
    </row>
    <row r="361" spans="1:21">
      <c r="A361" t="s">
        <v>1419</v>
      </c>
      <c r="B361" t="s">
        <v>2026</v>
      </c>
      <c r="C361" s="49">
        <v>1</v>
      </c>
      <c r="D361" s="49">
        <v>0.39770114942528734</v>
      </c>
      <c r="E361" s="49">
        <v>1.3793103448275862E-2</v>
      </c>
      <c r="F361" s="49">
        <v>2.2988505747126436E-2</v>
      </c>
      <c r="G361" s="49">
        <v>2.2988505747126436E-3</v>
      </c>
      <c r="H361" s="49">
        <v>1.1494252873563218E-2</v>
      </c>
      <c r="I361" s="49">
        <v>2.7586206896551724E-2</v>
      </c>
      <c r="J361" s="49">
        <v>2.528735632183908E-2</v>
      </c>
      <c r="K361" s="49">
        <v>0.92183908045977014</v>
      </c>
      <c r="L361" s="49">
        <v>0.35632183908045978</v>
      </c>
      <c r="M361" s="49">
        <v>0</v>
      </c>
      <c r="N361" s="49">
        <v>2.0689655172413793E-2</v>
      </c>
      <c r="O361" s="49">
        <v>2.9885057471264367E-2</v>
      </c>
      <c r="P361" s="49">
        <v>2.528735632183908E-2</v>
      </c>
      <c r="Q361" s="49">
        <v>0</v>
      </c>
      <c r="R361" s="49">
        <v>2.0689655172413793E-2</v>
      </c>
      <c r="S361" s="49">
        <v>4.5977011494252873E-3</v>
      </c>
      <c r="T361" s="49">
        <v>6.8965517241379309E-3</v>
      </c>
      <c r="U361" s="49">
        <v>0</v>
      </c>
    </row>
    <row r="362" spans="1:21">
      <c r="A362" t="s">
        <v>1060</v>
      </c>
      <c r="B362" t="s">
        <v>2039</v>
      </c>
      <c r="C362" s="49">
        <v>1</v>
      </c>
      <c r="D362" s="49">
        <v>4.2857142857142858E-2</v>
      </c>
      <c r="E362" s="49">
        <v>6.2500000000000003E-3</v>
      </c>
      <c r="F362" s="49">
        <v>4.0178571428571425E-3</v>
      </c>
      <c r="G362" s="49">
        <v>3.2589285714285716E-2</v>
      </c>
      <c r="H362" s="49">
        <v>1.1607142857142858E-2</v>
      </c>
      <c r="I362" s="49">
        <v>0.1299107142857143</v>
      </c>
      <c r="J362" s="49">
        <v>2.5000000000000001E-2</v>
      </c>
      <c r="K362" s="49">
        <v>0.48303571428571429</v>
      </c>
      <c r="L362" s="49">
        <v>4.1517857142857141E-2</v>
      </c>
      <c r="M362" s="49">
        <v>8.9285714285714283E-4</v>
      </c>
      <c r="N362" s="49">
        <v>1.3392857142857143E-3</v>
      </c>
      <c r="O362" s="49">
        <v>0.34241071428571429</v>
      </c>
      <c r="P362" s="49">
        <v>3.7946428571428568E-2</v>
      </c>
      <c r="Q362" s="49">
        <v>0</v>
      </c>
      <c r="R362" s="49">
        <v>5.8035714285714288E-3</v>
      </c>
      <c r="S362" s="49">
        <v>4.0178571428571425E-3</v>
      </c>
      <c r="T362" s="49">
        <v>2.6785714285714286E-3</v>
      </c>
      <c r="U362" s="49">
        <v>8.9285714285714283E-4</v>
      </c>
    </row>
    <row r="363" spans="1:21">
      <c r="A363" t="s">
        <v>1420</v>
      </c>
      <c r="B363" t="s">
        <v>2024</v>
      </c>
      <c r="C363" s="49">
        <v>1</v>
      </c>
      <c r="D363" s="49">
        <v>3.9991113085980891E-2</v>
      </c>
      <c r="E363" s="49">
        <v>3.4436791824039102E-2</v>
      </c>
      <c r="F363" s="49">
        <v>1.5329926682959343E-2</v>
      </c>
      <c r="G363" s="49">
        <v>4.8878027105087761E-3</v>
      </c>
      <c r="H363" s="49">
        <v>4.6656298600311046E-3</v>
      </c>
      <c r="I363" s="49">
        <v>8.0648744723394797E-2</v>
      </c>
      <c r="J363" s="49">
        <v>2.7771606309708954E-2</v>
      </c>
      <c r="K363" s="49">
        <v>0.80493223728060426</v>
      </c>
      <c r="L363" s="49">
        <v>4.9988891357476119E-2</v>
      </c>
      <c r="M363" s="49">
        <v>0</v>
      </c>
      <c r="N363" s="49">
        <v>3.3325927571650742E-3</v>
      </c>
      <c r="O363" s="49">
        <v>5.6431904021328597E-2</v>
      </c>
      <c r="P363" s="49">
        <v>2.043990224394579E-2</v>
      </c>
      <c r="Q363" s="49">
        <v>0</v>
      </c>
      <c r="R363" s="49">
        <v>3.3325927571650742E-3</v>
      </c>
      <c r="S363" s="49">
        <v>1.7107309486780714E-2</v>
      </c>
      <c r="T363" s="49">
        <v>1.0219951121972895E-2</v>
      </c>
      <c r="U363" s="49">
        <v>1.5552099533437014E-3</v>
      </c>
    </row>
    <row r="364" spans="1:21">
      <c r="A364" t="s">
        <v>1960</v>
      </c>
      <c r="B364" t="s">
        <v>2040</v>
      </c>
      <c r="C364" s="49">
        <v>1</v>
      </c>
      <c r="D364" s="49">
        <v>7.6134894684814847E-3</v>
      </c>
      <c r="E364" s="49">
        <v>0.82159151395331154</v>
      </c>
      <c r="F364" s="49">
        <v>1.093072770131549E-2</v>
      </c>
      <c r="G364" s="49">
        <v>8.5164626264162425E-3</v>
      </c>
      <c r="H364" s="49">
        <v>1.5683218006235268E-3</v>
      </c>
      <c r="I364" s="49">
        <v>0.13469508022203636</v>
      </c>
      <c r="J364" s="49">
        <v>7.3568549920158162E-3</v>
      </c>
      <c r="K364" s="49">
        <v>2.3097102881910123E-2</v>
      </c>
      <c r="L364" s="49">
        <v>3.6879324766177475E-3</v>
      </c>
      <c r="M364" s="49">
        <v>2.1861455402630978E-4</v>
      </c>
      <c r="N364" s="49">
        <v>2.4712949585582847E-4</v>
      </c>
      <c r="O364" s="49">
        <v>6.2067523382252302E-3</v>
      </c>
      <c r="P364" s="49">
        <v>1.777431374039997E-3</v>
      </c>
      <c r="Q364" s="49">
        <v>0</v>
      </c>
      <c r="R364" s="49">
        <v>2.0910957341647022E-4</v>
      </c>
      <c r="S364" s="49">
        <v>3.146148581856893E-3</v>
      </c>
      <c r="T364" s="49">
        <v>1.2356474792791423E-3</v>
      </c>
      <c r="U364" s="49">
        <v>2.5283248422173217E-3</v>
      </c>
    </row>
    <row r="365" spans="1:21">
      <c r="A365" t="s">
        <v>1355</v>
      </c>
      <c r="B365" t="s">
        <v>2030</v>
      </c>
      <c r="C365" s="49">
        <v>1</v>
      </c>
      <c r="D365" s="49">
        <v>4.5556385362210607E-2</v>
      </c>
      <c r="E365" s="49">
        <v>1.6430171769977596E-2</v>
      </c>
      <c r="F365" s="49">
        <v>1.2696041822255415E-2</v>
      </c>
      <c r="G365" s="49">
        <v>0</v>
      </c>
      <c r="H365" s="49">
        <v>9.7087378640776691E-3</v>
      </c>
      <c r="I365" s="49">
        <v>1.2696041822255415E-2</v>
      </c>
      <c r="J365" s="49">
        <v>1.0455563853622106E-2</v>
      </c>
      <c r="K365" s="49">
        <v>0.85287528005974611</v>
      </c>
      <c r="L365" s="49">
        <v>4.8543689320388349E-2</v>
      </c>
      <c r="M365" s="49">
        <v>0</v>
      </c>
      <c r="N365" s="49">
        <v>9.7087378640776691E-3</v>
      </c>
      <c r="O365" s="49">
        <v>0.11277072442120986</v>
      </c>
      <c r="P365" s="49">
        <v>2.3898431665421958E-2</v>
      </c>
      <c r="Q365" s="49">
        <v>2.2404779686333084E-3</v>
      </c>
      <c r="R365" s="49">
        <v>4.4809559372666168E-3</v>
      </c>
      <c r="S365" s="49">
        <v>2.9873039581777448E-3</v>
      </c>
      <c r="T365" s="49">
        <v>5.2277819268110532E-3</v>
      </c>
      <c r="U365" s="49">
        <v>0</v>
      </c>
    </row>
    <row r="366" spans="1:21">
      <c r="A366" t="s">
        <v>1961</v>
      </c>
      <c r="B366" t="s">
        <v>2033</v>
      </c>
      <c r="C366" s="49">
        <v>1</v>
      </c>
      <c r="D366" s="49">
        <v>2.0257826887661142E-2</v>
      </c>
      <c r="E366" s="49">
        <v>0.46183241252302026</v>
      </c>
      <c r="F366" s="49">
        <v>1.9843462246777164E-2</v>
      </c>
      <c r="G366" s="49">
        <v>4.2495395948434621E-2</v>
      </c>
      <c r="H366" s="49">
        <v>5.6629834254143642E-3</v>
      </c>
      <c r="I366" s="49">
        <v>6.3720073664825044E-2</v>
      </c>
      <c r="J366" s="49">
        <v>8.0570902394106816E-3</v>
      </c>
      <c r="K366" s="49">
        <v>0.30441988950276244</v>
      </c>
      <c r="L366" s="49">
        <v>1.6022099447513812E-2</v>
      </c>
      <c r="M366" s="49">
        <v>3.2228360957642726E-3</v>
      </c>
      <c r="N366" s="49">
        <v>1.4732965009208103E-3</v>
      </c>
      <c r="O366" s="49">
        <v>0.11754143646408839</v>
      </c>
      <c r="P366" s="49">
        <v>1.3305709023941069E-2</v>
      </c>
      <c r="Q366" s="49">
        <v>0</v>
      </c>
      <c r="R366" s="49">
        <v>1.0128913443830571E-3</v>
      </c>
      <c r="S366" s="49">
        <v>4.9723756906077344E-3</v>
      </c>
      <c r="T366" s="49">
        <v>2.2559852670349908E-3</v>
      </c>
      <c r="U366" s="49">
        <v>1.7955801104972376E-3</v>
      </c>
    </row>
    <row r="367" spans="1:21">
      <c r="A367" t="s">
        <v>1612</v>
      </c>
      <c r="B367" t="s">
        <v>2033</v>
      </c>
      <c r="C367" s="49">
        <v>1</v>
      </c>
      <c r="D367" s="49">
        <v>2.0257826887661142E-2</v>
      </c>
      <c r="E367" s="49">
        <v>0.46183241252302026</v>
      </c>
      <c r="F367" s="49">
        <v>1.9843462246777164E-2</v>
      </c>
      <c r="G367" s="49">
        <v>4.2495395948434621E-2</v>
      </c>
      <c r="H367" s="49">
        <v>5.6629834254143642E-3</v>
      </c>
      <c r="I367" s="49">
        <v>6.3720073664825044E-2</v>
      </c>
      <c r="J367" s="49">
        <v>8.0570902394106816E-3</v>
      </c>
      <c r="K367" s="49">
        <v>0.30441988950276244</v>
      </c>
      <c r="L367" s="49">
        <v>1.6022099447513812E-2</v>
      </c>
      <c r="M367" s="49">
        <v>3.2228360957642726E-3</v>
      </c>
      <c r="N367" s="49">
        <v>1.4732965009208103E-3</v>
      </c>
      <c r="O367" s="49">
        <v>0.11754143646408839</v>
      </c>
      <c r="P367" s="49">
        <v>1.3305709023941069E-2</v>
      </c>
      <c r="Q367" s="49">
        <v>0</v>
      </c>
      <c r="R367" s="49">
        <v>1.0128913443830571E-3</v>
      </c>
      <c r="S367" s="49">
        <v>4.9723756906077344E-3</v>
      </c>
      <c r="T367" s="49">
        <v>2.2559852670349908E-3</v>
      </c>
      <c r="U367" s="49">
        <v>1.7955801104972376E-3</v>
      </c>
    </row>
    <row r="368" spans="1:21">
      <c r="A368" t="s">
        <v>1576</v>
      </c>
      <c r="B368" t="s">
        <v>205</v>
      </c>
      <c r="C368" s="49">
        <v>1</v>
      </c>
      <c r="D368" s="49">
        <v>8.3919597989949746E-2</v>
      </c>
      <c r="E368" s="49">
        <v>0.66582914572864327</v>
      </c>
      <c r="F368" s="49">
        <v>5.4773869346733665E-2</v>
      </c>
      <c r="G368" s="49">
        <v>5.025125628140704E-4</v>
      </c>
      <c r="H368" s="49">
        <v>1.507537688442211E-3</v>
      </c>
      <c r="I368" s="49">
        <v>2.7638190954773871E-2</v>
      </c>
      <c r="J368" s="49">
        <v>1.6582914572864323E-2</v>
      </c>
      <c r="K368" s="49">
        <v>0.30351758793969852</v>
      </c>
      <c r="L368" s="49">
        <v>4.6733668341708542E-2</v>
      </c>
      <c r="M368" s="49">
        <v>0</v>
      </c>
      <c r="N368" s="49">
        <v>6.5326633165829146E-3</v>
      </c>
      <c r="O368" s="49">
        <v>0</v>
      </c>
      <c r="P368" s="49">
        <v>6.5326633165829146E-3</v>
      </c>
      <c r="Q368" s="49">
        <v>0</v>
      </c>
      <c r="R368" s="49">
        <v>6.5326633165829146E-3</v>
      </c>
      <c r="S368" s="49">
        <v>2.5125628140703518E-3</v>
      </c>
      <c r="T368" s="49">
        <v>2.0100502512562816E-3</v>
      </c>
      <c r="U368" s="49">
        <v>0</v>
      </c>
    </row>
    <row r="369" spans="1:21">
      <c r="A369" t="s">
        <v>2070</v>
      </c>
      <c r="B369" t="s">
        <v>2037</v>
      </c>
      <c r="C369" s="49">
        <v>1</v>
      </c>
      <c r="D369" s="49">
        <v>1.7899291896144767E-2</v>
      </c>
      <c r="E369" s="49">
        <v>5.4316061593795664E-2</v>
      </c>
      <c r="F369" s="49">
        <v>8.14881420703608E-3</v>
      </c>
      <c r="G369" s="49">
        <v>1.3993480948634372E-2</v>
      </c>
      <c r="H369" s="49">
        <v>4.3835000561987187E-3</v>
      </c>
      <c r="I369" s="49">
        <v>6.9433516915814314E-2</v>
      </c>
      <c r="J369" s="49">
        <v>9.3851860177587947E-3</v>
      </c>
      <c r="K369" s="49">
        <v>0.75665954816230185</v>
      </c>
      <c r="L369" s="49">
        <v>2.2648083623693381E-2</v>
      </c>
      <c r="M369" s="49">
        <v>1.6943913678768123E-2</v>
      </c>
      <c r="N369" s="49">
        <v>5.0297853208946834E-3</v>
      </c>
      <c r="O369" s="49">
        <v>7.0107901539844891E-2</v>
      </c>
      <c r="P369" s="49">
        <v>1.0340564235135439E-2</v>
      </c>
      <c r="Q369" s="49">
        <v>3.6529167134989322E-4</v>
      </c>
      <c r="R369" s="49">
        <v>6.1818590536135776E-4</v>
      </c>
      <c r="S369" s="49">
        <v>1.4162077104642014E-2</v>
      </c>
      <c r="T369" s="49">
        <v>4.3835000561987187E-3</v>
      </c>
      <c r="U369" s="49">
        <v>4.0182083848488252E-3</v>
      </c>
    </row>
    <row r="370" spans="1:21">
      <c r="A370" t="s">
        <v>27</v>
      </c>
      <c r="B370" t="s">
        <v>2025</v>
      </c>
      <c r="C370" s="49">
        <v>1</v>
      </c>
      <c r="D370" s="49">
        <v>3.4419458467186782E-2</v>
      </c>
      <c r="E370" s="49">
        <v>5.9660394676457089E-3</v>
      </c>
      <c r="F370" s="49">
        <v>4.8187241854061496E-3</v>
      </c>
      <c r="G370" s="49">
        <v>1.1473152822395595E-3</v>
      </c>
      <c r="H370" s="49">
        <v>1.8357044515832951E-3</v>
      </c>
      <c r="I370" s="49">
        <v>1.7668655346489214E-2</v>
      </c>
      <c r="J370" s="49">
        <v>1.0325837540156035E-2</v>
      </c>
      <c r="K370" s="49">
        <v>0.85589720055071139</v>
      </c>
      <c r="L370" s="49">
        <v>3.1895364846259752E-2</v>
      </c>
      <c r="M370" s="49">
        <v>2.2946305644791189E-4</v>
      </c>
      <c r="N370" s="49">
        <v>4.5892611289582378E-4</v>
      </c>
      <c r="O370" s="49">
        <v>0.11656723267553924</v>
      </c>
      <c r="P370" s="49">
        <v>1.6291877007801745E-2</v>
      </c>
      <c r="Q370" s="49">
        <v>0</v>
      </c>
      <c r="R370" s="49">
        <v>3.4419458467186783E-3</v>
      </c>
      <c r="S370" s="49">
        <v>2.5240936209270305E-3</v>
      </c>
      <c r="T370" s="49">
        <v>1.1473152822395595E-3</v>
      </c>
      <c r="U370" s="49">
        <v>0</v>
      </c>
    </row>
    <row r="371" spans="1:21">
      <c r="A371" t="s">
        <v>1963</v>
      </c>
      <c r="B371" t="s">
        <v>2040</v>
      </c>
      <c r="C371" s="49">
        <v>1</v>
      </c>
      <c r="D371" s="49">
        <v>7.6134894684814847E-3</v>
      </c>
      <c r="E371" s="49">
        <v>0.82159151395331154</v>
      </c>
      <c r="F371" s="49">
        <v>1.093072770131549E-2</v>
      </c>
      <c r="G371" s="49">
        <v>8.5164626264162425E-3</v>
      </c>
      <c r="H371" s="49">
        <v>1.5683218006235268E-3</v>
      </c>
      <c r="I371" s="49">
        <v>0.13469508022203636</v>
      </c>
      <c r="J371" s="49">
        <v>7.3568549920158162E-3</v>
      </c>
      <c r="K371" s="49">
        <v>2.3097102881910123E-2</v>
      </c>
      <c r="L371" s="49">
        <v>3.6879324766177475E-3</v>
      </c>
      <c r="M371" s="49">
        <v>2.1861455402630978E-4</v>
      </c>
      <c r="N371" s="49">
        <v>2.4712949585582847E-4</v>
      </c>
      <c r="O371" s="49">
        <v>6.2067523382252302E-3</v>
      </c>
      <c r="P371" s="49">
        <v>1.777431374039997E-3</v>
      </c>
      <c r="Q371" s="49">
        <v>0</v>
      </c>
      <c r="R371" s="49">
        <v>2.0910957341647022E-4</v>
      </c>
      <c r="S371" s="49">
        <v>3.146148581856893E-3</v>
      </c>
      <c r="T371" s="49">
        <v>1.2356474792791423E-3</v>
      </c>
      <c r="U371" s="49">
        <v>2.5283248422173217E-3</v>
      </c>
    </row>
    <row r="372" spans="1:21">
      <c r="A372" t="s">
        <v>409</v>
      </c>
      <c r="B372" t="s">
        <v>2028</v>
      </c>
      <c r="C372" s="49">
        <v>1</v>
      </c>
      <c r="D372" s="49">
        <v>3.9883268482490269E-2</v>
      </c>
      <c r="E372" s="49">
        <v>4.8638132295719845E-3</v>
      </c>
      <c r="F372" s="49">
        <v>5.8365758754863814E-3</v>
      </c>
      <c r="G372" s="49">
        <v>9.727626459143969E-4</v>
      </c>
      <c r="H372" s="49">
        <v>1.4591439688715954E-3</v>
      </c>
      <c r="I372" s="49">
        <v>8.7548638132295721E-3</v>
      </c>
      <c r="J372" s="49">
        <v>5.8365758754863814E-3</v>
      </c>
      <c r="K372" s="49">
        <v>0.51021400778210113</v>
      </c>
      <c r="L372" s="49">
        <v>2.6750972762645913E-2</v>
      </c>
      <c r="M372" s="49">
        <v>7.7821011673151752E-3</v>
      </c>
      <c r="N372" s="49">
        <v>5.350194552529183E-3</v>
      </c>
      <c r="O372" s="49">
        <v>0.46303501945525294</v>
      </c>
      <c r="P372" s="49">
        <v>3.1614785992217898E-2</v>
      </c>
      <c r="Q372" s="49">
        <v>9.727626459143969E-4</v>
      </c>
      <c r="R372" s="49">
        <v>1.4591439688715954E-3</v>
      </c>
      <c r="S372" s="49">
        <v>1.4591439688715954E-3</v>
      </c>
      <c r="T372" s="49">
        <v>1.9455252918287938E-3</v>
      </c>
      <c r="U372" s="49">
        <v>1.9455252918287938E-3</v>
      </c>
    </row>
    <row r="373" spans="1:21">
      <c r="A373" t="s">
        <v>2071</v>
      </c>
      <c r="B373" t="s">
        <v>2033</v>
      </c>
      <c r="C373" s="49">
        <v>1</v>
      </c>
      <c r="D373" s="49">
        <v>2.0257826887661142E-2</v>
      </c>
      <c r="E373" s="49">
        <v>0.46183241252302026</v>
      </c>
      <c r="F373" s="49">
        <v>1.9843462246777164E-2</v>
      </c>
      <c r="G373" s="49">
        <v>4.2495395948434621E-2</v>
      </c>
      <c r="H373" s="49">
        <v>5.6629834254143642E-3</v>
      </c>
      <c r="I373" s="49">
        <v>6.3720073664825044E-2</v>
      </c>
      <c r="J373" s="49">
        <v>8.0570902394106816E-3</v>
      </c>
      <c r="K373" s="49">
        <v>0.30441988950276244</v>
      </c>
      <c r="L373" s="49">
        <v>1.6022099447513812E-2</v>
      </c>
      <c r="M373" s="49">
        <v>3.2228360957642726E-3</v>
      </c>
      <c r="N373" s="49">
        <v>1.4732965009208103E-3</v>
      </c>
      <c r="O373" s="49">
        <v>0.11754143646408839</v>
      </c>
      <c r="P373" s="49">
        <v>1.3305709023941069E-2</v>
      </c>
      <c r="Q373" s="49">
        <v>0</v>
      </c>
      <c r="R373" s="49">
        <v>1.0128913443830571E-3</v>
      </c>
      <c r="S373" s="49">
        <v>4.9723756906077344E-3</v>
      </c>
      <c r="T373" s="49">
        <v>2.2559852670349908E-3</v>
      </c>
      <c r="U373" s="49">
        <v>1.7955801104972376E-3</v>
      </c>
    </row>
    <row r="374" spans="1:21">
      <c r="A374" t="s">
        <v>190</v>
      </c>
      <c r="B374" t="s">
        <v>2025</v>
      </c>
      <c r="C374" s="49">
        <v>1</v>
      </c>
      <c r="D374" s="49">
        <v>3.4419458467186782E-2</v>
      </c>
      <c r="E374" s="49">
        <v>5.9660394676457089E-3</v>
      </c>
      <c r="F374" s="49">
        <v>4.8187241854061496E-3</v>
      </c>
      <c r="G374" s="49">
        <v>1.1473152822395595E-3</v>
      </c>
      <c r="H374" s="49">
        <v>1.8357044515832951E-3</v>
      </c>
      <c r="I374" s="49">
        <v>1.7668655346489214E-2</v>
      </c>
      <c r="J374" s="49">
        <v>1.0325837540156035E-2</v>
      </c>
      <c r="K374" s="49">
        <v>0.85589720055071139</v>
      </c>
      <c r="L374" s="49">
        <v>3.1895364846259752E-2</v>
      </c>
      <c r="M374" s="49">
        <v>2.2946305644791189E-4</v>
      </c>
      <c r="N374" s="49">
        <v>4.5892611289582378E-4</v>
      </c>
      <c r="O374" s="49">
        <v>0.11656723267553924</v>
      </c>
      <c r="P374" s="49">
        <v>1.6291877007801745E-2</v>
      </c>
      <c r="Q374" s="49">
        <v>0</v>
      </c>
      <c r="R374" s="49">
        <v>3.4419458467186783E-3</v>
      </c>
      <c r="S374" s="49">
        <v>2.5240936209270305E-3</v>
      </c>
      <c r="T374" s="49">
        <v>1.1473152822395595E-3</v>
      </c>
      <c r="U374" s="49">
        <v>0</v>
      </c>
    </row>
    <row r="375" spans="1:21">
      <c r="A375" t="s">
        <v>1577</v>
      </c>
      <c r="B375" t="s">
        <v>2032</v>
      </c>
      <c r="C375" s="49">
        <v>1</v>
      </c>
      <c r="D375" s="49">
        <v>3.8293216630196934E-2</v>
      </c>
      <c r="E375" s="49">
        <v>1.8599562363238512E-2</v>
      </c>
      <c r="F375" s="49">
        <v>1.0940919037199124E-2</v>
      </c>
      <c r="G375" s="49">
        <v>1.6411378555798686E-3</v>
      </c>
      <c r="H375" s="49">
        <v>3.2822757111597373E-3</v>
      </c>
      <c r="I375" s="49">
        <v>2.5164113785557989E-2</v>
      </c>
      <c r="J375" s="49">
        <v>9.8468271334792128E-3</v>
      </c>
      <c r="K375" s="49">
        <v>0.85175054704595188</v>
      </c>
      <c r="L375" s="49">
        <v>3.9934354485776806E-2</v>
      </c>
      <c r="M375" s="49">
        <v>0</v>
      </c>
      <c r="N375" s="49">
        <v>7.1115973741794312E-3</v>
      </c>
      <c r="O375" s="49">
        <v>5.9628008752735231E-2</v>
      </c>
      <c r="P375" s="49">
        <v>1.2035010940919038E-2</v>
      </c>
      <c r="Q375" s="49">
        <v>1.0940919037199124E-3</v>
      </c>
      <c r="R375" s="49">
        <v>1.6411378555798686E-3</v>
      </c>
      <c r="S375" s="49">
        <v>4.2122538293216633E-2</v>
      </c>
      <c r="T375" s="49">
        <v>1.6958424507658644E-2</v>
      </c>
      <c r="U375" s="49">
        <v>0</v>
      </c>
    </row>
    <row r="376" spans="1:21">
      <c r="A376" t="s">
        <v>1613</v>
      </c>
      <c r="B376" t="s">
        <v>2033</v>
      </c>
      <c r="C376" s="49">
        <v>1</v>
      </c>
      <c r="D376" s="49">
        <v>2.0257826887661142E-2</v>
      </c>
      <c r="E376" s="49">
        <v>0.46183241252302026</v>
      </c>
      <c r="F376" s="49">
        <v>1.9843462246777164E-2</v>
      </c>
      <c r="G376" s="49">
        <v>4.2495395948434621E-2</v>
      </c>
      <c r="H376" s="49">
        <v>5.6629834254143642E-3</v>
      </c>
      <c r="I376" s="49">
        <v>6.3720073664825044E-2</v>
      </c>
      <c r="J376" s="49">
        <v>8.0570902394106816E-3</v>
      </c>
      <c r="K376" s="49">
        <v>0.30441988950276244</v>
      </c>
      <c r="L376" s="49">
        <v>1.6022099447513812E-2</v>
      </c>
      <c r="M376" s="49">
        <v>3.2228360957642726E-3</v>
      </c>
      <c r="N376" s="49">
        <v>1.4732965009208103E-3</v>
      </c>
      <c r="O376" s="49">
        <v>0.11754143646408839</v>
      </c>
      <c r="P376" s="49">
        <v>1.3305709023941069E-2</v>
      </c>
      <c r="Q376" s="49">
        <v>0</v>
      </c>
      <c r="R376" s="49">
        <v>1.0128913443830571E-3</v>
      </c>
      <c r="S376" s="49">
        <v>4.9723756906077344E-3</v>
      </c>
      <c r="T376" s="49">
        <v>2.2559852670349908E-3</v>
      </c>
      <c r="U376" s="49">
        <v>1.7955801104972376E-3</v>
      </c>
    </row>
    <row r="377" spans="1:21">
      <c r="A377" t="s">
        <v>34</v>
      </c>
      <c r="B377" t="s">
        <v>2028</v>
      </c>
      <c r="C377" s="49">
        <v>1</v>
      </c>
      <c r="D377" s="49">
        <v>3.9883268482490269E-2</v>
      </c>
      <c r="E377" s="49">
        <v>4.8638132295719845E-3</v>
      </c>
      <c r="F377" s="49">
        <v>5.8365758754863814E-3</v>
      </c>
      <c r="G377" s="49">
        <v>9.727626459143969E-4</v>
      </c>
      <c r="H377" s="49">
        <v>1.4591439688715954E-3</v>
      </c>
      <c r="I377" s="49">
        <v>8.7548638132295721E-3</v>
      </c>
      <c r="J377" s="49">
        <v>5.8365758754863814E-3</v>
      </c>
      <c r="K377" s="49">
        <v>0.51021400778210113</v>
      </c>
      <c r="L377" s="49">
        <v>2.6750972762645913E-2</v>
      </c>
      <c r="M377" s="49">
        <v>7.7821011673151752E-3</v>
      </c>
      <c r="N377" s="49">
        <v>5.350194552529183E-3</v>
      </c>
      <c r="O377" s="49">
        <v>0.46303501945525294</v>
      </c>
      <c r="P377" s="49">
        <v>3.1614785992217898E-2</v>
      </c>
      <c r="Q377" s="49">
        <v>9.727626459143969E-4</v>
      </c>
      <c r="R377" s="49">
        <v>1.4591439688715954E-3</v>
      </c>
      <c r="S377" s="49">
        <v>1.4591439688715954E-3</v>
      </c>
      <c r="T377" s="49">
        <v>1.9455252918287938E-3</v>
      </c>
      <c r="U377" s="49">
        <v>1.9455252918287938E-3</v>
      </c>
    </row>
    <row r="378" spans="1:21">
      <c r="A378" t="s">
        <v>97</v>
      </c>
      <c r="B378" t="s">
        <v>2027</v>
      </c>
      <c r="C378" s="49">
        <v>1</v>
      </c>
      <c r="D378" s="49">
        <v>3.5550458715596332E-2</v>
      </c>
      <c r="E378" s="49">
        <v>1.7201834862385322E-2</v>
      </c>
      <c r="F378" s="49">
        <v>1.0321100917431193E-2</v>
      </c>
      <c r="G378" s="49">
        <v>4.0137614678899085E-3</v>
      </c>
      <c r="H378" s="49">
        <v>4.0137614678899085E-3</v>
      </c>
      <c r="I378" s="49">
        <v>1.6628440366972478E-2</v>
      </c>
      <c r="J378" s="49">
        <v>8.600917431192661E-3</v>
      </c>
      <c r="K378" s="49">
        <v>0.76720183486238536</v>
      </c>
      <c r="L378" s="49">
        <v>3.6123853211009173E-2</v>
      </c>
      <c r="M378" s="49">
        <v>1.1467889908256881E-3</v>
      </c>
      <c r="N378" s="49">
        <v>1.7201834862385322E-3</v>
      </c>
      <c r="O378" s="49">
        <v>0.19094036697247707</v>
      </c>
      <c r="P378" s="49">
        <v>2.0642201834862386E-2</v>
      </c>
      <c r="Q378" s="49">
        <v>0</v>
      </c>
      <c r="R378" s="49">
        <v>7.4541284403669729E-3</v>
      </c>
      <c r="S378" s="49">
        <v>2.8669724770642203E-3</v>
      </c>
      <c r="T378" s="49">
        <v>2.8669724770642203E-3</v>
      </c>
      <c r="U378" s="49">
        <v>0</v>
      </c>
    </row>
    <row r="379" spans="1:21">
      <c r="A379" t="s">
        <v>1061</v>
      </c>
      <c r="B379" t="s">
        <v>2023</v>
      </c>
      <c r="C379" s="49">
        <v>1</v>
      </c>
      <c r="D379" s="49">
        <v>9.6805421103581799E-2</v>
      </c>
      <c r="E379" s="49">
        <v>1.9361084220716359E-2</v>
      </c>
      <c r="F379" s="49">
        <v>1.452081316553727E-2</v>
      </c>
      <c r="G379" s="49">
        <v>1.3552758954501452E-2</v>
      </c>
      <c r="H379" s="49">
        <v>9.6805421103581795E-3</v>
      </c>
      <c r="I379" s="49">
        <v>3.8722168441432718E-2</v>
      </c>
      <c r="J379" s="49">
        <v>1.8393030009680542E-2</v>
      </c>
      <c r="K379" s="49">
        <v>0.87415295256534364</v>
      </c>
      <c r="L379" s="49">
        <v>8.8092933204259441E-2</v>
      </c>
      <c r="M379" s="49">
        <v>0</v>
      </c>
      <c r="N379" s="49">
        <v>1.2584704743465635E-2</v>
      </c>
      <c r="O379" s="49">
        <v>1.452081316553727E-2</v>
      </c>
      <c r="P379" s="49">
        <v>9.6805421103581795E-3</v>
      </c>
      <c r="Q379" s="49">
        <v>0</v>
      </c>
      <c r="R379" s="49">
        <v>1.2584704743465635E-2</v>
      </c>
      <c r="S379" s="49">
        <v>3.7754114230396901E-2</v>
      </c>
      <c r="T379" s="49">
        <v>1.7424975798644726E-2</v>
      </c>
      <c r="U379" s="49">
        <v>1.9361084220716361E-3</v>
      </c>
    </row>
    <row r="380" spans="1:21">
      <c r="A380" t="s">
        <v>2072</v>
      </c>
      <c r="B380" t="s">
        <v>2041</v>
      </c>
      <c r="C380" s="49">
        <v>1</v>
      </c>
      <c r="D380" s="49">
        <v>3.68251698248123E-2</v>
      </c>
      <c r="E380" s="49">
        <v>1.2870933142652842E-2</v>
      </c>
      <c r="F380" s="49">
        <v>7.5080443332141578E-3</v>
      </c>
      <c r="G380" s="49">
        <v>3.5752592062924561E-3</v>
      </c>
      <c r="H380" s="49">
        <v>3.5752592062924561E-3</v>
      </c>
      <c r="I380" s="49">
        <v>2.7887021809081158E-2</v>
      </c>
      <c r="J380" s="49">
        <v>1.3228459063282088E-2</v>
      </c>
      <c r="K380" s="49">
        <v>0.91383625312835182</v>
      </c>
      <c r="L380" s="49">
        <v>3.5037540221666073E-2</v>
      </c>
      <c r="M380" s="49">
        <v>0</v>
      </c>
      <c r="N380" s="49">
        <v>4.6478369681801929E-3</v>
      </c>
      <c r="O380" s="49">
        <v>4.0757954951734003E-2</v>
      </c>
      <c r="P380" s="49">
        <v>1.0725777618877368E-2</v>
      </c>
      <c r="Q380" s="49">
        <v>0</v>
      </c>
      <c r="R380" s="49">
        <v>4.6478369681801929E-3</v>
      </c>
      <c r="S380" s="49">
        <v>1.0725777618877368E-3</v>
      </c>
      <c r="T380" s="49">
        <v>1.4301036825169824E-3</v>
      </c>
      <c r="U380" s="49">
        <v>0</v>
      </c>
    </row>
    <row r="381" spans="1:21">
      <c r="A381" t="s">
        <v>1062</v>
      </c>
      <c r="B381" t="s">
        <v>2027</v>
      </c>
      <c r="C381" s="49">
        <v>1</v>
      </c>
      <c r="D381" s="49">
        <v>3.5550458715596332E-2</v>
      </c>
      <c r="E381" s="49">
        <v>1.7201834862385322E-2</v>
      </c>
      <c r="F381" s="49">
        <v>1.0321100917431193E-2</v>
      </c>
      <c r="G381" s="49">
        <v>4.0137614678899085E-3</v>
      </c>
      <c r="H381" s="49">
        <v>4.0137614678899085E-3</v>
      </c>
      <c r="I381" s="49">
        <v>1.6628440366972478E-2</v>
      </c>
      <c r="J381" s="49">
        <v>8.600917431192661E-3</v>
      </c>
      <c r="K381" s="49">
        <v>0.76720183486238536</v>
      </c>
      <c r="L381" s="49">
        <v>3.6123853211009173E-2</v>
      </c>
      <c r="M381" s="49">
        <v>1.1467889908256881E-3</v>
      </c>
      <c r="N381" s="49">
        <v>1.7201834862385322E-3</v>
      </c>
      <c r="O381" s="49">
        <v>0.19094036697247707</v>
      </c>
      <c r="P381" s="49">
        <v>2.0642201834862386E-2</v>
      </c>
      <c r="Q381" s="49">
        <v>0</v>
      </c>
      <c r="R381" s="49">
        <v>7.4541284403669729E-3</v>
      </c>
      <c r="S381" s="49">
        <v>2.8669724770642203E-3</v>
      </c>
      <c r="T381" s="49">
        <v>2.8669724770642203E-3</v>
      </c>
      <c r="U381" s="49">
        <v>0</v>
      </c>
    </row>
    <row r="382" spans="1:21">
      <c r="A382" t="s">
        <v>1063</v>
      </c>
      <c r="B382" t="s">
        <v>2041</v>
      </c>
      <c r="C382" s="49">
        <v>1</v>
      </c>
      <c r="D382" s="49">
        <v>3.68251698248123E-2</v>
      </c>
      <c r="E382" s="49">
        <v>1.2870933142652842E-2</v>
      </c>
      <c r="F382" s="49">
        <v>7.5080443332141578E-3</v>
      </c>
      <c r="G382" s="49">
        <v>3.5752592062924561E-3</v>
      </c>
      <c r="H382" s="49">
        <v>3.5752592062924561E-3</v>
      </c>
      <c r="I382" s="49">
        <v>2.7887021809081158E-2</v>
      </c>
      <c r="J382" s="49">
        <v>1.3228459063282088E-2</v>
      </c>
      <c r="K382" s="49">
        <v>0.91383625312835182</v>
      </c>
      <c r="L382" s="49">
        <v>3.5037540221666073E-2</v>
      </c>
      <c r="M382" s="49">
        <v>0</v>
      </c>
      <c r="N382" s="49">
        <v>4.6478369681801929E-3</v>
      </c>
      <c r="O382" s="49">
        <v>4.0757954951734003E-2</v>
      </c>
      <c r="P382" s="49">
        <v>1.0725777618877368E-2</v>
      </c>
      <c r="Q382" s="49">
        <v>0</v>
      </c>
      <c r="R382" s="49">
        <v>4.6478369681801929E-3</v>
      </c>
      <c r="S382" s="49">
        <v>1.0725777618877368E-3</v>
      </c>
      <c r="T382" s="49">
        <v>1.4301036825169824E-3</v>
      </c>
      <c r="U382" s="49">
        <v>0</v>
      </c>
    </row>
    <row r="383" spans="1:21">
      <c r="A383" t="s">
        <v>1064</v>
      </c>
      <c r="B383" t="s">
        <v>2023</v>
      </c>
      <c r="C383" s="49">
        <v>1</v>
      </c>
      <c r="D383" s="49">
        <v>9.6805421103581799E-2</v>
      </c>
      <c r="E383" s="49">
        <v>1.9361084220716359E-2</v>
      </c>
      <c r="F383" s="49">
        <v>1.452081316553727E-2</v>
      </c>
      <c r="G383" s="49">
        <v>1.3552758954501452E-2</v>
      </c>
      <c r="H383" s="49">
        <v>9.6805421103581795E-3</v>
      </c>
      <c r="I383" s="49">
        <v>3.8722168441432718E-2</v>
      </c>
      <c r="J383" s="49">
        <v>1.8393030009680542E-2</v>
      </c>
      <c r="K383" s="49">
        <v>0.87415295256534364</v>
      </c>
      <c r="L383" s="49">
        <v>8.8092933204259441E-2</v>
      </c>
      <c r="M383" s="49">
        <v>0</v>
      </c>
      <c r="N383" s="49">
        <v>1.2584704743465635E-2</v>
      </c>
      <c r="O383" s="49">
        <v>1.452081316553727E-2</v>
      </c>
      <c r="P383" s="49">
        <v>9.6805421103581795E-3</v>
      </c>
      <c r="Q383" s="49">
        <v>0</v>
      </c>
      <c r="R383" s="49">
        <v>1.2584704743465635E-2</v>
      </c>
      <c r="S383" s="49">
        <v>3.7754114230396901E-2</v>
      </c>
      <c r="T383" s="49">
        <v>1.7424975798644726E-2</v>
      </c>
      <c r="U383" s="49">
        <v>1.9361084220716361E-3</v>
      </c>
    </row>
    <row r="384" spans="1:21">
      <c r="A384" t="s">
        <v>1368</v>
      </c>
      <c r="B384" t="s">
        <v>2033</v>
      </c>
      <c r="C384" s="49">
        <v>1</v>
      </c>
      <c r="D384" s="49">
        <v>2.0257826887661142E-2</v>
      </c>
      <c r="E384" s="49">
        <v>0.46183241252302026</v>
      </c>
      <c r="F384" s="49">
        <v>1.9843462246777164E-2</v>
      </c>
      <c r="G384" s="49">
        <v>4.2495395948434621E-2</v>
      </c>
      <c r="H384" s="49">
        <v>5.6629834254143642E-3</v>
      </c>
      <c r="I384" s="49">
        <v>6.3720073664825044E-2</v>
      </c>
      <c r="J384" s="49">
        <v>8.0570902394106816E-3</v>
      </c>
      <c r="K384" s="49">
        <v>0.30441988950276244</v>
      </c>
      <c r="L384" s="49">
        <v>1.6022099447513812E-2</v>
      </c>
      <c r="M384" s="49">
        <v>3.2228360957642726E-3</v>
      </c>
      <c r="N384" s="49">
        <v>1.4732965009208103E-3</v>
      </c>
      <c r="O384" s="49">
        <v>0.11754143646408839</v>
      </c>
      <c r="P384" s="49">
        <v>1.3305709023941069E-2</v>
      </c>
      <c r="Q384" s="49">
        <v>0</v>
      </c>
      <c r="R384" s="49">
        <v>1.0128913443830571E-3</v>
      </c>
      <c r="S384" s="49">
        <v>4.9723756906077344E-3</v>
      </c>
      <c r="T384" s="49">
        <v>2.2559852670349908E-3</v>
      </c>
      <c r="U384" s="49">
        <v>1.7955801104972376E-3</v>
      </c>
    </row>
    <row r="385" spans="1:21">
      <c r="A385" t="s">
        <v>1065</v>
      </c>
      <c r="B385" t="s">
        <v>2037</v>
      </c>
      <c r="C385" s="49">
        <v>1</v>
      </c>
      <c r="D385" s="49">
        <v>1.7899291896144767E-2</v>
      </c>
      <c r="E385" s="49">
        <v>5.4316061593795664E-2</v>
      </c>
      <c r="F385" s="49">
        <v>8.14881420703608E-3</v>
      </c>
      <c r="G385" s="49">
        <v>1.3993480948634372E-2</v>
      </c>
      <c r="H385" s="49">
        <v>4.3835000561987187E-3</v>
      </c>
      <c r="I385" s="49">
        <v>6.9433516915814314E-2</v>
      </c>
      <c r="J385" s="49">
        <v>9.3851860177587947E-3</v>
      </c>
      <c r="K385" s="49">
        <v>0.75665954816230185</v>
      </c>
      <c r="L385" s="49">
        <v>2.2648083623693381E-2</v>
      </c>
      <c r="M385" s="49">
        <v>1.6943913678768123E-2</v>
      </c>
      <c r="N385" s="49">
        <v>5.0297853208946834E-3</v>
      </c>
      <c r="O385" s="49">
        <v>7.0107901539844891E-2</v>
      </c>
      <c r="P385" s="49">
        <v>1.0340564235135439E-2</v>
      </c>
      <c r="Q385" s="49">
        <v>3.6529167134989322E-4</v>
      </c>
      <c r="R385" s="49">
        <v>6.1818590536135776E-4</v>
      </c>
      <c r="S385" s="49">
        <v>1.4162077104642014E-2</v>
      </c>
      <c r="T385" s="49">
        <v>4.3835000561987187E-3</v>
      </c>
      <c r="U385" s="49">
        <v>4.0182083848488252E-3</v>
      </c>
    </row>
    <row r="386" spans="1:21">
      <c r="A386" t="s">
        <v>1421</v>
      </c>
      <c r="B386" t="s">
        <v>2026</v>
      </c>
      <c r="C386" s="49">
        <v>1</v>
      </c>
      <c r="D386" s="49">
        <v>0.39770114942528734</v>
      </c>
      <c r="E386" s="49">
        <v>1.3793103448275862E-2</v>
      </c>
      <c r="F386" s="49">
        <v>2.2988505747126436E-2</v>
      </c>
      <c r="G386" s="49">
        <v>2.2988505747126436E-3</v>
      </c>
      <c r="H386" s="49">
        <v>1.1494252873563218E-2</v>
      </c>
      <c r="I386" s="49">
        <v>2.7586206896551724E-2</v>
      </c>
      <c r="J386" s="49">
        <v>2.528735632183908E-2</v>
      </c>
      <c r="K386" s="49">
        <v>0.92183908045977014</v>
      </c>
      <c r="L386" s="49">
        <v>0.35632183908045978</v>
      </c>
      <c r="M386" s="49">
        <v>0</v>
      </c>
      <c r="N386" s="49">
        <v>2.0689655172413793E-2</v>
      </c>
      <c r="O386" s="49">
        <v>2.9885057471264367E-2</v>
      </c>
      <c r="P386" s="49">
        <v>2.528735632183908E-2</v>
      </c>
      <c r="Q386" s="49">
        <v>0</v>
      </c>
      <c r="R386" s="49">
        <v>2.0689655172413793E-2</v>
      </c>
      <c r="S386" s="49">
        <v>4.5977011494252873E-3</v>
      </c>
      <c r="T386" s="49">
        <v>6.8965517241379309E-3</v>
      </c>
      <c r="U386" s="49">
        <v>0</v>
      </c>
    </row>
    <row r="387" spans="1:21">
      <c r="A387" t="s">
        <v>227</v>
      </c>
      <c r="B387" t="s">
        <v>2026</v>
      </c>
      <c r="C387" s="49">
        <v>1</v>
      </c>
      <c r="D387" s="49">
        <v>0.39770114942528734</v>
      </c>
      <c r="E387" s="49">
        <v>1.3793103448275862E-2</v>
      </c>
      <c r="F387" s="49">
        <v>2.2988505747126436E-2</v>
      </c>
      <c r="G387" s="49">
        <v>2.2988505747126436E-3</v>
      </c>
      <c r="H387" s="49">
        <v>1.1494252873563218E-2</v>
      </c>
      <c r="I387" s="49">
        <v>2.7586206896551724E-2</v>
      </c>
      <c r="J387" s="49">
        <v>2.528735632183908E-2</v>
      </c>
      <c r="K387" s="49">
        <v>0.92183908045977014</v>
      </c>
      <c r="L387" s="49">
        <v>0.35632183908045978</v>
      </c>
      <c r="M387" s="49">
        <v>0</v>
      </c>
      <c r="N387" s="49">
        <v>2.0689655172413793E-2</v>
      </c>
      <c r="O387" s="49">
        <v>2.9885057471264367E-2</v>
      </c>
      <c r="P387" s="49">
        <v>2.528735632183908E-2</v>
      </c>
      <c r="Q387" s="49">
        <v>0</v>
      </c>
      <c r="R387" s="49">
        <v>2.0689655172413793E-2</v>
      </c>
      <c r="S387" s="49">
        <v>4.5977011494252873E-3</v>
      </c>
      <c r="T387" s="49">
        <v>6.8965517241379309E-3</v>
      </c>
      <c r="U387" s="49">
        <v>0</v>
      </c>
    </row>
    <row r="388" spans="1:21">
      <c r="A388" t="s">
        <v>98</v>
      </c>
      <c r="B388" t="s">
        <v>2041</v>
      </c>
      <c r="C388" s="49">
        <v>1</v>
      </c>
      <c r="D388" s="49">
        <v>3.68251698248123E-2</v>
      </c>
      <c r="E388" s="49">
        <v>1.2870933142652842E-2</v>
      </c>
      <c r="F388" s="49">
        <v>7.5080443332141578E-3</v>
      </c>
      <c r="G388" s="49">
        <v>3.5752592062924561E-3</v>
      </c>
      <c r="H388" s="49">
        <v>3.5752592062924561E-3</v>
      </c>
      <c r="I388" s="49">
        <v>2.7887021809081158E-2</v>
      </c>
      <c r="J388" s="49">
        <v>1.3228459063282088E-2</v>
      </c>
      <c r="K388" s="49">
        <v>0.91383625312835182</v>
      </c>
      <c r="L388" s="49">
        <v>3.5037540221666073E-2</v>
      </c>
      <c r="M388" s="49">
        <v>0</v>
      </c>
      <c r="N388" s="49">
        <v>4.6478369681801929E-3</v>
      </c>
      <c r="O388" s="49">
        <v>4.0757954951734003E-2</v>
      </c>
      <c r="P388" s="49">
        <v>1.0725777618877368E-2</v>
      </c>
      <c r="Q388" s="49">
        <v>0</v>
      </c>
      <c r="R388" s="49">
        <v>4.6478369681801929E-3</v>
      </c>
      <c r="S388" s="49">
        <v>1.0725777618877368E-3</v>
      </c>
      <c r="T388" s="49">
        <v>1.4301036825169824E-3</v>
      </c>
      <c r="U388" s="49">
        <v>0</v>
      </c>
    </row>
    <row r="389" spans="1:21">
      <c r="A389" t="s">
        <v>1066</v>
      </c>
      <c r="B389" t="s">
        <v>2061</v>
      </c>
      <c r="C389" s="49">
        <v>1</v>
      </c>
      <c r="D389" s="49">
        <v>3.4372049102927286E-2</v>
      </c>
      <c r="E389" s="49">
        <v>2.0963172804532578E-2</v>
      </c>
      <c r="F389" s="49">
        <v>9.442870632672332E-3</v>
      </c>
      <c r="G389" s="49">
        <v>3.4372049102927286E-2</v>
      </c>
      <c r="H389" s="49">
        <v>1.0387157695939566E-2</v>
      </c>
      <c r="I389" s="49">
        <v>0.25136921624173747</v>
      </c>
      <c r="J389" s="49">
        <v>3.0972615675165249E-2</v>
      </c>
      <c r="K389" s="49">
        <v>0.60396600566572234</v>
      </c>
      <c r="L389" s="49">
        <v>4.0982058545797923E-2</v>
      </c>
      <c r="M389" s="49">
        <v>0</v>
      </c>
      <c r="N389" s="49">
        <v>2.8328611898016999E-3</v>
      </c>
      <c r="O389" s="49">
        <v>7.818696883852691E-2</v>
      </c>
      <c r="P389" s="49">
        <v>2.0774315391879131E-2</v>
      </c>
      <c r="Q389" s="49">
        <v>0</v>
      </c>
      <c r="R389" s="49">
        <v>2.8328611898016999E-3</v>
      </c>
      <c r="S389" s="49">
        <v>1.0764872521246459E-2</v>
      </c>
      <c r="T389" s="49">
        <v>8.1208687440982065E-3</v>
      </c>
      <c r="U389" s="49">
        <v>3.7771482530689327E-4</v>
      </c>
    </row>
    <row r="390" spans="1:21">
      <c r="A390" t="s">
        <v>99</v>
      </c>
      <c r="B390" t="s">
        <v>2027</v>
      </c>
      <c r="C390" s="49">
        <v>1</v>
      </c>
      <c r="D390" s="49">
        <v>3.5550458715596332E-2</v>
      </c>
      <c r="E390" s="49">
        <v>1.7201834862385322E-2</v>
      </c>
      <c r="F390" s="49">
        <v>1.0321100917431193E-2</v>
      </c>
      <c r="G390" s="49">
        <v>4.0137614678899085E-3</v>
      </c>
      <c r="H390" s="49">
        <v>4.0137614678899085E-3</v>
      </c>
      <c r="I390" s="49">
        <v>1.6628440366972478E-2</v>
      </c>
      <c r="J390" s="49">
        <v>8.600917431192661E-3</v>
      </c>
      <c r="K390" s="49">
        <v>0.76720183486238536</v>
      </c>
      <c r="L390" s="49">
        <v>3.6123853211009173E-2</v>
      </c>
      <c r="M390" s="49">
        <v>1.1467889908256881E-3</v>
      </c>
      <c r="N390" s="49">
        <v>1.7201834862385322E-3</v>
      </c>
      <c r="O390" s="49">
        <v>0.19094036697247707</v>
      </c>
      <c r="P390" s="49">
        <v>2.0642201834862386E-2</v>
      </c>
      <c r="Q390" s="49">
        <v>0</v>
      </c>
      <c r="R390" s="49">
        <v>7.4541284403669729E-3</v>
      </c>
      <c r="S390" s="49">
        <v>2.8669724770642203E-3</v>
      </c>
      <c r="T390" s="49">
        <v>2.8669724770642203E-3</v>
      </c>
      <c r="U390" s="49">
        <v>0</v>
      </c>
    </row>
    <row r="391" spans="1:21">
      <c r="A391" t="s">
        <v>100</v>
      </c>
      <c r="B391" t="s">
        <v>2032</v>
      </c>
      <c r="C391" s="49">
        <v>1</v>
      </c>
      <c r="D391" s="49">
        <v>3.8293216630196934E-2</v>
      </c>
      <c r="E391" s="49">
        <v>1.8599562363238512E-2</v>
      </c>
      <c r="F391" s="49">
        <v>1.0940919037199124E-2</v>
      </c>
      <c r="G391" s="49">
        <v>1.6411378555798686E-3</v>
      </c>
      <c r="H391" s="49">
        <v>3.2822757111597373E-3</v>
      </c>
      <c r="I391" s="49">
        <v>2.5164113785557989E-2</v>
      </c>
      <c r="J391" s="49">
        <v>9.8468271334792128E-3</v>
      </c>
      <c r="K391" s="49">
        <v>0.85175054704595188</v>
      </c>
      <c r="L391" s="49">
        <v>3.9934354485776806E-2</v>
      </c>
      <c r="M391" s="49">
        <v>0</v>
      </c>
      <c r="N391" s="49">
        <v>7.1115973741794312E-3</v>
      </c>
      <c r="O391" s="49">
        <v>5.9628008752735231E-2</v>
      </c>
      <c r="P391" s="49">
        <v>1.2035010940919038E-2</v>
      </c>
      <c r="Q391" s="49">
        <v>1.0940919037199124E-3</v>
      </c>
      <c r="R391" s="49">
        <v>1.6411378555798686E-3</v>
      </c>
      <c r="S391" s="49">
        <v>4.2122538293216633E-2</v>
      </c>
      <c r="T391" s="49">
        <v>1.6958424507658644E-2</v>
      </c>
      <c r="U391" s="49">
        <v>0</v>
      </c>
    </row>
    <row r="392" spans="1:21">
      <c r="A392" t="s">
        <v>1067</v>
      </c>
      <c r="B392" t="s">
        <v>2033</v>
      </c>
      <c r="C392" s="49">
        <v>1</v>
      </c>
      <c r="D392" s="49">
        <v>2.0257826887661142E-2</v>
      </c>
      <c r="E392" s="49">
        <v>0.46183241252302026</v>
      </c>
      <c r="F392" s="49">
        <v>1.9843462246777164E-2</v>
      </c>
      <c r="G392" s="49">
        <v>4.2495395948434621E-2</v>
      </c>
      <c r="H392" s="49">
        <v>5.6629834254143642E-3</v>
      </c>
      <c r="I392" s="49">
        <v>6.3720073664825044E-2</v>
      </c>
      <c r="J392" s="49">
        <v>8.0570902394106816E-3</v>
      </c>
      <c r="K392" s="49">
        <v>0.30441988950276244</v>
      </c>
      <c r="L392" s="49">
        <v>1.6022099447513812E-2</v>
      </c>
      <c r="M392" s="49">
        <v>3.2228360957642726E-3</v>
      </c>
      <c r="N392" s="49">
        <v>1.4732965009208103E-3</v>
      </c>
      <c r="O392" s="49">
        <v>0.11754143646408839</v>
      </c>
      <c r="P392" s="49">
        <v>1.3305709023941069E-2</v>
      </c>
      <c r="Q392" s="49">
        <v>0</v>
      </c>
      <c r="R392" s="49">
        <v>1.0128913443830571E-3</v>
      </c>
      <c r="S392" s="49">
        <v>4.9723756906077344E-3</v>
      </c>
      <c r="T392" s="49">
        <v>2.2559852670349908E-3</v>
      </c>
      <c r="U392" s="49">
        <v>1.7955801104972376E-3</v>
      </c>
    </row>
    <row r="393" spans="1:21">
      <c r="A393" t="s">
        <v>1369</v>
      </c>
      <c r="B393" t="s">
        <v>2033</v>
      </c>
      <c r="C393" s="49">
        <v>1</v>
      </c>
      <c r="D393" s="49">
        <v>2.0257826887661142E-2</v>
      </c>
      <c r="E393" s="49">
        <v>0.46183241252302026</v>
      </c>
      <c r="F393" s="49">
        <v>1.9843462246777164E-2</v>
      </c>
      <c r="G393" s="49">
        <v>4.2495395948434621E-2</v>
      </c>
      <c r="H393" s="49">
        <v>5.6629834254143642E-3</v>
      </c>
      <c r="I393" s="49">
        <v>6.3720073664825044E-2</v>
      </c>
      <c r="J393" s="49">
        <v>8.0570902394106816E-3</v>
      </c>
      <c r="K393" s="49">
        <v>0.30441988950276244</v>
      </c>
      <c r="L393" s="49">
        <v>1.6022099447513812E-2</v>
      </c>
      <c r="M393" s="49">
        <v>3.2228360957642726E-3</v>
      </c>
      <c r="N393" s="49">
        <v>1.4732965009208103E-3</v>
      </c>
      <c r="O393" s="49">
        <v>0.11754143646408839</v>
      </c>
      <c r="P393" s="49">
        <v>1.3305709023941069E-2</v>
      </c>
      <c r="Q393" s="49">
        <v>0</v>
      </c>
      <c r="R393" s="49">
        <v>1.0128913443830571E-3</v>
      </c>
      <c r="S393" s="49">
        <v>4.9723756906077344E-3</v>
      </c>
      <c r="T393" s="49">
        <v>2.2559852670349908E-3</v>
      </c>
      <c r="U393" s="49">
        <v>1.7955801104972376E-3</v>
      </c>
    </row>
    <row r="394" spans="1:21">
      <c r="A394" t="s">
        <v>1068</v>
      </c>
      <c r="B394" t="s">
        <v>2033</v>
      </c>
      <c r="C394" s="49">
        <v>1</v>
      </c>
      <c r="D394" s="49">
        <v>2.0257826887661142E-2</v>
      </c>
      <c r="E394" s="49">
        <v>0.46183241252302026</v>
      </c>
      <c r="F394" s="49">
        <v>1.9843462246777164E-2</v>
      </c>
      <c r="G394" s="49">
        <v>4.2495395948434621E-2</v>
      </c>
      <c r="H394" s="49">
        <v>5.6629834254143642E-3</v>
      </c>
      <c r="I394" s="49">
        <v>6.3720073664825044E-2</v>
      </c>
      <c r="J394" s="49">
        <v>8.0570902394106816E-3</v>
      </c>
      <c r="K394" s="49">
        <v>0.30441988950276244</v>
      </c>
      <c r="L394" s="49">
        <v>1.6022099447513812E-2</v>
      </c>
      <c r="M394" s="49">
        <v>3.2228360957642726E-3</v>
      </c>
      <c r="N394" s="49">
        <v>1.4732965009208103E-3</v>
      </c>
      <c r="O394" s="49">
        <v>0.11754143646408839</v>
      </c>
      <c r="P394" s="49">
        <v>1.3305709023941069E-2</v>
      </c>
      <c r="Q394" s="49">
        <v>0</v>
      </c>
      <c r="R394" s="49">
        <v>1.0128913443830571E-3</v>
      </c>
      <c r="S394" s="49">
        <v>4.9723756906077344E-3</v>
      </c>
      <c r="T394" s="49">
        <v>2.2559852670349908E-3</v>
      </c>
      <c r="U394" s="49">
        <v>1.7955801104972376E-3</v>
      </c>
    </row>
    <row r="395" spans="1:21">
      <c r="A395" t="s">
        <v>101</v>
      </c>
      <c r="B395" t="s">
        <v>2028</v>
      </c>
      <c r="C395" s="49">
        <v>1</v>
      </c>
      <c r="D395" s="49">
        <v>3.9883268482490269E-2</v>
      </c>
      <c r="E395" s="49">
        <v>4.8638132295719845E-3</v>
      </c>
      <c r="F395" s="49">
        <v>5.8365758754863814E-3</v>
      </c>
      <c r="G395" s="49">
        <v>9.727626459143969E-4</v>
      </c>
      <c r="H395" s="49">
        <v>1.4591439688715954E-3</v>
      </c>
      <c r="I395" s="49">
        <v>8.7548638132295721E-3</v>
      </c>
      <c r="J395" s="49">
        <v>5.8365758754863814E-3</v>
      </c>
      <c r="K395" s="49">
        <v>0.51021400778210113</v>
      </c>
      <c r="L395" s="49">
        <v>2.6750972762645913E-2</v>
      </c>
      <c r="M395" s="49">
        <v>7.7821011673151752E-3</v>
      </c>
      <c r="N395" s="49">
        <v>5.350194552529183E-3</v>
      </c>
      <c r="O395" s="49">
        <v>0.46303501945525294</v>
      </c>
      <c r="P395" s="49">
        <v>3.1614785992217898E-2</v>
      </c>
      <c r="Q395" s="49">
        <v>9.727626459143969E-4</v>
      </c>
      <c r="R395" s="49">
        <v>1.4591439688715954E-3</v>
      </c>
      <c r="S395" s="49">
        <v>1.4591439688715954E-3</v>
      </c>
      <c r="T395" s="49">
        <v>1.9455252918287938E-3</v>
      </c>
      <c r="U395" s="49">
        <v>1.9455252918287938E-3</v>
      </c>
    </row>
    <row r="396" spans="1:21">
      <c r="A396" t="s">
        <v>1422</v>
      </c>
      <c r="B396" t="s">
        <v>2039</v>
      </c>
      <c r="C396" s="49">
        <v>1</v>
      </c>
      <c r="D396" s="49">
        <v>4.2857142857142858E-2</v>
      </c>
      <c r="E396" s="49">
        <v>6.2500000000000003E-3</v>
      </c>
      <c r="F396" s="49">
        <v>4.0178571428571425E-3</v>
      </c>
      <c r="G396" s="49">
        <v>3.2589285714285716E-2</v>
      </c>
      <c r="H396" s="49">
        <v>1.1607142857142858E-2</v>
      </c>
      <c r="I396" s="49">
        <v>0.1299107142857143</v>
      </c>
      <c r="J396" s="49">
        <v>2.5000000000000001E-2</v>
      </c>
      <c r="K396" s="49">
        <v>0.48303571428571429</v>
      </c>
      <c r="L396" s="49">
        <v>4.1517857142857141E-2</v>
      </c>
      <c r="M396" s="49">
        <v>8.9285714285714283E-4</v>
      </c>
      <c r="N396" s="49">
        <v>1.3392857142857143E-3</v>
      </c>
      <c r="O396" s="49">
        <v>0.34241071428571429</v>
      </c>
      <c r="P396" s="49">
        <v>3.7946428571428568E-2</v>
      </c>
      <c r="Q396" s="49">
        <v>0</v>
      </c>
      <c r="R396" s="49">
        <v>5.8035714285714288E-3</v>
      </c>
      <c r="S396" s="49">
        <v>4.0178571428571425E-3</v>
      </c>
      <c r="T396" s="49">
        <v>2.6785714285714286E-3</v>
      </c>
      <c r="U396" s="49">
        <v>8.9285714285714283E-4</v>
      </c>
    </row>
    <row r="397" spans="1:21">
      <c r="A397" t="s">
        <v>102</v>
      </c>
      <c r="B397" t="s">
        <v>2041</v>
      </c>
      <c r="C397" s="49">
        <v>1</v>
      </c>
      <c r="D397" s="49">
        <v>3.68251698248123E-2</v>
      </c>
      <c r="E397" s="49">
        <v>1.2870933142652842E-2</v>
      </c>
      <c r="F397" s="49">
        <v>7.5080443332141578E-3</v>
      </c>
      <c r="G397" s="49">
        <v>3.5752592062924561E-3</v>
      </c>
      <c r="H397" s="49">
        <v>3.5752592062924561E-3</v>
      </c>
      <c r="I397" s="49">
        <v>2.7887021809081158E-2</v>
      </c>
      <c r="J397" s="49">
        <v>1.3228459063282088E-2</v>
      </c>
      <c r="K397" s="49">
        <v>0.91383625312835182</v>
      </c>
      <c r="L397" s="49">
        <v>3.5037540221666073E-2</v>
      </c>
      <c r="M397" s="49">
        <v>0</v>
      </c>
      <c r="N397" s="49">
        <v>4.6478369681801929E-3</v>
      </c>
      <c r="O397" s="49">
        <v>4.0757954951734003E-2</v>
      </c>
      <c r="P397" s="49">
        <v>1.0725777618877368E-2</v>
      </c>
      <c r="Q397" s="49">
        <v>0</v>
      </c>
      <c r="R397" s="49">
        <v>4.6478369681801929E-3</v>
      </c>
      <c r="S397" s="49">
        <v>1.0725777618877368E-3</v>
      </c>
      <c r="T397" s="49">
        <v>1.4301036825169824E-3</v>
      </c>
      <c r="U397" s="49">
        <v>0</v>
      </c>
    </row>
    <row r="398" spans="1:21">
      <c r="A398" t="s">
        <v>1513</v>
      </c>
      <c r="B398" t="s">
        <v>2023</v>
      </c>
      <c r="C398" s="49">
        <v>1</v>
      </c>
      <c r="D398" s="49">
        <v>9.6805421103581799E-2</v>
      </c>
      <c r="E398" s="49">
        <v>1.9361084220716359E-2</v>
      </c>
      <c r="F398" s="49">
        <v>1.452081316553727E-2</v>
      </c>
      <c r="G398" s="49">
        <v>1.3552758954501452E-2</v>
      </c>
      <c r="H398" s="49">
        <v>9.6805421103581795E-3</v>
      </c>
      <c r="I398" s="49">
        <v>3.8722168441432718E-2</v>
      </c>
      <c r="J398" s="49">
        <v>1.8393030009680542E-2</v>
      </c>
      <c r="K398" s="49">
        <v>0.87415295256534364</v>
      </c>
      <c r="L398" s="49">
        <v>8.8092933204259441E-2</v>
      </c>
      <c r="M398" s="49">
        <v>0</v>
      </c>
      <c r="N398" s="49">
        <v>1.2584704743465635E-2</v>
      </c>
      <c r="O398" s="49">
        <v>1.452081316553727E-2</v>
      </c>
      <c r="P398" s="49">
        <v>9.6805421103581795E-3</v>
      </c>
      <c r="Q398" s="49">
        <v>0</v>
      </c>
      <c r="R398" s="49">
        <v>1.2584704743465635E-2</v>
      </c>
      <c r="S398" s="49">
        <v>3.7754114230396901E-2</v>
      </c>
      <c r="T398" s="49">
        <v>1.7424975798644726E-2</v>
      </c>
      <c r="U398" s="49">
        <v>1.9361084220716361E-3</v>
      </c>
    </row>
    <row r="399" spans="1:21">
      <c r="A399" t="s">
        <v>103</v>
      </c>
      <c r="B399" t="s">
        <v>2041</v>
      </c>
      <c r="C399" s="49">
        <v>1</v>
      </c>
      <c r="D399" s="49">
        <v>3.68251698248123E-2</v>
      </c>
      <c r="E399" s="49">
        <v>1.2870933142652842E-2</v>
      </c>
      <c r="F399" s="49">
        <v>7.5080443332141578E-3</v>
      </c>
      <c r="G399" s="49">
        <v>3.5752592062924561E-3</v>
      </c>
      <c r="H399" s="49">
        <v>3.5752592062924561E-3</v>
      </c>
      <c r="I399" s="49">
        <v>2.7887021809081158E-2</v>
      </c>
      <c r="J399" s="49">
        <v>1.3228459063282088E-2</v>
      </c>
      <c r="K399" s="49">
        <v>0.91383625312835182</v>
      </c>
      <c r="L399" s="49">
        <v>3.5037540221666073E-2</v>
      </c>
      <c r="M399" s="49">
        <v>0</v>
      </c>
      <c r="N399" s="49">
        <v>4.6478369681801929E-3</v>
      </c>
      <c r="O399" s="49">
        <v>4.0757954951734003E-2</v>
      </c>
      <c r="P399" s="49">
        <v>1.0725777618877368E-2</v>
      </c>
      <c r="Q399" s="49">
        <v>0</v>
      </c>
      <c r="R399" s="49">
        <v>4.6478369681801929E-3</v>
      </c>
      <c r="S399" s="49">
        <v>1.0725777618877368E-3</v>
      </c>
      <c r="T399" s="49">
        <v>1.4301036825169824E-3</v>
      </c>
      <c r="U399" s="49">
        <v>0</v>
      </c>
    </row>
    <row r="400" spans="1:21">
      <c r="A400" t="s">
        <v>32</v>
      </c>
      <c r="B400" t="s">
        <v>2032</v>
      </c>
      <c r="C400" s="49">
        <v>1</v>
      </c>
      <c r="D400" s="49">
        <v>3.8293216630196934E-2</v>
      </c>
      <c r="E400" s="49">
        <v>1.8599562363238512E-2</v>
      </c>
      <c r="F400" s="49">
        <v>1.0940919037199124E-2</v>
      </c>
      <c r="G400" s="49">
        <v>1.6411378555798686E-3</v>
      </c>
      <c r="H400" s="49">
        <v>3.2822757111597373E-3</v>
      </c>
      <c r="I400" s="49">
        <v>2.5164113785557989E-2</v>
      </c>
      <c r="J400" s="49">
        <v>9.8468271334792128E-3</v>
      </c>
      <c r="K400" s="49">
        <v>0.85175054704595188</v>
      </c>
      <c r="L400" s="49">
        <v>3.9934354485776806E-2</v>
      </c>
      <c r="M400" s="49">
        <v>0</v>
      </c>
      <c r="N400" s="49">
        <v>7.1115973741794312E-3</v>
      </c>
      <c r="O400" s="49">
        <v>5.9628008752735231E-2</v>
      </c>
      <c r="P400" s="49">
        <v>1.2035010940919038E-2</v>
      </c>
      <c r="Q400" s="49">
        <v>1.0940919037199124E-3</v>
      </c>
      <c r="R400" s="49">
        <v>1.6411378555798686E-3</v>
      </c>
      <c r="S400" s="49">
        <v>4.2122538293216633E-2</v>
      </c>
      <c r="T400" s="49">
        <v>1.6958424507658644E-2</v>
      </c>
      <c r="U400" s="49">
        <v>0</v>
      </c>
    </row>
    <row r="401" spans="1:21">
      <c r="A401" t="s">
        <v>1423</v>
      </c>
      <c r="B401" t="s">
        <v>2024</v>
      </c>
      <c r="C401" s="49">
        <v>1</v>
      </c>
      <c r="D401" s="49">
        <v>3.9991113085980891E-2</v>
      </c>
      <c r="E401" s="49">
        <v>3.4436791824039102E-2</v>
      </c>
      <c r="F401" s="49">
        <v>1.5329926682959343E-2</v>
      </c>
      <c r="G401" s="49">
        <v>4.8878027105087761E-3</v>
      </c>
      <c r="H401" s="49">
        <v>4.6656298600311046E-3</v>
      </c>
      <c r="I401" s="49">
        <v>8.0648744723394797E-2</v>
      </c>
      <c r="J401" s="49">
        <v>2.7771606309708954E-2</v>
      </c>
      <c r="K401" s="49">
        <v>0.80493223728060426</v>
      </c>
      <c r="L401" s="49">
        <v>4.9988891357476119E-2</v>
      </c>
      <c r="M401" s="49">
        <v>0</v>
      </c>
      <c r="N401" s="49">
        <v>3.3325927571650742E-3</v>
      </c>
      <c r="O401" s="49">
        <v>5.6431904021328597E-2</v>
      </c>
      <c r="P401" s="49">
        <v>2.043990224394579E-2</v>
      </c>
      <c r="Q401" s="49">
        <v>0</v>
      </c>
      <c r="R401" s="49">
        <v>3.3325927571650742E-3</v>
      </c>
      <c r="S401" s="49">
        <v>1.7107309486780714E-2</v>
      </c>
      <c r="T401" s="49">
        <v>1.0219951121972895E-2</v>
      </c>
      <c r="U401" s="49">
        <v>1.5552099533437014E-3</v>
      </c>
    </row>
    <row r="402" spans="1:21">
      <c r="A402" t="s">
        <v>1168</v>
      </c>
      <c r="B402" t="s">
        <v>2044</v>
      </c>
      <c r="C402" s="49">
        <v>1</v>
      </c>
      <c r="D402" s="49">
        <v>4.81892523364486E-2</v>
      </c>
      <c r="E402" s="49">
        <v>4.6436915887850469E-2</v>
      </c>
      <c r="F402" s="49">
        <v>1.8107476635514017E-2</v>
      </c>
      <c r="G402" s="49">
        <v>2.9205607476635514E-2</v>
      </c>
      <c r="H402" s="49">
        <v>2.0443925233644859E-2</v>
      </c>
      <c r="I402" s="49">
        <v>2.27803738317757E-2</v>
      </c>
      <c r="J402" s="49">
        <v>1.4310747663551402E-2</v>
      </c>
      <c r="K402" s="49">
        <v>0.67873831775700932</v>
      </c>
      <c r="L402" s="49">
        <v>5.1401869158878503E-2</v>
      </c>
      <c r="M402" s="49">
        <v>3.7967289719626168E-3</v>
      </c>
      <c r="N402" s="49">
        <v>3.5046728971962616E-3</v>
      </c>
      <c r="O402" s="49">
        <v>0.21290887850467291</v>
      </c>
      <c r="P402" s="49">
        <v>3.6214953271028034E-2</v>
      </c>
      <c r="Q402" s="49">
        <v>0</v>
      </c>
      <c r="R402" s="49">
        <v>3.7967289719626168E-3</v>
      </c>
      <c r="S402" s="49">
        <v>3.7967289719626168E-3</v>
      </c>
      <c r="T402" s="49">
        <v>4.0887850467289715E-3</v>
      </c>
      <c r="U402" s="49">
        <v>2.3364485981308409E-3</v>
      </c>
    </row>
    <row r="403" spans="1:21">
      <c r="A403" t="s">
        <v>551</v>
      </c>
      <c r="B403" t="s">
        <v>2049</v>
      </c>
      <c r="C403" s="49">
        <v>1</v>
      </c>
      <c r="D403" s="49">
        <v>4.4738323016319637E-2</v>
      </c>
      <c r="E403" s="49">
        <v>1.8851997749015192E-2</v>
      </c>
      <c r="F403" s="49">
        <v>1.2661789532920653E-2</v>
      </c>
      <c r="G403" s="49">
        <v>5.0365785030951044E-2</v>
      </c>
      <c r="H403" s="49">
        <v>2.2228474957794037E-2</v>
      </c>
      <c r="I403" s="49">
        <v>0.30050647158131683</v>
      </c>
      <c r="J403" s="49">
        <v>4.0236353404614518E-2</v>
      </c>
      <c r="K403" s="49">
        <v>0.56218345526167701</v>
      </c>
      <c r="L403" s="49">
        <v>4.6426561620709059E-2</v>
      </c>
      <c r="M403" s="49">
        <v>1.4068655036578502E-3</v>
      </c>
      <c r="N403" s="49">
        <v>2.8137310073157004E-3</v>
      </c>
      <c r="O403" s="49">
        <v>5.9369724254361281E-2</v>
      </c>
      <c r="P403" s="49">
        <v>1.7726505346088915E-2</v>
      </c>
      <c r="Q403" s="49">
        <v>0</v>
      </c>
      <c r="R403" s="49">
        <v>3.6578503095104106E-3</v>
      </c>
      <c r="S403" s="49">
        <v>2.5323579065841305E-3</v>
      </c>
      <c r="T403" s="49">
        <v>2.2509848058525606E-3</v>
      </c>
      <c r="U403" s="49">
        <v>4.7833427124366907E-3</v>
      </c>
    </row>
    <row r="404" spans="1:21">
      <c r="A404" t="s">
        <v>20</v>
      </c>
      <c r="B404" t="s">
        <v>2054</v>
      </c>
      <c r="C404" s="49">
        <v>1</v>
      </c>
      <c r="D404" s="49">
        <v>0.14805825242718446</v>
      </c>
      <c r="E404" s="49">
        <v>2.4271844660194174E-2</v>
      </c>
      <c r="F404" s="49">
        <v>2.9126213592233011E-2</v>
      </c>
      <c r="G404" s="49">
        <v>5.0970873786407765E-2</v>
      </c>
      <c r="H404" s="49">
        <v>4.12621359223301E-2</v>
      </c>
      <c r="I404" s="49">
        <v>3.3980582524271843E-2</v>
      </c>
      <c r="J404" s="49">
        <v>1.9417475728155338E-2</v>
      </c>
      <c r="K404" s="49">
        <v>0.80097087378640774</v>
      </c>
      <c r="L404" s="49">
        <v>0.13349514563106796</v>
      </c>
      <c r="M404" s="49">
        <v>0</v>
      </c>
      <c r="N404" s="49">
        <v>2.1844660194174758E-2</v>
      </c>
      <c r="O404" s="49">
        <v>8.9805825242718448E-2</v>
      </c>
      <c r="P404" s="49">
        <v>3.640776699029126E-2</v>
      </c>
      <c r="Q404" s="49">
        <v>0</v>
      </c>
      <c r="R404" s="49">
        <v>2.1844660194174758E-2</v>
      </c>
      <c r="S404" s="49">
        <v>0</v>
      </c>
      <c r="T404" s="49">
        <v>2.1844660194174758E-2</v>
      </c>
      <c r="U404" s="49">
        <v>0</v>
      </c>
    </row>
    <row r="405" spans="1:21">
      <c r="A405" t="s">
        <v>1070</v>
      </c>
      <c r="B405" t="s">
        <v>2031</v>
      </c>
      <c r="C405" s="49">
        <v>1</v>
      </c>
      <c r="D405" s="49">
        <v>1.3398451306108023E-2</v>
      </c>
      <c r="E405" s="49">
        <v>0.69887221668862254</v>
      </c>
      <c r="F405" s="49">
        <v>1.5679722391800276E-2</v>
      </c>
      <c r="G405" s="49">
        <v>1.2177489316582591E-2</v>
      </c>
      <c r="H405" s="49">
        <v>3.2451884458439095E-3</v>
      </c>
      <c r="I405" s="49">
        <v>5.7835041609099379E-2</v>
      </c>
      <c r="J405" s="49">
        <v>7.6149471451980848E-3</v>
      </c>
      <c r="K405" s="49">
        <v>0.1487645792500723</v>
      </c>
      <c r="L405" s="49">
        <v>9.1250843427690131E-3</v>
      </c>
      <c r="M405" s="49">
        <v>2.5061851363943066E-3</v>
      </c>
      <c r="N405" s="49">
        <v>1.2530925681971533E-3</v>
      </c>
      <c r="O405" s="49">
        <v>7.3836069787616879E-2</v>
      </c>
      <c r="P405" s="49">
        <v>6.8759438357484815E-3</v>
      </c>
      <c r="Q405" s="49">
        <v>0</v>
      </c>
      <c r="R405" s="49">
        <v>7.0687273077788134E-4</v>
      </c>
      <c r="S405" s="49">
        <v>4.2412363846672883E-3</v>
      </c>
      <c r="T405" s="49">
        <v>2.0242264563184783E-3</v>
      </c>
      <c r="U405" s="49">
        <v>1.7671818269447033E-3</v>
      </c>
    </row>
    <row r="406" spans="1:21">
      <c r="A406" t="s">
        <v>253</v>
      </c>
      <c r="B406" t="s">
        <v>2044</v>
      </c>
      <c r="C406" s="49">
        <v>1</v>
      </c>
      <c r="D406" s="49">
        <v>4.81892523364486E-2</v>
      </c>
      <c r="E406" s="49">
        <v>4.6436915887850469E-2</v>
      </c>
      <c r="F406" s="49">
        <v>1.8107476635514017E-2</v>
      </c>
      <c r="G406" s="49">
        <v>2.9205607476635514E-2</v>
      </c>
      <c r="H406" s="49">
        <v>2.0443925233644859E-2</v>
      </c>
      <c r="I406" s="49">
        <v>2.27803738317757E-2</v>
      </c>
      <c r="J406" s="49">
        <v>1.4310747663551402E-2</v>
      </c>
      <c r="K406" s="49">
        <v>0.67873831775700932</v>
      </c>
      <c r="L406" s="49">
        <v>5.1401869158878503E-2</v>
      </c>
      <c r="M406" s="49">
        <v>3.7967289719626168E-3</v>
      </c>
      <c r="N406" s="49">
        <v>3.5046728971962616E-3</v>
      </c>
      <c r="O406" s="49">
        <v>0.21290887850467291</v>
      </c>
      <c r="P406" s="49">
        <v>3.6214953271028034E-2</v>
      </c>
      <c r="Q406" s="49">
        <v>0</v>
      </c>
      <c r="R406" s="49">
        <v>3.7967289719626168E-3</v>
      </c>
      <c r="S406" s="49">
        <v>3.7967289719626168E-3</v>
      </c>
      <c r="T406" s="49">
        <v>4.0887850467289715E-3</v>
      </c>
      <c r="U406" s="49">
        <v>2.3364485981308409E-3</v>
      </c>
    </row>
    <row r="407" spans="1:21">
      <c r="A407" t="s">
        <v>191</v>
      </c>
      <c r="B407" t="s">
        <v>2025</v>
      </c>
      <c r="C407" s="49">
        <v>1</v>
      </c>
      <c r="D407" s="49">
        <v>3.4419458467186782E-2</v>
      </c>
      <c r="E407" s="49">
        <v>5.9660394676457089E-3</v>
      </c>
      <c r="F407" s="49">
        <v>4.8187241854061496E-3</v>
      </c>
      <c r="G407" s="49">
        <v>1.1473152822395595E-3</v>
      </c>
      <c r="H407" s="49">
        <v>1.8357044515832951E-3</v>
      </c>
      <c r="I407" s="49">
        <v>1.7668655346489214E-2</v>
      </c>
      <c r="J407" s="49">
        <v>1.0325837540156035E-2</v>
      </c>
      <c r="K407" s="49">
        <v>0.85589720055071139</v>
      </c>
      <c r="L407" s="49">
        <v>3.1895364846259752E-2</v>
      </c>
      <c r="M407" s="49">
        <v>2.2946305644791189E-4</v>
      </c>
      <c r="N407" s="49">
        <v>4.5892611289582378E-4</v>
      </c>
      <c r="O407" s="49">
        <v>0.11656723267553924</v>
      </c>
      <c r="P407" s="49">
        <v>1.6291877007801745E-2</v>
      </c>
      <c r="Q407" s="49">
        <v>0</v>
      </c>
      <c r="R407" s="49">
        <v>3.4419458467186783E-3</v>
      </c>
      <c r="S407" s="49">
        <v>2.5240936209270305E-3</v>
      </c>
      <c r="T407" s="49">
        <v>1.1473152822395595E-3</v>
      </c>
      <c r="U407" s="49">
        <v>0</v>
      </c>
    </row>
    <row r="408" spans="1:21">
      <c r="A408" t="s">
        <v>1071</v>
      </c>
      <c r="B408" t="s">
        <v>2033</v>
      </c>
      <c r="C408" s="49">
        <v>1</v>
      </c>
      <c r="D408" s="49">
        <v>2.0257826887661142E-2</v>
      </c>
      <c r="E408" s="49">
        <v>0.46183241252302026</v>
      </c>
      <c r="F408" s="49">
        <v>1.9843462246777164E-2</v>
      </c>
      <c r="G408" s="49">
        <v>4.2495395948434621E-2</v>
      </c>
      <c r="H408" s="49">
        <v>5.6629834254143642E-3</v>
      </c>
      <c r="I408" s="49">
        <v>6.3720073664825044E-2</v>
      </c>
      <c r="J408" s="49">
        <v>8.0570902394106816E-3</v>
      </c>
      <c r="K408" s="49">
        <v>0.30441988950276244</v>
      </c>
      <c r="L408" s="49">
        <v>1.6022099447513812E-2</v>
      </c>
      <c r="M408" s="49">
        <v>3.2228360957642726E-3</v>
      </c>
      <c r="N408" s="49">
        <v>1.4732965009208103E-3</v>
      </c>
      <c r="O408" s="49">
        <v>0.11754143646408839</v>
      </c>
      <c r="P408" s="49">
        <v>1.3305709023941069E-2</v>
      </c>
      <c r="Q408" s="49">
        <v>0</v>
      </c>
      <c r="R408" s="49">
        <v>1.0128913443830571E-3</v>
      </c>
      <c r="S408" s="49">
        <v>4.9723756906077344E-3</v>
      </c>
      <c r="T408" s="49">
        <v>2.2559852670349908E-3</v>
      </c>
      <c r="U408" s="49">
        <v>1.7955801104972376E-3</v>
      </c>
    </row>
    <row r="409" spans="1:21">
      <c r="A409" t="s">
        <v>1424</v>
      </c>
      <c r="B409" t="s">
        <v>2041</v>
      </c>
      <c r="C409" s="49">
        <v>1</v>
      </c>
      <c r="D409" s="49">
        <v>3.68251698248123E-2</v>
      </c>
      <c r="E409" s="49">
        <v>1.2870933142652842E-2</v>
      </c>
      <c r="F409" s="49">
        <v>7.5080443332141578E-3</v>
      </c>
      <c r="G409" s="49">
        <v>3.5752592062924561E-3</v>
      </c>
      <c r="H409" s="49">
        <v>3.5752592062924561E-3</v>
      </c>
      <c r="I409" s="49">
        <v>2.7887021809081158E-2</v>
      </c>
      <c r="J409" s="49">
        <v>1.3228459063282088E-2</v>
      </c>
      <c r="K409" s="49">
        <v>0.91383625312835182</v>
      </c>
      <c r="L409" s="49">
        <v>3.5037540221666073E-2</v>
      </c>
      <c r="M409" s="49">
        <v>0</v>
      </c>
      <c r="N409" s="49">
        <v>4.6478369681801929E-3</v>
      </c>
      <c r="O409" s="49">
        <v>4.0757954951734003E-2</v>
      </c>
      <c r="P409" s="49">
        <v>1.0725777618877368E-2</v>
      </c>
      <c r="Q409" s="49">
        <v>0</v>
      </c>
      <c r="R409" s="49">
        <v>4.6478369681801929E-3</v>
      </c>
      <c r="S409" s="49">
        <v>1.0725777618877368E-3</v>
      </c>
      <c r="T409" s="49">
        <v>1.4301036825169824E-3</v>
      </c>
      <c r="U409" s="49">
        <v>0</v>
      </c>
    </row>
    <row r="410" spans="1:21">
      <c r="A410" t="s">
        <v>1969</v>
      </c>
      <c r="B410" t="s">
        <v>2031</v>
      </c>
      <c r="C410" s="49">
        <v>1</v>
      </c>
      <c r="D410" s="49">
        <v>1.3398451306108023E-2</v>
      </c>
      <c r="E410" s="49">
        <v>0.69887221668862254</v>
      </c>
      <c r="F410" s="49">
        <v>1.5679722391800276E-2</v>
      </c>
      <c r="G410" s="49">
        <v>1.2177489316582591E-2</v>
      </c>
      <c r="H410" s="49">
        <v>3.2451884458439095E-3</v>
      </c>
      <c r="I410" s="49">
        <v>5.7835041609099379E-2</v>
      </c>
      <c r="J410" s="49">
        <v>7.6149471451980848E-3</v>
      </c>
      <c r="K410" s="49">
        <v>0.1487645792500723</v>
      </c>
      <c r="L410" s="49">
        <v>9.1250843427690131E-3</v>
      </c>
      <c r="M410" s="49">
        <v>2.5061851363943066E-3</v>
      </c>
      <c r="N410" s="49">
        <v>1.2530925681971533E-3</v>
      </c>
      <c r="O410" s="49">
        <v>7.3836069787616879E-2</v>
      </c>
      <c r="P410" s="49">
        <v>6.8759438357484815E-3</v>
      </c>
      <c r="Q410" s="49">
        <v>0</v>
      </c>
      <c r="R410" s="49">
        <v>7.0687273077788134E-4</v>
      </c>
      <c r="S410" s="49">
        <v>4.2412363846672883E-3</v>
      </c>
      <c r="T410" s="49">
        <v>2.0242264563184783E-3</v>
      </c>
      <c r="U410" s="49">
        <v>1.7671818269447033E-3</v>
      </c>
    </row>
    <row r="411" spans="1:21">
      <c r="A411" t="s">
        <v>1072</v>
      </c>
      <c r="B411" t="s">
        <v>2042</v>
      </c>
      <c r="C411" s="49">
        <v>1</v>
      </c>
      <c r="D411" s="49">
        <v>0.13020833333333334</v>
      </c>
      <c r="E411" s="49">
        <v>0</v>
      </c>
      <c r="F411" s="49">
        <v>2.34375E-2</v>
      </c>
      <c r="G411" s="49">
        <v>0</v>
      </c>
      <c r="H411" s="49">
        <v>2.34375E-2</v>
      </c>
      <c r="I411" s="49">
        <v>0</v>
      </c>
      <c r="J411" s="49">
        <v>2.34375E-2</v>
      </c>
      <c r="K411" s="49">
        <v>0.96354166666666663</v>
      </c>
      <c r="L411" s="49">
        <v>0.125</v>
      </c>
      <c r="M411" s="49">
        <v>0</v>
      </c>
      <c r="N411" s="49">
        <v>2.34375E-2</v>
      </c>
      <c r="O411" s="49">
        <v>1.3020833333333334E-2</v>
      </c>
      <c r="P411" s="49">
        <v>1.0416666666666666E-2</v>
      </c>
      <c r="Q411" s="49">
        <v>0</v>
      </c>
      <c r="R411" s="49">
        <v>2.34375E-2</v>
      </c>
      <c r="S411" s="49">
        <v>1.8229166666666668E-2</v>
      </c>
      <c r="T411" s="49">
        <v>1.5625E-2</v>
      </c>
      <c r="U411" s="49">
        <v>5.208333333333333E-3</v>
      </c>
    </row>
    <row r="412" spans="1:21">
      <c r="A412" t="s">
        <v>1614</v>
      </c>
      <c r="B412" t="s">
        <v>2037</v>
      </c>
      <c r="C412" s="49">
        <v>1</v>
      </c>
      <c r="D412" s="49">
        <v>1.7899291896144767E-2</v>
      </c>
      <c r="E412" s="49">
        <v>5.4316061593795664E-2</v>
      </c>
      <c r="F412" s="49">
        <v>8.14881420703608E-3</v>
      </c>
      <c r="G412" s="49">
        <v>1.3993480948634372E-2</v>
      </c>
      <c r="H412" s="49">
        <v>4.3835000561987187E-3</v>
      </c>
      <c r="I412" s="49">
        <v>6.9433516915814314E-2</v>
      </c>
      <c r="J412" s="49">
        <v>9.3851860177587947E-3</v>
      </c>
      <c r="K412" s="49">
        <v>0.75665954816230185</v>
      </c>
      <c r="L412" s="49">
        <v>2.2648083623693381E-2</v>
      </c>
      <c r="M412" s="49">
        <v>1.6943913678768123E-2</v>
      </c>
      <c r="N412" s="49">
        <v>5.0297853208946834E-3</v>
      </c>
      <c r="O412" s="49">
        <v>7.0107901539844891E-2</v>
      </c>
      <c r="P412" s="49">
        <v>1.0340564235135439E-2</v>
      </c>
      <c r="Q412" s="49">
        <v>3.6529167134989322E-4</v>
      </c>
      <c r="R412" s="49">
        <v>6.1818590536135776E-4</v>
      </c>
      <c r="S412" s="49">
        <v>1.4162077104642014E-2</v>
      </c>
      <c r="T412" s="49">
        <v>4.3835000561987187E-3</v>
      </c>
      <c r="U412" s="49">
        <v>4.0182083848488252E-3</v>
      </c>
    </row>
    <row r="413" spans="1:21">
      <c r="A413" t="s">
        <v>1425</v>
      </c>
      <c r="B413" t="s">
        <v>2026</v>
      </c>
      <c r="C413" s="49">
        <v>1</v>
      </c>
      <c r="D413" s="49">
        <v>0.39770114942528734</v>
      </c>
      <c r="E413" s="49">
        <v>1.3793103448275862E-2</v>
      </c>
      <c r="F413" s="49">
        <v>2.2988505747126436E-2</v>
      </c>
      <c r="G413" s="49">
        <v>2.2988505747126436E-3</v>
      </c>
      <c r="H413" s="49">
        <v>1.1494252873563218E-2</v>
      </c>
      <c r="I413" s="49">
        <v>2.7586206896551724E-2</v>
      </c>
      <c r="J413" s="49">
        <v>2.528735632183908E-2</v>
      </c>
      <c r="K413" s="49">
        <v>0.92183908045977014</v>
      </c>
      <c r="L413" s="49">
        <v>0.35632183908045978</v>
      </c>
      <c r="M413" s="49">
        <v>0</v>
      </c>
      <c r="N413" s="49">
        <v>2.0689655172413793E-2</v>
      </c>
      <c r="O413" s="49">
        <v>2.9885057471264367E-2</v>
      </c>
      <c r="P413" s="49">
        <v>2.528735632183908E-2</v>
      </c>
      <c r="Q413" s="49">
        <v>0</v>
      </c>
      <c r="R413" s="49">
        <v>2.0689655172413793E-2</v>
      </c>
      <c r="S413" s="49">
        <v>4.5977011494252873E-3</v>
      </c>
      <c r="T413" s="49">
        <v>6.8965517241379309E-3</v>
      </c>
      <c r="U413" s="49">
        <v>0</v>
      </c>
    </row>
    <row r="414" spans="1:21">
      <c r="A414" t="s">
        <v>106</v>
      </c>
      <c r="B414" t="s">
        <v>2041</v>
      </c>
      <c r="C414" s="49">
        <v>1</v>
      </c>
      <c r="D414" s="49">
        <v>3.68251698248123E-2</v>
      </c>
      <c r="E414" s="49">
        <v>1.2870933142652842E-2</v>
      </c>
      <c r="F414" s="49">
        <v>7.5080443332141578E-3</v>
      </c>
      <c r="G414" s="49">
        <v>3.5752592062924561E-3</v>
      </c>
      <c r="H414" s="49">
        <v>3.5752592062924561E-3</v>
      </c>
      <c r="I414" s="49">
        <v>2.7887021809081158E-2</v>
      </c>
      <c r="J414" s="49">
        <v>1.3228459063282088E-2</v>
      </c>
      <c r="K414" s="49">
        <v>0.91383625312835182</v>
      </c>
      <c r="L414" s="49">
        <v>3.5037540221666073E-2</v>
      </c>
      <c r="M414" s="49">
        <v>0</v>
      </c>
      <c r="N414" s="49">
        <v>4.6478369681801929E-3</v>
      </c>
      <c r="O414" s="49">
        <v>4.0757954951734003E-2</v>
      </c>
      <c r="P414" s="49">
        <v>1.0725777618877368E-2</v>
      </c>
      <c r="Q414" s="49">
        <v>0</v>
      </c>
      <c r="R414" s="49">
        <v>4.6478369681801929E-3</v>
      </c>
      <c r="S414" s="49">
        <v>1.0725777618877368E-3</v>
      </c>
      <c r="T414" s="49">
        <v>1.4301036825169824E-3</v>
      </c>
      <c r="U414" s="49">
        <v>0</v>
      </c>
    </row>
    <row r="415" spans="1:21">
      <c r="A415" t="s">
        <v>1426</v>
      </c>
      <c r="B415" t="s">
        <v>2037</v>
      </c>
      <c r="C415" s="49">
        <v>1</v>
      </c>
      <c r="D415" s="49">
        <v>1.7899291896144767E-2</v>
      </c>
      <c r="E415" s="49">
        <v>5.4316061593795664E-2</v>
      </c>
      <c r="F415" s="49">
        <v>8.14881420703608E-3</v>
      </c>
      <c r="G415" s="49">
        <v>1.3993480948634372E-2</v>
      </c>
      <c r="H415" s="49">
        <v>4.3835000561987187E-3</v>
      </c>
      <c r="I415" s="49">
        <v>6.9433516915814314E-2</v>
      </c>
      <c r="J415" s="49">
        <v>9.3851860177587947E-3</v>
      </c>
      <c r="K415" s="49">
        <v>0.75665954816230185</v>
      </c>
      <c r="L415" s="49">
        <v>2.2648083623693381E-2</v>
      </c>
      <c r="M415" s="49">
        <v>1.6943913678768123E-2</v>
      </c>
      <c r="N415" s="49">
        <v>5.0297853208946834E-3</v>
      </c>
      <c r="O415" s="49">
        <v>7.0107901539844891E-2</v>
      </c>
      <c r="P415" s="49">
        <v>1.0340564235135439E-2</v>
      </c>
      <c r="Q415" s="49">
        <v>3.6529167134989322E-4</v>
      </c>
      <c r="R415" s="49">
        <v>6.1818590536135776E-4</v>
      </c>
      <c r="S415" s="49">
        <v>1.4162077104642014E-2</v>
      </c>
      <c r="T415" s="49">
        <v>4.3835000561987187E-3</v>
      </c>
      <c r="U415" s="49">
        <v>4.0182083848488252E-3</v>
      </c>
    </row>
    <row r="416" spans="1:21">
      <c r="A416" t="s">
        <v>1073</v>
      </c>
      <c r="B416" t="s">
        <v>2033</v>
      </c>
      <c r="C416" s="49">
        <v>1</v>
      </c>
      <c r="D416" s="49">
        <v>2.0257826887661142E-2</v>
      </c>
      <c r="E416" s="49">
        <v>0.46183241252302026</v>
      </c>
      <c r="F416" s="49">
        <v>1.9843462246777164E-2</v>
      </c>
      <c r="G416" s="49">
        <v>4.2495395948434621E-2</v>
      </c>
      <c r="H416" s="49">
        <v>5.6629834254143642E-3</v>
      </c>
      <c r="I416" s="49">
        <v>6.3720073664825044E-2</v>
      </c>
      <c r="J416" s="49">
        <v>8.0570902394106816E-3</v>
      </c>
      <c r="K416" s="49">
        <v>0.30441988950276244</v>
      </c>
      <c r="L416" s="49">
        <v>1.6022099447513812E-2</v>
      </c>
      <c r="M416" s="49">
        <v>3.2228360957642726E-3</v>
      </c>
      <c r="N416" s="49">
        <v>1.4732965009208103E-3</v>
      </c>
      <c r="O416" s="49">
        <v>0.11754143646408839</v>
      </c>
      <c r="P416" s="49">
        <v>1.3305709023941069E-2</v>
      </c>
      <c r="Q416" s="49">
        <v>0</v>
      </c>
      <c r="R416" s="49">
        <v>1.0128913443830571E-3</v>
      </c>
      <c r="S416" s="49">
        <v>4.9723756906077344E-3</v>
      </c>
      <c r="T416" s="49">
        <v>2.2559852670349908E-3</v>
      </c>
      <c r="U416" s="49">
        <v>1.7955801104972376E-3</v>
      </c>
    </row>
    <row r="417" spans="1:21">
      <c r="A417" t="s">
        <v>411</v>
      </c>
      <c r="B417" t="s">
        <v>2028</v>
      </c>
      <c r="C417" s="49">
        <v>1</v>
      </c>
      <c r="D417" s="49">
        <v>3.9883268482490269E-2</v>
      </c>
      <c r="E417" s="49">
        <v>4.8638132295719845E-3</v>
      </c>
      <c r="F417" s="49">
        <v>5.8365758754863814E-3</v>
      </c>
      <c r="G417" s="49">
        <v>9.727626459143969E-4</v>
      </c>
      <c r="H417" s="49">
        <v>1.4591439688715954E-3</v>
      </c>
      <c r="I417" s="49">
        <v>8.7548638132295721E-3</v>
      </c>
      <c r="J417" s="49">
        <v>5.8365758754863814E-3</v>
      </c>
      <c r="K417" s="49">
        <v>0.51021400778210113</v>
      </c>
      <c r="L417" s="49">
        <v>2.6750972762645913E-2</v>
      </c>
      <c r="M417" s="49">
        <v>7.7821011673151752E-3</v>
      </c>
      <c r="N417" s="49">
        <v>5.350194552529183E-3</v>
      </c>
      <c r="O417" s="49">
        <v>0.46303501945525294</v>
      </c>
      <c r="P417" s="49">
        <v>3.1614785992217898E-2</v>
      </c>
      <c r="Q417" s="49">
        <v>9.727626459143969E-4</v>
      </c>
      <c r="R417" s="49">
        <v>1.4591439688715954E-3</v>
      </c>
      <c r="S417" s="49">
        <v>1.4591439688715954E-3</v>
      </c>
      <c r="T417" s="49">
        <v>1.9455252918287938E-3</v>
      </c>
      <c r="U417" s="49">
        <v>1.9455252918287938E-3</v>
      </c>
    </row>
    <row r="418" spans="1:21">
      <c r="A418" t="s">
        <v>192</v>
      </c>
      <c r="B418" t="s">
        <v>2025</v>
      </c>
      <c r="C418" s="49">
        <v>1</v>
      </c>
      <c r="D418" s="49">
        <v>3.4419458467186782E-2</v>
      </c>
      <c r="E418" s="49">
        <v>5.9660394676457089E-3</v>
      </c>
      <c r="F418" s="49">
        <v>4.8187241854061496E-3</v>
      </c>
      <c r="G418" s="49">
        <v>1.1473152822395595E-3</v>
      </c>
      <c r="H418" s="49">
        <v>1.8357044515832951E-3</v>
      </c>
      <c r="I418" s="49">
        <v>1.7668655346489214E-2</v>
      </c>
      <c r="J418" s="49">
        <v>1.0325837540156035E-2</v>
      </c>
      <c r="K418" s="49">
        <v>0.85589720055071139</v>
      </c>
      <c r="L418" s="49">
        <v>3.1895364846259752E-2</v>
      </c>
      <c r="M418" s="49">
        <v>2.2946305644791189E-4</v>
      </c>
      <c r="N418" s="49">
        <v>4.5892611289582378E-4</v>
      </c>
      <c r="O418" s="49">
        <v>0.11656723267553924</v>
      </c>
      <c r="P418" s="49">
        <v>1.6291877007801745E-2</v>
      </c>
      <c r="Q418" s="49">
        <v>0</v>
      </c>
      <c r="R418" s="49">
        <v>3.4419458467186783E-3</v>
      </c>
      <c r="S418" s="49">
        <v>2.5240936209270305E-3</v>
      </c>
      <c r="T418" s="49">
        <v>1.1473152822395595E-3</v>
      </c>
      <c r="U418" s="49">
        <v>0</v>
      </c>
    </row>
    <row r="419" spans="1:21">
      <c r="A419" t="s">
        <v>1615</v>
      </c>
      <c r="B419" t="s">
        <v>2033</v>
      </c>
      <c r="C419" s="49">
        <v>1</v>
      </c>
      <c r="D419" s="49">
        <v>2.0257826887661142E-2</v>
      </c>
      <c r="E419" s="49">
        <v>0.46183241252302026</v>
      </c>
      <c r="F419" s="49">
        <v>1.9843462246777164E-2</v>
      </c>
      <c r="G419" s="49">
        <v>4.2495395948434621E-2</v>
      </c>
      <c r="H419" s="49">
        <v>5.6629834254143642E-3</v>
      </c>
      <c r="I419" s="49">
        <v>6.3720073664825044E-2</v>
      </c>
      <c r="J419" s="49">
        <v>8.0570902394106816E-3</v>
      </c>
      <c r="K419" s="49">
        <v>0.30441988950276244</v>
      </c>
      <c r="L419" s="49">
        <v>1.6022099447513812E-2</v>
      </c>
      <c r="M419" s="49">
        <v>3.2228360957642726E-3</v>
      </c>
      <c r="N419" s="49">
        <v>1.4732965009208103E-3</v>
      </c>
      <c r="O419" s="49">
        <v>0.11754143646408839</v>
      </c>
      <c r="P419" s="49">
        <v>1.3305709023941069E-2</v>
      </c>
      <c r="Q419" s="49">
        <v>0</v>
      </c>
      <c r="R419" s="49">
        <v>1.0128913443830571E-3</v>
      </c>
      <c r="S419" s="49">
        <v>4.9723756906077344E-3</v>
      </c>
      <c r="T419" s="49">
        <v>2.2559852670349908E-3</v>
      </c>
      <c r="U419" s="49">
        <v>1.7955801104972376E-3</v>
      </c>
    </row>
    <row r="420" spans="1:21">
      <c r="A420" t="s">
        <v>2073</v>
      </c>
      <c r="B420" t="s">
        <v>2034</v>
      </c>
      <c r="C420" s="49">
        <v>1</v>
      </c>
      <c r="D420" s="49">
        <v>0.12011173184357542</v>
      </c>
      <c r="E420" s="49">
        <v>1.3966480446927373E-2</v>
      </c>
      <c r="F420" s="49">
        <v>2.23463687150838E-2</v>
      </c>
      <c r="G420" s="49">
        <v>0</v>
      </c>
      <c r="H420" s="49">
        <v>1.2569832402234637E-2</v>
      </c>
      <c r="I420" s="49">
        <v>3.6312849162011177E-2</v>
      </c>
      <c r="J420" s="49">
        <v>2.7932960893854747E-2</v>
      </c>
      <c r="K420" s="49">
        <v>0.56564245810055869</v>
      </c>
      <c r="L420" s="49">
        <v>0.11312849162011174</v>
      </c>
      <c r="M420" s="49">
        <v>0.15502793296089384</v>
      </c>
      <c r="N420" s="49">
        <v>6.4245810055865923E-2</v>
      </c>
      <c r="O420" s="49">
        <v>0.22905027932960895</v>
      </c>
      <c r="P420" s="49">
        <v>7.2625698324022353E-2</v>
      </c>
      <c r="Q420" s="49">
        <v>0</v>
      </c>
      <c r="R420" s="49">
        <v>1.2569832402234637E-2</v>
      </c>
      <c r="S420" s="49">
        <v>0</v>
      </c>
      <c r="T420" s="49">
        <v>1.2569832402234637E-2</v>
      </c>
      <c r="U420" s="49">
        <v>0</v>
      </c>
    </row>
    <row r="421" spans="1:21">
      <c r="A421" t="s">
        <v>1616</v>
      </c>
      <c r="B421" t="s">
        <v>2031</v>
      </c>
      <c r="C421" s="49">
        <v>1</v>
      </c>
      <c r="D421" s="49">
        <v>1.3398451306108023E-2</v>
      </c>
      <c r="E421" s="49">
        <v>0.69887221668862254</v>
      </c>
      <c r="F421" s="49">
        <v>1.5679722391800276E-2</v>
      </c>
      <c r="G421" s="49">
        <v>1.2177489316582591E-2</v>
      </c>
      <c r="H421" s="49">
        <v>3.2451884458439095E-3</v>
      </c>
      <c r="I421" s="49">
        <v>5.7835041609099379E-2</v>
      </c>
      <c r="J421" s="49">
        <v>7.6149471451980848E-3</v>
      </c>
      <c r="K421" s="49">
        <v>0.1487645792500723</v>
      </c>
      <c r="L421" s="49">
        <v>9.1250843427690131E-3</v>
      </c>
      <c r="M421" s="49">
        <v>2.5061851363943066E-3</v>
      </c>
      <c r="N421" s="49">
        <v>1.2530925681971533E-3</v>
      </c>
      <c r="O421" s="49">
        <v>7.3836069787616879E-2</v>
      </c>
      <c r="P421" s="49">
        <v>6.8759438357484815E-3</v>
      </c>
      <c r="Q421" s="49">
        <v>0</v>
      </c>
      <c r="R421" s="49">
        <v>7.0687273077788134E-4</v>
      </c>
      <c r="S421" s="49">
        <v>4.2412363846672883E-3</v>
      </c>
      <c r="T421" s="49">
        <v>2.0242264563184783E-3</v>
      </c>
      <c r="U421" s="49">
        <v>1.7671818269447033E-3</v>
      </c>
    </row>
    <row r="422" spans="1:21">
      <c r="A422" t="s">
        <v>1617</v>
      </c>
      <c r="B422" t="s">
        <v>2031</v>
      </c>
      <c r="C422" s="49">
        <v>1</v>
      </c>
      <c r="D422" s="49">
        <v>1.3398451306108023E-2</v>
      </c>
      <c r="E422" s="49">
        <v>0.69887221668862254</v>
      </c>
      <c r="F422" s="49">
        <v>1.5679722391800276E-2</v>
      </c>
      <c r="G422" s="49">
        <v>1.2177489316582591E-2</v>
      </c>
      <c r="H422" s="49">
        <v>3.2451884458439095E-3</v>
      </c>
      <c r="I422" s="49">
        <v>5.7835041609099379E-2</v>
      </c>
      <c r="J422" s="49">
        <v>7.6149471451980848E-3</v>
      </c>
      <c r="K422" s="49">
        <v>0.1487645792500723</v>
      </c>
      <c r="L422" s="49">
        <v>9.1250843427690131E-3</v>
      </c>
      <c r="M422" s="49">
        <v>2.5061851363943066E-3</v>
      </c>
      <c r="N422" s="49">
        <v>1.2530925681971533E-3</v>
      </c>
      <c r="O422" s="49">
        <v>7.3836069787616879E-2</v>
      </c>
      <c r="P422" s="49">
        <v>6.8759438357484815E-3</v>
      </c>
      <c r="Q422" s="49">
        <v>0</v>
      </c>
      <c r="R422" s="49">
        <v>7.0687273077788134E-4</v>
      </c>
      <c r="S422" s="49">
        <v>4.2412363846672883E-3</v>
      </c>
      <c r="T422" s="49">
        <v>2.0242264563184783E-3</v>
      </c>
      <c r="U422" s="49">
        <v>1.7671818269447033E-3</v>
      </c>
    </row>
    <row r="423" spans="1:21">
      <c r="A423" t="s">
        <v>1618</v>
      </c>
      <c r="B423" t="s">
        <v>2031</v>
      </c>
      <c r="C423" s="49">
        <v>1</v>
      </c>
      <c r="D423" s="49">
        <v>1.3398451306108023E-2</v>
      </c>
      <c r="E423" s="49">
        <v>0.69887221668862254</v>
      </c>
      <c r="F423" s="49">
        <v>1.5679722391800276E-2</v>
      </c>
      <c r="G423" s="49">
        <v>1.2177489316582591E-2</v>
      </c>
      <c r="H423" s="49">
        <v>3.2451884458439095E-3</v>
      </c>
      <c r="I423" s="49">
        <v>5.7835041609099379E-2</v>
      </c>
      <c r="J423" s="49">
        <v>7.6149471451980848E-3</v>
      </c>
      <c r="K423" s="49">
        <v>0.1487645792500723</v>
      </c>
      <c r="L423" s="49">
        <v>9.1250843427690131E-3</v>
      </c>
      <c r="M423" s="49">
        <v>2.5061851363943066E-3</v>
      </c>
      <c r="N423" s="49">
        <v>1.2530925681971533E-3</v>
      </c>
      <c r="O423" s="49">
        <v>7.3836069787616879E-2</v>
      </c>
      <c r="P423" s="49">
        <v>6.8759438357484815E-3</v>
      </c>
      <c r="Q423" s="49">
        <v>0</v>
      </c>
      <c r="R423" s="49">
        <v>7.0687273077788134E-4</v>
      </c>
      <c r="S423" s="49">
        <v>4.2412363846672883E-3</v>
      </c>
      <c r="T423" s="49">
        <v>2.0242264563184783E-3</v>
      </c>
      <c r="U423" s="49">
        <v>1.7671818269447033E-3</v>
      </c>
    </row>
    <row r="424" spans="1:21">
      <c r="A424" t="s">
        <v>231</v>
      </c>
      <c r="B424" t="s">
        <v>2028</v>
      </c>
      <c r="C424" s="49">
        <v>1</v>
      </c>
      <c r="D424" s="49">
        <v>3.9883268482490269E-2</v>
      </c>
      <c r="E424" s="49">
        <v>4.8638132295719845E-3</v>
      </c>
      <c r="F424" s="49">
        <v>5.8365758754863814E-3</v>
      </c>
      <c r="G424" s="49">
        <v>9.727626459143969E-4</v>
      </c>
      <c r="H424" s="49">
        <v>1.4591439688715954E-3</v>
      </c>
      <c r="I424" s="49">
        <v>8.7548638132295721E-3</v>
      </c>
      <c r="J424" s="49">
        <v>5.8365758754863814E-3</v>
      </c>
      <c r="K424" s="49">
        <v>0.51021400778210113</v>
      </c>
      <c r="L424" s="49">
        <v>2.6750972762645913E-2</v>
      </c>
      <c r="M424" s="49">
        <v>7.7821011673151752E-3</v>
      </c>
      <c r="N424" s="49">
        <v>5.350194552529183E-3</v>
      </c>
      <c r="O424" s="49">
        <v>0.46303501945525294</v>
      </c>
      <c r="P424" s="49">
        <v>3.1614785992217898E-2</v>
      </c>
      <c r="Q424" s="49">
        <v>9.727626459143969E-4</v>
      </c>
      <c r="R424" s="49">
        <v>1.4591439688715954E-3</v>
      </c>
      <c r="S424" s="49">
        <v>1.4591439688715954E-3</v>
      </c>
      <c r="T424" s="49">
        <v>1.9455252918287938E-3</v>
      </c>
      <c r="U424" s="49">
        <v>1.9455252918287938E-3</v>
      </c>
    </row>
    <row r="425" spans="1:21">
      <c r="A425" t="s">
        <v>1075</v>
      </c>
      <c r="B425" t="s">
        <v>2031</v>
      </c>
      <c r="C425" s="49">
        <v>1</v>
      </c>
      <c r="D425" s="49">
        <v>1.3398451306108023E-2</v>
      </c>
      <c r="E425" s="49">
        <v>0.69887221668862254</v>
      </c>
      <c r="F425" s="49">
        <v>1.5679722391800276E-2</v>
      </c>
      <c r="G425" s="49">
        <v>1.2177489316582591E-2</v>
      </c>
      <c r="H425" s="49">
        <v>3.2451884458439095E-3</v>
      </c>
      <c r="I425" s="49">
        <v>5.7835041609099379E-2</v>
      </c>
      <c r="J425" s="49">
        <v>7.6149471451980848E-3</v>
      </c>
      <c r="K425" s="49">
        <v>0.1487645792500723</v>
      </c>
      <c r="L425" s="49">
        <v>9.1250843427690131E-3</v>
      </c>
      <c r="M425" s="49">
        <v>2.5061851363943066E-3</v>
      </c>
      <c r="N425" s="49">
        <v>1.2530925681971533E-3</v>
      </c>
      <c r="O425" s="49">
        <v>7.3836069787616879E-2</v>
      </c>
      <c r="P425" s="49">
        <v>6.8759438357484815E-3</v>
      </c>
      <c r="Q425" s="49">
        <v>0</v>
      </c>
      <c r="R425" s="49">
        <v>7.0687273077788134E-4</v>
      </c>
      <c r="S425" s="49">
        <v>4.2412363846672883E-3</v>
      </c>
      <c r="T425" s="49">
        <v>2.0242264563184783E-3</v>
      </c>
      <c r="U425" s="49">
        <v>1.7671818269447033E-3</v>
      </c>
    </row>
    <row r="426" spans="1:21">
      <c r="A426" t="s">
        <v>1076</v>
      </c>
      <c r="B426" t="s">
        <v>2029</v>
      </c>
      <c r="C426" s="49">
        <v>1</v>
      </c>
      <c r="D426" s="49">
        <v>6.5778159931212388E-2</v>
      </c>
      <c r="E426" s="49">
        <v>3.5683576956147892E-2</v>
      </c>
      <c r="F426" s="49">
        <v>2.2785898538263114E-2</v>
      </c>
      <c r="G426" s="49">
        <v>4.7291487532244193E-3</v>
      </c>
      <c r="H426" s="49">
        <v>7.3086844368013756E-3</v>
      </c>
      <c r="I426" s="49">
        <v>4.9441100601891656E-2</v>
      </c>
      <c r="J426" s="49">
        <v>2.4505588993981083E-2</v>
      </c>
      <c r="K426" s="49">
        <v>0.53525365434221839</v>
      </c>
      <c r="L426" s="49">
        <v>5.6749785038693032E-2</v>
      </c>
      <c r="M426" s="49">
        <v>3.0094582975064487E-3</v>
      </c>
      <c r="N426" s="49">
        <v>4.2992261392949269E-3</v>
      </c>
      <c r="O426" s="49">
        <v>0.36328460877042135</v>
      </c>
      <c r="P426" s="49">
        <v>4.9011177987962166E-2</v>
      </c>
      <c r="Q426" s="49">
        <v>4.299226139294927E-4</v>
      </c>
      <c r="R426" s="49">
        <v>8.598452278589854E-4</v>
      </c>
      <c r="S426" s="49">
        <v>2.1496130696474634E-3</v>
      </c>
      <c r="T426" s="49">
        <v>3.869303525365434E-3</v>
      </c>
      <c r="U426" s="49">
        <v>6.0189165950128975E-3</v>
      </c>
    </row>
    <row r="427" spans="1:21">
      <c r="A427" t="s">
        <v>1370</v>
      </c>
      <c r="B427" t="s">
        <v>2031</v>
      </c>
      <c r="C427" s="49">
        <v>1</v>
      </c>
      <c r="D427" s="49">
        <v>1.3398451306108023E-2</v>
      </c>
      <c r="E427" s="49">
        <v>0.69887221668862254</v>
      </c>
      <c r="F427" s="49">
        <v>1.5679722391800276E-2</v>
      </c>
      <c r="G427" s="49">
        <v>1.2177489316582591E-2</v>
      </c>
      <c r="H427" s="49">
        <v>3.2451884458439095E-3</v>
      </c>
      <c r="I427" s="49">
        <v>5.7835041609099379E-2</v>
      </c>
      <c r="J427" s="49">
        <v>7.6149471451980848E-3</v>
      </c>
      <c r="K427" s="49">
        <v>0.1487645792500723</v>
      </c>
      <c r="L427" s="49">
        <v>9.1250843427690131E-3</v>
      </c>
      <c r="M427" s="49">
        <v>2.5061851363943066E-3</v>
      </c>
      <c r="N427" s="49">
        <v>1.2530925681971533E-3</v>
      </c>
      <c r="O427" s="49">
        <v>7.3836069787616879E-2</v>
      </c>
      <c r="P427" s="49">
        <v>6.8759438357484815E-3</v>
      </c>
      <c r="Q427" s="49">
        <v>0</v>
      </c>
      <c r="R427" s="49">
        <v>7.0687273077788134E-4</v>
      </c>
      <c r="S427" s="49">
        <v>4.2412363846672883E-3</v>
      </c>
      <c r="T427" s="49">
        <v>2.0242264563184783E-3</v>
      </c>
      <c r="U427" s="49">
        <v>1.7671818269447033E-3</v>
      </c>
    </row>
    <row r="428" spans="1:21">
      <c r="A428" t="s">
        <v>235</v>
      </c>
      <c r="B428" t="s">
        <v>2028</v>
      </c>
      <c r="C428" s="49">
        <v>1</v>
      </c>
      <c r="D428" s="49">
        <v>3.9883268482490269E-2</v>
      </c>
      <c r="E428" s="49">
        <v>4.8638132295719845E-3</v>
      </c>
      <c r="F428" s="49">
        <v>5.8365758754863814E-3</v>
      </c>
      <c r="G428" s="49">
        <v>9.727626459143969E-4</v>
      </c>
      <c r="H428" s="49">
        <v>1.4591439688715954E-3</v>
      </c>
      <c r="I428" s="49">
        <v>8.7548638132295721E-3</v>
      </c>
      <c r="J428" s="49">
        <v>5.8365758754863814E-3</v>
      </c>
      <c r="K428" s="49">
        <v>0.51021400778210113</v>
      </c>
      <c r="L428" s="49">
        <v>2.6750972762645913E-2</v>
      </c>
      <c r="M428" s="49">
        <v>7.7821011673151752E-3</v>
      </c>
      <c r="N428" s="49">
        <v>5.350194552529183E-3</v>
      </c>
      <c r="O428" s="49">
        <v>0.46303501945525294</v>
      </c>
      <c r="P428" s="49">
        <v>3.1614785992217898E-2</v>
      </c>
      <c r="Q428" s="49">
        <v>9.727626459143969E-4</v>
      </c>
      <c r="R428" s="49">
        <v>1.4591439688715954E-3</v>
      </c>
      <c r="S428" s="49">
        <v>1.4591439688715954E-3</v>
      </c>
      <c r="T428" s="49">
        <v>1.9455252918287938E-3</v>
      </c>
      <c r="U428" s="49">
        <v>1.9455252918287938E-3</v>
      </c>
    </row>
    <row r="429" spans="1:21">
      <c r="A429" t="s">
        <v>237</v>
      </c>
      <c r="B429" t="s">
        <v>2044</v>
      </c>
      <c r="C429" s="49">
        <v>1</v>
      </c>
      <c r="D429" s="49">
        <v>4.81892523364486E-2</v>
      </c>
      <c r="E429" s="49">
        <v>4.6436915887850469E-2</v>
      </c>
      <c r="F429" s="49">
        <v>1.8107476635514017E-2</v>
      </c>
      <c r="G429" s="49">
        <v>2.9205607476635514E-2</v>
      </c>
      <c r="H429" s="49">
        <v>2.0443925233644859E-2</v>
      </c>
      <c r="I429" s="49">
        <v>2.27803738317757E-2</v>
      </c>
      <c r="J429" s="49">
        <v>1.4310747663551402E-2</v>
      </c>
      <c r="K429" s="49">
        <v>0.67873831775700932</v>
      </c>
      <c r="L429" s="49">
        <v>5.1401869158878503E-2</v>
      </c>
      <c r="M429" s="49">
        <v>3.7967289719626168E-3</v>
      </c>
      <c r="N429" s="49">
        <v>3.5046728971962616E-3</v>
      </c>
      <c r="O429" s="49">
        <v>0.21290887850467291</v>
      </c>
      <c r="P429" s="49">
        <v>3.6214953271028034E-2</v>
      </c>
      <c r="Q429" s="49">
        <v>0</v>
      </c>
      <c r="R429" s="49">
        <v>3.7967289719626168E-3</v>
      </c>
      <c r="S429" s="49">
        <v>3.7967289719626168E-3</v>
      </c>
      <c r="T429" s="49">
        <v>4.0887850467289715E-3</v>
      </c>
      <c r="U429" s="49">
        <v>2.3364485981308409E-3</v>
      </c>
    </row>
    <row r="430" spans="1:21">
      <c r="A430" t="s">
        <v>1077</v>
      </c>
      <c r="B430" t="s">
        <v>2044</v>
      </c>
      <c r="C430" s="49">
        <v>1</v>
      </c>
      <c r="D430" s="49">
        <v>4.81892523364486E-2</v>
      </c>
      <c r="E430" s="49">
        <v>4.6436915887850469E-2</v>
      </c>
      <c r="F430" s="49">
        <v>1.8107476635514017E-2</v>
      </c>
      <c r="G430" s="49">
        <v>2.9205607476635514E-2</v>
      </c>
      <c r="H430" s="49">
        <v>2.0443925233644859E-2</v>
      </c>
      <c r="I430" s="49">
        <v>2.27803738317757E-2</v>
      </c>
      <c r="J430" s="49">
        <v>1.4310747663551402E-2</v>
      </c>
      <c r="K430" s="49">
        <v>0.67873831775700932</v>
      </c>
      <c r="L430" s="49">
        <v>5.1401869158878503E-2</v>
      </c>
      <c r="M430" s="49">
        <v>3.7967289719626168E-3</v>
      </c>
      <c r="N430" s="49">
        <v>3.5046728971962616E-3</v>
      </c>
      <c r="O430" s="49">
        <v>0.21290887850467291</v>
      </c>
      <c r="P430" s="49">
        <v>3.6214953271028034E-2</v>
      </c>
      <c r="Q430" s="49">
        <v>0</v>
      </c>
      <c r="R430" s="49">
        <v>3.7967289719626168E-3</v>
      </c>
      <c r="S430" s="49">
        <v>3.7967289719626168E-3</v>
      </c>
      <c r="T430" s="49">
        <v>4.0887850467289715E-3</v>
      </c>
      <c r="U430" s="49">
        <v>2.3364485981308409E-3</v>
      </c>
    </row>
    <row r="431" spans="1:21">
      <c r="A431" t="s">
        <v>1379</v>
      </c>
      <c r="B431" t="s">
        <v>2028</v>
      </c>
      <c r="C431" s="49">
        <v>1</v>
      </c>
      <c r="D431" s="49">
        <v>3.9883268482490269E-2</v>
      </c>
      <c r="E431" s="49">
        <v>4.8638132295719845E-3</v>
      </c>
      <c r="F431" s="49">
        <v>5.8365758754863814E-3</v>
      </c>
      <c r="G431" s="49">
        <v>9.727626459143969E-4</v>
      </c>
      <c r="H431" s="49">
        <v>1.4591439688715954E-3</v>
      </c>
      <c r="I431" s="49">
        <v>8.7548638132295721E-3</v>
      </c>
      <c r="J431" s="49">
        <v>5.8365758754863814E-3</v>
      </c>
      <c r="K431" s="49">
        <v>0.51021400778210113</v>
      </c>
      <c r="L431" s="49">
        <v>2.6750972762645913E-2</v>
      </c>
      <c r="M431" s="49">
        <v>7.7821011673151752E-3</v>
      </c>
      <c r="N431" s="49">
        <v>5.350194552529183E-3</v>
      </c>
      <c r="O431" s="49">
        <v>0.46303501945525294</v>
      </c>
      <c r="P431" s="49">
        <v>3.1614785992217898E-2</v>
      </c>
      <c r="Q431" s="49">
        <v>9.727626459143969E-4</v>
      </c>
      <c r="R431" s="49">
        <v>1.4591439688715954E-3</v>
      </c>
      <c r="S431" s="49">
        <v>1.4591439688715954E-3</v>
      </c>
      <c r="T431" s="49">
        <v>1.9455252918287938E-3</v>
      </c>
      <c r="U431" s="49">
        <v>1.9455252918287938E-3</v>
      </c>
    </row>
    <row r="432" spans="1:21">
      <c r="A432" t="s">
        <v>254</v>
      </c>
      <c r="B432" t="s">
        <v>2041</v>
      </c>
      <c r="C432" s="49">
        <v>1</v>
      </c>
      <c r="D432" s="49">
        <v>3.68251698248123E-2</v>
      </c>
      <c r="E432" s="49">
        <v>1.2870933142652842E-2</v>
      </c>
      <c r="F432" s="49">
        <v>7.5080443332141578E-3</v>
      </c>
      <c r="G432" s="49">
        <v>3.5752592062924561E-3</v>
      </c>
      <c r="H432" s="49">
        <v>3.5752592062924561E-3</v>
      </c>
      <c r="I432" s="49">
        <v>2.7887021809081158E-2</v>
      </c>
      <c r="J432" s="49">
        <v>1.3228459063282088E-2</v>
      </c>
      <c r="K432" s="49">
        <v>0.91383625312835182</v>
      </c>
      <c r="L432" s="49">
        <v>3.5037540221666073E-2</v>
      </c>
      <c r="M432" s="49">
        <v>0</v>
      </c>
      <c r="N432" s="49">
        <v>4.6478369681801929E-3</v>
      </c>
      <c r="O432" s="49">
        <v>4.0757954951734003E-2</v>
      </c>
      <c r="P432" s="49">
        <v>1.0725777618877368E-2</v>
      </c>
      <c r="Q432" s="49">
        <v>0</v>
      </c>
      <c r="R432" s="49">
        <v>4.6478369681801929E-3</v>
      </c>
      <c r="S432" s="49">
        <v>1.0725777618877368E-3</v>
      </c>
      <c r="T432" s="49">
        <v>1.4301036825169824E-3</v>
      </c>
      <c r="U432" s="49">
        <v>0</v>
      </c>
    </row>
    <row r="433" spans="1:21">
      <c r="A433" t="s">
        <v>239</v>
      </c>
      <c r="B433" t="s">
        <v>2035</v>
      </c>
      <c r="C433" s="49">
        <v>1</v>
      </c>
      <c r="D433" s="49">
        <v>7.2043010752688166E-2</v>
      </c>
      <c r="E433" s="49">
        <v>2.0430107526881722E-2</v>
      </c>
      <c r="F433" s="49">
        <v>1.2903225806451613E-2</v>
      </c>
      <c r="G433" s="49">
        <v>1.5053763440860216E-2</v>
      </c>
      <c r="H433" s="49">
        <v>1.1827956989247311E-2</v>
      </c>
      <c r="I433" s="49">
        <v>1.3978494623655914E-2</v>
      </c>
      <c r="J433" s="49">
        <v>1.1827956989247311E-2</v>
      </c>
      <c r="K433" s="49">
        <v>0.64193548387096777</v>
      </c>
      <c r="L433" s="49">
        <v>7.0967741935483872E-2</v>
      </c>
      <c r="M433" s="49">
        <v>0</v>
      </c>
      <c r="N433" s="49">
        <v>9.6774193548387101E-3</v>
      </c>
      <c r="O433" s="49">
        <v>0.3032258064516129</v>
      </c>
      <c r="P433" s="49">
        <v>5.3763440860215055E-2</v>
      </c>
      <c r="Q433" s="49">
        <v>4.3010752688172043E-3</v>
      </c>
      <c r="R433" s="49">
        <v>6.4516129032258064E-3</v>
      </c>
      <c r="S433" s="49">
        <v>1.0752688172043011E-3</v>
      </c>
      <c r="T433" s="49">
        <v>4.3010752688172043E-3</v>
      </c>
      <c r="U433" s="49">
        <v>0</v>
      </c>
    </row>
    <row r="434" spans="1:21">
      <c r="A434" t="s">
        <v>66</v>
      </c>
      <c r="B434" t="s">
        <v>2029</v>
      </c>
      <c r="C434" s="49">
        <v>1</v>
      </c>
      <c r="D434" s="49">
        <v>6.5778159931212388E-2</v>
      </c>
      <c r="E434" s="49">
        <v>3.5683576956147892E-2</v>
      </c>
      <c r="F434" s="49">
        <v>2.2785898538263114E-2</v>
      </c>
      <c r="G434" s="49">
        <v>4.7291487532244193E-3</v>
      </c>
      <c r="H434" s="49">
        <v>7.3086844368013756E-3</v>
      </c>
      <c r="I434" s="49">
        <v>4.9441100601891656E-2</v>
      </c>
      <c r="J434" s="49">
        <v>2.4505588993981083E-2</v>
      </c>
      <c r="K434" s="49">
        <v>0.53525365434221839</v>
      </c>
      <c r="L434" s="49">
        <v>5.6749785038693032E-2</v>
      </c>
      <c r="M434" s="49">
        <v>3.0094582975064487E-3</v>
      </c>
      <c r="N434" s="49">
        <v>4.2992261392949269E-3</v>
      </c>
      <c r="O434" s="49">
        <v>0.36328460877042135</v>
      </c>
      <c r="P434" s="49">
        <v>4.9011177987962166E-2</v>
      </c>
      <c r="Q434" s="49">
        <v>4.299226139294927E-4</v>
      </c>
      <c r="R434" s="49">
        <v>8.598452278589854E-4</v>
      </c>
      <c r="S434" s="49">
        <v>2.1496130696474634E-3</v>
      </c>
      <c r="T434" s="49">
        <v>3.869303525365434E-3</v>
      </c>
      <c r="U434" s="49">
        <v>6.0189165950128975E-3</v>
      </c>
    </row>
    <row r="435" spans="1:21">
      <c r="A435" t="s">
        <v>2074</v>
      </c>
      <c r="B435" t="s">
        <v>2036</v>
      </c>
      <c r="C435" s="49">
        <v>1</v>
      </c>
      <c r="D435" s="49">
        <v>1.7770063641623274E-2</v>
      </c>
      <c r="E435" s="49">
        <v>2.3473014298702372E-2</v>
      </c>
      <c r="F435" s="49">
        <v>7.8518885858335392E-3</v>
      </c>
      <c r="G435" s="49">
        <v>2.99198280849657E-2</v>
      </c>
      <c r="H435" s="49">
        <v>1.008347797338623E-2</v>
      </c>
      <c r="I435" s="49">
        <v>0.22555583106041821</v>
      </c>
      <c r="J435" s="49">
        <v>2.1406727828746176E-2</v>
      </c>
      <c r="K435" s="49">
        <v>0.67079923960657906</v>
      </c>
      <c r="L435" s="49">
        <v>2.6448466815439293E-2</v>
      </c>
      <c r="M435" s="49">
        <v>1.157120423175469E-3</v>
      </c>
      <c r="N435" s="49">
        <v>1.983635011157947E-3</v>
      </c>
      <c r="O435" s="49">
        <v>3.3473840813290356E-2</v>
      </c>
      <c r="P435" s="49">
        <v>1.157120423175469E-2</v>
      </c>
      <c r="Q435" s="49">
        <v>0</v>
      </c>
      <c r="R435" s="49">
        <v>1.6530291759649558E-3</v>
      </c>
      <c r="S435" s="49">
        <v>1.0166129432184479E-2</v>
      </c>
      <c r="T435" s="49">
        <v>5.0417389866931148E-3</v>
      </c>
      <c r="U435" s="49">
        <v>5.4549962806843544E-3</v>
      </c>
    </row>
    <row r="436" spans="1:21">
      <c r="A436" t="s">
        <v>1620</v>
      </c>
      <c r="B436" t="s">
        <v>2051</v>
      </c>
      <c r="C436" s="49">
        <v>1</v>
      </c>
      <c r="D436" s="49">
        <v>7.7458659704090507E-2</v>
      </c>
      <c r="E436" s="49">
        <v>2.0887728459530026E-2</v>
      </c>
      <c r="F436" s="49">
        <v>2.1758050478677109E-2</v>
      </c>
      <c r="G436" s="49">
        <v>1.7406440382941688E-3</v>
      </c>
      <c r="H436" s="49">
        <v>3.4812880765883376E-3</v>
      </c>
      <c r="I436" s="49">
        <v>0.35422106179286333</v>
      </c>
      <c r="J436" s="49">
        <v>6.6144473455178418E-2</v>
      </c>
      <c r="K436" s="49">
        <v>0.36727589208006961</v>
      </c>
      <c r="L436" s="49">
        <v>6.7885117493472591E-2</v>
      </c>
      <c r="M436" s="49">
        <v>0</v>
      </c>
      <c r="N436" s="49">
        <v>7.832898172323759E-3</v>
      </c>
      <c r="O436" s="49">
        <v>0.24281984334203655</v>
      </c>
      <c r="P436" s="49">
        <v>6.4403829416884245E-2</v>
      </c>
      <c r="Q436" s="49">
        <v>0</v>
      </c>
      <c r="R436" s="49">
        <v>7.832898172323759E-3</v>
      </c>
      <c r="S436" s="49">
        <v>1.0443864229765013E-2</v>
      </c>
      <c r="T436" s="49">
        <v>1.392515230635335E-2</v>
      </c>
      <c r="U436" s="49">
        <v>2.6109660574412533E-3</v>
      </c>
    </row>
    <row r="437" spans="1:21">
      <c r="A437" t="s">
        <v>423</v>
      </c>
      <c r="B437" t="s">
        <v>2039</v>
      </c>
      <c r="C437" s="49">
        <v>1</v>
      </c>
      <c r="D437" s="49">
        <v>4.2857142857142858E-2</v>
      </c>
      <c r="E437" s="49">
        <v>6.2500000000000003E-3</v>
      </c>
      <c r="F437" s="49">
        <v>4.0178571428571425E-3</v>
      </c>
      <c r="G437" s="49">
        <v>3.2589285714285716E-2</v>
      </c>
      <c r="H437" s="49">
        <v>1.1607142857142858E-2</v>
      </c>
      <c r="I437" s="49">
        <v>0.1299107142857143</v>
      </c>
      <c r="J437" s="49">
        <v>2.5000000000000001E-2</v>
      </c>
      <c r="K437" s="49">
        <v>0.48303571428571429</v>
      </c>
      <c r="L437" s="49">
        <v>4.1517857142857141E-2</v>
      </c>
      <c r="M437" s="49">
        <v>8.9285714285714283E-4</v>
      </c>
      <c r="N437" s="49">
        <v>1.3392857142857143E-3</v>
      </c>
      <c r="O437" s="49">
        <v>0.34241071428571429</v>
      </c>
      <c r="P437" s="49">
        <v>3.7946428571428568E-2</v>
      </c>
      <c r="Q437" s="49">
        <v>0</v>
      </c>
      <c r="R437" s="49">
        <v>5.8035714285714288E-3</v>
      </c>
      <c r="S437" s="49">
        <v>4.0178571428571425E-3</v>
      </c>
      <c r="T437" s="49">
        <v>2.6785714285714286E-3</v>
      </c>
      <c r="U437" s="49">
        <v>8.9285714285714283E-4</v>
      </c>
    </row>
    <row r="438" spans="1:21">
      <c r="A438" t="s">
        <v>107</v>
      </c>
      <c r="B438" t="s">
        <v>2030</v>
      </c>
      <c r="C438" s="49">
        <v>1</v>
      </c>
      <c r="D438" s="49">
        <v>4.5556385362210607E-2</v>
      </c>
      <c r="E438" s="49">
        <v>1.6430171769977596E-2</v>
      </c>
      <c r="F438" s="49">
        <v>1.2696041822255415E-2</v>
      </c>
      <c r="G438" s="49">
        <v>0</v>
      </c>
      <c r="H438" s="49">
        <v>9.7087378640776691E-3</v>
      </c>
      <c r="I438" s="49">
        <v>1.2696041822255415E-2</v>
      </c>
      <c r="J438" s="49">
        <v>1.0455563853622106E-2</v>
      </c>
      <c r="K438" s="49">
        <v>0.85287528005974611</v>
      </c>
      <c r="L438" s="49">
        <v>4.8543689320388349E-2</v>
      </c>
      <c r="M438" s="49">
        <v>0</v>
      </c>
      <c r="N438" s="49">
        <v>9.7087378640776691E-3</v>
      </c>
      <c r="O438" s="49">
        <v>0.11277072442120986</v>
      </c>
      <c r="P438" s="49">
        <v>2.3898431665421958E-2</v>
      </c>
      <c r="Q438" s="49">
        <v>2.2404779686333084E-3</v>
      </c>
      <c r="R438" s="49">
        <v>4.4809559372666168E-3</v>
      </c>
      <c r="S438" s="49">
        <v>2.9873039581777448E-3</v>
      </c>
      <c r="T438" s="49">
        <v>5.2277819268110532E-3</v>
      </c>
      <c r="U438" s="49">
        <v>0</v>
      </c>
    </row>
    <row r="439" spans="1:21">
      <c r="A439" t="s">
        <v>13</v>
      </c>
      <c r="B439" t="s">
        <v>2029</v>
      </c>
      <c r="C439" s="49">
        <v>1</v>
      </c>
      <c r="D439" s="49">
        <v>6.5778159931212388E-2</v>
      </c>
      <c r="E439" s="49">
        <v>3.5683576956147892E-2</v>
      </c>
      <c r="F439" s="49">
        <v>2.2785898538263114E-2</v>
      </c>
      <c r="G439" s="49">
        <v>4.7291487532244193E-3</v>
      </c>
      <c r="H439" s="49">
        <v>7.3086844368013756E-3</v>
      </c>
      <c r="I439" s="49">
        <v>4.9441100601891656E-2</v>
      </c>
      <c r="J439" s="49">
        <v>2.4505588993981083E-2</v>
      </c>
      <c r="K439" s="49">
        <v>0.53525365434221839</v>
      </c>
      <c r="L439" s="49">
        <v>5.6749785038693032E-2</v>
      </c>
      <c r="M439" s="49">
        <v>3.0094582975064487E-3</v>
      </c>
      <c r="N439" s="49">
        <v>4.2992261392949269E-3</v>
      </c>
      <c r="O439" s="49">
        <v>0.36328460877042135</v>
      </c>
      <c r="P439" s="49">
        <v>4.9011177987962166E-2</v>
      </c>
      <c r="Q439" s="49">
        <v>4.299226139294927E-4</v>
      </c>
      <c r="R439" s="49">
        <v>8.598452278589854E-4</v>
      </c>
      <c r="S439" s="49">
        <v>2.1496130696474634E-3</v>
      </c>
      <c r="T439" s="49">
        <v>3.869303525365434E-3</v>
      </c>
      <c r="U439" s="49">
        <v>6.0189165950128975E-3</v>
      </c>
    </row>
    <row r="440" spans="1:21">
      <c r="A440" t="s">
        <v>108</v>
      </c>
      <c r="B440" t="s">
        <v>2025</v>
      </c>
      <c r="C440" s="49">
        <v>1</v>
      </c>
      <c r="D440" s="49">
        <v>3.4419458467186782E-2</v>
      </c>
      <c r="E440" s="49">
        <v>5.9660394676457089E-3</v>
      </c>
      <c r="F440" s="49">
        <v>4.8187241854061496E-3</v>
      </c>
      <c r="G440" s="49">
        <v>1.1473152822395595E-3</v>
      </c>
      <c r="H440" s="49">
        <v>1.8357044515832951E-3</v>
      </c>
      <c r="I440" s="49">
        <v>1.7668655346489214E-2</v>
      </c>
      <c r="J440" s="49">
        <v>1.0325837540156035E-2</v>
      </c>
      <c r="K440" s="49">
        <v>0.85589720055071139</v>
      </c>
      <c r="L440" s="49">
        <v>3.1895364846259752E-2</v>
      </c>
      <c r="M440" s="49">
        <v>2.2946305644791189E-4</v>
      </c>
      <c r="N440" s="49">
        <v>4.5892611289582378E-4</v>
      </c>
      <c r="O440" s="49">
        <v>0.11656723267553924</v>
      </c>
      <c r="P440" s="49">
        <v>1.6291877007801745E-2</v>
      </c>
      <c r="Q440" s="49">
        <v>0</v>
      </c>
      <c r="R440" s="49">
        <v>3.4419458467186783E-3</v>
      </c>
      <c r="S440" s="49">
        <v>2.5240936209270305E-3</v>
      </c>
      <c r="T440" s="49">
        <v>1.1473152822395595E-3</v>
      </c>
      <c r="U440" s="49">
        <v>0</v>
      </c>
    </row>
    <row r="441" spans="1:21">
      <c r="A441" t="s">
        <v>1359</v>
      </c>
      <c r="B441" t="s">
        <v>2044</v>
      </c>
      <c r="C441" s="49">
        <v>1</v>
      </c>
      <c r="D441" s="49">
        <v>4.81892523364486E-2</v>
      </c>
      <c r="E441" s="49">
        <v>4.6436915887850469E-2</v>
      </c>
      <c r="F441" s="49">
        <v>1.8107476635514017E-2</v>
      </c>
      <c r="G441" s="49">
        <v>2.9205607476635514E-2</v>
      </c>
      <c r="H441" s="49">
        <v>2.0443925233644859E-2</v>
      </c>
      <c r="I441" s="49">
        <v>2.27803738317757E-2</v>
      </c>
      <c r="J441" s="49">
        <v>1.4310747663551402E-2</v>
      </c>
      <c r="K441" s="49">
        <v>0.67873831775700932</v>
      </c>
      <c r="L441" s="49">
        <v>5.1401869158878503E-2</v>
      </c>
      <c r="M441" s="49">
        <v>3.7967289719626168E-3</v>
      </c>
      <c r="N441" s="49">
        <v>3.5046728971962616E-3</v>
      </c>
      <c r="O441" s="49">
        <v>0.21290887850467291</v>
      </c>
      <c r="P441" s="49">
        <v>3.6214953271028034E-2</v>
      </c>
      <c r="Q441" s="49">
        <v>0</v>
      </c>
      <c r="R441" s="49">
        <v>3.7967289719626168E-3</v>
      </c>
      <c r="S441" s="49">
        <v>3.7967289719626168E-3</v>
      </c>
      <c r="T441" s="49">
        <v>4.0887850467289715E-3</v>
      </c>
      <c r="U441" s="49">
        <v>2.3364485981308409E-3</v>
      </c>
    </row>
    <row r="442" spans="1:21">
      <c r="A442" t="s">
        <v>1078</v>
      </c>
      <c r="B442" t="s">
        <v>2044</v>
      </c>
      <c r="C442" s="49">
        <v>1</v>
      </c>
      <c r="D442" s="49">
        <v>4.81892523364486E-2</v>
      </c>
      <c r="E442" s="49">
        <v>4.6436915887850469E-2</v>
      </c>
      <c r="F442" s="49">
        <v>1.8107476635514017E-2</v>
      </c>
      <c r="G442" s="49">
        <v>2.9205607476635514E-2</v>
      </c>
      <c r="H442" s="49">
        <v>2.0443925233644859E-2</v>
      </c>
      <c r="I442" s="49">
        <v>2.27803738317757E-2</v>
      </c>
      <c r="J442" s="49">
        <v>1.4310747663551402E-2</v>
      </c>
      <c r="K442" s="49">
        <v>0.67873831775700932</v>
      </c>
      <c r="L442" s="49">
        <v>5.1401869158878503E-2</v>
      </c>
      <c r="M442" s="49">
        <v>3.7967289719626168E-3</v>
      </c>
      <c r="N442" s="49">
        <v>3.5046728971962616E-3</v>
      </c>
      <c r="O442" s="49">
        <v>0.21290887850467291</v>
      </c>
      <c r="P442" s="49">
        <v>3.6214953271028034E-2</v>
      </c>
      <c r="Q442" s="49">
        <v>0</v>
      </c>
      <c r="R442" s="49">
        <v>3.7967289719626168E-3</v>
      </c>
      <c r="S442" s="49">
        <v>3.7967289719626168E-3</v>
      </c>
      <c r="T442" s="49">
        <v>4.0887850467289715E-3</v>
      </c>
      <c r="U442" s="49">
        <v>2.3364485981308409E-3</v>
      </c>
    </row>
    <row r="443" spans="1:21">
      <c r="A443" t="s">
        <v>1079</v>
      </c>
      <c r="B443" t="s">
        <v>2031</v>
      </c>
      <c r="C443" s="49">
        <v>1</v>
      </c>
      <c r="D443" s="49">
        <v>1.3398451306108023E-2</v>
      </c>
      <c r="E443" s="49">
        <v>0.69887221668862254</v>
      </c>
      <c r="F443" s="49">
        <v>1.5679722391800276E-2</v>
      </c>
      <c r="G443" s="49">
        <v>1.2177489316582591E-2</v>
      </c>
      <c r="H443" s="49">
        <v>3.2451884458439095E-3</v>
      </c>
      <c r="I443" s="49">
        <v>5.7835041609099379E-2</v>
      </c>
      <c r="J443" s="49">
        <v>7.6149471451980848E-3</v>
      </c>
      <c r="K443" s="49">
        <v>0.1487645792500723</v>
      </c>
      <c r="L443" s="49">
        <v>9.1250843427690131E-3</v>
      </c>
      <c r="M443" s="49">
        <v>2.5061851363943066E-3</v>
      </c>
      <c r="N443" s="49">
        <v>1.2530925681971533E-3</v>
      </c>
      <c r="O443" s="49">
        <v>7.3836069787616879E-2</v>
      </c>
      <c r="P443" s="49">
        <v>6.8759438357484815E-3</v>
      </c>
      <c r="Q443" s="49">
        <v>0</v>
      </c>
      <c r="R443" s="49">
        <v>7.0687273077788134E-4</v>
      </c>
      <c r="S443" s="49">
        <v>4.2412363846672883E-3</v>
      </c>
      <c r="T443" s="49">
        <v>2.0242264563184783E-3</v>
      </c>
      <c r="U443" s="49">
        <v>1.7671818269447033E-3</v>
      </c>
    </row>
    <row r="444" spans="1:21">
      <c r="A444" t="s">
        <v>241</v>
      </c>
      <c r="B444" t="s">
        <v>2025</v>
      </c>
      <c r="C444" s="49">
        <v>1</v>
      </c>
      <c r="D444" s="49">
        <v>3.4419458467186782E-2</v>
      </c>
      <c r="E444" s="49">
        <v>5.9660394676457089E-3</v>
      </c>
      <c r="F444" s="49">
        <v>4.8187241854061496E-3</v>
      </c>
      <c r="G444" s="49">
        <v>1.1473152822395595E-3</v>
      </c>
      <c r="H444" s="49">
        <v>1.8357044515832951E-3</v>
      </c>
      <c r="I444" s="49">
        <v>1.7668655346489214E-2</v>
      </c>
      <c r="J444" s="49">
        <v>1.0325837540156035E-2</v>
      </c>
      <c r="K444" s="49">
        <v>0.85589720055071139</v>
      </c>
      <c r="L444" s="49">
        <v>3.1895364846259752E-2</v>
      </c>
      <c r="M444" s="49">
        <v>2.2946305644791189E-4</v>
      </c>
      <c r="N444" s="49">
        <v>4.5892611289582378E-4</v>
      </c>
      <c r="O444" s="49">
        <v>0.11656723267553924</v>
      </c>
      <c r="P444" s="49">
        <v>1.6291877007801745E-2</v>
      </c>
      <c r="Q444" s="49">
        <v>0</v>
      </c>
      <c r="R444" s="49">
        <v>3.4419458467186783E-3</v>
      </c>
      <c r="S444" s="49">
        <v>2.5240936209270305E-3</v>
      </c>
      <c r="T444" s="49">
        <v>1.1473152822395595E-3</v>
      </c>
      <c r="U444" s="49">
        <v>0</v>
      </c>
    </row>
    <row r="445" spans="1:21">
      <c r="A445" t="s">
        <v>243</v>
      </c>
      <c r="B445" t="s">
        <v>2025</v>
      </c>
      <c r="C445" s="49">
        <v>1</v>
      </c>
      <c r="D445" s="49">
        <v>3.4419458467186782E-2</v>
      </c>
      <c r="E445" s="49">
        <v>5.9660394676457089E-3</v>
      </c>
      <c r="F445" s="49">
        <v>4.8187241854061496E-3</v>
      </c>
      <c r="G445" s="49">
        <v>1.1473152822395595E-3</v>
      </c>
      <c r="H445" s="49">
        <v>1.8357044515832951E-3</v>
      </c>
      <c r="I445" s="49">
        <v>1.7668655346489214E-2</v>
      </c>
      <c r="J445" s="49">
        <v>1.0325837540156035E-2</v>
      </c>
      <c r="K445" s="49">
        <v>0.85589720055071139</v>
      </c>
      <c r="L445" s="49">
        <v>3.1895364846259752E-2</v>
      </c>
      <c r="M445" s="49">
        <v>2.2946305644791189E-4</v>
      </c>
      <c r="N445" s="49">
        <v>4.5892611289582378E-4</v>
      </c>
      <c r="O445" s="49">
        <v>0.11656723267553924</v>
      </c>
      <c r="P445" s="49">
        <v>1.6291877007801745E-2</v>
      </c>
      <c r="Q445" s="49">
        <v>0</v>
      </c>
      <c r="R445" s="49">
        <v>3.4419458467186783E-3</v>
      </c>
      <c r="S445" s="49">
        <v>2.5240936209270305E-3</v>
      </c>
      <c r="T445" s="49">
        <v>1.1473152822395595E-3</v>
      </c>
      <c r="U445" s="49">
        <v>0</v>
      </c>
    </row>
    <row r="446" spans="1:21">
      <c r="A446" t="s">
        <v>1080</v>
      </c>
      <c r="B446" t="s">
        <v>2025</v>
      </c>
      <c r="C446" s="49">
        <v>1</v>
      </c>
      <c r="D446" s="49">
        <v>3.4419458467186782E-2</v>
      </c>
      <c r="E446" s="49">
        <v>5.9660394676457089E-3</v>
      </c>
      <c r="F446" s="49">
        <v>4.8187241854061496E-3</v>
      </c>
      <c r="G446" s="49">
        <v>1.1473152822395595E-3</v>
      </c>
      <c r="H446" s="49">
        <v>1.8357044515832951E-3</v>
      </c>
      <c r="I446" s="49">
        <v>1.7668655346489214E-2</v>
      </c>
      <c r="J446" s="49">
        <v>1.0325837540156035E-2</v>
      </c>
      <c r="K446" s="49">
        <v>0.85589720055071139</v>
      </c>
      <c r="L446" s="49">
        <v>3.1895364846259752E-2</v>
      </c>
      <c r="M446" s="49">
        <v>2.2946305644791189E-4</v>
      </c>
      <c r="N446" s="49">
        <v>4.5892611289582378E-4</v>
      </c>
      <c r="O446" s="49">
        <v>0.11656723267553924</v>
      </c>
      <c r="P446" s="49">
        <v>1.6291877007801745E-2</v>
      </c>
      <c r="Q446" s="49">
        <v>0</v>
      </c>
      <c r="R446" s="49">
        <v>3.4419458467186783E-3</v>
      </c>
      <c r="S446" s="49">
        <v>2.5240936209270305E-3</v>
      </c>
      <c r="T446" s="49">
        <v>1.1473152822395595E-3</v>
      </c>
      <c r="U446" s="49">
        <v>0</v>
      </c>
    </row>
    <row r="447" spans="1:21">
      <c r="A447" t="s">
        <v>245</v>
      </c>
      <c r="B447" t="s">
        <v>2030</v>
      </c>
      <c r="C447" s="49">
        <v>1</v>
      </c>
      <c r="D447" s="49">
        <v>4.5556385362210607E-2</v>
      </c>
      <c r="E447" s="49">
        <v>1.6430171769977596E-2</v>
      </c>
      <c r="F447" s="49">
        <v>1.2696041822255415E-2</v>
      </c>
      <c r="G447" s="49">
        <v>0</v>
      </c>
      <c r="H447" s="49">
        <v>9.7087378640776691E-3</v>
      </c>
      <c r="I447" s="49">
        <v>1.2696041822255415E-2</v>
      </c>
      <c r="J447" s="49">
        <v>1.0455563853622106E-2</v>
      </c>
      <c r="K447" s="49">
        <v>0.85287528005974611</v>
      </c>
      <c r="L447" s="49">
        <v>4.8543689320388349E-2</v>
      </c>
      <c r="M447" s="49">
        <v>0</v>
      </c>
      <c r="N447" s="49">
        <v>9.7087378640776691E-3</v>
      </c>
      <c r="O447" s="49">
        <v>0.11277072442120986</v>
      </c>
      <c r="P447" s="49">
        <v>2.3898431665421958E-2</v>
      </c>
      <c r="Q447" s="49">
        <v>2.2404779686333084E-3</v>
      </c>
      <c r="R447" s="49">
        <v>4.4809559372666168E-3</v>
      </c>
      <c r="S447" s="49">
        <v>2.9873039581777448E-3</v>
      </c>
      <c r="T447" s="49">
        <v>5.2277819268110532E-3</v>
      </c>
      <c r="U447" s="49">
        <v>0</v>
      </c>
    </row>
    <row r="448" spans="1:21">
      <c r="A448" t="s">
        <v>1371</v>
      </c>
      <c r="B448" t="s">
        <v>2037</v>
      </c>
      <c r="C448" s="49">
        <v>1</v>
      </c>
      <c r="D448" s="49">
        <v>1.7899291896144767E-2</v>
      </c>
      <c r="E448" s="49">
        <v>5.4316061593795664E-2</v>
      </c>
      <c r="F448" s="49">
        <v>8.14881420703608E-3</v>
      </c>
      <c r="G448" s="49">
        <v>1.3993480948634372E-2</v>
      </c>
      <c r="H448" s="49">
        <v>4.3835000561987187E-3</v>
      </c>
      <c r="I448" s="49">
        <v>6.9433516915814314E-2</v>
      </c>
      <c r="J448" s="49">
        <v>9.3851860177587947E-3</v>
      </c>
      <c r="K448" s="49">
        <v>0.75665954816230185</v>
      </c>
      <c r="L448" s="49">
        <v>2.2648083623693381E-2</v>
      </c>
      <c r="M448" s="49">
        <v>1.6943913678768123E-2</v>
      </c>
      <c r="N448" s="49">
        <v>5.0297853208946834E-3</v>
      </c>
      <c r="O448" s="49">
        <v>7.0107901539844891E-2</v>
      </c>
      <c r="P448" s="49">
        <v>1.0340564235135439E-2</v>
      </c>
      <c r="Q448" s="49">
        <v>3.6529167134989322E-4</v>
      </c>
      <c r="R448" s="49">
        <v>6.1818590536135776E-4</v>
      </c>
      <c r="S448" s="49">
        <v>1.4162077104642014E-2</v>
      </c>
      <c r="T448" s="49">
        <v>4.3835000561987187E-3</v>
      </c>
      <c r="U448" s="49">
        <v>4.0182083848488252E-3</v>
      </c>
    </row>
    <row r="449" spans="1:21">
      <c r="A449" t="s">
        <v>1081</v>
      </c>
      <c r="B449" t="s">
        <v>2033</v>
      </c>
      <c r="C449" s="49">
        <v>1</v>
      </c>
      <c r="D449" s="49">
        <v>2.0257826887661142E-2</v>
      </c>
      <c r="E449" s="49">
        <v>0.46183241252302026</v>
      </c>
      <c r="F449" s="49">
        <v>1.9843462246777164E-2</v>
      </c>
      <c r="G449" s="49">
        <v>4.2495395948434621E-2</v>
      </c>
      <c r="H449" s="49">
        <v>5.6629834254143642E-3</v>
      </c>
      <c r="I449" s="49">
        <v>6.3720073664825044E-2</v>
      </c>
      <c r="J449" s="49">
        <v>8.0570902394106816E-3</v>
      </c>
      <c r="K449" s="49">
        <v>0.30441988950276244</v>
      </c>
      <c r="L449" s="49">
        <v>1.6022099447513812E-2</v>
      </c>
      <c r="M449" s="49">
        <v>3.2228360957642726E-3</v>
      </c>
      <c r="N449" s="49">
        <v>1.4732965009208103E-3</v>
      </c>
      <c r="O449" s="49">
        <v>0.11754143646408839</v>
      </c>
      <c r="P449" s="49">
        <v>1.3305709023941069E-2</v>
      </c>
      <c r="Q449" s="49">
        <v>0</v>
      </c>
      <c r="R449" s="49">
        <v>1.0128913443830571E-3</v>
      </c>
      <c r="S449" s="49">
        <v>4.9723756906077344E-3</v>
      </c>
      <c r="T449" s="49">
        <v>2.2559852670349908E-3</v>
      </c>
      <c r="U449" s="49">
        <v>1.7955801104972376E-3</v>
      </c>
    </row>
    <row r="450" spans="1:21">
      <c r="A450" t="s">
        <v>1427</v>
      </c>
      <c r="B450" t="s">
        <v>2024</v>
      </c>
      <c r="C450" s="49">
        <v>1</v>
      </c>
      <c r="D450" s="49">
        <v>3.9991113085980891E-2</v>
      </c>
      <c r="E450" s="49">
        <v>3.4436791824039102E-2</v>
      </c>
      <c r="F450" s="49">
        <v>1.5329926682959343E-2</v>
      </c>
      <c r="G450" s="49">
        <v>4.8878027105087761E-3</v>
      </c>
      <c r="H450" s="49">
        <v>4.6656298600311046E-3</v>
      </c>
      <c r="I450" s="49">
        <v>8.0648744723394797E-2</v>
      </c>
      <c r="J450" s="49">
        <v>2.7771606309708954E-2</v>
      </c>
      <c r="K450" s="49">
        <v>0.80493223728060426</v>
      </c>
      <c r="L450" s="49">
        <v>4.9988891357476119E-2</v>
      </c>
      <c r="M450" s="49">
        <v>0</v>
      </c>
      <c r="N450" s="49">
        <v>3.3325927571650742E-3</v>
      </c>
      <c r="O450" s="49">
        <v>5.6431904021328597E-2</v>
      </c>
      <c r="P450" s="49">
        <v>2.043990224394579E-2</v>
      </c>
      <c r="Q450" s="49">
        <v>0</v>
      </c>
      <c r="R450" s="49">
        <v>3.3325927571650742E-3</v>
      </c>
      <c r="S450" s="49">
        <v>1.7107309486780714E-2</v>
      </c>
      <c r="T450" s="49">
        <v>1.0219951121972895E-2</v>
      </c>
      <c r="U450" s="49">
        <v>1.5552099533437014E-3</v>
      </c>
    </row>
    <row r="451" spans="1:21">
      <c r="A451" t="s">
        <v>1082</v>
      </c>
      <c r="B451" t="s">
        <v>2045</v>
      </c>
      <c r="C451" s="49">
        <v>1</v>
      </c>
      <c r="D451" s="49">
        <v>0.11614173228346457</v>
      </c>
      <c r="E451" s="49">
        <v>0</v>
      </c>
      <c r="F451" s="49">
        <v>1.7716535433070866E-2</v>
      </c>
      <c r="G451" s="49">
        <v>0</v>
      </c>
      <c r="H451" s="49">
        <v>1.7716535433070866E-2</v>
      </c>
      <c r="I451" s="49">
        <v>1.1811023622047244E-2</v>
      </c>
      <c r="J451" s="49">
        <v>1.1811023622047244E-2</v>
      </c>
      <c r="K451" s="49">
        <v>0.86614173228346458</v>
      </c>
      <c r="L451" s="49">
        <v>0.11220472440944881</v>
      </c>
      <c r="M451" s="49">
        <v>0</v>
      </c>
      <c r="N451" s="49">
        <v>1.7716535433070866E-2</v>
      </c>
      <c r="O451" s="49">
        <v>0.1141732283464567</v>
      </c>
      <c r="P451" s="49">
        <v>3.1496062992125984E-2</v>
      </c>
      <c r="Q451" s="49">
        <v>0</v>
      </c>
      <c r="R451" s="49">
        <v>1.7716535433070866E-2</v>
      </c>
      <c r="S451" s="49">
        <v>7.874015748031496E-3</v>
      </c>
      <c r="T451" s="49">
        <v>7.874015748031496E-3</v>
      </c>
      <c r="U451" s="49">
        <v>0</v>
      </c>
    </row>
    <row r="452" spans="1:21">
      <c r="A452" t="s">
        <v>1428</v>
      </c>
      <c r="B452" t="s">
        <v>205</v>
      </c>
      <c r="C452" s="49">
        <v>1</v>
      </c>
      <c r="D452" s="49">
        <v>8.3919597989949746E-2</v>
      </c>
      <c r="E452" s="49">
        <v>0.66582914572864327</v>
      </c>
      <c r="F452" s="49">
        <v>5.4773869346733665E-2</v>
      </c>
      <c r="G452" s="49">
        <v>5.025125628140704E-4</v>
      </c>
      <c r="H452" s="49">
        <v>1.507537688442211E-3</v>
      </c>
      <c r="I452" s="49">
        <v>2.7638190954773871E-2</v>
      </c>
      <c r="J452" s="49">
        <v>1.6582914572864323E-2</v>
      </c>
      <c r="K452" s="49">
        <v>0.30351758793969852</v>
      </c>
      <c r="L452" s="49">
        <v>4.6733668341708542E-2</v>
      </c>
      <c r="M452" s="49">
        <v>0</v>
      </c>
      <c r="N452" s="49">
        <v>6.5326633165829146E-3</v>
      </c>
      <c r="O452" s="49">
        <v>0</v>
      </c>
      <c r="P452" s="49">
        <v>6.5326633165829146E-3</v>
      </c>
      <c r="Q452" s="49">
        <v>0</v>
      </c>
      <c r="R452" s="49">
        <v>6.5326633165829146E-3</v>
      </c>
      <c r="S452" s="49">
        <v>2.5125628140703518E-3</v>
      </c>
      <c r="T452" s="49">
        <v>2.0100502512562816E-3</v>
      </c>
      <c r="U452" s="49">
        <v>0</v>
      </c>
    </row>
    <row r="453" spans="1:21">
      <c r="A453" t="s">
        <v>1525</v>
      </c>
      <c r="B453" t="s">
        <v>2025</v>
      </c>
      <c r="C453" s="49">
        <v>1</v>
      </c>
      <c r="D453" s="49">
        <v>3.4419458467186782E-2</v>
      </c>
      <c r="E453" s="49">
        <v>5.9660394676457089E-3</v>
      </c>
      <c r="F453" s="49">
        <v>4.8187241854061496E-3</v>
      </c>
      <c r="G453" s="49">
        <v>1.1473152822395595E-3</v>
      </c>
      <c r="H453" s="49">
        <v>1.8357044515832951E-3</v>
      </c>
      <c r="I453" s="49">
        <v>1.7668655346489214E-2</v>
      </c>
      <c r="J453" s="49">
        <v>1.0325837540156035E-2</v>
      </c>
      <c r="K453" s="49">
        <v>0.85589720055071139</v>
      </c>
      <c r="L453" s="49">
        <v>3.1895364846259752E-2</v>
      </c>
      <c r="M453" s="49">
        <v>2.2946305644791189E-4</v>
      </c>
      <c r="N453" s="49">
        <v>4.5892611289582378E-4</v>
      </c>
      <c r="O453" s="49">
        <v>0.11656723267553924</v>
      </c>
      <c r="P453" s="49">
        <v>1.6291877007801745E-2</v>
      </c>
      <c r="Q453" s="49">
        <v>0</v>
      </c>
      <c r="R453" s="49">
        <v>3.4419458467186783E-3</v>
      </c>
      <c r="S453" s="49">
        <v>2.5240936209270305E-3</v>
      </c>
      <c r="T453" s="49">
        <v>1.1473152822395595E-3</v>
      </c>
      <c r="U453" s="49">
        <v>0</v>
      </c>
    </row>
    <row r="454" spans="1:21">
      <c r="A454" t="s">
        <v>22</v>
      </c>
      <c r="B454" t="s">
        <v>2041</v>
      </c>
      <c r="C454" s="49">
        <v>1</v>
      </c>
      <c r="D454" s="49">
        <v>3.68251698248123E-2</v>
      </c>
      <c r="E454" s="49">
        <v>1.2870933142652842E-2</v>
      </c>
      <c r="F454" s="49">
        <v>7.5080443332141578E-3</v>
      </c>
      <c r="G454" s="49">
        <v>3.5752592062924561E-3</v>
      </c>
      <c r="H454" s="49">
        <v>3.5752592062924561E-3</v>
      </c>
      <c r="I454" s="49">
        <v>2.7887021809081158E-2</v>
      </c>
      <c r="J454" s="49">
        <v>1.3228459063282088E-2</v>
      </c>
      <c r="K454" s="49">
        <v>0.91383625312835182</v>
      </c>
      <c r="L454" s="49">
        <v>3.5037540221666073E-2</v>
      </c>
      <c r="M454" s="49">
        <v>0</v>
      </c>
      <c r="N454" s="49">
        <v>4.6478369681801929E-3</v>
      </c>
      <c r="O454" s="49">
        <v>4.0757954951734003E-2</v>
      </c>
      <c r="P454" s="49">
        <v>1.0725777618877368E-2</v>
      </c>
      <c r="Q454" s="49">
        <v>0</v>
      </c>
      <c r="R454" s="49">
        <v>4.6478369681801929E-3</v>
      </c>
      <c r="S454" s="49">
        <v>1.0725777618877368E-3</v>
      </c>
      <c r="T454" s="49">
        <v>1.4301036825169824E-3</v>
      </c>
      <c r="U454" s="49">
        <v>0</v>
      </c>
    </row>
    <row r="455" spans="1:21">
      <c r="A455" t="s">
        <v>36</v>
      </c>
      <c r="B455" t="s">
        <v>2023</v>
      </c>
      <c r="C455" s="49">
        <v>1</v>
      </c>
      <c r="D455" s="49">
        <v>9.6805421103581799E-2</v>
      </c>
      <c r="E455" s="49">
        <v>1.9361084220716359E-2</v>
      </c>
      <c r="F455" s="49">
        <v>1.452081316553727E-2</v>
      </c>
      <c r="G455" s="49">
        <v>1.3552758954501452E-2</v>
      </c>
      <c r="H455" s="49">
        <v>9.6805421103581795E-3</v>
      </c>
      <c r="I455" s="49">
        <v>3.8722168441432718E-2</v>
      </c>
      <c r="J455" s="49">
        <v>1.8393030009680542E-2</v>
      </c>
      <c r="K455" s="49">
        <v>0.87415295256534364</v>
      </c>
      <c r="L455" s="49">
        <v>8.8092933204259441E-2</v>
      </c>
      <c r="M455" s="49">
        <v>0</v>
      </c>
      <c r="N455" s="49">
        <v>1.2584704743465635E-2</v>
      </c>
      <c r="O455" s="49">
        <v>1.452081316553727E-2</v>
      </c>
      <c r="P455" s="49">
        <v>9.6805421103581795E-3</v>
      </c>
      <c r="Q455" s="49">
        <v>0</v>
      </c>
      <c r="R455" s="49">
        <v>1.2584704743465635E-2</v>
      </c>
      <c r="S455" s="49">
        <v>3.7754114230396901E-2</v>
      </c>
      <c r="T455" s="49">
        <v>1.7424975798644726E-2</v>
      </c>
      <c r="U455" s="49">
        <v>1.9361084220716361E-3</v>
      </c>
    </row>
    <row r="456" spans="1:21">
      <c r="A456" t="s">
        <v>1429</v>
      </c>
      <c r="B456" t="s">
        <v>2026</v>
      </c>
      <c r="C456" s="49">
        <v>1</v>
      </c>
      <c r="D456" s="49">
        <v>0.39770114942528734</v>
      </c>
      <c r="E456" s="49">
        <v>1.3793103448275862E-2</v>
      </c>
      <c r="F456" s="49">
        <v>2.2988505747126436E-2</v>
      </c>
      <c r="G456" s="49">
        <v>2.2988505747126436E-3</v>
      </c>
      <c r="H456" s="49">
        <v>1.1494252873563218E-2</v>
      </c>
      <c r="I456" s="49">
        <v>2.7586206896551724E-2</v>
      </c>
      <c r="J456" s="49">
        <v>2.528735632183908E-2</v>
      </c>
      <c r="K456" s="49">
        <v>0.92183908045977014</v>
      </c>
      <c r="L456" s="49">
        <v>0.35632183908045978</v>
      </c>
      <c r="M456" s="49">
        <v>0</v>
      </c>
      <c r="N456" s="49">
        <v>2.0689655172413793E-2</v>
      </c>
      <c r="O456" s="49">
        <v>2.9885057471264367E-2</v>
      </c>
      <c r="P456" s="49">
        <v>2.528735632183908E-2</v>
      </c>
      <c r="Q456" s="49">
        <v>0</v>
      </c>
      <c r="R456" s="49">
        <v>2.0689655172413793E-2</v>
      </c>
      <c r="S456" s="49">
        <v>4.5977011494252873E-3</v>
      </c>
      <c r="T456" s="49">
        <v>6.8965517241379309E-3</v>
      </c>
      <c r="U456" s="49">
        <v>0</v>
      </c>
    </row>
    <row r="457" spans="1:21">
      <c r="A457" t="s">
        <v>1083</v>
      </c>
      <c r="B457" t="s">
        <v>2025</v>
      </c>
      <c r="C457" s="49">
        <v>1</v>
      </c>
      <c r="D457" s="49">
        <v>3.4419458467186782E-2</v>
      </c>
      <c r="E457" s="49">
        <v>5.9660394676457089E-3</v>
      </c>
      <c r="F457" s="49">
        <v>4.8187241854061496E-3</v>
      </c>
      <c r="G457" s="49">
        <v>1.1473152822395595E-3</v>
      </c>
      <c r="H457" s="49">
        <v>1.8357044515832951E-3</v>
      </c>
      <c r="I457" s="49">
        <v>1.7668655346489214E-2</v>
      </c>
      <c r="J457" s="49">
        <v>1.0325837540156035E-2</v>
      </c>
      <c r="K457" s="49">
        <v>0.85589720055071139</v>
      </c>
      <c r="L457" s="49">
        <v>3.1895364846259752E-2</v>
      </c>
      <c r="M457" s="49">
        <v>2.2946305644791189E-4</v>
      </c>
      <c r="N457" s="49">
        <v>4.5892611289582378E-4</v>
      </c>
      <c r="O457" s="49">
        <v>0.11656723267553924</v>
      </c>
      <c r="P457" s="49">
        <v>1.6291877007801745E-2</v>
      </c>
      <c r="Q457" s="49">
        <v>0</v>
      </c>
      <c r="R457" s="49">
        <v>3.4419458467186783E-3</v>
      </c>
      <c r="S457" s="49">
        <v>2.5240936209270305E-3</v>
      </c>
      <c r="T457" s="49">
        <v>1.1473152822395595E-3</v>
      </c>
      <c r="U457" s="49">
        <v>0</v>
      </c>
    </row>
    <row r="458" spans="1:21">
      <c r="A458" t="s">
        <v>2075</v>
      </c>
      <c r="B458" t="s">
        <v>2034</v>
      </c>
      <c r="C458" s="49">
        <v>1</v>
      </c>
      <c r="D458" s="49">
        <v>0.12011173184357542</v>
      </c>
      <c r="E458" s="49">
        <v>1.3966480446927373E-2</v>
      </c>
      <c r="F458" s="49">
        <v>2.23463687150838E-2</v>
      </c>
      <c r="G458" s="49">
        <v>0</v>
      </c>
      <c r="H458" s="49">
        <v>1.2569832402234637E-2</v>
      </c>
      <c r="I458" s="49">
        <v>3.6312849162011177E-2</v>
      </c>
      <c r="J458" s="49">
        <v>2.7932960893854747E-2</v>
      </c>
      <c r="K458" s="49">
        <v>0.56564245810055869</v>
      </c>
      <c r="L458" s="49">
        <v>0.11312849162011174</v>
      </c>
      <c r="M458" s="49">
        <v>0.15502793296089384</v>
      </c>
      <c r="N458" s="49">
        <v>6.4245810055865923E-2</v>
      </c>
      <c r="O458" s="49">
        <v>0.22905027932960895</v>
      </c>
      <c r="P458" s="49">
        <v>7.2625698324022353E-2</v>
      </c>
      <c r="Q458" s="49">
        <v>0</v>
      </c>
      <c r="R458" s="49">
        <v>1.2569832402234637E-2</v>
      </c>
      <c r="S458" s="49">
        <v>0</v>
      </c>
      <c r="T458" s="49">
        <v>1.2569832402234637E-2</v>
      </c>
      <c r="U458" s="49">
        <v>0</v>
      </c>
    </row>
    <row r="459" spans="1:21">
      <c r="A459" t="s">
        <v>1430</v>
      </c>
      <c r="B459" t="s">
        <v>2024</v>
      </c>
      <c r="C459" s="49">
        <v>1</v>
      </c>
      <c r="D459" s="49">
        <v>3.9991113085980891E-2</v>
      </c>
      <c r="E459" s="49">
        <v>3.4436791824039102E-2</v>
      </c>
      <c r="F459" s="49">
        <v>1.5329926682959343E-2</v>
      </c>
      <c r="G459" s="49">
        <v>4.8878027105087761E-3</v>
      </c>
      <c r="H459" s="49">
        <v>4.6656298600311046E-3</v>
      </c>
      <c r="I459" s="49">
        <v>8.0648744723394797E-2</v>
      </c>
      <c r="J459" s="49">
        <v>2.7771606309708954E-2</v>
      </c>
      <c r="K459" s="49">
        <v>0.80493223728060426</v>
      </c>
      <c r="L459" s="49">
        <v>4.9988891357476119E-2</v>
      </c>
      <c r="M459" s="49">
        <v>0</v>
      </c>
      <c r="N459" s="49">
        <v>3.3325927571650742E-3</v>
      </c>
      <c r="O459" s="49">
        <v>5.6431904021328597E-2</v>
      </c>
      <c r="P459" s="49">
        <v>2.043990224394579E-2</v>
      </c>
      <c r="Q459" s="49">
        <v>0</v>
      </c>
      <c r="R459" s="49">
        <v>3.3325927571650742E-3</v>
      </c>
      <c r="S459" s="49">
        <v>1.7107309486780714E-2</v>
      </c>
      <c r="T459" s="49">
        <v>1.0219951121972895E-2</v>
      </c>
      <c r="U459" s="49">
        <v>1.5552099533437014E-3</v>
      </c>
    </row>
    <row r="460" spans="1:21">
      <c r="A460" t="s">
        <v>1084</v>
      </c>
      <c r="B460" t="s">
        <v>2044</v>
      </c>
      <c r="C460" s="49">
        <v>1</v>
      </c>
      <c r="D460" s="49">
        <v>4.81892523364486E-2</v>
      </c>
      <c r="E460" s="49">
        <v>4.6436915887850469E-2</v>
      </c>
      <c r="F460" s="49">
        <v>1.8107476635514017E-2</v>
      </c>
      <c r="G460" s="49">
        <v>2.9205607476635514E-2</v>
      </c>
      <c r="H460" s="49">
        <v>2.0443925233644859E-2</v>
      </c>
      <c r="I460" s="49">
        <v>2.27803738317757E-2</v>
      </c>
      <c r="J460" s="49">
        <v>1.4310747663551402E-2</v>
      </c>
      <c r="K460" s="49">
        <v>0.67873831775700932</v>
      </c>
      <c r="L460" s="49">
        <v>5.1401869158878503E-2</v>
      </c>
      <c r="M460" s="49">
        <v>3.7967289719626168E-3</v>
      </c>
      <c r="N460" s="49">
        <v>3.5046728971962616E-3</v>
      </c>
      <c r="O460" s="49">
        <v>0.21290887850467291</v>
      </c>
      <c r="P460" s="49">
        <v>3.6214953271028034E-2</v>
      </c>
      <c r="Q460" s="49">
        <v>0</v>
      </c>
      <c r="R460" s="49">
        <v>3.7967289719626168E-3</v>
      </c>
      <c r="S460" s="49">
        <v>3.7967289719626168E-3</v>
      </c>
      <c r="T460" s="49">
        <v>4.0887850467289715E-3</v>
      </c>
      <c r="U460" s="49">
        <v>2.3364485981308409E-3</v>
      </c>
    </row>
    <row r="461" spans="1:21">
      <c r="A461" t="s">
        <v>414</v>
      </c>
      <c r="B461" t="s">
        <v>2028</v>
      </c>
      <c r="C461" s="49">
        <v>1</v>
      </c>
      <c r="D461" s="49">
        <v>3.9883268482490269E-2</v>
      </c>
      <c r="E461" s="49">
        <v>4.8638132295719845E-3</v>
      </c>
      <c r="F461" s="49">
        <v>5.8365758754863814E-3</v>
      </c>
      <c r="G461" s="49">
        <v>9.727626459143969E-4</v>
      </c>
      <c r="H461" s="49">
        <v>1.4591439688715954E-3</v>
      </c>
      <c r="I461" s="49">
        <v>8.7548638132295721E-3</v>
      </c>
      <c r="J461" s="49">
        <v>5.8365758754863814E-3</v>
      </c>
      <c r="K461" s="49">
        <v>0.51021400778210113</v>
      </c>
      <c r="L461" s="49">
        <v>2.6750972762645913E-2</v>
      </c>
      <c r="M461" s="49">
        <v>7.7821011673151752E-3</v>
      </c>
      <c r="N461" s="49">
        <v>5.350194552529183E-3</v>
      </c>
      <c r="O461" s="49">
        <v>0.46303501945525294</v>
      </c>
      <c r="P461" s="49">
        <v>3.1614785992217898E-2</v>
      </c>
      <c r="Q461" s="49">
        <v>9.727626459143969E-4</v>
      </c>
      <c r="R461" s="49">
        <v>1.4591439688715954E-3</v>
      </c>
      <c r="S461" s="49">
        <v>1.4591439688715954E-3</v>
      </c>
      <c r="T461" s="49">
        <v>1.9455252918287938E-3</v>
      </c>
      <c r="U461" s="49">
        <v>1.9455252918287938E-3</v>
      </c>
    </row>
    <row r="462" spans="1:21">
      <c r="A462" t="s">
        <v>2076</v>
      </c>
      <c r="B462" t="s">
        <v>2033</v>
      </c>
      <c r="C462" s="49">
        <v>1</v>
      </c>
      <c r="D462" s="49">
        <v>2.0257826887661142E-2</v>
      </c>
      <c r="E462" s="49">
        <v>0.46183241252302026</v>
      </c>
      <c r="F462" s="49">
        <v>1.9843462246777164E-2</v>
      </c>
      <c r="G462" s="49">
        <v>4.2495395948434621E-2</v>
      </c>
      <c r="H462" s="49">
        <v>5.6629834254143642E-3</v>
      </c>
      <c r="I462" s="49">
        <v>6.3720073664825044E-2</v>
      </c>
      <c r="J462" s="49">
        <v>8.0570902394106816E-3</v>
      </c>
      <c r="K462" s="49">
        <v>0.30441988950276244</v>
      </c>
      <c r="L462" s="49">
        <v>1.6022099447513812E-2</v>
      </c>
      <c r="M462" s="49">
        <v>3.2228360957642726E-3</v>
      </c>
      <c r="N462" s="49">
        <v>1.4732965009208103E-3</v>
      </c>
      <c r="O462" s="49">
        <v>0.11754143646408839</v>
      </c>
      <c r="P462" s="49">
        <v>1.3305709023941069E-2</v>
      </c>
      <c r="Q462" s="49">
        <v>0</v>
      </c>
      <c r="R462" s="49">
        <v>1.0128913443830571E-3</v>
      </c>
      <c r="S462" s="49">
        <v>4.9723756906077344E-3</v>
      </c>
      <c r="T462" s="49">
        <v>2.2559852670349908E-3</v>
      </c>
      <c r="U462" s="49">
        <v>1.7955801104972376E-3</v>
      </c>
    </row>
    <row r="463" spans="1:21">
      <c r="A463" t="s">
        <v>212</v>
      </c>
      <c r="B463" t="s">
        <v>205</v>
      </c>
      <c r="C463" s="49">
        <v>1</v>
      </c>
      <c r="D463" s="49">
        <v>8.3919597989949746E-2</v>
      </c>
      <c r="E463" s="49">
        <v>0.66582914572864327</v>
      </c>
      <c r="F463" s="49">
        <v>5.4773869346733665E-2</v>
      </c>
      <c r="G463" s="49">
        <v>5.025125628140704E-4</v>
      </c>
      <c r="H463" s="49">
        <v>1.507537688442211E-3</v>
      </c>
      <c r="I463" s="49">
        <v>2.7638190954773871E-2</v>
      </c>
      <c r="J463" s="49">
        <v>1.6582914572864323E-2</v>
      </c>
      <c r="K463" s="49">
        <v>0.30351758793969852</v>
      </c>
      <c r="L463" s="49">
        <v>4.6733668341708542E-2</v>
      </c>
      <c r="M463" s="49">
        <v>0</v>
      </c>
      <c r="N463" s="49">
        <v>6.5326633165829146E-3</v>
      </c>
      <c r="O463" s="49">
        <v>0</v>
      </c>
      <c r="P463" s="49">
        <v>6.5326633165829146E-3</v>
      </c>
      <c r="Q463" s="49">
        <v>0</v>
      </c>
      <c r="R463" s="49">
        <v>6.5326633165829146E-3</v>
      </c>
      <c r="S463" s="49">
        <v>2.5125628140703518E-3</v>
      </c>
      <c r="T463" s="49">
        <v>2.0100502512562816E-3</v>
      </c>
      <c r="U463" s="49">
        <v>0</v>
      </c>
    </row>
    <row r="464" spans="1:21">
      <c r="A464" t="s">
        <v>110</v>
      </c>
      <c r="B464" t="s">
        <v>2041</v>
      </c>
      <c r="C464" s="49">
        <v>1</v>
      </c>
      <c r="D464" s="49">
        <v>3.68251698248123E-2</v>
      </c>
      <c r="E464" s="49">
        <v>1.2870933142652842E-2</v>
      </c>
      <c r="F464" s="49">
        <v>7.5080443332141578E-3</v>
      </c>
      <c r="G464" s="49">
        <v>3.5752592062924561E-3</v>
      </c>
      <c r="H464" s="49">
        <v>3.5752592062924561E-3</v>
      </c>
      <c r="I464" s="49">
        <v>2.7887021809081158E-2</v>
      </c>
      <c r="J464" s="49">
        <v>1.3228459063282088E-2</v>
      </c>
      <c r="K464" s="49">
        <v>0.91383625312835182</v>
      </c>
      <c r="L464" s="49">
        <v>3.5037540221666073E-2</v>
      </c>
      <c r="M464" s="49">
        <v>0</v>
      </c>
      <c r="N464" s="49">
        <v>4.6478369681801929E-3</v>
      </c>
      <c r="O464" s="49">
        <v>4.0757954951734003E-2</v>
      </c>
      <c r="P464" s="49">
        <v>1.0725777618877368E-2</v>
      </c>
      <c r="Q464" s="49">
        <v>0</v>
      </c>
      <c r="R464" s="49">
        <v>4.6478369681801929E-3</v>
      </c>
      <c r="S464" s="49">
        <v>1.0725777618877368E-3</v>
      </c>
      <c r="T464" s="49">
        <v>1.4301036825169824E-3</v>
      </c>
      <c r="U464" s="49">
        <v>0</v>
      </c>
    </row>
    <row r="465" spans="1:21">
      <c r="A465" t="s">
        <v>1085</v>
      </c>
      <c r="B465" t="s">
        <v>2061</v>
      </c>
      <c r="C465" s="49">
        <v>1</v>
      </c>
      <c r="D465" s="49">
        <v>3.4372049102927286E-2</v>
      </c>
      <c r="E465" s="49">
        <v>2.0963172804532578E-2</v>
      </c>
      <c r="F465" s="49">
        <v>9.442870632672332E-3</v>
      </c>
      <c r="G465" s="49">
        <v>3.4372049102927286E-2</v>
      </c>
      <c r="H465" s="49">
        <v>1.0387157695939566E-2</v>
      </c>
      <c r="I465" s="49">
        <v>0.25136921624173747</v>
      </c>
      <c r="J465" s="49">
        <v>3.0972615675165249E-2</v>
      </c>
      <c r="K465" s="49">
        <v>0.60396600566572234</v>
      </c>
      <c r="L465" s="49">
        <v>4.0982058545797923E-2</v>
      </c>
      <c r="M465" s="49">
        <v>0</v>
      </c>
      <c r="N465" s="49">
        <v>2.8328611898016999E-3</v>
      </c>
      <c r="O465" s="49">
        <v>7.818696883852691E-2</v>
      </c>
      <c r="P465" s="49">
        <v>2.0774315391879131E-2</v>
      </c>
      <c r="Q465" s="49">
        <v>0</v>
      </c>
      <c r="R465" s="49">
        <v>2.8328611898016999E-3</v>
      </c>
      <c r="S465" s="49">
        <v>1.0764872521246459E-2</v>
      </c>
      <c r="T465" s="49">
        <v>8.1208687440982065E-3</v>
      </c>
      <c r="U465" s="49">
        <v>3.7771482530689327E-4</v>
      </c>
    </row>
    <row r="466" spans="1:21">
      <c r="A466" t="s">
        <v>298</v>
      </c>
      <c r="B466" t="s">
        <v>2031</v>
      </c>
      <c r="C466" s="49">
        <v>1</v>
      </c>
      <c r="D466" s="49">
        <v>1.3398451306108023E-2</v>
      </c>
      <c r="E466" s="49">
        <v>0.69887221668862254</v>
      </c>
      <c r="F466" s="49">
        <v>1.5679722391800276E-2</v>
      </c>
      <c r="G466" s="49">
        <v>1.2177489316582591E-2</v>
      </c>
      <c r="H466" s="49">
        <v>3.2451884458439095E-3</v>
      </c>
      <c r="I466" s="49">
        <v>5.7835041609099379E-2</v>
      </c>
      <c r="J466" s="49">
        <v>7.6149471451980848E-3</v>
      </c>
      <c r="K466" s="49">
        <v>0.1487645792500723</v>
      </c>
      <c r="L466" s="49">
        <v>9.1250843427690131E-3</v>
      </c>
      <c r="M466" s="49">
        <v>2.5061851363943066E-3</v>
      </c>
      <c r="N466" s="49">
        <v>1.2530925681971533E-3</v>
      </c>
      <c r="O466" s="49">
        <v>7.3836069787616879E-2</v>
      </c>
      <c r="P466" s="49">
        <v>6.8759438357484815E-3</v>
      </c>
      <c r="Q466" s="49">
        <v>0</v>
      </c>
      <c r="R466" s="49">
        <v>7.0687273077788134E-4</v>
      </c>
      <c r="S466" s="49">
        <v>4.2412363846672883E-3</v>
      </c>
      <c r="T466" s="49">
        <v>2.0242264563184783E-3</v>
      </c>
      <c r="U466" s="49">
        <v>1.7671818269447033E-3</v>
      </c>
    </row>
    <row r="467" spans="1:21">
      <c r="A467" t="s">
        <v>68</v>
      </c>
      <c r="B467" t="s">
        <v>2039</v>
      </c>
      <c r="C467" s="49">
        <v>1</v>
      </c>
      <c r="D467" s="49">
        <v>4.2857142857142858E-2</v>
      </c>
      <c r="E467" s="49">
        <v>6.2500000000000003E-3</v>
      </c>
      <c r="F467" s="49">
        <v>4.0178571428571425E-3</v>
      </c>
      <c r="G467" s="49">
        <v>3.2589285714285716E-2</v>
      </c>
      <c r="H467" s="49">
        <v>1.1607142857142858E-2</v>
      </c>
      <c r="I467" s="49">
        <v>0.1299107142857143</v>
      </c>
      <c r="J467" s="49">
        <v>2.5000000000000001E-2</v>
      </c>
      <c r="K467" s="49">
        <v>0.48303571428571429</v>
      </c>
      <c r="L467" s="49">
        <v>4.1517857142857141E-2</v>
      </c>
      <c r="M467" s="49">
        <v>8.9285714285714283E-4</v>
      </c>
      <c r="N467" s="49">
        <v>1.3392857142857143E-3</v>
      </c>
      <c r="O467" s="49">
        <v>0.34241071428571429</v>
      </c>
      <c r="P467" s="49">
        <v>3.7946428571428568E-2</v>
      </c>
      <c r="Q467" s="49">
        <v>0</v>
      </c>
      <c r="R467" s="49">
        <v>5.8035714285714288E-3</v>
      </c>
      <c r="S467" s="49">
        <v>4.0178571428571425E-3</v>
      </c>
      <c r="T467" s="49">
        <v>2.6785714285714286E-3</v>
      </c>
      <c r="U467" s="49">
        <v>8.9285714285714283E-4</v>
      </c>
    </row>
    <row r="468" spans="1:21">
      <c r="A468" t="s">
        <v>261</v>
      </c>
      <c r="B468" t="s">
        <v>2041</v>
      </c>
      <c r="C468" s="49">
        <v>1</v>
      </c>
      <c r="D468" s="49">
        <v>3.68251698248123E-2</v>
      </c>
      <c r="E468" s="49">
        <v>1.2870933142652842E-2</v>
      </c>
      <c r="F468" s="49">
        <v>7.5080443332141578E-3</v>
      </c>
      <c r="G468" s="49">
        <v>3.5752592062924561E-3</v>
      </c>
      <c r="H468" s="49">
        <v>3.5752592062924561E-3</v>
      </c>
      <c r="I468" s="49">
        <v>2.7887021809081158E-2</v>
      </c>
      <c r="J468" s="49">
        <v>1.3228459063282088E-2</v>
      </c>
      <c r="K468" s="49">
        <v>0.91383625312835182</v>
      </c>
      <c r="L468" s="49">
        <v>3.5037540221666073E-2</v>
      </c>
      <c r="M468" s="49">
        <v>0</v>
      </c>
      <c r="N468" s="49">
        <v>4.6478369681801929E-3</v>
      </c>
      <c r="O468" s="49">
        <v>4.0757954951734003E-2</v>
      </c>
      <c r="P468" s="49">
        <v>1.0725777618877368E-2</v>
      </c>
      <c r="Q468" s="49">
        <v>0</v>
      </c>
      <c r="R468" s="49">
        <v>4.6478369681801929E-3</v>
      </c>
      <c r="S468" s="49">
        <v>1.0725777618877368E-3</v>
      </c>
      <c r="T468" s="49">
        <v>1.4301036825169824E-3</v>
      </c>
      <c r="U468" s="49">
        <v>0</v>
      </c>
    </row>
    <row r="469" spans="1:21">
      <c r="A469" t="s">
        <v>1431</v>
      </c>
      <c r="B469" t="s">
        <v>2029</v>
      </c>
      <c r="C469" s="49">
        <v>1</v>
      </c>
      <c r="D469" s="49">
        <v>6.5778159931212388E-2</v>
      </c>
      <c r="E469" s="49">
        <v>3.5683576956147892E-2</v>
      </c>
      <c r="F469" s="49">
        <v>2.2785898538263114E-2</v>
      </c>
      <c r="G469" s="49">
        <v>4.7291487532244193E-3</v>
      </c>
      <c r="H469" s="49">
        <v>7.3086844368013756E-3</v>
      </c>
      <c r="I469" s="49">
        <v>4.9441100601891656E-2</v>
      </c>
      <c r="J469" s="49">
        <v>2.4505588993981083E-2</v>
      </c>
      <c r="K469" s="49">
        <v>0.53525365434221839</v>
      </c>
      <c r="L469" s="49">
        <v>5.6749785038693032E-2</v>
      </c>
      <c r="M469" s="49">
        <v>3.0094582975064487E-3</v>
      </c>
      <c r="N469" s="49">
        <v>4.2992261392949269E-3</v>
      </c>
      <c r="O469" s="49">
        <v>0.36328460877042135</v>
      </c>
      <c r="P469" s="49">
        <v>4.9011177987962166E-2</v>
      </c>
      <c r="Q469" s="49">
        <v>4.299226139294927E-4</v>
      </c>
      <c r="R469" s="49">
        <v>8.598452278589854E-4</v>
      </c>
      <c r="S469" s="49">
        <v>2.1496130696474634E-3</v>
      </c>
      <c r="T469" s="49">
        <v>3.869303525365434E-3</v>
      </c>
      <c r="U469" s="49">
        <v>6.0189165950128975E-3</v>
      </c>
    </row>
    <row r="470" spans="1:21">
      <c r="A470" t="s">
        <v>1432</v>
      </c>
      <c r="B470" t="s">
        <v>2035</v>
      </c>
      <c r="C470" s="49">
        <v>1</v>
      </c>
      <c r="D470" s="49">
        <v>7.2043010752688166E-2</v>
      </c>
      <c r="E470" s="49">
        <v>2.0430107526881722E-2</v>
      </c>
      <c r="F470" s="49">
        <v>1.2903225806451613E-2</v>
      </c>
      <c r="G470" s="49">
        <v>1.5053763440860216E-2</v>
      </c>
      <c r="H470" s="49">
        <v>1.1827956989247311E-2</v>
      </c>
      <c r="I470" s="49">
        <v>1.3978494623655914E-2</v>
      </c>
      <c r="J470" s="49">
        <v>1.1827956989247311E-2</v>
      </c>
      <c r="K470" s="49">
        <v>0.64193548387096777</v>
      </c>
      <c r="L470" s="49">
        <v>7.0967741935483872E-2</v>
      </c>
      <c r="M470" s="49">
        <v>0</v>
      </c>
      <c r="N470" s="49">
        <v>9.6774193548387101E-3</v>
      </c>
      <c r="O470" s="49">
        <v>0.3032258064516129</v>
      </c>
      <c r="P470" s="49">
        <v>5.3763440860215055E-2</v>
      </c>
      <c r="Q470" s="49">
        <v>4.3010752688172043E-3</v>
      </c>
      <c r="R470" s="49">
        <v>6.4516129032258064E-3</v>
      </c>
      <c r="S470" s="49">
        <v>1.0752688172043011E-3</v>
      </c>
      <c r="T470" s="49">
        <v>4.3010752688172043E-3</v>
      </c>
      <c r="U470" s="49">
        <v>0</v>
      </c>
    </row>
    <row r="471" spans="1:21">
      <c r="A471" t="s">
        <v>1086</v>
      </c>
      <c r="B471" t="s">
        <v>2044</v>
      </c>
      <c r="C471" s="49">
        <v>1</v>
      </c>
      <c r="D471" s="49">
        <v>4.81892523364486E-2</v>
      </c>
      <c r="E471" s="49">
        <v>4.6436915887850469E-2</v>
      </c>
      <c r="F471" s="49">
        <v>1.8107476635514017E-2</v>
      </c>
      <c r="G471" s="49">
        <v>2.9205607476635514E-2</v>
      </c>
      <c r="H471" s="49">
        <v>2.0443925233644859E-2</v>
      </c>
      <c r="I471" s="49">
        <v>2.27803738317757E-2</v>
      </c>
      <c r="J471" s="49">
        <v>1.4310747663551402E-2</v>
      </c>
      <c r="K471" s="49">
        <v>0.67873831775700932</v>
      </c>
      <c r="L471" s="49">
        <v>5.1401869158878503E-2</v>
      </c>
      <c r="M471" s="49">
        <v>3.7967289719626168E-3</v>
      </c>
      <c r="N471" s="49">
        <v>3.5046728971962616E-3</v>
      </c>
      <c r="O471" s="49">
        <v>0.21290887850467291</v>
      </c>
      <c r="P471" s="49">
        <v>3.6214953271028034E-2</v>
      </c>
      <c r="Q471" s="49">
        <v>0</v>
      </c>
      <c r="R471" s="49">
        <v>3.7967289719626168E-3</v>
      </c>
      <c r="S471" s="49">
        <v>3.7967289719626168E-3</v>
      </c>
      <c r="T471" s="49">
        <v>4.0887850467289715E-3</v>
      </c>
      <c r="U471" s="49">
        <v>2.3364485981308409E-3</v>
      </c>
    </row>
    <row r="472" spans="1:21">
      <c r="A472" t="s">
        <v>2077</v>
      </c>
      <c r="B472" t="s">
        <v>2045</v>
      </c>
      <c r="C472" s="49">
        <v>1</v>
      </c>
      <c r="D472" s="49">
        <v>0.11614173228346457</v>
      </c>
      <c r="E472" s="49">
        <v>0</v>
      </c>
      <c r="F472" s="49">
        <v>1.7716535433070866E-2</v>
      </c>
      <c r="G472" s="49">
        <v>0</v>
      </c>
      <c r="H472" s="49">
        <v>1.7716535433070866E-2</v>
      </c>
      <c r="I472" s="49">
        <v>1.1811023622047244E-2</v>
      </c>
      <c r="J472" s="49">
        <v>1.1811023622047244E-2</v>
      </c>
      <c r="K472" s="49">
        <v>0.86614173228346458</v>
      </c>
      <c r="L472" s="49">
        <v>0.11220472440944881</v>
      </c>
      <c r="M472" s="49">
        <v>0</v>
      </c>
      <c r="N472" s="49">
        <v>1.7716535433070866E-2</v>
      </c>
      <c r="O472" s="49">
        <v>0.1141732283464567</v>
      </c>
      <c r="P472" s="49">
        <v>3.1496062992125984E-2</v>
      </c>
      <c r="Q472" s="49">
        <v>0</v>
      </c>
      <c r="R472" s="49">
        <v>1.7716535433070866E-2</v>
      </c>
      <c r="S472" s="49">
        <v>7.874015748031496E-3</v>
      </c>
      <c r="T472" s="49">
        <v>7.874015748031496E-3</v>
      </c>
      <c r="U472" s="49">
        <v>0</v>
      </c>
    </row>
    <row r="473" spans="1:21">
      <c r="A473" t="s">
        <v>1087</v>
      </c>
      <c r="B473" t="s">
        <v>2031</v>
      </c>
      <c r="C473" s="49">
        <v>1</v>
      </c>
      <c r="D473" s="49">
        <v>1.3398451306108023E-2</v>
      </c>
      <c r="E473" s="49">
        <v>0.69887221668862254</v>
      </c>
      <c r="F473" s="49">
        <v>1.5679722391800276E-2</v>
      </c>
      <c r="G473" s="49">
        <v>1.2177489316582591E-2</v>
      </c>
      <c r="H473" s="49">
        <v>3.2451884458439095E-3</v>
      </c>
      <c r="I473" s="49">
        <v>5.7835041609099379E-2</v>
      </c>
      <c r="J473" s="49">
        <v>7.6149471451980848E-3</v>
      </c>
      <c r="K473" s="49">
        <v>0.1487645792500723</v>
      </c>
      <c r="L473" s="49">
        <v>9.1250843427690131E-3</v>
      </c>
      <c r="M473" s="49">
        <v>2.5061851363943066E-3</v>
      </c>
      <c r="N473" s="49">
        <v>1.2530925681971533E-3</v>
      </c>
      <c r="O473" s="49">
        <v>7.3836069787616879E-2</v>
      </c>
      <c r="P473" s="49">
        <v>6.8759438357484815E-3</v>
      </c>
      <c r="Q473" s="49">
        <v>0</v>
      </c>
      <c r="R473" s="49">
        <v>7.0687273077788134E-4</v>
      </c>
      <c r="S473" s="49">
        <v>4.2412363846672883E-3</v>
      </c>
      <c r="T473" s="49">
        <v>2.0242264563184783E-3</v>
      </c>
      <c r="U473" s="49">
        <v>1.7671818269447033E-3</v>
      </c>
    </row>
    <row r="474" spans="1:21">
      <c r="A474" t="s">
        <v>1169</v>
      </c>
      <c r="B474" t="s">
        <v>2044</v>
      </c>
      <c r="C474" s="49">
        <v>1</v>
      </c>
      <c r="D474" s="49">
        <v>4.81892523364486E-2</v>
      </c>
      <c r="E474" s="49">
        <v>4.6436915887850469E-2</v>
      </c>
      <c r="F474" s="49">
        <v>1.8107476635514017E-2</v>
      </c>
      <c r="G474" s="49">
        <v>2.9205607476635514E-2</v>
      </c>
      <c r="H474" s="49">
        <v>2.0443925233644859E-2</v>
      </c>
      <c r="I474" s="49">
        <v>2.27803738317757E-2</v>
      </c>
      <c r="J474" s="49">
        <v>1.4310747663551402E-2</v>
      </c>
      <c r="K474" s="49">
        <v>0.67873831775700932</v>
      </c>
      <c r="L474" s="49">
        <v>5.1401869158878503E-2</v>
      </c>
      <c r="M474" s="49">
        <v>3.7967289719626168E-3</v>
      </c>
      <c r="N474" s="49">
        <v>3.5046728971962616E-3</v>
      </c>
      <c r="O474" s="49">
        <v>0.21290887850467291</v>
      </c>
      <c r="P474" s="49">
        <v>3.6214953271028034E-2</v>
      </c>
      <c r="Q474" s="49">
        <v>0</v>
      </c>
      <c r="R474" s="49">
        <v>3.7967289719626168E-3</v>
      </c>
      <c r="S474" s="49">
        <v>3.7967289719626168E-3</v>
      </c>
      <c r="T474" s="49">
        <v>4.0887850467289715E-3</v>
      </c>
      <c r="U474" s="49">
        <v>2.3364485981308409E-3</v>
      </c>
    </row>
    <row r="475" spans="1:21">
      <c r="A475" t="s">
        <v>1088</v>
      </c>
      <c r="B475" t="s">
        <v>2028</v>
      </c>
      <c r="C475" s="49">
        <v>1</v>
      </c>
      <c r="D475" s="49">
        <v>3.9883268482490269E-2</v>
      </c>
      <c r="E475" s="49">
        <v>4.8638132295719845E-3</v>
      </c>
      <c r="F475" s="49">
        <v>5.8365758754863814E-3</v>
      </c>
      <c r="G475" s="49">
        <v>9.727626459143969E-4</v>
      </c>
      <c r="H475" s="49">
        <v>1.4591439688715954E-3</v>
      </c>
      <c r="I475" s="49">
        <v>8.7548638132295721E-3</v>
      </c>
      <c r="J475" s="49">
        <v>5.8365758754863814E-3</v>
      </c>
      <c r="K475" s="49">
        <v>0.51021400778210113</v>
      </c>
      <c r="L475" s="49">
        <v>2.6750972762645913E-2</v>
      </c>
      <c r="M475" s="49">
        <v>7.7821011673151752E-3</v>
      </c>
      <c r="N475" s="49">
        <v>5.350194552529183E-3</v>
      </c>
      <c r="O475" s="49">
        <v>0.46303501945525294</v>
      </c>
      <c r="P475" s="49">
        <v>3.1614785992217898E-2</v>
      </c>
      <c r="Q475" s="49">
        <v>9.727626459143969E-4</v>
      </c>
      <c r="R475" s="49">
        <v>1.4591439688715954E-3</v>
      </c>
      <c r="S475" s="49">
        <v>1.4591439688715954E-3</v>
      </c>
      <c r="T475" s="49">
        <v>1.9455252918287938E-3</v>
      </c>
      <c r="U475" s="49">
        <v>1.9455252918287938E-3</v>
      </c>
    </row>
    <row r="476" spans="1:21">
      <c r="A476" t="s">
        <v>1171</v>
      </c>
      <c r="B476" t="s">
        <v>2024</v>
      </c>
      <c r="C476" s="49">
        <v>1</v>
      </c>
      <c r="D476" s="49">
        <v>3.9991113085980891E-2</v>
      </c>
      <c r="E476" s="49">
        <v>3.4436791824039102E-2</v>
      </c>
      <c r="F476" s="49">
        <v>1.5329926682959343E-2</v>
      </c>
      <c r="G476" s="49">
        <v>4.8878027105087761E-3</v>
      </c>
      <c r="H476" s="49">
        <v>4.6656298600311046E-3</v>
      </c>
      <c r="I476" s="49">
        <v>8.0648744723394797E-2</v>
      </c>
      <c r="J476" s="49">
        <v>2.7771606309708954E-2</v>
      </c>
      <c r="K476" s="49">
        <v>0.80493223728060426</v>
      </c>
      <c r="L476" s="49">
        <v>4.9988891357476119E-2</v>
      </c>
      <c r="M476" s="49">
        <v>0</v>
      </c>
      <c r="N476" s="49">
        <v>3.3325927571650742E-3</v>
      </c>
      <c r="O476" s="49">
        <v>5.6431904021328597E-2</v>
      </c>
      <c r="P476" s="49">
        <v>2.043990224394579E-2</v>
      </c>
      <c r="Q476" s="49">
        <v>0</v>
      </c>
      <c r="R476" s="49">
        <v>3.3325927571650742E-3</v>
      </c>
      <c r="S476" s="49">
        <v>1.7107309486780714E-2</v>
      </c>
      <c r="T476" s="49">
        <v>1.0219951121972895E-2</v>
      </c>
      <c r="U476" s="49">
        <v>1.5552099533437014E-3</v>
      </c>
    </row>
    <row r="477" spans="1:21">
      <c r="A477" t="s">
        <v>1514</v>
      </c>
      <c r="B477" t="s">
        <v>2024</v>
      </c>
      <c r="C477" s="49">
        <v>1</v>
      </c>
      <c r="D477" s="49">
        <v>3.9991113085980891E-2</v>
      </c>
      <c r="E477" s="49">
        <v>3.4436791824039102E-2</v>
      </c>
      <c r="F477" s="49">
        <v>1.5329926682959343E-2</v>
      </c>
      <c r="G477" s="49">
        <v>4.8878027105087761E-3</v>
      </c>
      <c r="H477" s="49">
        <v>4.6656298600311046E-3</v>
      </c>
      <c r="I477" s="49">
        <v>8.0648744723394797E-2</v>
      </c>
      <c r="J477" s="49">
        <v>2.7771606309708954E-2</v>
      </c>
      <c r="K477" s="49">
        <v>0.80493223728060426</v>
      </c>
      <c r="L477" s="49">
        <v>4.9988891357476119E-2</v>
      </c>
      <c r="M477" s="49">
        <v>0</v>
      </c>
      <c r="N477" s="49">
        <v>3.3325927571650742E-3</v>
      </c>
      <c r="O477" s="49">
        <v>5.6431904021328597E-2</v>
      </c>
      <c r="P477" s="49">
        <v>2.043990224394579E-2</v>
      </c>
      <c r="Q477" s="49">
        <v>0</v>
      </c>
      <c r="R477" s="49">
        <v>3.3325927571650742E-3</v>
      </c>
      <c r="S477" s="49">
        <v>1.7107309486780714E-2</v>
      </c>
      <c r="T477" s="49">
        <v>1.0219951121972895E-2</v>
      </c>
      <c r="U477" s="49">
        <v>1.5552099533437014E-3</v>
      </c>
    </row>
    <row r="478" spans="1:21">
      <c r="A478" t="s">
        <v>552</v>
      </c>
      <c r="B478" t="s">
        <v>2051</v>
      </c>
      <c r="C478" s="49">
        <v>1</v>
      </c>
      <c r="D478" s="49">
        <v>7.7458659704090507E-2</v>
      </c>
      <c r="E478" s="49">
        <v>2.0887728459530026E-2</v>
      </c>
      <c r="F478" s="49">
        <v>2.1758050478677109E-2</v>
      </c>
      <c r="G478" s="49">
        <v>1.7406440382941688E-3</v>
      </c>
      <c r="H478" s="49">
        <v>3.4812880765883376E-3</v>
      </c>
      <c r="I478" s="49">
        <v>0.35422106179286333</v>
      </c>
      <c r="J478" s="49">
        <v>6.6144473455178418E-2</v>
      </c>
      <c r="K478" s="49">
        <v>0.36727589208006961</v>
      </c>
      <c r="L478" s="49">
        <v>6.7885117493472591E-2</v>
      </c>
      <c r="M478" s="49">
        <v>0</v>
      </c>
      <c r="N478" s="49">
        <v>7.832898172323759E-3</v>
      </c>
      <c r="O478" s="49">
        <v>0.24281984334203655</v>
      </c>
      <c r="P478" s="49">
        <v>6.4403829416884245E-2</v>
      </c>
      <c r="Q478" s="49">
        <v>0</v>
      </c>
      <c r="R478" s="49">
        <v>7.832898172323759E-3</v>
      </c>
      <c r="S478" s="49">
        <v>1.0443864229765013E-2</v>
      </c>
      <c r="T478" s="49">
        <v>1.392515230635335E-2</v>
      </c>
      <c r="U478" s="49">
        <v>2.6109660574412533E-3</v>
      </c>
    </row>
    <row r="479" spans="1:21">
      <c r="A479" t="s">
        <v>25</v>
      </c>
      <c r="B479" t="s">
        <v>2043</v>
      </c>
      <c r="C479" s="49">
        <v>1</v>
      </c>
      <c r="D479" s="49">
        <v>0.16535433070866143</v>
      </c>
      <c r="E479" s="49">
        <v>3.937007874015748E-2</v>
      </c>
      <c r="F479" s="49">
        <v>4.3307086614173228E-2</v>
      </c>
      <c r="G479" s="49">
        <v>3.937007874015748E-3</v>
      </c>
      <c r="H479" s="49">
        <v>1.1811023622047244E-2</v>
      </c>
      <c r="I479" s="49">
        <v>4.3307086614173228E-2</v>
      </c>
      <c r="J479" s="49">
        <v>3.1496062992125984E-2</v>
      </c>
      <c r="K479" s="49">
        <v>0.77952755905511806</v>
      </c>
      <c r="L479" s="49">
        <v>0.14173228346456693</v>
      </c>
      <c r="M479" s="49">
        <v>0</v>
      </c>
      <c r="N479" s="49">
        <v>3.5433070866141732E-2</v>
      </c>
      <c r="O479" s="49">
        <v>0.12992125984251968</v>
      </c>
      <c r="P479" s="49">
        <v>5.905511811023622E-2</v>
      </c>
      <c r="Q479" s="49">
        <v>0</v>
      </c>
      <c r="R479" s="49">
        <v>3.5433070866141732E-2</v>
      </c>
      <c r="S479" s="49">
        <v>3.937007874015748E-3</v>
      </c>
      <c r="T479" s="49">
        <v>7.874015748031496E-3</v>
      </c>
      <c r="U479" s="49">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V130"/>
  <sheetViews>
    <sheetView zoomScale="70" zoomScaleNormal="70" workbookViewId="0">
      <selection activeCell="K27" sqref="K27"/>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43.42578125" style="120" bestFit="1" customWidth="1"/>
    <col min="9" max="9" width="19.140625" style="120" bestFit="1" customWidth="1"/>
    <col min="10" max="10" width="21"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3" width="17.85546875" style="136" customWidth="1"/>
    <col min="24"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74" ht="23.25" thickBot="1">
      <c r="A1" s="1989" t="s">
        <v>1160</v>
      </c>
      <c r="B1" s="1989"/>
      <c r="C1" s="1989"/>
      <c r="D1" s="1989"/>
      <c r="E1" s="1989"/>
      <c r="F1" s="1989"/>
      <c r="G1" s="1989"/>
      <c r="H1" s="1989"/>
      <c r="I1" s="1989"/>
      <c r="J1" s="1989"/>
      <c r="K1" s="1989"/>
      <c r="L1" s="1989"/>
      <c r="M1" s="1989"/>
      <c r="N1" s="1989"/>
      <c r="O1" s="1989"/>
      <c r="P1" s="1989"/>
      <c r="Q1" s="198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74" ht="20.25">
      <c r="B2" s="2008" t="s">
        <v>334</v>
      </c>
      <c r="C2" s="2008"/>
      <c r="D2" s="2008"/>
      <c r="E2" s="2008"/>
      <c r="G2" s="221"/>
      <c r="H2" s="2017" t="s">
        <v>618</v>
      </c>
      <c r="I2" s="2018"/>
      <c r="J2" s="2018"/>
      <c r="K2" s="2018"/>
      <c r="L2" s="2018"/>
      <c r="M2" s="2018"/>
      <c r="N2" s="2018"/>
      <c r="O2" s="2018"/>
      <c r="P2" s="2018"/>
      <c r="Q2" s="2018"/>
      <c r="R2" s="2018"/>
      <c r="S2" s="2018"/>
      <c r="T2" s="2018"/>
      <c r="U2" s="2018"/>
      <c r="V2" s="2018"/>
      <c r="W2" s="2018"/>
      <c r="X2" s="2018"/>
      <c r="Y2" s="2019"/>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74" ht="19.5" thickBot="1">
      <c r="B3" s="123"/>
      <c r="C3" s="124"/>
      <c r="G3" s="173"/>
      <c r="H3" s="377"/>
      <c r="I3" s="701">
        <v>2</v>
      </c>
      <c r="J3" s="701">
        <v>3</v>
      </c>
      <c r="K3" s="701">
        <v>4</v>
      </c>
      <c r="L3" s="701">
        <v>5</v>
      </c>
      <c r="M3" s="701">
        <v>6</v>
      </c>
      <c r="N3" s="701">
        <v>7</v>
      </c>
      <c r="O3" s="701">
        <v>8</v>
      </c>
      <c r="P3" s="701">
        <v>9</v>
      </c>
      <c r="Q3" s="701">
        <v>10</v>
      </c>
      <c r="R3" s="701">
        <v>11</v>
      </c>
      <c r="S3" s="701">
        <v>12</v>
      </c>
      <c r="T3" s="701">
        <v>13</v>
      </c>
      <c r="U3" s="701">
        <v>14</v>
      </c>
      <c r="V3" s="701">
        <v>15</v>
      </c>
      <c r="W3" s="701">
        <v>16</v>
      </c>
      <c r="X3" s="125"/>
      <c r="Y3" s="930"/>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74" ht="19.5" thickBot="1">
      <c r="B4" s="126" t="s">
        <v>331</v>
      </c>
      <c r="C4" s="489"/>
      <c r="D4" s="121"/>
      <c r="G4" s="219"/>
      <c r="H4" s="1559"/>
      <c r="I4" s="2033" t="s">
        <v>1093</v>
      </c>
      <c r="J4" s="2034"/>
      <c r="K4" s="2034"/>
      <c r="L4" s="2034"/>
      <c r="M4" s="2034"/>
      <c r="N4" s="2034"/>
      <c r="O4" s="2034"/>
      <c r="P4" s="2034"/>
      <c r="Q4" s="2034"/>
      <c r="R4" s="2034"/>
      <c r="S4" s="2034"/>
      <c r="T4" s="2034"/>
      <c r="U4" s="2034"/>
      <c r="V4" s="2034"/>
      <c r="W4" s="2035"/>
      <c r="X4" s="125"/>
      <c r="Y4" s="930"/>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18"/>
      <c r="BI4" s="118"/>
      <c r="BJ4" s="118"/>
      <c r="BK4" s="118"/>
      <c r="BL4" s="118"/>
      <c r="BM4" s="118"/>
      <c r="BN4" s="118"/>
      <c r="BO4" s="118"/>
    </row>
    <row r="5" spans="1:74" ht="39" thickBot="1">
      <c r="B5" s="128" t="s">
        <v>375</v>
      </c>
      <c r="C5" s="587" t="str">
        <f>Community_Name</f>
        <v>Manley Hot Springs</v>
      </c>
      <c r="D5" s="125"/>
      <c r="E5" s="725" t="s">
        <v>1230</v>
      </c>
      <c r="F5" s="1251">
        <f>IF(Population&lt;300, 1,IF(AND(Population&gt;=300,Population&lt;=1000), 2, IF(Population&gt;1000,3)))</f>
        <v>1</v>
      </c>
      <c r="G5" s="219"/>
      <c r="H5" s="34"/>
      <c r="I5" s="2030" t="s">
        <v>1098</v>
      </c>
      <c r="J5" s="2031"/>
      <c r="K5" s="2031"/>
      <c r="L5" s="2031"/>
      <c r="M5" s="2031"/>
      <c r="N5" s="2031"/>
      <c r="O5" s="2031"/>
      <c r="P5" s="2032"/>
      <c r="Q5" s="2027" t="s">
        <v>2362</v>
      </c>
      <c r="R5" s="2028"/>
      <c r="S5" s="2028"/>
      <c r="T5" s="2028"/>
      <c r="U5" s="2028"/>
      <c r="V5" s="2029"/>
      <c r="W5" s="1809" t="s">
        <v>1096</v>
      </c>
      <c r="Y5" s="930"/>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18"/>
      <c r="BL5" s="118"/>
      <c r="BM5" s="118"/>
      <c r="BN5" s="118"/>
      <c r="BO5" s="118"/>
    </row>
    <row r="6" spans="1:74" ht="26.25" thickBot="1">
      <c r="B6" s="128" t="s">
        <v>376</v>
      </c>
      <c r="C6" s="587" t="str">
        <f>'Community data'!B3</f>
        <v>Manley Hot Springs</v>
      </c>
      <c r="D6" s="125"/>
      <c r="G6" s="219"/>
      <c r="H6" s="491" t="s">
        <v>1095</v>
      </c>
      <c r="I6" s="722" t="s">
        <v>834</v>
      </c>
      <c r="J6" s="723" t="s">
        <v>1097</v>
      </c>
      <c r="K6" s="723" t="s">
        <v>1434</v>
      </c>
      <c r="L6" s="723" t="s">
        <v>1435</v>
      </c>
      <c r="M6" s="1808" t="s">
        <v>1436</v>
      </c>
      <c r="N6" s="716" t="s">
        <v>1437</v>
      </c>
      <c r="O6" s="1832" t="s">
        <v>2084</v>
      </c>
      <c r="P6" s="1831" t="s">
        <v>3</v>
      </c>
      <c r="Q6" s="412" t="s">
        <v>2363</v>
      </c>
      <c r="R6" s="1810" t="s">
        <v>1435</v>
      </c>
      <c r="S6" s="465" t="s">
        <v>877</v>
      </c>
      <c r="T6" s="1841" t="s">
        <v>318</v>
      </c>
      <c r="U6" s="1811" t="s">
        <v>1438</v>
      </c>
      <c r="V6" s="1806" t="s">
        <v>3</v>
      </c>
      <c r="W6" s="716" t="s">
        <v>688</v>
      </c>
      <c r="X6" s="846" t="s">
        <v>2097</v>
      </c>
      <c r="Y6" s="125"/>
      <c r="Z6" s="125"/>
      <c r="AA6" s="930"/>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18"/>
      <c r="BM6" s="118"/>
      <c r="BN6" s="118"/>
      <c r="BO6" s="118"/>
    </row>
    <row r="7" spans="1:74">
      <c r="B7" s="128" t="s">
        <v>332</v>
      </c>
      <c r="C7" s="587" t="s">
        <v>291</v>
      </c>
      <c r="D7" s="125"/>
      <c r="E7" s="916" t="s">
        <v>1211</v>
      </c>
      <c r="F7" s="1204"/>
      <c r="G7" s="219"/>
      <c r="H7" s="1470" t="s">
        <v>2101</v>
      </c>
      <c r="I7" s="1574">
        <f>IF(ISNA(VLOOKUP(CONCATENATE($C$5,'Eff (com)'!$H7),'Non-Res Data (Benchmark)'!$C$2:$R$1600,I$3,FALSE)),0,VLOOKUP(CONCATENATE($C$5,'Eff (com)'!$H7),'Non-Res Data (Benchmark)'!$C$2:$R$1600,I$3,FALSE))</f>
        <v>0</v>
      </c>
      <c r="J7" s="1574">
        <f>IF(ISNA(VLOOKUP(CONCATENATE($C$5,'Eff (com)'!$H7),'Non-Res Data (Benchmark)'!$C$2:$R$1600,J$3,FALSE)),0,VLOOKUP(CONCATENATE($C$5,'Eff (com)'!$H7),'Non-Res Data (Benchmark)'!$C$2:$R$1600,J$3,FALSE))</f>
        <v>0</v>
      </c>
      <c r="K7" s="1574">
        <f>IF(ISNA(VLOOKUP(CONCATENATE($C$5,'Eff (com)'!$H7),'Non-Res Data (Benchmark)'!$C$2:$R$1600,K$3,FALSE)),0,VLOOKUP(CONCATENATE($C$5,'Eff (com)'!$H7),'Non-Res Data (Benchmark)'!$C$2:$R$1600,K$3,FALSE)*$X7)</f>
        <v>0</v>
      </c>
      <c r="L7" s="1574">
        <f>IF(ISNA(VLOOKUP(CONCATENATE($C$5,'Eff (com)'!$H7),'Non-Res Data (Benchmark)'!$C$2:$R$1600,L$3,FALSE)),0,VLOOKUP(CONCATENATE($C$5,'Eff (com)'!$H7),'Non-Res Data (Benchmark)'!$C$2:$R$1600,L$3,FALSE)*$X7)</f>
        <v>0</v>
      </c>
      <c r="M7" s="1574">
        <f>IF(ISNA(VLOOKUP(CONCATENATE($C$5,'Eff (com)'!$H7),'Non-Res Data (Benchmark)'!$C$2:$R$1600,M$3,FALSE)),0,VLOOKUP(CONCATENATE($C$5,'Eff (com)'!$H7),'Non-Res Data (Benchmark)'!$C$2:$R$1600,M$3,FALSE))</f>
        <v>0</v>
      </c>
      <c r="N7" s="1574">
        <f>IF(ISNA(VLOOKUP(CONCATENATE($C$5,'Eff (com)'!$H7),'Non-Res Data (Benchmark)'!$C$2:$R$1600,N$3,FALSE)),0,VLOOKUP(CONCATENATE($C$5,'Eff (com)'!$H7),'Non-Res Data (Benchmark)'!$C$2:$R$1600,N$3,FALSE)*$X7)</f>
        <v>0</v>
      </c>
      <c r="O7" s="1574">
        <f>IF(ISNA(VLOOKUP(CONCATENATE($C$5,'Eff (com)'!$H7),'Non-Res Data (Benchmark)'!$C$2:$R$1600,O$3,FALSE)),0,VLOOKUP(CONCATENATE($C$5,'Eff (com)'!$H7),'Non-Res Data (Benchmark)'!$C$2:$R$1600,O$3,FALSE)*$X7)</f>
        <v>0</v>
      </c>
      <c r="P7" s="1574">
        <f>IF(ISNA(VLOOKUP(CONCATENATE($C$5,'Eff (com)'!$H7),'Non-Res Data (Benchmark)'!$C$2:$R$1600,P$3,FALSE)),0,VLOOKUP(CONCATENATE($C$5,'Eff (com)'!$H7),'Non-Res Data (Benchmark)'!$C$2:$R$1600,P$3,FALSE)*$X7)</f>
        <v>0</v>
      </c>
      <c r="Q7" s="1574">
        <f>IF(ISNA(VLOOKUP(CONCATENATE($C$5,'Eff (com)'!$H7),'Non-Res Data (Benchmark)'!$C$2:$R$1600,Q$3,FALSE)),0,VLOOKUP(CONCATENATE($C$5,'Eff (com)'!$H7),'Non-Res Data (Benchmark)'!$C$2:$R$1600,Q$3,FALSE))*$X7</f>
        <v>0</v>
      </c>
      <c r="R7" s="1574">
        <f>IF(ISNA(VLOOKUP(CONCATENATE($C$5,'Eff (com)'!$H7),'Non-Res Data (Benchmark)'!$C$2:$R$1600,R$3,FALSE)),0,VLOOKUP(CONCATENATE($C$5,'Eff (com)'!$H7),'Non-Res Data (Benchmark)'!$C$2:$R$1600,R$3,FALSE))*$X7</f>
        <v>0</v>
      </c>
      <c r="S7" s="1574">
        <f>IF(ISNA(VLOOKUP(CONCATENATE($C$5,'Eff (com)'!$H7),'Non-Res Data (Benchmark)'!$C$2:$R$1600,S$3,FALSE)),0,VLOOKUP(CONCATENATE($C$5,'Eff (com)'!$H7),'Non-Res Data (Benchmark)'!$C$2:$R$1600,S$3,FALSE))</f>
        <v>0</v>
      </c>
      <c r="T7" s="1574">
        <f>IF(ISNA(VLOOKUP(CONCATENATE($C$5,'Eff (com)'!$H7),'Non-Res Data (Benchmark)'!$C$2:$R$1600,T$3,FALSE)),0,VLOOKUP(CONCATENATE($C$5,'Eff (com)'!$H7),'Non-Res Data (Benchmark)'!$C$2:$R$1600,T$3,FALSE))*$X7</f>
        <v>0</v>
      </c>
      <c r="U7" s="1574">
        <f>IF(ISNA(VLOOKUP(CONCATENATE($C$5,'Eff (com)'!$H7),'Non-Res Data (Benchmark)'!$C$2:$R$1600,U$3,FALSE)),0,VLOOKUP(CONCATENATE($C$5,'Eff (com)'!$H7),'Non-Res Data (Benchmark)'!$C$2:$R$1600,U$3,FALSE))*$X7</f>
        <v>0</v>
      </c>
      <c r="V7" s="1574">
        <f>IF(ISNA(VLOOKUP(CONCATENATE($C$5,'Eff (com)'!$H7),'Non-Res Data (Benchmark)'!$C$2:$R$1600,V$3,FALSE)),0,VLOOKUP(CONCATENATE($C$5,'Eff (com)'!$H7),'Non-Res Data (Benchmark)'!$C$2:$R$1600,V$3,FALSE))*$X7</f>
        <v>0</v>
      </c>
      <c r="W7" s="1574">
        <f>IF(ISNA(VLOOKUP(CONCATENATE($C$5,'Eff (com)'!$H7),'Non-Res Data (Benchmark)'!$C$2:$R$1600,W$3,FALSE)),0,VLOOKUP(CONCATENATE($C$5,'Eff (com)'!$H7),'Non-Res Data (Benchmark)'!$C$2:$R$1600,W$3,FALSE))</f>
        <v>0</v>
      </c>
      <c r="X7" s="1669">
        <f>Heating_Degree_Days/IF(Population&lt;300,'NonResBuil Assumptions'!K3,IF(AND(Population&gt;300,Population&lt;1000),'NonResBuil Assumptions'!L3, IF(Population&gt;1000,'NonResBuil Assumptions'!M3)))</f>
        <v>1.2528269582664922</v>
      </c>
      <c r="Y7" s="125"/>
      <c r="Z7" s="125"/>
      <c r="AA7" s="930"/>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18"/>
      <c r="BM7" s="118"/>
      <c r="BN7" s="118"/>
      <c r="BO7" s="118"/>
    </row>
    <row r="8" spans="1:74">
      <c r="B8" s="128" t="s">
        <v>569</v>
      </c>
      <c r="C8" s="587" t="s">
        <v>690</v>
      </c>
      <c r="D8" s="125"/>
      <c r="E8" s="47" t="s">
        <v>1209</v>
      </c>
      <c r="F8" s="1205"/>
      <c r="G8" s="219"/>
      <c r="H8" s="1470" t="s">
        <v>1439</v>
      </c>
      <c r="I8" s="1574">
        <f>IF(ISNA(VLOOKUP(CONCATENATE($C$5,'Eff (com)'!$H8),'Non-Res Data (Benchmark)'!$C$2:$R$1600,I$3,FALSE)),0,VLOOKUP(CONCATENATE($C$5,'Eff (com)'!$H8),'Non-Res Data (Benchmark)'!$C$2:$R$1600,I$3,FALSE))</f>
        <v>1</v>
      </c>
      <c r="J8" s="1574">
        <f>IF(ISNA(VLOOKUP(CONCATENATE($C$5,'Eff (com)'!$H8),'Non-Res Data (Benchmark)'!$C$2:$R$1600,J$3,FALSE)),0,VLOOKUP(CONCATENATE($C$5,'Eff (com)'!$H8),'Non-Res Data (Benchmark)'!$C$2:$R$1600,J$3,FALSE))</f>
        <v>28730</v>
      </c>
      <c r="K8" s="1574">
        <f>IF(ISNA(VLOOKUP(CONCATENATE($C$5,'Eff (com)'!$H8),'Non-Res Data (Benchmark)'!$C$2:$R$1600,K$3,FALSE)),0,VLOOKUP(CONCATENATE($C$5,'Eff (com)'!$H8),'Non-Res Data (Benchmark)'!$C$2:$R$1600,K$3,FALSE)*$X8)</f>
        <v>12236.592976746695</v>
      </c>
      <c r="L8" s="1574">
        <f>IF(ISNA(VLOOKUP(CONCATENATE($C$5,'Eff (com)'!$H8),'Non-Res Data (Benchmark)'!$C$2:$R$1600,L$3,FALSE)),0,VLOOKUP(CONCATENATE($C$5,'Eff (com)'!$H8),'Non-Res Data (Benchmark)'!$C$2:$R$1600,L$3,FALSE)*$X8)</f>
        <v>0</v>
      </c>
      <c r="M8" s="1574">
        <f>IF(ISNA(VLOOKUP(CONCATENATE($C$5,'Eff (com)'!$H8),'Non-Res Data (Benchmark)'!$C$2:$R$1600,M$3,FALSE)),0,VLOOKUP(CONCATENATE($C$5,'Eff (com)'!$H8),'Non-Res Data (Benchmark)'!$C$2:$R$1600,M$3,FALSE))</f>
        <v>49251</v>
      </c>
      <c r="N8" s="1574">
        <f>IF(ISNA(VLOOKUP(CONCATENATE($C$5,'Eff (com)'!$H8),'Non-Res Data (Benchmark)'!$C$2:$R$1600,N$3,FALSE)),0,VLOOKUP(CONCATENATE($C$5,'Eff (com)'!$H8),'Non-Res Data (Benchmark)'!$C$2:$R$1600,N$3,FALSE)*$X8)</f>
        <v>0</v>
      </c>
      <c r="O8" s="1574">
        <f>IF(ISNA(VLOOKUP(CONCATENATE($C$5,'Eff (com)'!$H8),'Non-Res Data (Benchmark)'!$C$2:$R$1600,O$3,FALSE)),0,VLOOKUP(CONCATENATE($C$5,'Eff (com)'!$H8),'Non-Res Data (Benchmark)'!$C$2:$R$1600,O$3,FALSE)*$X8)</f>
        <v>0</v>
      </c>
      <c r="P8" s="1574">
        <f>IF(ISNA(VLOOKUP(CONCATENATE($C$5,'Eff (com)'!$H8),'Non-Res Data (Benchmark)'!$C$2:$R$1600,P$3,FALSE)),0,VLOOKUP(CONCATENATE($C$5,'Eff (com)'!$H8),'Non-Res Data (Benchmark)'!$C$2:$R$1600,P$3,FALSE)*$X8)</f>
        <v>0</v>
      </c>
      <c r="Q8" s="1574">
        <f>IF(ISNA(VLOOKUP(CONCATENATE($C$5,'Eff (com)'!$H8),'Non-Res Data (Benchmark)'!$C$2:$R$1600,Q$3,FALSE)),0,VLOOKUP(CONCATENATE($C$5,'Eff (com)'!$H8),'Non-Res Data (Benchmark)'!$C$2:$R$1600,Q$3,FALSE))*$X8</f>
        <v>9055.0788027925555</v>
      </c>
      <c r="R8" s="1574">
        <f>IF(ISNA(VLOOKUP(CONCATENATE($C$5,'Eff (com)'!$H8),'Non-Res Data (Benchmark)'!$C$2:$R$1600,R$3,FALSE)),0,VLOOKUP(CONCATENATE($C$5,'Eff (com)'!$H8),'Non-Res Data (Benchmark)'!$C$2:$R$1600,R$3,FALSE))*$X8</f>
        <v>0</v>
      </c>
      <c r="S8" s="1574">
        <f>IF(ISNA(VLOOKUP(CONCATENATE($C$5,'Eff (com)'!$H8),'Non-Res Data (Benchmark)'!$C$2:$R$1600,S$3,FALSE)),0,VLOOKUP(CONCATENATE($C$5,'Eff (com)'!$H8),'Non-Res Data (Benchmark)'!$C$2:$R$1600,S$3,FALSE))</f>
        <v>36445.74</v>
      </c>
      <c r="T8" s="1574">
        <f>IF(ISNA(VLOOKUP(CONCATENATE($C$5,'Eff (com)'!$H8),'Non-Res Data (Benchmark)'!$C$2:$R$1600,T$3,FALSE)),0,VLOOKUP(CONCATENATE($C$5,'Eff (com)'!$H8),'Non-Res Data (Benchmark)'!$C$2:$R$1600,T$3,FALSE))*$X8</f>
        <v>0</v>
      </c>
      <c r="U8" s="1574">
        <f>IF(ISNA(VLOOKUP(CONCATENATE($C$5,'Eff (com)'!$H8),'Non-Res Data (Benchmark)'!$C$2:$R$1600,U$3,FALSE)),0,VLOOKUP(CONCATENATE($C$5,'Eff (com)'!$H8),'Non-Res Data (Benchmark)'!$C$2:$R$1600,U$3,FALSE))*$X8</f>
        <v>0</v>
      </c>
      <c r="V8" s="1574">
        <f>IF(ISNA(VLOOKUP(CONCATENATE($C$5,'Eff (com)'!$H8),'Non-Res Data (Benchmark)'!$C$2:$R$1600,V$3,FALSE)),0,VLOOKUP(CONCATENATE($C$5,'Eff (com)'!$H8),'Non-Res Data (Benchmark)'!$C$2:$R$1600,V$3,FALSE))*$X8</f>
        <v>0</v>
      </c>
      <c r="W8" s="1574">
        <f>IF(ISNA(VLOOKUP(CONCATENATE($C$5,'Eff (com)'!$H8),'Non-Res Data (Benchmark)'!$C$2:$R$1600,W$3,FALSE)),0,VLOOKUP(CONCATENATE($C$5,'Eff (com)'!$H8),'Non-Res Data (Benchmark)'!$C$2:$R$1600,W$3,FALSE))</f>
        <v>201110</v>
      </c>
      <c r="X8" s="1669">
        <f>Heating_Degree_Days/IF(Population&lt;300,'NonResBuil Assumptions'!K4,IF(AND(Population&gt;300,Population&lt;1000),'NonResBuil Assumptions'!L4, IF(Population&gt;1000,'NonResBuil Assumptions'!M4)))</f>
        <v>1.1124175433406087</v>
      </c>
      <c r="Y8" s="125"/>
      <c r="Z8" s="125"/>
      <c r="AA8" s="930"/>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18"/>
      <c r="BM8" s="118"/>
      <c r="BN8" s="118"/>
      <c r="BO8" s="118"/>
    </row>
    <row r="9" spans="1:74">
      <c r="B9" s="128" t="s">
        <v>570</v>
      </c>
      <c r="C9" s="490"/>
      <c r="D9" s="125"/>
      <c r="E9" s="47" t="s">
        <v>1210</v>
      </c>
      <c r="F9" s="1205"/>
      <c r="G9" s="219"/>
      <c r="H9" s="1470" t="s">
        <v>1450</v>
      </c>
      <c r="I9" s="1574">
        <f>IF(ISNA(VLOOKUP(CONCATENATE($C$5,'Eff (com)'!$H9),'Non-Res Data (Benchmark)'!$C$2:$R$1600,I$3,FALSE)),0,VLOOKUP(CONCATENATE($C$5,'Eff (com)'!$H9),'Non-Res Data (Benchmark)'!$C$2:$R$1600,I$3,FALSE))</f>
        <v>0</v>
      </c>
      <c r="J9" s="1574">
        <f>IF(ISNA(VLOOKUP(CONCATENATE($C$5,'Eff (com)'!$H9),'Non-Res Data (Benchmark)'!$C$2:$R$1600,J$3,FALSE)),0,VLOOKUP(CONCATENATE($C$5,'Eff (com)'!$H9),'Non-Res Data (Benchmark)'!$C$2:$R$1600,J$3,FALSE))</f>
        <v>0</v>
      </c>
      <c r="K9" s="1574">
        <f>IF(ISNA(VLOOKUP(CONCATENATE($C$5,'Eff (com)'!$H9),'Non-Res Data (Benchmark)'!$C$2:$R$1600,K$3,FALSE)),0,VLOOKUP(CONCATENATE($C$5,'Eff (com)'!$H9),'Non-Res Data (Benchmark)'!$C$2:$R$1600,K$3,FALSE)*$X9)</f>
        <v>0</v>
      </c>
      <c r="L9" s="1574">
        <f>IF(ISNA(VLOOKUP(CONCATENATE($C$5,'Eff (com)'!$H9),'Non-Res Data (Benchmark)'!$C$2:$R$1600,L$3,FALSE)),0,VLOOKUP(CONCATENATE($C$5,'Eff (com)'!$H9),'Non-Res Data (Benchmark)'!$C$2:$R$1600,L$3,FALSE)*$X9)</f>
        <v>0</v>
      </c>
      <c r="M9" s="1574">
        <f>IF(ISNA(VLOOKUP(CONCATENATE($C$5,'Eff (com)'!$H9),'Non-Res Data (Benchmark)'!$C$2:$R$1600,M$3,FALSE)),0,VLOOKUP(CONCATENATE($C$5,'Eff (com)'!$H9),'Non-Res Data (Benchmark)'!$C$2:$R$1600,M$3,FALSE))</f>
        <v>0</v>
      </c>
      <c r="N9" s="1574">
        <f>IF(ISNA(VLOOKUP(CONCATENATE($C$5,'Eff (com)'!$H9),'Non-Res Data (Benchmark)'!$C$2:$R$1600,N$3,FALSE)),0,VLOOKUP(CONCATENATE($C$5,'Eff (com)'!$H9),'Non-Res Data (Benchmark)'!$C$2:$R$1600,N$3,FALSE)*$X9)</f>
        <v>0</v>
      </c>
      <c r="O9" s="1574">
        <f>IF(ISNA(VLOOKUP(CONCATENATE($C$5,'Eff (com)'!$H9),'Non-Res Data (Benchmark)'!$C$2:$R$1600,O$3,FALSE)),0,VLOOKUP(CONCATENATE($C$5,'Eff (com)'!$H9),'Non-Res Data (Benchmark)'!$C$2:$R$1600,O$3,FALSE)*$X9)</f>
        <v>0</v>
      </c>
      <c r="P9" s="1574">
        <f>IF(ISNA(VLOOKUP(CONCATENATE($C$5,'Eff (com)'!$H9),'Non-Res Data (Benchmark)'!$C$2:$R$1600,P$3,FALSE)),0,VLOOKUP(CONCATENATE($C$5,'Eff (com)'!$H9),'Non-Res Data (Benchmark)'!$C$2:$R$1600,P$3,FALSE)*$X9)</f>
        <v>0</v>
      </c>
      <c r="Q9" s="1574">
        <f>IF(ISNA(VLOOKUP(CONCATENATE($C$5,'Eff (com)'!$H9),'Non-Res Data (Benchmark)'!$C$2:$R$1600,Q$3,FALSE)),0,VLOOKUP(CONCATENATE($C$5,'Eff (com)'!$H9),'Non-Res Data (Benchmark)'!$C$2:$R$1600,Q$3,FALSE))</f>
        <v>0</v>
      </c>
      <c r="R9" s="1574">
        <f>IF(ISNA(VLOOKUP(CONCATENATE($C$5,'Eff (com)'!$H9),'Non-Res Data (Benchmark)'!$C$2:$R$1600,R$3,FALSE)),0,VLOOKUP(CONCATENATE($C$5,'Eff (com)'!$H9),'Non-Res Data (Benchmark)'!$C$2:$R$1600,R$3,FALSE))</f>
        <v>0</v>
      </c>
      <c r="S9" s="1574">
        <f>IF(ISNA(VLOOKUP(CONCATENATE($C$5,'Eff (com)'!$H9),'Non-Res Data (Benchmark)'!$C$2:$R$1600,S$3,FALSE)),0,VLOOKUP(CONCATENATE($C$5,'Eff (com)'!$H9),'Non-Res Data (Benchmark)'!$C$2:$R$1600,S$3,FALSE))</f>
        <v>0</v>
      </c>
      <c r="T9" s="1574">
        <f>IF(ISNA(VLOOKUP(CONCATENATE($C$5,'Eff (com)'!$H9),'Non-Res Data (Benchmark)'!$C$2:$R$1600,T$3,FALSE)),0,VLOOKUP(CONCATENATE($C$5,'Eff (com)'!$H9),'Non-Res Data (Benchmark)'!$C$2:$R$1600,T$3,FALSE))</f>
        <v>0</v>
      </c>
      <c r="U9" s="1574">
        <f>IF(ISNA(VLOOKUP(CONCATENATE($C$5,'Eff (com)'!$H9),'Non-Res Data (Benchmark)'!$C$2:$R$1600,U$3,FALSE)),0,VLOOKUP(CONCATENATE($C$5,'Eff (com)'!$H9),'Non-Res Data (Benchmark)'!$C$2:$R$1600,U$3,FALSE))</f>
        <v>0</v>
      </c>
      <c r="V9" s="1574">
        <f>IF(ISNA(VLOOKUP(CONCATENATE($C$5,'Eff (com)'!$H9),'Non-Res Data (Benchmark)'!$C$2:$R$1600,V$3,FALSE)),0,VLOOKUP(CONCATENATE($C$5,'Eff (com)'!$H9),'Non-Res Data (Benchmark)'!$C$2:$R$1600,V$3,FALSE))</f>
        <v>0</v>
      </c>
      <c r="W9" s="1574">
        <f>IF(ISNA(VLOOKUP(CONCATENATE($C$5,'Eff (com)'!$H9),'Non-Res Data (Benchmark)'!$C$2:$R$1600,W$3,FALSE)),0,VLOOKUP(CONCATENATE($C$5,'Eff (com)'!$H9),'Non-Res Data (Benchmark)'!$C$2:$R$1600,W$3,FALSE))</f>
        <v>0</v>
      </c>
      <c r="X9" s="1669" t="e">
        <f>Heating_Degree_Days/IF(Population&lt;300,'NonResBuil Assumptions'!K5,IF(AND(Population&gt;300,Population&lt;1000),'NonResBuil Assumptions'!L5, IF(Population&gt;1000,'NonResBuil Assumptions'!M5)))</f>
        <v>#DIV/0!</v>
      </c>
      <c r="Y9" s="125"/>
      <c r="Z9" s="125"/>
      <c r="AA9" s="930"/>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18"/>
      <c r="BM9" s="118"/>
      <c r="BN9" s="118"/>
      <c r="BO9" s="118"/>
    </row>
    <row r="10" spans="1:74" ht="15.75" thickBot="1">
      <c r="B10" s="128"/>
      <c r="C10" s="587"/>
      <c r="D10" s="125"/>
      <c r="E10" s="488" t="s">
        <v>1215</v>
      </c>
      <c r="F10" s="1206" t="e">
        <f>IF((#REF!+#REF!)/V25&gt;0.75,"High",IF(AND((#REF!+#REF!)/V25&lt;0.75,(#REF!+#REF!)/V25&gt;0.4),"Medium",IF((#REF!+#REF!)&lt;0.4,"Low")))</f>
        <v>#REF!</v>
      </c>
      <c r="G10" s="219"/>
      <c r="H10" s="1470" t="s">
        <v>1469</v>
      </c>
      <c r="I10" s="1574">
        <f>IF(ISNA(VLOOKUP(CONCATENATE($C$5,'Eff (com)'!$H10),'Non-Res Data (Benchmark)'!$C$2:$R$1600,I$3,FALSE)),0,VLOOKUP(CONCATENATE($C$5,'Eff (com)'!$H10),'Non-Res Data (Benchmark)'!$C$2:$R$1600,I$3,FALSE))</f>
        <v>0</v>
      </c>
      <c r="J10" s="1574">
        <f>IF(ISNA(VLOOKUP(CONCATENATE($C$5,'Eff (com)'!$H10),'Non-Res Data (Benchmark)'!$C$2:$R$1600,J$3,FALSE)),0,VLOOKUP(CONCATENATE($C$5,'Eff (com)'!$H10),'Non-Res Data (Benchmark)'!$C$2:$R$1600,J$3,FALSE))</f>
        <v>0</v>
      </c>
      <c r="K10" s="1574">
        <f>IF(ISNA(VLOOKUP(CONCATENATE($C$5,'Eff (com)'!$H10),'Non-Res Data (Benchmark)'!$C$2:$R$1600,K$3,FALSE)),0,VLOOKUP(CONCATENATE($C$5,'Eff (com)'!$H10),'Non-Res Data (Benchmark)'!$C$2:$R$1600,K$3,FALSE)*$X10)</f>
        <v>0</v>
      </c>
      <c r="L10" s="1574">
        <f>IF(ISNA(VLOOKUP(CONCATENATE($C$5,'Eff (com)'!$H10),'Non-Res Data (Benchmark)'!$C$2:$R$1600,L$3,FALSE)),0,VLOOKUP(CONCATENATE($C$5,'Eff (com)'!$H10),'Non-Res Data (Benchmark)'!$C$2:$R$1600,L$3,FALSE)*$X10)</f>
        <v>0</v>
      </c>
      <c r="M10" s="1574">
        <f>IF(ISNA(VLOOKUP(CONCATENATE($C$5,'Eff (com)'!$H10),'Non-Res Data (Benchmark)'!$C$2:$R$1600,M$3,FALSE)),0,VLOOKUP(CONCATENATE($C$5,'Eff (com)'!$H10),'Non-Res Data (Benchmark)'!$C$2:$R$1600,M$3,FALSE))</f>
        <v>0</v>
      </c>
      <c r="N10" s="1574">
        <f>IF(ISNA(VLOOKUP(CONCATENATE($C$5,'Eff (com)'!$H10),'Non-Res Data (Benchmark)'!$C$2:$R$1600,N$3,FALSE)),0,VLOOKUP(CONCATENATE($C$5,'Eff (com)'!$H10),'Non-Res Data (Benchmark)'!$C$2:$R$1600,N$3,FALSE)*$X10)</f>
        <v>0</v>
      </c>
      <c r="O10" s="1574">
        <f>IF(ISNA(VLOOKUP(CONCATENATE($C$5,'Eff (com)'!$H10),'Non-Res Data (Benchmark)'!$C$2:$R$1600,O$3,FALSE)),0,VLOOKUP(CONCATENATE($C$5,'Eff (com)'!$H10),'Non-Res Data (Benchmark)'!$C$2:$R$1600,O$3,FALSE)*$X10)</f>
        <v>0</v>
      </c>
      <c r="P10" s="1574">
        <f>IF(ISNA(VLOOKUP(CONCATENATE($C$5,'Eff (com)'!$H10),'Non-Res Data (Benchmark)'!$C$2:$R$1600,P$3,FALSE)),0,VLOOKUP(CONCATENATE($C$5,'Eff (com)'!$H10),'Non-Res Data (Benchmark)'!$C$2:$R$1600,P$3,FALSE)*$X10)</f>
        <v>0</v>
      </c>
      <c r="Q10" s="1574">
        <f>IF(ISNA(VLOOKUP(CONCATENATE($C$5,'Eff (com)'!$H10),'Non-Res Data (Benchmark)'!$C$2:$R$1600,Q$3,FALSE)),0,VLOOKUP(CONCATENATE($C$5,'Eff (com)'!$H10),'Non-Res Data (Benchmark)'!$C$2:$R$1600,Q$3,FALSE))*$X10</f>
        <v>0</v>
      </c>
      <c r="R10" s="1574">
        <f>IF(ISNA(VLOOKUP(CONCATENATE($C$5,'Eff (com)'!$H10),'Non-Res Data (Benchmark)'!$C$2:$R$1600,R$3,FALSE)),0,VLOOKUP(CONCATENATE($C$5,'Eff (com)'!$H10),'Non-Res Data (Benchmark)'!$C$2:$R$1600,R$3,FALSE))*$X10</f>
        <v>0</v>
      </c>
      <c r="S10" s="1574">
        <f>IF(ISNA(VLOOKUP(CONCATENATE($C$5,'Eff (com)'!$H10),'Non-Res Data (Benchmark)'!$C$2:$R$1600,S$3,FALSE)),0,VLOOKUP(CONCATENATE($C$5,'Eff (com)'!$H10),'Non-Res Data (Benchmark)'!$C$2:$R$1600,S$3,FALSE))</f>
        <v>0</v>
      </c>
      <c r="T10" s="1574">
        <f>IF(ISNA(VLOOKUP(CONCATENATE($C$5,'Eff (com)'!$H10),'Non-Res Data (Benchmark)'!$C$2:$R$1600,T$3,FALSE)),0,VLOOKUP(CONCATENATE($C$5,'Eff (com)'!$H10),'Non-Res Data (Benchmark)'!$C$2:$R$1600,T$3,FALSE))*$X10</f>
        <v>0</v>
      </c>
      <c r="U10" s="1574">
        <f>IF(ISNA(VLOOKUP(CONCATENATE($C$5,'Eff (com)'!$H10),'Non-Res Data (Benchmark)'!$C$2:$R$1600,U$3,FALSE)),0,VLOOKUP(CONCATENATE($C$5,'Eff (com)'!$H10),'Non-Res Data (Benchmark)'!$C$2:$R$1600,U$3,FALSE))*$X10</f>
        <v>0</v>
      </c>
      <c r="V10" s="1574">
        <f>IF(ISNA(VLOOKUP(CONCATENATE($C$5,'Eff (com)'!$H10),'Non-Res Data (Benchmark)'!$C$2:$R$1600,V$3,FALSE)),0,VLOOKUP(CONCATENATE($C$5,'Eff (com)'!$H10),'Non-Res Data (Benchmark)'!$C$2:$R$1600,V$3,FALSE))*$X10</f>
        <v>0</v>
      </c>
      <c r="W10" s="1574">
        <f>IF(ISNA(VLOOKUP(CONCATENATE($C$5,'Eff (com)'!$H10),'Non-Res Data (Benchmark)'!$C$2:$R$1600,W$3,FALSE)),0,VLOOKUP(CONCATENATE($C$5,'Eff (com)'!$H10),'Non-Res Data (Benchmark)'!$C$2:$R$1600,W$3,FALSE))</f>
        <v>0</v>
      </c>
      <c r="X10" s="1669">
        <f>Heating_Degree_Days/IF(Population&lt;300,'NonResBuil Assumptions'!K6,IF(AND(Population&gt;300,Population&lt;1000),'NonResBuil Assumptions'!L6, IF(Population&gt;1000,'NonResBuil Assumptions'!M6)))</f>
        <v>1.0750821715969625</v>
      </c>
      <c r="Y10" s="125"/>
      <c r="Z10" s="125"/>
      <c r="AA10" s="930"/>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18"/>
      <c r="BM10" s="118"/>
      <c r="BN10" s="118"/>
      <c r="BO10" s="118"/>
    </row>
    <row r="11" spans="1:74" ht="15.75" thickBot="1">
      <c r="B11" s="128"/>
      <c r="C11" s="588"/>
      <c r="D11" s="125"/>
      <c r="E11" s="118"/>
      <c r="F11" s="135"/>
      <c r="G11" s="219"/>
      <c r="H11" s="1470" t="s">
        <v>1440</v>
      </c>
      <c r="I11" s="1574">
        <f>IF(ISNA(VLOOKUP(CONCATENATE($C$5,'Eff (com)'!$H11),'Non-Res Data (Benchmark)'!$C$2:$R$1600,I$3,FALSE)),0,VLOOKUP(CONCATENATE($C$5,'Eff (com)'!$H11),'Non-Res Data (Benchmark)'!$C$2:$R$1600,I$3,FALSE))</f>
        <v>1</v>
      </c>
      <c r="J11" s="1574">
        <f>IF(ISNA(VLOOKUP(CONCATENATE($C$5,'Eff (com)'!$H11),'Non-Res Data (Benchmark)'!$C$2:$R$1600,J$3,FALSE)),0,VLOOKUP(CONCATENATE($C$5,'Eff (com)'!$H11),'Non-Res Data (Benchmark)'!$C$2:$R$1600,J$3,FALSE))</f>
        <v>1400</v>
      </c>
      <c r="K11" s="1574">
        <f>IF(ISNA(VLOOKUP(CONCATENATE($C$5,'Eff (com)'!$H11),'Non-Res Data (Benchmark)'!$C$2:$R$1600,K$3,FALSE)),0,VLOOKUP(CONCATENATE($C$5,'Eff (com)'!$H11),'Non-Res Data (Benchmark)'!$C$2:$R$1600,K$3,FALSE)*$X11)</f>
        <v>963.62251126073431</v>
      </c>
      <c r="L11" s="1574">
        <f>IF(ISNA(VLOOKUP(CONCATENATE($C$5,'Eff (com)'!$H11),'Non-Res Data (Benchmark)'!$C$2:$R$1600,L$3,FALSE)),0,VLOOKUP(CONCATENATE($C$5,'Eff (com)'!$H11),'Non-Res Data (Benchmark)'!$C$2:$R$1600,L$3,FALSE)*$X11)</f>
        <v>0</v>
      </c>
      <c r="M11" s="1574">
        <f>IF(ISNA(VLOOKUP(CONCATENATE($C$5,'Eff (com)'!$H11),'Non-Res Data (Benchmark)'!$C$2:$R$1600,M$3,FALSE)),0,VLOOKUP(CONCATENATE($C$5,'Eff (com)'!$H11),'Non-Res Data (Benchmark)'!$C$2:$R$1600,M$3,FALSE))</f>
        <v>10531.403820445303</v>
      </c>
      <c r="N11" s="1574">
        <f>IF(ISNA(VLOOKUP(CONCATENATE($C$5,'Eff (com)'!$H11),'Non-Res Data (Benchmark)'!$C$2:$R$1600,N$3,FALSE)),0,VLOOKUP(CONCATENATE($C$5,'Eff (com)'!$H11),'Non-Res Data (Benchmark)'!$C$2:$R$1600,N$3,FALSE)*$X11)</f>
        <v>0</v>
      </c>
      <c r="O11" s="1574">
        <f>IF(ISNA(VLOOKUP(CONCATENATE($C$5,'Eff (com)'!$H11),'Non-Res Data (Benchmark)'!$C$2:$R$1600,O$3,FALSE)),0,VLOOKUP(CONCATENATE($C$5,'Eff (com)'!$H11),'Non-Res Data (Benchmark)'!$C$2:$R$1600,O$3,FALSE)*$X11)</f>
        <v>0</v>
      </c>
      <c r="P11" s="1574">
        <f>IF(ISNA(VLOOKUP(CONCATENATE($C$5,'Eff (com)'!$H11),'Non-Res Data (Benchmark)'!$C$2:$R$1600,P$3,FALSE)),0,VLOOKUP(CONCATENATE($C$5,'Eff (com)'!$H11),'Non-Res Data (Benchmark)'!$C$2:$R$1600,P$3,FALSE)*$X11)</f>
        <v>0</v>
      </c>
      <c r="Q11" s="1574">
        <f>IF(ISNA(VLOOKUP(CONCATENATE($C$5,'Eff (com)'!$H11),'Non-Res Data (Benchmark)'!$C$2:$R$1600,Q$3,FALSE)),0,VLOOKUP(CONCATENATE($C$5,'Eff (com)'!$H11),'Non-Res Data (Benchmark)'!$C$2:$R$1600,Q$3,FALSE))*$X11</f>
        <v>713.08065833294336</v>
      </c>
      <c r="R11" s="1574">
        <f>IF(ISNA(VLOOKUP(CONCATENATE($C$5,'Eff (com)'!$H11),'Non-Res Data (Benchmark)'!$C$2:$R$1600,R$3,FALSE)),0,VLOOKUP(CONCATENATE($C$5,'Eff (com)'!$H11),'Non-Res Data (Benchmark)'!$C$2:$R$1600,R$3,FALSE))*$X11</f>
        <v>0</v>
      </c>
      <c r="S11" s="1574">
        <f>IF(ISNA(VLOOKUP(CONCATENATE($C$5,'Eff (com)'!$H11),'Non-Res Data (Benchmark)'!$C$2:$R$1600,S$3,FALSE)),0,VLOOKUP(CONCATENATE($C$5,'Eff (com)'!$H11),'Non-Res Data (Benchmark)'!$C$2:$R$1600,S$3,FALSE))</f>
        <v>7793.238827129524</v>
      </c>
      <c r="T11" s="1574">
        <f>IF(ISNA(VLOOKUP(CONCATENATE($C$5,'Eff (com)'!$H11),'Non-Res Data (Benchmark)'!$C$2:$R$1600,T$3,FALSE)),0,VLOOKUP(CONCATENATE($C$5,'Eff (com)'!$H11),'Non-Res Data (Benchmark)'!$C$2:$R$1600,T$3,FALSE))*$X11</f>
        <v>0</v>
      </c>
      <c r="U11" s="1574">
        <f>IF(ISNA(VLOOKUP(CONCATENATE($C$5,'Eff (com)'!$H11),'Non-Res Data (Benchmark)'!$C$2:$R$1600,U$3,FALSE)),0,VLOOKUP(CONCATENATE($C$5,'Eff (com)'!$H11),'Non-Res Data (Benchmark)'!$C$2:$R$1600,U$3,FALSE))*$X11</f>
        <v>0</v>
      </c>
      <c r="V11" s="1574">
        <f>IF(ISNA(VLOOKUP(CONCATENATE($C$5,'Eff (com)'!$H11),'Non-Res Data (Benchmark)'!$C$2:$R$1600,V$3,FALSE)),0,VLOOKUP(CONCATENATE($C$5,'Eff (com)'!$H11),'Non-Res Data (Benchmark)'!$C$2:$R$1600,V$3,FALSE))*$X11</f>
        <v>0</v>
      </c>
      <c r="W11" s="1574">
        <f>IF(ISNA(VLOOKUP(CONCATENATE($C$5,'Eff (com)'!$H11),'Non-Res Data (Benchmark)'!$C$2:$R$1600,W$3,FALSE)),0,VLOOKUP(CONCATENATE($C$5,'Eff (com)'!$H11),'Non-Res Data (Benchmark)'!$C$2:$R$1600,W$3,FALSE))</f>
        <v>9800</v>
      </c>
      <c r="X11" s="1669">
        <f>Heating_Degree_Days/IF(Population&lt;300,'NonResBuil Assumptions'!K7,IF(AND(Population&gt;300,Population&lt;1000),'NonResBuil Assumptions'!L7, IF(Population&gt;1000,'NonResBuil Assumptions'!M7)))</f>
        <v>1.0706916791785936</v>
      </c>
      <c r="Y11" s="125"/>
      <c r="Z11" s="125"/>
      <c r="AA11" s="930"/>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18"/>
      <c r="BM11" s="118"/>
      <c r="BN11" s="118"/>
      <c r="BO11" s="118"/>
    </row>
    <row r="12" spans="1:74">
      <c r="B12" s="137" t="s">
        <v>360</v>
      </c>
      <c r="C12" s="320" t="s">
        <v>384</v>
      </c>
      <c r="D12" s="306"/>
      <c r="E12" s="306"/>
      <c r="F12" s="118"/>
      <c r="G12" s="219"/>
      <c r="H12" s="1470" t="s">
        <v>1444</v>
      </c>
      <c r="I12" s="1574">
        <f>IF(ISNA(VLOOKUP(CONCATENATE($C$5,'Eff (com)'!$H12),'Non-Res Data (Benchmark)'!$C$2:$R$1600,I$3,FALSE)),0,VLOOKUP(CONCATENATE($C$5,'Eff (com)'!$H12),'Non-Res Data (Benchmark)'!$C$2:$R$1600,I$3,FALSE))</f>
        <v>0</v>
      </c>
      <c r="J12" s="1574">
        <f>IF(ISNA(VLOOKUP(CONCATENATE($C$5,'Eff (com)'!$H12),'Non-Res Data (Benchmark)'!$C$2:$R$1600,J$3,FALSE)),0,VLOOKUP(CONCATENATE($C$5,'Eff (com)'!$H12),'Non-Res Data (Benchmark)'!$C$2:$R$1600,J$3,FALSE))</f>
        <v>0</v>
      </c>
      <c r="K12" s="1574">
        <f>IF(ISNA(VLOOKUP(CONCATENATE($C$5,'Eff (com)'!$H12),'Non-Res Data (Benchmark)'!$C$2:$R$1600,K$3,FALSE)),0,VLOOKUP(CONCATENATE($C$5,'Eff (com)'!$H12),'Non-Res Data (Benchmark)'!$C$2:$R$1600,K$3,FALSE)*$X12)</f>
        <v>0</v>
      </c>
      <c r="L12" s="1574">
        <f>IF(ISNA(VLOOKUP(CONCATENATE($C$5,'Eff (com)'!$H12),'Non-Res Data (Benchmark)'!$C$2:$R$1600,L$3,FALSE)),0,VLOOKUP(CONCATENATE($C$5,'Eff (com)'!$H12),'Non-Res Data (Benchmark)'!$C$2:$R$1600,L$3,FALSE)*$X12)</f>
        <v>0</v>
      </c>
      <c r="M12" s="1574">
        <f>IF(ISNA(VLOOKUP(CONCATENATE($C$5,'Eff (com)'!$H12),'Non-Res Data (Benchmark)'!$C$2:$R$1600,M$3,FALSE)),0,VLOOKUP(CONCATENATE($C$5,'Eff (com)'!$H12),'Non-Res Data (Benchmark)'!$C$2:$R$1600,M$3,FALSE))</f>
        <v>0</v>
      </c>
      <c r="N12" s="1574">
        <f>IF(ISNA(VLOOKUP(CONCATENATE($C$5,'Eff (com)'!$H12),'Non-Res Data (Benchmark)'!$C$2:$R$1600,N$3,FALSE)),0,VLOOKUP(CONCATENATE($C$5,'Eff (com)'!$H12),'Non-Res Data (Benchmark)'!$C$2:$R$1600,N$3,FALSE)*$X12)</f>
        <v>0</v>
      </c>
      <c r="O12" s="1574">
        <f>IF(ISNA(VLOOKUP(CONCATENATE($C$5,'Eff (com)'!$H12),'Non-Res Data (Benchmark)'!$C$2:$R$1600,O$3,FALSE)),0,VLOOKUP(CONCATENATE($C$5,'Eff (com)'!$H12),'Non-Res Data (Benchmark)'!$C$2:$R$1600,O$3,FALSE)*$X12)</f>
        <v>0</v>
      </c>
      <c r="P12" s="1574">
        <f>IF(ISNA(VLOOKUP(CONCATENATE($C$5,'Eff (com)'!$H12),'Non-Res Data (Benchmark)'!$C$2:$R$1600,P$3,FALSE)),0,VLOOKUP(CONCATENATE($C$5,'Eff (com)'!$H12),'Non-Res Data (Benchmark)'!$C$2:$R$1600,P$3,FALSE)*$X12)</f>
        <v>0</v>
      </c>
      <c r="Q12" s="1574">
        <f>IF(ISNA(VLOOKUP(CONCATENATE($C$5,'Eff (com)'!$H12),'Non-Res Data (Benchmark)'!$C$2:$R$1600,Q$3,FALSE)),0,VLOOKUP(CONCATENATE($C$5,'Eff (com)'!$H12),'Non-Res Data (Benchmark)'!$C$2:$R$1600,Q$3,FALSE))*$X12</f>
        <v>0</v>
      </c>
      <c r="R12" s="1574">
        <f>IF(ISNA(VLOOKUP(CONCATENATE($C$5,'Eff (com)'!$H12),'Non-Res Data (Benchmark)'!$C$2:$R$1600,R$3,FALSE)),0,VLOOKUP(CONCATENATE($C$5,'Eff (com)'!$H12),'Non-Res Data (Benchmark)'!$C$2:$R$1600,R$3,FALSE))*$X12</f>
        <v>0</v>
      </c>
      <c r="S12" s="1574">
        <f>IF(ISNA(VLOOKUP(CONCATENATE($C$5,'Eff (com)'!$H12),'Non-Res Data (Benchmark)'!$C$2:$R$1600,S$3,FALSE)),0,VLOOKUP(CONCATENATE($C$5,'Eff (com)'!$H12),'Non-Res Data (Benchmark)'!$C$2:$R$1600,S$3,FALSE))</f>
        <v>0</v>
      </c>
      <c r="T12" s="1574">
        <f>IF(ISNA(VLOOKUP(CONCATENATE($C$5,'Eff (com)'!$H12),'Non-Res Data (Benchmark)'!$C$2:$R$1600,T$3,FALSE)),0,VLOOKUP(CONCATENATE($C$5,'Eff (com)'!$H12),'Non-Res Data (Benchmark)'!$C$2:$R$1600,T$3,FALSE))*$X12</f>
        <v>0</v>
      </c>
      <c r="U12" s="1574">
        <f>IF(ISNA(VLOOKUP(CONCATENATE($C$5,'Eff (com)'!$H12),'Non-Res Data (Benchmark)'!$C$2:$R$1600,U$3,FALSE)),0,VLOOKUP(CONCATENATE($C$5,'Eff (com)'!$H12),'Non-Res Data (Benchmark)'!$C$2:$R$1600,U$3,FALSE))*$X12</f>
        <v>0</v>
      </c>
      <c r="V12" s="1574">
        <f>IF(ISNA(VLOOKUP(CONCATENATE($C$5,'Eff (com)'!$H12),'Non-Res Data (Benchmark)'!$C$2:$R$1600,V$3,FALSE)),0,VLOOKUP(CONCATENATE($C$5,'Eff (com)'!$H12),'Non-Res Data (Benchmark)'!$C$2:$R$1600,V$3,FALSE))*$X12</f>
        <v>0</v>
      </c>
      <c r="W12" s="1574">
        <f>IF(ISNA(VLOOKUP(CONCATENATE($C$5,'Eff (com)'!$H12),'Non-Res Data (Benchmark)'!$C$2:$R$1600,W$3,FALSE)),0,VLOOKUP(CONCATENATE($C$5,'Eff (com)'!$H12),'Non-Res Data (Benchmark)'!$C$2:$R$1600,W$3,FALSE))</f>
        <v>0</v>
      </c>
      <c r="X12" s="1669">
        <f>Heating_Degree_Days/IF(Population&lt;300,'NonResBuil Assumptions'!K8,IF(AND(Population&gt;300,Population&lt;1000),'NonResBuil Assumptions'!L8, IF(Population&gt;1000,'NonResBuil Assumptions'!M8)))</f>
        <v>0.92393506559286842</v>
      </c>
      <c r="Y12" s="125"/>
      <c r="Z12" s="125"/>
      <c r="AA12" s="930"/>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18"/>
      <c r="BM12" s="118"/>
      <c r="BN12" s="118"/>
      <c r="BO12" s="118"/>
    </row>
    <row r="13" spans="1:74">
      <c r="B13" s="128" t="s">
        <v>262</v>
      </c>
      <c r="C13" s="321">
        <f>BI59</f>
        <v>722051.1717475981</v>
      </c>
      <c r="D13" s="136"/>
      <c r="E13" s="136"/>
      <c r="F13" s="118"/>
      <c r="G13" s="219"/>
      <c r="H13" s="1470" t="s">
        <v>665</v>
      </c>
      <c r="I13" s="1574">
        <f>IF(ISNA(VLOOKUP(CONCATENATE($C$5,'Eff (com)'!$H13),'Non-Res Data (Benchmark)'!$C$2:$R$1600,I$3,FALSE)),0,VLOOKUP(CONCATENATE($C$5,'Eff (com)'!$H13),'Non-Res Data (Benchmark)'!$C$2:$R$1600,I$3,FALSE))</f>
        <v>1</v>
      </c>
      <c r="J13" s="1574">
        <f>IF(ISNA(VLOOKUP(CONCATENATE($C$5,'Eff (com)'!$H13),'Non-Res Data (Benchmark)'!$C$2:$R$1600,J$3,FALSE)),0,VLOOKUP(CONCATENATE($C$5,'Eff (com)'!$H13),'Non-Res Data (Benchmark)'!$C$2:$R$1600,J$3,FALSE))</f>
        <v>820</v>
      </c>
      <c r="K13" s="1574">
        <f>IF(ISNA(VLOOKUP(CONCATENATE($C$5,'Eff (com)'!$H13),'Non-Res Data (Benchmark)'!$C$2:$R$1600,K$3,FALSE)),0,VLOOKUP(CONCATENATE($C$5,'Eff (com)'!$H13),'Non-Res Data (Benchmark)'!$C$2:$R$1600,K$3,FALSE)*$X13)</f>
        <v>1192.4863125928428</v>
      </c>
      <c r="L13" s="1574">
        <f>IF(ISNA(VLOOKUP(CONCATENATE($C$5,'Eff (com)'!$H13),'Non-Res Data (Benchmark)'!$C$2:$R$1600,L$3,FALSE)),0,VLOOKUP(CONCATENATE($C$5,'Eff (com)'!$H13),'Non-Res Data (Benchmark)'!$C$2:$R$1600,L$3,FALSE)*$X13)</f>
        <v>0</v>
      </c>
      <c r="M13" s="1574">
        <f>IF(ISNA(VLOOKUP(CONCATENATE($C$5,'Eff (com)'!$H13),'Non-Res Data (Benchmark)'!$C$2:$R$1600,M$3,FALSE)),0,VLOOKUP(CONCATENATE($C$5,'Eff (com)'!$H13),'Non-Res Data (Benchmark)'!$C$2:$R$1600,M$3,FALSE))</f>
        <v>6573.1447951667697</v>
      </c>
      <c r="N13" s="1574">
        <f>IF(ISNA(VLOOKUP(CONCATENATE($C$5,'Eff (com)'!$H13),'Non-Res Data (Benchmark)'!$C$2:$R$1600,N$3,FALSE)),0,VLOOKUP(CONCATENATE($C$5,'Eff (com)'!$H13),'Non-Res Data (Benchmark)'!$C$2:$R$1600,N$3,FALSE)*$X13)</f>
        <v>0</v>
      </c>
      <c r="O13" s="1574">
        <f>IF(ISNA(VLOOKUP(CONCATENATE($C$5,'Eff (com)'!$H13),'Non-Res Data (Benchmark)'!$C$2:$R$1600,O$3,FALSE)),0,VLOOKUP(CONCATENATE($C$5,'Eff (com)'!$H13),'Non-Res Data (Benchmark)'!$C$2:$R$1600,O$3,FALSE)*$X13)</f>
        <v>0</v>
      </c>
      <c r="P13" s="1574">
        <f>IF(ISNA(VLOOKUP(CONCATENATE($C$5,'Eff (com)'!$H13),'Non-Res Data (Benchmark)'!$C$2:$R$1600,P$3,FALSE)),0,VLOOKUP(CONCATENATE($C$5,'Eff (com)'!$H13),'Non-Res Data (Benchmark)'!$C$2:$R$1600,P$3,FALSE)*$X13)</f>
        <v>0</v>
      </c>
      <c r="Q13" s="1574">
        <f>IF(ISNA(VLOOKUP(CONCATENATE($C$5,'Eff (com)'!$H13),'Non-Res Data (Benchmark)'!$C$2:$R$1600,Q$3,FALSE)),0,VLOOKUP(CONCATENATE($C$5,'Eff (com)'!$H13),'Non-Res Data (Benchmark)'!$C$2:$R$1600,Q$3,FALSE))*$X13</f>
        <v>882.43987131870358</v>
      </c>
      <c r="R13" s="1574">
        <f>IF(ISNA(VLOOKUP(CONCATENATE($C$5,'Eff (com)'!$H13),'Non-Res Data (Benchmark)'!$C$2:$R$1600,R$3,FALSE)),0,VLOOKUP(CONCATENATE($C$5,'Eff (com)'!$H13),'Non-Res Data (Benchmark)'!$C$2:$R$1600,R$3,FALSE))*$X13</f>
        <v>0</v>
      </c>
      <c r="S13" s="1574">
        <f>IF(ISNA(VLOOKUP(CONCATENATE($C$5,'Eff (com)'!$H13),'Non-Res Data (Benchmark)'!$C$2:$R$1600,S$3,FALSE)),0,VLOOKUP(CONCATENATE($C$5,'Eff (com)'!$H13),'Non-Res Data (Benchmark)'!$C$2:$R$1600,S$3,FALSE))</f>
        <v>4864.1271484234094</v>
      </c>
      <c r="T13" s="1574">
        <f>IF(ISNA(VLOOKUP(CONCATENATE($C$5,'Eff (com)'!$H13),'Non-Res Data (Benchmark)'!$C$2:$R$1600,T$3,FALSE)),0,VLOOKUP(CONCATENATE($C$5,'Eff (com)'!$H13),'Non-Res Data (Benchmark)'!$C$2:$R$1600,T$3,FALSE))*$X13</f>
        <v>0</v>
      </c>
      <c r="U13" s="1574">
        <f>IF(ISNA(VLOOKUP(CONCATENATE($C$5,'Eff (com)'!$H13),'Non-Res Data (Benchmark)'!$C$2:$R$1600,U$3,FALSE)),0,VLOOKUP(CONCATENATE($C$5,'Eff (com)'!$H13),'Non-Res Data (Benchmark)'!$C$2:$R$1600,U$3,FALSE))*$X13</f>
        <v>0</v>
      </c>
      <c r="V13" s="1574">
        <f>IF(ISNA(VLOOKUP(CONCATENATE($C$5,'Eff (com)'!$H13),'Non-Res Data (Benchmark)'!$C$2:$R$1600,V$3,FALSE)),0,VLOOKUP(CONCATENATE($C$5,'Eff (com)'!$H13),'Non-Res Data (Benchmark)'!$C$2:$R$1600,V$3,FALSE))*$X13</f>
        <v>0</v>
      </c>
      <c r="W13" s="1574">
        <f>IF(ISNA(VLOOKUP(CONCATENATE($C$5,'Eff (com)'!$H13),'Non-Res Data (Benchmark)'!$C$2:$R$1600,W$3,FALSE)),0,VLOOKUP(CONCATENATE($C$5,'Eff (com)'!$H13),'Non-Res Data (Benchmark)'!$C$2:$R$1600,W$3,FALSE))</f>
        <v>5740</v>
      </c>
      <c r="X13" s="1669">
        <f>Heating_Degree_Days/IF(Population&lt;300,'NonResBuil Assumptions'!K9,IF(AND(Population&gt;300,Population&lt;1000),'NonResBuil Assumptions'!L9, IF(Population&gt;1000,'NonResBuil Assumptions'!M9)))</f>
        <v>1.0928772135138429</v>
      </c>
      <c r="Y13" s="125"/>
      <c r="Z13" s="125"/>
      <c r="AA13" s="930"/>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18"/>
      <c r="BO13" s="118"/>
    </row>
    <row r="14" spans="1:74">
      <c r="B14" s="128" t="s">
        <v>278</v>
      </c>
      <c r="C14" s="322">
        <f>BI55</f>
        <v>374975.5578102555</v>
      </c>
      <c r="D14" s="136"/>
      <c r="E14" s="136"/>
      <c r="F14" s="118"/>
      <c r="G14" s="219"/>
      <c r="H14" s="1561" t="s">
        <v>643</v>
      </c>
      <c r="I14" s="1574">
        <f>IF(ISNA(VLOOKUP(CONCATENATE($C$5,'Eff (com)'!$H14),'Non-Res Data (Benchmark)'!$C$2:$R$1600,I$3,FALSE)),0,VLOOKUP(CONCATENATE($C$5,'Eff (com)'!$H14),'Non-Res Data (Benchmark)'!$C$2:$R$1600,I$3,FALSE))</f>
        <v>4</v>
      </c>
      <c r="J14" s="1574">
        <f>IF(ISNA(VLOOKUP(CONCATENATE($C$5,'Eff (com)'!$H14),'Non-Res Data (Benchmark)'!$C$2:$R$1600,J$3,FALSE)),0,VLOOKUP(CONCATENATE($C$5,'Eff (com)'!$H14),'Non-Res Data (Benchmark)'!$C$2:$R$1600,J$3,FALSE))</f>
        <v>4860</v>
      </c>
      <c r="K14" s="1574">
        <f>IF(ISNA(VLOOKUP(CONCATENATE($C$5,'Eff (com)'!$H14),'Non-Res Data (Benchmark)'!$C$2:$R$1600,K$3,FALSE)),0,VLOOKUP(CONCATENATE($C$5,'Eff (com)'!$H14),'Non-Res Data (Benchmark)'!$C$2:$R$1600,K$3,FALSE)*$X14)</f>
        <v>3383.6266298967771</v>
      </c>
      <c r="L14" s="1574">
        <f>IF(ISNA(VLOOKUP(CONCATENATE($C$5,'Eff (com)'!$H14),'Non-Res Data (Benchmark)'!$C$2:$R$1600,L$3,FALSE)),0,VLOOKUP(CONCATENATE($C$5,'Eff (com)'!$H14),'Non-Res Data (Benchmark)'!$C$2:$R$1600,L$3,FALSE)*$X14)</f>
        <v>0</v>
      </c>
      <c r="M14" s="1574">
        <f>IF(ISNA(VLOOKUP(CONCATENATE($C$5,'Eff (com)'!$H14),'Non-Res Data (Benchmark)'!$C$2:$R$1600,M$3,FALSE)),0,VLOOKUP(CONCATENATE($C$5,'Eff (com)'!$H14),'Non-Res Data (Benchmark)'!$C$2:$R$1600,M$3,FALSE))</f>
        <v>35371.020299494157</v>
      </c>
      <c r="N14" s="1574">
        <f>IF(ISNA(VLOOKUP(CONCATENATE($C$5,'Eff (com)'!$H14),'Non-Res Data (Benchmark)'!$C$2:$R$1600,N$3,FALSE)),0,VLOOKUP(CONCATENATE($C$5,'Eff (com)'!$H14),'Non-Res Data (Benchmark)'!$C$2:$R$1600,N$3,FALSE)*$X14)</f>
        <v>0</v>
      </c>
      <c r="O14" s="1574">
        <f>IF(ISNA(VLOOKUP(CONCATENATE($C$5,'Eff (com)'!$H14),'Non-Res Data (Benchmark)'!$C$2:$R$1600,O$3,FALSE)),0,VLOOKUP(CONCATENATE($C$5,'Eff (com)'!$H14),'Non-Res Data (Benchmark)'!$C$2:$R$1600,O$3,FALSE)*$X14)</f>
        <v>0</v>
      </c>
      <c r="P14" s="1574">
        <f>IF(ISNA(VLOOKUP(CONCATENATE($C$5,'Eff (com)'!$H14),'Non-Res Data (Benchmark)'!$C$2:$R$1600,P$3,FALSE)),0,VLOOKUP(CONCATENATE($C$5,'Eff (com)'!$H14),'Non-Res Data (Benchmark)'!$C$2:$R$1600,P$3,FALSE)*$X14)</f>
        <v>0</v>
      </c>
      <c r="Q14" s="1574">
        <f>IF(ISNA(VLOOKUP(CONCATENATE($C$5,'Eff (com)'!$H14),'Non-Res Data (Benchmark)'!$C$2:$R$1600,Q$3,FALSE)),0,VLOOKUP(CONCATENATE($C$5,'Eff (com)'!$H14),'Non-Res Data (Benchmark)'!$C$2:$R$1600,Q$3,FALSE))*$X14</f>
        <v>2503.883706123615</v>
      </c>
      <c r="R14" s="1574">
        <f>IF(ISNA(VLOOKUP(CONCATENATE($C$5,'Eff (com)'!$H14),'Non-Res Data (Benchmark)'!$C$2:$R$1600,R$3,FALSE)),0,VLOOKUP(CONCATENATE($C$5,'Eff (com)'!$H14),'Non-Res Data (Benchmark)'!$C$2:$R$1600,R$3,FALSE))*$X14</f>
        <v>0</v>
      </c>
      <c r="S14" s="1574">
        <f>IF(ISNA(VLOOKUP(CONCATENATE($C$5,'Eff (com)'!$H14),'Non-Res Data (Benchmark)'!$C$2:$R$1600,S$3,FALSE)),0,VLOOKUP(CONCATENATE($C$5,'Eff (com)'!$H14),'Non-Res Data (Benchmark)'!$C$2:$R$1600,S$3,FALSE))</f>
        <v>26174.555021625674</v>
      </c>
      <c r="T14" s="1574">
        <f>IF(ISNA(VLOOKUP(CONCATENATE($C$5,'Eff (com)'!$H14),'Non-Res Data (Benchmark)'!$C$2:$R$1600,T$3,FALSE)),0,VLOOKUP(CONCATENATE($C$5,'Eff (com)'!$H14),'Non-Res Data (Benchmark)'!$C$2:$R$1600,T$3,FALSE))*$X14</f>
        <v>0</v>
      </c>
      <c r="U14" s="1574">
        <f>IF(ISNA(VLOOKUP(CONCATENATE($C$5,'Eff (com)'!$H14),'Non-Res Data (Benchmark)'!$C$2:$R$1600,U$3,FALSE)),0,VLOOKUP(CONCATENATE($C$5,'Eff (com)'!$H14),'Non-Res Data (Benchmark)'!$C$2:$R$1600,U$3,FALSE))*$X14</f>
        <v>0</v>
      </c>
      <c r="V14" s="1574">
        <f>IF(ISNA(VLOOKUP(CONCATENATE($C$5,'Eff (com)'!$H14),'Non-Res Data (Benchmark)'!$C$2:$R$1600,V$3,FALSE)),0,VLOOKUP(CONCATENATE($C$5,'Eff (com)'!$H14),'Non-Res Data (Benchmark)'!$C$2:$R$1600,V$3,FALSE))*$X14</f>
        <v>0</v>
      </c>
      <c r="W14" s="1574">
        <f>IF(ISNA(VLOOKUP(CONCATENATE($C$5,'Eff (com)'!$H14),'Non-Res Data (Benchmark)'!$C$2:$R$1600,W$3,FALSE)),0,VLOOKUP(CONCATENATE($C$5,'Eff (com)'!$H14),'Non-Res Data (Benchmark)'!$C$2:$R$1600,W$3,FALSE))</f>
        <v>34020</v>
      </c>
      <c r="X14" s="1669">
        <f>Heating_Degree_Days/IF(Population&lt;300,'NonResBuil Assumptions'!K10,IF(AND(Population&gt;300,Population&lt;1000),'NonResBuil Assumptions'!L10, IF(Population&gt;1000,'NonResBuil Assumptions'!M10)))</f>
        <v>1.1008919296901749</v>
      </c>
      <c r="Y14" s="121"/>
      <c r="Z14" s="121"/>
      <c r="AA14" s="930"/>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74" ht="15.75" thickBot="1">
      <c r="B15" s="128" t="s">
        <v>759</v>
      </c>
      <c r="C15" s="323">
        <f>IF(C14&gt;0,C13/C14,0)</f>
        <v>1.9255953000354471</v>
      </c>
      <c r="D15" s="136"/>
      <c r="E15" s="136"/>
      <c r="F15" s="118"/>
      <c r="G15" s="219"/>
      <c r="H15" s="1470" t="s">
        <v>1227</v>
      </c>
      <c r="I15" s="1574">
        <f>IF(ISNA(VLOOKUP(CONCATENATE($C$5,'Eff (com)'!$H15),'Non-Res Data (Benchmark)'!$C$2:$R$1600,I$3,FALSE)),0,VLOOKUP(CONCATENATE($C$5,'Eff (com)'!$H15),'Non-Res Data (Benchmark)'!$C$2:$R$1600,I$3,FALSE))</f>
        <v>1</v>
      </c>
      <c r="J15" s="1574">
        <f>IF(ISNA(VLOOKUP(CONCATENATE($C$5,'Eff (com)'!$H15),'Non-Res Data (Benchmark)'!$C$2:$R$1600,J$3,FALSE)),0,VLOOKUP(CONCATENATE($C$5,'Eff (com)'!$H15),'Non-Res Data (Benchmark)'!$C$2:$R$1600,J$3,FALSE))</f>
        <v>1200</v>
      </c>
      <c r="K15" s="1574">
        <f>IF(ISNA(VLOOKUP(CONCATENATE($C$5,'Eff (com)'!$H15),'Non-Res Data (Benchmark)'!$C$2:$R$1600,K$3,FALSE)),0,VLOOKUP(CONCATENATE($C$5,'Eff (com)'!$H15),'Non-Res Data (Benchmark)'!$C$2:$R$1600,K$3,FALSE)*$X15)</f>
        <v>872.9235811555078</v>
      </c>
      <c r="L15" s="1574">
        <f>IF(ISNA(VLOOKUP(CONCATENATE($C$5,'Eff (com)'!$H15),'Non-Res Data (Benchmark)'!$C$2:$R$1600,L$3,FALSE)),0,VLOOKUP(CONCATENATE($C$5,'Eff (com)'!$H15),'Non-Res Data (Benchmark)'!$C$2:$R$1600,L$3,FALSE)*$X15)</f>
        <v>0</v>
      </c>
      <c r="M15" s="1574">
        <f>IF(ISNA(VLOOKUP(CONCATENATE($C$5,'Eff (com)'!$H15),'Non-Res Data (Benchmark)'!$C$2:$R$1600,M$3,FALSE)),0,VLOOKUP(CONCATENATE($C$5,'Eff (com)'!$H15),'Non-Res Data (Benchmark)'!$C$2:$R$1600,M$3,FALSE))</f>
        <v>4514.0827129989566</v>
      </c>
      <c r="N15" s="1574">
        <f>IF(ISNA(VLOOKUP(CONCATENATE($C$5,'Eff (com)'!$H15),'Non-Res Data (Benchmark)'!$C$2:$R$1600,N$3,FALSE)),0,VLOOKUP(CONCATENATE($C$5,'Eff (com)'!$H15),'Non-Res Data (Benchmark)'!$C$2:$R$1600,N$3,FALSE)*$X15)</f>
        <v>0</v>
      </c>
      <c r="O15" s="1574">
        <f>IF(ISNA(VLOOKUP(CONCATENATE($C$5,'Eff (com)'!$H15),'Non-Res Data (Benchmark)'!$C$2:$R$1600,O$3,FALSE)),0,VLOOKUP(CONCATENATE($C$5,'Eff (com)'!$H15),'Non-Res Data (Benchmark)'!$C$2:$R$1600,O$3,FALSE)*$X15)</f>
        <v>0</v>
      </c>
      <c r="P15" s="1574">
        <f>IF(ISNA(VLOOKUP(CONCATENATE($C$5,'Eff (com)'!$H15),'Non-Res Data (Benchmark)'!$C$2:$R$1600,P$3,FALSE)),0,VLOOKUP(CONCATENATE($C$5,'Eff (com)'!$H15),'Non-Res Data (Benchmark)'!$C$2:$R$1600,P$3,FALSE)*$X15)</f>
        <v>0</v>
      </c>
      <c r="Q15" s="1574">
        <f>IF(ISNA(VLOOKUP(CONCATENATE($C$5,'Eff (com)'!$H15),'Non-Res Data (Benchmark)'!$C$2:$R$1600,Q$3,FALSE)),0,VLOOKUP(CONCATENATE($C$5,'Eff (com)'!$H15),'Non-Res Data (Benchmark)'!$C$2:$R$1600,Q$3,FALSE))*$X15</f>
        <v>645.96345005507578</v>
      </c>
      <c r="R15" s="1574">
        <f>IF(ISNA(VLOOKUP(CONCATENATE($C$5,'Eff (com)'!$H15),'Non-Res Data (Benchmark)'!$C$2:$R$1600,R$3,FALSE)),0,VLOOKUP(CONCATENATE($C$5,'Eff (com)'!$H15),'Non-Res Data (Benchmark)'!$C$2:$R$1600,R$3,FALSE))*$X15</f>
        <v>0</v>
      </c>
      <c r="S15" s="1574">
        <f>IF(ISNA(VLOOKUP(CONCATENATE($C$5,'Eff (com)'!$H15),'Non-Res Data (Benchmark)'!$C$2:$R$1600,S$3,FALSE)),0,VLOOKUP(CONCATENATE($C$5,'Eff (com)'!$H15),'Non-Res Data (Benchmark)'!$C$2:$R$1600,S$3,FALSE))</f>
        <v>3340.421207619228</v>
      </c>
      <c r="T15" s="1574">
        <f>IF(ISNA(VLOOKUP(CONCATENATE($C$5,'Eff (com)'!$H15),'Non-Res Data (Benchmark)'!$C$2:$R$1600,T$3,FALSE)),0,VLOOKUP(CONCATENATE($C$5,'Eff (com)'!$H15),'Non-Res Data (Benchmark)'!$C$2:$R$1600,T$3,FALSE))*$X15</f>
        <v>0</v>
      </c>
      <c r="U15" s="1574">
        <f>IF(ISNA(VLOOKUP(CONCATENATE($C$5,'Eff (com)'!$H15),'Non-Res Data (Benchmark)'!$C$2:$R$1600,U$3,FALSE)),0,VLOOKUP(CONCATENATE($C$5,'Eff (com)'!$H15),'Non-Res Data (Benchmark)'!$C$2:$R$1600,U$3,FALSE))*$X15</f>
        <v>0</v>
      </c>
      <c r="V15" s="1574">
        <f>IF(ISNA(VLOOKUP(CONCATENATE($C$5,'Eff (com)'!$H15),'Non-Res Data (Benchmark)'!$C$2:$R$1600,V$3,FALSE)),0,VLOOKUP(CONCATENATE($C$5,'Eff (com)'!$H15),'Non-Res Data (Benchmark)'!$C$2:$R$1600,V$3,FALSE))*$X15</f>
        <v>0</v>
      </c>
      <c r="W15" s="1574">
        <f>IF(ISNA(VLOOKUP(CONCATENATE($C$5,'Eff (com)'!$H15),'Non-Res Data (Benchmark)'!$C$2:$R$1600,W$3,FALSE)),0,VLOOKUP(CONCATENATE($C$5,'Eff (com)'!$H15),'Non-Res Data (Benchmark)'!$C$2:$R$1600,W$3,FALSE))</f>
        <v>8400</v>
      </c>
      <c r="X15" s="1669">
        <f>Heating_Degree_Days/IF(Population&lt;300,'NonResBuil Assumptions'!K11,IF(AND(Population&gt;300,Population&lt;1000),'NonResBuil Assumptions'!L11, IF(Population&gt;1000,'NonResBuil Assumptions'!M11)))</f>
        <v>1.1658425836889672</v>
      </c>
      <c r="Y15" s="121"/>
      <c r="Z15" s="121"/>
      <c r="AA15" s="487"/>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c r="BP15" s="125"/>
    </row>
    <row r="16" spans="1:74" ht="15.75" thickBot="1">
      <c r="A16" s="121"/>
      <c r="B16" s="502" t="s">
        <v>290</v>
      </c>
      <c r="C16" s="503">
        <f>BI62</f>
        <v>347075.61393734248</v>
      </c>
      <c r="D16" s="136"/>
      <c r="E16" s="136"/>
      <c r="F16" s="118"/>
      <c r="G16" s="219"/>
      <c r="H16" s="1561" t="s">
        <v>1475</v>
      </c>
      <c r="I16" s="1574">
        <f>IF(ISNA(VLOOKUP(CONCATENATE($C$5,'Eff (com)'!$H16),'Non-Res Data (Benchmark)'!$C$2:$R$1600,I$3,FALSE)),0,VLOOKUP(CONCATENATE($C$5,'Eff (com)'!$H16),'Non-Res Data (Benchmark)'!$C$2:$R$1600,I$3,FALSE))</f>
        <v>0</v>
      </c>
      <c r="J16" s="1574">
        <f>IF(ISNA(VLOOKUP(CONCATENATE($C$5,'Eff (com)'!$H16),'Non-Res Data (Benchmark)'!$C$2:$R$1600,J$3,FALSE)),0,VLOOKUP(CONCATENATE($C$5,'Eff (com)'!$H16),'Non-Res Data (Benchmark)'!$C$2:$R$1600,J$3,FALSE))</f>
        <v>0</v>
      </c>
      <c r="K16" s="1574">
        <f>IF(ISNA(VLOOKUP(CONCATENATE($C$5,'Eff (com)'!$H16),'Non-Res Data (Benchmark)'!$C$2:$R$1600,K$3,FALSE)),0,VLOOKUP(CONCATENATE($C$5,'Eff (com)'!$H16),'Non-Res Data (Benchmark)'!$C$2:$R$1600,K$3,FALSE)*$X16)</f>
        <v>0</v>
      </c>
      <c r="L16" s="1574">
        <f>IF(ISNA(VLOOKUP(CONCATENATE($C$5,'Eff (com)'!$H16),'Non-Res Data (Benchmark)'!$C$2:$R$1600,L$3,FALSE)),0,VLOOKUP(CONCATENATE($C$5,'Eff (com)'!$H16),'Non-Res Data (Benchmark)'!$C$2:$R$1600,L$3,FALSE)*$X16)</f>
        <v>0</v>
      </c>
      <c r="M16" s="1574">
        <f>IF(ISNA(VLOOKUP(CONCATENATE($C$5,'Eff (com)'!$H16),'Non-Res Data (Benchmark)'!$C$2:$R$1600,M$3,FALSE)),0,VLOOKUP(CONCATENATE($C$5,'Eff (com)'!$H16),'Non-Res Data (Benchmark)'!$C$2:$R$1600,M$3,FALSE))</f>
        <v>0</v>
      </c>
      <c r="N16" s="1574">
        <f>IF(ISNA(VLOOKUP(CONCATENATE($C$5,'Eff (com)'!$H16),'Non-Res Data (Benchmark)'!$C$2:$R$1600,N$3,FALSE)),0,VLOOKUP(CONCATENATE($C$5,'Eff (com)'!$H16),'Non-Res Data (Benchmark)'!$C$2:$R$1600,N$3,FALSE)*$X16)</f>
        <v>0</v>
      </c>
      <c r="O16" s="1574">
        <f>IF(ISNA(VLOOKUP(CONCATENATE($C$5,'Eff (com)'!$H16),'Non-Res Data (Benchmark)'!$C$2:$R$1600,O$3,FALSE)),0,VLOOKUP(CONCATENATE($C$5,'Eff (com)'!$H16),'Non-Res Data (Benchmark)'!$C$2:$R$1600,O$3,FALSE)*$X16)</f>
        <v>0</v>
      </c>
      <c r="P16" s="1574">
        <f>IF(ISNA(VLOOKUP(CONCATENATE($C$5,'Eff (com)'!$H16),'Non-Res Data (Benchmark)'!$C$2:$R$1600,P$3,FALSE)),0,VLOOKUP(CONCATENATE($C$5,'Eff (com)'!$H16),'Non-Res Data (Benchmark)'!$C$2:$R$1600,P$3,FALSE)*$X16)</f>
        <v>0</v>
      </c>
      <c r="Q16" s="1574">
        <f>IF(ISNA(VLOOKUP(CONCATENATE($C$5,'Eff (com)'!$H16),'Non-Res Data (Benchmark)'!$C$2:$R$1600,Q$3,FALSE)),0,VLOOKUP(CONCATENATE($C$5,'Eff (com)'!$H16),'Non-Res Data (Benchmark)'!$C$2:$R$1600,Q$3,FALSE))*$X16</f>
        <v>0</v>
      </c>
      <c r="R16" s="1574">
        <f>IF(ISNA(VLOOKUP(CONCATENATE($C$5,'Eff (com)'!$H16),'Non-Res Data (Benchmark)'!$C$2:$R$1600,R$3,FALSE)),0,VLOOKUP(CONCATENATE($C$5,'Eff (com)'!$H16),'Non-Res Data (Benchmark)'!$C$2:$R$1600,R$3,FALSE))*$X16</f>
        <v>0</v>
      </c>
      <c r="S16" s="1574">
        <f>IF(ISNA(VLOOKUP(CONCATENATE($C$5,'Eff (com)'!$H16),'Non-Res Data (Benchmark)'!$C$2:$R$1600,S$3,FALSE)),0,VLOOKUP(CONCATENATE($C$5,'Eff (com)'!$H16),'Non-Res Data (Benchmark)'!$C$2:$R$1600,S$3,FALSE))</f>
        <v>0</v>
      </c>
      <c r="T16" s="1574">
        <f>IF(ISNA(VLOOKUP(CONCATENATE($C$5,'Eff (com)'!$H16),'Non-Res Data (Benchmark)'!$C$2:$R$1600,T$3,FALSE)),0,VLOOKUP(CONCATENATE($C$5,'Eff (com)'!$H16),'Non-Res Data (Benchmark)'!$C$2:$R$1600,T$3,FALSE))*$X16</f>
        <v>0</v>
      </c>
      <c r="U16" s="1574">
        <f>IF(ISNA(VLOOKUP(CONCATENATE($C$5,'Eff (com)'!$H16),'Non-Res Data (Benchmark)'!$C$2:$R$1600,U$3,FALSE)),0,VLOOKUP(CONCATENATE($C$5,'Eff (com)'!$H16),'Non-Res Data (Benchmark)'!$C$2:$R$1600,U$3,FALSE))*$X16</f>
        <v>0</v>
      </c>
      <c r="V16" s="1574">
        <f>IF(ISNA(VLOOKUP(CONCATENATE($C$5,'Eff (com)'!$H16),'Non-Res Data (Benchmark)'!$C$2:$R$1600,V$3,FALSE)),0,VLOOKUP(CONCATENATE($C$5,'Eff (com)'!$H16),'Non-Res Data (Benchmark)'!$C$2:$R$1600,V$3,FALSE))*$X16</f>
        <v>0</v>
      </c>
      <c r="W16" s="1574">
        <f>IF(ISNA(VLOOKUP(CONCATENATE($C$5,'Eff (com)'!$H16),'Non-Res Data (Benchmark)'!$C$2:$R$1600,W$3,FALSE)),0,VLOOKUP(CONCATENATE($C$5,'Eff (com)'!$H16),'Non-Res Data (Benchmark)'!$C$2:$R$1600,W$3,FALSE))</f>
        <v>0</v>
      </c>
      <c r="X16" s="1669">
        <f>Heating_Degree_Days/IF(Population&lt;300,'NonResBuil Assumptions'!K12,IF(AND(Population&gt;300,Population&lt;1000),'NonResBuil Assumptions'!L12, IF(Population&gt;1000,'NonResBuil Assumptions'!M12)))</f>
        <v>1.0360858631398238</v>
      </c>
      <c r="Y16" s="121"/>
      <c r="Z16" s="121"/>
      <c r="AA16" s="945"/>
      <c r="AB16" s="121"/>
      <c r="AC16" s="121"/>
      <c r="AD16" s="121"/>
      <c r="AE16" s="121"/>
      <c r="AF16" s="121"/>
      <c r="AG16" s="121"/>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c r="BP16" s="125"/>
      <c r="BQ16" s="125"/>
      <c r="BR16" s="125"/>
      <c r="BS16" s="125"/>
      <c r="BT16" s="125"/>
      <c r="BU16" s="125"/>
      <c r="BV16" s="125"/>
    </row>
    <row r="17" spans="1:74" ht="15.75" thickBot="1">
      <c r="A17" s="121"/>
      <c r="B17" s="508"/>
      <c r="C17" s="509"/>
      <c r="D17" s="136"/>
      <c r="E17" s="136"/>
      <c r="F17" s="118"/>
      <c r="G17" s="219"/>
      <c r="H17" s="1470" t="s">
        <v>1442</v>
      </c>
      <c r="I17" s="1574">
        <f>IF(ISNA(VLOOKUP(CONCATENATE($C$5,'Eff (com)'!$H17),'Non-Res Data (Benchmark)'!$C$2:$R$1600,I$3,FALSE)),0,VLOOKUP(CONCATENATE($C$5,'Eff (com)'!$H17),'Non-Res Data (Benchmark)'!$C$2:$R$1600,I$3,FALSE))</f>
        <v>1</v>
      </c>
      <c r="J17" s="1574">
        <f>IF(ISNA(VLOOKUP(CONCATENATE($C$5,'Eff (com)'!$H17),'Non-Res Data (Benchmark)'!$C$2:$R$1600,J$3,FALSE)),0,VLOOKUP(CONCATENATE($C$5,'Eff (com)'!$H17),'Non-Res Data (Benchmark)'!$C$2:$R$1600,J$3,FALSE))</f>
        <v>3300</v>
      </c>
      <c r="K17" s="1574">
        <f>IF(ISNA(VLOOKUP(CONCATENATE($C$5,'Eff (com)'!$H17),'Non-Res Data (Benchmark)'!$C$2:$R$1600,K$3,FALSE)),0,VLOOKUP(CONCATENATE($C$5,'Eff (com)'!$H17),'Non-Res Data (Benchmark)'!$C$2:$R$1600,K$3,FALSE)*$X17)</f>
        <v>3764.7972186728502</v>
      </c>
      <c r="L17" s="1574">
        <f>IF(ISNA(VLOOKUP(CONCATENATE($C$5,'Eff (com)'!$H17),'Non-Res Data (Benchmark)'!$C$2:$R$1600,L$3,FALSE)),0,VLOOKUP(CONCATENATE($C$5,'Eff (com)'!$H17),'Non-Res Data (Benchmark)'!$C$2:$R$1600,L$3,FALSE)*$X17)</f>
        <v>0</v>
      </c>
      <c r="M17" s="1574">
        <f>IF(ISNA(VLOOKUP(CONCATENATE($C$5,'Eff (com)'!$H17),'Non-Res Data (Benchmark)'!$C$2:$R$1600,M$3,FALSE)),0,VLOOKUP(CONCATENATE($C$5,'Eff (com)'!$H17),'Non-Res Data (Benchmark)'!$C$2:$R$1600,M$3,FALSE))</f>
        <v>17278.728652260641</v>
      </c>
      <c r="N17" s="1574">
        <f>IF(ISNA(VLOOKUP(CONCATENATE($C$5,'Eff (com)'!$H17),'Non-Res Data (Benchmark)'!$C$2:$R$1600,N$3,FALSE)),0,VLOOKUP(CONCATENATE($C$5,'Eff (com)'!$H17),'Non-Res Data (Benchmark)'!$C$2:$R$1600,N$3,FALSE)*$X17)</f>
        <v>0</v>
      </c>
      <c r="O17" s="1574">
        <f>IF(ISNA(VLOOKUP(CONCATENATE($C$5,'Eff (com)'!$H17),'Non-Res Data (Benchmark)'!$C$2:$R$1600,O$3,FALSE)),0,VLOOKUP(CONCATENATE($C$5,'Eff (com)'!$H17),'Non-Res Data (Benchmark)'!$C$2:$R$1600,O$3,FALSE)*$X17)</f>
        <v>0</v>
      </c>
      <c r="P17" s="1574">
        <f>IF(ISNA(VLOOKUP(CONCATENATE($C$5,'Eff (com)'!$H17),'Non-Res Data (Benchmark)'!$C$2:$R$1600,P$3,FALSE)),0,VLOOKUP(CONCATENATE($C$5,'Eff (com)'!$H17),'Non-Res Data (Benchmark)'!$C$2:$R$1600,P$3,FALSE)*$X17)</f>
        <v>0</v>
      </c>
      <c r="Q17" s="1574">
        <f>IF(ISNA(VLOOKUP(CONCATENATE($C$5,'Eff (com)'!$H17),'Non-Res Data (Benchmark)'!$C$2:$R$1600,Q$3,FALSE)),0,VLOOKUP(CONCATENATE($C$5,'Eff (com)'!$H17),'Non-Res Data (Benchmark)'!$C$2:$R$1600,Q$3,FALSE))*$X17</f>
        <v>2785.9499418179093</v>
      </c>
      <c r="R17" s="1574">
        <f>IF(ISNA(VLOOKUP(CONCATENATE($C$5,'Eff (com)'!$H17),'Non-Res Data (Benchmark)'!$C$2:$R$1600,R$3,FALSE)),0,VLOOKUP(CONCATENATE($C$5,'Eff (com)'!$H17),'Non-Res Data (Benchmark)'!$C$2:$R$1600,R$3,FALSE))*$X17</f>
        <v>0</v>
      </c>
      <c r="S17" s="1574">
        <f>IF(ISNA(VLOOKUP(CONCATENATE($C$5,'Eff (com)'!$H17),'Non-Res Data (Benchmark)'!$C$2:$R$1600,S$3,FALSE)),0,VLOOKUP(CONCATENATE($C$5,'Eff (com)'!$H17),'Non-Res Data (Benchmark)'!$C$2:$R$1600,S$3,FALSE))</f>
        <v>12786.259202672874</v>
      </c>
      <c r="T17" s="1574">
        <f>IF(ISNA(VLOOKUP(CONCATENATE($C$5,'Eff (com)'!$H17),'Non-Res Data (Benchmark)'!$C$2:$R$1600,T$3,FALSE)),0,VLOOKUP(CONCATENATE($C$5,'Eff (com)'!$H17),'Non-Res Data (Benchmark)'!$C$2:$R$1600,T$3,FALSE))*$X17</f>
        <v>0</v>
      </c>
      <c r="U17" s="1574">
        <f>IF(ISNA(VLOOKUP(CONCATENATE($C$5,'Eff (com)'!$H17),'Non-Res Data (Benchmark)'!$C$2:$R$1600,U$3,FALSE)),0,VLOOKUP(CONCATENATE($C$5,'Eff (com)'!$H17),'Non-Res Data (Benchmark)'!$C$2:$R$1600,U$3,FALSE))*$X17</f>
        <v>0</v>
      </c>
      <c r="V17" s="1574">
        <f>IF(ISNA(VLOOKUP(CONCATENATE($C$5,'Eff (com)'!$H17),'Non-Res Data (Benchmark)'!$C$2:$R$1600,V$3,FALSE)),0,VLOOKUP(CONCATENATE($C$5,'Eff (com)'!$H17),'Non-Res Data (Benchmark)'!$C$2:$R$1600,V$3,FALSE))*$X17</f>
        <v>0</v>
      </c>
      <c r="W17" s="1574">
        <f>IF(ISNA(VLOOKUP(CONCATENATE($C$5,'Eff (com)'!$H17),'Non-Res Data (Benchmark)'!$C$2:$R$1600,W$3,FALSE)),0,VLOOKUP(CONCATENATE($C$5,'Eff (com)'!$H17),'Non-Res Data (Benchmark)'!$C$2:$R$1600,W$3,FALSE))</f>
        <v>23100</v>
      </c>
      <c r="X17" s="1669">
        <f>Heating_Degree_Days/IF(Population&lt;300,'NonResBuil Assumptions'!K13,IF(AND(Population&gt;300,Population&lt;1000),'NonResBuil Assumptions'!L13, IF(Population&gt;1000,'NonResBuil Assumptions'!M13)))</f>
        <v>1.0382089419506881</v>
      </c>
      <c r="Y17" s="125"/>
      <c r="Z17" s="125"/>
      <c r="AA17" s="930"/>
      <c r="AB17" s="121"/>
      <c r="AC17" s="121"/>
      <c r="AD17" s="121"/>
      <c r="AE17" s="121"/>
      <c r="AF17" s="121"/>
      <c r="AG17" s="121"/>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c r="BP17" s="125"/>
      <c r="BQ17" s="125"/>
      <c r="BR17" s="125"/>
      <c r="BS17" s="125"/>
      <c r="BT17" s="125"/>
      <c r="BU17" s="125"/>
      <c r="BV17" s="125"/>
    </row>
    <row r="18" spans="1:74" ht="28.5" customHeight="1" thickBot="1">
      <c r="B18" s="138"/>
      <c r="C18" s="145"/>
      <c r="D18" s="136"/>
      <c r="E18" s="136"/>
      <c r="F18" s="118"/>
      <c r="G18" s="219"/>
      <c r="H18" s="120" t="s">
        <v>2098</v>
      </c>
      <c r="I18" s="1574">
        <f>IF(ISNA(VLOOKUP(CONCATENATE($C$5,'Eff (com)'!$H18),'Non-Res Data (Benchmark)'!$C$2:$R$1600,I$3,FALSE)),0,VLOOKUP(CONCATENATE($C$5,'Eff (com)'!$H18),'Non-Res Data (Benchmark)'!$C$2:$R$1600,I$3,FALSE))</f>
        <v>0</v>
      </c>
      <c r="J18" s="1574">
        <f>IF(ISNA(VLOOKUP(CONCATENATE($C$5,'Eff (com)'!$H18),'Non-Res Data (Benchmark)'!$C$2:$R$1600,J$3,FALSE)),0,VLOOKUP(CONCATENATE($C$5,'Eff (com)'!$H18),'Non-Res Data (Benchmark)'!$C$2:$R$1600,J$3,FALSE))</f>
        <v>0</v>
      </c>
      <c r="K18" s="1574">
        <f>IF(ISNA(VLOOKUP(CONCATENATE($C$5,'Eff (com)'!$H18),'Non-Res Data (Benchmark)'!$C$2:$R$1600,K$3,FALSE)),0,VLOOKUP(CONCATENATE($C$5,'Eff (com)'!$H18),'Non-Res Data (Benchmark)'!$C$2:$R$1600,K$3,FALSE)*$X18)</f>
        <v>0</v>
      </c>
      <c r="L18" s="1574">
        <f>IF(ISNA(VLOOKUP(CONCATENATE($C$5,'Eff (com)'!$H18),'Non-Res Data (Benchmark)'!$C$2:$R$1600,L$3,FALSE)),0,VLOOKUP(CONCATENATE($C$5,'Eff (com)'!$H18),'Non-Res Data (Benchmark)'!$C$2:$R$1600,L$3,FALSE)*$X18)</f>
        <v>0</v>
      </c>
      <c r="M18" s="1574">
        <f>IF(ISNA(VLOOKUP(CONCATENATE($C$5,'Eff (com)'!$H18),'Non-Res Data (Benchmark)'!$C$2:$R$1600,M$3,FALSE)),0,VLOOKUP(CONCATENATE($C$5,'Eff (com)'!$H18),'Non-Res Data (Benchmark)'!$C$2:$R$1600,M$3,FALSE))</f>
        <v>0</v>
      </c>
      <c r="N18" s="1574">
        <f>IF(ISNA(VLOOKUP(CONCATENATE($C$5,'Eff (com)'!$H18),'Non-Res Data (Benchmark)'!$C$2:$R$1600,N$3,FALSE)),0,VLOOKUP(CONCATENATE($C$5,'Eff (com)'!$H18),'Non-Res Data (Benchmark)'!$C$2:$R$1600,N$3,FALSE)*$X18)</f>
        <v>0</v>
      </c>
      <c r="O18" s="1574">
        <f>IF(ISNA(VLOOKUP(CONCATENATE($C$5,'Eff (com)'!$H18),'Non-Res Data (Benchmark)'!$C$2:$R$1600,O$3,FALSE)),0,VLOOKUP(CONCATENATE($C$5,'Eff (com)'!$H18),'Non-Res Data (Benchmark)'!$C$2:$R$1600,O$3,FALSE)*$X18)</f>
        <v>0</v>
      </c>
      <c r="P18" s="1574">
        <f>IF(ISNA(VLOOKUP(CONCATENATE($C$5,'Eff (com)'!$H18),'Non-Res Data (Benchmark)'!$C$2:$R$1600,P$3,FALSE)),0,VLOOKUP(CONCATENATE($C$5,'Eff (com)'!$H18),'Non-Res Data (Benchmark)'!$C$2:$R$1600,P$3,FALSE)*$X18)</f>
        <v>0</v>
      </c>
      <c r="Q18" s="1574">
        <f>IF(ISNA(VLOOKUP(CONCATENATE($C$5,'Eff (com)'!$H18),'Non-Res Data (Benchmark)'!$C$2:$R$1600,Q$3,FALSE)),0,VLOOKUP(CONCATENATE($C$5,'Eff (com)'!$H18),'Non-Res Data (Benchmark)'!$C$2:$R$1600,Q$3,FALSE))*$X18</f>
        <v>0</v>
      </c>
      <c r="R18" s="1574">
        <f>IF(ISNA(VLOOKUP(CONCATENATE($C$5,'Eff (com)'!$H18),'Non-Res Data (Benchmark)'!$C$2:$R$1600,R$3,FALSE)),0,VLOOKUP(CONCATENATE($C$5,'Eff (com)'!$H18),'Non-Res Data (Benchmark)'!$C$2:$R$1600,R$3,FALSE))*$X18</f>
        <v>0</v>
      </c>
      <c r="S18" s="1574">
        <f>IF(ISNA(VLOOKUP(CONCATENATE($C$5,'Eff (com)'!$H18),'Non-Res Data (Benchmark)'!$C$2:$R$1600,S$3,FALSE)),0,VLOOKUP(CONCATENATE($C$5,'Eff (com)'!$H18),'Non-Res Data (Benchmark)'!$C$2:$R$1600,S$3,FALSE))</f>
        <v>0</v>
      </c>
      <c r="T18" s="1574">
        <f>IF(ISNA(VLOOKUP(CONCATENATE($C$5,'Eff (com)'!$H18),'Non-Res Data (Benchmark)'!$C$2:$R$1600,T$3,FALSE)),0,VLOOKUP(CONCATENATE($C$5,'Eff (com)'!$H18),'Non-Res Data (Benchmark)'!$C$2:$R$1600,T$3,FALSE))*$X18</f>
        <v>0</v>
      </c>
      <c r="U18" s="1574">
        <f>IF(ISNA(VLOOKUP(CONCATENATE($C$5,'Eff (com)'!$H18),'Non-Res Data (Benchmark)'!$C$2:$R$1600,U$3,FALSE)),0,VLOOKUP(CONCATENATE($C$5,'Eff (com)'!$H18),'Non-Res Data (Benchmark)'!$C$2:$R$1600,U$3,FALSE))*$X18</f>
        <v>0</v>
      </c>
      <c r="V18" s="1574">
        <f>IF(ISNA(VLOOKUP(CONCATENATE($C$5,'Eff (com)'!$H18),'Non-Res Data (Benchmark)'!$C$2:$R$1600,V$3,FALSE)),0,VLOOKUP(CONCATENATE($C$5,'Eff (com)'!$H18),'Non-Res Data (Benchmark)'!$C$2:$R$1600,V$3,FALSE))*$X18</f>
        <v>0</v>
      </c>
      <c r="W18" s="1574">
        <f>IF(ISNA(VLOOKUP(CONCATENATE($C$5,'Eff (com)'!$H18),'Non-Res Data (Benchmark)'!$C$2:$R$1600,W$3,FALSE)),0,VLOOKUP(CONCATENATE($C$5,'Eff (com)'!$H18),'Non-Res Data (Benchmark)'!$C$2:$R$1600,W$3,FALSE))</f>
        <v>0</v>
      </c>
      <c r="X18" s="1669">
        <f>Heating_Degree_Days/IF(Population&lt;300,'NonResBuil Assumptions'!K14,IF(AND(Population&gt;300,Population&lt;1000),'NonResBuil Assumptions'!L14, IF(Population&gt;1000,'NonResBuil Assumptions'!M14)))</f>
        <v>1.0256474618611477</v>
      </c>
      <c r="Z18" s="124"/>
      <c r="AA18" s="946"/>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c r="BP18" s="125"/>
      <c r="BQ18" s="125"/>
      <c r="BR18" s="125"/>
      <c r="BS18" s="125"/>
      <c r="BT18" s="125"/>
    </row>
    <row r="19" spans="1:74">
      <c r="B19" s="137" t="s">
        <v>361</v>
      </c>
      <c r="C19" s="314" t="s">
        <v>271</v>
      </c>
      <c r="D19" s="315" t="s">
        <v>384</v>
      </c>
      <c r="E19" s="307"/>
      <c r="F19" s="306"/>
      <c r="G19" s="219"/>
      <c r="H19" s="1562" t="s">
        <v>951</v>
      </c>
      <c r="I19" s="1574">
        <f>IF(ISNA(VLOOKUP(CONCATENATE($C$5,'Eff (com)'!$H19),'Non-Res Data (Benchmark)'!$C$2:$R$1600,I$3,FALSE)),0,VLOOKUP(CONCATENATE($C$5,'Eff (com)'!$H19),'Non-Res Data (Benchmark)'!$C$2:$R$1600,I$3,FALSE))</f>
        <v>2</v>
      </c>
      <c r="J19" s="1574">
        <f>IF(ISNA(VLOOKUP(CONCATENATE($C$5,'Eff (com)'!$H19),'Non-Res Data (Benchmark)'!$C$2:$R$1600,J$3,FALSE)),0,VLOOKUP(CONCATENATE($C$5,'Eff (com)'!$H19),'Non-Res Data (Benchmark)'!$C$2:$R$1600,J$3,FALSE))</f>
        <v>2071.9572649572647</v>
      </c>
      <c r="K19" s="1574">
        <f>IF(ISNA(VLOOKUP(CONCATENATE($C$5,'Eff (com)'!$H19),'Non-Res Data (Benchmark)'!$C$2:$R$1600,K$3,FALSE)),0,VLOOKUP(CONCATENATE($C$5,'Eff (com)'!$H19),'Non-Res Data (Benchmark)'!$C$2:$R$1600,K$3,FALSE)*$X19)</f>
        <v>2859.2771617236613</v>
      </c>
      <c r="L19" s="1574">
        <f>IF(ISNA(VLOOKUP(CONCATENATE($C$5,'Eff (com)'!$H19),'Non-Res Data (Benchmark)'!$C$2:$R$1600,L$3,FALSE)),0,VLOOKUP(CONCATENATE($C$5,'Eff (com)'!$H19),'Non-Res Data (Benchmark)'!$C$2:$R$1600,L$3,FALSE)*$X19)</f>
        <v>0</v>
      </c>
      <c r="M19" s="1574">
        <f>IF(ISNA(VLOOKUP(CONCATENATE($C$5,'Eff (com)'!$H19),'Non-Res Data (Benchmark)'!$C$2:$R$1600,M$3,FALSE)),0,VLOOKUP(CONCATENATE($C$5,'Eff (com)'!$H19),'Non-Res Data (Benchmark)'!$C$2:$R$1600,M$3,FALSE))</f>
        <v>39092.579706606281</v>
      </c>
      <c r="N19" s="1574">
        <f>IF(ISNA(VLOOKUP(CONCATENATE($C$5,'Eff (com)'!$H19),'Non-Res Data (Benchmark)'!$C$2:$R$1600,N$3,FALSE)),0,VLOOKUP(CONCATENATE($C$5,'Eff (com)'!$H19),'Non-Res Data (Benchmark)'!$C$2:$R$1600,N$3,FALSE)*$X19)</f>
        <v>0</v>
      </c>
      <c r="O19" s="1574">
        <f>IF(ISNA(VLOOKUP(CONCATENATE($C$5,'Eff (com)'!$H19),'Non-Res Data (Benchmark)'!$C$2:$R$1600,O$3,FALSE)),0,VLOOKUP(CONCATENATE($C$5,'Eff (com)'!$H19),'Non-Res Data (Benchmark)'!$C$2:$R$1600,O$3,FALSE)*$X19)</f>
        <v>0</v>
      </c>
      <c r="P19" s="1574">
        <f>IF(ISNA(VLOOKUP(CONCATENATE($C$5,'Eff (com)'!$H19),'Non-Res Data (Benchmark)'!$C$2:$R$1600,P$3,FALSE)),0,VLOOKUP(CONCATENATE($C$5,'Eff (com)'!$H19),'Non-Res Data (Benchmark)'!$C$2:$R$1600,P$3,FALSE)*$X19)</f>
        <v>0</v>
      </c>
      <c r="Q19" s="1574">
        <f>IF(ISNA(VLOOKUP(CONCATENATE($C$5,'Eff (com)'!$H19),'Non-Res Data (Benchmark)'!$C$2:$R$1600,Q$3,FALSE)),0,VLOOKUP(CONCATENATE($C$5,'Eff (com)'!$H19),'Non-Res Data (Benchmark)'!$C$2:$R$1600,Q$3,FALSE))*$X19</f>
        <v>2115.8650996755091</v>
      </c>
      <c r="R19" s="1574">
        <f>IF(ISNA(VLOOKUP(CONCATENATE($C$5,'Eff (com)'!$H19),'Non-Res Data (Benchmark)'!$C$2:$R$1600,R$3,FALSE)),0,VLOOKUP(CONCATENATE($C$5,'Eff (com)'!$H19),'Non-Res Data (Benchmark)'!$C$2:$R$1600,R$3,FALSE))*$X19</f>
        <v>0</v>
      </c>
      <c r="S19" s="1574">
        <f>IF(ISNA(VLOOKUP(CONCATENATE($C$5,'Eff (com)'!$H19),'Non-Res Data (Benchmark)'!$C$2:$R$1600,S$3,FALSE)),0,VLOOKUP(CONCATENATE($C$5,'Eff (com)'!$H19),'Non-Res Data (Benchmark)'!$C$2:$R$1600,S$3,FALSE))</f>
        <v>28928.508982888648</v>
      </c>
      <c r="T19" s="1574">
        <f>IF(ISNA(VLOOKUP(CONCATENATE($C$5,'Eff (com)'!$H19),'Non-Res Data (Benchmark)'!$C$2:$R$1600,T$3,FALSE)),0,VLOOKUP(CONCATENATE($C$5,'Eff (com)'!$H19),'Non-Res Data (Benchmark)'!$C$2:$R$1600,T$3,FALSE))*$X19</f>
        <v>0</v>
      </c>
      <c r="U19" s="1574">
        <f>IF(ISNA(VLOOKUP(CONCATENATE($C$5,'Eff (com)'!$H19),'Non-Res Data (Benchmark)'!$C$2:$R$1600,U$3,FALSE)),0,VLOOKUP(CONCATENATE($C$5,'Eff (com)'!$H19),'Non-Res Data (Benchmark)'!$C$2:$R$1600,U$3,FALSE))*$X19</f>
        <v>0</v>
      </c>
      <c r="V19" s="1574">
        <f>IF(ISNA(VLOOKUP(CONCATENATE($C$5,'Eff (com)'!$H19),'Non-Res Data (Benchmark)'!$C$2:$R$1600,V$3,FALSE)),0,VLOOKUP(CONCATENATE($C$5,'Eff (com)'!$H19),'Non-Res Data (Benchmark)'!$C$2:$R$1600,V$3,FALSE))*$X19</f>
        <v>0</v>
      </c>
      <c r="W19" s="1574">
        <f>IF(ISNA(VLOOKUP(CONCATENATE($C$5,'Eff (com)'!$H19),'Non-Res Data (Benchmark)'!$C$2:$R$1600,W$3,FALSE)),0,VLOOKUP(CONCATENATE($C$5,'Eff (com)'!$H19),'Non-Res Data (Benchmark)'!$C$2:$R$1600,W$3,FALSE))</f>
        <v>14503.700854700854</v>
      </c>
      <c r="X19" s="1669">
        <f>Heating_Degree_Days/IF(Population&lt;300,'NonResBuil Assumptions'!K15,IF(AND(Population&gt;300,Population&lt;1000),'NonResBuil Assumptions'!L15, IF(Population&gt;1000,'NonResBuil Assumptions'!M15)))</f>
        <v>1.1008815383065469</v>
      </c>
      <c r="Y19" s="125"/>
      <c r="Z19" s="125"/>
      <c r="AA19" s="930"/>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18"/>
      <c r="BL19" s="118"/>
      <c r="BM19" s="118"/>
      <c r="BN19" s="118"/>
      <c r="BO19" s="118"/>
    </row>
    <row r="20" spans="1:74" ht="15.75" thickBot="1">
      <c r="B20" s="316" t="s">
        <v>362</v>
      </c>
      <c r="C20" s="208" t="s">
        <v>266</v>
      </c>
      <c r="D20" s="606">
        <f>IF(SUM(F67:BH67)&gt;0,SUM(F67:BH67)/COUNTIF(F67:BH67,"&gt;0"),0)</f>
        <v>176257.59065059896</v>
      </c>
      <c r="E20" s="121"/>
      <c r="F20" s="136"/>
      <c r="G20" s="219"/>
      <c r="H20" s="1560" t="s">
        <v>966</v>
      </c>
      <c r="I20" s="1575">
        <f t="shared" ref="I20:W20" si="0">SUM(I7:I19)</f>
        <v>11</v>
      </c>
      <c r="J20" s="1575">
        <f t="shared" si="0"/>
        <v>42381.957264957266</v>
      </c>
      <c r="K20" s="1575">
        <f t="shared" si="0"/>
        <v>25273.326392049068</v>
      </c>
      <c r="L20" s="1575">
        <f t="shared" si="0"/>
        <v>0</v>
      </c>
      <c r="M20" s="1575">
        <f t="shared" si="0"/>
        <v>162611.95998697213</v>
      </c>
      <c r="N20" s="1575">
        <f t="shared" si="0"/>
        <v>0</v>
      </c>
      <c r="O20" s="1575">
        <f t="shared" si="0"/>
        <v>0</v>
      </c>
      <c r="P20" s="1575">
        <f t="shared" si="0"/>
        <v>0</v>
      </c>
      <c r="Q20" s="1576">
        <f t="shared" si="0"/>
        <v>18702.261530116313</v>
      </c>
      <c r="R20" s="1815">
        <f t="shared" si="0"/>
        <v>0</v>
      </c>
      <c r="S20" s="1815">
        <f t="shared" si="0"/>
        <v>120332.85039035938</v>
      </c>
      <c r="T20" s="1815">
        <f t="shared" si="0"/>
        <v>0</v>
      </c>
      <c r="U20" s="1815">
        <f t="shared" si="0"/>
        <v>0</v>
      </c>
      <c r="V20" s="1575">
        <f t="shared" si="0"/>
        <v>0</v>
      </c>
      <c r="W20" s="1577">
        <f t="shared" si="0"/>
        <v>296673.70085470087</v>
      </c>
      <c r="X20" s="125"/>
      <c r="AA20" s="124"/>
      <c r="AB20" s="124"/>
      <c r="AC20" s="930"/>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c r="BP20" s="125"/>
      <c r="BQ20" s="125"/>
      <c r="BR20" s="125"/>
      <c r="BS20" s="125"/>
      <c r="BT20" s="125"/>
      <c r="BU20" s="125"/>
    </row>
    <row r="21" spans="1:74" ht="13.5" thickBot="1">
      <c r="B21" s="316" t="s">
        <v>362</v>
      </c>
      <c r="C21" s="209" t="s">
        <v>363</v>
      </c>
      <c r="D21" s="607">
        <f>SUM(F67:BH67)</f>
        <v>1762575.9065059896</v>
      </c>
      <c r="E21" s="121"/>
      <c r="H21" s="471"/>
      <c r="I21" s="471"/>
      <c r="J21" s="471"/>
      <c r="K21" s="471"/>
      <c r="L21" s="471"/>
      <c r="M21" s="471"/>
      <c r="N21" s="471"/>
      <c r="P21" s="1807" t="s">
        <v>2329</v>
      </c>
      <c r="Q21" s="471"/>
      <c r="R21" s="1807" t="s">
        <v>2329</v>
      </c>
      <c r="T21" s="1807" t="s">
        <v>2329</v>
      </c>
      <c r="U21" s="1807" t="s">
        <v>2329</v>
      </c>
      <c r="V21" s="1807" t="s">
        <v>2329</v>
      </c>
      <c r="W21" s="124"/>
      <c r="X21" s="930"/>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c r="BP21" s="125"/>
    </row>
    <row r="22" spans="1:74" ht="18.75">
      <c r="B22" s="316" t="s">
        <v>364</v>
      </c>
      <c r="C22" s="209" t="s">
        <v>268</v>
      </c>
      <c r="D22" s="606" t="e">
        <f>#REF!</f>
        <v>#REF!</v>
      </c>
      <c r="E22" s="121"/>
      <c r="H22" s="471"/>
      <c r="I22" s="471"/>
      <c r="J22" s="471"/>
      <c r="K22" s="471"/>
      <c r="L22" s="471"/>
      <c r="M22" s="471"/>
      <c r="N22" s="471"/>
      <c r="O22" s="471"/>
      <c r="P22" s="471"/>
      <c r="Q22" s="471"/>
      <c r="R22" s="471"/>
      <c r="U22" s="2020" t="s">
        <v>1155</v>
      </c>
      <c r="V22" s="2021"/>
      <c r="W22" s="2021"/>
      <c r="X22" s="2022"/>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c r="BP22" s="125"/>
    </row>
    <row r="23" spans="1:74" ht="12.75">
      <c r="B23" s="316" t="s">
        <v>364</v>
      </c>
      <c r="C23" s="209" t="s">
        <v>365</v>
      </c>
      <c r="D23" s="608" t="e">
        <f>D22*#REF!</f>
        <v>#REF!</v>
      </c>
      <c r="E23" s="121"/>
      <c r="G23" s="121"/>
      <c r="H23" s="471"/>
      <c r="I23" s="471"/>
      <c r="J23" s="471"/>
      <c r="K23" s="471"/>
      <c r="L23" s="471"/>
      <c r="M23" s="471"/>
      <c r="N23" s="471"/>
      <c r="O23" s="471"/>
      <c r="P23" s="471"/>
      <c r="Q23" s="471"/>
      <c r="R23" s="471"/>
      <c r="U23" s="524"/>
      <c r="V23" s="136" t="s">
        <v>1156</v>
      </c>
      <c r="W23" s="136" t="s">
        <v>1101</v>
      </c>
      <c r="X23" s="351" t="s">
        <v>1157</v>
      </c>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18"/>
      <c r="BO23" s="118"/>
    </row>
    <row r="24" spans="1:74" ht="19.5" thickBot="1">
      <c r="B24" s="128"/>
      <c r="D24" s="1385"/>
      <c r="E24" s="122"/>
      <c r="F24" s="1389"/>
      <c r="G24" s="145"/>
      <c r="H24" s="524"/>
      <c r="I24" s="2025" t="s">
        <v>1094</v>
      </c>
      <c r="J24" s="2025"/>
      <c r="K24" s="2025"/>
      <c r="L24" s="2025"/>
      <c r="M24" s="2025"/>
      <c r="N24" s="2025"/>
      <c r="O24" s="2025"/>
      <c r="P24" s="471"/>
      <c r="Q24" s="471"/>
      <c r="R24" s="471"/>
      <c r="U24" s="860" t="s">
        <v>1096</v>
      </c>
      <c r="V24" s="826"/>
      <c r="W24" s="645">
        <f>O32</f>
        <v>385866.48831908836</v>
      </c>
      <c r="X24" s="861"/>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18"/>
      <c r="BO24" s="118"/>
    </row>
    <row r="25" spans="1:74" ht="14.25" customHeight="1" thickBot="1">
      <c r="B25" s="128"/>
      <c r="C25" s="145"/>
      <c r="D25" s="317"/>
      <c r="E25" s="121"/>
      <c r="G25" s="121"/>
      <c r="H25" s="34"/>
      <c r="I25" s="1990" t="s">
        <v>1098</v>
      </c>
      <c r="J25" s="2013"/>
      <c r="K25" s="2013"/>
      <c r="L25" s="2014"/>
      <c r="M25" s="2023" t="s">
        <v>632</v>
      </c>
      <c r="N25" s="2024"/>
      <c r="O25" s="712" t="s">
        <v>633</v>
      </c>
      <c r="P25" s="471"/>
      <c r="Q25" s="471"/>
      <c r="R25" s="471"/>
      <c r="U25" s="860" t="s">
        <v>925</v>
      </c>
      <c r="V25" s="827">
        <f>L32</f>
        <v>33964.482002250646</v>
      </c>
      <c r="W25" s="827">
        <f>M32</f>
        <v>8830.7653205851675</v>
      </c>
      <c r="X25" s="862">
        <f>V25-W25</f>
        <v>25133.716681665479</v>
      </c>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18"/>
      <c r="BO25" s="118"/>
    </row>
    <row r="26" spans="1:74" ht="26.25" thickBot="1">
      <c r="B26" s="316"/>
      <c r="C26" s="209"/>
      <c r="D26" s="606"/>
      <c r="E26" s="121"/>
      <c r="G26" s="121"/>
      <c r="H26" s="947"/>
      <c r="I26" s="414" t="s">
        <v>834</v>
      </c>
      <c r="J26" s="415" t="s">
        <v>837</v>
      </c>
      <c r="K26" s="415" t="s">
        <v>779</v>
      </c>
      <c r="L26" s="455" t="s">
        <v>838</v>
      </c>
      <c r="M26" s="412" t="s">
        <v>709</v>
      </c>
      <c r="N26" s="465" t="s">
        <v>877</v>
      </c>
      <c r="O26" s="698" t="s">
        <v>688</v>
      </c>
      <c r="P26" s="846" t="s">
        <v>2097</v>
      </c>
      <c r="Q26" s="471"/>
      <c r="R26" s="471"/>
      <c r="U26" s="863" t="s">
        <v>583</v>
      </c>
      <c r="V26" s="864">
        <f>K32</f>
        <v>238185.9333116202</v>
      </c>
      <c r="W26" s="864">
        <f>N32</f>
        <v>61928.342661021248</v>
      </c>
      <c r="X26" s="865">
        <f>V26-W26</f>
        <v>176257.59065059896</v>
      </c>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18"/>
      <c r="BO26" s="118"/>
    </row>
    <row r="27" spans="1:74" ht="15" customHeight="1" thickBot="1">
      <c r="B27" s="318"/>
      <c r="C27" s="319"/>
      <c r="D27" s="609"/>
      <c r="E27" s="121"/>
      <c r="G27" s="121">
        <v>14</v>
      </c>
      <c r="H27" s="948" t="s">
        <v>1100</v>
      </c>
      <c r="I27" s="1563">
        <f>IF(VLOOKUP(Community_Name,'NonResBuil Assumptions'!O3:P226,2)-I20&gt;0,ROUND(VLOOKUP(Community_Name,'NonResBuil Assumptions'!O3:P226,2)-I20-2,0),0)</f>
        <v>8</v>
      </c>
      <c r="J27" s="1564">
        <f>$I27*IF(I20/I32&gt;0.4, AVERAGE(J7,J9:J19), INDEX('NonResBuil Assumptions'!$B$3:$J$16,'Eff (com)'!G27,'Eff (com)'!$F$5+6))</f>
        <v>9101.3048433048443</v>
      </c>
      <c r="K27" s="1565">
        <f>IF(I20/I32&gt;0.4,J27*SUM(M7,M10:M19)/SUM(J7,J10:J19),J27*INDEX('NonResBuil Assumptions'!$B$3:$J$16,'Eff (com)'!G27,'Eff (com)'!$F$5+3))</f>
        <v>75573.973324648076</v>
      </c>
      <c r="L27" s="1565">
        <f>IF(I20/I32&gt;0.4,J27*SUM(K7,K10:K19)/SUM(J7,J10:J19),J27*INDEX('NonResBuil Assumptions'!$B$3:$J$16,'Eff (com)'!G27,'Eff (com)'!$F$5)*P27)</f>
        <v>8691.155610201582</v>
      </c>
      <c r="M27" s="1566">
        <f>L27*0.26</f>
        <v>2259.7004586524113</v>
      </c>
      <c r="N27" s="1567">
        <f>K27*0.26</f>
        <v>19649.233064408501</v>
      </c>
      <c r="O27" s="1568">
        <f>J27*$S$44</f>
        <v>89192.787464387467</v>
      </c>
      <c r="P27" s="1668">
        <f>Heating_Degree_Days/IF(Population&lt;300,'NonResBuil Assumptions'!K16,IF(AND(Population&gt;300,Population&lt;1000),'NonResBuil Assumptions'!L16, IF(Population&gt;1000,'NonResBuil Assumptions'!M16)))</f>
        <v>1.0775430325193807</v>
      </c>
      <c r="Q27" s="471"/>
      <c r="R27" s="471"/>
      <c r="X27" s="125"/>
      <c r="Y27" s="930"/>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18"/>
    </row>
    <row r="28" spans="1:74" ht="15" customHeight="1" thickBot="1">
      <c r="B28" s="143"/>
      <c r="C28" s="143"/>
      <c r="D28" s="148"/>
      <c r="E28" s="121"/>
      <c r="G28" s="121"/>
      <c r="H28" s="943" t="s">
        <v>966</v>
      </c>
      <c r="I28" s="1569">
        <f>I27</f>
        <v>8</v>
      </c>
      <c r="J28" s="1408">
        <f t="shared" ref="J28:O28" si="1">SUM(J27)</f>
        <v>9101.3048433048443</v>
      </c>
      <c r="K28" s="1408">
        <f t="shared" si="1"/>
        <v>75573.973324648076</v>
      </c>
      <c r="L28" s="1408">
        <f t="shared" si="1"/>
        <v>8691.155610201582</v>
      </c>
      <c r="M28" s="1408">
        <f t="shared" si="1"/>
        <v>2259.7004586524113</v>
      </c>
      <c r="N28" s="1408">
        <f t="shared" si="1"/>
        <v>19649.233064408501</v>
      </c>
      <c r="O28" s="1408">
        <f t="shared" si="1"/>
        <v>89192.787464387467</v>
      </c>
      <c r="P28" s="471"/>
      <c r="Q28" s="471"/>
      <c r="R28" s="471"/>
      <c r="X28" s="125"/>
      <c r="Y28" s="930"/>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18"/>
    </row>
    <row r="29" spans="1:74" ht="15" customHeight="1">
      <c r="B29" s="149" t="s">
        <v>366</v>
      </c>
      <c r="C29" s="150" t="s">
        <v>271</v>
      </c>
      <c r="D29" s="312" t="s">
        <v>384</v>
      </c>
      <c r="E29" s="307"/>
      <c r="G29" s="121"/>
      <c r="H29" s="944"/>
      <c r="I29" s="841"/>
      <c r="J29" s="458"/>
      <c r="K29" s="441"/>
      <c r="L29" s="441"/>
      <c r="M29" s="840"/>
      <c r="N29" s="389"/>
      <c r="O29" s="459"/>
      <c r="P29" s="471"/>
      <c r="Q29" s="471"/>
      <c r="R29" s="471"/>
      <c r="S29" s="210"/>
      <c r="T29" s="210"/>
      <c r="X29" s="125"/>
      <c r="Y29" s="930"/>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18"/>
    </row>
    <row r="30" spans="1:74" ht="19.5" thickBot="1">
      <c r="B30" s="128" t="s">
        <v>6</v>
      </c>
      <c r="C30" s="138" t="s">
        <v>287</v>
      </c>
      <c r="D30" s="590">
        <f>W24</f>
        <v>385866.48831908836</v>
      </c>
      <c r="E30" s="121"/>
      <c r="G30" s="219"/>
      <c r="H30" s="524"/>
      <c r="I30" s="2026" t="s">
        <v>1099</v>
      </c>
      <c r="J30" s="2026"/>
      <c r="K30" s="2026"/>
      <c r="L30" s="2026"/>
      <c r="M30" s="2026"/>
      <c r="N30" s="2026"/>
      <c r="O30" s="2026"/>
      <c r="P30" s="471"/>
      <c r="Q30" s="471"/>
      <c r="R30" s="471"/>
      <c r="S30" s="717"/>
      <c r="T30" s="124"/>
      <c r="X30" s="125"/>
      <c r="Y30" s="930"/>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18"/>
    </row>
    <row r="31" spans="1:74" ht="25.5">
      <c r="B31" s="128" t="s">
        <v>286</v>
      </c>
      <c r="C31" s="138" t="s">
        <v>333</v>
      </c>
      <c r="D31" s="651">
        <v>2015</v>
      </c>
      <c r="E31" s="118"/>
      <c r="G31" s="219"/>
      <c r="H31" s="944"/>
      <c r="I31" s="713" t="s">
        <v>834</v>
      </c>
      <c r="J31" s="713" t="s">
        <v>837</v>
      </c>
      <c r="K31" s="713" t="s">
        <v>779</v>
      </c>
      <c r="L31" s="714" t="s">
        <v>838</v>
      </c>
      <c r="M31" s="713" t="s">
        <v>709</v>
      </c>
      <c r="N31" s="713" t="s">
        <v>877</v>
      </c>
      <c r="O31" s="715" t="s">
        <v>688</v>
      </c>
      <c r="P31" s="1587"/>
      <c r="Q31" s="700"/>
      <c r="R31" s="2015" t="s">
        <v>835</v>
      </c>
      <c r="S31" s="2016"/>
      <c r="X31" s="125"/>
      <c r="Y31" s="930"/>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18"/>
    </row>
    <row r="32" spans="1:74" ht="67.5" customHeight="1" thickBot="1">
      <c r="B32" s="128" t="s">
        <v>279</v>
      </c>
      <c r="C32" s="138" t="s">
        <v>280</v>
      </c>
      <c r="D32" s="664">
        <v>10</v>
      </c>
      <c r="E32" s="118"/>
      <c r="G32" s="121"/>
      <c r="H32" s="949" t="s">
        <v>966</v>
      </c>
      <c r="I32" s="1570">
        <f>I28+I20</f>
        <v>19</v>
      </c>
      <c r="J32" s="1570">
        <f>J28+J20</f>
        <v>51483.262108262112</v>
      </c>
      <c r="K32" s="1570">
        <f>K28+M20</f>
        <v>238185.9333116202</v>
      </c>
      <c r="L32" s="1570">
        <f>L28+K20</f>
        <v>33964.482002250646</v>
      </c>
      <c r="M32" s="1571">
        <f>M28+K20-Q20</f>
        <v>8830.7653205851675</v>
      </c>
      <c r="N32" s="1572">
        <f>N28+M20-S20</f>
        <v>61928.342661021248</v>
      </c>
      <c r="O32" s="1573">
        <f>O28+W20</f>
        <v>385866.48831908836</v>
      </c>
      <c r="P32" s="1588"/>
      <c r="Q32" s="693"/>
      <c r="R32" s="1586" t="s">
        <v>332</v>
      </c>
      <c r="S32" s="511" t="s">
        <v>836</v>
      </c>
      <c r="T32" s="938" t="s">
        <v>1154</v>
      </c>
      <c r="U32" s="136" t="s">
        <v>1216</v>
      </c>
      <c r="X32" s="125"/>
      <c r="Y32" s="930"/>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18"/>
    </row>
    <row r="33" spans="2:67" ht="12.75">
      <c r="B33" s="128" t="s">
        <v>367</v>
      </c>
      <c r="C33" s="151" t="s">
        <v>266</v>
      </c>
      <c r="D33" s="591">
        <f>W26</f>
        <v>61928.342661021248</v>
      </c>
      <c r="E33" s="118"/>
      <c r="Q33" s="842"/>
      <c r="R33" s="512" t="s">
        <v>728</v>
      </c>
      <c r="S33" s="513">
        <f t="shared" ref="S33:S42" si="2">T33*$U$33</f>
        <v>9.7999999999999989</v>
      </c>
      <c r="T33" s="939">
        <v>1.4</v>
      </c>
      <c r="U33" s="1203">
        <v>7</v>
      </c>
      <c r="X33" s="125"/>
      <c r="Y33" s="930"/>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18"/>
    </row>
    <row r="34" spans="2:67" ht="25.5">
      <c r="B34" s="128" t="s">
        <v>368</v>
      </c>
      <c r="C34" s="138" t="str">
        <f>IF(C7="Railbelt South of Alaska Range","mmBtu displaced per year", "gallons displaced per year")</f>
        <v>gallons displaced per year</v>
      </c>
      <c r="D34" s="592">
        <f>W25</f>
        <v>8830.7653205851675</v>
      </c>
      <c r="E34" s="118"/>
      <c r="Q34" s="217"/>
      <c r="R34" s="512" t="s">
        <v>729</v>
      </c>
      <c r="S34" s="513">
        <f t="shared" si="2"/>
        <v>12.6</v>
      </c>
      <c r="T34" s="940">
        <v>1.8</v>
      </c>
      <c r="X34" s="125"/>
      <c r="Y34" s="930"/>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18"/>
    </row>
    <row r="35" spans="2:67" ht="25.5">
      <c r="B35" s="128" t="s">
        <v>369</v>
      </c>
      <c r="C35" s="138" t="s">
        <v>315</v>
      </c>
      <c r="D35" s="593"/>
      <c r="E35" s="118"/>
      <c r="Q35" s="147"/>
      <c r="R35" s="512" t="s">
        <v>730</v>
      </c>
      <c r="S35" s="513">
        <f t="shared" si="2"/>
        <v>8.75</v>
      </c>
      <c r="T35" s="940">
        <v>1.25</v>
      </c>
      <c r="X35" s="125"/>
      <c r="Y35" s="930"/>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18"/>
    </row>
    <row r="36" spans="2:67" ht="25.5">
      <c r="B36" s="128" t="s">
        <v>321</v>
      </c>
      <c r="C36" s="152" t="s">
        <v>265</v>
      </c>
      <c r="D36" s="594"/>
      <c r="E36" s="118"/>
      <c r="Q36" s="124"/>
      <c r="R36" s="512" t="s">
        <v>731</v>
      </c>
      <c r="S36" s="513">
        <f t="shared" si="2"/>
        <v>7.7000000000000011</v>
      </c>
      <c r="T36" s="940">
        <v>1.1000000000000001</v>
      </c>
      <c r="V36" s="125"/>
      <c r="W36" s="125"/>
      <c r="X36" s="125"/>
      <c r="Y36" s="930"/>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18"/>
      <c r="BL36" s="118"/>
      <c r="BM36" s="118"/>
      <c r="BN36" s="118"/>
      <c r="BO36" s="118"/>
    </row>
    <row r="37" spans="2:67" ht="12.75">
      <c r="B37" s="128" t="s">
        <v>387</v>
      </c>
      <c r="C37" s="138" t="s">
        <v>388</v>
      </c>
      <c r="D37" s="596"/>
      <c r="E37" s="118"/>
      <c r="Q37" s="124"/>
      <c r="R37" s="512" t="s">
        <v>549</v>
      </c>
      <c r="S37" s="513">
        <f t="shared" si="2"/>
        <v>8.26</v>
      </c>
      <c r="T37" s="940">
        <v>1.18</v>
      </c>
      <c r="V37" s="125"/>
      <c r="W37" s="125"/>
      <c r="X37" s="125"/>
      <c r="Y37" s="930"/>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18"/>
      <c r="BM37" s="118"/>
      <c r="BN37" s="118"/>
      <c r="BO37" s="118"/>
    </row>
    <row r="38" spans="2:67" ht="25.5">
      <c r="B38" s="128" t="s">
        <v>389</v>
      </c>
      <c r="C38" s="138" t="s">
        <v>352</v>
      </c>
      <c r="D38" s="595"/>
      <c r="E38" s="118"/>
      <c r="Q38" s="124"/>
      <c r="R38" s="512" t="s">
        <v>732</v>
      </c>
      <c r="S38" s="513">
        <f t="shared" si="2"/>
        <v>11.200000000000001</v>
      </c>
      <c r="T38" s="940">
        <v>1.6</v>
      </c>
      <c r="V38" s="9"/>
      <c r="W38" s="125"/>
      <c r="X38" s="125"/>
      <c r="Y38" s="930"/>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18"/>
      <c r="BO38" s="118"/>
    </row>
    <row r="39" spans="2:67" ht="12.75">
      <c r="B39" s="128" t="s">
        <v>390</v>
      </c>
      <c r="C39" s="138" t="s">
        <v>392</v>
      </c>
      <c r="D39" s="597"/>
      <c r="E39" s="118"/>
      <c r="Q39" s="124"/>
      <c r="R39" s="512" t="s">
        <v>733</v>
      </c>
      <c r="S39" s="513">
        <f t="shared" si="2"/>
        <v>12.6</v>
      </c>
      <c r="T39" s="940">
        <v>1.8</v>
      </c>
      <c r="V39" s="9"/>
      <c r="W39" s="125"/>
      <c r="X39" s="125"/>
      <c r="Y39" s="930"/>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18"/>
      <c r="BO39" s="118"/>
    </row>
    <row r="40" spans="2:67" ht="13.5" thickBot="1">
      <c r="B40" s="134" t="s">
        <v>391</v>
      </c>
      <c r="C40" s="313" t="s">
        <v>352</v>
      </c>
      <c r="D40" s="598"/>
      <c r="E40" s="118"/>
      <c r="G40" s="219"/>
      <c r="Q40" s="136"/>
      <c r="R40" s="512" t="s">
        <v>734</v>
      </c>
      <c r="S40" s="513">
        <f t="shared" si="2"/>
        <v>11.9</v>
      </c>
      <c r="T40" s="940">
        <v>1.7</v>
      </c>
      <c r="V40" s="125"/>
      <c r="W40" s="125"/>
      <c r="X40" s="125"/>
      <c r="Y40" s="930"/>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18"/>
      <c r="BL40" s="118"/>
      <c r="BM40" s="118"/>
      <c r="BN40" s="118"/>
      <c r="BO40" s="118"/>
    </row>
    <row r="41" spans="2:67" ht="13.5" thickBot="1">
      <c r="B41" s="153"/>
      <c r="C41" s="154"/>
      <c r="D41" s="155"/>
      <c r="E41" s="118"/>
      <c r="F41" s="136"/>
      <c r="G41" s="219"/>
      <c r="P41" s="435"/>
      <c r="Q41" s="210"/>
      <c r="R41" s="512" t="s">
        <v>476</v>
      </c>
      <c r="S41" s="513">
        <f t="shared" si="2"/>
        <v>8.0499999999999989</v>
      </c>
      <c r="T41" s="940">
        <v>1.1499999999999999</v>
      </c>
      <c r="V41" s="125"/>
      <c r="W41" s="125"/>
      <c r="X41" s="125"/>
      <c r="Y41" s="930"/>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18"/>
      <c r="BJ41" s="118"/>
      <c r="BK41" s="118"/>
      <c r="BL41" s="118"/>
      <c r="BM41" s="118"/>
      <c r="BN41" s="118"/>
      <c r="BO41" s="118"/>
    </row>
    <row r="42" spans="2:67" ht="39.75" thickBot="1">
      <c r="B42" s="504" t="s">
        <v>327</v>
      </c>
      <c r="C42" s="505" t="s">
        <v>271</v>
      </c>
      <c r="D42" s="506" t="s">
        <v>272</v>
      </c>
      <c r="E42" s="118"/>
      <c r="G42" s="219"/>
      <c r="P42" s="711"/>
      <c r="Q42" s="124"/>
      <c r="R42" s="514" t="s">
        <v>736</v>
      </c>
      <c r="S42" s="513">
        <f t="shared" si="2"/>
        <v>9.7999999999999989</v>
      </c>
      <c r="T42" s="942">
        <v>1.4</v>
      </c>
      <c r="V42" s="125"/>
      <c r="W42" s="125"/>
      <c r="X42" s="125"/>
      <c r="Y42" s="930"/>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18"/>
      <c r="BL42" s="118"/>
      <c r="BM42" s="118"/>
      <c r="BN42" s="118"/>
      <c r="BO42" s="118"/>
    </row>
    <row r="43" spans="2:67" ht="13.5" thickBot="1">
      <c r="B43" s="311" t="s">
        <v>276</v>
      </c>
      <c r="C43" s="138" t="s">
        <v>265</v>
      </c>
      <c r="D43" s="599">
        <v>0.02</v>
      </c>
      <c r="E43" s="118"/>
      <c r="F43" s="159"/>
      <c r="G43" s="219"/>
      <c r="P43" s="386"/>
      <c r="Q43" s="435"/>
      <c r="U43" s="125"/>
      <c r="V43" s="125"/>
      <c r="W43" s="125"/>
      <c r="X43" s="125"/>
      <c r="Y43" s="930"/>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18"/>
      <c r="BN43" s="118"/>
      <c r="BO43" s="118"/>
    </row>
    <row r="44" spans="2:67" ht="26.25" thickBot="1">
      <c r="B44" s="507" t="s">
        <v>328</v>
      </c>
      <c r="C44" s="143" t="s">
        <v>281</v>
      </c>
      <c r="D44" s="614">
        <f>'Community data'!B21</f>
        <v>10.802351555020987</v>
      </c>
      <c r="E44" s="118"/>
      <c r="F44" s="159"/>
      <c r="G44" s="219"/>
      <c r="P44" s="121"/>
      <c r="Q44" s="435"/>
      <c r="R44" s="1234" t="s">
        <v>1220</v>
      </c>
      <c r="S44" s="1399">
        <f>VLOOKUP(Energy_Region,'Eff (com)'!R33:S42,2,FALSE)</f>
        <v>9.7999999999999989</v>
      </c>
      <c r="T44" s="125"/>
      <c r="U44" s="125"/>
      <c r="V44" s="125"/>
      <c r="W44" s="125"/>
      <c r="X44" s="125"/>
      <c r="Y44" s="930"/>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18"/>
      <c r="BN44" s="118"/>
      <c r="BO44" s="118"/>
    </row>
    <row r="45" spans="2:67" ht="15.75" thickBot="1">
      <c r="B45" s="161"/>
      <c r="C45" s="162"/>
      <c r="D45" s="163"/>
      <c r="E45" s="118"/>
      <c r="F45" s="136"/>
      <c r="G45" s="219"/>
      <c r="P45" s="136"/>
      <c r="Q45" s="136"/>
      <c r="R45" s="711"/>
      <c r="S45" s="711"/>
      <c r="T45" s="125"/>
      <c r="U45" s="125"/>
      <c r="V45" s="125"/>
      <c r="W45" s="125"/>
      <c r="X45" s="125"/>
      <c r="Y45" s="930"/>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18"/>
      <c r="BN45" s="118"/>
      <c r="BO45" s="118"/>
    </row>
    <row r="46" spans="2:67" ht="12.75">
      <c r="B46" s="126" t="s">
        <v>275</v>
      </c>
      <c r="C46" s="150" t="s">
        <v>271</v>
      </c>
      <c r="D46" s="310" t="s">
        <v>272</v>
      </c>
      <c r="E46" s="118"/>
      <c r="F46" s="159"/>
      <c r="G46" s="219">
        <v>8</v>
      </c>
      <c r="P46" s="136"/>
      <c r="Q46" s="136"/>
      <c r="R46" s="125"/>
      <c r="S46" s="125"/>
      <c r="T46" s="125"/>
      <c r="U46" s="125"/>
      <c r="V46" s="125"/>
      <c r="W46" s="125"/>
      <c r="X46" s="125"/>
      <c r="Y46" s="930"/>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18"/>
      <c r="BN46" s="118"/>
      <c r="BO46" s="118"/>
    </row>
    <row r="47" spans="2:67" ht="12.75">
      <c r="B47" s="311" t="s">
        <v>282</v>
      </c>
      <c r="C47" s="138" t="s">
        <v>269</v>
      </c>
      <c r="D47" s="601">
        <f>VLOOKUP(Energy_Region,Assumptions!$A$28:$B$38,2,FALSE)</f>
        <v>1.5507921943016665</v>
      </c>
      <c r="E47" s="118"/>
      <c r="F47" s="136"/>
      <c r="G47" s="219"/>
      <c r="P47" s="136"/>
      <c r="Q47" s="136"/>
      <c r="R47" s="125"/>
      <c r="S47" s="125"/>
      <c r="T47" s="125"/>
      <c r="U47" s="125"/>
      <c r="V47" s="125"/>
      <c r="W47" s="125"/>
      <c r="X47" s="125"/>
      <c r="Y47" s="930"/>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18"/>
      <c r="BN47" s="118"/>
      <c r="BO47" s="118"/>
    </row>
    <row r="48" spans="2:67" ht="12.75">
      <c r="B48" s="128" t="s">
        <v>370</v>
      </c>
      <c r="C48" s="138" t="s">
        <v>269</v>
      </c>
      <c r="D48" s="602">
        <f>Assumptions!B26</f>
        <v>0</v>
      </c>
      <c r="E48" s="118"/>
      <c r="F48" s="159"/>
      <c r="G48" s="219"/>
      <c r="P48" s="136"/>
      <c r="Q48" s="136"/>
      <c r="R48" s="125"/>
      <c r="S48" s="125"/>
      <c r="T48" s="125"/>
      <c r="U48" s="125"/>
      <c r="V48" s="125"/>
      <c r="W48" s="125"/>
      <c r="X48" s="125"/>
      <c r="Y48" s="930"/>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18"/>
      <c r="BN48" s="118"/>
      <c r="BO48" s="118"/>
    </row>
    <row r="49" spans="2:67" ht="12.75">
      <c r="B49" s="128" t="s">
        <v>1</v>
      </c>
      <c r="C49" s="138" t="s">
        <v>273</v>
      </c>
      <c r="D49" s="603">
        <v>0.03</v>
      </c>
      <c r="E49" s="118"/>
      <c r="F49" s="136"/>
      <c r="G49" s="219"/>
      <c r="P49" s="136"/>
      <c r="Q49" s="136"/>
      <c r="R49" s="125"/>
      <c r="S49" s="125"/>
      <c r="T49" s="125"/>
      <c r="U49" s="125"/>
      <c r="V49" s="125"/>
      <c r="W49" s="125"/>
      <c r="X49" s="125"/>
      <c r="Y49" s="930"/>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18"/>
      <c r="BN49" s="118"/>
      <c r="BO49" s="118"/>
    </row>
    <row r="50" spans="2:67" ht="12.75">
      <c r="B50" s="128" t="s">
        <v>317</v>
      </c>
      <c r="C50" s="151" t="s">
        <v>319</v>
      </c>
      <c r="D50" s="684" t="s">
        <v>355</v>
      </c>
      <c r="E50" s="118"/>
      <c r="F50" s="159"/>
      <c r="G50" s="220"/>
      <c r="P50" s="121"/>
      <c r="Q50" s="435"/>
      <c r="R50" s="125"/>
      <c r="S50" s="125"/>
      <c r="T50" s="125"/>
      <c r="U50" s="125"/>
      <c r="V50" s="125"/>
      <c r="W50" s="125"/>
      <c r="X50" s="125"/>
      <c r="Y50" s="930"/>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18"/>
      <c r="BN50" s="118"/>
      <c r="BO50" s="118"/>
    </row>
    <row r="51" spans="2:67" ht="13.5" thickBot="1">
      <c r="B51" s="134" t="s">
        <v>1329</v>
      </c>
      <c r="C51" s="165"/>
      <c r="D51" s="604"/>
      <c r="E51" s="121"/>
      <c r="F51" s="136"/>
      <c r="G51" s="220"/>
      <c r="P51" s="379"/>
      <c r="Q51" s="950"/>
      <c r="R51" s="381"/>
      <c r="S51" s="381"/>
      <c r="T51" s="381"/>
      <c r="U51" s="381"/>
      <c r="V51" s="381"/>
      <c r="W51" s="381"/>
      <c r="X51" s="381"/>
      <c r="Y51" s="951"/>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18"/>
      <c r="BN51" s="118"/>
      <c r="BO51" s="118"/>
    </row>
    <row r="52" spans="2:67" ht="12.75">
      <c r="C52" s="166"/>
      <c r="D52" s="121"/>
      <c r="E52" s="121"/>
      <c r="F52" s="121"/>
      <c r="P52" s="121"/>
      <c r="Q52" s="435"/>
      <c r="R52" s="121"/>
      <c r="S52" s="121"/>
      <c r="T52" s="121"/>
      <c r="U52" s="121"/>
      <c r="V52" s="121"/>
      <c r="W52" s="121"/>
      <c r="X52" s="121"/>
      <c r="Y52" s="121"/>
      <c r="Z52" s="121"/>
      <c r="AA52" s="121"/>
      <c r="AB52" s="121"/>
      <c r="AC52" s="121"/>
      <c r="AD52" s="121"/>
      <c r="BM52" s="118"/>
      <c r="BN52" s="118"/>
      <c r="BO52" s="118"/>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167">
        <v>20</v>
      </c>
      <c r="T53" s="167">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BH54" si="3">F54+1</f>
        <v>2015</v>
      </c>
      <c r="H54" s="171">
        <f t="shared" si="3"/>
        <v>2016</v>
      </c>
      <c r="I54" s="171">
        <f t="shared" si="3"/>
        <v>2017</v>
      </c>
      <c r="J54" s="171">
        <f t="shared" si="3"/>
        <v>2018</v>
      </c>
      <c r="K54" s="171">
        <f t="shared" si="3"/>
        <v>2019</v>
      </c>
      <c r="L54" s="171">
        <f t="shared" si="3"/>
        <v>2020</v>
      </c>
      <c r="M54" s="171">
        <f t="shared" si="3"/>
        <v>2021</v>
      </c>
      <c r="N54" s="171">
        <f t="shared" si="3"/>
        <v>2022</v>
      </c>
      <c r="O54" s="171">
        <f t="shared" si="3"/>
        <v>2023</v>
      </c>
      <c r="P54" s="171">
        <f t="shared" si="3"/>
        <v>2024</v>
      </c>
      <c r="Q54" s="171">
        <f t="shared" si="3"/>
        <v>2025</v>
      </c>
      <c r="R54" s="171">
        <f t="shared" si="3"/>
        <v>2026</v>
      </c>
      <c r="S54" s="306">
        <f>R54+1</f>
        <v>2027</v>
      </c>
      <c r="T54" s="306">
        <f>S54+1</f>
        <v>2028</v>
      </c>
      <c r="U54" s="306">
        <f>T54+1</f>
        <v>2029</v>
      </c>
      <c r="V54" s="306">
        <f t="shared" si="3"/>
        <v>2030</v>
      </c>
      <c r="W54" s="306">
        <f t="shared" si="3"/>
        <v>2031</v>
      </c>
      <c r="X54" s="306">
        <f t="shared" si="3"/>
        <v>2032</v>
      </c>
      <c r="Y54" s="306">
        <f t="shared" si="3"/>
        <v>2033</v>
      </c>
      <c r="Z54" s="306">
        <f t="shared" si="3"/>
        <v>2034</v>
      </c>
      <c r="AA54" s="306">
        <f t="shared" si="3"/>
        <v>2035</v>
      </c>
      <c r="AB54" s="306">
        <f t="shared" si="3"/>
        <v>2036</v>
      </c>
      <c r="AC54" s="306">
        <f t="shared" si="3"/>
        <v>2037</v>
      </c>
      <c r="AD54" s="306">
        <f t="shared" si="3"/>
        <v>2038</v>
      </c>
      <c r="AE54" s="306">
        <f t="shared" si="3"/>
        <v>2039</v>
      </c>
      <c r="AF54" s="306">
        <f t="shared" si="3"/>
        <v>2040</v>
      </c>
      <c r="AG54" s="306">
        <f t="shared" si="3"/>
        <v>2041</v>
      </c>
      <c r="AH54" s="306">
        <f t="shared" si="3"/>
        <v>2042</v>
      </c>
      <c r="AI54" s="306">
        <f t="shared" si="3"/>
        <v>2043</v>
      </c>
      <c r="AJ54" s="306">
        <f t="shared" si="3"/>
        <v>2044</v>
      </c>
      <c r="AK54" s="306">
        <f t="shared" si="3"/>
        <v>2045</v>
      </c>
      <c r="AL54" s="306">
        <f t="shared" si="3"/>
        <v>2046</v>
      </c>
      <c r="AM54" s="306">
        <f t="shared" si="3"/>
        <v>2047</v>
      </c>
      <c r="AN54" s="306">
        <f t="shared" si="3"/>
        <v>2048</v>
      </c>
      <c r="AO54" s="306">
        <f t="shared" si="3"/>
        <v>2049</v>
      </c>
      <c r="AP54" s="306">
        <f t="shared" si="3"/>
        <v>2050</v>
      </c>
      <c r="AQ54" s="306">
        <f t="shared" si="3"/>
        <v>2051</v>
      </c>
      <c r="AR54" s="306">
        <f t="shared" si="3"/>
        <v>2052</v>
      </c>
      <c r="AS54" s="306">
        <f t="shared" si="3"/>
        <v>2053</v>
      </c>
      <c r="AT54" s="306">
        <f t="shared" si="3"/>
        <v>2054</v>
      </c>
      <c r="AU54" s="306">
        <f t="shared" si="3"/>
        <v>2055</v>
      </c>
      <c r="AV54" s="306">
        <f t="shared" si="3"/>
        <v>2056</v>
      </c>
      <c r="AW54" s="306">
        <f t="shared" si="3"/>
        <v>2057</v>
      </c>
      <c r="AX54" s="306">
        <f t="shared" si="3"/>
        <v>2058</v>
      </c>
      <c r="AY54" s="306">
        <f t="shared" si="3"/>
        <v>2059</v>
      </c>
      <c r="AZ54" s="306">
        <f t="shared" si="3"/>
        <v>2060</v>
      </c>
      <c r="BA54" s="306">
        <f t="shared" si="3"/>
        <v>2061</v>
      </c>
      <c r="BB54" s="306">
        <f t="shared" si="3"/>
        <v>2062</v>
      </c>
      <c r="BC54" s="306">
        <f t="shared" si="3"/>
        <v>2063</v>
      </c>
      <c r="BD54" s="306">
        <f t="shared" si="3"/>
        <v>2064</v>
      </c>
      <c r="BE54" s="306">
        <f t="shared" si="3"/>
        <v>2065</v>
      </c>
      <c r="BF54" s="306">
        <f t="shared" si="3"/>
        <v>2066</v>
      </c>
      <c r="BG54" s="306">
        <f t="shared" si="3"/>
        <v>2067</v>
      </c>
      <c r="BH54" s="306">
        <f t="shared" si="3"/>
        <v>2068</v>
      </c>
      <c r="BI54" s="695" t="s">
        <v>4</v>
      </c>
      <c r="BJ54" s="121"/>
      <c r="BK54" s="121"/>
      <c r="BL54" s="121"/>
      <c r="BM54" s="121"/>
      <c r="BN54" s="121"/>
      <c r="BO54" s="121"/>
    </row>
    <row r="55" spans="2:67" ht="12.75">
      <c r="C55" s="172"/>
      <c r="D55" s="173" t="s">
        <v>274</v>
      </c>
      <c r="E55" s="121" t="s">
        <v>264</v>
      </c>
      <c r="F55" s="174">
        <v>0</v>
      </c>
      <c r="G55" s="174">
        <f>IF(AND(G$54&gt;=$D$31,G$54&lt;=($D$31+$D$32)),-PMT(0.05,$D$32,$D$30)*'Fuel Price Worksheet'!G23,0)</f>
        <v>49971.475563176886</v>
      </c>
      <c r="H55" s="174">
        <f>IF(AND(H$54&gt;=$D$31,H$54&lt;=($D$31+$D$32)),-PMT(0.05,$D$32,$D$30)*'Fuel Price Worksheet'!H23,0)</f>
        <v>48800.269104664927</v>
      </c>
      <c r="I55" s="174">
        <f>IF(AND(I$54&gt;=$D$31,I$54&lt;=($D$31+$D$32)),-PMT(0.05,$D$32,$D$30)*'Fuel Price Worksheet'!I23,0)</f>
        <v>47656.512797524338</v>
      </c>
      <c r="J55" s="174">
        <f>IF(AND(J$54&gt;=$D$31,J$54&lt;=($D$31+$D$32)),-PMT(0.05,$D$32,$D$30)*'Fuel Price Worksheet'!J23,0)</f>
        <v>46539.563278832349</v>
      </c>
      <c r="K55" s="174">
        <f>IF(AND(K$54&gt;=$D$31,K$54&lt;=($D$31+$D$32)),-PMT(0.05,$D$32,$D$30)*'Fuel Price Worksheet'!K23,0)</f>
        <v>45448.792264484713</v>
      </c>
      <c r="L55" s="174">
        <f>IF(AND(L$54&gt;=$D$31,L$54&lt;=($D$31+$D$32)),-PMT(0.05,$D$32,$D$30)*'Fuel Price Worksheet'!L23,0)</f>
        <v>44383.58619578588</v>
      </c>
      <c r="M55" s="174">
        <f>IF(AND(M$54&gt;=$D$31,M$54&lt;=($D$31+$D$32)),-PMT(0.05,$D$32,$D$30)*'Fuel Price Worksheet'!M23,0)</f>
        <v>43343.345894322214</v>
      </c>
      <c r="N55" s="174">
        <f>IF(AND(N$54&gt;=$D$31,N$54&lt;=($D$31+$D$32)),-PMT(0.05,$D$32,$D$30)*'Fuel Price Worksheet'!N23,0)</f>
        <v>42327.486224924134</v>
      </c>
      <c r="O55" s="174">
        <f>IF(AND(O$54&gt;=$D$31,O$54&lt;=($D$31+$D$32)),-PMT(0.05,$D$32,$D$30)*'Fuel Price Worksheet'!O23,0)</f>
        <v>41335.435766527611</v>
      </c>
      <c r="P55" s="174">
        <f>IF(AND(P$54&gt;=$D$31,P$54&lt;=($D$31+$D$32)),-PMT(0.05,$D$32,$D$30)*'Fuel Price Worksheet'!P23,0)</f>
        <v>40366.636490749785</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374975.5578102555</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IF(AND(F$54&gt;=$D$31,F$54&lt;+($D$31+$D$32)),F75-F70,0)</f>
        <v>0</v>
      </c>
      <c r="G57" s="178">
        <f>IF(AND(G$54&gt;=$D$31,G$54&lt;+($D$31+$D$32)),G75-G70,0)</f>
        <v>40145.037757147024</v>
      </c>
      <c r="H57" s="178">
        <f t="shared" ref="H57:BH57" si="4">IF(AND(H$54&gt;=$D$31,H$54&lt;+($D$31+$D$32)),H75-H70,0)</f>
        <v>42823.979032734853</v>
      </c>
      <c r="I57" s="178">
        <f t="shared" si="4"/>
        <v>43766.121949203058</v>
      </c>
      <c r="J57" s="178">
        <f t="shared" si="4"/>
        <v>43835.03031014069</v>
      </c>
      <c r="K57" s="178">
        <f t="shared" si="4"/>
        <v>44156.020662572235</v>
      </c>
      <c r="L57" s="178">
        <f t="shared" si="4"/>
        <v>44478.685381077048</v>
      </c>
      <c r="M57" s="178">
        <f t="shared" si="4"/>
        <v>44915.909969771317</v>
      </c>
      <c r="N57" s="178">
        <f t="shared" si="4"/>
        <v>45384.589698854739</v>
      </c>
      <c r="O57" s="178">
        <f t="shared" si="4"/>
        <v>45870.011306687709</v>
      </c>
      <c r="P57" s="178">
        <f t="shared" si="4"/>
        <v>46365.725933514172</v>
      </c>
      <c r="Q57" s="178">
        <f t="shared" si="4"/>
        <v>0</v>
      </c>
      <c r="R57" s="178">
        <f t="shared" si="4"/>
        <v>0</v>
      </c>
      <c r="S57" s="178">
        <f t="shared" si="4"/>
        <v>0</v>
      </c>
      <c r="T57" s="178">
        <f t="shared" si="4"/>
        <v>0</v>
      </c>
      <c r="U57" s="178">
        <f t="shared" si="4"/>
        <v>0</v>
      </c>
      <c r="V57" s="178">
        <f t="shared" si="4"/>
        <v>0</v>
      </c>
      <c r="W57" s="178">
        <f t="shared" si="4"/>
        <v>0</v>
      </c>
      <c r="X57" s="178">
        <f t="shared" si="4"/>
        <v>0</v>
      </c>
      <c r="Y57" s="178">
        <f t="shared" si="4"/>
        <v>0</v>
      </c>
      <c r="Z57" s="178">
        <f t="shared" si="4"/>
        <v>0</v>
      </c>
      <c r="AA57" s="178">
        <f t="shared" si="4"/>
        <v>0</v>
      </c>
      <c r="AB57" s="178">
        <f t="shared" si="4"/>
        <v>0</v>
      </c>
      <c r="AC57" s="178">
        <f t="shared" si="4"/>
        <v>0</v>
      </c>
      <c r="AD57" s="178">
        <f t="shared" si="4"/>
        <v>0</v>
      </c>
      <c r="AE57" s="178">
        <f t="shared" si="4"/>
        <v>0</v>
      </c>
      <c r="AF57" s="178">
        <f t="shared" si="4"/>
        <v>0</v>
      </c>
      <c r="AG57" s="178">
        <f t="shared" si="4"/>
        <v>0</v>
      </c>
      <c r="AH57" s="178">
        <f t="shared" si="4"/>
        <v>0</v>
      </c>
      <c r="AI57" s="178">
        <f t="shared" si="4"/>
        <v>0</v>
      </c>
      <c r="AJ57" s="178">
        <f t="shared" si="4"/>
        <v>0</v>
      </c>
      <c r="AK57" s="178">
        <f t="shared" si="4"/>
        <v>0</v>
      </c>
      <c r="AL57" s="178">
        <f t="shared" si="4"/>
        <v>0</v>
      </c>
      <c r="AM57" s="178">
        <f t="shared" si="4"/>
        <v>0</v>
      </c>
      <c r="AN57" s="178">
        <f t="shared" si="4"/>
        <v>0</v>
      </c>
      <c r="AO57" s="178">
        <f t="shared" si="4"/>
        <v>0</v>
      </c>
      <c r="AP57" s="178">
        <f t="shared" si="4"/>
        <v>0</v>
      </c>
      <c r="AQ57" s="178">
        <f t="shared" si="4"/>
        <v>0</v>
      </c>
      <c r="AR57" s="178">
        <f t="shared" si="4"/>
        <v>0</v>
      </c>
      <c r="AS57" s="178">
        <f t="shared" si="4"/>
        <v>0</v>
      </c>
      <c r="AT57" s="178">
        <f t="shared" si="4"/>
        <v>0</v>
      </c>
      <c r="AU57" s="178">
        <f t="shared" si="4"/>
        <v>0</v>
      </c>
      <c r="AV57" s="178">
        <f t="shared" si="4"/>
        <v>0</v>
      </c>
      <c r="AW57" s="178">
        <f t="shared" si="4"/>
        <v>0</v>
      </c>
      <c r="AX57" s="178">
        <f t="shared" si="4"/>
        <v>0</v>
      </c>
      <c r="AY57" s="178">
        <f t="shared" si="4"/>
        <v>0</v>
      </c>
      <c r="AZ57" s="178">
        <f t="shared" si="4"/>
        <v>0</v>
      </c>
      <c r="BA57" s="178">
        <f t="shared" si="4"/>
        <v>0</v>
      </c>
      <c r="BB57" s="178">
        <f t="shared" si="4"/>
        <v>0</v>
      </c>
      <c r="BC57" s="178">
        <f t="shared" si="4"/>
        <v>0</v>
      </c>
      <c r="BD57" s="178">
        <f t="shared" si="4"/>
        <v>0</v>
      </c>
      <c r="BE57" s="178">
        <f t="shared" si="4"/>
        <v>0</v>
      </c>
      <c r="BF57" s="178">
        <f t="shared" si="4"/>
        <v>0</v>
      </c>
      <c r="BG57" s="178">
        <f t="shared" si="4"/>
        <v>0</v>
      </c>
      <c r="BH57" s="178">
        <f t="shared" si="4"/>
        <v>0</v>
      </c>
      <c r="BI57" s="175">
        <f>NPV($D$49,F57:BH57)</f>
        <v>364741.61019680678</v>
      </c>
      <c r="BJ57" s="121"/>
      <c r="BK57" s="121"/>
      <c r="BL57" s="121"/>
      <c r="BM57" s="121"/>
      <c r="BN57" s="121"/>
      <c r="BO57" s="121"/>
    </row>
    <row r="58" spans="2:67" ht="12.75">
      <c r="C58" s="177"/>
      <c r="D58" s="136" t="s">
        <v>626</v>
      </c>
      <c r="E58" s="121" t="s">
        <v>264</v>
      </c>
      <c r="F58" s="178">
        <f>IF(AND(F$54&gt;=$D$31,F$54&lt;+($D$31+$D$32)),F106-F90,0)</f>
        <v>0</v>
      </c>
      <c r="G58" s="178">
        <f t="shared" ref="G58:AL58" si="5">IF(AND(G$54&gt;=$D$31,G$54&lt;+($D$31+$D$32)),G106,0)</f>
        <v>37142.017219760935</v>
      </c>
      <c r="H58" s="178">
        <f t="shared" si="5"/>
        <v>41268.59833736757</v>
      </c>
      <c r="I58" s="178">
        <f t="shared" si="5"/>
        <v>42719.854176610053</v>
      </c>
      <c r="J58" s="178">
        <f t="shared" si="5"/>
        <v>42825.999071864615</v>
      </c>
      <c r="K58" s="178">
        <f t="shared" si="5"/>
        <v>43320.445418766045</v>
      </c>
      <c r="L58" s="178">
        <f t="shared" si="5"/>
        <v>43817.470921651577</v>
      </c>
      <c r="M58" s="178">
        <f t="shared" si="5"/>
        <v>44490.961881793351</v>
      </c>
      <c r="N58" s="178">
        <f t="shared" si="5"/>
        <v>45212.905635419011</v>
      </c>
      <c r="O58" s="178">
        <f t="shared" si="5"/>
        <v>45960.63820395853</v>
      </c>
      <c r="P58" s="178">
        <f t="shared" si="5"/>
        <v>46724.22590833428</v>
      </c>
      <c r="Q58" s="178">
        <f t="shared" si="5"/>
        <v>0</v>
      </c>
      <c r="R58" s="178">
        <f t="shared" si="5"/>
        <v>0</v>
      </c>
      <c r="S58" s="178">
        <f t="shared" si="5"/>
        <v>0</v>
      </c>
      <c r="T58" s="178">
        <f t="shared" si="5"/>
        <v>0</v>
      </c>
      <c r="U58" s="178">
        <f t="shared" si="5"/>
        <v>0</v>
      </c>
      <c r="V58" s="178">
        <f t="shared" si="5"/>
        <v>0</v>
      </c>
      <c r="W58" s="178">
        <f t="shared" si="5"/>
        <v>0</v>
      </c>
      <c r="X58" s="178">
        <f t="shared" si="5"/>
        <v>0</v>
      </c>
      <c r="Y58" s="178">
        <f t="shared" si="5"/>
        <v>0</v>
      </c>
      <c r="Z58" s="178">
        <f t="shared" si="5"/>
        <v>0</v>
      </c>
      <c r="AA58" s="178">
        <f t="shared" si="5"/>
        <v>0</v>
      </c>
      <c r="AB58" s="178">
        <f t="shared" si="5"/>
        <v>0</v>
      </c>
      <c r="AC58" s="178">
        <f t="shared" si="5"/>
        <v>0</v>
      </c>
      <c r="AD58" s="178">
        <f t="shared" si="5"/>
        <v>0</v>
      </c>
      <c r="AE58" s="178">
        <f t="shared" si="5"/>
        <v>0</v>
      </c>
      <c r="AF58" s="178">
        <f t="shared" si="5"/>
        <v>0</v>
      </c>
      <c r="AG58" s="178">
        <f t="shared" si="5"/>
        <v>0</v>
      </c>
      <c r="AH58" s="178">
        <f t="shared" si="5"/>
        <v>0</v>
      </c>
      <c r="AI58" s="178">
        <f t="shared" si="5"/>
        <v>0</v>
      </c>
      <c r="AJ58" s="178">
        <f t="shared" si="5"/>
        <v>0</v>
      </c>
      <c r="AK58" s="178">
        <f t="shared" si="5"/>
        <v>0</v>
      </c>
      <c r="AL58" s="178">
        <f t="shared" si="5"/>
        <v>0</v>
      </c>
      <c r="AM58" s="178">
        <f t="shared" ref="AM58:BH58" si="6">IF(AND(AM$54&gt;=$D$31,AM$54&lt;+($D$31+$D$32)),AM106,0)</f>
        <v>0</v>
      </c>
      <c r="AN58" s="178">
        <f t="shared" si="6"/>
        <v>0</v>
      </c>
      <c r="AO58" s="178">
        <f t="shared" si="6"/>
        <v>0</v>
      </c>
      <c r="AP58" s="178">
        <f t="shared" si="6"/>
        <v>0</v>
      </c>
      <c r="AQ58" s="178">
        <f t="shared" si="6"/>
        <v>0</v>
      </c>
      <c r="AR58" s="178">
        <f t="shared" si="6"/>
        <v>0</v>
      </c>
      <c r="AS58" s="178">
        <f t="shared" si="6"/>
        <v>0</v>
      </c>
      <c r="AT58" s="178">
        <f t="shared" si="6"/>
        <v>0</v>
      </c>
      <c r="AU58" s="178">
        <f t="shared" si="6"/>
        <v>0</v>
      </c>
      <c r="AV58" s="178">
        <f t="shared" si="6"/>
        <v>0</v>
      </c>
      <c r="AW58" s="178">
        <f t="shared" si="6"/>
        <v>0</v>
      </c>
      <c r="AX58" s="178">
        <f t="shared" si="6"/>
        <v>0</v>
      </c>
      <c r="AY58" s="178">
        <f t="shared" si="6"/>
        <v>0</v>
      </c>
      <c r="AZ58" s="178">
        <f t="shared" si="6"/>
        <v>0</v>
      </c>
      <c r="BA58" s="178">
        <f t="shared" si="6"/>
        <v>0</v>
      </c>
      <c r="BB58" s="178">
        <f t="shared" si="6"/>
        <v>0</v>
      </c>
      <c r="BC58" s="178">
        <f t="shared" si="6"/>
        <v>0</v>
      </c>
      <c r="BD58" s="178">
        <f t="shared" si="6"/>
        <v>0</v>
      </c>
      <c r="BE58" s="178">
        <f t="shared" si="6"/>
        <v>0</v>
      </c>
      <c r="BF58" s="178">
        <f t="shared" si="6"/>
        <v>0</v>
      </c>
      <c r="BG58" s="178">
        <f t="shared" si="6"/>
        <v>0</v>
      </c>
      <c r="BH58" s="178">
        <f t="shared" si="6"/>
        <v>0</v>
      </c>
      <c r="BI58" s="175">
        <f>NPV($D$49,F58:BH58)</f>
        <v>357309.56155079126</v>
      </c>
      <c r="BJ58" s="121"/>
      <c r="BK58" s="121"/>
      <c r="BL58" s="121"/>
      <c r="BM58" s="121"/>
      <c r="BN58" s="121"/>
      <c r="BO58" s="121"/>
    </row>
    <row r="59" spans="2:67" ht="12.75">
      <c r="C59" s="177"/>
      <c r="D59" s="179" t="s">
        <v>627</v>
      </c>
      <c r="E59" s="180" t="s">
        <v>264</v>
      </c>
      <c r="F59" s="178">
        <f t="shared" ref="F59:BH59" si="7">F57+F58</f>
        <v>0</v>
      </c>
      <c r="G59" s="178">
        <f t="shared" si="7"/>
        <v>77287.054976907966</v>
      </c>
      <c r="H59" s="178">
        <f t="shared" si="7"/>
        <v>84092.57737010243</v>
      </c>
      <c r="I59" s="178">
        <f t="shared" si="7"/>
        <v>86485.976125813118</v>
      </c>
      <c r="J59" s="178">
        <f t="shared" si="7"/>
        <v>86661.029382005305</v>
      </c>
      <c r="K59" s="178">
        <f t="shared" si="7"/>
        <v>87476.46608133828</v>
      </c>
      <c r="L59" s="178">
        <f t="shared" si="7"/>
        <v>88296.156302728632</v>
      </c>
      <c r="M59" s="178">
        <f t="shared" si="7"/>
        <v>89406.871851564676</v>
      </c>
      <c r="N59" s="178">
        <f t="shared" si="7"/>
        <v>90597.495334273757</v>
      </c>
      <c r="O59" s="178">
        <f t="shared" si="7"/>
        <v>91830.649510646239</v>
      </c>
      <c r="P59" s="178">
        <f t="shared" si="7"/>
        <v>93089.951841848451</v>
      </c>
      <c r="Q59" s="178">
        <f t="shared" si="7"/>
        <v>0</v>
      </c>
      <c r="R59" s="178">
        <f t="shared" si="7"/>
        <v>0</v>
      </c>
      <c r="S59" s="178">
        <f t="shared" si="7"/>
        <v>0</v>
      </c>
      <c r="T59" s="178">
        <f t="shared" si="7"/>
        <v>0</v>
      </c>
      <c r="U59" s="178">
        <f t="shared" si="7"/>
        <v>0</v>
      </c>
      <c r="V59" s="178">
        <f t="shared" si="7"/>
        <v>0</v>
      </c>
      <c r="W59" s="178">
        <f t="shared" si="7"/>
        <v>0</v>
      </c>
      <c r="X59" s="178">
        <f t="shared" si="7"/>
        <v>0</v>
      </c>
      <c r="Y59" s="178">
        <f t="shared" si="7"/>
        <v>0</v>
      </c>
      <c r="Z59" s="178">
        <f t="shared" si="7"/>
        <v>0</v>
      </c>
      <c r="AA59" s="178">
        <f t="shared" si="7"/>
        <v>0</v>
      </c>
      <c r="AB59" s="178">
        <f t="shared" si="7"/>
        <v>0</v>
      </c>
      <c r="AC59" s="178">
        <f t="shared" si="7"/>
        <v>0</v>
      </c>
      <c r="AD59" s="178">
        <f t="shared" si="7"/>
        <v>0</v>
      </c>
      <c r="AE59" s="178">
        <f t="shared" si="7"/>
        <v>0</v>
      </c>
      <c r="AF59" s="178">
        <f t="shared" si="7"/>
        <v>0</v>
      </c>
      <c r="AG59" s="178">
        <f t="shared" si="7"/>
        <v>0</v>
      </c>
      <c r="AH59" s="178">
        <f t="shared" si="7"/>
        <v>0</v>
      </c>
      <c r="AI59" s="178">
        <f t="shared" si="7"/>
        <v>0</v>
      </c>
      <c r="AJ59" s="178">
        <f t="shared" si="7"/>
        <v>0</v>
      </c>
      <c r="AK59" s="178">
        <f t="shared" si="7"/>
        <v>0</v>
      </c>
      <c r="AL59" s="178">
        <f t="shared" si="7"/>
        <v>0</v>
      </c>
      <c r="AM59" s="178">
        <f t="shared" si="7"/>
        <v>0</v>
      </c>
      <c r="AN59" s="178">
        <f t="shared" si="7"/>
        <v>0</v>
      </c>
      <c r="AO59" s="178">
        <f t="shared" si="7"/>
        <v>0</v>
      </c>
      <c r="AP59" s="178">
        <f t="shared" si="7"/>
        <v>0</v>
      </c>
      <c r="AQ59" s="178">
        <f t="shared" si="7"/>
        <v>0</v>
      </c>
      <c r="AR59" s="178">
        <f t="shared" si="7"/>
        <v>0</v>
      </c>
      <c r="AS59" s="178">
        <f t="shared" si="7"/>
        <v>0</v>
      </c>
      <c r="AT59" s="178">
        <f t="shared" si="7"/>
        <v>0</v>
      </c>
      <c r="AU59" s="178">
        <f t="shared" si="7"/>
        <v>0</v>
      </c>
      <c r="AV59" s="178">
        <f t="shared" si="7"/>
        <v>0</v>
      </c>
      <c r="AW59" s="178">
        <f t="shared" si="7"/>
        <v>0</v>
      </c>
      <c r="AX59" s="178">
        <f t="shared" si="7"/>
        <v>0</v>
      </c>
      <c r="AY59" s="178">
        <f t="shared" si="7"/>
        <v>0</v>
      </c>
      <c r="AZ59" s="178">
        <f t="shared" si="7"/>
        <v>0</v>
      </c>
      <c r="BA59" s="178">
        <f t="shared" si="7"/>
        <v>0</v>
      </c>
      <c r="BB59" s="178">
        <f t="shared" si="7"/>
        <v>0</v>
      </c>
      <c r="BC59" s="178">
        <f t="shared" si="7"/>
        <v>0</v>
      </c>
      <c r="BD59" s="178">
        <f t="shared" si="7"/>
        <v>0</v>
      </c>
      <c r="BE59" s="178">
        <f t="shared" si="7"/>
        <v>0</v>
      </c>
      <c r="BF59" s="178">
        <f t="shared" si="7"/>
        <v>0</v>
      </c>
      <c r="BG59" s="178">
        <f t="shared" si="7"/>
        <v>0</v>
      </c>
      <c r="BH59" s="178">
        <f t="shared" si="7"/>
        <v>0</v>
      </c>
      <c r="BI59" s="175">
        <f>NPV($D$49,F59:BH59)</f>
        <v>722051.1717475981</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8">F59-F55</f>
        <v>0</v>
      </c>
      <c r="G62" s="185">
        <f t="shared" si="8"/>
        <v>27315.57941373108</v>
      </c>
      <c r="H62" s="185">
        <f t="shared" ref="H62:S62" si="9">H59-H55</f>
        <v>35292.308265437503</v>
      </c>
      <c r="I62" s="185">
        <f t="shared" si="9"/>
        <v>38829.463328288781</v>
      </c>
      <c r="J62" s="185">
        <f t="shared" si="9"/>
        <v>40121.466103172956</v>
      </c>
      <c r="K62" s="185">
        <f t="shared" si="9"/>
        <v>42027.673816853567</v>
      </c>
      <c r="L62" s="185">
        <f t="shared" si="9"/>
        <v>43912.570106942752</v>
      </c>
      <c r="M62" s="185">
        <f t="shared" si="9"/>
        <v>46063.525957242462</v>
      </c>
      <c r="N62" s="185">
        <f t="shared" si="9"/>
        <v>48270.009109349623</v>
      </c>
      <c r="O62" s="185">
        <f t="shared" si="9"/>
        <v>50495.213744118628</v>
      </c>
      <c r="P62" s="185">
        <f t="shared" si="9"/>
        <v>52723.315351098667</v>
      </c>
      <c r="Q62" s="185">
        <f t="shared" si="9"/>
        <v>0</v>
      </c>
      <c r="R62" s="185">
        <f t="shared" si="9"/>
        <v>0</v>
      </c>
      <c r="S62" s="696">
        <f t="shared" si="9"/>
        <v>0</v>
      </c>
      <c r="T62" s="696">
        <f t="shared" si="8"/>
        <v>0</v>
      </c>
      <c r="U62" s="696">
        <f t="shared" si="8"/>
        <v>0</v>
      </c>
      <c r="V62" s="696">
        <f t="shared" si="8"/>
        <v>0</v>
      </c>
      <c r="W62" s="696">
        <f t="shared" si="8"/>
        <v>0</v>
      </c>
      <c r="X62" s="696">
        <f t="shared" si="8"/>
        <v>0</v>
      </c>
      <c r="Y62" s="696">
        <f t="shared" si="8"/>
        <v>0</v>
      </c>
      <c r="Z62" s="696">
        <f t="shared" si="8"/>
        <v>0</v>
      </c>
      <c r="AA62" s="696">
        <f t="shared" si="8"/>
        <v>0</v>
      </c>
      <c r="AB62" s="696">
        <f t="shared" si="8"/>
        <v>0</v>
      </c>
      <c r="AC62" s="696">
        <f t="shared" si="8"/>
        <v>0</v>
      </c>
      <c r="AD62" s="696">
        <f t="shared" si="8"/>
        <v>0</v>
      </c>
      <c r="AE62" s="696">
        <f t="shared" si="8"/>
        <v>0</v>
      </c>
      <c r="AF62" s="696">
        <f t="shared" si="8"/>
        <v>0</v>
      </c>
      <c r="AG62" s="696">
        <f t="shared" si="8"/>
        <v>0</v>
      </c>
      <c r="AH62" s="696">
        <f t="shared" si="8"/>
        <v>0</v>
      </c>
      <c r="AI62" s="696">
        <f t="shared" si="8"/>
        <v>0</v>
      </c>
      <c r="AJ62" s="696">
        <f t="shared" si="8"/>
        <v>0</v>
      </c>
      <c r="AK62" s="696">
        <f t="shared" si="8"/>
        <v>0</v>
      </c>
      <c r="AL62" s="696">
        <f t="shared" si="8"/>
        <v>0</v>
      </c>
      <c r="AM62" s="696">
        <f t="shared" si="8"/>
        <v>0</v>
      </c>
      <c r="AN62" s="696">
        <f t="shared" si="8"/>
        <v>0</v>
      </c>
      <c r="AO62" s="696">
        <f t="shared" si="8"/>
        <v>0</v>
      </c>
      <c r="AP62" s="696">
        <f t="shared" si="8"/>
        <v>0</v>
      </c>
      <c r="AQ62" s="696">
        <f t="shared" si="8"/>
        <v>0</v>
      </c>
      <c r="AR62" s="696">
        <f t="shared" si="8"/>
        <v>0</v>
      </c>
      <c r="AS62" s="696">
        <f t="shared" si="8"/>
        <v>0</v>
      </c>
      <c r="AT62" s="696">
        <f t="shared" si="8"/>
        <v>0</v>
      </c>
      <c r="AU62" s="696">
        <f t="shared" si="8"/>
        <v>0</v>
      </c>
      <c r="AV62" s="696">
        <f t="shared" si="8"/>
        <v>0</v>
      </c>
      <c r="AW62" s="696">
        <f t="shared" si="8"/>
        <v>0</v>
      </c>
      <c r="AX62" s="696">
        <f t="shared" si="8"/>
        <v>0</v>
      </c>
      <c r="AY62" s="696">
        <f t="shared" si="8"/>
        <v>0</v>
      </c>
      <c r="AZ62" s="696">
        <f t="shared" si="8"/>
        <v>0</v>
      </c>
      <c r="BA62" s="696">
        <f t="shared" si="8"/>
        <v>0</v>
      </c>
      <c r="BB62" s="696">
        <f t="shared" si="8"/>
        <v>0</v>
      </c>
      <c r="BC62" s="696">
        <f t="shared" si="8"/>
        <v>0</v>
      </c>
      <c r="BD62" s="696">
        <f t="shared" si="8"/>
        <v>0</v>
      </c>
      <c r="BE62" s="696">
        <f t="shared" si="8"/>
        <v>0</v>
      </c>
      <c r="BF62" s="696">
        <f t="shared" si="8"/>
        <v>0</v>
      </c>
      <c r="BG62" s="696">
        <f t="shared" si="8"/>
        <v>0</v>
      </c>
      <c r="BH62" s="696">
        <f t="shared" si="8"/>
        <v>0</v>
      </c>
      <c r="BI62" s="175">
        <f>NPV($D$49,F62:BH62)</f>
        <v>347075.61393734248</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10">F65+1</f>
        <v>2015</v>
      </c>
      <c r="H65" s="171">
        <f t="shared" si="10"/>
        <v>2016</v>
      </c>
      <c r="I65" s="171">
        <f t="shared" si="10"/>
        <v>2017</v>
      </c>
      <c r="J65" s="171">
        <f t="shared" si="10"/>
        <v>2018</v>
      </c>
      <c r="K65" s="171">
        <f t="shared" si="10"/>
        <v>2019</v>
      </c>
      <c r="L65" s="171">
        <f t="shared" si="10"/>
        <v>2020</v>
      </c>
      <c r="M65" s="171">
        <f t="shared" si="10"/>
        <v>2021</v>
      </c>
      <c r="N65" s="171">
        <f t="shared" si="10"/>
        <v>2022</v>
      </c>
      <c r="O65" s="171">
        <f t="shared" si="10"/>
        <v>2023</v>
      </c>
      <c r="P65" s="171">
        <f t="shared" si="10"/>
        <v>2024</v>
      </c>
      <c r="Q65" s="171">
        <f t="shared" si="10"/>
        <v>2025</v>
      </c>
      <c r="R65" s="171">
        <f t="shared" si="10"/>
        <v>2026</v>
      </c>
      <c r="S65" s="306">
        <f>R65+1</f>
        <v>2027</v>
      </c>
      <c r="T65" s="306">
        <f>S65+1</f>
        <v>2028</v>
      </c>
      <c r="U65" s="306">
        <f>T65+1</f>
        <v>2029</v>
      </c>
      <c r="V65" s="306">
        <f t="shared" si="10"/>
        <v>2030</v>
      </c>
      <c r="W65" s="306">
        <f t="shared" si="10"/>
        <v>2031</v>
      </c>
      <c r="X65" s="306">
        <f t="shared" si="10"/>
        <v>2032</v>
      </c>
      <c r="Y65" s="306">
        <f t="shared" si="10"/>
        <v>2033</v>
      </c>
      <c r="Z65" s="306">
        <f t="shared" si="10"/>
        <v>2034</v>
      </c>
      <c r="AA65" s="306">
        <f t="shared" si="10"/>
        <v>2035</v>
      </c>
      <c r="AB65" s="306">
        <f t="shared" si="10"/>
        <v>2036</v>
      </c>
      <c r="AC65" s="306">
        <f t="shared" si="10"/>
        <v>2037</v>
      </c>
      <c r="AD65" s="306">
        <f t="shared" si="10"/>
        <v>2038</v>
      </c>
      <c r="AE65" s="306">
        <f t="shared" si="10"/>
        <v>2039</v>
      </c>
      <c r="AF65" s="306">
        <f t="shared" si="10"/>
        <v>2040</v>
      </c>
      <c r="AG65" s="306">
        <f t="shared" si="10"/>
        <v>2041</v>
      </c>
      <c r="AH65" s="306">
        <f t="shared" si="10"/>
        <v>2042</v>
      </c>
      <c r="AI65" s="306">
        <f t="shared" si="10"/>
        <v>2043</v>
      </c>
      <c r="AJ65" s="306">
        <f t="shared" si="10"/>
        <v>2044</v>
      </c>
      <c r="AK65" s="306">
        <f t="shared" si="10"/>
        <v>2045</v>
      </c>
      <c r="AL65" s="306">
        <f t="shared" si="10"/>
        <v>2046</v>
      </c>
      <c r="AM65" s="306">
        <f t="shared" si="10"/>
        <v>2047</v>
      </c>
      <c r="AN65" s="306">
        <f t="shared" si="10"/>
        <v>2048</v>
      </c>
      <c r="AO65" s="306">
        <f t="shared" si="10"/>
        <v>2049</v>
      </c>
      <c r="AP65" s="306">
        <f t="shared" si="10"/>
        <v>2050</v>
      </c>
      <c r="AQ65" s="306">
        <f t="shared" si="10"/>
        <v>2051</v>
      </c>
      <c r="AR65" s="306">
        <f t="shared" si="10"/>
        <v>2052</v>
      </c>
      <c r="AS65" s="306">
        <f t="shared" si="10"/>
        <v>2053</v>
      </c>
      <c r="AT65" s="306">
        <f t="shared" si="10"/>
        <v>2054</v>
      </c>
      <c r="AU65" s="306">
        <f t="shared" si="10"/>
        <v>2055</v>
      </c>
      <c r="AV65" s="306">
        <f t="shared" si="10"/>
        <v>2056</v>
      </c>
      <c r="AW65" s="306">
        <f t="shared" si="10"/>
        <v>2057</v>
      </c>
      <c r="AX65" s="306">
        <f t="shared" si="10"/>
        <v>2058</v>
      </c>
      <c r="AY65" s="306">
        <f t="shared" si="10"/>
        <v>2059</v>
      </c>
      <c r="AZ65" s="306">
        <f t="shared" si="10"/>
        <v>2060</v>
      </c>
      <c r="BA65" s="306">
        <f t="shared" si="10"/>
        <v>2061</v>
      </c>
      <c r="BB65" s="306">
        <f t="shared" si="10"/>
        <v>2062</v>
      </c>
      <c r="BC65" s="306">
        <f t="shared" si="10"/>
        <v>2063</v>
      </c>
      <c r="BD65" s="306">
        <f t="shared" si="10"/>
        <v>2064</v>
      </c>
      <c r="BE65" s="306">
        <f t="shared" si="10"/>
        <v>2065</v>
      </c>
      <c r="BF65" s="306">
        <f t="shared" si="10"/>
        <v>2066</v>
      </c>
      <c r="BG65" s="306">
        <f t="shared" si="10"/>
        <v>2067</v>
      </c>
      <c r="BH65" s="306">
        <f t="shared" si="10"/>
        <v>2068</v>
      </c>
      <c r="BI65" s="695" t="s">
        <v>4</v>
      </c>
      <c r="BJ65" s="121"/>
      <c r="BK65" s="121"/>
      <c r="BL65" s="121"/>
      <c r="BM65" s="121"/>
      <c r="BN65" s="121"/>
      <c r="BO65" s="121"/>
    </row>
    <row r="66" spans="2:67" ht="12.75">
      <c r="C66" s="2005" t="s">
        <v>284</v>
      </c>
      <c r="D66" s="2006"/>
      <c r="E66" s="200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21" t="s">
        <v>879</v>
      </c>
      <c r="E67" s="121" t="s">
        <v>266</v>
      </c>
      <c r="F67" s="189">
        <f>IF(AND(F65+1&gt;$D$31,F65&lt;$D$31+$D$32),$D$33,0)</f>
        <v>0</v>
      </c>
      <c r="G67" s="189">
        <f t="shared" ref="G67:AL67" si="11">IF(AND(G65+1&gt;$D$31,G65&lt;$D$31+$D$32),$X$26,0)</f>
        <v>176257.59065059896</v>
      </c>
      <c r="H67" s="189">
        <f t="shared" si="11"/>
        <v>176257.59065059896</v>
      </c>
      <c r="I67" s="189">
        <f t="shared" si="11"/>
        <v>176257.59065059896</v>
      </c>
      <c r="J67" s="189">
        <f t="shared" si="11"/>
        <v>176257.59065059896</v>
      </c>
      <c r="K67" s="189">
        <f t="shared" si="11"/>
        <v>176257.59065059896</v>
      </c>
      <c r="L67" s="189">
        <f t="shared" si="11"/>
        <v>176257.59065059896</v>
      </c>
      <c r="M67" s="189">
        <f t="shared" si="11"/>
        <v>176257.59065059896</v>
      </c>
      <c r="N67" s="189">
        <f t="shared" si="11"/>
        <v>176257.59065059896</v>
      </c>
      <c r="O67" s="189">
        <f t="shared" si="11"/>
        <v>176257.59065059896</v>
      </c>
      <c r="P67" s="189">
        <f t="shared" si="11"/>
        <v>176257.59065059896</v>
      </c>
      <c r="Q67" s="189">
        <f t="shared" si="11"/>
        <v>0</v>
      </c>
      <c r="R67" s="189">
        <f t="shared" si="11"/>
        <v>0</v>
      </c>
      <c r="S67" s="189">
        <f t="shared" si="11"/>
        <v>0</v>
      </c>
      <c r="T67" s="189">
        <f t="shared" si="11"/>
        <v>0</v>
      </c>
      <c r="U67" s="189">
        <f t="shared" si="11"/>
        <v>0</v>
      </c>
      <c r="V67" s="189">
        <f t="shared" si="11"/>
        <v>0</v>
      </c>
      <c r="W67" s="189">
        <f t="shared" si="11"/>
        <v>0</v>
      </c>
      <c r="X67" s="189">
        <f t="shared" si="11"/>
        <v>0</v>
      </c>
      <c r="Y67" s="189">
        <f t="shared" si="11"/>
        <v>0</v>
      </c>
      <c r="Z67" s="189">
        <f t="shared" si="11"/>
        <v>0</v>
      </c>
      <c r="AA67" s="189">
        <f t="shared" si="11"/>
        <v>0</v>
      </c>
      <c r="AB67" s="189">
        <f t="shared" si="11"/>
        <v>0</v>
      </c>
      <c r="AC67" s="189">
        <f t="shared" si="11"/>
        <v>0</v>
      </c>
      <c r="AD67" s="189">
        <f t="shared" si="11"/>
        <v>0</v>
      </c>
      <c r="AE67" s="189">
        <f t="shared" si="11"/>
        <v>0</v>
      </c>
      <c r="AF67" s="189">
        <f t="shared" si="11"/>
        <v>0</v>
      </c>
      <c r="AG67" s="189">
        <f t="shared" si="11"/>
        <v>0</v>
      </c>
      <c r="AH67" s="189">
        <f t="shared" si="11"/>
        <v>0</v>
      </c>
      <c r="AI67" s="189">
        <f t="shared" si="11"/>
        <v>0</v>
      </c>
      <c r="AJ67" s="189">
        <f t="shared" si="11"/>
        <v>0</v>
      </c>
      <c r="AK67" s="189">
        <f t="shared" si="11"/>
        <v>0</v>
      </c>
      <c r="AL67" s="189">
        <f t="shared" si="11"/>
        <v>0</v>
      </c>
      <c r="AM67" s="189">
        <f t="shared" ref="AM67:BH67" si="12">IF(AND(AM65+1&gt;$D$31,AM65&lt;$D$31+$D$32),$X$26,0)</f>
        <v>0</v>
      </c>
      <c r="AN67" s="189">
        <f t="shared" si="12"/>
        <v>0</v>
      </c>
      <c r="AO67" s="189">
        <f t="shared" si="12"/>
        <v>0</v>
      </c>
      <c r="AP67" s="189">
        <f t="shared" si="12"/>
        <v>0</v>
      </c>
      <c r="AQ67" s="189">
        <f t="shared" si="12"/>
        <v>0</v>
      </c>
      <c r="AR67" s="189">
        <f t="shared" si="12"/>
        <v>0</v>
      </c>
      <c r="AS67" s="189">
        <f t="shared" si="12"/>
        <v>0</v>
      </c>
      <c r="AT67" s="189">
        <f t="shared" si="12"/>
        <v>0</v>
      </c>
      <c r="AU67" s="189">
        <f t="shared" si="12"/>
        <v>0</v>
      </c>
      <c r="AV67" s="189">
        <f t="shared" si="12"/>
        <v>0</v>
      </c>
      <c r="AW67" s="189">
        <f t="shared" si="12"/>
        <v>0</v>
      </c>
      <c r="AX67" s="189">
        <f t="shared" si="12"/>
        <v>0</v>
      </c>
      <c r="AY67" s="189">
        <f t="shared" si="12"/>
        <v>0</v>
      </c>
      <c r="AZ67" s="189">
        <f t="shared" si="12"/>
        <v>0</v>
      </c>
      <c r="BA67" s="189">
        <f t="shared" si="12"/>
        <v>0</v>
      </c>
      <c r="BB67" s="189">
        <f t="shared" si="12"/>
        <v>0</v>
      </c>
      <c r="BC67" s="189">
        <f t="shared" si="12"/>
        <v>0</v>
      </c>
      <c r="BD67" s="189">
        <f t="shared" si="12"/>
        <v>0</v>
      </c>
      <c r="BE67" s="189">
        <f t="shared" si="12"/>
        <v>0</v>
      </c>
      <c r="BF67" s="189">
        <f t="shared" si="12"/>
        <v>0</v>
      </c>
      <c r="BG67" s="189">
        <f t="shared" si="12"/>
        <v>0</v>
      </c>
      <c r="BH67" s="189">
        <f t="shared" si="12"/>
        <v>0</v>
      </c>
      <c r="BI67" s="188"/>
      <c r="BJ67" s="121"/>
      <c r="BK67" s="121"/>
      <c r="BL67" s="121"/>
      <c r="BM67" s="121"/>
      <c r="BN67" s="121"/>
      <c r="BO67" s="121"/>
    </row>
    <row r="68" spans="2:67" ht="12.75">
      <c r="C68" s="172"/>
      <c r="D68" s="121" t="s">
        <v>564</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67" s="192" customFormat="1" ht="12.75">
      <c r="B70" s="193"/>
      <c r="C70" s="177"/>
      <c r="D70" s="180" t="s">
        <v>371</v>
      </c>
      <c r="E70" s="180" t="s">
        <v>264</v>
      </c>
      <c r="F70" s="194">
        <f>F68+F69</f>
        <v>0</v>
      </c>
      <c r="G70" s="194">
        <f>IF(AND(G$54&gt;=$D$31,G$54&lt;+($D$31+$D$32)),G68+G69,0)</f>
        <v>0</v>
      </c>
      <c r="H70" s="194">
        <f t="shared" ref="H70:BH70" si="13">IF(AND(H$54&gt;=$D$31,H$54&lt;+($D$31+$D$32)),H68+H69,0)</f>
        <v>0</v>
      </c>
      <c r="I70" s="194">
        <f t="shared" si="13"/>
        <v>0</v>
      </c>
      <c r="J70" s="194">
        <f t="shared" si="13"/>
        <v>0</v>
      </c>
      <c r="K70" s="194">
        <f t="shared" si="13"/>
        <v>0</v>
      </c>
      <c r="L70" s="194">
        <f t="shared" si="13"/>
        <v>0</v>
      </c>
      <c r="M70" s="194">
        <f t="shared" si="13"/>
        <v>0</v>
      </c>
      <c r="N70" s="194">
        <f t="shared" si="13"/>
        <v>0</v>
      </c>
      <c r="O70" s="194">
        <f t="shared" si="13"/>
        <v>0</v>
      </c>
      <c r="P70" s="194">
        <f t="shared" si="13"/>
        <v>0</v>
      </c>
      <c r="Q70" s="194">
        <f t="shared" si="13"/>
        <v>0</v>
      </c>
      <c r="R70" s="194">
        <f t="shared" si="13"/>
        <v>0</v>
      </c>
      <c r="S70" s="194">
        <f t="shared" si="13"/>
        <v>0</v>
      </c>
      <c r="T70" s="194">
        <f t="shared" si="13"/>
        <v>0</v>
      </c>
      <c r="U70" s="194">
        <f t="shared" si="13"/>
        <v>0</v>
      </c>
      <c r="V70" s="194">
        <f t="shared" si="13"/>
        <v>0</v>
      </c>
      <c r="W70" s="194">
        <f t="shared" si="13"/>
        <v>0</v>
      </c>
      <c r="X70" s="194">
        <f t="shared" si="13"/>
        <v>0</v>
      </c>
      <c r="Y70" s="194">
        <f t="shared" si="13"/>
        <v>0</v>
      </c>
      <c r="Z70" s="194">
        <f t="shared" si="13"/>
        <v>0</v>
      </c>
      <c r="AA70" s="194">
        <f t="shared" si="13"/>
        <v>0</v>
      </c>
      <c r="AB70" s="194">
        <f t="shared" si="13"/>
        <v>0</v>
      </c>
      <c r="AC70" s="194">
        <f t="shared" si="13"/>
        <v>0</v>
      </c>
      <c r="AD70" s="194">
        <f t="shared" si="13"/>
        <v>0</v>
      </c>
      <c r="AE70" s="194">
        <f t="shared" si="13"/>
        <v>0</v>
      </c>
      <c r="AF70" s="194">
        <f t="shared" si="13"/>
        <v>0</v>
      </c>
      <c r="AG70" s="194">
        <f t="shared" si="13"/>
        <v>0</v>
      </c>
      <c r="AH70" s="194">
        <f t="shared" si="13"/>
        <v>0</v>
      </c>
      <c r="AI70" s="194">
        <f t="shared" si="13"/>
        <v>0</v>
      </c>
      <c r="AJ70" s="194">
        <f t="shared" si="13"/>
        <v>0</v>
      </c>
      <c r="AK70" s="194">
        <f t="shared" si="13"/>
        <v>0</v>
      </c>
      <c r="AL70" s="194">
        <f t="shared" si="13"/>
        <v>0</v>
      </c>
      <c r="AM70" s="194">
        <f t="shared" si="13"/>
        <v>0</v>
      </c>
      <c r="AN70" s="194">
        <f t="shared" si="13"/>
        <v>0</v>
      </c>
      <c r="AO70" s="194">
        <f t="shared" si="13"/>
        <v>0</v>
      </c>
      <c r="AP70" s="194">
        <f t="shared" si="13"/>
        <v>0</v>
      </c>
      <c r="AQ70" s="194">
        <f t="shared" si="13"/>
        <v>0</v>
      </c>
      <c r="AR70" s="194">
        <f t="shared" si="13"/>
        <v>0</v>
      </c>
      <c r="AS70" s="194">
        <f t="shared" si="13"/>
        <v>0</v>
      </c>
      <c r="AT70" s="194">
        <f t="shared" si="13"/>
        <v>0</v>
      </c>
      <c r="AU70" s="194">
        <f t="shared" si="13"/>
        <v>0</v>
      </c>
      <c r="AV70" s="194">
        <f t="shared" si="13"/>
        <v>0</v>
      </c>
      <c r="AW70" s="194">
        <f t="shared" si="13"/>
        <v>0</v>
      </c>
      <c r="AX70" s="194">
        <f t="shared" si="13"/>
        <v>0</v>
      </c>
      <c r="AY70" s="194">
        <f t="shared" si="13"/>
        <v>0</v>
      </c>
      <c r="AZ70" s="194">
        <f t="shared" si="13"/>
        <v>0</v>
      </c>
      <c r="BA70" s="194">
        <f t="shared" si="13"/>
        <v>0</v>
      </c>
      <c r="BB70" s="194">
        <f t="shared" si="13"/>
        <v>0</v>
      </c>
      <c r="BC70" s="194">
        <f t="shared" si="13"/>
        <v>0</v>
      </c>
      <c r="BD70" s="194">
        <f t="shared" si="13"/>
        <v>0</v>
      </c>
      <c r="BE70" s="194">
        <f t="shared" si="13"/>
        <v>0</v>
      </c>
      <c r="BF70" s="194">
        <f t="shared" si="13"/>
        <v>0</v>
      </c>
      <c r="BG70" s="194">
        <f t="shared" si="13"/>
        <v>0</v>
      </c>
      <c r="BH70" s="194">
        <f t="shared" si="13"/>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2005" t="s">
        <v>285</v>
      </c>
      <c r="D72" s="2006"/>
      <c r="E72" s="2006"/>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1158</v>
      </c>
      <c r="E73" s="121" t="s">
        <v>266</v>
      </c>
      <c r="F73" s="189">
        <f t="shared" ref="F73:AK73" si="14">IF(AND(F65+1&gt;$D$31,F65&lt;$D$31+$D$32),$V$26,0)</f>
        <v>0</v>
      </c>
      <c r="G73" s="189">
        <f t="shared" si="14"/>
        <v>238185.9333116202</v>
      </c>
      <c r="H73" s="189">
        <f t="shared" si="14"/>
        <v>238185.9333116202</v>
      </c>
      <c r="I73" s="189">
        <f t="shared" si="14"/>
        <v>238185.9333116202</v>
      </c>
      <c r="J73" s="189">
        <f t="shared" si="14"/>
        <v>238185.9333116202</v>
      </c>
      <c r="K73" s="189">
        <f t="shared" si="14"/>
        <v>238185.9333116202</v>
      </c>
      <c r="L73" s="189">
        <f t="shared" si="14"/>
        <v>238185.9333116202</v>
      </c>
      <c r="M73" s="189">
        <f t="shared" si="14"/>
        <v>238185.9333116202</v>
      </c>
      <c r="N73" s="189">
        <f t="shared" si="14"/>
        <v>238185.9333116202</v>
      </c>
      <c r="O73" s="189">
        <f t="shared" si="14"/>
        <v>238185.9333116202</v>
      </c>
      <c r="P73" s="189">
        <f t="shared" si="14"/>
        <v>238185.9333116202</v>
      </c>
      <c r="Q73" s="189">
        <f t="shared" si="14"/>
        <v>0</v>
      </c>
      <c r="R73" s="189">
        <f t="shared" si="14"/>
        <v>0</v>
      </c>
      <c r="S73" s="189">
        <f t="shared" si="14"/>
        <v>0</v>
      </c>
      <c r="T73" s="189">
        <f t="shared" si="14"/>
        <v>0</v>
      </c>
      <c r="U73" s="189">
        <f t="shared" si="14"/>
        <v>0</v>
      </c>
      <c r="V73" s="189">
        <f t="shared" si="14"/>
        <v>0</v>
      </c>
      <c r="W73" s="189">
        <f t="shared" si="14"/>
        <v>0</v>
      </c>
      <c r="X73" s="189">
        <f t="shared" si="14"/>
        <v>0</v>
      </c>
      <c r="Y73" s="189">
        <f t="shared" si="14"/>
        <v>0</v>
      </c>
      <c r="Z73" s="189">
        <f t="shared" si="14"/>
        <v>0</v>
      </c>
      <c r="AA73" s="189">
        <f t="shared" si="14"/>
        <v>0</v>
      </c>
      <c r="AB73" s="189">
        <f t="shared" si="14"/>
        <v>0</v>
      </c>
      <c r="AC73" s="189">
        <f t="shared" si="14"/>
        <v>0</v>
      </c>
      <c r="AD73" s="189">
        <f t="shared" si="14"/>
        <v>0</v>
      </c>
      <c r="AE73" s="189">
        <f t="shared" si="14"/>
        <v>0</v>
      </c>
      <c r="AF73" s="189">
        <f t="shared" si="14"/>
        <v>0</v>
      </c>
      <c r="AG73" s="189">
        <f t="shared" si="14"/>
        <v>0</v>
      </c>
      <c r="AH73" s="189">
        <f t="shared" si="14"/>
        <v>0</v>
      </c>
      <c r="AI73" s="189">
        <f t="shared" si="14"/>
        <v>0</v>
      </c>
      <c r="AJ73" s="189">
        <f t="shared" si="14"/>
        <v>0</v>
      </c>
      <c r="AK73" s="189">
        <f t="shared" si="14"/>
        <v>0</v>
      </c>
      <c r="AL73" s="189">
        <f t="shared" ref="AL73:BH73" si="15">IF(AND(AL65+1&gt;$D$31,AL65&lt;$D$31+$D$32),$V$26,0)</f>
        <v>0</v>
      </c>
      <c r="AM73" s="189">
        <f t="shared" si="15"/>
        <v>0</v>
      </c>
      <c r="AN73" s="189">
        <f t="shared" si="15"/>
        <v>0</v>
      </c>
      <c r="AO73" s="189">
        <f t="shared" si="15"/>
        <v>0</v>
      </c>
      <c r="AP73" s="189">
        <f t="shared" si="15"/>
        <v>0</v>
      </c>
      <c r="AQ73" s="189">
        <f t="shared" si="15"/>
        <v>0</v>
      </c>
      <c r="AR73" s="189">
        <f t="shared" si="15"/>
        <v>0</v>
      </c>
      <c r="AS73" s="189">
        <f t="shared" si="15"/>
        <v>0</v>
      </c>
      <c r="AT73" s="189">
        <f t="shared" si="15"/>
        <v>0</v>
      </c>
      <c r="AU73" s="189">
        <f t="shared" si="15"/>
        <v>0</v>
      </c>
      <c r="AV73" s="189">
        <f t="shared" si="15"/>
        <v>0</v>
      </c>
      <c r="AW73" s="189">
        <f t="shared" si="15"/>
        <v>0</v>
      </c>
      <c r="AX73" s="189">
        <f t="shared" si="15"/>
        <v>0</v>
      </c>
      <c r="AY73" s="189">
        <f t="shared" si="15"/>
        <v>0</v>
      </c>
      <c r="AZ73" s="189">
        <f t="shared" si="15"/>
        <v>0</v>
      </c>
      <c r="BA73" s="189">
        <f t="shared" si="15"/>
        <v>0</v>
      </c>
      <c r="BB73" s="189">
        <f t="shared" si="15"/>
        <v>0</v>
      </c>
      <c r="BC73" s="189">
        <f t="shared" si="15"/>
        <v>0</v>
      </c>
      <c r="BD73" s="189">
        <f t="shared" si="15"/>
        <v>0</v>
      </c>
      <c r="BE73" s="189">
        <f t="shared" si="15"/>
        <v>0</v>
      </c>
      <c r="BF73" s="189">
        <f t="shared" si="15"/>
        <v>0</v>
      </c>
      <c r="BG73" s="189">
        <f t="shared" si="15"/>
        <v>0</v>
      </c>
      <c r="BH73" s="189">
        <f t="shared" si="15"/>
        <v>0</v>
      </c>
      <c r="BI73" s="188"/>
      <c r="BJ73" s="121"/>
      <c r="BK73" s="121"/>
      <c r="BL73" s="121"/>
      <c r="BM73" s="121"/>
      <c r="BN73" s="121"/>
      <c r="BO73" s="121"/>
    </row>
    <row r="74" spans="2:67" s="121" customFormat="1" ht="51">
      <c r="B74" s="138" t="s">
        <v>1332</v>
      </c>
      <c r="C74" s="177"/>
      <c r="D74" s="121" t="s">
        <v>878</v>
      </c>
      <c r="E74" s="121" t="s">
        <v>672</v>
      </c>
      <c r="F74" s="187"/>
      <c r="G74" s="187">
        <f>'Community data'!$L$23+'Community data'!$B$26/Generation_total*VLOOKUP($C$6,'Diesel Fuel Prices'!$D$7:$BN$183,-6+G53,0)/Generation_Efficiency</f>
        <v>0.64824983250221857</v>
      </c>
      <c r="H74" s="187">
        <f>'Community data'!$L$23+'Community data'!$B$26/Generation_total*VLOOKUP($C$6,'Diesel Fuel Prices'!$D$7:$BN$183,-6+H53,0)/Generation_Efficiency</f>
        <v>0.69150855961286672</v>
      </c>
      <c r="I74" s="187">
        <f>'Community data'!$L$23+'Community data'!$B$26/Generation_total*VLOOKUP($C$6,'Diesel Fuel Prices'!$D$7:$BN$183,-6+I53,0)/Generation_Efficiency</f>
        <v>0.70672199623953769</v>
      </c>
      <c r="J74" s="187">
        <f>'Community data'!$L$23+'Community data'!$B$26/Generation_total*VLOOKUP($C$6,'Diesel Fuel Prices'!$D$7:$BN$183,-6+J53,0)/Generation_Efficiency</f>
        <v>0.70783470744698618</v>
      </c>
      <c r="K74" s="187">
        <f>'Community data'!$L$23+'Community data'!$B$26/Generation_total*VLOOKUP($C$6,'Diesel Fuel Prices'!$D$7:$BN$183,-6+K53,0)/Generation_Efficiency</f>
        <v>0.71301796181225408</v>
      </c>
      <c r="L74" s="187">
        <f>'Community data'!$L$23+'Community data'!$B$26/Generation_total*VLOOKUP($C$6,'Diesel Fuel Prices'!$D$7:$BN$183,-6+L53,0)/Generation_Efficiency</f>
        <v>0.7182282533304849</v>
      </c>
      <c r="M74" s="187">
        <f>'Community data'!$L$23+'Community data'!$B$26/Generation_total*VLOOKUP($C$6,'Diesel Fuel Prices'!$D$7:$BN$183,-6+M53,0)/Generation_Efficiency</f>
        <v>0.7252884227118539</v>
      </c>
      <c r="N74" s="187">
        <f>'Community data'!$L$23+'Community data'!$B$26/Generation_total*VLOOKUP($C$6,'Diesel Fuel Prices'!$D$7:$BN$183,-6+N53,0)/Generation_Efficiency</f>
        <v>0.73285652011192237</v>
      </c>
      <c r="O74" s="187">
        <f>'Community data'!$L$23+'Community data'!$B$26/Generation_total*VLOOKUP($C$6,'Diesel Fuel Prices'!$D$7:$BN$183,-6+O53,0)/Generation_Efficiency</f>
        <v>0.7406949602666999</v>
      </c>
      <c r="P74" s="187">
        <f>'Community data'!$L$23+'Community data'!$B$26/Generation_total*VLOOKUP($C$6,'Diesel Fuel Prices'!$D$7:$BN$183,-6+P53,0)/Generation_Efficiency</f>
        <v>0.74869960895461762</v>
      </c>
      <c r="Q74" s="187">
        <f>'Community data'!$L$23+'Community data'!$B$26/Generation_total*VLOOKUP($C$6,'Diesel Fuel Prices'!$D$7:$BN$183,-6+Q53,0)/Generation_Efficiency</f>
        <v>0.75674181627989201</v>
      </c>
      <c r="R74" s="187">
        <f>'Community data'!$L$23+'Community data'!$B$26/Generation_total*VLOOKUP($C$6,'Diesel Fuel Prices'!$D$7:$BN$183,-6+R53,0)/Generation_Efficiency</f>
        <v>0.76530927810877014</v>
      </c>
      <c r="S74" s="187">
        <f>'Community data'!$L$23+'Community data'!$B$26/Generation_total*VLOOKUP($C$6,'Diesel Fuel Prices'!$D$7:$BN$183,-6+S53,0)/Generation_Efficiency</f>
        <v>0.77408629044538979</v>
      </c>
      <c r="T74" s="187">
        <f>'Community data'!$L$23+'Community data'!$B$26/Generation_total*VLOOKUP($C$6,'Diesel Fuel Prices'!$D$7:$BN$183,-6+T53,0)/Generation_Efficiency</f>
        <v>0.78307807387579054</v>
      </c>
      <c r="U74" s="187">
        <f>'Community data'!$L$23+'Community data'!$B$26/Generation_total*VLOOKUP($C$6,'Diesel Fuel Prices'!$D$7:$BN$183,-6+U53,0)/Generation_Efficiency</f>
        <v>0.79228995026404525</v>
      </c>
      <c r="V74" s="187">
        <f>'Community data'!$L$23+'Community data'!$B$26/Generation_total*VLOOKUP($C$6,'Diesel Fuel Prices'!$D$7:$BN$183,-6+V53,0)/Generation_Efficiency</f>
        <v>0.80172735621186453</v>
      </c>
      <c r="W74" s="187">
        <f>'Community data'!$L$23+'Community data'!$B$26/Generation_total*VLOOKUP($C$6,'Diesel Fuel Prices'!$D$7:$BN$183,-6+W53,0)/Generation_Efficiency</f>
        <v>0.81139592315879205</v>
      </c>
      <c r="X74" s="187">
        <f>'Community data'!$L$23+'Community data'!$B$26/Generation_total*VLOOKUP($C$6,'Diesel Fuel Prices'!$D$7:$BN$183,-6+X53,0)/Generation_Efficiency</f>
        <v>0.82130136625896211</v>
      </c>
      <c r="Y74" s="187">
        <f>'Community data'!$L$23+'Community data'!$B$26/Generation_total*VLOOKUP($C$6,'Diesel Fuel Prices'!$D$7:$BN$183,-6+Y53,0)/Generation_Efficiency</f>
        <v>0.83143575511738965</v>
      </c>
      <c r="Z74" s="187">
        <f>'Community data'!$L$23+'Community data'!$B$26/Generation_total*VLOOKUP($C$6,'Diesel Fuel Prices'!$D$7:$BN$183,-6+Z53,0)/Generation_Efficiency</f>
        <v>0.84139664911985468</v>
      </c>
      <c r="AA74" s="187">
        <f>'Community data'!$L$23+'Community data'!$B$26/Generation_total*VLOOKUP($C$6,'Diesel Fuel Prices'!$D$7:$BN$183,-6+AA53,0)/Generation_Efficiency</f>
        <v>0.85187634672094026</v>
      </c>
      <c r="AB74" s="187">
        <f>'Community data'!$L$23+'Community data'!$B$26/Generation_total*VLOOKUP($C$6,'Diesel Fuel Prices'!$D$7:$BN$183,-6+AB53,0)/Generation_Efficiency</f>
        <v>0.86264515591032009</v>
      </c>
      <c r="AC74" s="187">
        <f>'Community data'!$L$23+'Community data'!$B$26/Generation_total*VLOOKUP($C$6,'Diesel Fuel Prices'!$D$7:$BN$183,-6+AC53,0)/Generation_Efficiency</f>
        <v>0.87320651537009186</v>
      </c>
      <c r="AD74" s="187">
        <f>'Community data'!$L$23+'Community data'!$B$26/Generation_total*VLOOKUP($C$6,'Diesel Fuel Prices'!$D$7:$BN$183,-6+AD53,0)/Generation_Efficiency</f>
        <v>0.88456163991227732</v>
      </c>
      <c r="AE74" s="187">
        <f>'Community data'!$L$23+'Community data'!$B$26/Generation_total*VLOOKUP($C$6,'Diesel Fuel Prices'!$D$7:$BN$183,-6+AE53,0)/Generation_Efficiency</f>
        <v>0.89681230392344746</v>
      </c>
      <c r="AF74" s="187">
        <f>'Community data'!$L$23+'Community data'!$B$26/Generation_total*VLOOKUP($C$6,'Diesel Fuel Prices'!$D$7:$BN$183,-6+AF53,0)/Generation_Efficiency</f>
        <v>0.90823147518846659</v>
      </c>
      <c r="AG74" s="187">
        <f>'Community data'!$L$23+'Community data'!$B$26/Generation_total*VLOOKUP($C$6,'Diesel Fuel Prices'!$D$7:$BN$183,-6+AG53,0)/Generation_Efficiency</f>
        <v>0.90823147518846659</v>
      </c>
      <c r="AH74" s="187">
        <f>'Community data'!$L$23+'Community data'!$B$26/Generation_total*VLOOKUP($C$6,'Diesel Fuel Prices'!$D$7:$BN$183,-6+AH53,0)/Generation_Efficiency</f>
        <v>0.90823147518846659</v>
      </c>
      <c r="AI74" s="187">
        <f>'Community data'!$L$23+'Community data'!$B$26/Generation_total*VLOOKUP($C$6,'Diesel Fuel Prices'!$D$7:$BN$183,-6+AI53,0)/Generation_Efficiency</f>
        <v>0.90823147518846659</v>
      </c>
      <c r="AJ74" s="187">
        <f>'Community data'!$L$23+'Community data'!$B$26/Generation_total*VLOOKUP($C$6,'Diesel Fuel Prices'!$D$7:$BN$183,-6+AJ53,0)/Generation_Efficiency</f>
        <v>0.90823147518846659</v>
      </c>
      <c r="AK74" s="187">
        <f>'Community data'!$L$23+'Community data'!$B$26/Generation_total*VLOOKUP($C$6,'Diesel Fuel Prices'!$D$7:$BN$183,-6+AK53,0)/Generation_Efficiency</f>
        <v>0.90823147518846659</v>
      </c>
      <c r="AL74" s="187">
        <f>'Community data'!$L$23+'Community data'!$B$26/Generation_total*VLOOKUP($C$6,'Diesel Fuel Prices'!$D$7:$BN$183,-6+AL53,0)/Generation_Efficiency</f>
        <v>0.90823147518846659</v>
      </c>
      <c r="AM74" s="187">
        <f>'Community data'!$L$23+'Community data'!$B$26/Generation_total*VLOOKUP($C$6,'Diesel Fuel Prices'!$D$7:$BN$183,-6+AM53,0)/Generation_Efficiency</f>
        <v>0.90823147518846659</v>
      </c>
      <c r="AN74" s="187">
        <f>'Community data'!$L$23+'Community data'!$B$26/Generation_total*VLOOKUP($C$6,'Diesel Fuel Prices'!$D$7:$BN$183,-6+AN53,0)/Generation_Efficiency</f>
        <v>0.90823147518846659</v>
      </c>
      <c r="AO74" s="187">
        <f>'Community data'!$L$23+'Community data'!$B$26/Generation_total*VLOOKUP($C$6,'Diesel Fuel Prices'!$D$7:$BN$183,-6+AO53,0)/Generation_Efficiency</f>
        <v>0.90823147518846659</v>
      </c>
      <c r="AP74" s="187">
        <f>'Community data'!$L$23+'Community data'!$B$26/Generation_total*VLOOKUP($C$6,'Diesel Fuel Prices'!$D$7:$BN$183,-6+AP53,0)/Generation_Efficiency</f>
        <v>0.90823147518846659</v>
      </c>
      <c r="AQ74" s="187">
        <f>'Community data'!$L$23+'Community data'!$B$26/Generation_total*VLOOKUP($C$6,'Diesel Fuel Prices'!$D$7:$BN$183,-6+AQ53,0)/Generation_Efficiency</f>
        <v>0.90823147518846659</v>
      </c>
      <c r="AR74" s="187">
        <f>'Community data'!$L$23+'Community data'!$B$26/Generation_total*VLOOKUP($C$6,'Diesel Fuel Prices'!$D$7:$BN$183,-6+AR53,0)/Generation_Efficiency</f>
        <v>0.90823147518846659</v>
      </c>
      <c r="AS74" s="187">
        <f>'Community data'!$L$23+'Community data'!$B$26/Generation_total*VLOOKUP($C$6,'Diesel Fuel Prices'!$D$7:$BN$183,-6+AS53,0)/Generation_Efficiency</f>
        <v>0.90823147518846659</v>
      </c>
      <c r="AT74" s="187">
        <f>'Community data'!$L$23+'Community data'!$B$26/Generation_total*VLOOKUP($C$6,'Diesel Fuel Prices'!$D$7:$BN$183,-6+AT53,0)/Generation_Efficiency</f>
        <v>0.90823147518846659</v>
      </c>
      <c r="AU74" s="187">
        <f>'Community data'!$L$23+'Community data'!$B$26/Generation_total*VLOOKUP($C$6,'Diesel Fuel Prices'!$D$7:$BN$183,-6+AU53,0)/Generation_Efficiency</f>
        <v>0.90823147518846659</v>
      </c>
      <c r="AV74" s="187">
        <f>'Community data'!$L$23+'Community data'!$B$26/Generation_total*VLOOKUP($C$6,'Diesel Fuel Prices'!$D$7:$BN$183,-6+AV53,0)/Generation_Efficiency</f>
        <v>0.90823147518846659</v>
      </c>
      <c r="AW74" s="187">
        <f>'Community data'!$L$23+'Community data'!$B$26/Generation_total*VLOOKUP($C$6,'Diesel Fuel Prices'!$D$7:$BN$183,-6+AW53,0)/Generation_Efficiency</f>
        <v>0.90823147518846659</v>
      </c>
      <c r="AX74" s="187">
        <f>'Community data'!$L$23+'Community data'!$B$26/Generation_total*VLOOKUP($C$6,'Diesel Fuel Prices'!$D$7:$BN$183,-6+AX53,0)/Generation_Efficiency</f>
        <v>0.90823147518846659</v>
      </c>
      <c r="AY74" s="187">
        <f>'Community data'!$L$23+'Community data'!$B$26/Generation_total*VLOOKUP($C$6,'Diesel Fuel Prices'!$D$7:$BN$183,-6+AY53,0)/Generation_Efficiency</f>
        <v>0.90823147518846659</v>
      </c>
      <c r="AZ74" s="187">
        <f>'Community data'!$L$23+'Community data'!$B$26/Generation_total*VLOOKUP($C$6,'Diesel Fuel Prices'!$D$7:$BN$183,-6+AZ53,0)/Generation_Efficiency</f>
        <v>0.90823147518846659</v>
      </c>
      <c r="BA74" s="187">
        <f>'Community data'!$L$23+'Community data'!$B$26/Generation_total*VLOOKUP($C$6,'Diesel Fuel Prices'!$D$7:$BN$183,-6+BA53,0)/Generation_Efficiency</f>
        <v>0.90823147518846659</v>
      </c>
      <c r="BB74" s="187">
        <f>'Community data'!$L$23+'Community data'!$B$26/Generation_total*VLOOKUP($C$6,'Diesel Fuel Prices'!$D$7:$BN$183,-6+BB53,0)/Generation_Efficiency</f>
        <v>0.90823147518846659</v>
      </c>
      <c r="BC74" s="187">
        <f>'Community data'!$L$23+'Community data'!$B$26/Generation_total*VLOOKUP($C$6,'Diesel Fuel Prices'!$D$7:$BN$183,-6+BC53,0)/Generation_Efficiency</f>
        <v>0.90823147518846659</v>
      </c>
      <c r="BD74" s="187">
        <f>'Community data'!$L$23+'Community data'!$B$26/Generation_total*VLOOKUP($C$6,'Diesel Fuel Prices'!$D$7:$BN$183,-6+BD53,0)/Generation_Efficiency</f>
        <v>0.90823147518846659</v>
      </c>
      <c r="BE74" s="187">
        <f>'Community data'!$L$23+'Community data'!$B$26/Generation_total*VLOOKUP($C$6,'Diesel Fuel Prices'!$D$7:$BN$183,-6+BE53,0)/Generation_Efficiency</f>
        <v>0.90823147518846659</v>
      </c>
      <c r="BF74" s="187">
        <f>'Community data'!$L$23+'Community data'!$B$26/Generation_total*VLOOKUP($C$6,'Diesel Fuel Prices'!$D$7:$BN$183,-6+BF53,0)/Generation_Efficiency</f>
        <v>0.90823147518846659</v>
      </c>
      <c r="BG74" s="187">
        <f>'Community data'!$L$23+'Community data'!$B$26/Generation_total*VLOOKUP($C$6,'Diesel Fuel Prices'!$D$7:$BN$183,-6+BG53,0)/Generation_Efficiency</f>
        <v>0.90823147518846659</v>
      </c>
      <c r="BH74" s="187">
        <f>'Community data'!$L$23+'Community data'!$B$26/Generation_total*VLOOKUP($C$6,'Diesel Fuel Prices'!$D$7:$BN$183,-6+BH53,0)/Generation_Efficiency</f>
        <v>0.90823147518846659</v>
      </c>
      <c r="BI74" s="175"/>
    </row>
    <row r="75" spans="2:67" s="192" customFormat="1" ht="12.75">
      <c r="B75" s="193"/>
      <c r="C75" s="182"/>
      <c r="D75" s="184" t="s">
        <v>1165</v>
      </c>
      <c r="E75" s="184" t="s">
        <v>264</v>
      </c>
      <c r="F75" s="197"/>
      <c r="G75" s="197">
        <f>G74*(G73-G67)</f>
        <v>40145.037757147024</v>
      </c>
      <c r="H75" s="197">
        <f>(H73-H67)*H74</f>
        <v>42823.979032734853</v>
      </c>
      <c r="I75" s="197">
        <f t="shared" ref="I75:BH75" si="16">(I73-I67)*I74</f>
        <v>43766.121949203058</v>
      </c>
      <c r="J75" s="197">
        <f t="shared" si="16"/>
        <v>43835.03031014069</v>
      </c>
      <c r="K75" s="197">
        <f t="shared" si="16"/>
        <v>44156.020662572235</v>
      </c>
      <c r="L75" s="197">
        <f t="shared" si="16"/>
        <v>44478.685381077048</v>
      </c>
      <c r="M75" s="197">
        <f t="shared" si="16"/>
        <v>44915.909969771317</v>
      </c>
      <c r="N75" s="197">
        <f t="shared" si="16"/>
        <v>45384.589698854739</v>
      </c>
      <c r="O75" s="197">
        <f t="shared" si="16"/>
        <v>45870.011306687709</v>
      </c>
      <c r="P75" s="197">
        <f t="shared" si="16"/>
        <v>46365.725933514172</v>
      </c>
      <c r="Q75" s="197">
        <f t="shared" si="16"/>
        <v>0</v>
      </c>
      <c r="R75" s="197">
        <f t="shared" si="16"/>
        <v>0</v>
      </c>
      <c r="S75" s="197">
        <f t="shared" si="16"/>
        <v>0</v>
      </c>
      <c r="T75" s="197">
        <f t="shared" si="16"/>
        <v>0</v>
      </c>
      <c r="U75" s="197">
        <f t="shared" si="16"/>
        <v>0</v>
      </c>
      <c r="V75" s="197">
        <f t="shared" si="16"/>
        <v>0</v>
      </c>
      <c r="W75" s="197">
        <f t="shared" si="16"/>
        <v>0</v>
      </c>
      <c r="X75" s="197">
        <f t="shared" si="16"/>
        <v>0</v>
      </c>
      <c r="Y75" s="197">
        <f t="shared" si="16"/>
        <v>0</v>
      </c>
      <c r="Z75" s="197">
        <f t="shared" si="16"/>
        <v>0</v>
      </c>
      <c r="AA75" s="197">
        <f t="shared" si="16"/>
        <v>0</v>
      </c>
      <c r="AB75" s="197">
        <f t="shared" si="16"/>
        <v>0</v>
      </c>
      <c r="AC75" s="197">
        <f t="shared" si="16"/>
        <v>0</v>
      </c>
      <c r="AD75" s="197">
        <f t="shared" si="16"/>
        <v>0</v>
      </c>
      <c r="AE75" s="197">
        <f t="shared" si="16"/>
        <v>0</v>
      </c>
      <c r="AF75" s="197">
        <f t="shared" si="16"/>
        <v>0</v>
      </c>
      <c r="AG75" s="197">
        <f t="shared" si="16"/>
        <v>0</v>
      </c>
      <c r="AH75" s="197">
        <f t="shared" si="16"/>
        <v>0</v>
      </c>
      <c r="AI75" s="197">
        <f t="shared" si="16"/>
        <v>0</v>
      </c>
      <c r="AJ75" s="197">
        <f t="shared" si="16"/>
        <v>0</v>
      </c>
      <c r="AK75" s="197">
        <f t="shared" si="16"/>
        <v>0</v>
      </c>
      <c r="AL75" s="197">
        <f t="shared" si="16"/>
        <v>0</v>
      </c>
      <c r="AM75" s="197">
        <f t="shared" si="16"/>
        <v>0</v>
      </c>
      <c r="AN75" s="197">
        <f t="shared" si="16"/>
        <v>0</v>
      </c>
      <c r="AO75" s="197">
        <f t="shared" si="16"/>
        <v>0</v>
      </c>
      <c r="AP75" s="197">
        <f t="shared" si="16"/>
        <v>0</v>
      </c>
      <c r="AQ75" s="197">
        <f t="shared" si="16"/>
        <v>0</v>
      </c>
      <c r="AR75" s="197">
        <f t="shared" si="16"/>
        <v>0</v>
      </c>
      <c r="AS75" s="197">
        <f t="shared" si="16"/>
        <v>0</v>
      </c>
      <c r="AT75" s="197">
        <f t="shared" si="16"/>
        <v>0</v>
      </c>
      <c r="AU75" s="197">
        <f t="shared" si="16"/>
        <v>0</v>
      </c>
      <c r="AV75" s="197">
        <f t="shared" si="16"/>
        <v>0</v>
      </c>
      <c r="AW75" s="197">
        <f t="shared" si="16"/>
        <v>0</v>
      </c>
      <c r="AX75" s="197">
        <f t="shared" si="16"/>
        <v>0</v>
      </c>
      <c r="AY75" s="197">
        <f t="shared" si="16"/>
        <v>0</v>
      </c>
      <c r="AZ75" s="197">
        <f t="shared" si="16"/>
        <v>0</v>
      </c>
      <c r="BA75" s="197">
        <f t="shared" si="16"/>
        <v>0</v>
      </c>
      <c r="BB75" s="197">
        <f t="shared" si="16"/>
        <v>0</v>
      </c>
      <c r="BC75" s="197">
        <f t="shared" si="16"/>
        <v>0</v>
      </c>
      <c r="BD75" s="197">
        <f t="shared" si="16"/>
        <v>0</v>
      </c>
      <c r="BE75" s="197">
        <f t="shared" si="16"/>
        <v>0</v>
      </c>
      <c r="BF75" s="197">
        <f t="shared" si="16"/>
        <v>0</v>
      </c>
      <c r="BG75" s="197">
        <f t="shared" si="16"/>
        <v>0</v>
      </c>
      <c r="BH75" s="197">
        <f t="shared" si="16"/>
        <v>0</v>
      </c>
      <c r="BI75" s="175">
        <f>NPV($D$49,F75:BH75)</f>
        <v>375683.85850271094</v>
      </c>
      <c r="BJ75" s="180"/>
      <c r="BK75" s="180"/>
      <c r="BL75" s="180"/>
      <c r="BM75" s="180"/>
      <c r="BN75" s="180"/>
      <c r="BO75" s="180"/>
    </row>
    <row r="76" spans="2:67"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67"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67"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67" ht="12.75">
      <c r="C79" s="168" t="s">
        <v>353</v>
      </c>
      <c r="D79" s="198"/>
      <c r="E79" s="170" t="s">
        <v>263</v>
      </c>
      <c r="F79" s="199">
        <v>2014</v>
      </c>
      <c r="G79" s="199">
        <f t="shared" ref="G79:BH79" si="17">F79+1</f>
        <v>2015</v>
      </c>
      <c r="H79" s="199">
        <f t="shared" si="17"/>
        <v>2016</v>
      </c>
      <c r="I79" s="199">
        <f t="shared" si="17"/>
        <v>2017</v>
      </c>
      <c r="J79" s="199">
        <f t="shared" si="17"/>
        <v>2018</v>
      </c>
      <c r="K79" s="199">
        <f t="shared" si="17"/>
        <v>2019</v>
      </c>
      <c r="L79" s="199">
        <f t="shared" si="17"/>
        <v>2020</v>
      </c>
      <c r="M79" s="199">
        <f t="shared" si="17"/>
        <v>2021</v>
      </c>
      <c r="N79" s="199">
        <f t="shared" si="17"/>
        <v>2022</v>
      </c>
      <c r="O79" s="199">
        <f t="shared" si="17"/>
        <v>2023</v>
      </c>
      <c r="P79" s="199">
        <f t="shared" si="17"/>
        <v>2024</v>
      </c>
      <c r="Q79" s="199">
        <f t="shared" si="17"/>
        <v>2025</v>
      </c>
      <c r="R79" s="199">
        <f t="shared" si="17"/>
        <v>2026</v>
      </c>
      <c r="S79" s="691">
        <f>R79+1</f>
        <v>2027</v>
      </c>
      <c r="T79" s="691">
        <f>S79+1</f>
        <v>2028</v>
      </c>
      <c r="U79" s="691">
        <f>T79+1</f>
        <v>2029</v>
      </c>
      <c r="V79" s="691">
        <f t="shared" si="17"/>
        <v>2030</v>
      </c>
      <c r="W79" s="691">
        <f t="shared" si="17"/>
        <v>2031</v>
      </c>
      <c r="X79" s="691">
        <f t="shared" si="17"/>
        <v>2032</v>
      </c>
      <c r="Y79" s="691">
        <f t="shared" si="17"/>
        <v>2033</v>
      </c>
      <c r="Z79" s="691">
        <f t="shared" si="17"/>
        <v>2034</v>
      </c>
      <c r="AA79" s="691">
        <f t="shared" si="17"/>
        <v>2035</v>
      </c>
      <c r="AB79" s="691">
        <f t="shared" si="17"/>
        <v>2036</v>
      </c>
      <c r="AC79" s="691">
        <f t="shared" si="17"/>
        <v>2037</v>
      </c>
      <c r="AD79" s="691">
        <f t="shared" si="17"/>
        <v>2038</v>
      </c>
      <c r="AE79" s="691">
        <f t="shared" si="17"/>
        <v>2039</v>
      </c>
      <c r="AF79" s="691">
        <f t="shared" si="17"/>
        <v>2040</v>
      </c>
      <c r="AG79" s="691">
        <f t="shared" si="17"/>
        <v>2041</v>
      </c>
      <c r="AH79" s="691">
        <f t="shared" si="17"/>
        <v>2042</v>
      </c>
      <c r="AI79" s="691">
        <f t="shared" si="17"/>
        <v>2043</v>
      </c>
      <c r="AJ79" s="691">
        <f t="shared" si="17"/>
        <v>2044</v>
      </c>
      <c r="AK79" s="691">
        <f t="shared" si="17"/>
        <v>2045</v>
      </c>
      <c r="AL79" s="691">
        <f t="shared" si="17"/>
        <v>2046</v>
      </c>
      <c r="AM79" s="691">
        <f t="shared" si="17"/>
        <v>2047</v>
      </c>
      <c r="AN79" s="691">
        <f t="shared" si="17"/>
        <v>2048</v>
      </c>
      <c r="AO79" s="691">
        <f t="shared" si="17"/>
        <v>2049</v>
      </c>
      <c r="AP79" s="691">
        <f t="shared" si="17"/>
        <v>2050</v>
      </c>
      <c r="AQ79" s="691">
        <f t="shared" si="17"/>
        <v>2051</v>
      </c>
      <c r="AR79" s="691">
        <f t="shared" si="17"/>
        <v>2052</v>
      </c>
      <c r="AS79" s="691">
        <f t="shared" si="17"/>
        <v>2053</v>
      </c>
      <c r="AT79" s="691">
        <f t="shared" si="17"/>
        <v>2054</v>
      </c>
      <c r="AU79" s="691">
        <f t="shared" si="17"/>
        <v>2055</v>
      </c>
      <c r="AV79" s="691">
        <f t="shared" si="17"/>
        <v>2056</v>
      </c>
      <c r="AW79" s="691">
        <f t="shared" si="17"/>
        <v>2057</v>
      </c>
      <c r="AX79" s="691">
        <f t="shared" si="17"/>
        <v>2058</v>
      </c>
      <c r="AY79" s="691">
        <f t="shared" si="17"/>
        <v>2059</v>
      </c>
      <c r="AZ79" s="691">
        <f t="shared" si="17"/>
        <v>2060</v>
      </c>
      <c r="BA79" s="691">
        <f t="shared" si="17"/>
        <v>2061</v>
      </c>
      <c r="BB79" s="691">
        <f t="shared" si="17"/>
        <v>2062</v>
      </c>
      <c r="BC79" s="691">
        <f t="shared" si="17"/>
        <v>2063</v>
      </c>
      <c r="BD79" s="691">
        <f t="shared" si="17"/>
        <v>2064</v>
      </c>
      <c r="BE79" s="691">
        <f t="shared" si="17"/>
        <v>2065</v>
      </c>
      <c r="BF79" s="691">
        <f t="shared" si="17"/>
        <v>2066</v>
      </c>
      <c r="BG79" s="691">
        <f t="shared" si="17"/>
        <v>2067</v>
      </c>
      <c r="BH79" s="691">
        <f t="shared" si="17"/>
        <v>2068</v>
      </c>
      <c r="BI79" s="697" t="s">
        <v>4</v>
      </c>
      <c r="BJ79" s="121"/>
      <c r="BK79" s="121"/>
      <c r="BL79" s="121"/>
      <c r="BM79" s="121"/>
      <c r="BN79" s="121"/>
      <c r="BO79" s="121"/>
    </row>
    <row r="80" spans="2:67" ht="12.75">
      <c r="C80" s="2005" t="s">
        <v>284</v>
      </c>
      <c r="D80" s="2007"/>
      <c r="E80" s="2007"/>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200"/>
      <c r="BJ80" s="121"/>
      <c r="BK80" s="121"/>
      <c r="BL80" s="121"/>
      <c r="BM80" s="121"/>
      <c r="BN80" s="121"/>
      <c r="BO80" s="121"/>
    </row>
    <row r="81" spans="2:67" ht="12.75">
      <c r="C81" s="201"/>
      <c r="D81" s="121" t="s">
        <v>879</v>
      </c>
      <c r="E81" s="121" t="s">
        <v>706</v>
      </c>
      <c r="F81" s="189">
        <f t="shared" ref="F81:AK81" si="18">IF(AND(F79+1&gt;$D$31,F79&lt;$D$31+$D$32),$X$25,0)</f>
        <v>0</v>
      </c>
      <c r="G81" s="189">
        <f>IF(AND(G79+1&gt;$D$31,G79&lt;$D$31+$D$32),$X$25,0)</f>
        <v>25133.716681665479</v>
      </c>
      <c r="H81" s="189">
        <f t="shared" si="18"/>
        <v>25133.716681665479</v>
      </c>
      <c r="I81" s="189">
        <f t="shared" si="18"/>
        <v>25133.716681665479</v>
      </c>
      <c r="J81" s="189">
        <f t="shared" si="18"/>
        <v>25133.716681665479</v>
      </c>
      <c r="K81" s="189">
        <f t="shared" si="18"/>
        <v>25133.716681665479</v>
      </c>
      <c r="L81" s="189">
        <f t="shared" si="18"/>
        <v>25133.716681665479</v>
      </c>
      <c r="M81" s="189">
        <f t="shared" si="18"/>
        <v>25133.716681665479</v>
      </c>
      <c r="N81" s="189">
        <f t="shared" si="18"/>
        <v>25133.716681665479</v>
      </c>
      <c r="O81" s="189">
        <f t="shared" si="18"/>
        <v>25133.716681665479</v>
      </c>
      <c r="P81" s="189">
        <f t="shared" si="18"/>
        <v>25133.716681665479</v>
      </c>
      <c r="Q81" s="189">
        <f t="shared" si="18"/>
        <v>0</v>
      </c>
      <c r="R81" s="189">
        <f t="shared" si="18"/>
        <v>0</v>
      </c>
      <c r="S81" s="189">
        <f t="shared" si="18"/>
        <v>0</v>
      </c>
      <c r="T81" s="189">
        <f t="shared" si="18"/>
        <v>0</v>
      </c>
      <c r="U81" s="189">
        <f t="shared" si="18"/>
        <v>0</v>
      </c>
      <c r="V81" s="189">
        <f t="shared" si="18"/>
        <v>0</v>
      </c>
      <c r="W81" s="189">
        <f t="shared" si="18"/>
        <v>0</v>
      </c>
      <c r="X81" s="189">
        <f t="shared" si="18"/>
        <v>0</v>
      </c>
      <c r="Y81" s="189">
        <f t="shared" si="18"/>
        <v>0</v>
      </c>
      <c r="Z81" s="189">
        <f t="shared" si="18"/>
        <v>0</v>
      </c>
      <c r="AA81" s="189">
        <f t="shared" si="18"/>
        <v>0</v>
      </c>
      <c r="AB81" s="189">
        <f t="shared" si="18"/>
        <v>0</v>
      </c>
      <c r="AC81" s="189">
        <f t="shared" si="18"/>
        <v>0</v>
      </c>
      <c r="AD81" s="189">
        <f t="shared" si="18"/>
        <v>0</v>
      </c>
      <c r="AE81" s="189">
        <f t="shared" si="18"/>
        <v>0</v>
      </c>
      <c r="AF81" s="189">
        <f t="shared" si="18"/>
        <v>0</v>
      </c>
      <c r="AG81" s="189">
        <f t="shared" si="18"/>
        <v>0</v>
      </c>
      <c r="AH81" s="189">
        <f t="shared" si="18"/>
        <v>0</v>
      </c>
      <c r="AI81" s="189">
        <f t="shared" si="18"/>
        <v>0</v>
      </c>
      <c r="AJ81" s="189">
        <f t="shared" si="18"/>
        <v>0</v>
      </c>
      <c r="AK81" s="189">
        <f t="shared" si="18"/>
        <v>0</v>
      </c>
      <c r="AL81" s="189">
        <f t="shared" ref="AL81:BH81" si="19">IF(AND(AL79+1&gt;$D$31,AL79&lt;$D$31+$D$32),$X$25,0)</f>
        <v>0</v>
      </c>
      <c r="AM81" s="189">
        <f t="shared" si="19"/>
        <v>0</v>
      </c>
      <c r="AN81" s="189">
        <f t="shared" si="19"/>
        <v>0</v>
      </c>
      <c r="AO81" s="189">
        <f t="shared" si="19"/>
        <v>0</v>
      </c>
      <c r="AP81" s="189">
        <f t="shared" si="19"/>
        <v>0</v>
      </c>
      <c r="AQ81" s="189">
        <f t="shared" si="19"/>
        <v>0</v>
      </c>
      <c r="AR81" s="189">
        <f t="shared" si="19"/>
        <v>0</v>
      </c>
      <c r="AS81" s="189">
        <f t="shared" si="19"/>
        <v>0</v>
      </c>
      <c r="AT81" s="189">
        <f t="shared" si="19"/>
        <v>0</v>
      </c>
      <c r="AU81" s="189">
        <f t="shared" si="19"/>
        <v>0</v>
      </c>
      <c r="AV81" s="189">
        <f t="shared" si="19"/>
        <v>0</v>
      </c>
      <c r="AW81" s="189">
        <f t="shared" si="19"/>
        <v>0</v>
      </c>
      <c r="AX81" s="189">
        <f t="shared" si="19"/>
        <v>0</v>
      </c>
      <c r="AY81" s="189">
        <f t="shared" si="19"/>
        <v>0</v>
      </c>
      <c r="AZ81" s="189">
        <f t="shared" si="19"/>
        <v>0</v>
      </c>
      <c r="BA81" s="189">
        <f t="shared" si="19"/>
        <v>0</v>
      </c>
      <c r="BB81" s="189">
        <f t="shared" si="19"/>
        <v>0</v>
      </c>
      <c r="BC81" s="189">
        <f t="shared" si="19"/>
        <v>0</v>
      </c>
      <c r="BD81" s="189">
        <f t="shared" si="19"/>
        <v>0</v>
      </c>
      <c r="BE81" s="189">
        <f t="shared" si="19"/>
        <v>0</v>
      </c>
      <c r="BF81" s="189">
        <f t="shared" si="19"/>
        <v>0</v>
      </c>
      <c r="BG81" s="189">
        <f t="shared" si="19"/>
        <v>0</v>
      </c>
      <c r="BH81" s="189">
        <f t="shared" si="19"/>
        <v>0</v>
      </c>
      <c r="BI81" s="175"/>
      <c r="BJ81" s="121"/>
      <c r="BK81" s="121"/>
      <c r="BL81" s="121"/>
      <c r="BM81" s="121"/>
      <c r="BN81" s="121"/>
      <c r="BO81" s="121"/>
    </row>
    <row r="82" spans="2:67" ht="12.75">
      <c r="B82" s="1812" t="s">
        <v>2333</v>
      </c>
      <c r="C82" s="201"/>
      <c r="D82" s="1792" t="s">
        <v>2016</v>
      </c>
      <c r="E82" s="1792" t="s">
        <v>2085</v>
      </c>
      <c r="F82" s="189"/>
      <c r="G82" s="189">
        <f>IF(AND(G79+1&gt;$D$31,G79&lt;$D$31+$D$32),G94-$V$20,0)</f>
        <v>0</v>
      </c>
      <c r="H82" s="189"/>
      <c r="I82" s="189"/>
      <c r="J82" s="189"/>
      <c r="K82" s="189"/>
      <c r="L82" s="189"/>
      <c r="M82" s="189"/>
      <c r="N82" s="189"/>
      <c r="O82" s="189"/>
      <c r="P82" s="189"/>
      <c r="Q82" s="189"/>
      <c r="R82" s="189"/>
      <c r="S82" s="189"/>
      <c r="T82" s="189"/>
      <c r="U82" s="189"/>
      <c r="V82" s="189"/>
      <c r="W82" s="189"/>
      <c r="X82" s="189"/>
      <c r="Y82" s="189"/>
      <c r="Z82" s="189"/>
      <c r="AA82" s="189"/>
      <c r="AB82" s="189"/>
      <c r="AC82" s="189"/>
      <c r="AD82" s="189"/>
      <c r="AE82" s="189"/>
      <c r="AF82" s="189"/>
      <c r="AG82" s="189"/>
      <c r="AH82" s="189"/>
      <c r="AI82" s="189"/>
      <c r="AJ82" s="189"/>
      <c r="AK82" s="189"/>
      <c r="AL82" s="189"/>
      <c r="AM82" s="189"/>
      <c r="AN82" s="189"/>
      <c r="AO82" s="189"/>
      <c r="AP82" s="189"/>
      <c r="AQ82" s="189"/>
      <c r="AR82" s="189"/>
      <c r="AS82" s="189"/>
      <c r="AT82" s="189"/>
      <c r="AU82" s="189"/>
      <c r="AV82" s="189"/>
      <c r="AW82" s="189"/>
      <c r="AX82" s="189"/>
      <c r="AY82" s="189"/>
      <c r="AZ82" s="189"/>
      <c r="BA82" s="189"/>
      <c r="BB82" s="189"/>
      <c r="BC82" s="189"/>
      <c r="BD82" s="189"/>
      <c r="BE82" s="189"/>
      <c r="BF82" s="189"/>
      <c r="BG82" s="189"/>
      <c r="BH82" s="189"/>
      <c r="BI82" s="175"/>
      <c r="BJ82" s="121"/>
      <c r="BK82" s="121"/>
      <c r="BL82" s="121"/>
      <c r="BM82" s="121"/>
      <c r="BN82" s="121"/>
      <c r="BO82" s="121"/>
    </row>
    <row r="83" spans="2:67" ht="12.75">
      <c r="B83" s="1812" t="s">
        <v>2333</v>
      </c>
      <c r="C83" s="201"/>
      <c r="D83" s="1792" t="s">
        <v>2007</v>
      </c>
      <c r="E83" s="1792" t="s">
        <v>2086</v>
      </c>
      <c r="F83" s="189"/>
      <c r="G83" s="189">
        <f>IF(AND(G79+1&gt;$D$31,G79&lt;$D$31+$D$32),G95-$T$20,0)</f>
        <v>0</v>
      </c>
      <c r="H83" s="189"/>
      <c r="I83" s="189"/>
      <c r="J83" s="189"/>
      <c r="K83" s="189"/>
      <c r="L83" s="189"/>
      <c r="M83" s="189"/>
      <c r="N83" s="189"/>
      <c r="O83" s="189"/>
      <c r="P83" s="189"/>
      <c r="Q83" s="189"/>
      <c r="R83" s="189"/>
      <c r="S83" s="189"/>
      <c r="T83" s="189"/>
      <c r="U83" s="189"/>
      <c r="V83" s="189"/>
      <c r="W83" s="189"/>
      <c r="X83" s="189"/>
      <c r="Y83" s="189"/>
      <c r="Z83" s="189"/>
      <c r="AA83" s="189"/>
      <c r="AB83" s="189"/>
      <c r="AC83" s="189"/>
      <c r="AD83" s="189"/>
      <c r="AE83" s="189"/>
      <c r="AF83" s="189"/>
      <c r="AG83" s="189"/>
      <c r="AH83" s="189"/>
      <c r="AI83" s="189"/>
      <c r="AJ83" s="189"/>
      <c r="AK83" s="189"/>
      <c r="AL83" s="189"/>
      <c r="AM83" s="189"/>
      <c r="AN83" s="189"/>
      <c r="AO83" s="189"/>
      <c r="AP83" s="189"/>
      <c r="AQ83" s="189"/>
      <c r="AR83" s="189"/>
      <c r="AS83" s="189"/>
      <c r="AT83" s="189"/>
      <c r="AU83" s="189"/>
      <c r="AV83" s="189"/>
      <c r="AW83" s="189"/>
      <c r="AX83" s="189"/>
      <c r="AY83" s="189"/>
      <c r="AZ83" s="189"/>
      <c r="BA83" s="189"/>
      <c r="BB83" s="189"/>
      <c r="BC83" s="189"/>
      <c r="BD83" s="189"/>
      <c r="BE83" s="189"/>
      <c r="BF83" s="189"/>
      <c r="BG83" s="189"/>
      <c r="BH83" s="189"/>
      <c r="BI83" s="175"/>
      <c r="BJ83" s="121"/>
      <c r="BK83" s="121"/>
      <c r="BL83" s="121"/>
      <c r="BM83" s="121"/>
      <c r="BN83" s="121"/>
      <c r="BO83" s="121"/>
    </row>
    <row r="84" spans="2:67" ht="12.75">
      <c r="B84" s="1812" t="s">
        <v>2333</v>
      </c>
      <c r="C84" s="201"/>
      <c r="D84" s="1792" t="s">
        <v>2084</v>
      </c>
      <c r="E84" s="1792" t="s">
        <v>706</v>
      </c>
      <c r="F84" s="189"/>
      <c r="G84" s="189">
        <f>IF(AND(G79+1&gt;$D$31,G79&lt;$D$31+$D$32),G96-$U$20,0)</f>
        <v>0</v>
      </c>
      <c r="H84" s="189"/>
      <c r="I84" s="189"/>
      <c r="J84" s="189"/>
      <c r="K84" s="189"/>
      <c r="L84" s="189"/>
      <c r="M84" s="189"/>
      <c r="N84" s="189"/>
      <c r="O84" s="189"/>
      <c r="P84" s="189"/>
      <c r="Q84" s="189"/>
      <c r="R84" s="189"/>
      <c r="S84" s="189"/>
      <c r="T84" s="189"/>
      <c r="U84" s="189"/>
      <c r="V84" s="189"/>
      <c r="W84" s="189"/>
      <c r="X84" s="189"/>
      <c r="Y84" s="189"/>
      <c r="Z84" s="189"/>
      <c r="AA84" s="189"/>
      <c r="AB84" s="189"/>
      <c r="AC84" s="189"/>
      <c r="AD84" s="189"/>
      <c r="AE84" s="189"/>
      <c r="AF84" s="189"/>
      <c r="AG84" s="189"/>
      <c r="AH84" s="189"/>
      <c r="AI84" s="189"/>
      <c r="AJ84" s="189"/>
      <c r="AK84" s="189"/>
      <c r="AL84" s="189"/>
      <c r="AM84" s="189"/>
      <c r="AN84" s="189"/>
      <c r="AO84" s="189"/>
      <c r="AP84" s="189"/>
      <c r="AQ84" s="189"/>
      <c r="AR84" s="189"/>
      <c r="AS84" s="189"/>
      <c r="AT84" s="189"/>
      <c r="AU84" s="189"/>
      <c r="AV84" s="189"/>
      <c r="AW84" s="189"/>
      <c r="AX84" s="189"/>
      <c r="AY84" s="189"/>
      <c r="AZ84" s="189"/>
      <c r="BA84" s="189"/>
      <c r="BB84" s="189"/>
      <c r="BC84" s="189"/>
      <c r="BD84" s="189"/>
      <c r="BE84" s="189"/>
      <c r="BF84" s="189"/>
      <c r="BG84" s="189"/>
      <c r="BH84" s="189"/>
      <c r="BI84" s="175"/>
      <c r="BJ84" s="121"/>
      <c r="BK84" s="121"/>
      <c r="BL84" s="121"/>
      <c r="BM84" s="121"/>
      <c r="BN84" s="121"/>
      <c r="BO84" s="121"/>
    </row>
    <row r="85" spans="2:67" ht="12.75">
      <c r="B85" s="1812" t="s">
        <v>2333</v>
      </c>
      <c r="C85" s="201"/>
      <c r="D85" s="1792" t="s">
        <v>340</v>
      </c>
      <c r="E85" s="1792" t="s">
        <v>2331</v>
      </c>
      <c r="F85" s="189"/>
      <c r="G85" s="189">
        <f>IF(AND(G79+1&gt;$D$31,G79&lt;$D$31+$D$32),G97-$R$20,0)</f>
        <v>0</v>
      </c>
      <c r="H85" s="189"/>
      <c r="I85" s="189"/>
      <c r="J85" s="189"/>
      <c r="K85" s="189"/>
      <c r="L85" s="189"/>
      <c r="M85" s="189"/>
      <c r="N85" s="189"/>
      <c r="O85" s="189"/>
      <c r="P85" s="189"/>
      <c r="Q85" s="189"/>
      <c r="R85" s="189"/>
      <c r="S85" s="189"/>
      <c r="T85" s="189"/>
      <c r="U85" s="189"/>
      <c r="V85" s="189"/>
      <c r="W85" s="189"/>
      <c r="X85" s="189"/>
      <c r="Y85" s="189"/>
      <c r="Z85" s="189"/>
      <c r="AA85" s="189"/>
      <c r="AB85" s="189"/>
      <c r="AC85" s="189"/>
      <c r="AD85" s="189"/>
      <c r="AE85" s="189"/>
      <c r="AF85" s="189"/>
      <c r="AG85" s="189"/>
      <c r="AH85" s="189"/>
      <c r="AI85" s="189"/>
      <c r="AJ85" s="189"/>
      <c r="AK85" s="189"/>
      <c r="AL85" s="189"/>
      <c r="AM85" s="189"/>
      <c r="AN85" s="189"/>
      <c r="AO85" s="189"/>
      <c r="AP85" s="189"/>
      <c r="AQ85" s="189"/>
      <c r="AR85" s="189"/>
      <c r="AS85" s="189"/>
      <c r="AT85" s="189"/>
      <c r="AU85" s="189"/>
      <c r="AV85" s="189"/>
      <c r="AW85" s="189"/>
      <c r="AX85" s="189"/>
      <c r="AY85" s="189"/>
      <c r="AZ85" s="189"/>
      <c r="BA85" s="189"/>
      <c r="BB85" s="189"/>
      <c r="BC85" s="189"/>
      <c r="BD85" s="189"/>
      <c r="BE85" s="189"/>
      <c r="BF85" s="189"/>
      <c r="BG85" s="189"/>
      <c r="BH85" s="189"/>
      <c r="BI85" s="175"/>
      <c r="BJ85" s="121"/>
      <c r="BK85" s="121"/>
      <c r="BL85" s="121"/>
      <c r="BM85" s="121"/>
      <c r="BN85" s="121"/>
      <c r="BO85" s="121"/>
    </row>
    <row r="86" spans="2:67" ht="12.75">
      <c r="C86" s="201"/>
      <c r="D86" s="121" t="s">
        <v>568</v>
      </c>
      <c r="E86" s="121" t="s">
        <v>264</v>
      </c>
      <c r="F86" s="176">
        <v>0</v>
      </c>
      <c r="G86" s="176"/>
      <c r="H86" s="176"/>
      <c r="I86" s="176"/>
      <c r="J86" s="176"/>
      <c r="K86" s="176"/>
      <c r="L86" s="176"/>
      <c r="M86" s="176"/>
      <c r="N86" s="176"/>
      <c r="O86" s="176"/>
      <c r="P86" s="176"/>
      <c r="Q86" s="176"/>
      <c r="R86" s="176"/>
      <c r="S86" s="176"/>
      <c r="T86" s="176"/>
      <c r="U86" s="176"/>
      <c r="V86" s="176"/>
      <c r="W86" s="176"/>
      <c r="X86" s="176"/>
      <c r="Y86" s="176"/>
      <c r="Z86" s="176"/>
      <c r="AA86" s="176"/>
      <c r="AB86" s="176">
        <v>0</v>
      </c>
      <c r="AC86" s="176">
        <v>0</v>
      </c>
      <c r="AD86" s="176">
        <v>0</v>
      </c>
      <c r="AE86" s="176">
        <v>0</v>
      </c>
      <c r="AF86" s="176">
        <v>0</v>
      </c>
      <c r="AG86" s="176">
        <v>0</v>
      </c>
      <c r="AH86" s="176">
        <v>0</v>
      </c>
      <c r="AI86" s="176">
        <v>0</v>
      </c>
      <c r="AJ86" s="176">
        <v>0</v>
      </c>
      <c r="AK86" s="176">
        <v>0</v>
      </c>
      <c r="AL86" s="176">
        <v>0</v>
      </c>
      <c r="AM86" s="176">
        <v>0</v>
      </c>
      <c r="AN86" s="176">
        <v>0</v>
      </c>
      <c r="AO86" s="176">
        <v>0</v>
      </c>
      <c r="AP86" s="176">
        <v>0</v>
      </c>
      <c r="AQ86" s="176">
        <v>0</v>
      </c>
      <c r="AR86" s="176">
        <v>0</v>
      </c>
      <c r="AS86" s="176">
        <v>0</v>
      </c>
      <c r="AT86" s="176">
        <v>0</v>
      </c>
      <c r="AU86" s="176">
        <v>0</v>
      </c>
      <c r="AV86" s="176">
        <v>0</v>
      </c>
      <c r="AW86" s="176">
        <v>0</v>
      </c>
      <c r="AX86" s="176">
        <v>0</v>
      </c>
      <c r="AY86" s="176">
        <v>0</v>
      </c>
      <c r="AZ86" s="176">
        <v>0</v>
      </c>
      <c r="BA86" s="176">
        <v>0</v>
      </c>
      <c r="BB86" s="176">
        <v>0</v>
      </c>
      <c r="BC86" s="176">
        <v>0</v>
      </c>
      <c r="BD86" s="176">
        <v>0</v>
      </c>
      <c r="BE86" s="176">
        <v>0</v>
      </c>
      <c r="BF86" s="176">
        <v>0</v>
      </c>
      <c r="BG86" s="176">
        <v>0</v>
      </c>
      <c r="BH86" s="176">
        <v>0</v>
      </c>
      <c r="BI86" s="175">
        <f>NPV($D$49,F86:BH86)</f>
        <v>0</v>
      </c>
      <c r="BJ86" s="121"/>
      <c r="BK86" s="121"/>
      <c r="BL86" s="121"/>
      <c r="BM86" s="121"/>
      <c r="BN86" s="121"/>
      <c r="BO86" s="121"/>
    </row>
    <row r="87" spans="2:67" ht="12.75">
      <c r="C87" s="201"/>
      <c r="D87" s="121" t="s">
        <v>567</v>
      </c>
      <c r="E87" s="121" t="s">
        <v>264</v>
      </c>
      <c r="F87" s="176">
        <v>0</v>
      </c>
      <c r="G87" s="176"/>
      <c r="H87" s="176"/>
      <c r="I87" s="176"/>
      <c r="J87" s="176"/>
      <c r="K87" s="176"/>
      <c r="L87" s="176"/>
      <c r="M87" s="176"/>
      <c r="N87" s="176"/>
      <c r="O87" s="176"/>
      <c r="P87" s="176"/>
      <c r="Q87" s="176"/>
      <c r="R87" s="176"/>
      <c r="S87" s="176"/>
      <c r="T87" s="176"/>
      <c r="U87" s="176"/>
      <c r="V87" s="176"/>
      <c r="W87" s="176"/>
      <c r="X87" s="176"/>
      <c r="Y87" s="176"/>
      <c r="Z87" s="176"/>
      <c r="AA87" s="176"/>
      <c r="AB87" s="176">
        <v>0</v>
      </c>
      <c r="AC87" s="176">
        <v>0</v>
      </c>
      <c r="AD87" s="176">
        <v>0</v>
      </c>
      <c r="AE87" s="176">
        <v>0</v>
      </c>
      <c r="AF87" s="176">
        <v>0</v>
      </c>
      <c r="AG87" s="176">
        <v>0</v>
      </c>
      <c r="AH87" s="176">
        <v>0</v>
      </c>
      <c r="AI87" s="176">
        <v>0</v>
      </c>
      <c r="AJ87" s="176">
        <v>0</v>
      </c>
      <c r="AK87" s="176">
        <v>0</v>
      </c>
      <c r="AL87" s="176">
        <v>0</v>
      </c>
      <c r="AM87" s="176">
        <v>0</v>
      </c>
      <c r="AN87" s="176">
        <v>0</v>
      </c>
      <c r="AO87" s="176">
        <v>0</v>
      </c>
      <c r="AP87" s="176">
        <v>0</v>
      </c>
      <c r="AQ87" s="176">
        <v>0</v>
      </c>
      <c r="AR87" s="176">
        <v>0</v>
      </c>
      <c r="AS87" s="176">
        <v>0</v>
      </c>
      <c r="AT87" s="176">
        <v>0</v>
      </c>
      <c r="AU87" s="176">
        <v>0</v>
      </c>
      <c r="AV87" s="176">
        <v>0</v>
      </c>
      <c r="AW87" s="176">
        <v>0</v>
      </c>
      <c r="AX87" s="176">
        <v>0</v>
      </c>
      <c r="AY87" s="176">
        <v>0</v>
      </c>
      <c r="AZ87" s="176">
        <v>0</v>
      </c>
      <c r="BA87" s="176">
        <v>0</v>
      </c>
      <c r="BB87" s="176">
        <v>0</v>
      </c>
      <c r="BC87" s="176">
        <v>0</v>
      </c>
      <c r="BD87" s="176">
        <v>0</v>
      </c>
      <c r="BE87" s="176">
        <v>0</v>
      </c>
      <c r="BF87" s="176">
        <v>0</v>
      </c>
      <c r="BG87" s="176">
        <v>0</v>
      </c>
      <c r="BH87" s="176">
        <v>0</v>
      </c>
      <c r="BI87" s="175">
        <f>NPV($D$49,F87:BH87)</f>
        <v>0</v>
      </c>
      <c r="BJ87" s="121"/>
      <c r="BK87" s="121"/>
      <c r="BL87" s="121"/>
      <c r="BM87" s="121"/>
      <c r="BN87" s="121"/>
      <c r="BO87" s="121"/>
    </row>
    <row r="88" spans="2:67" ht="12.75">
      <c r="C88" s="201"/>
      <c r="D88" s="121" t="s">
        <v>710</v>
      </c>
      <c r="E88" s="121" t="s">
        <v>269</v>
      </c>
      <c r="F88" s="176"/>
      <c r="G88" s="282">
        <f>G98</f>
        <v>4.2059794220983502</v>
      </c>
      <c r="H88" s="282">
        <f t="shared" ref="H88:AA88" si="20">H98</f>
        <v>4.6732754001702883</v>
      </c>
      <c r="I88" s="282">
        <f t="shared" si="20"/>
        <v>4.8376162909716216</v>
      </c>
      <c r="J88" s="282">
        <f t="shared" si="20"/>
        <v>4.8496361886136912</v>
      </c>
      <c r="K88" s="282">
        <f t="shared" si="20"/>
        <v>4.9056275244664125</v>
      </c>
      <c r="L88" s="282">
        <f t="shared" si="20"/>
        <v>4.9619109251504847</v>
      </c>
      <c r="M88" s="282">
        <f t="shared" si="20"/>
        <v>5.0381773568460284</v>
      </c>
      <c r="N88" s="282">
        <f t="shared" si="20"/>
        <v>5.1199306055642086</v>
      </c>
      <c r="O88" s="282">
        <f t="shared" si="20"/>
        <v>5.2046041917591079</v>
      </c>
      <c r="P88" s="282">
        <f t="shared" si="20"/>
        <v>5.2910732209604339</v>
      </c>
      <c r="Q88" s="282">
        <f t="shared" si="20"/>
        <v>5.377947971766412</v>
      </c>
      <c r="R88" s="282">
        <f t="shared" si="20"/>
        <v>5.4704967063761769</v>
      </c>
      <c r="S88" s="282">
        <f t="shared" si="20"/>
        <v>5.5653090792390989</v>
      </c>
      <c r="T88" s="282">
        <f t="shared" si="20"/>
        <v>5.6624414849609002</v>
      </c>
      <c r="U88" s="282">
        <f t="shared" si="20"/>
        <v>5.7619514121882238</v>
      </c>
      <c r="V88" s="282">
        <f t="shared" si="20"/>
        <v>5.863897589004015</v>
      </c>
      <c r="W88" s="282">
        <f t="shared" si="20"/>
        <v>5.9683408481979816</v>
      </c>
      <c r="X88" s="282">
        <f t="shared" si="20"/>
        <v>6.075342926874276</v>
      </c>
      <c r="Y88" s="282">
        <f t="shared" si="20"/>
        <v>6.184818158118297</v>
      </c>
      <c r="Z88" s="282">
        <f t="shared" si="20"/>
        <v>6.292419236935225</v>
      </c>
      <c r="AA88" s="282">
        <f t="shared" si="20"/>
        <v>6.4056246146124609</v>
      </c>
      <c r="AB88" s="176"/>
      <c r="AC88" s="176"/>
      <c r="AD88" s="176"/>
      <c r="AE88" s="176"/>
      <c r="AF88" s="176"/>
      <c r="AG88" s="176"/>
      <c r="AH88" s="176"/>
      <c r="AI88" s="176"/>
      <c r="AJ88" s="176"/>
      <c r="AK88" s="176"/>
      <c r="AL88" s="176"/>
      <c r="AM88" s="176"/>
      <c r="AN88" s="176"/>
      <c r="AO88" s="176"/>
      <c r="AP88" s="176"/>
      <c r="AQ88" s="176"/>
      <c r="AR88" s="176"/>
      <c r="AS88" s="176"/>
      <c r="AT88" s="176"/>
      <c r="AU88" s="176"/>
      <c r="AV88" s="176"/>
      <c r="AW88" s="176"/>
      <c r="AX88" s="176"/>
      <c r="AY88" s="176"/>
      <c r="AZ88" s="176"/>
      <c r="BA88" s="176"/>
      <c r="BB88" s="176"/>
      <c r="BC88" s="176"/>
      <c r="BD88" s="176"/>
      <c r="BE88" s="176"/>
      <c r="BF88" s="176"/>
      <c r="BG88" s="176"/>
      <c r="BH88" s="176"/>
      <c r="BI88" s="175"/>
      <c r="BJ88" s="121"/>
      <c r="BK88" s="121"/>
      <c r="BL88" s="121"/>
      <c r="BM88" s="121"/>
      <c r="BN88" s="121"/>
      <c r="BO88" s="121"/>
    </row>
    <row r="89" spans="2:67" ht="12.75">
      <c r="C89" s="201"/>
      <c r="D89" s="121" t="s">
        <v>711</v>
      </c>
      <c r="E89" s="121" t="s">
        <v>264</v>
      </c>
      <c r="F89" s="176"/>
      <c r="G89" s="282">
        <f t="shared" ref="G89:AL89" si="21">IF(AND(G$54&gt;=$D$31,G$54&lt;+($D$31+$D$32)),G88*G81,0)</f>
        <v>105711.89516393504</v>
      </c>
      <c r="H89" s="282">
        <f t="shared" si="21"/>
        <v>117456.77988327689</v>
      </c>
      <c r="I89" s="282">
        <f t="shared" si="21"/>
        <v>121587.27727189013</v>
      </c>
      <c r="J89" s="282">
        <f t="shared" si="21"/>
        <v>121889.38197376853</v>
      </c>
      <c r="K89" s="282">
        <f t="shared" si="21"/>
        <v>123296.6523457188</v>
      </c>
      <c r="L89" s="282">
        <f t="shared" si="21"/>
        <v>124711.26339239292</v>
      </c>
      <c r="M89" s="282">
        <f t="shared" si="21"/>
        <v>126628.12227895031</v>
      </c>
      <c r="N89" s="282">
        <f t="shared" si="21"/>
        <v>128682.88527003879</v>
      </c>
      <c r="O89" s="282">
        <f t="shared" si="21"/>
        <v>130811.04719588197</v>
      </c>
      <c r="P89" s="282">
        <f t="shared" si="21"/>
        <v>132984.33527756674</v>
      </c>
      <c r="Q89" s="282">
        <f t="shared" si="21"/>
        <v>0</v>
      </c>
      <c r="R89" s="282">
        <f t="shared" si="21"/>
        <v>0</v>
      </c>
      <c r="S89" s="282">
        <f t="shared" si="21"/>
        <v>0</v>
      </c>
      <c r="T89" s="282">
        <f t="shared" si="21"/>
        <v>0</v>
      </c>
      <c r="U89" s="282">
        <f t="shared" si="21"/>
        <v>0</v>
      </c>
      <c r="V89" s="282">
        <f t="shared" si="21"/>
        <v>0</v>
      </c>
      <c r="W89" s="282">
        <f t="shared" si="21"/>
        <v>0</v>
      </c>
      <c r="X89" s="282">
        <f t="shared" si="21"/>
        <v>0</v>
      </c>
      <c r="Y89" s="282">
        <f t="shared" si="21"/>
        <v>0</v>
      </c>
      <c r="Z89" s="282">
        <f t="shared" si="21"/>
        <v>0</v>
      </c>
      <c r="AA89" s="282">
        <f t="shared" si="21"/>
        <v>0</v>
      </c>
      <c r="AB89" s="282">
        <f t="shared" si="21"/>
        <v>0</v>
      </c>
      <c r="AC89" s="282">
        <f t="shared" si="21"/>
        <v>0</v>
      </c>
      <c r="AD89" s="282">
        <f t="shared" si="21"/>
        <v>0</v>
      </c>
      <c r="AE89" s="282">
        <f t="shared" si="21"/>
        <v>0</v>
      </c>
      <c r="AF89" s="282">
        <f t="shared" si="21"/>
        <v>0</v>
      </c>
      <c r="AG89" s="282">
        <f t="shared" si="21"/>
        <v>0</v>
      </c>
      <c r="AH89" s="282">
        <f t="shared" si="21"/>
        <v>0</v>
      </c>
      <c r="AI89" s="282">
        <f t="shared" si="21"/>
        <v>0</v>
      </c>
      <c r="AJ89" s="282">
        <f t="shared" si="21"/>
        <v>0</v>
      </c>
      <c r="AK89" s="282">
        <f t="shared" si="21"/>
        <v>0</v>
      </c>
      <c r="AL89" s="282">
        <f t="shared" si="21"/>
        <v>0</v>
      </c>
      <c r="AM89" s="282">
        <f t="shared" ref="AM89:BH89" si="22">IF(AND(AM$54&gt;=$D$31,AM$54&lt;+($D$31+$D$32)),AM88*AM81,0)</f>
        <v>0</v>
      </c>
      <c r="AN89" s="282">
        <f t="shared" si="22"/>
        <v>0</v>
      </c>
      <c r="AO89" s="282">
        <f t="shared" si="22"/>
        <v>0</v>
      </c>
      <c r="AP89" s="282">
        <f t="shared" si="22"/>
        <v>0</v>
      </c>
      <c r="AQ89" s="282">
        <f t="shared" si="22"/>
        <v>0</v>
      </c>
      <c r="AR89" s="282">
        <f t="shared" si="22"/>
        <v>0</v>
      </c>
      <c r="AS89" s="282">
        <f t="shared" si="22"/>
        <v>0</v>
      </c>
      <c r="AT89" s="282">
        <f t="shared" si="22"/>
        <v>0</v>
      </c>
      <c r="AU89" s="282">
        <f t="shared" si="22"/>
        <v>0</v>
      </c>
      <c r="AV89" s="282">
        <f t="shared" si="22"/>
        <v>0</v>
      </c>
      <c r="AW89" s="282">
        <f t="shared" si="22"/>
        <v>0</v>
      </c>
      <c r="AX89" s="282">
        <f t="shared" si="22"/>
        <v>0</v>
      </c>
      <c r="AY89" s="282">
        <f t="shared" si="22"/>
        <v>0</v>
      </c>
      <c r="AZ89" s="282">
        <f t="shared" si="22"/>
        <v>0</v>
      </c>
      <c r="BA89" s="282">
        <f t="shared" si="22"/>
        <v>0</v>
      </c>
      <c r="BB89" s="282">
        <f t="shared" si="22"/>
        <v>0</v>
      </c>
      <c r="BC89" s="282">
        <f t="shared" si="22"/>
        <v>0</v>
      </c>
      <c r="BD89" s="282">
        <f t="shared" si="22"/>
        <v>0</v>
      </c>
      <c r="BE89" s="282">
        <f t="shared" si="22"/>
        <v>0</v>
      </c>
      <c r="BF89" s="282">
        <f t="shared" si="22"/>
        <v>0</v>
      </c>
      <c r="BG89" s="282">
        <f t="shared" si="22"/>
        <v>0</v>
      </c>
      <c r="BH89" s="282">
        <f t="shared" si="22"/>
        <v>0</v>
      </c>
      <c r="BI89" s="175">
        <f>NPV($D$49,F89:BH89)</f>
        <v>1047466.7223615889</v>
      </c>
      <c r="BJ89" s="121"/>
      <c r="BK89" s="121"/>
      <c r="BL89" s="121"/>
      <c r="BM89" s="121"/>
      <c r="BN89" s="121"/>
      <c r="BO89" s="121"/>
    </row>
    <row r="90" spans="2:67" s="192" customFormat="1" ht="12.75">
      <c r="B90" s="193"/>
      <c r="C90" s="190"/>
      <c r="D90" s="180" t="s">
        <v>373</v>
      </c>
      <c r="E90" s="180" t="s">
        <v>264</v>
      </c>
      <c r="F90" s="194">
        <f t="shared" ref="F90:BH90" si="23">F86+F87</f>
        <v>0</v>
      </c>
      <c r="G90" s="194">
        <f>G89+G87+G86</f>
        <v>105711.89516393504</v>
      </c>
      <c r="H90" s="194">
        <f t="shared" ref="H90:AA90" si="24">H89+H87+H86</f>
        <v>117456.77988327689</v>
      </c>
      <c r="I90" s="194">
        <f t="shared" si="24"/>
        <v>121587.27727189013</v>
      </c>
      <c r="J90" s="194">
        <f t="shared" si="24"/>
        <v>121889.38197376853</v>
      </c>
      <c r="K90" s="194">
        <f t="shared" si="24"/>
        <v>123296.6523457188</v>
      </c>
      <c r="L90" s="194">
        <f t="shared" si="24"/>
        <v>124711.26339239292</v>
      </c>
      <c r="M90" s="194">
        <f t="shared" si="24"/>
        <v>126628.12227895031</v>
      </c>
      <c r="N90" s="194">
        <f t="shared" si="24"/>
        <v>128682.88527003879</v>
      </c>
      <c r="O90" s="194">
        <f t="shared" si="24"/>
        <v>130811.04719588197</v>
      </c>
      <c r="P90" s="194">
        <f t="shared" si="24"/>
        <v>132984.33527756674</v>
      </c>
      <c r="Q90" s="194">
        <f t="shared" si="24"/>
        <v>0</v>
      </c>
      <c r="R90" s="194">
        <f t="shared" si="24"/>
        <v>0</v>
      </c>
      <c r="S90" s="194">
        <f t="shared" si="24"/>
        <v>0</v>
      </c>
      <c r="T90" s="194">
        <f t="shared" si="24"/>
        <v>0</v>
      </c>
      <c r="U90" s="194">
        <f t="shared" si="24"/>
        <v>0</v>
      </c>
      <c r="V90" s="194">
        <f t="shared" si="24"/>
        <v>0</v>
      </c>
      <c r="W90" s="194">
        <f t="shared" si="24"/>
        <v>0</v>
      </c>
      <c r="X90" s="194">
        <f t="shared" si="24"/>
        <v>0</v>
      </c>
      <c r="Y90" s="194">
        <f t="shared" si="24"/>
        <v>0</v>
      </c>
      <c r="Z90" s="194">
        <f t="shared" si="24"/>
        <v>0</v>
      </c>
      <c r="AA90" s="194">
        <f t="shared" si="24"/>
        <v>0</v>
      </c>
      <c r="AB90" s="194">
        <f t="shared" si="23"/>
        <v>0</v>
      </c>
      <c r="AC90" s="194">
        <f t="shared" si="23"/>
        <v>0</v>
      </c>
      <c r="AD90" s="194">
        <f t="shared" si="23"/>
        <v>0</v>
      </c>
      <c r="AE90" s="194">
        <f t="shared" si="23"/>
        <v>0</v>
      </c>
      <c r="AF90" s="194">
        <f t="shared" si="23"/>
        <v>0</v>
      </c>
      <c r="AG90" s="194">
        <f t="shared" si="23"/>
        <v>0</v>
      </c>
      <c r="AH90" s="194">
        <f t="shared" si="23"/>
        <v>0</v>
      </c>
      <c r="AI90" s="194">
        <f t="shared" si="23"/>
        <v>0</v>
      </c>
      <c r="AJ90" s="194">
        <f t="shared" si="23"/>
        <v>0</v>
      </c>
      <c r="AK90" s="194">
        <f t="shared" si="23"/>
        <v>0</v>
      </c>
      <c r="AL90" s="194">
        <f t="shared" si="23"/>
        <v>0</v>
      </c>
      <c r="AM90" s="194">
        <f t="shared" si="23"/>
        <v>0</v>
      </c>
      <c r="AN90" s="194">
        <f t="shared" si="23"/>
        <v>0</v>
      </c>
      <c r="AO90" s="194">
        <f t="shared" si="23"/>
        <v>0</v>
      </c>
      <c r="AP90" s="194">
        <f t="shared" si="23"/>
        <v>0</v>
      </c>
      <c r="AQ90" s="194">
        <f t="shared" si="23"/>
        <v>0</v>
      </c>
      <c r="AR90" s="194">
        <f t="shared" si="23"/>
        <v>0</v>
      </c>
      <c r="AS90" s="194">
        <f t="shared" si="23"/>
        <v>0</v>
      </c>
      <c r="AT90" s="194">
        <f t="shared" si="23"/>
        <v>0</v>
      </c>
      <c r="AU90" s="194">
        <f t="shared" si="23"/>
        <v>0</v>
      </c>
      <c r="AV90" s="194">
        <f t="shared" si="23"/>
        <v>0</v>
      </c>
      <c r="AW90" s="194">
        <f t="shared" si="23"/>
        <v>0</v>
      </c>
      <c r="AX90" s="194">
        <f t="shared" si="23"/>
        <v>0</v>
      </c>
      <c r="AY90" s="194">
        <f t="shared" si="23"/>
        <v>0</v>
      </c>
      <c r="AZ90" s="194">
        <f t="shared" si="23"/>
        <v>0</v>
      </c>
      <c r="BA90" s="194">
        <f t="shared" si="23"/>
        <v>0</v>
      </c>
      <c r="BB90" s="194">
        <f t="shared" si="23"/>
        <v>0</v>
      </c>
      <c r="BC90" s="194">
        <f t="shared" si="23"/>
        <v>0</v>
      </c>
      <c r="BD90" s="194">
        <f t="shared" si="23"/>
        <v>0</v>
      </c>
      <c r="BE90" s="194">
        <f t="shared" si="23"/>
        <v>0</v>
      </c>
      <c r="BF90" s="194">
        <f t="shared" si="23"/>
        <v>0</v>
      </c>
      <c r="BG90" s="194">
        <f t="shared" si="23"/>
        <v>0</v>
      </c>
      <c r="BH90" s="194">
        <f t="shared" si="23"/>
        <v>0</v>
      </c>
      <c r="BI90" s="175">
        <f>NPV($D$49,F90:BH90)</f>
        <v>1016957.9828753291</v>
      </c>
      <c r="BJ90" s="180"/>
      <c r="BK90" s="180"/>
      <c r="BL90" s="180"/>
      <c r="BM90" s="180"/>
      <c r="BN90" s="180"/>
      <c r="BO90" s="180"/>
    </row>
    <row r="91" spans="2:67" ht="12.75">
      <c r="C91" s="190"/>
      <c r="D91" s="121"/>
      <c r="E91" s="121"/>
      <c r="F91" s="195"/>
      <c r="G91" s="195"/>
      <c r="H91" s="195"/>
      <c r="I91" s="195"/>
      <c r="J91" s="195"/>
      <c r="K91" s="195"/>
      <c r="L91" s="195"/>
      <c r="M91" s="195"/>
      <c r="N91" s="195"/>
      <c r="O91" s="195"/>
      <c r="P91" s="195"/>
      <c r="Q91" s="195"/>
      <c r="R91" s="195"/>
      <c r="S91" s="195"/>
      <c r="T91" s="195"/>
      <c r="U91" s="195"/>
      <c r="V91" s="195"/>
      <c r="W91" s="195"/>
      <c r="X91" s="195"/>
      <c r="Y91" s="195"/>
      <c r="Z91" s="195"/>
      <c r="AA91" s="195"/>
      <c r="AB91" s="195"/>
      <c r="AC91" s="195"/>
      <c r="AD91" s="195"/>
      <c r="AE91" s="195"/>
      <c r="AF91" s="195"/>
      <c r="AG91" s="195"/>
      <c r="AH91" s="195"/>
      <c r="AI91" s="195"/>
      <c r="AJ91" s="195"/>
      <c r="AK91" s="195"/>
      <c r="AL91" s="195"/>
      <c r="AM91" s="195"/>
      <c r="AN91" s="195"/>
      <c r="AO91" s="195"/>
      <c r="AP91" s="195"/>
      <c r="AQ91" s="195"/>
      <c r="AR91" s="195"/>
      <c r="AS91" s="195"/>
      <c r="AT91" s="195"/>
      <c r="AU91" s="195"/>
      <c r="AV91" s="195"/>
      <c r="AW91" s="195"/>
      <c r="AX91" s="195"/>
      <c r="AY91" s="195"/>
      <c r="AZ91" s="195"/>
      <c r="BA91" s="195"/>
      <c r="BB91" s="195"/>
      <c r="BC91" s="195"/>
      <c r="BD91" s="195"/>
      <c r="BE91" s="195"/>
      <c r="BF91" s="195"/>
      <c r="BG91" s="195"/>
      <c r="BH91" s="195"/>
      <c r="BI91" s="175"/>
      <c r="BJ91" s="121"/>
      <c r="BK91" s="121"/>
      <c r="BL91" s="121"/>
      <c r="BM91" s="121"/>
      <c r="BN91" s="121"/>
      <c r="BO91" s="121"/>
    </row>
    <row r="92" spans="2:67" ht="12.75">
      <c r="C92" s="2005" t="s">
        <v>285</v>
      </c>
      <c r="D92" s="2007"/>
      <c r="E92" s="2007"/>
      <c r="F92" s="121"/>
      <c r="G92" s="121"/>
      <c r="H92" s="121"/>
      <c r="I92" s="121"/>
      <c r="J92" s="121"/>
      <c r="K92" s="121"/>
      <c r="L92" s="121"/>
      <c r="M92" s="121"/>
      <c r="N92" s="121"/>
      <c r="O92" s="121"/>
      <c r="P92" s="121"/>
      <c r="Q92" s="121"/>
      <c r="R92" s="121"/>
      <c r="S92" s="121"/>
      <c r="T92" s="121"/>
      <c r="U92" s="121"/>
      <c r="V92" s="121"/>
      <c r="W92" s="121"/>
      <c r="X92" s="121"/>
      <c r="Y92" s="121"/>
      <c r="Z92" s="121"/>
      <c r="AA92" s="121"/>
      <c r="AB92" s="121"/>
      <c r="AC92" s="121"/>
      <c r="AD92" s="121"/>
      <c r="AE92" s="121"/>
      <c r="AF92" s="121"/>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200"/>
      <c r="BJ92" s="121"/>
      <c r="BK92" s="121"/>
      <c r="BL92" s="121"/>
      <c r="BM92" s="121"/>
      <c r="BN92" s="121"/>
      <c r="BO92" s="121"/>
    </row>
    <row r="93" spans="2:67" ht="12.75">
      <c r="C93" s="201"/>
      <c r="D93" s="121" t="s">
        <v>712</v>
      </c>
      <c r="E93" s="121" t="str">
        <f>IF(C7="railbelt south of Alaska Range","mmBtu per year","gallons per year")</f>
        <v>gallons per year</v>
      </c>
      <c r="F93" s="196">
        <f>IF(AND(F$54&gt;=$D$31,F$54&lt;+($D$31+$D$32)),$V$25,0)</f>
        <v>0</v>
      </c>
      <c r="G93" s="196">
        <f t="shared" ref="G93:AL93" si="25">$V$25</f>
        <v>33964.482002250646</v>
      </c>
      <c r="H93" s="196">
        <f t="shared" si="25"/>
        <v>33964.482002250646</v>
      </c>
      <c r="I93" s="196">
        <f t="shared" si="25"/>
        <v>33964.482002250646</v>
      </c>
      <c r="J93" s="196">
        <f t="shared" si="25"/>
        <v>33964.482002250646</v>
      </c>
      <c r="K93" s="196">
        <f t="shared" si="25"/>
        <v>33964.482002250646</v>
      </c>
      <c r="L93" s="196">
        <f t="shared" si="25"/>
        <v>33964.482002250646</v>
      </c>
      <c r="M93" s="196">
        <f t="shared" si="25"/>
        <v>33964.482002250646</v>
      </c>
      <c r="N93" s="196">
        <f t="shared" si="25"/>
        <v>33964.482002250646</v>
      </c>
      <c r="O93" s="196">
        <f t="shared" si="25"/>
        <v>33964.482002250646</v>
      </c>
      <c r="P93" s="196">
        <f t="shared" si="25"/>
        <v>33964.482002250646</v>
      </c>
      <c r="Q93" s="196">
        <f t="shared" si="25"/>
        <v>33964.482002250646</v>
      </c>
      <c r="R93" s="196">
        <f t="shared" si="25"/>
        <v>33964.482002250646</v>
      </c>
      <c r="S93" s="196">
        <f t="shared" si="25"/>
        <v>33964.482002250646</v>
      </c>
      <c r="T93" s="196">
        <f t="shared" si="25"/>
        <v>33964.482002250646</v>
      </c>
      <c r="U93" s="196">
        <f t="shared" si="25"/>
        <v>33964.482002250646</v>
      </c>
      <c r="V93" s="196">
        <f t="shared" si="25"/>
        <v>33964.482002250646</v>
      </c>
      <c r="W93" s="196">
        <f t="shared" si="25"/>
        <v>33964.482002250646</v>
      </c>
      <c r="X93" s="196">
        <f t="shared" si="25"/>
        <v>33964.482002250646</v>
      </c>
      <c r="Y93" s="196">
        <f t="shared" si="25"/>
        <v>33964.482002250646</v>
      </c>
      <c r="Z93" s="196">
        <f t="shared" si="25"/>
        <v>33964.482002250646</v>
      </c>
      <c r="AA93" s="196">
        <f t="shared" si="25"/>
        <v>33964.482002250646</v>
      </c>
      <c r="AB93" s="196">
        <f t="shared" si="25"/>
        <v>33964.482002250646</v>
      </c>
      <c r="AC93" s="196">
        <f t="shared" si="25"/>
        <v>33964.482002250646</v>
      </c>
      <c r="AD93" s="196">
        <f t="shared" si="25"/>
        <v>33964.482002250646</v>
      </c>
      <c r="AE93" s="196">
        <f t="shared" si="25"/>
        <v>33964.482002250646</v>
      </c>
      <c r="AF93" s="196">
        <f t="shared" si="25"/>
        <v>33964.482002250646</v>
      </c>
      <c r="AG93" s="196">
        <f t="shared" si="25"/>
        <v>33964.482002250646</v>
      </c>
      <c r="AH93" s="196">
        <f t="shared" si="25"/>
        <v>33964.482002250646</v>
      </c>
      <c r="AI93" s="196">
        <f t="shared" si="25"/>
        <v>33964.482002250646</v>
      </c>
      <c r="AJ93" s="196">
        <f t="shared" si="25"/>
        <v>33964.482002250646</v>
      </c>
      <c r="AK93" s="196">
        <f t="shared" si="25"/>
        <v>33964.482002250646</v>
      </c>
      <c r="AL93" s="196">
        <f t="shared" si="25"/>
        <v>33964.482002250646</v>
      </c>
      <c r="AM93" s="196">
        <f t="shared" ref="AM93:BH93" si="26">$V$25</f>
        <v>33964.482002250646</v>
      </c>
      <c r="AN93" s="196">
        <f t="shared" si="26"/>
        <v>33964.482002250646</v>
      </c>
      <c r="AO93" s="196">
        <f t="shared" si="26"/>
        <v>33964.482002250646</v>
      </c>
      <c r="AP93" s="196">
        <f t="shared" si="26"/>
        <v>33964.482002250646</v>
      </c>
      <c r="AQ93" s="196">
        <f t="shared" si="26"/>
        <v>33964.482002250646</v>
      </c>
      <c r="AR93" s="196">
        <f t="shared" si="26"/>
        <v>33964.482002250646</v>
      </c>
      <c r="AS93" s="196">
        <f t="shared" si="26"/>
        <v>33964.482002250646</v>
      </c>
      <c r="AT93" s="196">
        <f t="shared" si="26"/>
        <v>33964.482002250646</v>
      </c>
      <c r="AU93" s="196">
        <f t="shared" si="26"/>
        <v>33964.482002250646</v>
      </c>
      <c r="AV93" s="196">
        <f t="shared" si="26"/>
        <v>33964.482002250646</v>
      </c>
      <c r="AW93" s="196">
        <f t="shared" si="26"/>
        <v>33964.482002250646</v>
      </c>
      <c r="AX93" s="196">
        <f t="shared" si="26"/>
        <v>33964.482002250646</v>
      </c>
      <c r="AY93" s="196">
        <f t="shared" si="26"/>
        <v>33964.482002250646</v>
      </c>
      <c r="AZ93" s="196">
        <f t="shared" si="26"/>
        <v>33964.482002250646</v>
      </c>
      <c r="BA93" s="196">
        <f t="shared" si="26"/>
        <v>33964.482002250646</v>
      </c>
      <c r="BB93" s="196">
        <f t="shared" si="26"/>
        <v>33964.482002250646</v>
      </c>
      <c r="BC93" s="196">
        <f t="shared" si="26"/>
        <v>33964.482002250646</v>
      </c>
      <c r="BD93" s="196">
        <f t="shared" si="26"/>
        <v>33964.482002250646</v>
      </c>
      <c r="BE93" s="196">
        <f t="shared" si="26"/>
        <v>33964.482002250646</v>
      </c>
      <c r="BF93" s="196">
        <f t="shared" si="26"/>
        <v>33964.482002250646</v>
      </c>
      <c r="BG93" s="196">
        <f t="shared" si="26"/>
        <v>33964.482002250646</v>
      </c>
      <c r="BH93" s="196">
        <f t="shared" si="26"/>
        <v>33964.482002250646</v>
      </c>
      <c r="BI93" s="175"/>
      <c r="BJ93" s="121"/>
      <c r="BK93" s="121"/>
      <c r="BL93" s="121"/>
      <c r="BM93" s="121"/>
      <c r="BN93" s="121"/>
      <c r="BO93" s="121"/>
    </row>
    <row r="94" spans="2:67" ht="12.75">
      <c r="B94" s="1812" t="s">
        <v>2333</v>
      </c>
      <c r="C94" s="201"/>
      <c r="D94" s="1792" t="s">
        <v>2016</v>
      </c>
      <c r="E94" s="1792" t="s">
        <v>2085</v>
      </c>
      <c r="F94" s="196"/>
      <c r="G94" s="1814">
        <f>$P$20</f>
        <v>0</v>
      </c>
      <c r="H94" s="1814">
        <f t="shared" ref="H94:BH94" si="27">$O$20</f>
        <v>0</v>
      </c>
      <c r="I94" s="1814">
        <f t="shared" si="27"/>
        <v>0</v>
      </c>
      <c r="J94" s="1814">
        <f t="shared" si="27"/>
        <v>0</v>
      </c>
      <c r="K94" s="1814">
        <f t="shared" si="27"/>
        <v>0</v>
      </c>
      <c r="L94" s="1814">
        <f t="shared" si="27"/>
        <v>0</v>
      </c>
      <c r="M94" s="1814">
        <f t="shared" si="27"/>
        <v>0</v>
      </c>
      <c r="N94" s="1814">
        <f t="shared" si="27"/>
        <v>0</v>
      </c>
      <c r="O94" s="1814">
        <f t="shared" si="27"/>
        <v>0</v>
      </c>
      <c r="P94" s="1814">
        <f t="shared" si="27"/>
        <v>0</v>
      </c>
      <c r="Q94" s="1814">
        <f t="shared" si="27"/>
        <v>0</v>
      </c>
      <c r="R94" s="1814">
        <f t="shared" si="27"/>
        <v>0</v>
      </c>
      <c r="S94" s="1814">
        <f t="shared" si="27"/>
        <v>0</v>
      </c>
      <c r="T94" s="1814">
        <f t="shared" si="27"/>
        <v>0</v>
      </c>
      <c r="U94" s="1814">
        <f t="shared" si="27"/>
        <v>0</v>
      </c>
      <c r="V94" s="1814">
        <f t="shared" si="27"/>
        <v>0</v>
      </c>
      <c r="W94" s="1814">
        <f t="shared" si="27"/>
        <v>0</v>
      </c>
      <c r="X94" s="1814">
        <f t="shared" si="27"/>
        <v>0</v>
      </c>
      <c r="Y94" s="1814">
        <f t="shared" si="27"/>
        <v>0</v>
      </c>
      <c r="Z94" s="1814">
        <f t="shared" si="27"/>
        <v>0</v>
      </c>
      <c r="AA94" s="1814">
        <f t="shared" si="27"/>
        <v>0</v>
      </c>
      <c r="AB94" s="1814">
        <f t="shared" si="27"/>
        <v>0</v>
      </c>
      <c r="AC94" s="1814">
        <f t="shared" si="27"/>
        <v>0</v>
      </c>
      <c r="AD94" s="1814">
        <f t="shared" si="27"/>
        <v>0</v>
      </c>
      <c r="AE94" s="1814">
        <f t="shared" si="27"/>
        <v>0</v>
      </c>
      <c r="AF94" s="1814">
        <f t="shared" si="27"/>
        <v>0</v>
      </c>
      <c r="AG94" s="1814">
        <f t="shared" si="27"/>
        <v>0</v>
      </c>
      <c r="AH94" s="1814">
        <f t="shared" si="27"/>
        <v>0</v>
      </c>
      <c r="AI94" s="1814">
        <f t="shared" si="27"/>
        <v>0</v>
      </c>
      <c r="AJ94" s="1814">
        <f t="shared" si="27"/>
        <v>0</v>
      </c>
      <c r="AK94" s="1814">
        <f t="shared" si="27"/>
        <v>0</v>
      </c>
      <c r="AL94" s="1814">
        <f t="shared" si="27"/>
        <v>0</v>
      </c>
      <c r="AM94" s="1814">
        <f t="shared" si="27"/>
        <v>0</v>
      </c>
      <c r="AN94" s="1814">
        <f t="shared" si="27"/>
        <v>0</v>
      </c>
      <c r="AO94" s="1814">
        <f t="shared" si="27"/>
        <v>0</v>
      </c>
      <c r="AP94" s="1814">
        <f t="shared" si="27"/>
        <v>0</v>
      </c>
      <c r="AQ94" s="1814">
        <f t="shared" si="27"/>
        <v>0</v>
      </c>
      <c r="AR94" s="1814">
        <f t="shared" si="27"/>
        <v>0</v>
      </c>
      <c r="AS94" s="1814">
        <f t="shared" si="27"/>
        <v>0</v>
      </c>
      <c r="AT94" s="1814">
        <f t="shared" si="27"/>
        <v>0</v>
      </c>
      <c r="AU94" s="1814">
        <f t="shared" si="27"/>
        <v>0</v>
      </c>
      <c r="AV94" s="1814">
        <f t="shared" si="27"/>
        <v>0</v>
      </c>
      <c r="AW94" s="1814">
        <f t="shared" si="27"/>
        <v>0</v>
      </c>
      <c r="AX94" s="1814">
        <f t="shared" si="27"/>
        <v>0</v>
      </c>
      <c r="AY94" s="1814">
        <f t="shared" si="27"/>
        <v>0</v>
      </c>
      <c r="AZ94" s="1814">
        <f t="shared" si="27"/>
        <v>0</v>
      </c>
      <c r="BA94" s="1814">
        <f t="shared" si="27"/>
        <v>0</v>
      </c>
      <c r="BB94" s="1814">
        <f t="shared" si="27"/>
        <v>0</v>
      </c>
      <c r="BC94" s="1814">
        <f t="shared" si="27"/>
        <v>0</v>
      </c>
      <c r="BD94" s="1814">
        <f t="shared" si="27"/>
        <v>0</v>
      </c>
      <c r="BE94" s="1814">
        <f t="shared" si="27"/>
        <v>0</v>
      </c>
      <c r="BF94" s="1814">
        <f t="shared" si="27"/>
        <v>0</v>
      </c>
      <c r="BG94" s="1814">
        <f t="shared" si="27"/>
        <v>0</v>
      </c>
      <c r="BH94" s="1814">
        <f t="shared" si="27"/>
        <v>0</v>
      </c>
      <c r="BI94" s="175"/>
      <c r="BJ94" s="121"/>
      <c r="BK94" s="121"/>
      <c r="BL94" s="121"/>
      <c r="BM94" s="121"/>
      <c r="BN94" s="121"/>
      <c r="BO94" s="121"/>
    </row>
    <row r="95" spans="2:67" ht="12.75">
      <c r="B95" s="1812" t="s">
        <v>2333</v>
      </c>
      <c r="C95" s="201"/>
      <c r="D95" s="1792" t="s">
        <v>2007</v>
      </c>
      <c r="E95" s="1792" t="s">
        <v>2086</v>
      </c>
      <c r="F95" s="196"/>
      <c r="G95" s="1814">
        <f>$N$20</f>
        <v>0</v>
      </c>
      <c r="H95" s="1814">
        <f t="shared" ref="H95:BH95" si="28">$N$20</f>
        <v>0</v>
      </c>
      <c r="I95" s="1814">
        <f t="shared" si="28"/>
        <v>0</v>
      </c>
      <c r="J95" s="1814">
        <f t="shared" si="28"/>
        <v>0</v>
      </c>
      <c r="K95" s="1814">
        <f t="shared" si="28"/>
        <v>0</v>
      </c>
      <c r="L95" s="1814">
        <f t="shared" si="28"/>
        <v>0</v>
      </c>
      <c r="M95" s="1814">
        <f t="shared" si="28"/>
        <v>0</v>
      </c>
      <c r="N95" s="1814">
        <f t="shared" si="28"/>
        <v>0</v>
      </c>
      <c r="O95" s="1814">
        <f t="shared" si="28"/>
        <v>0</v>
      </c>
      <c r="P95" s="1814">
        <f t="shared" si="28"/>
        <v>0</v>
      </c>
      <c r="Q95" s="1814">
        <f t="shared" si="28"/>
        <v>0</v>
      </c>
      <c r="R95" s="1814">
        <f t="shared" si="28"/>
        <v>0</v>
      </c>
      <c r="S95" s="1814">
        <f t="shared" si="28"/>
        <v>0</v>
      </c>
      <c r="T95" s="1814">
        <f t="shared" si="28"/>
        <v>0</v>
      </c>
      <c r="U95" s="1814">
        <f t="shared" si="28"/>
        <v>0</v>
      </c>
      <c r="V95" s="1814">
        <f t="shared" si="28"/>
        <v>0</v>
      </c>
      <c r="W95" s="1814">
        <f t="shared" si="28"/>
        <v>0</v>
      </c>
      <c r="X95" s="1814">
        <f t="shared" si="28"/>
        <v>0</v>
      </c>
      <c r="Y95" s="1814">
        <f t="shared" si="28"/>
        <v>0</v>
      </c>
      <c r="Z95" s="1814">
        <f t="shared" si="28"/>
        <v>0</v>
      </c>
      <c r="AA95" s="1814">
        <f t="shared" si="28"/>
        <v>0</v>
      </c>
      <c r="AB95" s="1814">
        <f t="shared" si="28"/>
        <v>0</v>
      </c>
      <c r="AC95" s="1814">
        <f t="shared" si="28"/>
        <v>0</v>
      </c>
      <c r="AD95" s="1814">
        <f t="shared" si="28"/>
        <v>0</v>
      </c>
      <c r="AE95" s="1814">
        <f t="shared" si="28"/>
        <v>0</v>
      </c>
      <c r="AF95" s="1814">
        <f t="shared" si="28"/>
        <v>0</v>
      </c>
      <c r="AG95" s="1814">
        <f t="shared" si="28"/>
        <v>0</v>
      </c>
      <c r="AH95" s="1814">
        <f t="shared" si="28"/>
        <v>0</v>
      </c>
      <c r="AI95" s="1814">
        <f t="shared" si="28"/>
        <v>0</v>
      </c>
      <c r="AJ95" s="1814">
        <f t="shared" si="28"/>
        <v>0</v>
      </c>
      <c r="AK95" s="1814">
        <f t="shared" si="28"/>
        <v>0</v>
      </c>
      <c r="AL95" s="1814">
        <f t="shared" si="28"/>
        <v>0</v>
      </c>
      <c r="AM95" s="1814">
        <f t="shared" si="28"/>
        <v>0</v>
      </c>
      <c r="AN95" s="1814">
        <f t="shared" si="28"/>
        <v>0</v>
      </c>
      <c r="AO95" s="1814">
        <f t="shared" si="28"/>
        <v>0</v>
      </c>
      <c r="AP95" s="1814">
        <f t="shared" si="28"/>
        <v>0</v>
      </c>
      <c r="AQ95" s="1814">
        <f t="shared" si="28"/>
        <v>0</v>
      </c>
      <c r="AR95" s="1814">
        <f t="shared" si="28"/>
        <v>0</v>
      </c>
      <c r="AS95" s="1814">
        <f t="shared" si="28"/>
        <v>0</v>
      </c>
      <c r="AT95" s="1814">
        <f t="shared" si="28"/>
        <v>0</v>
      </c>
      <c r="AU95" s="1814">
        <f t="shared" si="28"/>
        <v>0</v>
      </c>
      <c r="AV95" s="1814">
        <f t="shared" si="28"/>
        <v>0</v>
      </c>
      <c r="AW95" s="1814">
        <f t="shared" si="28"/>
        <v>0</v>
      </c>
      <c r="AX95" s="1814">
        <f t="shared" si="28"/>
        <v>0</v>
      </c>
      <c r="AY95" s="1814">
        <f t="shared" si="28"/>
        <v>0</v>
      </c>
      <c r="AZ95" s="1814">
        <f t="shared" si="28"/>
        <v>0</v>
      </c>
      <c r="BA95" s="1814">
        <f t="shared" si="28"/>
        <v>0</v>
      </c>
      <c r="BB95" s="1814">
        <f t="shared" si="28"/>
        <v>0</v>
      </c>
      <c r="BC95" s="1814">
        <f t="shared" si="28"/>
        <v>0</v>
      </c>
      <c r="BD95" s="1814">
        <f t="shared" si="28"/>
        <v>0</v>
      </c>
      <c r="BE95" s="1814">
        <f t="shared" si="28"/>
        <v>0</v>
      </c>
      <c r="BF95" s="1814">
        <f t="shared" si="28"/>
        <v>0</v>
      </c>
      <c r="BG95" s="1814">
        <f t="shared" si="28"/>
        <v>0</v>
      </c>
      <c r="BH95" s="1814">
        <f t="shared" si="28"/>
        <v>0</v>
      </c>
      <c r="BI95" s="175"/>
      <c r="BJ95" s="121"/>
      <c r="BK95" s="121"/>
      <c r="BL95" s="121"/>
      <c r="BM95" s="121"/>
      <c r="BN95" s="121"/>
      <c r="BO95" s="121"/>
    </row>
    <row r="96" spans="2:67" ht="12.75">
      <c r="B96" s="1812" t="s">
        <v>2333</v>
      </c>
      <c r="C96" s="201"/>
      <c r="D96" s="1792" t="s">
        <v>2084</v>
      </c>
      <c r="E96" s="1792" t="s">
        <v>706</v>
      </c>
      <c r="F96" s="196"/>
      <c r="G96" s="1814">
        <f>$O$20</f>
        <v>0</v>
      </c>
      <c r="H96" s="1814">
        <f t="shared" ref="H96:BH96" si="29">$P$20</f>
        <v>0</v>
      </c>
      <c r="I96" s="1814">
        <f t="shared" si="29"/>
        <v>0</v>
      </c>
      <c r="J96" s="1814">
        <f t="shared" si="29"/>
        <v>0</v>
      </c>
      <c r="K96" s="1814">
        <f t="shared" si="29"/>
        <v>0</v>
      </c>
      <c r="L96" s="1814">
        <f t="shared" si="29"/>
        <v>0</v>
      </c>
      <c r="M96" s="1814">
        <f t="shared" si="29"/>
        <v>0</v>
      </c>
      <c r="N96" s="1814">
        <f t="shared" si="29"/>
        <v>0</v>
      </c>
      <c r="O96" s="1814">
        <f t="shared" si="29"/>
        <v>0</v>
      </c>
      <c r="P96" s="1814">
        <f t="shared" si="29"/>
        <v>0</v>
      </c>
      <c r="Q96" s="1814">
        <f t="shared" si="29"/>
        <v>0</v>
      </c>
      <c r="R96" s="1814">
        <f t="shared" si="29"/>
        <v>0</v>
      </c>
      <c r="S96" s="1814">
        <f t="shared" si="29"/>
        <v>0</v>
      </c>
      <c r="T96" s="1814">
        <f t="shared" si="29"/>
        <v>0</v>
      </c>
      <c r="U96" s="1814">
        <f t="shared" si="29"/>
        <v>0</v>
      </c>
      <c r="V96" s="1814">
        <f t="shared" si="29"/>
        <v>0</v>
      </c>
      <c r="W96" s="1814">
        <f t="shared" si="29"/>
        <v>0</v>
      </c>
      <c r="X96" s="1814">
        <f t="shared" si="29"/>
        <v>0</v>
      </c>
      <c r="Y96" s="1814">
        <f t="shared" si="29"/>
        <v>0</v>
      </c>
      <c r="Z96" s="1814">
        <f t="shared" si="29"/>
        <v>0</v>
      </c>
      <c r="AA96" s="1814">
        <f t="shared" si="29"/>
        <v>0</v>
      </c>
      <c r="AB96" s="1814">
        <f t="shared" si="29"/>
        <v>0</v>
      </c>
      <c r="AC96" s="1814">
        <f t="shared" si="29"/>
        <v>0</v>
      </c>
      <c r="AD96" s="1814">
        <f t="shared" si="29"/>
        <v>0</v>
      </c>
      <c r="AE96" s="1814">
        <f t="shared" si="29"/>
        <v>0</v>
      </c>
      <c r="AF96" s="1814">
        <f t="shared" si="29"/>
        <v>0</v>
      </c>
      <c r="AG96" s="1814">
        <f t="shared" si="29"/>
        <v>0</v>
      </c>
      <c r="AH96" s="1814">
        <f t="shared" si="29"/>
        <v>0</v>
      </c>
      <c r="AI96" s="1814">
        <f t="shared" si="29"/>
        <v>0</v>
      </c>
      <c r="AJ96" s="1814">
        <f t="shared" si="29"/>
        <v>0</v>
      </c>
      <c r="AK96" s="1814">
        <f t="shared" si="29"/>
        <v>0</v>
      </c>
      <c r="AL96" s="1814">
        <f t="shared" si="29"/>
        <v>0</v>
      </c>
      <c r="AM96" s="1814">
        <f t="shared" si="29"/>
        <v>0</v>
      </c>
      <c r="AN96" s="1814">
        <f t="shared" si="29"/>
        <v>0</v>
      </c>
      <c r="AO96" s="1814">
        <f t="shared" si="29"/>
        <v>0</v>
      </c>
      <c r="AP96" s="1814">
        <f t="shared" si="29"/>
        <v>0</v>
      </c>
      <c r="AQ96" s="1814">
        <f t="shared" si="29"/>
        <v>0</v>
      </c>
      <c r="AR96" s="1814">
        <f t="shared" si="29"/>
        <v>0</v>
      </c>
      <c r="AS96" s="1814">
        <f t="shared" si="29"/>
        <v>0</v>
      </c>
      <c r="AT96" s="1814">
        <f t="shared" si="29"/>
        <v>0</v>
      </c>
      <c r="AU96" s="1814">
        <f t="shared" si="29"/>
        <v>0</v>
      </c>
      <c r="AV96" s="1814">
        <f t="shared" si="29"/>
        <v>0</v>
      </c>
      <c r="AW96" s="1814">
        <f t="shared" si="29"/>
        <v>0</v>
      </c>
      <c r="AX96" s="1814">
        <f t="shared" si="29"/>
        <v>0</v>
      </c>
      <c r="AY96" s="1814">
        <f t="shared" si="29"/>
        <v>0</v>
      </c>
      <c r="AZ96" s="1814">
        <f t="shared" si="29"/>
        <v>0</v>
      </c>
      <c r="BA96" s="1814">
        <f t="shared" si="29"/>
        <v>0</v>
      </c>
      <c r="BB96" s="1814">
        <f t="shared" si="29"/>
        <v>0</v>
      </c>
      <c r="BC96" s="1814">
        <f t="shared" si="29"/>
        <v>0</v>
      </c>
      <c r="BD96" s="1814">
        <f t="shared" si="29"/>
        <v>0</v>
      </c>
      <c r="BE96" s="1814">
        <f t="shared" si="29"/>
        <v>0</v>
      </c>
      <c r="BF96" s="1814">
        <f t="shared" si="29"/>
        <v>0</v>
      </c>
      <c r="BG96" s="1814">
        <f t="shared" si="29"/>
        <v>0</v>
      </c>
      <c r="BH96" s="1814">
        <f t="shared" si="29"/>
        <v>0</v>
      </c>
      <c r="BI96" s="175"/>
      <c r="BJ96" s="121"/>
      <c r="BK96" s="121"/>
      <c r="BL96" s="121"/>
      <c r="BM96" s="121"/>
      <c r="BN96" s="121"/>
      <c r="BO96" s="121"/>
    </row>
    <row r="97" spans="2:70" ht="12.75">
      <c r="B97" s="1812" t="s">
        <v>2333</v>
      </c>
      <c r="C97" s="201"/>
      <c r="D97" s="1792" t="s">
        <v>340</v>
      </c>
      <c r="E97" s="1792" t="s">
        <v>2361</v>
      </c>
      <c r="F97" s="196"/>
      <c r="G97" s="1814">
        <f>$L$20</f>
        <v>0</v>
      </c>
      <c r="H97" s="1814">
        <f t="shared" ref="H97:BH97" si="30">$L$20</f>
        <v>0</v>
      </c>
      <c r="I97" s="1814">
        <f t="shared" si="30"/>
        <v>0</v>
      </c>
      <c r="J97" s="1814">
        <f t="shared" si="30"/>
        <v>0</v>
      </c>
      <c r="K97" s="1814">
        <f t="shared" si="30"/>
        <v>0</v>
      </c>
      <c r="L97" s="1814">
        <f t="shared" si="30"/>
        <v>0</v>
      </c>
      <c r="M97" s="1814">
        <f t="shared" si="30"/>
        <v>0</v>
      </c>
      <c r="N97" s="1814">
        <f t="shared" si="30"/>
        <v>0</v>
      </c>
      <c r="O97" s="1814">
        <f t="shared" si="30"/>
        <v>0</v>
      </c>
      <c r="P97" s="1814">
        <f t="shared" si="30"/>
        <v>0</v>
      </c>
      <c r="Q97" s="1814">
        <f t="shared" si="30"/>
        <v>0</v>
      </c>
      <c r="R97" s="1814">
        <f t="shared" si="30"/>
        <v>0</v>
      </c>
      <c r="S97" s="1814">
        <f t="shared" si="30"/>
        <v>0</v>
      </c>
      <c r="T97" s="1814">
        <f t="shared" si="30"/>
        <v>0</v>
      </c>
      <c r="U97" s="1814">
        <f t="shared" si="30"/>
        <v>0</v>
      </c>
      <c r="V97" s="1814">
        <f t="shared" si="30"/>
        <v>0</v>
      </c>
      <c r="W97" s="1814">
        <f t="shared" si="30"/>
        <v>0</v>
      </c>
      <c r="X97" s="1814">
        <f t="shared" si="30"/>
        <v>0</v>
      </c>
      <c r="Y97" s="1814">
        <f t="shared" si="30"/>
        <v>0</v>
      </c>
      <c r="Z97" s="1814">
        <f t="shared" si="30"/>
        <v>0</v>
      </c>
      <c r="AA97" s="1814">
        <f t="shared" si="30"/>
        <v>0</v>
      </c>
      <c r="AB97" s="1814">
        <f t="shared" si="30"/>
        <v>0</v>
      </c>
      <c r="AC97" s="1814">
        <f t="shared" si="30"/>
        <v>0</v>
      </c>
      <c r="AD97" s="1814">
        <f t="shared" si="30"/>
        <v>0</v>
      </c>
      <c r="AE97" s="1814">
        <f t="shared" si="30"/>
        <v>0</v>
      </c>
      <c r="AF97" s="1814">
        <f t="shared" si="30"/>
        <v>0</v>
      </c>
      <c r="AG97" s="1814">
        <f t="shared" si="30"/>
        <v>0</v>
      </c>
      <c r="AH97" s="1814">
        <f t="shared" si="30"/>
        <v>0</v>
      </c>
      <c r="AI97" s="1814">
        <f t="shared" si="30"/>
        <v>0</v>
      </c>
      <c r="AJ97" s="1814">
        <f t="shared" si="30"/>
        <v>0</v>
      </c>
      <c r="AK97" s="1814">
        <f t="shared" si="30"/>
        <v>0</v>
      </c>
      <c r="AL97" s="1814">
        <f t="shared" si="30"/>
        <v>0</v>
      </c>
      <c r="AM97" s="1814">
        <f t="shared" si="30"/>
        <v>0</v>
      </c>
      <c r="AN97" s="1814">
        <f t="shared" si="30"/>
        <v>0</v>
      </c>
      <c r="AO97" s="1814">
        <f t="shared" si="30"/>
        <v>0</v>
      </c>
      <c r="AP97" s="1814">
        <f t="shared" si="30"/>
        <v>0</v>
      </c>
      <c r="AQ97" s="1814">
        <f t="shared" si="30"/>
        <v>0</v>
      </c>
      <c r="AR97" s="1814">
        <f t="shared" si="30"/>
        <v>0</v>
      </c>
      <c r="AS97" s="1814">
        <f t="shared" si="30"/>
        <v>0</v>
      </c>
      <c r="AT97" s="1814">
        <f t="shared" si="30"/>
        <v>0</v>
      </c>
      <c r="AU97" s="1814">
        <f t="shared" si="30"/>
        <v>0</v>
      </c>
      <c r="AV97" s="1814">
        <f t="shared" si="30"/>
        <v>0</v>
      </c>
      <c r="AW97" s="1814">
        <f t="shared" si="30"/>
        <v>0</v>
      </c>
      <c r="AX97" s="1814">
        <f t="shared" si="30"/>
        <v>0</v>
      </c>
      <c r="AY97" s="1814">
        <f t="shared" si="30"/>
        <v>0</v>
      </c>
      <c r="AZ97" s="1814">
        <f t="shared" si="30"/>
        <v>0</v>
      </c>
      <c r="BA97" s="1814">
        <f t="shared" si="30"/>
        <v>0</v>
      </c>
      <c r="BB97" s="1814">
        <f t="shared" si="30"/>
        <v>0</v>
      </c>
      <c r="BC97" s="1814">
        <f t="shared" si="30"/>
        <v>0</v>
      </c>
      <c r="BD97" s="1814">
        <f t="shared" si="30"/>
        <v>0</v>
      </c>
      <c r="BE97" s="1814">
        <f t="shared" si="30"/>
        <v>0</v>
      </c>
      <c r="BF97" s="1814">
        <f t="shared" si="30"/>
        <v>0</v>
      </c>
      <c r="BG97" s="1814">
        <f t="shared" si="30"/>
        <v>0</v>
      </c>
      <c r="BH97" s="1814">
        <f t="shared" si="30"/>
        <v>0</v>
      </c>
      <c r="BI97" s="175"/>
      <c r="BJ97" s="121"/>
      <c r="BK97" s="121"/>
      <c r="BL97" s="121"/>
      <c r="BM97" s="121"/>
      <c r="BN97" s="121"/>
      <c r="BO97" s="121"/>
    </row>
    <row r="98" spans="2:70" ht="12.75">
      <c r="C98" s="201"/>
      <c r="D98" s="121" t="s">
        <v>710</v>
      </c>
      <c r="E98" s="121" t="str">
        <f>IF(C7="railbelt south of alaska range","$ per mmBtu","$ per gallon")</f>
        <v>$ per gallon</v>
      </c>
      <c r="F98" s="187"/>
      <c r="G98" s="187">
        <f>VLOOKUP($C$6,'Diesel Fuel Prices'!$D$7:$BN$183,-6+G53,0)+$D$47</f>
        <v>4.2059794220983502</v>
      </c>
      <c r="H98" s="187">
        <f>VLOOKUP($C$6,'Diesel Fuel Prices'!$D$7:$BN$183,-6+H53,0)+$D$47</f>
        <v>4.6732754001702883</v>
      </c>
      <c r="I98" s="187">
        <f>VLOOKUP($C$6,'Diesel Fuel Prices'!$D$7:$BN$183,-6+I53,0)+$D$47</f>
        <v>4.8376162909716216</v>
      </c>
      <c r="J98" s="187">
        <f>VLOOKUP($C$6,'Diesel Fuel Prices'!$D$7:$BN$183,-6+J53,0)+$D$47</f>
        <v>4.8496361886136912</v>
      </c>
      <c r="K98" s="187">
        <f>VLOOKUP($C$6,'Diesel Fuel Prices'!$D$7:$BN$183,-6+K53,0)+$D$47</f>
        <v>4.9056275244664125</v>
      </c>
      <c r="L98" s="187">
        <f>VLOOKUP($C$6,'Diesel Fuel Prices'!$D$7:$BN$183,-6+L53,0)+$D$47</f>
        <v>4.9619109251504847</v>
      </c>
      <c r="M98" s="187">
        <f>VLOOKUP($C$6,'Diesel Fuel Prices'!$D$7:$BN$183,-6+M53,0)+$D$47</f>
        <v>5.0381773568460284</v>
      </c>
      <c r="N98" s="187">
        <f>VLOOKUP($C$6,'Diesel Fuel Prices'!$D$7:$BN$183,-6+N53,0)+$D$47</f>
        <v>5.1199306055642086</v>
      </c>
      <c r="O98" s="187">
        <f>VLOOKUP($C$6,'Diesel Fuel Prices'!$D$7:$BN$183,-6+O53,0)+$D$47</f>
        <v>5.2046041917591079</v>
      </c>
      <c r="P98" s="187">
        <f>VLOOKUP($C$6,'Diesel Fuel Prices'!$D$7:$BN$183,-6+P53,0)+$D$47</f>
        <v>5.2910732209604339</v>
      </c>
      <c r="Q98" s="187">
        <f>VLOOKUP($C$6,'Diesel Fuel Prices'!$D$7:$BN$183,-6+Q53,0)+$D$47</f>
        <v>5.377947971766412</v>
      </c>
      <c r="R98" s="187">
        <f>VLOOKUP($C$6,'Diesel Fuel Prices'!$D$7:$BN$183,-6+R53,0)+$D$47</f>
        <v>5.4704967063761769</v>
      </c>
      <c r="S98" s="187">
        <f>VLOOKUP($C$6,'Diesel Fuel Prices'!$D$7:$BN$183,-6+S53,0)+$D$47</f>
        <v>5.5653090792390989</v>
      </c>
      <c r="T98" s="187">
        <f>VLOOKUP($C$6,'Diesel Fuel Prices'!$D$7:$BN$183,-6+T53,0)+$D$47</f>
        <v>5.6624414849609002</v>
      </c>
      <c r="U98" s="187">
        <f>VLOOKUP($C$6,'Diesel Fuel Prices'!$D$7:$BN$183,-6+U53,0)+$D$47</f>
        <v>5.7619514121882238</v>
      </c>
      <c r="V98" s="187">
        <f>VLOOKUP($C$6,'Diesel Fuel Prices'!$D$7:$BN$183,-6+V53,0)+$D$47</f>
        <v>5.863897589004015</v>
      </c>
      <c r="W98" s="187">
        <f>VLOOKUP($C$6,'Diesel Fuel Prices'!$D$7:$BN$183,-6+W53,0)+$D$47</f>
        <v>5.9683408481979816</v>
      </c>
      <c r="X98" s="187">
        <f>VLOOKUP($C$6,'Diesel Fuel Prices'!$D$7:$BN$183,-6+X53,0)+$D$47</f>
        <v>6.075342926874276</v>
      </c>
      <c r="Y98" s="187">
        <f>VLOOKUP($C$6,'Diesel Fuel Prices'!$D$7:$BN$183,-6+Y53,0)+$D$47</f>
        <v>6.184818158118297</v>
      </c>
      <c r="Z98" s="187">
        <f>VLOOKUP($C$6,'Diesel Fuel Prices'!$D$7:$BN$183,-6+Z53,0)+$D$47</f>
        <v>6.292419236935225</v>
      </c>
      <c r="AA98" s="187">
        <f>VLOOKUP($C$6,'Diesel Fuel Prices'!$D$7:$BN$183,-6+AA53,0)+$D$47</f>
        <v>6.4056246146124609</v>
      </c>
      <c r="AB98" s="187">
        <f>VLOOKUP($C$6,'Diesel Fuel Prices'!$D$7:$BN$183,-6+AB53,0)+$D$47</f>
        <v>6.5219530773050831</v>
      </c>
      <c r="AC98" s="187">
        <f>VLOOKUP($C$6,'Diesel Fuel Prices'!$D$7:$BN$183,-6+AC53,0)+$D$47</f>
        <v>6.6360405950884838</v>
      </c>
      <c r="AD98" s="187">
        <f>VLOOKUP($C$6,'Diesel Fuel Prices'!$D$7:$BN$183,-6+AD53,0)+$D$47</f>
        <v>6.7587026423442191</v>
      </c>
      <c r="AE98" s="187">
        <f>VLOOKUP($C$6,'Diesel Fuel Prices'!$D$7:$BN$183,-6+AE53,0)+$D$47</f>
        <v>6.8910386217753219</v>
      </c>
      <c r="AF98" s="187">
        <f>VLOOKUP($C$6,'Diesel Fuel Prices'!$D$7:$BN$183,-6+AF53,0)+$D$47</f>
        <v>7.014392524247052</v>
      </c>
      <c r="AG98" s="187">
        <f>VLOOKUP($C$6,'Diesel Fuel Prices'!$D$7:$BN$183,-6+AG53,0)+$D$47</f>
        <v>7.014392524247052</v>
      </c>
      <c r="AH98" s="187">
        <f>VLOOKUP($C$6,'Diesel Fuel Prices'!$D$7:$BN$183,-6+AH53,0)+$D$47</f>
        <v>7.014392524247052</v>
      </c>
      <c r="AI98" s="187">
        <f>VLOOKUP($C$6,'Diesel Fuel Prices'!$D$7:$BN$183,-6+AI53,0)+$D$47</f>
        <v>7.014392524247052</v>
      </c>
      <c r="AJ98" s="187">
        <f>VLOOKUP($C$6,'Diesel Fuel Prices'!$D$7:$BN$183,-6+AJ53,0)+$D$47</f>
        <v>7.014392524247052</v>
      </c>
      <c r="AK98" s="187">
        <f>VLOOKUP($C$6,'Diesel Fuel Prices'!$D$7:$BN$183,-6+AK53,0)+$D$47</f>
        <v>7.014392524247052</v>
      </c>
      <c r="AL98" s="187">
        <f>VLOOKUP($C$6,'Diesel Fuel Prices'!$D$7:$BN$183,-6+AL53,0)+$D$47</f>
        <v>7.014392524247052</v>
      </c>
      <c r="AM98" s="187">
        <f>VLOOKUP($C$6,'Diesel Fuel Prices'!$D$7:$BN$183,-6+AM53,0)+$D$47</f>
        <v>7.014392524247052</v>
      </c>
      <c r="AN98" s="187">
        <f>VLOOKUP($C$6,'Diesel Fuel Prices'!$D$7:$BN$183,-6+AN53,0)+$D$47</f>
        <v>7.014392524247052</v>
      </c>
      <c r="AO98" s="187">
        <f>VLOOKUP($C$6,'Diesel Fuel Prices'!$D$7:$BN$183,-6+AO53,0)+$D$47</f>
        <v>7.014392524247052</v>
      </c>
      <c r="AP98" s="187">
        <f>VLOOKUP($C$6,'Diesel Fuel Prices'!$D$7:$BN$183,-6+AP53,0)+$D$47</f>
        <v>7.014392524247052</v>
      </c>
      <c r="AQ98" s="187">
        <f>VLOOKUP($C$6,'Diesel Fuel Prices'!$D$7:$BN$183,-6+AQ53,0)+$D$47</f>
        <v>7.014392524247052</v>
      </c>
      <c r="AR98" s="187">
        <f>VLOOKUP($C$6,'Diesel Fuel Prices'!$D$7:$BN$183,-6+AR53,0)+$D$47</f>
        <v>7.014392524247052</v>
      </c>
      <c r="AS98" s="187">
        <f>VLOOKUP($C$6,'Diesel Fuel Prices'!$D$7:$BN$183,-6+AS53,0)+$D$47</f>
        <v>7.014392524247052</v>
      </c>
      <c r="AT98" s="187">
        <f>VLOOKUP($C$6,'Diesel Fuel Prices'!$D$7:$BN$183,-6+AT53,0)+$D$47</f>
        <v>7.014392524247052</v>
      </c>
      <c r="AU98" s="187">
        <f>VLOOKUP($C$6,'Diesel Fuel Prices'!$D$7:$BN$183,-6+AU53,0)+$D$47</f>
        <v>7.014392524247052</v>
      </c>
      <c r="AV98" s="187">
        <f>VLOOKUP($C$6,'Diesel Fuel Prices'!$D$7:$BN$183,-6+AV53,0)+$D$47</f>
        <v>7.014392524247052</v>
      </c>
      <c r="AW98" s="187">
        <f>VLOOKUP($C$6,'Diesel Fuel Prices'!$D$7:$BN$183,-6+AW53,0)+$D$47</f>
        <v>7.014392524247052</v>
      </c>
      <c r="AX98" s="187">
        <f>VLOOKUP($C$6,'Diesel Fuel Prices'!$D$7:$BN$183,-6+AX53,0)+$D$47</f>
        <v>7.014392524247052</v>
      </c>
      <c r="AY98" s="187">
        <f>VLOOKUP($C$6,'Diesel Fuel Prices'!$D$7:$BN$183,-6+AY53,0)+$D$47</f>
        <v>7.014392524247052</v>
      </c>
      <c r="AZ98" s="187">
        <f>VLOOKUP($C$6,'Diesel Fuel Prices'!$D$7:$BN$183,-6+AZ53,0)+$D$47</f>
        <v>7.014392524247052</v>
      </c>
      <c r="BA98" s="187">
        <f>VLOOKUP($C$6,'Diesel Fuel Prices'!$D$7:$BN$183,-6+BA53,0)+$D$47</f>
        <v>7.014392524247052</v>
      </c>
      <c r="BB98" s="187">
        <f>VLOOKUP($C$6,'Diesel Fuel Prices'!$D$7:$BN$183,-6+BB53,0)+$D$47</f>
        <v>7.014392524247052</v>
      </c>
      <c r="BC98" s="187">
        <f>VLOOKUP($C$6,'Diesel Fuel Prices'!$D$7:$BN$183,-6+BC53,0)+$D$47</f>
        <v>7.014392524247052</v>
      </c>
      <c r="BD98" s="187">
        <f>VLOOKUP($C$6,'Diesel Fuel Prices'!$D$7:$BN$183,-6+BD53,0)+$D$47</f>
        <v>7.014392524247052</v>
      </c>
      <c r="BE98" s="187">
        <f>VLOOKUP($C$6,'Diesel Fuel Prices'!$D$7:$BN$183,-6+BE53,0)+$D$47</f>
        <v>7.014392524247052</v>
      </c>
      <c r="BF98" s="187">
        <f>VLOOKUP($C$6,'Diesel Fuel Prices'!$D$7:$BN$183,-6+BF53,0)+$D$47</f>
        <v>7.014392524247052</v>
      </c>
      <c r="BG98" s="187">
        <f>VLOOKUP($C$6,'Diesel Fuel Prices'!$D$7:$BN$183,-6+BG53,0)+$D$47</f>
        <v>7.014392524247052</v>
      </c>
      <c r="BH98" s="187">
        <f>VLOOKUP($C$6,'Diesel Fuel Prices'!$D$7:$BN$183,-6+BH53,0)+$D$47</f>
        <v>7.014392524247052</v>
      </c>
      <c r="BI98" s="175"/>
      <c r="BJ98" s="121"/>
      <c r="BK98" s="121"/>
      <c r="BL98" s="121"/>
      <c r="BM98" s="121"/>
      <c r="BN98" s="121"/>
      <c r="BO98" s="121"/>
    </row>
    <row r="99" spans="2:70" ht="12.75">
      <c r="B99" s="1812" t="s">
        <v>2333</v>
      </c>
      <c r="C99" s="201"/>
      <c r="D99" s="1792" t="s">
        <v>2090</v>
      </c>
      <c r="E99" s="1792" t="s">
        <v>1887</v>
      </c>
      <c r="F99" s="187"/>
      <c r="G99" s="1813">
        <f t="shared" ref="G99:AL99" si="31">Biomass_price</f>
        <v>250</v>
      </c>
      <c r="H99" s="1813">
        <f t="shared" si="31"/>
        <v>250</v>
      </c>
      <c r="I99" s="1813">
        <f t="shared" si="31"/>
        <v>250</v>
      </c>
      <c r="J99" s="1813">
        <f t="shared" si="31"/>
        <v>250</v>
      </c>
      <c r="K99" s="1813">
        <f t="shared" si="31"/>
        <v>250</v>
      </c>
      <c r="L99" s="1813">
        <f t="shared" si="31"/>
        <v>250</v>
      </c>
      <c r="M99" s="1813">
        <f t="shared" si="31"/>
        <v>250</v>
      </c>
      <c r="N99" s="1813">
        <f t="shared" si="31"/>
        <v>250</v>
      </c>
      <c r="O99" s="1813">
        <f t="shared" si="31"/>
        <v>250</v>
      </c>
      <c r="P99" s="1813">
        <f t="shared" si="31"/>
        <v>250</v>
      </c>
      <c r="Q99" s="1813">
        <f t="shared" si="31"/>
        <v>250</v>
      </c>
      <c r="R99" s="1813">
        <f t="shared" si="31"/>
        <v>250</v>
      </c>
      <c r="S99" s="1813">
        <f t="shared" si="31"/>
        <v>250</v>
      </c>
      <c r="T99" s="1813">
        <f t="shared" si="31"/>
        <v>250</v>
      </c>
      <c r="U99" s="1813">
        <f t="shared" si="31"/>
        <v>250</v>
      </c>
      <c r="V99" s="1813">
        <f t="shared" si="31"/>
        <v>250</v>
      </c>
      <c r="W99" s="1813">
        <f t="shared" si="31"/>
        <v>250</v>
      </c>
      <c r="X99" s="1813">
        <f t="shared" si="31"/>
        <v>250</v>
      </c>
      <c r="Y99" s="1813">
        <f t="shared" si="31"/>
        <v>250</v>
      </c>
      <c r="Z99" s="1813">
        <f t="shared" si="31"/>
        <v>250</v>
      </c>
      <c r="AA99" s="1813">
        <f t="shared" si="31"/>
        <v>250</v>
      </c>
      <c r="AB99" s="1813">
        <f t="shared" si="31"/>
        <v>250</v>
      </c>
      <c r="AC99" s="1813">
        <f t="shared" si="31"/>
        <v>250</v>
      </c>
      <c r="AD99" s="1813">
        <f t="shared" si="31"/>
        <v>250</v>
      </c>
      <c r="AE99" s="1813">
        <f t="shared" si="31"/>
        <v>250</v>
      </c>
      <c r="AF99" s="1813">
        <f t="shared" si="31"/>
        <v>250</v>
      </c>
      <c r="AG99" s="1813">
        <f t="shared" si="31"/>
        <v>250</v>
      </c>
      <c r="AH99" s="1813">
        <f t="shared" si="31"/>
        <v>250</v>
      </c>
      <c r="AI99" s="1813">
        <f t="shared" si="31"/>
        <v>250</v>
      </c>
      <c r="AJ99" s="1813">
        <f t="shared" si="31"/>
        <v>250</v>
      </c>
      <c r="AK99" s="1813">
        <f t="shared" si="31"/>
        <v>250</v>
      </c>
      <c r="AL99" s="1813">
        <f t="shared" si="31"/>
        <v>250</v>
      </c>
      <c r="AM99" s="1813">
        <f t="shared" ref="AM99:BH99" si="32">Biomass_price</f>
        <v>250</v>
      </c>
      <c r="AN99" s="1813">
        <f t="shared" si="32"/>
        <v>250</v>
      </c>
      <c r="AO99" s="1813">
        <f t="shared" si="32"/>
        <v>250</v>
      </c>
      <c r="AP99" s="1813">
        <f t="shared" si="32"/>
        <v>250</v>
      </c>
      <c r="AQ99" s="1813">
        <f t="shared" si="32"/>
        <v>250</v>
      </c>
      <c r="AR99" s="1813">
        <f t="shared" si="32"/>
        <v>250</v>
      </c>
      <c r="AS99" s="1813">
        <f t="shared" si="32"/>
        <v>250</v>
      </c>
      <c r="AT99" s="1813">
        <f t="shared" si="32"/>
        <v>250</v>
      </c>
      <c r="AU99" s="1813">
        <f t="shared" si="32"/>
        <v>250</v>
      </c>
      <c r="AV99" s="1813">
        <f t="shared" si="32"/>
        <v>250</v>
      </c>
      <c r="AW99" s="1813">
        <f t="shared" si="32"/>
        <v>250</v>
      </c>
      <c r="AX99" s="1813">
        <f t="shared" si="32"/>
        <v>250</v>
      </c>
      <c r="AY99" s="1813">
        <f t="shared" si="32"/>
        <v>250</v>
      </c>
      <c r="AZ99" s="1813">
        <f t="shared" si="32"/>
        <v>250</v>
      </c>
      <c r="BA99" s="1813">
        <f t="shared" si="32"/>
        <v>250</v>
      </c>
      <c r="BB99" s="1813">
        <f t="shared" si="32"/>
        <v>250</v>
      </c>
      <c r="BC99" s="1813">
        <f t="shared" si="32"/>
        <v>250</v>
      </c>
      <c r="BD99" s="1813">
        <f t="shared" si="32"/>
        <v>250</v>
      </c>
      <c r="BE99" s="1813">
        <f t="shared" si="32"/>
        <v>250</v>
      </c>
      <c r="BF99" s="1813">
        <f t="shared" si="32"/>
        <v>250</v>
      </c>
      <c r="BG99" s="1813">
        <f t="shared" si="32"/>
        <v>250</v>
      </c>
      <c r="BH99" s="1813">
        <f t="shared" si="32"/>
        <v>250</v>
      </c>
      <c r="BI99" s="175"/>
      <c r="BJ99" s="121"/>
      <c r="BK99" s="121"/>
      <c r="BL99" s="121"/>
      <c r="BM99" s="121"/>
      <c r="BN99" s="121"/>
      <c r="BO99" s="121"/>
    </row>
    <row r="100" spans="2:70" ht="12.75">
      <c r="B100" s="1812" t="s">
        <v>2333</v>
      </c>
      <c r="C100" s="201"/>
      <c r="D100" s="1792" t="s">
        <v>2092</v>
      </c>
      <c r="E100" s="1792" t="s">
        <v>2087</v>
      </c>
      <c r="F100" s="187"/>
      <c r="G100" s="1528"/>
      <c r="H100" s="1528"/>
      <c r="I100" s="1528"/>
      <c r="J100" s="1528"/>
      <c r="K100" s="1528"/>
      <c r="L100" s="1528"/>
      <c r="M100" s="1528"/>
      <c r="N100" s="1528"/>
      <c r="O100" s="1528"/>
      <c r="P100" s="1528"/>
      <c r="Q100" s="1528"/>
      <c r="R100" s="1528"/>
      <c r="S100" s="1528"/>
      <c r="T100" s="1528"/>
      <c r="U100" s="1528"/>
      <c r="V100" s="1528"/>
      <c r="W100" s="1528"/>
      <c r="X100" s="1528"/>
      <c r="Y100" s="1528"/>
      <c r="Z100" s="1528"/>
      <c r="AA100" s="1528"/>
      <c r="AB100" s="1528"/>
      <c r="AC100" s="1528"/>
      <c r="AD100" s="1528"/>
      <c r="AE100" s="1528"/>
      <c r="AF100" s="1528"/>
      <c r="AG100" s="1528"/>
      <c r="AH100" s="1528"/>
      <c r="AI100" s="1528"/>
      <c r="AJ100" s="1528"/>
      <c r="AK100" s="1528"/>
      <c r="AL100" s="1528"/>
      <c r="AM100" s="1528"/>
      <c r="AN100" s="1528"/>
      <c r="AO100" s="1528"/>
      <c r="AP100" s="1528"/>
      <c r="AQ100" s="1528"/>
      <c r="AR100" s="1528"/>
      <c r="AS100" s="1528"/>
      <c r="AT100" s="1528"/>
      <c r="AU100" s="1528"/>
      <c r="AV100" s="1528"/>
      <c r="AW100" s="1528"/>
      <c r="AX100" s="1528"/>
      <c r="AY100" s="1528"/>
      <c r="AZ100" s="1528"/>
      <c r="BA100" s="1528"/>
      <c r="BB100" s="1528"/>
      <c r="BC100" s="1528"/>
      <c r="BD100" s="1528"/>
      <c r="BE100" s="1528"/>
      <c r="BF100" s="1528"/>
      <c r="BG100" s="1528"/>
      <c r="BH100" s="1528"/>
      <c r="BI100" s="175"/>
      <c r="BJ100" s="121"/>
      <c r="BK100" s="121"/>
      <c r="BL100" s="121"/>
      <c r="BM100" s="121"/>
      <c r="BN100" s="121"/>
      <c r="BO100" s="121"/>
    </row>
    <row r="101" spans="2:70" ht="12.75">
      <c r="B101" s="1812" t="s">
        <v>2333</v>
      </c>
      <c r="C101" s="201"/>
      <c r="D101" s="1792" t="s">
        <v>2093</v>
      </c>
      <c r="E101" s="1792" t="s">
        <v>2088</v>
      </c>
      <c r="F101" s="187"/>
      <c r="G101" s="1528">
        <f t="shared" ref="G101:AL101" si="33">Propane_price</f>
        <v>0</v>
      </c>
      <c r="H101" s="1528">
        <f t="shared" si="33"/>
        <v>0</v>
      </c>
      <c r="I101" s="1528">
        <f t="shared" si="33"/>
        <v>0</v>
      </c>
      <c r="J101" s="1528">
        <f t="shared" si="33"/>
        <v>0</v>
      </c>
      <c r="K101" s="1528">
        <f t="shared" si="33"/>
        <v>0</v>
      </c>
      <c r="L101" s="1528">
        <f t="shared" si="33"/>
        <v>0</v>
      </c>
      <c r="M101" s="1528">
        <f t="shared" si="33"/>
        <v>0</v>
      </c>
      <c r="N101" s="1528">
        <f t="shared" si="33"/>
        <v>0</v>
      </c>
      <c r="O101" s="1528">
        <f t="shared" si="33"/>
        <v>0</v>
      </c>
      <c r="P101" s="1528">
        <f t="shared" si="33"/>
        <v>0</v>
      </c>
      <c r="Q101" s="1528">
        <f t="shared" si="33"/>
        <v>0</v>
      </c>
      <c r="R101" s="1528">
        <f t="shared" si="33"/>
        <v>0</v>
      </c>
      <c r="S101" s="1528">
        <f t="shared" si="33"/>
        <v>0</v>
      </c>
      <c r="T101" s="1528">
        <f t="shared" si="33"/>
        <v>0</v>
      </c>
      <c r="U101" s="1528">
        <f t="shared" si="33"/>
        <v>0</v>
      </c>
      <c r="V101" s="1528">
        <f t="shared" si="33"/>
        <v>0</v>
      </c>
      <c r="W101" s="1528">
        <f t="shared" si="33"/>
        <v>0</v>
      </c>
      <c r="X101" s="1528">
        <f t="shared" si="33"/>
        <v>0</v>
      </c>
      <c r="Y101" s="1528">
        <f t="shared" si="33"/>
        <v>0</v>
      </c>
      <c r="Z101" s="1528">
        <f t="shared" si="33"/>
        <v>0</v>
      </c>
      <c r="AA101" s="1528">
        <f t="shared" si="33"/>
        <v>0</v>
      </c>
      <c r="AB101" s="1528">
        <f t="shared" si="33"/>
        <v>0</v>
      </c>
      <c r="AC101" s="1528">
        <f t="shared" si="33"/>
        <v>0</v>
      </c>
      <c r="AD101" s="1528">
        <f t="shared" si="33"/>
        <v>0</v>
      </c>
      <c r="AE101" s="1528">
        <f t="shared" si="33"/>
        <v>0</v>
      </c>
      <c r="AF101" s="1528">
        <f t="shared" si="33"/>
        <v>0</v>
      </c>
      <c r="AG101" s="1528">
        <f t="shared" si="33"/>
        <v>0</v>
      </c>
      <c r="AH101" s="1528">
        <f t="shared" si="33"/>
        <v>0</v>
      </c>
      <c r="AI101" s="1528">
        <f t="shared" si="33"/>
        <v>0</v>
      </c>
      <c r="AJ101" s="1528">
        <f t="shared" si="33"/>
        <v>0</v>
      </c>
      <c r="AK101" s="1528">
        <f t="shared" si="33"/>
        <v>0</v>
      </c>
      <c r="AL101" s="1528">
        <f t="shared" si="33"/>
        <v>0</v>
      </c>
      <c r="AM101" s="1528">
        <f t="shared" ref="AM101:BH101" si="34">Propane_price</f>
        <v>0</v>
      </c>
      <c r="AN101" s="1528">
        <f t="shared" si="34"/>
        <v>0</v>
      </c>
      <c r="AO101" s="1528">
        <f t="shared" si="34"/>
        <v>0</v>
      </c>
      <c r="AP101" s="1528">
        <f t="shared" si="34"/>
        <v>0</v>
      </c>
      <c r="AQ101" s="1528">
        <f t="shared" si="34"/>
        <v>0</v>
      </c>
      <c r="AR101" s="1528">
        <f t="shared" si="34"/>
        <v>0</v>
      </c>
      <c r="AS101" s="1528">
        <f t="shared" si="34"/>
        <v>0</v>
      </c>
      <c r="AT101" s="1528">
        <f t="shared" si="34"/>
        <v>0</v>
      </c>
      <c r="AU101" s="1528">
        <f t="shared" si="34"/>
        <v>0</v>
      </c>
      <c r="AV101" s="1528">
        <f t="shared" si="34"/>
        <v>0</v>
      </c>
      <c r="AW101" s="1528">
        <f t="shared" si="34"/>
        <v>0</v>
      </c>
      <c r="AX101" s="1528">
        <f t="shared" si="34"/>
        <v>0</v>
      </c>
      <c r="AY101" s="1528">
        <f t="shared" si="34"/>
        <v>0</v>
      </c>
      <c r="AZ101" s="1528">
        <f t="shared" si="34"/>
        <v>0</v>
      </c>
      <c r="BA101" s="1528">
        <f t="shared" si="34"/>
        <v>0</v>
      </c>
      <c r="BB101" s="1528">
        <f t="shared" si="34"/>
        <v>0</v>
      </c>
      <c r="BC101" s="1528">
        <f t="shared" si="34"/>
        <v>0</v>
      </c>
      <c r="BD101" s="1528">
        <f t="shared" si="34"/>
        <v>0</v>
      </c>
      <c r="BE101" s="1528">
        <f t="shared" si="34"/>
        <v>0</v>
      </c>
      <c r="BF101" s="1528">
        <f t="shared" si="34"/>
        <v>0</v>
      </c>
      <c r="BG101" s="1528">
        <f t="shared" si="34"/>
        <v>0</v>
      </c>
      <c r="BH101" s="1528">
        <f t="shared" si="34"/>
        <v>0</v>
      </c>
      <c r="BI101" s="175"/>
      <c r="BJ101" s="121"/>
      <c r="BK101" s="121"/>
      <c r="BL101" s="121"/>
      <c r="BM101" s="121"/>
      <c r="BN101" s="121"/>
      <c r="BO101" s="121"/>
    </row>
    <row r="102" spans="2:70" ht="12.75">
      <c r="B102" s="1812" t="s">
        <v>2333</v>
      </c>
      <c r="C102" s="201"/>
      <c r="D102" s="1792" t="s">
        <v>2330</v>
      </c>
      <c r="E102" s="1792" t="s">
        <v>2240</v>
      </c>
      <c r="F102" s="187"/>
      <c r="H102" s="187"/>
      <c r="I102" s="187"/>
      <c r="J102" s="187"/>
      <c r="K102" s="187"/>
      <c r="L102" s="187"/>
      <c r="M102" s="187"/>
      <c r="N102" s="187"/>
      <c r="O102" s="187"/>
      <c r="P102" s="187"/>
      <c r="Q102" s="187"/>
      <c r="R102" s="187"/>
      <c r="S102" s="187"/>
      <c r="T102" s="187"/>
      <c r="U102" s="187"/>
      <c r="V102" s="187"/>
      <c r="W102" s="187"/>
      <c r="X102" s="187"/>
      <c r="Y102" s="187"/>
      <c r="Z102" s="187"/>
      <c r="AA102" s="187"/>
      <c r="AB102" s="187"/>
      <c r="AC102" s="187"/>
      <c r="AD102" s="187"/>
      <c r="AE102" s="187"/>
      <c r="AF102" s="187"/>
      <c r="AG102" s="187"/>
      <c r="AH102" s="187"/>
      <c r="AI102" s="187"/>
      <c r="AJ102" s="187"/>
      <c r="AK102" s="187"/>
      <c r="AL102" s="187"/>
      <c r="AM102" s="187"/>
      <c r="AN102" s="187"/>
      <c r="AO102" s="187"/>
      <c r="AP102" s="187"/>
      <c r="AQ102" s="187"/>
      <c r="AR102" s="187"/>
      <c r="AS102" s="187"/>
      <c r="AT102" s="187"/>
      <c r="AU102" s="187"/>
      <c r="AV102" s="187"/>
      <c r="AW102" s="187"/>
      <c r="AX102" s="187"/>
      <c r="AY102" s="187"/>
      <c r="AZ102" s="187"/>
      <c r="BA102" s="187"/>
      <c r="BB102" s="187"/>
      <c r="BC102" s="187"/>
      <c r="BD102" s="187"/>
      <c r="BE102" s="187"/>
      <c r="BF102" s="187"/>
      <c r="BG102" s="187"/>
      <c r="BH102" s="187"/>
      <c r="BI102" s="175"/>
      <c r="BJ102" s="121"/>
      <c r="BK102" s="121"/>
      <c r="BL102" s="121"/>
      <c r="BM102" s="121"/>
      <c r="BN102" s="121"/>
      <c r="BO102" s="121"/>
    </row>
    <row r="103" spans="2:70" ht="12.75">
      <c r="C103" s="201" t="s">
        <v>277</v>
      </c>
      <c r="D103" s="121" t="s">
        <v>382</v>
      </c>
      <c r="E103" s="121" t="s">
        <v>264</v>
      </c>
      <c r="F103" s="176">
        <v>0</v>
      </c>
      <c r="G103" s="176"/>
      <c r="H103" s="176"/>
      <c r="I103" s="176"/>
      <c r="J103" s="176"/>
      <c r="K103" s="176"/>
      <c r="L103" s="176"/>
      <c r="M103" s="176"/>
      <c r="N103" s="176"/>
      <c r="O103" s="176"/>
      <c r="P103" s="176"/>
      <c r="Q103" s="176"/>
      <c r="R103" s="176"/>
      <c r="S103" s="176"/>
      <c r="T103" s="176"/>
      <c r="U103" s="176"/>
      <c r="V103" s="176"/>
      <c r="W103" s="176"/>
      <c r="X103" s="176"/>
      <c r="Y103" s="176"/>
      <c r="Z103" s="176"/>
      <c r="AA103" s="176"/>
      <c r="AB103" s="176">
        <v>0</v>
      </c>
      <c r="AC103" s="176">
        <v>0</v>
      </c>
      <c r="AD103" s="176">
        <v>0</v>
      </c>
      <c r="AE103" s="176">
        <v>0</v>
      </c>
      <c r="AF103" s="176">
        <v>0</v>
      </c>
      <c r="AG103" s="176">
        <v>0</v>
      </c>
      <c r="AH103" s="176">
        <v>0</v>
      </c>
      <c r="AI103" s="176">
        <v>0</v>
      </c>
      <c r="AJ103" s="176">
        <v>0</v>
      </c>
      <c r="AK103" s="176">
        <v>0</v>
      </c>
      <c r="AL103" s="176">
        <v>0</v>
      </c>
      <c r="AM103" s="176">
        <v>0</v>
      </c>
      <c r="AN103" s="176">
        <v>0</v>
      </c>
      <c r="AO103" s="176">
        <v>0</v>
      </c>
      <c r="AP103" s="176">
        <v>0</v>
      </c>
      <c r="AQ103" s="176">
        <v>0</v>
      </c>
      <c r="AR103" s="176">
        <v>0</v>
      </c>
      <c r="AS103" s="176">
        <v>0</v>
      </c>
      <c r="AT103" s="176">
        <v>0</v>
      </c>
      <c r="AU103" s="176">
        <v>0</v>
      </c>
      <c r="AV103" s="176">
        <v>0</v>
      </c>
      <c r="AW103" s="176">
        <v>0</v>
      </c>
      <c r="AX103" s="176">
        <v>0</v>
      </c>
      <c r="AY103" s="176">
        <v>0</v>
      </c>
      <c r="AZ103" s="176">
        <v>0</v>
      </c>
      <c r="BA103" s="176">
        <v>0</v>
      </c>
      <c r="BB103" s="176">
        <v>0</v>
      </c>
      <c r="BC103" s="176">
        <v>0</v>
      </c>
      <c r="BD103" s="176">
        <v>0</v>
      </c>
      <c r="BE103" s="176">
        <v>0</v>
      </c>
      <c r="BF103" s="176">
        <v>0</v>
      </c>
      <c r="BG103" s="176">
        <v>0</v>
      </c>
      <c r="BH103" s="176">
        <v>0</v>
      </c>
      <c r="BI103" s="175">
        <f>NPV($D$49,F103:BH103)</f>
        <v>0</v>
      </c>
      <c r="BJ103" s="121"/>
      <c r="BK103" s="121"/>
      <c r="BL103" s="121"/>
      <c r="BM103" s="121"/>
      <c r="BN103" s="121"/>
      <c r="BO103" s="121"/>
    </row>
    <row r="104" spans="2:70" ht="12.75">
      <c r="C104" s="201" t="s">
        <v>277</v>
      </c>
      <c r="D104" s="121" t="s">
        <v>316</v>
      </c>
      <c r="E104" s="121" t="s">
        <v>264</v>
      </c>
      <c r="F104" s="176">
        <v>0</v>
      </c>
      <c r="G104" s="176"/>
      <c r="H104" s="176"/>
      <c r="I104" s="176"/>
      <c r="J104" s="176"/>
      <c r="K104" s="176"/>
      <c r="L104" s="176"/>
      <c r="M104" s="176"/>
      <c r="N104" s="176"/>
      <c r="O104" s="176"/>
      <c r="P104" s="176"/>
      <c r="Q104" s="176"/>
      <c r="R104" s="176"/>
      <c r="S104" s="176"/>
      <c r="T104" s="176"/>
      <c r="U104" s="176"/>
      <c r="V104" s="176"/>
      <c r="W104" s="176"/>
      <c r="X104" s="176"/>
      <c r="Y104" s="176"/>
      <c r="Z104" s="176"/>
      <c r="AA104" s="176"/>
      <c r="AB104" s="176">
        <v>0</v>
      </c>
      <c r="AC104" s="176">
        <v>0</v>
      </c>
      <c r="AD104" s="176">
        <v>0</v>
      </c>
      <c r="AE104" s="176">
        <v>0</v>
      </c>
      <c r="AF104" s="176">
        <v>0</v>
      </c>
      <c r="AG104" s="176">
        <v>0</v>
      </c>
      <c r="AH104" s="176">
        <v>0</v>
      </c>
      <c r="AI104" s="176">
        <v>0</v>
      </c>
      <c r="AJ104" s="176">
        <v>0</v>
      </c>
      <c r="AK104" s="176">
        <v>0</v>
      </c>
      <c r="AL104" s="176">
        <v>0</v>
      </c>
      <c r="AM104" s="176">
        <v>0</v>
      </c>
      <c r="AN104" s="176">
        <v>0</v>
      </c>
      <c r="AO104" s="176">
        <v>0</v>
      </c>
      <c r="AP104" s="176">
        <v>0</v>
      </c>
      <c r="AQ104" s="176">
        <v>0</v>
      </c>
      <c r="AR104" s="176">
        <v>0</v>
      </c>
      <c r="AS104" s="176">
        <v>0</v>
      </c>
      <c r="AT104" s="176">
        <v>0</v>
      </c>
      <c r="AU104" s="176">
        <v>0</v>
      </c>
      <c r="AV104" s="176">
        <v>0</v>
      </c>
      <c r="AW104" s="176">
        <v>0</v>
      </c>
      <c r="AX104" s="176">
        <v>0</v>
      </c>
      <c r="AY104" s="176">
        <v>0</v>
      </c>
      <c r="AZ104" s="176">
        <v>0</v>
      </c>
      <c r="BA104" s="176">
        <v>0</v>
      </c>
      <c r="BB104" s="176">
        <v>0</v>
      </c>
      <c r="BC104" s="176">
        <v>0</v>
      </c>
      <c r="BD104" s="176">
        <v>0</v>
      </c>
      <c r="BE104" s="176">
        <v>0</v>
      </c>
      <c r="BF104" s="176">
        <v>0</v>
      </c>
      <c r="BG104" s="176">
        <v>0</v>
      </c>
      <c r="BH104" s="176">
        <v>0</v>
      </c>
      <c r="BI104" s="175">
        <f>NPV($D$49,F104:BH104)</f>
        <v>0</v>
      </c>
      <c r="BJ104" s="121"/>
      <c r="BK104" s="121"/>
      <c r="BL104" s="121"/>
      <c r="BM104" s="121"/>
      <c r="BN104" s="121"/>
      <c r="BO104" s="121"/>
    </row>
    <row r="105" spans="2:70" ht="12.75">
      <c r="C105" s="190"/>
      <c r="D105" s="121" t="s">
        <v>270</v>
      </c>
      <c r="E105" s="121" t="s">
        <v>264</v>
      </c>
      <c r="F105" s="191">
        <f>F93*F98</f>
        <v>0</v>
      </c>
      <c r="G105" s="191">
        <f t="shared" ref="G105:AL105" si="35">IF(AND(G$54&gt;=$D$31,G$54&lt;+($D$31+$D$32)),G98*G93,0)</f>
        <v>142853.91238369598</v>
      </c>
      <c r="H105" s="191">
        <f t="shared" si="35"/>
        <v>158725.37822064446</v>
      </c>
      <c r="I105" s="191">
        <f t="shared" si="35"/>
        <v>164307.13144850018</v>
      </c>
      <c r="J105" s="191">
        <f t="shared" si="35"/>
        <v>164715.38104563314</v>
      </c>
      <c r="K105" s="191">
        <f t="shared" si="35"/>
        <v>166617.09776448485</v>
      </c>
      <c r="L105" s="191">
        <f t="shared" si="35"/>
        <v>168528.7343140445</v>
      </c>
      <c r="M105" s="191">
        <f t="shared" si="35"/>
        <v>171119.08416074366</v>
      </c>
      <c r="N105" s="191">
        <f t="shared" si="35"/>
        <v>173895.7909054578</v>
      </c>
      <c r="O105" s="191">
        <f t="shared" si="35"/>
        <v>176771.6853998405</v>
      </c>
      <c r="P105" s="191">
        <f t="shared" si="35"/>
        <v>179708.56118590102</v>
      </c>
      <c r="Q105" s="191">
        <f t="shared" si="35"/>
        <v>0</v>
      </c>
      <c r="R105" s="191">
        <f t="shared" si="35"/>
        <v>0</v>
      </c>
      <c r="S105" s="191">
        <f t="shared" si="35"/>
        <v>0</v>
      </c>
      <c r="T105" s="191">
        <f t="shared" si="35"/>
        <v>0</v>
      </c>
      <c r="U105" s="191">
        <f t="shared" si="35"/>
        <v>0</v>
      </c>
      <c r="V105" s="191">
        <f t="shared" si="35"/>
        <v>0</v>
      </c>
      <c r="W105" s="191">
        <f t="shared" si="35"/>
        <v>0</v>
      </c>
      <c r="X105" s="191">
        <f t="shared" si="35"/>
        <v>0</v>
      </c>
      <c r="Y105" s="191">
        <f t="shared" si="35"/>
        <v>0</v>
      </c>
      <c r="Z105" s="191">
        <f t="shared" si="35"/>
        <v>0</v>
      </c>
      <c r="AA105" s="191">
        <f t="shared" si="35"/>
        <v>0</v>
      </c>
      <c r="AB105" s="191">
        <f t="shared" si="35"/>
        <v>0</v>
      </c>
      <c r="AC105" s="191">
        <f t="shared" si="35"/>
        <v>0</v>
      </c>
      <c r="AD105" s="191">
        <f t="shared" si="35"/>
        <v>0</v>
      </c>
      <c r="AE105" s="191">
        <f t="shared" si="35"/>
        <v>0</v>
      </c>
      <c r="AF105" s="191">
        <f t="shared" si="35"/>
        <v>0</v>
      </c>
      <c r="AG105" s="191">
        <f t="shared" si="35"/>
        <v>0</v>
      </c>
      <c r="AH105" s="191">
        <f t="shared" si="35"/>
        <v>0</v>
      </c>
      <c r="AI105" s="191">
        <f t="shared" si="35"/>
        <v>0</v>
      </c>
      <c r="AJ105" s="191">
        <f t="shared" si="35"/>
        <v>0</v>
      </c>
      <c r="AK105" s="191">
        <f t="shared" si="35"/>
        <v>0</v>
      </c>
      <c r="AL105" s="191">
        <f t="shared" si="35"/>
        <v>0</v>
      </c>
      <c r="AM105" s="191">
        <f t="shared" ref="AM105:BH105" si="36">IF(AND(AM$54&gt;=$D$31,AM$54&lt;+($D$31+$D$32)),AM98*AM93,0)</f>
        <v>0</v>
      </c>
      <c r="AN105" s="191">
        <f t="shared" si="36"/>
        <v>0</v>
      </c>
      <c r="AO105" s="191">
        <f t="shared" si="36"/>
        <v>0</v>
      </c>
      <c r="AP105" s="191">
        <f t="shared" si="36"/>
        <v>0</v>
      </c>
      <c r="AQ105" s="191">
        <f t="shared" si="36"/>
        <v>0</v>
      </c>
      <c r="AR105" s="191">
        <f t="shared" si="36"/>
        <v>0</v>
      </c>
      <c r="AS105" s="191">
        <f t="shared" si="36"/>
        <v>0</v>
      </c>
      <c r="AT105" s="191">
        <f t="shared" si="36"/>
        <v>0</v>
      </c>
      <c r="AU105" s="191">
        <f t="shared" si="36"/>
        <v>0</v>
      </c>
      <c r="AV105" s="191">
        <f t="shared" si="36"/>
        <v>0</v>
      </c>
      <c r="AW105" s="191">
        <f t="shared" si="36"/>
        <v>0</v>
      </c>
      <c r="AX105" s="191">
        <f t="shared" si="36"/>
        <v>0</v>
      </c>
      <c r="AY105" s="191">
        <f t="shared" si="36"/>
        <v>0</v>
      </c>
      <c r="AZ105" s="191">
        <f t="shared" si="36"/>
        <v>0</v>
      </c>
      <c r="BA105" s="191">
        <f t="shared" si="36"/>
        <v>0</v>
      </c>
      <c r="BB105" s="191">
        <f t="shared" si="36"/>
        <v>0</v>
      </c>
      <c r="BC105" s="191">
        <f t="shared" si="36"/>
        <v>0</v>
      </c>
      <c r="BD105" s="191">
        <f t="shared" si="36"/>
        <v>0</v>
      </c>
      <c r="BE105" s="191">
        <f t="shared" si="36"/>
        <v>0</v>
      </c>
      <c r="BF105" s="191">
        <f t="shared" si="36"/>
        <v>0</v>
      </c>
      <c r="BG105" s="191">
        <f t="shared" si="36"/>
        <v>0</v>
      </c>
      <c r="BH105" s="191">
        <f t="shared" si="36"/>
        <v>0</v>
      </c>
      <c r="BI105" s="175">
        <f>NPV($D$49,F105:BH105)</f>
        <v>1374267.5444261199</v>
      </c>
      <c r="BJ105" s="121"/>
      <c r="BK105" s="121"/>
      <c r="BL105" s="121"/>
      <c r="BM105" s="121"/>
      <c r="BN105" s="121"/>
      <c r="BO105" s="121"/>
    </row>
    <row r="106" spans="2:70" s="192" customFormat="1" ht="12.75">
      <c r="B106" s="193"/>
      <c r="C106" s="202"/>
      <c r="D106" s="184" t="s">
        <v>1164</v>
      </c>
      <c r="E106" s="184" t="s">
        <v>264</v>
      </c>
      <c r="F106" s="197">
        <f>F105+F104+F103</f>
        <v>0</v>
      </c>
      <c r="G106" s="197">
        <f t="shared" ref="G106:AL106" si="37">G105-G90</f>
        <v>37142.017219760935</v>
      </c>
      <c r="H106" s="197">
        <f t="shared" si="37"/>
        <v>41268.59833736757</v>
      </c>
      <c r="I106" s="197">
        <f t="shared" si="37"/>
        <v>42719.854176610053</v>
      </c>
      <c r="J106" s="197">
        <f t="shared" si="37"/>
        <v>42825.999071864615</v>
      </c>
      <c r="K106" s="197">
        <f t="shared" si="37"/>
        <v>43320.445418766045</v>
      </c>
      <c r="L106" s="197">
        <f t="shared" si="37"/>
        <v>43817.470921651577</v>
      </c>
      <c r="M106" s="197">
        <f t="shared" si="37"/>
        <v>44490.961881793351</v>
      </c>
      <c r="N106" s="197">
        <f t="shared" si="37"/>
        <v>45212.905635419011</v>
      </c>
      <c r="O106" s="197">
        <f t="shared" si="37"/>
        <v>45960.63820395853</v>
      </c>
      <c r="P106" s="197">
        <f t="shared" si="37"/>
        <v>46724.22590833428</v>
      </c>
      <c r="Q106" s="197">
        <f t="shared" si="37"/>
        <v>0</v>
      </c>
      <c r="R106" s="197">
        <f t="shared" si="37"/>
        <v>0</v>
      </c>
      <c r="S106" s="197">
        <f t="shared" si="37"/>
        <v>0</v>
      </c>
      <c r="T106" s="197">
        <f t="shared" si="37"/>
        <v>0</v>
      </c>
      <c r="U106" s="197">
        <f t="shared" si="37"/>
        <v>0</v>
      </c>
      <c r="V106" s="197">
        <f t="shared" si="37"/>
        <v>0</v>
      </c>
      <c r="W106" s="197">
        <f t="shared" si="37"/>
        <v>0</v>
      </c>
      <c r="X106" s="197">
        <f t="shared" si="37"/>
        <v>0</v>
      </c>
      <c r="Y106" s="197">
        <f t="shared" si="37"/>
        <v>0</v>
      </c>
      <c r="Z106" s="197">
        <f t="shared" si="37"/>
        <v>0</v>
      </c>
      <c r="AA106" s="197">
        <f t="shared" si="37"/>
        <v>0</v>
      </c>
      <c r="AB106" s="197">
        <f t="shared" si="37"/>
        <v>0</v>
      </c>
      <c r="AC106" s="197">
        <f t="shared" si="37"/>
        <v>0</v>
      </c>
      <c r="AD106" s="197">
        <f t="shared" si="37"/>
        <v>0</v>
      </c>
      <c r="AE106" s="197">
        <f t="shared" si="37"/>
        <v>0</v>
      </c>
      <c r="AF106" s="197">
        <f t="shared" si="37"/>
        <v>0</v>
      </c>
      <c r="AG106" s="197">
        <f t="shared" si="37"/>
        <v>0</v>
      </c>
      <c r="AH106" s="197">
        <f t="shared" si="37"/>
        <v>0</v>
      </c>
      <c r="AI106" s="197">
        <f t="shared" si="37"/>
        <v>0</v>
      </c>
      <c r="AJ106" s="197">
        <f t="shared" si="37"/>
        <v>0</v>
      </c>
      <c r="AK106" s="197">
        <f t="shared" si="37"/>
        <v>0</v>
      </c>
      <c r="AL106" s="197">
        <f t="shared" si="37"/>
        <v>0</v>
      </c>
      <c r="AM106" s="197">
        <f t="shared" ref="AM106:BH106" si="38">AM105-AM90</f>
        <v>0</v>
      </c>
      <c r="AN106" s="197">
        <f t="shared" si="38"/>
        <v>0</v>
      </c>
      <c r="AO106" s="197">
        <f t="shared" si="38"/>
        <v>0</v>
      </c>
      <c r="AP106" s="197">
        <f t="shared" si="38"/>
        <v>0</v>
      </c>
      <c r="AQ106" s="197">
        <f t="shared" si="38"/>
        <v>0</v>
      </c>
      <c r="AR106" s="197">
        <f t="shared" si="38"/>
        <v>0</v>
      </c>
      <c r="AS106" s="197">
        <f t="shared" si="38"/>
        <v>0</v>
      </c>
      <c r="AT106" s="197">
        <f t="shared" si="38"/>
        <v>0</v>
      </c>
      <c r="AU106" s="197">
        <f t="shared" si="38"/>
        <v>0</v>
      </c>
      <c r="AV106" s="197">
        <f t="shared" si="38"/>
        <v>0</v>
      </c>
      <c r="AW106" s="197">
        <f t="shared" si="38"/>
        <v>0</v>
      </c>
      <c r="AX106" s="197">
        <f t="shared" si="38"/>
        <v>0</v>
      </c>
      <c r="AY106" s="197">
        <f t="shared" si="38"/>
        <v>0</v>
      </c>
      <c r="AZ106" s="197">
        <f t="shared" si="38"/>
        <v>0</v>
      </c>
      <c r="BA106" s="197">
        <f t="shared" si="38"/>
        <v>0</v>
      </c>
      <c r="BB106" s="197">
        <f t="shared" si="38"/>
        <v>0</v>
      </c>
      <c r="BC106" s="197">
        <f t="shared" si="38"/>
        <v>0</v>
      </c>
      <c r="BD106" s="197">
        <f t="shared" si="38"/>
        <v>0</v>
      </c>
      <c r="BE106" s="197">
        <f t="shared" si="38"/>
        <v>0</v>
      </c>
      <c r="BF106" s="197">
        <f t="shared" si="38"/>
        <v>0</v>
      </c>
      <c r="BG106" s="197">
        <f t="shared" si="38"/>
        <v>0</v>
      </c>
      <c r="BH106" s="197">
        <f t="shared" si="38"/>
        <v>0</v>
      </c>
      <c r="BI106" s="175">
        <f>NPV($D$49,F106:BH106)</f>
        <v>357309.56155079126</v>
      </c>
      <c r="BJ106" s="180"/>
      <c r="BK106" s="180"/>
      <c r="BL106" s="180"/>
      <c r="BM106" s="180"/>
      <c r="BN106" s="180"/>
      <c r="BO106" s="180"/>
    </row>
    <row r="107" spans="2:70" ht="12.75">
      <c r="C107" s="186"/>
      <c r="D107" s="121"/>
      <c r="E107" s="121"/>
      <c r="F107" s="195"/>
      <c r="G107" s="195"/>
      <c r="H107" s="195"/>
      <c r="I107" s="195"/>
      <c r="J107" s="195"/>
      <c r="K107" s="195"/>
      <c r="L107" s="195"/>
      <c r="M107" s="195"/>
      <c r="N107" s="195"/>
      <c r="O107" s="195"/>
      <c r="P107" s="195"/>
      <c r="Q107" s="195"/>
      <c r="R107" s="195"/>
      <c r="S107" s="195"/>
      <c r="T107" s="195"/>
      <c r="U107" s="195"/>
      <c r="V107" s="195"/>
      <c r="W107" s="195"/>
      <c r="X107" s="195"/>
      <c r="Y107" s="195"/>
      <c r="Z107" s="195"/>
      <c r="AA107" s="195"/>
      <c r="AB107" s="195"/>
      <c r="AC107" s="195"/>
      <c r="AD107" s="195"/>
      <c r="AE107" s="195"/>
      <c r="AF107" s="195"/>
      <c r="AG107" s="195"/>
      <c r="AH107" s="195"/>
      <c r="AI107" s="195"/>
      <c r="AJ107" s="195"/>
      <c r="AK107" s="195"/>
      <c r="AL107" s="195"/>
      <c r="AM107" s="195"/>
      <c r="AN107" s="195"/>
      <c r="AO107" s="195"/>
      <c r="AP107" s="195"/>
      <c r="AQ107" s="195"/>
      <c r="AR107" s="195"/>
      <c r="AS107" s="195"/>
      <c r="AT107" s="195"/>
      <c r="AU107" s="195"/>
      <c r="AV107" s="195"/>
      <c r="AW107" s="195"/>
      <c r="AX107" s="195"/>
      <c r="AY107" s="195"/>
      <c r="AZ107" s="195"/>
      <c r="BA107" s="195"/>
      <c r="BB107" s="195"/>
      <c r="BC107" s="195"/>
      <c r="BD107" s="195"/>
      <c r="BE107" s="195"/>
      <c r="BF107" s="195"/>
      <c r="BG107" s="195"/>
      <c r="BH107" s="195"/>
      <c r="BI107" s="195"/>
      <c r="BJ107" s="195"/>
      <c r="BK107" s="195"/>
      <c r="BL107" s="195"/>
      <c r="BM107" s="195"/>
      <c r="BN107" s="195"/>
      <c r="BO107" s="175"/>
      <c r="BP107" s="121"/>
      <c r="BQ107" s="121"/>
      <c r="BR107" s="121"/>
    </row>
    <row r="108" spans="2:70" ht="12.75">
      <c r="C108" s="186"/>
      <c r="D108" s="136"/>
      <c r="E108" s="136"/>
      <c r="F108" s="136"/>
      <c r="G108" s="136"/>
      <c r="H108" s="136"/>
      <c r="I108" s="136"/>
      <c r="J108" s="136"/>
      <c r="K108" s="136"/>
      <c r="L108" s="136"/>
      <c r="M108" s="136"/>
      <c r="N108" s="136"/>
      <c r="O108" s="136"/>
      <c r="P108" s="136"/>
      <c r="Q108" s="136"/>
      <c r="R108" s="136"/>
      <c r="BO108" s="136"/>
      <c r="BP108" s="121"/>
      <c r="BQ108" s="121"/>
      <c r="BR108" s="121"/>
    </row>
    <row r="109" spans="2:70" ht="12.75">
      <c r="C109" s="1804"/>
      <c r="D109" s="1803" t="s">
        <v>2324</v>
      </c>
      <c r="E109" s="1797"/>
      <c r="F109" s="1797"/>
      <c r="G109" s="1798">
        <f>G93*0.138+G94*16+G95*0.97+G96*0.09+G97*0.138</f>
        <v>4687.0985163105897</v>
      </c>
      <c r="H109" s="1798">
        <f t="shared" ref="H109:BH109" si="39">H93*0.138+H94*16+H95*0.97+H96*0.09+H97</f>
        <v>4687.0985163105897</v>
      </c>
      <c r="I109" s="1798">
        <f t="shared" si="39"/>
        <v>4687.0985163105897</v>
      </c>
      <c r="J109" s="1798">
        <f t="shared" si="39"/>
        <v>4687.0985163105897</v>
      </c>
      <c r="K109" s="1798">
        <f t="shared" si="39"/>
        <v>4687.0985163105897</v>
      </c>
      <c r="L109" s="1798">
        <f t="shared" si="39"/>
        <v>4687.0985163105897</v>
      </c>
      <c r="M109" s="1798">
        <f t="shared" si="39"/>
        <v>4687.0985163105897</v>
      </c>
      <c r="N109" s="1798">
        <f t="shared" si="39"/>
        <v>4687.0985163105897</v>
      </c>
      <c r="O109" s="1798">
        <f t="shared" si="39"/>
        <v>4687.0985163105897</v>
      </c>
      <c r="P109" s="1798">
        <f t="shared" si="39"/>
        <v>4687.0985163105897</v>
      </c>
      <c r="Q109" s="1798">
        <f t="shared" si="39"/>
        <v>4687.0985163105897</v>
      </c>
      <c r="R109" s="1798">
        <f t="shared" si="39"/>
        <v>4687.0985163105897</v>
      </c>
      <c r="S109" s="1798">
        <f t="shared" si="39"/>
        <v>4687.0985163105897</v>
      </c>
      <c r="T109" s="1798">
        <f t="shared" si="39"/>
        <v>4687.0985163105897</v>
      </c>
      <c r="U109" s="1798">
        <f t="shared" si="39"/>
        <v>4687.0985163105897</v>
      </c>
      <c r="V109" s="1798">
        <f t="shared" si="39"/>
        <v>4687.0985163105897</v>
      </c>
      <c r="W109" s="1798">
        <f t="shared" si="39"/>
        <v>4687.0985163105897</v>
      </c>
      <c r="X109" s="1798">
        <f t="shared" si="39"/>
        <v>4687.0985163105897</v>
      </c>
      <c r="Y109" s="1798">
        <f t="shared" si="39"/>
        <v>4687.0985163105897</v>
      </c>
      <c r="Z109" s="1798">
        <f t="shared" si="39"/>
        <v>4687.0985163105897</v>
      </c>
      <c r="AA109" s="1798">
        <f t="shared" si="39"/>
        <v>4687.0985163105897</v>
      </c>
      <c r="AB109" s="1798">
        <f t="shared" si="39"/>
        <v>4687.0985163105897</v>
      </c>
      <c r="AC109" s="1798">
        <f t="shared" si="39"/>
        <v>4687.0985163105897</v>
      </c>
      <c r="AD109" s="1798">
        <f t="shared" si="39"/>
        <v>4687.0985163105897</v>
      </c>
      <c r="AE109" s="1798">
        <f t="shared" si="39"/>
        <v>4687.0985163105897</v>
      </c>
      <c r="AF109" s="1798">
        <f t="shared" si="39"/>
        <v>4687.0985163105897</v>
      </c>
      <c r="AG109" s="1798">
        <f t="shared" si="39"/>
        <v>4687.0985163105897</v>
      </c>
      <c r="AH109" s="1798">
        <f t="shared" si="39"/>
        <v>4687.0985163105897</v>
      </c>
      <c r="AI109" s="1798">
        <f t="shared" si="39"/>
        <v>4687.0985163105897</v>
      </c>
      <c r="AJ109" s="1798">
        <f t="shared" si="39"/>
        <v>4687.0985163105897</v>
      </c>
      <c r="AK109" s="1798">
        <f t="shared" si="39"/>
        <v>4687.0985163105897</v>
      </c>
      <c r="AL109" s="1798">
        <f t="shared" si="39"/>
        <v>4687.0985163105897</v>
      </c>
      <c r="AM109" s="1798">
        <f t="shared" si="39"/>
        <v>4687.0985163105897</v>
      </c>
      <c r="AN109" s="1798">
        <f t="shared" si="39"/>
        <v>4687.0985163105897</v>
      </c>
      <c r="AO109" s="1798">
        <f t="shared" si="39"/>
        <v>4687.0985163105897</v>
      </c>
      <c r="AP109" s="1798">
        <f t="shared" si="39"/>
        <v>4687.0985163105897</v>
      </c>
      <c r="AQ109" s="1798">
        <f t="shared" si="39"/>
        <v>4687.0985163105897</v>
      </c>
      <c r="AR109" s="1798">
        <f t="shared" si="39"/>
        <v>4687.0985163105897</v>
      </c>
      <c r="AS109" s="1798">
        <f t="shared" si="39"/>
        <v>4687.0985163105897</v>
      </c>
      <c r="AT109" s="1798">
        <f t="shared" si="39"/>
        <v>4687.0985163105897</v>
      </c>
      <c r="AU109" s="1798">
        <f t="shared" si="39"/>
        <v>4687.0985163105897</v>
      </c>
      <c r="AV109" s="1798">
        <f t="shared" si="39"/>
        <v>4687.0985163105897</v>
      </c>
      <c r="AW109" s="1798">
        <f t="shared" si="39"/>
        <v>4687.0985163105897</v>
      </c>
      <c r="AX109" s="1798">
        <f t="shared" si="39"/>
        <v>4687.0985163105897</v>
      </c>
      <c r="AY109" s="1798">
        <f t="shared" si="39"/>
        <v>4687.0985163105897</v>
      </c>
      <c r="AZ109" s="1798">
        <f t="shared" si="39"/>
        <v>4687.0985163105897</v>
      </c>
      <c r="BA109" s="1798">
        <f t="shared" si="39"/>
        <v>4687.0985163105897</v>
      </c>
      <c r="BB109" s="1798">
        <f t="shared" si="39"/>
        <v>4687.0985163105897</v>
      </c>
      <c r="BC109" s="1798">
        <f t="shared" si="39"/>
        <v>4687.0985163105897</v>
      </c>
      <c r="BD109" s="1798">
        <f t="shared" si="39"/>
        <v>4687.0985163105897</v>
      </c>
      <c r="BE109" s="1798">
        <f t="shared" si="39"/>
        <v>4687.0985163105897</v>
      </c>
      <c r="BF109" s="1798">
        <f t="shared" si="39"/>
        <v>4687.0985163105897</v>
      </c>
      <c r="BG109" s="1798">
        <f t="shared" si="39"/>
        <v>4687.0985163105897</v>
      </c>
      <c r="BH109" s="1798">
        <f t="shared" si="39"/>
        <v>4687.0985163105897</v>
      </c>
      <c r="BI109" s="1799"/>
      <c r="BO109" s="136"/>
      <c r="BP109" s="121"/>
      <c r="BQ109" s="121"/>
      <c r="BR109" s="121"/>
    </row>
    <row r="110" spans="2:70" ht="12.75">
      <c r="C110" s="1805"/>
      <c r="D110" s="1801"/>
      <c r="E110" s="1801"/>
      <c r="F110" s="1801"/>
      <c r="G110" s="1801"/>
      <c r="H110" s="1801"/>
      <c r="I110" s="1801"/>
      <c r="J110" s="1801"/>
      <c r="K110" s="1801"/>
      <c r="L110" s="1801"/>
      <c r="M110" s="1801"/>
      <c r="N110" s="1801"/>
      <c r="O110" s="1801"/>
      <c r="P110" s="1801"/>
      <c r="Q110" s="1801"/>
      <c r="R110" s="1801"/>
      <c r="S110" s="1801"/>
      <c r="T110" s="1801"/>
      <c r="U110" s="1801"/>
      <c r="V110" s="1801"/>
      <c r="W110" s="1801"/>
      <c r="X110" s="1801"/>
      <c r="Y110" s="1801"/>
      <c r="Z110" s="1801"/>
      <c r="AA110" s="1801"/>
      <c r="AB110" s="1801"/>
      <c r="AC110" s="1801"/>
      <c r="AD110" s="1801"/>
      <c r="AE110" s="1801"/>
      <c r="AF110" s="1801"/>
      <c r="AG110" s="1801"/>
      <c r="AH110" s="1801"/>
      <c r="AI110" s="1801"/>
      <c r="AJ110" s="1801"/>
      <c r="AK110" s="1801"/>
      <c r="AL110" s="1801"/>
      <c r="AM110" s="1801"/>
      <c r="AN110" s="1801"/>
      <c r="AO110" s="1801"/>
      <c r="AP110" s="1801"/>
      <c r="AQ110" s="1801"/>
      <c r="AR110" s="1801"/>
      <c r="AS110" s="1801"/>
      <c r="AT110" s="1801"/>
      <c r="AU110" s="1801"/>
      <c r="AV110" s="1801"/>
      <c r="AW110" s="1801"/>
      <c r="AX110" s="1801"/>
      <c r="AY110" s="1801"/>
      <c r="AZ110" s="1801"/>
      <c r="BA110" s="1801"/>
      <c r="BB110" s="1801"/>
      <c r="BC110" s="1801"/>
      <c r="BD110" s="1801"/>
      <c r="BE110" s="1801"/>
      <c r="BF110" s="1801"/>
      <c r="BG110" s="1801"/>
      <c r="BH110" s="1801"/>
      <c r="BI110" s="1802"/>
      <c r="BO110" s="136"/>
      <c r="BP110" s="121"/>
      <c r="BQ110" s="121"/>
      <c r="BR110" s="121"/>
    </row>
    <row r="111" spans="2:70" ht="12.75">
      <c r="C111" s="186"/>
      <c r="D111" s="136"/>
      <c r="E111" s="136"/>
      <c r="F111" s="136"/>
      <c r="G111" s="136"/>
      <c r="H111" s="136"/>
      <c r="I111" s="136"/>
      <c r="J111" s="136"/>
      <c r="K111" s="136"/>
      <c r="L111" s="136"/>
      <c r="M111" s="136"/>
      <c r="N111" s="136"/>
      <c r="O111" s="136"/>
      <c r="P111" s="136"/>
      <c r="Q111" s="136"/>
      <c r="R111" s="136"/>
      <c r="BO111" s="136"/>
      <c r="BP111" s="121"/>
      <c r="BQ111" s="121"/>
      <c r="BR111" s="121"/>
    </row>
    <row r="112" spans="2:70" ht="12.75">
      <c r="C112" s="186"/>
      <c r="D112" s="136"/>
      <c r="E112" s="136"/>
      <c r="F112" s="136"/>
      <c r="G112" s="136"/>
      <c r="H112" s="136"/>
      <c r="I112" s="136"/>
      <c r="J112" s="136"/>
      <c r="K112" s="136"/>
      <c r="L112" s="136"/>
      <c r="M112" s="136"/>
      <c r="N112" s="136"/>
      <c r="O112" s="136"/>
      <c r="P112" s="136"/>
      <c r="Q112" s="136"/>
      <c r="R112" s="136"/>
      <c r="BO112" s="136"/>
      <c r="BP112" s="121"/>
      <c r="BQ112" s="121"/>
      <c r="BR112" s="121"/>
    </row>
    <row r="113" spans="3:70" ht="12.75">
      <c r="C113" s="186"/>
      <c r="D113" s="136"/>
      <c r="E113" s="136"/>
      <c r="F113" s="136"/>
      <c r="G113" s="136"/>
      <c r="H113" s="136"/>
      <c r="I113" s="136"/>
      <c r="J113" s="136"/>
      <c r="K113" s="136"/>
      <c r="L113" s="136"/>
      <c r="M113" s="136"/>
      <c r="N113" s="136"/>
      <c r="O113" s="136"/>
      <c r="P113" s="136"/>
      <c r="Q113" s="136"/>
      <c r="R113" s="136"/>
      <c r="BO113" s="136"/>
      <c r="BP113" s="121"/>
      <c r="BQ113" s="121"/>
      <c r="BR113" s="121"/>
    </row>
    <row r="114" spans="3:70" ht="12.75">
      <c r="C114" s="186"/>
      <c r="D114" s="136"/>
      <c r="E114" s="136" t="s">
        <v>814</v>
      </c>
      <c r="F114" s="136"/>
      <c r="G114" s="136"/>
      <c r="H114" s="136"/>
      <c r="I114" s="136"/>
      <c r="J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ht="14.25">
      <c r="F119" s="136"/>
      <c r="K119" s="136"/>
      <c r="L119" s="136"/>
      <c r="M119" s="136"/>
      <c r="N119" s="136"/>
      <c r="O119" s="136"/>
      <c r="P119" s="136"/>
      <c r="Q119" s="136"/>
      <c r="R119" s="136"/>
      <c r="BO119" s="136"/>
      <c r="BP119" s="121"/>
      <c r="BQ119" s="121"/>
      <c r="BR119" s="121"/>
    </row>
    <row r="120" spans="3:70" ht="14.25">
      <c r="F120" s="136"/>
      <c r="K120" s="136"/>
      <c r="L120" s="136"/>
      <c r="M120" s="136"/>
      <c r="N120" s="136"/>
      <c r="O120" s="136"/>
      <c r="P120" s="136"/>
      <c r="Q120" s="136"/>
      <c r="R120" s="136"/>
      <c r="BO120" s="136"/>
      <c r="BP120" s="121"/>
      <c r="BQ120" s="121"/>
      <c r="BR120" s="121"/>
    </row>
    <row r="121" spans="3:70" ht="14.25">
      <c r="F121" s="136"/>
      <c r="K121" s="136"/>
      <c r="L121" s="136"/>
      <c r="M121" s="136"/>
      <c r="N121" s="136"/>
      <c r="O121" s="136"/>
      <c r="P121" s="136"/>
      <c r="Q121" s="136"/>
      <c r="R121" s="136"/>
      <c r="BO121" s="136"/>
      <c r="BP121" s="121"/>
      <c r="BQ121" s="121"/>
      <c r="BR121" s="121"/>
    </row>
    <row r="122" spans="3:70" ht="14.25">
      <c r="F122" s="136"/>
      <c r="K122" s="136"/>
      <c r="L122" s="136"/>
      <c r="M122" s="136"/>
      <c r="N122" s="136"/>
      <c r="O122" s="136"/>
      <c r="P122" s="136"/>
      <c r="Q122" s="136"/>
      <c r="R122" s="136"/>
      <c r="BO122" s="136"/>
      <c r="BP122" s="121"/>
      <c r="BQ122" s="121"/>
      <c r="BR122" s="121"/>
    </row>
    <row r="123" spans="3:70" ht="12.75">
      <c r="C123" s="186"/>
      <c r="D123" s="136"/>
      <c r="E123" s="136"/>
      <c r="F123" s="136"/>
      <c r="K123" s="136"/>
      <c r="L123" s="136"/>
      <c r="M123" s="136"/>
      <c r="N123" s="136"/>
      <c r="O123" s="136"/>
      <c r="P123" s="136"/>
      <c r="Q123" s="136"/>
      <c r="R123" s="136"/>
      <c r="BO123" s="136"/>
      <c r="BP123" s="121"/>
      <c r="BQ123" s="121"/>
      <c r="BR123" s="121"/>
    </row>
    <row r="124" spans="3:70" ht="12.75">
      <c r="C124" s="186"/>
      <c r="D124" s="136"/>
      <c r="E124" s="136"/>
      <c r="F124" s="136"/>
      <c r="K124" s="136"/>
      <c r="L124" s="136"/>
      <c r="M124" s="136"/>
      <c r="N124" s="136"/>
      <c r="O124" s="136"/>
      <c r="P124" s="136"/>
      <c r="Q124" s="136"/>
      <c r="R124" s="136"/>
      <c r="BO124" s="136"/>
      <c r="BP124" s="121"/>
      <c r="BQ124" s="121"/>
      <c r="BR124" s="121"/>
    </row>
    <row r="125" spans="3:70" ht="14.25">
      <c r="F125" s="136"/>
      <c r="K125" s="136"/>
      <c r="L125" s="136"/>
      <c r="M125" s="136"/>
      <c r="N125" s="136"/>
      <c r="O125" s="136"/>
      <c r="P125" s="136"/>
      <c r="Q125" s="136"/>
      <c r="R125" s="136"/>
      <c r="BO125" s="136"/>
      <c r="BP125" s="121"/>
      <c r="BQ125" s="121"/>
      <c r="BR125" s="121"/>
    </row>
    <row r="126" spans="3:70" ht="14.25">
      <c r="F126" s="136"/>
      <c r="K126" s="136"/>
      <c r="L126" s="136"/>
      <c r="M126" s="136"/>
      <c r="N126" s="136"/>
      <c r="O126" s="136"/>
      <c r="P126" s="136"/>
      <c r="Q126" s="136"/>
      <c r="R126" s="136"/>
      <c r="BO126" s="136"/>
      <c r="BP126" s="121"/>
      <c r="BQ126" s="121"/>
      <c r="BR126" s="121"/>
    </row>
    <row r="127" spans="3:70" ht="14.25">
      <c r="F127" s="136"/>
      <c r="K127" s="136"/>
      <c r="L127" s="136"/>
      <c r="M127" s="136"/>
      <c r="N127" s="136"/>
      <c r="O127" s="136"/>
      <c r="P127" s="136"/>
      <c r="Q127" s="136"/>
      <c r="R127" s="136"/>
      <c r="BO127" s="136"/>
      <c r="BP127" s="121"/>
      <c r="BQ127" s="121"/>
      <c r="BR127" s="121"/>
    </row>
    <row r="128" spans="3:70" ht="14.25">
      <c r="F128" s="136"/>
      <c r="K128" s="136"/>
      <c r="L128" s="136"/>
      <c r="M128" s="136"/>
      <c r="N128" s="136"/>
      <c r="O128" s="136"/>
      <c r="P128" s="136"/>
      <c r="Q128" s="136"/>
      <c r="R128" s="136"/>
      <c r="BO128" s="136"/>
      <c r="BP128" s="121"/>
      <c r="BQ128" s="121"/>
      <c r="BR128" s="121"/>
    </row>
    <row r="129" spans="6:70">
      <c r="F129" s="136"/>
      <c r="K129" s="136"/>
      <c r="L129" s="136"/>
      <c r="M129" s="136"/>
      <c r="N129" s="136"/>
      <c r="O129" s="136"/>
      <c r="P129" s="136"/>
      <c r="Q129" s="136"/>
      <c r="R129" s="136"/>
      <c r="BP129" s="121"/>
      <c r="BQ129" s="121"/>
      <c r="BR129" s="121"/>
    </row>
    <row r="130" spans="6:70">
      <c r="I130" s="120" t="s">
        <v>814</v>
      </c>
    </row>
  </sheetData>
  <mergeCells count="16">
    <mergeCell ref="A1:Q1"/>
    <mergeCell ref="M25:N25"/>
    <mergeCell ref="I24:O24"/>
    <mergeCell ref="I30:O30"/>
    <mergeCell ref="B2:E2"/>
    <mergeCell ref="Q5:V5"/>
    <mergeCell ref="I5:P5"/>
    <mergeCell ref="I4:W4"/>
    <mergeCell ref="C80:E80"/>
    <mergeCell ref="C92:E92"/>
    <mergeCell ref="I25:L25"/>
    <mergeCell ref="R31:S31"/>
    <mergeCell ref="H2:Y2"/>
    <mergeCell ref="U22:X22"/>
    <mergeCell ref="C66:E66"/>
    <mergeCell ref="C72:E72"/>
  </mergeCells>
  <dataValidations count="4">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C6:D6">
      <formula1>#REF!</formula1>
    </dataValidation>
    <dataValidation type="list" allowBlank="1" showInputMessage="1" showErrorMessage="1" sqref="F8:F9">
      <formula1>"High, Medium, Low"</formula1>
    </dataValidation>
  </dataValidations>
  <pageMargins left="0.7" right="0.7" top="0.75" bottom="0.75" header="0.3" footer="0.3"/>
  <pageSetup paperSize="5" scale="28"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T1553"/>
  <sheetViews>
    <sheetView topLeftCell="A1026" workbookViewId="0">
      <selection activeCell="A1054" sqref="A1054:XFD1058"/>
    </sheetView>
  </sheetViews>
  <sheetFormatPr defaultRowHeight="12.75"/>
  <cols>
    <col min="1" max="1" width="19.140625" bestFit="1" customWidth="1"/>
    <col min="2" max="3" width="19.140625" style="90" customWidth="1"/>
    <col min="4" max="4" width="30.7109375" style="90" customWidth="1"/>
    <col min="5" max="5" width="13.28515625" style="287" customWidth="1"/>
    <col min="6" max="6" width="11.28515625" style="1589" bestFit="1" customWidth="1"/>
    <col min="7" max="9" width="11.28515625" style="60" bestFit="1" customWidth="1"/>
    <col min="10" max="10" width="17.7109375" style="60" bestFit="1" customWidth="1"/>
    <col min="11" max="11" width="14" style="60" bestFit="1" customWidth="1"/>
    <col min="12" max="12" width="11.28515625" style="60" bestFit="1" customWidth="1"/>
    <col min="13" max="13" width="9.28515625" style="60" bestFit="1" customWidth="1"/>
    <col min="14" max="14" width="12.85546875" style="60" bestFit="1" customWidth="1"/>
    <col min="17" max="17" width="14" style="446" bestFit="1" customWidth="1"/>
  </cols>
  <sheetData>
    <row r="1" spans="1:20" s="1249" customFormat="1" ht="25.5">
      <c r="A1" s="90" t="s">
        <v>2313</v>
      </c>
      <c r="B1" s="90" t="s">
        <v>1095</v>
      </c>
      <c r="C1" s="90"/>
      <c r="D1" s="90" t="s">
        <v>2346</v>
      </c>
      <c r="E1" s="90" t="s">
        <v>2347</v>
      </c>
      <c r="F1" s="90" t="s">
        <v>2348</v>
      </c>
      <c r="G1" s="90" t="s">
        <v>2349</v>
      </c>
      <c r="H1" s="90" t="s">
        <v>2350</v>
      </c>
      <c r="I1" s="90" t="s">
        <v>2351</v>
      </c>
      <c r="J1" s="90" t="s">
        <v>2352</v>
      </c>
      <c r="K1" s="90" t="s">
        <v>2353</v>
      </c>
      <c r="L1" s="90" t="s">
        <v>2354</v>
      </c>
      <c r="M1" s="90" t="s">
        <v>2355</v>
      </c>
      <c r="N1" s="90" t="s">
        <v>2356</v>
      </c>
      <c r="O1" s="90" t="s">
        <v>2357</v>
      </c>
      <c r="P1" s="90" t="s">
        <v>2358</v>
      </c>
      <c r="Q1" s="90" t="s">
        <v>2359</v>
      </c>
      <c r="R1" s="90" t="s">
        <v>2360</v>
      </c>
      <c r="S1" s="718" t="s">
        <v>2332</v>
      </c>
    </row>
    <row r="2" spans="1:20">
      <c r="A2" s="90" t="s">
        <v>969</v>
      </c>
      <c r="B2" s="90" t="s">
        <v>643</v>
      </c>
      <c r="C2" s="90" t="str">
        <f>CONCATENATE(A2,B2)</f>
        <v>AdakOther</v>
      </c>
      <c r="D2" s="90">
        <v>4</v>
      </c>
      <c r="E2" s="90">
        <v>40081</v>
      </c>
      <c r="F2" s="90">
        <v>20035.778223446992</v>
      </c>
      <c r="G2" s="90">
        <v>0</v>
      </c>
      <c r="H2" s="90">
        <v>184040.02467890599</v>
      </c>
      <c r="I2" s="90">
        <v>0</v>
      </c>
      <c r="J2" s="90">
        <v>0</v>
      </c>
      <c r="K2" s="90">
        <v>0</v>
      </c>
      <c r="L2" s="90">
        <v>14826.475885350774</v>
      </c>
      <c r="M2" s="90">
        <v>0</v>
      </c>
      <c r="N2" s="90">
        <v>136189.61826239043</v>
      </c>
      <c r="O2" s="90">
        <v>0</v>
      </c>
      <c r="P2" s="90">
        <v>0</v>
      </c>
      <c r="Q2" s="90">
        <v>0</v>
      </c>
      <c r="R2" s="90">
        <v>280567</v>
      </c>
    </row>
    <row r="3" spans="1:20">
      <c r="A3" s="90" t="s">
        <v>969</v>
      </c>
      <c r="B3" s="90" t="s">
        <v>1227</v>
      </c>
      <c r="C3" s="90" t="str">
        <f t="shared" ref="C3:C66" si="0">CONCATENATE(A3,B3)</f>
        <v>AdakPublic Assembly</v>
      </c>
      <c r="D3" s="90">
        <v>2</v>
      </c>
      <c r="E3" s="90">
        <v>92100</v>
      </c>
      <c r="F3" s="90">
        <v>14359.363705790762</v>
      </c>
      <c r="G3" s="90">
        <v>0</v>
      </c>
      <c r="H3" s="90">
        <v>217626.03391248695</v>
      </c>
      <c r="I3" s="90">
        <v>0</v>
      </c>
      <c r="J3" s="90">
        <v>0</v>
      </c>
      <c r="K3" s="90">
        <v>0</v>
      </c>
      <c r="L3" s="90">
        <v>10625.929142285164</v>
      </c>
      <c r="M3" s="90">
        <v>0</v>
      </c>
      <c r="N3" s="90">
        <v>161043.26509524035</v>
      </c>
      <c r="O3" s="90">
        <v>0</v>
      </c>
      <c r="P3" s="90">
        <v>0</v>
      </c>
      <c r="Q3" s="90">
        <v>0</v>
      </c>
      <c r="R3" s="90">
        <v>644700</v>
      </c>
      <c r="T3" s="90"/>
    </row>
    <row r="4" spans="1:20">
      <c r="A4" s="90" t="s">
        <v>969</v>
      </c>
      <c r="B4" s="90" t="s">
        <v>1475</v>
      </c>
      <c r="C4" s="90" t="str">
        <f t="shared" si="0"/>
        <v>AdakPublic Safety</v>
      </c>
      <c r="D4" s="90">
        <v>1</v>
      </c>
      <c r="E4" s="90">
        <v>16800</v>
      </c>
      <c r="F4" s="90">
        <v>16335.897545529811</v>
      </c>
      <c r="G4" s="90">
        <v>0</v>
      </c>
      <c r="H4" s="90">
        <v>4800</v>
      </c>
      <c r="I4" s="90">
        <v>0</v>
      </c>
      <c r="J4" s="90">
        <v>0</v>
      </c>
      <c r="K4" s="90">
        <v>0</v>
      </c>
      <c r="L4" s="90">
        <v>12088.56418369206</v>
      </c>
      <c r="M4" s="90">
        <v>0</v>
      </c>
      <c r="N4" s="90">
        <v>3552</v>
      </c>
      <c r="O4" s="90">
        <v>0</v>
      </c>
      <c r="P4" s="90">
        <v>0</v>
      </c>
      <c r="Q4" s="90">
        <v>0</v>
      </c>
      <c r="R4" s="90">
        <v>117600</v>
      </c>
      <c r="T4" s="90"/>
    </row>
    <row r="5" spans="1:20">
      <c r="A5" s="90" t="s">
        <v>970</v>
      </c>
      <c r="B5" s="90" t="s">
        <v>1439</v>
      </c>
      <c r="C5" s="90" t="str">
        <f t="shared" si="0"/>
        <v>AkhiokEducation - K - 12</v>
      </c>
      <c r="D5" s="90">
        <v>1</v>
      </c>
      <c r="E5" s="90">
        <v>8450</v>
      </c>
      <c r="F5" s="90">
        <v>6000</v>
      </c>
      <c r="G5" s="90">
        <v>0</v>
      </c>
      <c r="H5" s="90">
        <v>70160</v>
      </c>
      <c r="I5" s="90">
        <v>0</v>
      </c>
      <c r="J5" s="90">
        <v>0</v>
      </c>
      <c r="K5" s="90">
        <v>0</v>
      </c>
      <c r="L5" s="90">
        <v>4440</v>
      </c>
      <c r="M5" s="90">
        <v>0</v>
      </c>
      <c r="N5" s="90">
        <v>51918.400000000001</v>
      </c>
      <c r="O5" s="90">
        <v>0</v>
      </c>
      <c r="P5" s="90">
        <v>0</v>
      </c>
      <c r="Q5" s="90">
        <v>0</v>
      </c>
      <c r="R5" s="90">
        <v>59150</v>
      </c>
      <c r="T5" s="90"/>
    </row>
    <row r="6" spans="1:20">
      <c r="A6" s="90" t="s">
        <v>970</v>
      </c>
      <c r="B6" s="90" t="s">
        <v>1440</v>
      </c>
      <c r="C6" s="90" t="str">
        <f t="shared" si="0"/>
        <v>AkhiokHealth Care - Hospitals</v>
      </c>
      <c r="D6" s="90">
        <v>2</v>
      </c>
      <c r="E6" s="90">
        <v>4150</v>
      </c>
      <c r="F6" s="90">
        <v>2892.4393468431135</v>
      </c>
      <c r="G6" s="90">
        <v>0</v>
      </c>
      <c r="H6" s="90">
        <v>31218.089896320002</v>
      </c>
      <c r="I6" s="90">
        <v>0</v>
      </c>
      <c r="J6" s="90">
        <v>0</v>
      </c>
      <c r="K6" s="90">
        <v>0</v>
      </c>
      <c r="L6" s="90">
        <v>2140.4051166639038</v>
      </c>
      <c r="M6" s="90">
        <v>0</v>
      </c>
      <c r="N6" s="90">
        <v>23101.3865232768</v>
      </c>
      <c r="O6" s="90">
        <v>0</v>
      </c>
      <c r="P6" s="90">
        <v>0</v>
      </c>
      <c r="Q6" s="90">
        <v>0</v>
      </c>
      <c r="R6" s="90">
        <v>29050</v>
      </c>
      <c r="T6" s="90"/>
    </row>
    <row r="7" spans="1:20">
      <c r="A7" s="90" t="s">
        <v>970</v>
      </c>
      <c r="B7" s="90" t="s">
        <v>665</v>
      </c>
      <c r="C7" s="90" t="str">
        <f t="shared" si="0"/>
        <v>AkhiokOffice</v>
      </c>
      <c r="D7" s="90">
        <v>2</v>
      </c>
      <c r="E7" s="90">
        <v>2152</v>
      </c>
      <c r="F7" s="90">
        <v>2863.5874241477268</v>
      </c>
      <c r="G7" s="90">
        <v>0</v>
      </c>
      <c r="H7" s="90">
        <v>17250.497072193764</v>
      </c>
      <c r="I7" s="90">
        <v>0</v>
      </c>
      <c r="J7" s="90">
        <v>0</v>
      </c>
      <c r="K7" s="90">
        <v>0</v>
      </c>
      <c r="L7" s="90">
        <v>2119.0546938693178</v>
      </c>
      <c r="M7" s="90">
        <v>0</v>
      </c>
      <c r="N7" s="90">
        <v>12765.367833423386</v>
      </c>
      <c r="O7" s="90">
        <v>0</v>
      </c>
      <c r="P7" s="90">
        <v>0</v>
      </c>
      <c r="Q7" s="90">
        <v>0</v>
      </c>
      <c r="R7" s="90">
        <v>15064</v>
      </c>
      <c r="T7" s="90"/>
    </row>
    <row r="8" spans="1:20">
      <c r="A8" s="90" t="s">
        <v>970</v>
      </c>
      <c r="B8" s="90" t="s">
        <v>643</v>
      </c>
      <c r="C8" s="90" t="str">
        <f t="shared" si="0"/>
        <v>AkhiokOther</v>
      </c>
      <c r="D8" s="90">
        <v>2</v>
      </c>
      <c r="E8" s="90">
        <v>3315.9204545454545</v>
      </c>
      <c r="F8" s="90">
        <v>2867.8445876911501</v>
      </c>
      <c r="G8" s="90">
        <v>0</v>
      </c>
      <c r="H8" s="90">
        <v>24133.228335233573</v>
      </c>
      <c r="I8" s="90">
        <v>0</v>
      </c>
      <c r="J8" s="90">
        <v>0</v>
      </c>
      <c r="K8" s="90">
        <v>0</v>
      </c>
      <c r="L8" s="90">
        <v>2122.204994891451</v>
      </c>
      <c r="M8" s="90">
        <v>0</v>
      </c>
      <c r="N8" s="90">
        <v>17858.588968072843</v>
      </c>
      <c r="O8" s="90">
        <v>0</v>
      </c>
      <c r="P8" s="90">
        <v>0</v>
      </c>
      <c r="Q8" s="90">
        <v>0</v>
      </c>
      <c r="R8" s="90">
        <v>23211.443181818184</v>
      </c>
      <c r="T8" s="90"/>
    </row>
    <row r="9" spans="1:20">
      <c r="A9" s="90" t="s">
        <v>970</v>
      </c>
      <c r="B9" s="90" t="s">
        <v>1227</v>
      </c>
      <c r="C9" s="90" t="str">
        <f t="shared" si="0"/>
        <v>AkhiokPublic Assembly</v>
      </c>
      <c r="D9" s="90">
        <v>4</v>
      </c>
      <c r="E9" s="90">
        <v>5656.7211538461543</v>
      </c>
      <c r="F9" s="90">
        <v>3330.0544054871307</v>
      </c>
      <c r="G9" s="90">
        <v>0</v>
      </c>
      <c r="H9" s="90">
        <v>21279.089310693693</v>
      </c>
      <c r="I9" s="90">
        <v>0</v>
      </c>
      <c r="J9" s="90">
        <v>0</v>
      </c>
      <c r="K9" s="90">
        <v>0</v>
      </c>
      <c r="L9" s="90">
        <v>2464.2402600604769</v>
      </c>
      <c r="M9" s="90">
        <v>0</v>
      </c>
      <c r="N9" s="90">
        <v>15746.526089913332</v>
      </c>
      <c r="O9" s="90">
        <v>0</v>
      </c>
      <c r="P9" s="90">
        <v>0</v>
      </c>
      <c r="Q9" s="90">
        <v>0</v>
      </c>
      <c r="R9" s="90">
        <v>39597.048076923078</v>
      </c>
      <c r="T9" s="90"/>
    </row>
    <row r="10" spans="1:20">
      <c r="A10" s="90" t="s">
        <v>970</v>
      </c>
      <c r="B10" s="90" t="s">
        <v>1485</v>
      </c>
      <c r="C10" s="90" t="str">
        <f t="shared" si="0"/>
        <v>AkhiokRetail - Other</v>
      </c>
      <c r="D10" s="90">
        <v>1</v>
      </c>
      <c r="E10" s="90">
        <v>600</v>
      </c>
      <c r="F10" s="90">
        <v>300</v>
      </c>
      <c r="G10" s="90">
        <v>0</v>
      </c>
      <c r="H10" s="90">
        <v>14133.14330141477</v>
      </c>
      <c r="I10" s="90">
        <v>0</v>
      </c>
      <c r="J10" s="90">
        <v>0</v>
      </c>
      <c r="K10" s="90">
        <v>0</v>
      </c>
      <c r="L10" s="90">
        <v>222</v>
      </c>
      <c r="M10" s="90">
        <v>0</v>
      </c>
      <c r="N10" s="90">
        <v>10458.52604304693</v>
      </c>
      <c r="O10" s="90">
        <v>0</v>
      </c>
      <c r="P10" s="90">
        <v>0</v>
      </c>
      <c r="Q10" s="90">
        <v>0</v>
      </c>
      <c r="R10" s="90">
        <v>4200</v>
      </c>
    </row>
    <row r="11" spans="1:20">
      <c r="A11" s="90" t="s">
        <v>970</v>
      </c>
      <c r="B11" s="90" t="s">
        <v>951</v>
      </c>
      <c r="C11" s="90" t="str">
        <f t="shared" si="0"/>
        <v>AkhiokWarehousing</v>
      </c>
      <c r="D11" s="90">
        <v>1</v>
      </c>
      <c r="E11" s="90">
        <v>1104</v>
      </c>
      <c r="F11" s="90">
        <v>1383.8975689826473</v>
      </c>
      <c r="G11" s="90">
        <v>0</v>
      </c>
      <c r="H11" s="90">
        <v>13099.12426006748</v>
      </c>
      <c r="I11" s="90">
        <v>0</v>
      </c>
      <c r="J11" s="90">
        <v>0</v>
      </c>
      <c r="K11" s="90">
        <v>0</v>
      </c>
      <c r="L11" s="90">
        <v>1024.084201047159</v>
      </c>
      <c r="M11" s="90">
        <v>0</v>
      </c>
      <c r="N11" s="90">
        <v>9693.3519524499352</v>
      </c>
      <c r="O11" s="90">
        <v>0</v>
      </c>
      <c r="P11" s="90">
        <v>0</v>
      </c>
      <c r="Q11" s="90">
        <v>0</v>
      </c>
      <c r="R11" s="90">
        <v>7728</v>
      </c>
    </row>
    <row r="12" spans="1:20">
      <c r="A12" s="90" t="s">
        <v>49</v>
      </c>
      <c r="B12" s="90" t="s">
        <v>1447</v>
      </c>
      <c r="C12" s="90" t="str">
        <f t="shared" si="0"/>
        <v>AkiachakAccomodation Services</v>
      </c>
      <c r="D12" s="90">
        <v>1</v>
      </c>
      <c r="E12" s="90">
        <v>7260.0625</v>
      </c>
      <c r="F12" s="90">
        <v>7485.3185274619782</v>
      </c>
      <c r="G12" s="90">
        <v>0</v>
      </c>
      <c r="H12" s="90">
        <v>158263.93571825544</v>
      </c>
      <c r="I12" s="90">
        <v>0</v>
      </c>
      <c r="J12" s="90">
        <v>0</v>
      </c>
      <c r="K12" s="90">
        <v>0</v>
      </c>
      <c r="L12" s="90">
        <v>5539.1357103218634</v>
      </c>
      <c r="M12" s="90">
        <v>0</v>
      </c>
      <c r="N12" s="90">
        <v>117115.31243150902</v>
      </c>
      <c r="O12" s="90">
        <v>0</v>
      </c>
      <c r="P12" s="90">
        <v>0</v>
      </c>
      <c r="Q12" s="90">
        <v>0</v>
      </c>
      <c r="R12" s="90">
        <v>50820.4375</v>
      </c>
    </row>
    <row r="13" spans="1:20">
      <c r="A13" s="90" t="s">
        <v>49</v>
      </c>
      <c r="B13" s="90" t="s">
        <v>1439</v>
      </c>
      <c r="C13" s="90" t="str">
        <f t="shared" si="0"/>
        <v>AkiachakEducation - K - 12</v>
      </c>
      <c r="D13" s="90">
        <v>2</v>
      </c>
      <c r="E13" s="90">
        <v>63332.223957219248</v>
      </c>
      <c r="F13" s="90">
        <v>46525.821364227086</v>
      </c>
      <c r="G13" s="90">
        <v>0</v>
      </c>
      <c r="H13" s="90">
        <v>509624.85156833497</v>
      </c>
      <c r="I13" s="90">
        <v>0</v>
      </c>
      <c r="J13" s="90">
        <v>0</v>
      </c>
      <c r="K13" s="90">
        <v>0</v>
      </c>
      <c r="L13" s="90">
        <v>34429.107809528039</v>
      </c>
      <c r="M13" s="90">
        <v>0</v>
      </c>
      <c r="N13" s="90">
        <v>377122.39016056783</v>
      </c>
      <c r="O13" s="90">
        <v>0</v>
      </c>
      <c r="P13" s="90">
        <v>0</v>
      </c>
      <c r="Q13" s="90">
        <v>0</v>
      </c>
      <c r="R13" s="90">
        <v>443325.56770053477</v>
      </c>
    </row>
    <row r="14" spans="1:20">
      <c r="A14" s="90" t="s">
        <v>49</v>
      </c>
      <c r="B14" s="90" t="s">
        <v>665</v>
      </c>
      <c r="C14" s="90" t="str">
        <f t="shared" si="0"/>
        <v>AkiachakOffice</v>
      </c>
      <c r="D14" s="90">
        <v>3</v>
      </c>
      <c r="E14" s="90">
        <v>6730.3381294964029</v>
      </c>
      <c r="F14" s="90">
        <v>5602.6738326348768</v>
      </c>
      <c r="G14" s="90">
        <v>0</v>
      </c>
      <c r="H14" s="90">
        <v>38185.63924285672</v>
      </c>
      <c r="I14" s="90">
        <v>0</v>
      </c>
      <c r="J14" s="90">
        <v>0</v>
      </c>
      <c r="K14" s="90">
        <v>0</v>
      </c>
      <c r="L14" s="90">
        <v>4145.9786361498082</v>
      </c>
      <c r="M14" s="90">
        <v>0</v>
      </c>
      <c r="N14" s="90">
        <v>28257.373039713973</v>
      </c>
      <c r="O14" s="90">
        <v>0</v>
      </c>
      <c r="P14" s="90">
        <v>0</v>
      </c>
      <c r="Q14" s="90">
        <v>0</v>
      </c>
      <c r="R14" s="90">
        <v>47112.366906474817</v>
      </c>
    </row>
    <row r="15" spans="1:20">
      <c r="A15" s="90" t="s">
        <v>49</v>
      </c>
      <c r="B15" s="90" t="s">
        <v>643</v>
      </c>
      <c r="C15" s="90" t="str">
        <f t="shared" si="0"/>
        <v>AkiachakOther</v>
      </c>
      <c r="D15" s="90">
        <v>6</v>
      </c>
      <c r="E15" s="90">
        <v>16542.072519083969</v>
      </c>
      <c r="F15" s="90">
        <v>17581.159177021353</v>
      </c>
      <c r="G15" s="90">
        <v>0</v>
      </c>
      <c r="H15" s="90">
        <v>111894.48064803882</v>
      </c>
      <c r="I15" s="90">
        <v>0</v>
      </c>
      <c r="J15" s="90">
        <v>0</v>
      </c>
      <c r="K15" s="90">
        <v>0</v>
      </c>
      <c r="L15" s="90">
        <v>13010.057790995801</v>
      </c>
      <c r="M15" s="90">
        <v>0</v>
      </c>
      <c r="N15" s="90">
        <v>82801.915679548736</v>
      </c>
      <c r="O15" s="90">
        <v>0</v>
      </c>
      <c r="P15" s="90">
        <v>0</v>
      </c>
      <c r="Q15" s="90">
        <v>0</v>
      </c>
      <c r="R15" s="90">
        <v>115794.5076335878</v>
      </c>
    </row>
    <row r="16" spans="1:20">
      <c r="A16" s="90" t="s">
        <v>49</v>
      </c>
      <c r="B16" s="90" t="s">
        <v>1227</v>
      </c>
      <c r="C16" s="90" t="str">
        <f t="shared" si="0"/>
        <v>AkiachakPublic Assembly</v>
      </c>
      <c r="D16" s="90">
        <v>4</v>
      </c>
      <c r="E16" s="90">
        <v>11437.692134831459</v>
      </c>
      <c r="F16" s="90">
        <v>7910.4267602250638</v>
      </c>
      <c r="G16" s="90">
        <v>0</v>
      </c>
      <c r="H16" s="90">
        <v>53034.582926982832</v>
      </c>
      <c r="I16" s="90">
        <v>0</v>
      </c>
      <c r="J16" s="90">
        <v>0</v>
      </c>
      <c r="K16" s="90">
        <v>0</v>
      </c>
      <c r="L16" s="90">
        <v>5853.7158025665467</v>
      </c>
      <c r="M16" s="90">
        <v>0</v>
      </c>
      <c r="N16" s="90">
        <v>39245.591365967295</v>
      </c>
      <c r="O16" s="90">
        <v>0</v>
      </c>
      <c r="P16" s="90">
        <v>0</v>
      </c>
      <c r="Q16" s="90">
        <v>0</v>
      </c>
      <c r="R16" s="90">
        <v>80063.844943820222</v>
      </c>
    </row>
    <row r="17" spans="1:18">
      <c r="A17" s="90" t="s">
        <v>49</v>
      </c>
      <c r="B17" s="90" t="s">
        <v>1475</v>
      </c>
      <c r="C17" s="90" t="str">
        <f t="shared" si="0"/>
        <v>AkiachakPublic Safety</v>
      </c>
      <c r="D17" s="90">
        <v>4</v>
      </c>
      <c r="E17" s="90">
        <v>8707.4089393939394</v>
      </c>
      <c r="F17" s="90">
        <v>6163.647084600726</v>
      </c>
      <c r="G17" s="90">
        <v>0</v>
      </c>
      <c r="H17" s="90">
        <v>72010.985264026342</v>
      </c>
      <c r="I17" s="90">
        <v>0</v>
      </c>
      <c r="J17" s="90">
        <v>0</v>
      </c>
      <c r="K17" s="90">
        <v>0</v>
      </c>
      <c r="L17" s="90">
        <v>4561.0988426045369</v>
      </c>
      <c r="M17" s="90">
        <v>0</v>
      </c>
      <c r="N17" s="90">
        <v>53288.129095379503</v>
      </c>
      <c r="O17" s="90">
        <v>0</v>
      </c>
      <c r="P17" s="90">
        <v>0</v>
      </c>
      <c r="Q17" s="90">
        <v>0</v>
      </c>
      <c r="R17" s="90">
        <v>60951.862575757579</v>
      </c>
    </row>
    <row r="18" spans="1:18">
      <c r="A18" s="90" t="s">
        <v>49</v>
      </c>
      <c r="B18" s="90" t="s">
        <v>1485</v>
      </c>
      <c r="C18" s="90" t="str">
        <f t="shared" si="0"/>
        <v>AkiachakRetail - Other</v>
      </c>
      <c r="D18" s="90">
        <v>1</v>
      </c>
      <c r="E18" s="90">
        <v>2100</v>
      </c>
      <c r="F18" s="90">
        <v>275</v>
      </c>
      <c r="G18" s="90">
        <v>0</v>
      </c>
      <c r="H18" s="90">
        <v>51236.17643019808</v>
      </c>
      <c r="I18" s="90">
        <v>0</v>
      </c>
      <c r="J18" s="90">
        <v>0</v>
      </c>
      <c r="K18" s="90">
        <v>0</v>
      </c>
      <c r="L18" s="90">
        <v>203.5</v>
      </c>
      <c r="M18" s="90">
        <v>0</v>
      </c>
      <c r="N18" s="90">
        <v>37914.770558346579</v>
      </c>
      <c r="O18" s="90">
        <v>0</v>
      </c>
      <c r="P18" s="90">
        <v>0</v>
      </c>
      <c r="Q18" s="90">
        <v>0</v>
      </c>
      <c r="R18" s="90">
        <v>14700</v>
      </c>
    </row>
    <row r="19" spans="1:18">
      <c r="A19" s="90" t="s">
        <v>49</v>
      </c>
      <c r="B19" s="90" t="s">
        <v>951</v>
      </c>
      <c r="C19" s="90" t="str">
        <f t="shared" si="0"/>
        <v>AkiachakWarehousing</v>
      </c>
      <c r="D19" s="90">
        <v>1</v>
      </c>
      <c r="E19" s="90">
        <v>336</v>
      </c>
      <c r="F19" s="90">
        <v>586.41860730963549</v>
      </c>
      <c r="G19" s="90">
        <v>0</v>
      </c>
      <c r="H19" s="90">
        <v>15395.088920833885</v>
      </c>
      <c r="I19" s="90">
        <v>0</v>
      </c>
      <c r="J19" s="90">
        <v>0</v>
      </c>
      <c r="K19" s="90">
        <v>0</v>
      </c>
      <c r="L19" s="90">
        <v>433.94976940913028</v>
      </c>
      <c r="M19" s="90">
        <v>0</v>
      </c>
      <c r="N19" s="90">
        <v>11392.365801417074</v>
      </c>
      <c r="O19" s="90">
        <v>0</v>
      </c>
      <c r="P19" s="90">
        <v>0</v>
      </c>
      <c r="Q19" s="90">
        <v>0</v>
      </c>
      <c r="R19" s="90">
        <v>2352</v>
      </c>
    </row>
    <row r="20" spans="1:18">
      <c r="A20" s="90" t="s">
        <v>51</v>
      </c>
      <c r="B20" s="90" t="s">
        <v>1439</v>
      </c>
      <c r="C20" s="90" t="str">
        <f t="shared" si="0"/>
        <v>AkiakEducation - K - 12</v>
      </c>
      <c r="D20" s="90">
        <v>2</v>
      </c>
      <c r="E20" s="90">
        <v>50587.223957219248</v>
      </c>
      <c r="F20" s="90">
        <v>37162.947992093097</v>
      </c>
      <c r="G20" s="90">
        <v>0</v>
      </c>
      <c r="H20" s="90">
        <v>342383.34640833491</v>
      </c>
      <c r="I20" s="90">
        <v>0</v>
      </c>
      <c r="J20" s="90">
        <v>0</v>
      </c>
      <c r="K20" s="90">
        <v>0</v>
      </c>
      <c r="L20" s="90">
        <v>27500.581514148893</v>
      </c>
      <c r="M20" s="90">
        <v>0</v>
      </c>
      <c r="N20" s="90">
        <v>253363.67634216786</v>
      </c>
      <c r="O20" s="90">
        <v>0</v>
      </c>
      <c r="P20" s="90">
        <v>0</v>
      </c>
      <c r="Q20" s="90">
        <v>0</v>
      </c>
      <c r="R20" s="90">
        <v>354110.56770053477</v>
      </c>
    </row>
    <row r="21" spans="1:18">
      <c r="A21" s="90" t="s">
        <v>51</v>
      </c>
      <c r="B21" s="90" t="s">
        <v>1440</v>
      </c>
      <c r="C21" s="90" t="str">
        <f t="shared" si="0"/>
        <v>AkiakHealth Care - Hospitals</v>
      </c>
      <c r="D21" s="90">
        <v>1</v>
      </c>
      <c r="E21" s="90">
        <v>2350</v>
      </c>
      <c r="F21" s="90">
        <v>728</v>
      </c>
      <c r="G21" s="90">
        <v>0</v>
      </c>
      <c r="H21" s="90">
        <v>26989</v>
      </c>
      <c r="I21" s="90">
        <v>0</v>
      </c>
      <c r="J21" s="90">
        <v>0</v>
      </c>
      <c r="K21" s="90">
        <v>0</v>
      </c>
      <c r="L21" s="90">
        <v>538.72</v>
      </c>
      <c r="M21" s="90">
        <v>0</v>
      </c>
      <c r="N21" s="90">
        <v>19971.86</v>
      </c>
      <c r="O21" s="90">
        <v>0</v>
      </c>
      <c r="P21" s="90">
        <v>0</v>
      </c>
      <c r="Q21" s="90">
        <v>0</v>
      </c>
      <c r="R21" s="90">
        <v>16450</v>
      </c>
    </row>
    <row r="22" spans="1:18">
      <c r="A22" s="90" t="s">
        <v>51</v>
      </c>
      <c r="B22" s="90" t="s">
        <v>665</v>
      </c>
      <c r="C22" s="90" t="str">
        <f t="shared" si="0"/>
        <v>AkiakOffice</v>
      </c>
      <c r="D22" s="90">
        <v>5</v>
      </c>
      <c r="E22" s="90">
        <v>14425.845323741007</v>
      </c>
      <c r="F22" s="90">
        <v>14607.042565037907</v>
      </c>
      <c r="G22" s="90">
        <v>0</v>
      </c>
      <c r="H22" s="90">
        <v>81847.318025735469</v>
      </c>
      <c r="I22" s="90">
        <v>0</v>
      </c>
      <c r="J22" s="90">
        <v>0</v>
      </c>
      <c r="K22" s="90">
        <v>0</v>
      </c>
      <c r="L22" s="90">
        <v>10809.211498128052</v>
      </c>
      <c r="M22" s="90">
        <v>0</v>
      </c>
      <c r="N22" s="90">
        <v>60567.015339044257</v>
      </c>
      <c r="O22" s="90">
        <v>0</v>
      </c>
      <c r="P22" s="90">
        <v>0</v>
      </c>
      <c r="Q22" s="90">
        <v>0</v>
      </c>
      <c r="R22" s="90">
        <v>100980.91726618704</v>
      </c>
    </row>
    <row r="23" spans="1:18">
      <c r="A23" s="90" t="s">
        <v>51</v>
      </c>
      <c r="B23" s="90" t="s">
        <v>643</v>
      </c>
      <c r="C23" s="90" t="str">
        <f t="shared" si="0"/>
        <v>AkiakOther</v>
      </c>
      <c r="D23" s="90">
        <v>4</v>
      </c>
      <c r="E23" s="90">
        <v>11217.381679389313</v>
      </c>
      <c r="F23" s="90">
        <v>10481.394670848491</v>
      </c>
      <c r="G23" s="90">
        <v>0</v>
      </c>
      <c r="H23" s="90">
        <v>83267.109424761118</v>
      </c>
      <c r="I23" s="90">
        <v>0</v>
      </c>
      <c r="J23" s="90">
        <v>0</v>
      </c>
      <c r="K23" s="90">
        <v>0</v>
      </c>
      <c r="L23" s="90">
        <v>7756.2320564278834</v>
      </c>
      <c r="M23" s="90">
        <v>0</v>
      </c>
      <c r="N23" s="90">
        <v>61617.660974323218</v>
      </c>
      <c r="O23" s="90">
        <v>0</v>
      </c>
      <c r="P23" s="90">
        <v>0</v>
      </c>
      <c r="Q23" s="90">
        <v>0</v>
      </c>
      <c r="R23" s="90">
        <v>78521.671755725198</v>
      </c>
    </row>
    <row r="24" spans="1:18">
      <c r="A24" s="90" t="s">
        <v>51</v>
      </c>
      <c r="B24" s="90" t="s">
        <v>1227</v>
      </c>
      <c r="C24" s="90" t="str">
        <f t="shared" si="0"/>
        <v>AkiakPublic Assembly</v>
      </c>
      <c r="D24" s="90">
        <v>6</v>
      </c>
      <c r="E24" s="90">
        <v>24098.256179775282</v>
      </c>
      <c r="F24" s="90">
        <v>14943.111342565529</v>
      </c>
      <c r="G24" s="90">
        <v>1723.4931010644252</v>
      </c>
      <c r="H24" s="90">
        <v>79174.024210812437</v>
      </c>
      <c r="I24" s="90">
        <v>0</v>
      </c>
      <c r="J24" s="90">
        <v>0</v>
      </c>
      <c r="K24" s="90">
        <v>0</v>
      </c>
      <c r="L24" s="90">
        <v>11057.902393498491</v>
      </c>
      <c r="M24" s="90">
        <v>1275.3848947876747</v>
      </c>
      <c r="N24" s="90">
        <v>58588.7779160012</v>
      </c>
      <c r="O24" s="90">
        <v>0</v>
      </c>
      <c r="P24" s="90">
        <v>0</v>
      </c>
      <c r="Q24" s="90">
        <v>0</v>
      </c>
      <c r="R24" s="90">
        <v>168687.79325842694</v>
      </c>
    </row>
    <row r="25" spans="1:18">
      <c r="A25" s="90" t="s">
        <v>51</v>
      </c>
      <c r="B25" s="90" t="s">
        <v>1475</v>
      </c>
      <c r="C25" s="90" t="str">
        <f t="shared" si="0"/>
        <v>AkiakPublic Safety</v>
      </c>
      <c r="D25" s="90">
        <v>1</v>
      </c>
      <c r="E25" s="90">
        <v>2697.4089393939394</v>
      </c>
      <c r="F25" s="90">
        <v>1909.3942711307411</v>
      </c>
      <c r="G25" s="90">
        <v>0</v>
      </c>
      <c r="H25" s="90">
        <v>22307.792908055355</v>
      </c>
      <c r="I25" s="90">
        <v>0</v>
      </c>
      <c r="J25" s="90">
        <v>0</v>
      </c>
      <c r="K25" s="90">
        <v>0</v>
      </c>
      <c r="L25" s="90">
        <v>1412.9517606367483</v>
      </c>
      <c r="M25" s="90">
        <v>0</v>
      </c>
      <c r="N25" s="90">
        <v>16507.766751960964</v>
      </c>
      <c r="O25" s="90">
        <v>0</v>
      </c>
      <c r="P25" s="90">
        <v>0</v>
      </c>
      <c r="Q25" s="90">
        <v>0</v>
      </c>
      <c r="R25" s="90">
        <v>18881.862575757576</v>
      </c>
    </row>
    <row r="26" spans="1:18">
      <c r="A26" s="90" t="s">
        <v>51</v>
      </c>
      <c r="B26" s="90" t="s">
        <v>1485</v>
      </c>
      <c r="C26" s="90" t="str">
        <f t="shared" si="0"/>
        <v>AkiakRetail - Other</v>
      </c>
      <c r="D26" s="90">
        <v>1</v>
      </c>
      <c r="E26" s="90">
        <v>6276.3658536585363</v>
      </c>
      <c r="F26" s="90">
        <v>10425.351575516059</v>
      </c>
      <c r="G26" s="90">
        <v>0</v>
      </c>
      <c r="H26" s="90">
        <v>153131.89915167599</v>
      </c>
      <c r="I26" s="90">
        <v>0</v>
      </c>
      <c r="J26" s="90">
        <v>0</v>
      </c>
      <c r="K26" s="90">
        <v>0</v>
      </c>
      <c r="L26" s="90">
        <v>7714.760165881883</v>
      </c>
      <c r="M26" s="90">
        <v>0</v>
      </c>
      <c r="N26" s="90">
        <v>113317.60537224023</v>
      </c>
      <c r="O26" s="90">
        <v>0</v>
      </c>
      <c r="P26" s="90">
        <v>0</v>
      </c>
      <c r="Q26" s="90">
        <v>0</v>
      </c>
      <c r="R26" s="90">
        <v>43934.560975609755</v>
      </c>
    </row>
    <row r="27" spans="1:18">
      <c r="A27" s="90" t="s">
        <v>51</v>
      </c>
      <c r="B27" s="90" t="s">
        <v>951</v>
      </c>
      <c r="C27" s="90" t="str">
        <f t="shared" si="0"/>
        <v>AkiakWarehousing</v>
      </c>
      <c r="D27" s="90">
        <v>5</v>
      </c>
      <c r="E27" s="90">
        <v>7981.1323529411766</v>
      </c>
      <c r="F27" s="90">
        <v>13929.418211802498</v>
      </c>
      <c r="G27" s="90">
        <v>0</v>
      </c>
      <c r="H27" s="90">
        <v>365685.24482879043</v>
      </c>
      <c r="I27" s="90">
        <v>0</v>
      </c>
      <c r="J27" s="90">
        <v>0</v>
      </c>
      <c r="K27" s="90">
        <v>0</v>
      </c>
      <c r="L27" s="90">
        <v>10307.769476733847</v>
      </c>
      <c r="M27" s="90">
        <v>0</v>
      </c>
      <c r="N27" s="90">
        <v>270607.08117330493</v>
      </c>
      <c r="O27" s="90">
        <v>0</v>
      </c>
      <c r="P27" s="90">
        <v>0</v>
      </c>
      <c r="Q27" s="90">
        <v>0</v>
      </c>
      <c r="R27" s="90">
        <v>55867.926470588238</v>
      </c>
    </row>
    <row r="28" spans="1:18">
      <c r="A28" s="90" t="s">
        <v>53</v>
      </c>
      <c r="B28" s="90" t="s">
        <v>1439</v>
      </c>
      <c r="C28" s="90" t="str">
        <f t="shared" si="0"/>
        <v>AkutanEducation - K - 12</v>
      </c>
      <c r="D28" s="90">
        <v>1</v>
      </c>
      <c r="E28" s="90">
        <v>11425</v>
      </c>
      <c r="F28" s="90">
        <v>3205.2554744525546</v>
      </c>
      <c r="G28" s="90">
        <v>0</v>
      </c>
      <c r="H28" s="90">
        <v>31146.946986666662</v>
      </c>
      <c r="I28" s="90">
        <v>0</v>
      </c>
      <c r="J28" s="90">
        <v>0</v>
      </c>
      <c r="K28" s="90">
        <v>0</v>
      </c>
      <c r="L28" s="90">
        <v>2371.8890510948904</v>
      </c>
      <c r="M28" s="90">
        <v>0</v>
      </c>
      <c r="N28" s="90">
        <v>23048.740770133329</v>
      </c>
      <c r="O28" s="90">
        <v>0</v>
      </c>
      <c r="P28" s="90">
        <v>0</v>
      </c>
      <c r="Q28" s="90">
        <v>0</v>
      </c>
      <c r="R28" s="90">
        <v>79975</v>
      </c>
    </row>
    <row r="29" spans="1:18">
      <c r="A29" s="90" t="s">
        <v>53</v>
      </c>
      <c r="B29" s="90" t="s">
        <v>1440</v>
      </c>
      <c r="C29" s="90" t="str">
        <f t="shared" si="0"/>
        <v>AkutanHealth Care - Hospitals</v>
      </c>
      <c r="D29" s="90">
        <v>1</v>
      </c>
      <c r="E29" s="90">
        <v>1448</v>
      </c>
      <c r="F29" s="90">
        <v>915.24531475428842</v>
      </c>
      <c r="G29" s="90">
        <v>0</v>
      </c>
      <c r="H29" s="90">
        <v>12765.296825697133</v>
      </c>
      <c r="I29" s="90">
        <v>0</v>
      </c>
      <c r="J29" s="90">
        <v>0</v>
      </c>
      <c r="K29" s="90">
        <v>0</v>
      </c>
      <c r="L29" s="90">
        <v>677.28153291817341</v>
      </c>
      <c r="M29" s="90">
        <v>0</v>
      </c>
      <c r="N29" s="90">
        <v>9446.3196510158778</v>
      </c>
      <c r="O29" s="90">
        <v>0</v>
      </c>
      <c r="P29" s="90">
        <v>0</v>
      </c>
      <c r="Q29" s="90">
        <v>0</v>
      </c>
      <c r="R29" s="90">
        <v>10136</v>
      </c>
    </row>
    <row r="30" spans="1:18">
      <c r="A30" s="90" t="s">
        <v>53</v>
      </c>
      <c r="B30" s="90" t="s">
        <v>665</v>
      </c>
      <c r="C30" s="90" t="str">
        <f t="shared" si="0"/>
        <v>AkutanOffice</v>
      </c>
      <c r="D30" s="90">
        <v>1</v>
      </c>
      <c r="E30" s="90">
        <v>1021</v>
      </c>
      <c r="F30" s="90">
        <v>849.93203507120575</v>
      </c>
      <c r="G30" s="90">
        <v>0</v>
      </c>
      <c r="H30" s="90">
        <v>5792.8051929649409</v>
      </c>
      <c r="I30" s="90">
        <v>0</v>
      </c>
      <c r="J30" s="90">
        <v>0</v>
      </c>
      <c r="K30" s="90">
        <v>0</v>
      </c>
      <c r="L30" s="90">
        <v>628.94970595269228</v>
      </c>
      <c r="M30" s="90">
        <v>0</v>
      </c>
      <c r="N30" s="90">
        <v>4286.6758427940558</v>
      </c>
      <c r="O30" s="90">
        <v>0</v>
      </c>
      <c r="P30" s="90">
        <v>0</v>
      </c>
      <c r="Q30" s="90">
        <v>0</v>
      </c>
      <c r="R30" s="90">
        <v>7147</v>
      </c>
    </row>
    <row r="31" spans="1:18">
      <c r="A31" s="90" t="s">
        <v>53</v>
      </c>
      <c r="B31" s="90" t="s">
        <v>643</v>
      </c>
      <c r="C31" s="90" t="str">
        <f t="shared" si="0"/>
        <v>AkutanOther</v>
      </c>
      <c r="D31" s="90">
        <v>1</v>
      </c>
      <c r="E31" s="90">
        <v>941</v>
      </c>
      <c r="F31" s="90">
        <v>1000.108708657337</v>
      </c>
      <c r="G31" s="90">
        <v>0</v>
      </c>
      <c r="H31" s="90">
        <v>6985.0837038618001</v>
      </c>
      <c r="I31" s="90">
        <v>0</v>
      </c>
      <c r="J31" s="90">
        <v>0</v>
      </c>
      <c r="K31" s="90">
        <v>0</v>
      </c>
      <c r="L31" s="90">
        <v>740.08044440642936</v>
      </c>
      <c r="M31" s="90">
        <v>0</v>
      </c>
      <c r="N31" s="90">
        <v>5168.9619408577319</v>
      </c>
      <c r="O31" s="90">
        <v>0</v>
      </c>
      <c r="P31" s="90">
        <v>0</v>
      </c>
      <c r="Q31" s="90">
        <v>0</v>
      </c>
      <c r="R31" s="90">
        <v>6587</v>
      </c>
    </row>
    <row r="32" spans="1:18">
      <c r="A32" s="90" t="s">
        <v>53</v>
      </c>
      <c r="B32" s="90" t="s">
        <v>1227</v>
      </c>
      <c r="C32" s="90" t="str">
        <f t="shared" si="0"/>
        <v>AkutanPublic Assembly</v>
      </c>
      <c r="D32" s="90">
        <v>1</v>
      </c>
      <c r="E32" s="90">
        <v>2860</v>
      </c>
      <c r="F32" s="90">
        <v>1978.0057259407126</v>
      </c>
      <c r="G32" s="90">
        <v>0</v>
      </c>
      <c r="H32" s="90">
        <v>13261.321023780638</v>
      </c>
      <c r="I32" s="90">
        <v>0</v>
      </c>
      <c r="J32" s="90">
        <v>0</v>
      </c>
      <c r="K32" s="90">
        <v>0</v>
      </c>
      <c r="L32" s="90">
        <v>1463.7242371961274</v>
      </c>
      <c r="M32" s="90">
        <v>0</v>
      </c>
      <c r="N32" s="90">
        <v>9813.3775575976724</v>
      </c>
      <c r="O32" s="90">
        <v>0</v>
      </c>
      <c r="P32" s="90">
        <v>0</v>
      </c>
      <c r="Q32" s="90">
        <v>0</v>
      </c>
      <c r="R32" s="90">
        <v>20020</v>
      </c>
    </row>
    <row r="33" spans="1:18">
      <c r="A33" s="90" t="s">
        <v>53</v>
      </c>
      <c r="B33" s="90" t="s">
        <v>1475</v>
      </c>
      <c r="C33" s="90" t="str">
        <f t="shared" si="0"/>
        <v>AkutanPublic Safety</v>
      </c>
      <c r="D33" s="90">
        <v>1</v>
      </c>
      <c r="E33" s="90">
        <v>941</v>
      </c>
      <c r="F33" s="90">
        <v>666.0984854368146</v>
      </c>
      <c r="G33" s="90">
        <v>0</v>
      </c>
      <c r="H33" s="90">
        <v>7782.1470893458745</v>
      </c>
      <c r="I33" s="90">
        <v>0</v>
      </c>
      <c r="J33" s="90">
        <v>0</v>
      </c>
      <c r="K33" s="90">
        <v>0</v>
      </c>
      <c r="L33" s="90">
        <v>492.91287922324278</v>
      </c>
      <c r="M33" s="90">
        <v>0</v>
      </c>
      <c r="N33" s="90">
        <v>5758.7888461159473</v>
      </c>
      <c r="O33" s="90">
        <v>0</v>
      </c>
      <c r="P33" s="90">
        <v>0</v>
      </c>
      <c r="Q33" s="90">
        <v>0</v>
      </c>
      <c r="R33" s="90">
        <v>6587</v>
      </c>
    </row>
    <row r="34" spans="1:18">
      <c r="A34" s="90" t="s">
        <v>53</v>
      </c>
      <c r="B34" s="90" t="s">
        <v>951</v>
      </c>
      <c r="C34" s="90" t="str">
        <f t="shared" si="0"/>
        <v>AkutanWarehousing</v>
      </c>
      <c r="D34" s="90">
        <v>1</v>
      </c>
      <c r="E34" s="90">
        <v>7150</v>
      </c>
      <c r="F34" s="90">
        <v>385.4014598540146</v>
      </c>
      <c r="G34" s="90">
        <v>0</v>
      </c>
      <c r="H34" s="90">
        <v>327603.82673798298</v>
      </c>
      <c r="I34" s="90">
        <v>0</v>
      </c>
      <c r="J34" s="90">
        <v>0</v>
      </c>
      <c r="K34" s="90">
        <v>0</v>
      </c>
      <c r="L34" s="90">
        <v>285.19708029197079</v>
      </c>
      <c r="M34" s="90">
        <v>0</v>
      </c>
      <c r="N34" s="90">
        <v>242426.83178610739</v>
      </c>
      <c r="O34" s="90">
        <v>0</v>
      </c>
      <c r="P34" s="90">
        <v>0</v>
      </c>
      <c r="Q34" s="90">
        <v>0</v>
      </c>
      <c r="R34" s="90">
        <v>50050</v>
      </c>
    </row>
    <row r="35" spans="1:18">
      <c r="A35" s="90" t="s">
        <v>70</v>
      </c>
      <c r="B35" s="90" t="s">
        <v>1439</v>
      </c>
      <c r="C35" s="90" t="str">
        <f t="shared" si="0"/>
        <v>AlakanukEducation - K - 12</v>
      </c>
      <c r="D35" s="90">
        <v>1</v>
      </c>
      <c r="E35" s="90">
        <v>28942</v>
      </c>
      <c r="F35" s="90">
        <v>21261.693302181389</v>
      </c>
      <c r="G35" s="90">
        <v>0</v>
      </c>
      <c r="H35" s="90">
        <v>204930.25086180502</v>
      </c>
      <c r="I35" s="90">
        <v>0</v>
      </c>
      <c r="J35" s="90">
        <v>0</v>
      </c>
      <c r="K35" s="90">
        <v>0</v>
      </c>
      <c r="L35" s="90">
        <v>15733.653043614227</v>
      </c>
      <c r="M35" s="90">
        <v>0</v>
      </c>
      <c r="N35" s="90">
        <v>151648.38563773572</v>
      </c>
      <c r="O35" s="90">
        <v>0</v>
      </c>
      <c r="P35" s="90">
        <v>0</v>
      </c>
      <c r="Q35" s="90">
        <v>0</v>
      </c>
      <c r="R35" s="90">
        <v>202594</v>
      </c>
    </row>
    <row r="36" spans="1:18">
      <c r="A36" s="90" t="s">
        <v>70</v>
      </c>
      <c r="B36" s="90" t="s">
        <v>1440</v>
      </c>
      <c r="C36" s="90" t="str">
        <f t="shared" si="0"/>
        <v>AlakanukHealth Care - Hospitals</v>
      </c>
      <c r="D36" s="90">
        <v>1</v>
      </c>
      <c r="E36" s="90">
        <v>1737.04</v>
      </c>
      <c r="F36" s="90">
        <v>1053.1094890510949</v>
      </c>
      <c r="G36" s="90">
        <v>0</v>
      </c>
      <c r="H36" s="90">
        <v>10457.593385</v>
      </c>
      <c r="I36" s="90">
        <v>0</v>
      </c>
      <c r="J36" s="90">
        <v>0</v>
      </c>
      <c r="K36" s="90">
        <v>0</v>
      </c>
      <c r="L36" s="90">
        <v>779.30102189781019</v>
      </c>
      <c r="M36" s="90">
        <v>0</v>
      </c>
      <c r="N36" s="90">
        <v>7738.6191048999999</v>
      </c>
      <c r="O36" s="90">
        <v>0</v>
      </c>
      <c r="P36" s="90">
        <v>0</v>
      </c>
      <c r="Q36" s="90">
        <v>0</v>
      </c>
      <c r="R36" s="90">
        <v>12159.279999999999</v>
      </c>
    </row>
    <row r="37" spans="1:18">
      <c r="A37" s="90" t="s">
        <v>70</v>
      </c>
      <c r="B37" s="90" t="s">
        <v>665</v>
      </c>
      <c r="C37" s="90" t="str">
        <f t="shared" si="0"/>
        <v>AlakanukOffice</v>
      </c>
      <c r="D37" s="90">
        <v>2</v>
      </c>
      <c r="E37" s="90">
        <v>5052</v>
      </c>
      <c r="F37" s="90">
        <v>4140.8759124087592</v>
      </c>
      <c r="G37" s="90">
        <v>0</v>
      </c>
      <c r="H37" s="90">
        <v>22788.368252562526</v>
      </c>
      <c r="I37" s="90">
        <v>0</v>
      </c>
      <c r="J37" s="90">
        <v>0</v>
      </c>
      <c r="K37" s="90">
        <v>0</v>
      </c>
      <c r="L37" s="90">
        <v>3064.2481751824816</v>
      </c>
      <c r="M37" s="90">
        <v>0</v>
      </c>
      <c r="N37" s="90">
        <v>16863.392506896271</v>
      </c>
      <c r="O37" s="90">
        <v>0</v>
      </c>
      <c r="P37" s="90">
        <v>0</v>
      </c>
      <c r="Q37" s="90">
        <v>0</v>
      </c>
      <c r="R37" s="90">
        <v>35364</v>
      </c>
    </row>
    <row r="38" spans="1:18">
      <c r="A38" s="90" t="s">
        <v>70</v>
      </c>
      <c r="B38" s="90" t="s">
        <v>643</v>
      </c>
      <c r="C38" s="90" t="str">
        <f t="shared" si="0"/>
        <v>AlakanukOther</v>
      </c>
      <c r="D38" s="90">
        <v>9</v>
      </c>
      <c r="E38" s="90">
        <v>24758.690839694656</v>
      </c>
      <c r="F38" s="90">
        <v>26104.058707419907</v>
      </c>
      <c r="G38" s="90">
        <v>0</v>
      </c>
      <c r="H38" s="90">
        <v>182437.35493700069</v>
      </c>
      <c r="I38" s="90">
        <v>0</v>
      </c>
      <c r="J38" s="90">
        <v>0</v>
      </c>
      <c r="K38" s="90">
        <v>0</v>
      </c>
      <c r="L38" s="90">
        <v>19317.003443490732</v>
      </c>
      <c r="M38" s="90">
        <v>0</v>
      </c>
      <c r="N38" s="90">
        <v>135003.64265338049</v>
      </c>
      <c r="O38" s="90">
        <v>0</v>
      </c>
      <c r="P38" s="90">
        <v>0</v>
      </c>
      <c r="Q38" s="90">
        <v>0</v>
      </c>
      <c r="R38" s="90">
        <v>173310.83587786258</v>
      </c>
    </row>
    <row r="39" spans="1:18">
      <c r="A39" s="90" t="s">
        <v>70</v>
      </c>
      <c r="B39" s="90" t="s">
        <v>1227</v>
      </c>
      <c r="C39" s="90" t="str">
        <f t="shared" si="0"/>
        <v>AlakanukPublic Assembly</v>
      </c>
      <c r="D39" s="90">
        <v>2</v>
      </c>
      <c r="E39" s="90">
        <v>4676.5640449438197</v>
      </c>
      <c r="F39" s="90">
        <v>3234.3603002193481</v>
      </c>
      <c r="G39" s="90">
        <v>0</v>
      </c>
      <c r="H39" s="90">
        <v>21684.41156932521</v>
      </c>
      <c r="I39" s="90">
        <v>0</v>
      </c>
      <c r="J39" s="90">
        <v>0</v>
      </c>
      <c r="K39" s="90">
        <v>0</v>
      </c>
      <c r="L39" s="90">
        <v>2393.4266221623175</v>
      </c>
      <c r="M39" s="90">
        <v>0</v>
      </c>
      <c r="N39" s="90">
        <v>16046.464561300656</v>
      </c>
      <c r="O39" s="90">
        <v>0</v>
      </c>
      <c r="P39" s="90">
        <v>0</v>
      </c>
      <c r="Q39" s="90">
        <v>0</v>
      </c>
      <c r="R39" s="90">
        <v>32735.94831460674</v>
      </c>
    </row>
    <row r="40" spans="1:18">
      <c r="A40" s="90" t="s">
        <v>70</v>
      </c>
      <c r="B40" s="90" t="s">
        <v>1475</v>
      </c>
      <c r="C40" s="90" t="str">
        <f t="shared" si="0"/>
        <v>AlakanukPublic Safety</v>
      </c>
      <c r="D40" s="90">
        <v>2</v>
      </c>
      <c r="E40" s="90">
        <v>6150</v>
      </c>
      <c r="F40" s="90">
        <v>5134.5109489051092</v>
      </c>
      <c r="G40" s="90">
        <v>0</v>
      </c>
      <c r="H40" s="90">
        <v>57722.519497999994</v>
      </c>
      <c r="I40" s="90">
        <v>0</v>
      </c>
      <c r="J40" s="90">
        <v>0</v>
      </c>
      <c r="K40" s="90">
        <v>0</v>
      </c>
      <c r="L40" s="90">
        <v>3799.5381021897811</v>
      </c>
      <c r="M40" s="90">
        <v>0</v>
      </c>
      <c r="N40" s="90">
        <v>42714.664428519987</v>
      </c>
      <c r="O40" s="90">
        <v>0</v>
      </c>
      <c r="P40" s="90">
        <v>0</v>
      </c>
      <c r="Q40" s="90">
        <v>0</v>
      </c>
      <c r="R40" s="90">
        <v>43050</v>
      </c>
    </row>
    <row r="41" spans="1:18">
      <c r="A41" s="90" t="s">
        <v>70</v>
      </c>
      <c r="B41" s="90" t="s">
        <v>1485</v>
      </c>
      <c r="C41" s="90" t="str">
        <f t="shared" si="0"/>
        <v>AlakanukRetail - Other</v>
      </c>
      <c r="D41" s="90">
        <v>3</v>
      </c>
      <c r="E41" s="90">
        <v>5328</v>
      </c>
      <c r="F41" s="90">
        <v>5955</v>
      </c>
      <c r="G41" s="90">
        <v>0</v>
      </c>
      <c r="H41" s="90">
        <v>129993.49905718828</v>
      </c>
      <c r="I41" s="90">
        <v>0</v>
      </c>
      <c r="J41" s="90">
        <v>0</v>
      </c>
      <c r="K41" s="90">
        <v>0</v>
      </c>
      <c r="L41" s="90">
        <v>4406.7</v>
      </c>
      <c r="M41" s="90">
        <v>0</v>
      </c>
      <c r="N41" s="90">
        <v>96195.189302319326</v>
      </c>
      <c r="O41" s="90">
        <v>0</v>
      </c>
      <c r="P41" s="90">
        <v>0</v>
      </c>
      <c r="Q41" s="90">
        <v>0</v>
      </c>
      <c r="R41" s="90">
        <v>37296</v>
      </c>
    </row>
    <row r="42" spans="1:18">
      <c r="A42" s="90" t="s">
        <v>70</v>
      </c>
      <c r="B42" s="90" t="s">
        <v>951</v>
      </c>
      <c r="C42" s="90" t="str">
        <f t="shared" si="0"/>
        <v>AlakanukWarehousing</v>
      </c>
      <c r="D42" s="90">
        <v>3</v>
      </c>
      <c r="E42" s="90">
        <v>2544</v>
      </c>
      <c r="F42" s="90">
        <v>4266.8039954459455</v>
      </c>
      <c r="G42" s="90">
        <v>0</v>
      </c>
      <c r="H42" s="90">
        <v>116562.81611488512</v>
      </c>
      <c r="I42" s="90">
        <v>0</v>
      </c>
      <c r="J42" s="90">
        <v>0</v>
      </c>
      <c r="K42" s="90">
        <v>0</v>
      </c>
      <c r="L42" s="90">
        <v>3157.4349566299993</v>
      </c>
      <c r="M42" s="90">
        <v>0</v>
      </c>
      <c r="N42" s="90">
        <v>86256.483925014996</v>
      </c>
      <c r="O42" s="90">
        <v>0</v>
      </c>
      <c r="P42" s="90">
        <v>0</v>
      </c>
      <c r="Q42" s="90">
        <v>0</v>
      </c>
      <c r="R42" s="90">
        <v>17808</v>
      </c>
    </row>
    <row r="43" spans="1:18">
      <c r="A43" s="90" t="s">
        <v>971</v>
      </c>
      <c r="B43" s="90" t="s">
        <v>1440</v>
      </c>
      <c r="C43" s="90" t="str">
        <f t="shared" si="0"/>
        <v>AlatnaHealth Care - Hospitals</v>
      </c>
      <c r="D43" s="90">
        <v>1</v>
      </c>
      <c r="E43" s="90">
        <v>2256.9250000000002</v>
      </c>
      <c r="F43" s="90">
        <v>1573.0165476804564</v>
      </c>
      <c r="G43" s="90">
        <v>0</v>
      </c>
      <c r="H43" s="90">
        <v>16977.563262470368</v>
      </c>
      <c r="I43" s="90">
        <v>0</v>
      </c>
      <c r="J43" s="90">
        <v>0</v>
      </c>
      <c r="K43" s="90">
        <v>0</v>
      </c>
      <c r="L43" s="90">
        <v>1164.0322452835378</v>
      </c>
      <c r="M43" s="90">
        <v>0</v>
      </c>
      <c r="N43" s="90">
        <v>12563.396814228072</v>
      </c>
      <c r="O43" s="90">
        <v>0</v>
      </c>
      <c r="P43" s="90">
        <v>0</v>
      </c>
      <c r="Q43" s="90">
        <v>0</v>
      </c>
      <c r="R43" s="90">
        <v>15798.475000000002</v>
      </c>
    </row>
    <row r="44" spans="1:18">
      <c r="A44" s="90" t="s">
        <v>971</v>
      </c>
      <c r="B44" s="90" t="s">
        <v>665</v>
      </c>
      <c r="C44" s="90" t="str">
        <f t="shared" si="0"/>
        <v>AlatnaOffice</v>
      </c>
      <c r="D44" s="90">
        <v>1</v>
      </c>
      <c r="E44" s="90">
        <v>2033.2585034013605</v>
      </c>
      <c r="F44" s="90">
        <v>2705.5824722962652</v>
      </c>
      <c r="G44" s="90">
        <v>0</v>
      </c>
      <c r="H44" s="90">
        <v>16298.661644952717</v>
      </c>
      <c r="I44" s="90">
        <v>0</v>
      </c>
      <c r="J44" s="90">
        <v>0</v>
      </c>
      <c r="K44" s="90">
        <v>0</v>
      </c>
      <c r="L44" s="90">
        <v>2002.1310294992363</v>
      </c>
      <c r="M44" s="90">
        <v>0</v>
      </c>
      <c r="N44" s="90">
        <v>12061.00961726501</v>
      </c>
      <c r="O44" s="90">
        <v>0</v>
      </c>
      <c r="P44" s="90">
        <v>0</v>
      </c>
      <c r="Q44" s="90">
        <v>0</v>
      </c>
      <c r="R44" s="90">
        <v>14232.809523809523</v>
      </c>
    </row>
    <row r="45" spans="1:18">
      <c r="A45" s="90" t="s">
        <v>971</v>
      </c>
      <c r="B45" s="90" t="s">
        <v>643</v>
      </c>
      <c r="C45" s="90" t="str">
        <f t="shared" si="0"/>
        <v>AlatnaOther</v>
      </c>
      <c r="D45" s="90">
        <v>1</v>
      </c>
      <c r="E45" s="90">
        <v>2163.9204545454545</v>
      </c>
      <c r="F45" s="90">
        <v>1871.5127967727569</v>
      </c>
      <c r="G45" s="90">
        <v>0</v>
      </c>
      <c r="H45" s="90">
        <v>15748.986486464588</v>
      </c>
      <c r="I45" s="90">
        <v>0</v>
      </c>
      <c r="J45" s="90">
        <v>0</v>
      </c>
      <c r="K45" s="90">
        <v>0</v>
      </c>
      <c r="L45" s="90">
        <v>1384.9194696118402</v>
      </c>
      <c r="M45" s="90">
        <v>0</v>
      </c>
      <c r="N45" s="90">
        <v>11654.249999983795</v>
      </c>
      <c r="O45" s="90">
        <v>0</v>
      </c>
      <c r="P45" s="90">
        <v>0</v>
      </c>
      <c r="Q45" s="90">
        <v>0</v>
      </c>
      <c r="R45" s="90">
        <v>15147.443181818182</v>
      </c>
    </row>
    <row r="46" spans="1:18">
      <c r="A46" s="90" t="s">
        <v>972</v>
      </c>
      <c r="B46" s="90" t="s">
        <v>1439</v>
      </c>
      <c r="C46" s="90" t="str">
        <f t="shared" si="0"/>
        <v>AleknagikEducation - K - 12</v>
      </c>
      <c r="D46" s="90">
        <v>1</v>
      </c>
      <c r="E46" s="90">
        <v>12426</v>
      </c>
      <c r="F46" s="90">
        <v>11300</v>
      </c>
      <c r="G46" s="90">
        <v>0</v>
      </c>
      <c r="H46" s="90">
        <v>108440.97595999998</v>
      </c>
      <c r="I46" s="90">
        <v>0</v>
      </c>
      <c r="J46" s="90">
        <v>0</v>
      </c>
      <c r="K46" s="90">
        <v>0</v>
      </c>
      <c r="L46" s="90">
        <v>8362</v>
      </c>
      <c r="M46" s="90">
        <v>0</v>
      </c>
      <c r="N46" s="90">
        <v>80246.322210399987</v>
      </c>
      <c r="O46" s="90">
        <v>0</v>
      </c>
      <c r="P46" s="90">
        <v>0</v>
      </c>
      <c r="Q46" s="90">
        <v>0</v>
      </c>
      <c r="R46" s="90">
        <v>86982</v>
      </c>
    </row>
    <row r="47" spans="1:18">
      <c r="A47" s="90" t="s">
        <v>972</v>
      </c>
      <c r="B47" s="90" t="s">
        <v>1440</v>
      </c>
      <c r="C47" s="90" t="str">
        <f t="shared" si="0"/>
        <v>AleknagikHealth Care - Hospitals</v>
      </c>
      <c r="D47" s="90">
        <v>1</v>
      </c>
      <c r="E47" s="90">
        <v>3500</v>
      </c>
      <c r="F47" s="90">
        <v>3500</v>
      </c>
      <c r="G47" s="90">
        <v>0</v>
      </c>
      <c r="H47" s="90">
        <v>17900</v>
      </c>
      <c r="I47" s="90">
        <v>0</v>
      </c>
      <c r="J47" s="90">
        <v>0</v>
      </c>
      <c r="K47" s="90">
        <v>0</v>
      </c>
      <c r="L47" s="90">
        <v>2590</v>
      </c>
      <c r="M47" s="90">
        <v>0</v>
      </c>
      <c r="N47" s="90">
        <v>13246</v>
      </c>
      <c r="O47" s="90">
        <v>0</v>
      </c>
      <c r="P47" s="90">
        <v>0</v>
      </c>
      <c r="Q47" s="90">
        <v>0</v>
      </c>
      <c r="R47" s="90">
        <v>24500</v>
      </c>
    </row>
    <row r="48" spans="1:18">
      <c r="A48" s="90" t="s">
        <v>972</v>
      </c>
      <c r="B48" s="90" t="s">
        <v>665</v>
      </c>
      <c r="C48" s="90" t="str">
        <f t="shared" si="0"/>
        <v>AleknagikOffice</v>
      </c>
      <c r="D48" s="90">
        <v>3</v>
      </c>
      <c r="E48" s="90">
        <v>4140</v>
      </c>
      <c r="F48" s="90">
        <v>3675</v>
      </c>
      <c r="G48" s="90">
        <v>0</v>
      </c>
      <c r="H48" s="90">
        <v>18998.847257121983</v>
      </c>
      <c r="I48" s="90">
        <v>0</v>
      </c>
      <c r="J48" s="90">
        <v>0</v>
      </c>
      <c r="K48" s="90">
        <v>0</v>
      </c>
      <c r="L48" s="90">
        <v>2719.5</v>
      </c>
      <c r="M48" s="90">
        <v>0</v>
      </c>
      <c r="N48" s="90">
        <v>14059.146970270267</v>
      </c>
      <c r="O48" s="90">
        <v>0</v>
      </c>
      <c r="P48" s="90">
        <v>0</v>
      </c>
      <c r="Q48" s="90">
        <v>0</v>
      </c>
      <c r="R48" s="90">
        <v>28980</v>
      </c>
    </row>
    <row r="49" spans="1:18">
      <c r="A49" s="90" t="s">
        <v>972</v>
      </c>
      <c r="B49" s="90" t="s">
        <v>643</v>
      </c>
      <c r="C49" s="90" t="str">
        <f t="shared" si="0"/>
        <v>AleknagikOther</v>
      </c>
      <c r="D49" s="90">
        <v>2</v>
      </c>
      <c r="E49" s="90">
        <v>4550</v>
      </c>
      <c r="F49" s="90">
        <v>4500</v>
      </c>
      <c r="G49" s="90">
        <v>0</v>
      </c>
      <c r="H49" s="90">
        <v>23000</v>
      </c>
      <c r="I49" s="90">
        <v>0</v>
      </c>
      <c r="J49" s="90">
        <v>0</v>
      </c>
      <c r="K49" s="90">
        <v>0</v>
      </c>
      <c r="L49" s="90">
        <v>3330</v>
      </c>
      <c r="M49" s="90">
        <v>0</v>
      </c>
      <c r="N49" s="90">
        <v>17020</v>
      </c>
      <c r="O49" s="90">
        <v>0</v>
      </c>
      <c r="P49" s="90">
        <v>0</v>
      </c>
      <c r="Q49" s="90">
        <v>0</v>
      </c>
      <c r="R49" s="90">
        <v>31850</v>
      </c>
    </row>
    <row r="50" spans="1:18">
      <c r="A50" s="90" t="s">
        <v>972</v>
      </c>
      <c r="B50" s="90" t="s">
        <v>1227</v>
      </c>
      <c r="C50" s="90" t="str">
        <f t="shared" si="0"/>
        <v>AleknagikPublic Assembly</v>
      </c>
      <c r="D50" s="90">
        <v>1</v>
      </c>
      <c r="E50" s="90">
        <v>1730</v>
      </c>
      <c r="F50" s="90">
        <v>700</v>
      </c>
      <c r="G50" s="90">
        <v>0</v>
      </c>
      <c r="H50" s="90">
        <v>6400</v>
      </c>
      <c r="I50" s="90">
        <v>0</v>
      </c>
      <c r="J50" s="90">
        <v>0</v>
      </c>
      <c r="K50" s="90">
        <v>0</v>
      </c>
      <c r="L50" s="90">
        <v>518</v>
      </c>
      <c r="M50" s="90">
        <v>0</v>
      </c>
      <c r="N50" s="90">
        <v>4736</v>
      </c>
      <c r="O50" s="90">
        <v>0</v>
      </c>
      <c r="P50" s="90">
        <v>0</v>
      </c>
      <c r="Q50" s="90">
        <v>0</v>
      </c>
      <c r="R50" s="90">
        <v>12110</v>
      </c>
    </row>
    <row r="51" spans="1:18">
      <c r="A51" s="90" t="s">
        <v>972</v>
      </c>
      <c r="B51" s="90" t="s">
        <v>951</v>
      </c>
      <c r="C51" s="90" t="str">
        <f t="shared" si="0"/>
        <v>AleknagikWarehousing</v>
      </c>
      <c r="D51" s="90">
        <v>2</v>
      </c>
      <c r="E51" s="90">
        <v>1286</v>
      </c>
      <c r="F51" s="90">
        <v>1371.1862166468927</v>
      </c>
      <c r="G51" s="90">
        <v>0</v>
      </c>
      <c r="H51" s="90">
        <v>8786.6899921944496</v>
      </c>
      <c r="I51" s="90">
        <v>0</v>
      </c>
      <c r="J51" s="90">
        <v>0</v>
      </c>
      <c r="K51" s="90">
        <v>0</v>
      </c>
      <c r="L51" s="90">
        <v>1014.6778003187005</v>
      </c>
      <c r="M51" s="90">
        <v>0</v>
      </c>
      <c r="N51" s="90">
        <v>6502.1505942238928</v>
      </c>
      <c r="O51" s="90">
        <v>0</v>
      </c>
      <c r="P51" s="90">
        <v>0</v>
      </c>
      <c r="Q51" s="90">
        <v>0</v>
      </c>
      <c r="R51" s="90">
        <v>9002</v>
      </c>
    </row>
    <row r="52" spans="1:18">
      <c r="A52" s="90" t="s">
        <v>973</v>
      </c>
      <c r="B52" s="90" t="s">
        <v>1439</v>
      </c>
      <c r="C52" s="90" t="str">
        <f t="shared" si="0"/>
        <v>AllakaketEducation - K - 12</v>
      </c>
      <c r="D52" s="90">
        <v>1</v>
      </c>
      <c r="E52" s="90">
        <v>19330</v>
      </c>
      <c r="F52" s="90">
        <v>20000</v>
      </c>
      <c r="G52" s="90">
        <v>0</v>
      </c>
      <c r="H52" s="90">
        <v>174469.71428571429</v>
      </c>
      <c r="I52" s="90">
        <v>0</v>
      </c>
      <c r="J52" s="90">
        <v>0</v>
      </c>
      <c r="K52" s="90">
        <v>0</v>
      </c>
      <c r="L52" s="90">
        <v>14800</v>
      </c>
      <c r="M52" s="90">
        <v>0</v>
      </c>
      <c r="N52" s="90">
        <v>129107.58857142857</v>
      </c>
      <c r="O52" s="90">
        <v>0</v>
      </c>
      <c r="P52" s="90">
        <v>0</v>
      </c>
      <c r="Q52" s="90">
        <v>0</v>
      </c>
      <c r="R52" s="90">
        <v>135310</v>
      </c>
    </row>
    <row r="53" spans="1:18">
      <c r="A53" s="90" t="s">
        <v>973</v>
      </c>
      <c r="B53" s="90" t="s">
        <v>1440</v>
      </c>
      <c r="C53" s="90" t="str">
        <f t="shared" si="0"/>
        <v>AllakaketHealth Care - Hospitals</v>
      </c>
      <c r="D53" s="90">
        <v>2</v>
      </c>
      <c r="E53" s="90">
        <v>4513.8500000000004</v>
      </c>
      <c r="F53" s="90">
        <v>3146.0330953609127</v>
      </c>
      <c r="G53" s="90">
        <v>0</v>
      </c>
      <c r="H53" s="90">
        <v>33955.126524940737</v>
      </c>
      <c r="I53" s="90">
        <v>0</v>
      </c>
      <c r="J53" s="90">
        <v>0</v>
      </c>
      <c r="K53" s="90">
        <v>0</v>
      </c>
      <c r="L53" s="90">
        <v>2328.0644905670756</v>
      </c>
      <c r="M53" s="90">
        <v>0</v>
      </c>
      <c r="N53" s="90">
        <v>25126.793628456144</v>
      </c>
      <c r="O53" s="90">
        <v>0</v>
      </c>
      <c r="P53" s="90">
        <v>0</v>
      </c>
      <c r="Q53" s="90">
        <v>0</v>
      </c>
      <c r="R53" s="90">
        <v>31596.950000000004</v>
      </c>
    </row>
    <row r="54" spans="1:18">
      <c r="A54" s="90" t="s">
        <v>973</v>
      </c>
      <c r="B54" s="90" t="s">
        <v>665</v>
      </c>
      <c r="C54" s="90" t="str">
        <f t="shared" si="0"/>
        <v>AllakaketOffice</v>
      </c>
      <c r="D54" s="90">
        <v>3</v>
      </c>
      <c r="E54" s="90">
        <v>6099.775510204081</v>
      </c>
      <c r="F54" s="90">
        <v>8116.7474168887957</v>
      </c>
      <c r="G54" s="90">
        <v>0</v>
      </c>
      <c r="H54" s="90">
        <v>48895.984934858148</v>
      </c>
      <c r="I54" s="90">
        <v>0</v>
      </c>
      <c r="J54" s="90">
        <v>0</v>
      </c>
      <c r="K54" s="90">
        <v>0</v>
      </c>
      <c r="L54" s="90">
        <v>6006.393088497709</v>
      </c>
      <c r="M54" s="90">
        <v>0</v>
      </c>
      <c r="N54" s="90">
        <v>36183.028851795032</v>
      </c>
      <c r="O54" s="90">
        <v>0</v>
      </c>
      <c r="P54" s="90">
        <v>0</v>
      </c>
      <c r="Q54" s="90">
        <v>0</v>
      </c>
      <c r="R54" s="90">
        <v>42698.428571428565</v>
      </c>
    </row>
    <row r="55" spans="1:18">
      <c r="A55" s="90" t="s">
        <v>973</v>
      </c>
      <c r="B55" s="90" t="s">
        <v>643</v>
      </c>
      <c r="C55" s="90" t="str">
        <f t="shared" si="0"/>
        <v>AllakaketOther</v>
      </c>
      <c r="D55" s="90">
        <v>4</v>
      </c>
      <c r="E55" s="90">
        <v>3650</v>
      </c>
      <c r="F55" s="90">
        <v>3156.7804139341451</v>
      </c>
      <c r="G55" s="90">
        <v>0</v>
      </c>
      <c r="H55" s="90">
        <v>22253.98221132435</v>
      </c>
      <c r="I55" s="90">
        <v>0</v>
      </c>
      <c r="J55" s="90">
        <v>0</v>
      </c>
      <c r="K55" s="90">
        <v>0</v>
      </c>
      <c r="L55" s="90">
        <v>2336.0175063112674</v>
      </c>
      <c r="M55" s="90">
        <v>0</v>
      </c>
      <c r="N55" s="90">
        <v>16467.946836380019</v>
      </c>
      <c r="O55" s="90">
        <v>0</v>
      </c>
      <c r="P55" s="90">
        <v>0</v>
      </c>
      <c r="Q55" s="90">
        <v>0</v>
      </c>
      <c r="R55" s="90">
        <v>25550</v>
      </c>
    </row>
    <row r="56" spans="1:18">
      <c r="A56" s="90" t="s">
        <v>973</v>
      </c>
      <c r="B56" s="90" t="s">
        <v>1227</v>
      </c>
      <c r="C56" s="90" t="str">
        <f t="shared" si="0"/>
        <v>AllakaketPublic Assembly</v>
      </c>
      <c r="D56" s="90">
        <v>1</v>
      </c>
      <c r="E56" s="90">
        <v>3136.7211538461538</v>
      </c>
      <c r="F56" s="90">
        <v>1957.1809414995873</v>
      </c>
      <c r="G56" s="90">
        <v>0</v>
      </c>
      <c r="H56" s="90">
        <v>11799.515613395884</v>
      </c>
      <c r="I56" s="90">
        <v>0</v>
      </c>
      <c r="J56" s="90">
        <v>0</v>
      </c>
      <c r="K56" s="90">
        <v>0</v>
      </c>
      <c r="L56" s="90">
        <v>1448.3138967096945</v>
      </c>
      <c r="M56" s="90">
        <v>0</v>
      </c>
      <c r="N56" s="90">
        <v>8731.6415539129539</v>
      </c>
      <c r="O56" s="90">
        <v>0</v>
      </c>
      <c r="P56" s="90">
        <v>0</v>
      </c>
      <c r="Q56" s="90">
        <v>0</v>
      </c>
      <c r="R56" s="90">
        <v>21957.048076923078</v>
      </c>
    </row>
    <row r="57" spans="1:18">
      <c r="A57" s="90" t="s">
        <v>973</v>
      </c>
      <c r="B57" s="90" t="s">
        <v>1485</v>
      </c>
      <c r="C57" s="90" t="str">
        <f t="shared" si="0"/>
        <v>AllakaketRetail - Other</v>
      </c>
      <c r="D57" s="90">
        <v>2</v>
      </c>
      <c r="E57" s="90">
        <v>3105.28</v>
      </c>
      <c r="F57" s="90">
        <v>3283.0199499533146</v>
      </c>
      <c r="G57" s="90">
        <v>0</v>
      </c>
      <c r="H57" s="90">
        <v>77385.373216004155</v>
      </c>
      <c r="I57" s="90">
        <v>0</v>
      </c>
      <c r="J57" s="90">
        <v>0</v>
      </c>
      <c r="K57" s="90">
        <v>0</v>
      </c>
      <c r="L57" s="90">
        <v>2429.434762965453</v>
      </c>
      <c r="M57" s="90">
        <v>0</v>
      </c>
      <c r="N57" s="90">
        <v>57265.176179843067</v>
      </c>
      <c r="O57" s="90">
        <v>0</v>
      </c>
      <c r="P57" s="90">
        <v>0</v>
      </c>
      <c r="Q57" s="90">
        <v>0</v>
      </c>
      <c r="R57" s="90">
        <v>21736.959999999999</v>
      </c>
    </row>
    <row r="58" spans="1:18">
      <c r="A58" s="90" t="s">
        <v>30</v>
      </c>
      <c r="B58" s="90" t="s">
        <v>1447</v>
      </c>
      <c r="C58" s="90" t="str">
        <f t="shared" si="0"/>
        <v>AmblerAccomodation Services</v>
      </c>
      <c r="D58" s="90">
        <v>1</v>
      </c>
      <c r="E58" s="90">
        <v>2000</v>
      </c>
      <c r="F58" s="90">
        <v>1500</v>
      </c>
      <c r="G58" s="90">
        <v>0</v>
      </c>
      <c r="H58" s="90">
        <v>14674.185463659149</v>
      </c>
      <c r="I58" s="90">
        <v>0</v>
      </c>
      <c r="J58" s="90">
        <v>0</v>
      </c>
      <c r="K58" s="90">
        <v>0</v>
      </c>
      <c r="L58" s="90">
        <v>1110</v>
      </c>
      <c r="M58" s="90">
        <v>0</v>
      </c>
      <c r="N58" s="90">
        <v>10858.897243107769</v>
      </c>
      <c r="O58" s="90">
        <v>0</v>
      </c>
      <c r="P58" s="90">
        <v>0</v>
      </c>
      <c r="Q58" s="90">
        <v>0</v>
      </c>
      <c r="R58" s="90">
        <v>14000</v>
      </c>
    </row>
    <row r="59" spans="1:18">
      <c r="A59" s="90" t="s">
        <v>30</v>
      </c>
      <c r="B59" s="90" t="s">
        <v>1439</v>
      </c>
      <c r="C59" s="90" t="str">
        <f t="shared" si="0"/>
        <v>AmblerEducation - K - 12</v>
      </c>
      <c r="D59" s="90">
        <v>2</v>
      </c>
      <c r="E59" s="90">
        <v>36544</v>
      </c>
      <c r="F59" s="90">
        <v>41105.714216386237</v>
      </c>
      <c r="G59" s="90">
        <v>0</v>
      </c>
      <c r="H59" s="90">
        <v>365047</v>
      </c>
      <c r="I59" s="90">
        <v>0</v>
      </c>
      <c r="J59" s="90">
        <v>0</v>
      </c>
      <c r="K59" s="90">
        <v>0</v>
      </c>
      <c r="L59" s="90">
        <v>30418.228520125813</v>
      </c>
      <c r="M59" s="90">
        <v>0</v>
      </c>
      <c r="N59" s="90">
        <v>270134.78000000003</v>
      </c>
      <c r="O59" s="90">
        <v>0</v>
      </c>
      <c r="P59" s="90">
        <v>0</v>
      </c>
      <c r="Q59" s="90">
        <v>0</v>
      </c>
      <c r="R59" s="90">
        <v>255808</v>
      </c>
    </row>
    <row r="60" spans="1:18">
      <c r="A60" s="90" t="s">
        <v>30</v>
      </c>
      <c r="B60" s="90" t="s">
        <v>1440</v>
      </c>
      <c r="C60" s="90" t="str">
        <f t="shared" si="0"/>
        <v>AmblerHealth Care - Hospitals</v>
      </c>
      <c r="D60" s="90">
        <v>1</v>
      </c>
      <c r="E60" s="90">
        <v>5000</v>
      </c>
      <c r="F60" s="90">
        <v>4200</v>
      </c>
      <c r="G60" s="90">
        <v>0</v>
      </c>
      <c r="H60" s="90">
        <v>66000</v>
      </c>
      <c r="I60" s="90">
        <v>0</v>
      </c>
      <c r="J60" s="90">
        <v>0</v>
      </c>
      <c r="K60" s="90">
        <v>0</v>
      </c>
      <c r="L60" s="90">
        <v>3108</v>
      </c>
      <c r="M60" s="90">
        <v>0</v>
      </c>
      <c r="N60" s="90">
        <v>48840</v>
      </c>
      <c r="O60" s="90">
        <v>0</v>
      </c>
      <c r="P60" s="90">
        <v>0</v>
      </c>
      <c r="Q60" s="90">
        <v>0</v>
      </c>
      <c r="R60" s="90">
        <v>35000</v>
      </c>
    </row>
    <row r="61" spans="1:18">
      <c r="A61" s="90" t="s">
        <v>30</v>
      </c>
      <c r="B61" s="90" t="s">
        <v>665</v>
      </c>
      <c r="C61" s="90" t="str">
        <f t="shared" si="0"/>
        <v>AmblerOffice</v>
      </c>
      <c r="D61" s="90">
        <v>3</v>
      </c>
      <c r="E61" s="90">
        <v>4546.517006802721</v>
      </c>
      <c r="F61" s="90">
        <v>6071.1649445925304</v>
      </c>
      <c r="G61" s="90">
        <v>0</v>
      </c>
      <c r="H61" s="90">
        <v>38597.323289905435</v>
      </c>
      <c r="I61" s="90">
        <v>0</v>
      </c>
      <c r="J61" s="90">
        <v>0</v>
      </c>
      <c r="K61" s="90">
        <v>0</v>
      </c>
      <c r="L61" s="90">
        <v>4492.6620589984723</v>
      </c>
      <c r="M61" s="90">
        <v>0</v>
      </c>
      <c r="N61" s="90">
        <v>28562.019234530017</v>
      </c>
      <c r="O61" s="90">
        <v>0</v>
      </c>
      <c r="P61" s="90">
        <v>0</v>
      </c>
      <c r="Q61" s="90">
        <v>0</v>
      </c>
      <c r="R61" s="90">
        <v>31825.619047619046</v>
      </c>
    </row>
    <row r="62" spans="1:18">
      <c r="A62" s="90" t="s">
        <v>30</v>
      </c>
      <c r="B62" s="90" t="s">
        <v>643</v>
      </c>
      <c r="C62" s="90" t="str">
        <f t="shared" si="0"/>
        <v>AmblerOther</v>
      </c>
      <c r="D62" s="90">
        <v>4</v>
      </c>
      <c r="E62" s="90">
        <v>3447</v>
      </c>
      <c r="F62" s="90">
        <v>2854.977283956674</v>
      </c>
      <c r="G62" s="90">
        <v>0</v>
      </c>
      <c r="H62" s="90">
        <v>22136.015105772371</v>
      </c>
      <c r="I62" s="90">
        <v>0</v>
      </c>
      <c r="J62" s="90">
        <v>0</v>
      </c>
      <c r="K62" s="90">
        <v>0</v>
      </c>
      <c r="L62" s="90">
        <v>2112.6831901279384</v>
      </c>
      <c r="M62" s="90">
        <v>0</v>
      </c>
      <c r="N62" s="90">
        <v>16380.651178271555</v>
      </c>
      <c r="O62" s="90">
        <v>0</v>
      </c>
      <c r="P62" s="90">
        <v>0</v>
      </c>
      <c r="Q62" s="90">
        <v>0</v>
      </c>
      <c r="R62" s="90">
        <v>24129</v>
      </c>
    </row>
    <row r="63" spans="1:18">
      <c r="A63" s="90" t="s">
        <v>30</v>
      </c>
      <c r="B63" s="90" t="s">
        <v>1227</v>
      </c>
      <c r="C63" s="90" t="str">
        <f t="shared" si="0"/>
        <v>AmblerPublic Assembly</v>
      </c>
      <c r="D63" s="90">
        <v>1</v>
      </c>
      <c r="E63" s="90">
        <v>3136.7211538461538</v>
      </c>
      <c r="F63" s="90">
        <v>1957.1809414995873</v>
      </c>
      <c r="G63" s="90">
        <v>0</v>
      </c>
      <c r="H63" s="90">
        <v>11799.515613395884</v>
      </c>
      <c r="I63" s="90">
        <v>0</v>
      </c>
      <c r="J63" s="90">
        <v>0</v>
      </c>
      <c r="K63" s="90">
        <v>0</v>
      </c>
      <c r="L63" s="90">
        <v>1448.3138967096945</v>
      </c>
      <c r="M63" s="90">
        <v>0</v>
      </c>
      <c r="N63" s="90">
        <v>8731.6415539129539</v>
      </c>
      <c r="O63" s="90">
        <v>0</v>
      </c>
      <c r="P63" s="90">
        <v>0</v>
      </c>
      <c r="Q63" s="90">
        <v>0</v>
      </c>
      <c r="R63" s="90">
        <v>21957.048076923078</v>
      </c>
    </row>
    <row r="64" spans="1:18">
      <c r="A64" s="90" t="s">
        <v>30</v>
      </c>
      <c r="B64" s="90" t="s">
        <v>1485</v>
      </c>
      <c r="C64" s="90" t="str">
        <f t="shared" si="0"/>
        <v>AmblerRetail - Other</v>
      </c>
      <c r="D64" s="90">
        <v>1</v>
      </c>
      <c r="E64" s="90">
        <v>2105.2800000000002</v>
      </c>
      <c r="F64" s="90">
        <v>2225.7819714285715</v>
      </c>
      <c r="G64" s="90">
        <v>0</v>
      </c>
      <c r="H64" s="90">
        <v>49590.373216004155</v>
      </c>
      <c r="I64" s="90">
        <v>0</v>
      </c>
      <c r="J64" s="90">
        <v>0</v>
      </c>
      <c r="K64" s="90">
        <v>0</v>
      </c>
      <c r="L64" s="90">
        <v>1647.078658857143</v>
      </c>
      <c r="M64" s="90">
        <v>0</v>
      </c>
      <c r="N64" s="90">
        <v>36696.876179843071</v>
      </c>
      <c r="O64" s="90">
        <v>0</v>
      </c>
      <c r="P64" s="90">
        <v>0</v>
      </c>
      <c r="Q64" s="90">
        <v>0</v>
      </c>
      <c r="R64" s="90">
        <v>14736.960000000001</v>
      </c>
    </row>
    <row r="65" spans="1:18">
      <c r="A65" s="90" t="s">
        <v>30</v>
      </c>
      <c r="B65" s="90" t="s">
        <v>951</v>
      </c>
      <c r="C65" s="90" t="str">
        <f t="shared" si="0"/>
        <v>AmblerWarehousing</v>
      </c>
      <c r="D65" s="90">
        <v>2</v>
      </c>
      <c r="E65" s="90">
        <v>1500</v>
      </c>
      <c r="F65" s="90">
        <v>1880.2956100307706</v>
      </c>
      <c r="G65" s="90">
        <v>0</v>
      </c>
      <c r="H65" s="90">
        <v>17797.723179439512</v>
      </c>
      <c r="I65" s="90">
        <v>0</v>
      </c>
      <c r="J65" s="90">
        <v>0</v>
      </c>
      <c r="K65" s="90">
        <v>0</v>
      </c>
      <c r="L65" s="90">
        <v>1391.4187514227701</v>
      </c>
      <c r="M65" s="90">
        <v>0</v>
      </c>
      <c r="N65" s="90">
        <v>13170.315152785239</v>
      </c>
      <c r="O65" s="90">
        <v>0</v>
      </c>
      <c r="P65" s="90">
        <v>0</v>
      </c>
      <c r="Q65" s="90">
        <v>0</v>
      </c>
      <c r="R65" s="90">
        <v>10500</v>
      </c>
    </row>
    <row r="66" spans="1:18">
      <c r="A66" s="90" t="s">
        <v>206</v>
      </c>
      <c r="B66" s="90" t="s">
        <v>1439</v>
      </c>
      <c r="C66" s="90" t="str">
        <f t="shared" si="0"/>
        <v>Anaktuvuk PassEducation - K - 12</v>
      </c>
      <c r="D66" s="90">
        <v>3</v>
      </c>
      <c r="E66" s="90">
        <v>64379</v>
      </c>
      <c r="F66" s="90">
        <v>49844.050082880138</v>
      </c>
      <c r="G66" s="90">
        <v>3008.695652173913</v>
      </c>
      <c r="H66" s="90">
        <v>642943.62999272125</v>
      </c>
      <c r="I66" s="90">
        <v>0</v>
      </c>
      <c r="J66" s="90">
        <v>0</v>
      </c>
      <c r="K66" s="90">
        <v>0</v>
      </c>
      <c r="L66" s="90">
        <v>36884.597061331297</v>
      </c>
      <c r="M66" s="90">
        <v>2226.4347826086955</v>
      </c>
      <c r="N66" s="90">
        <v>475778.28619461367</v>
      </c>
      <c r="O66" s="90">
        <v>0</v>
      </c>
      <c r="P66" s="90">
        <v>0</v>
      </c>
      <c r="Q66" s="90">
        <v>0</v>
      </c>
      <c r="R66" s="90">
        <v>450653</v>
      </c>
    </row>
    <row r="67" spans="1:18">
      <c r="A67" s="90" t="s">
        <v>206</v>
      </c>
      <c r="B67" s="90" t="s">
        <v>1440</v>
      </c>
      <c r="C67" s="90" t="str">
        <f t="shared" ref="C67:C130" si="1">CONCATENATE(A67,B67)</f>
        <v>Anaktuvuk PassHealth Care - Hospitals</v>
      </c>
      <c r="D67" s="90">
        <v>1</v>
      </c>
      <c r="E67" s="90">
        <v>4400</v>
      </c>
      <c r="F67" s="90">
        <v>2781.1321719052962</v>
      </c>
      <c r="G67" s="90">
        <v>0</v>
      </c>
      <c r="H67" s="90">
        <v>32960</v>
      </c>
      <c r="I67" s="90">
        <v>0</v>
      </c>
      <c r="J67" s="90">
        <v>0</v>
      </c>
      <c r="K67" s="90">
        <v>0</v>
      </c>
      <c r="L67" s="90">
        <v>2058.0378072099193</v>
      </c>
      <c r="M67" s="90">
        <v>0</v>
      </c>
      <c r="N67" s="90">
        <v>24390.400000000001</v>
      </c>
      <c r="O67" s="90">
        <v>0</v>
      </c>
      <c r="P67" s="90">
        <v>0</v>
      </c>
      <c r="Q67" s="90">
        <v>0</v>
      </c>
      <c r="R67" s="90">
        <v>30800</v>
      </c>
    </row>
    <row r="68" spans="1:18">
      <c r="A68" s="90" t="s">
        <v>206</v>
      </c>
      <c r="B68" s="90" t="s">
        <v>665</v>
      </c>
      <c r="C68" s="90" t="str">
        <f t="shared" si="1"/>
        <v>Anaktuvuk PassOffice</v>
      </c>
      <c r="D68" s="90">
        <v>2</v>
      </c>
      <c r="E68" s="90">
        <v>3132</v>
      </c>
      <c r="F68" s="90">
        <v>2607.2351947531988</v>
      </c>
      <c r="G68" s="90">
        <v>0</v>
      </c>
      <c r="H68" s="90">
        <v>22486.071412117628</v>
      </c>
      <c r="I68" s="90">
        <v>0</v>
      </c>
      <c r="J68" s="90">
        <v>0</v>
      </c>
      <c r="K68" s="90">
        <v>0</v>
      </c>
      <c r="L68" s="90">
        <v>1929.354044117367</v>
      </c>
      <c r="M68" s="90">
        <v>0</v>
      </c>
      <c r="N68" s="90">
        <v>16639.692844967045</v>
      </c>
      <c r="O68" s="90">
        <v>0</v>
      </c>
      <c r="P68" s="90">
        <v>0</v>
      </c>
      <c r="Q68" s="90">
        <v>0</v>
      </c>
      <c r="R68" s="90">
        <v>21924</v>
      </c>
    </row>
    <row r="69" spans="1:18">
      <c r="A69" s="90" t="s">
        <v>206</v>
      </c>
      <c r="B69" s="90" t="s">
        <v>643</v>
      </c>
      <c r="C69" s="90" t="str">
        <f t="shared" si="1"/>
        <v>Anaktuvuk PassOther</v>
      </c>
      <c r="D69" s="90">
        <v>8</v>
      </c>
      <c r="E69" s="90">
        <v>42650</v>
      </c>
      <c r="F69" s="90">
        <v>32033.82618264902</v>
      </c>
      <c r="G69" s="90">
        <v>0</v>
      </c>
      <c r="H69" s="90">
        <v>396918.90293971723</v>
      </c>
      <c r="I69" s="90">
        <v>0</v>
      </c>
      <c r="J69" s="90">
        <v>0</v>
      </c>
      <c r="K69" s="90">
        <v>0</v>
      </c>
      <c r="L69" s="90">
        <v>23705.031375160273</v>
      </c>
      <c r="M69" s="90">
        <v>0</v>
      </c>
      <c r="N69" s="90">
        <v>293719.98817539075</v>
      </c>
      <c r="O69" s="90">
        <v>0</v>
      </c>
      <c r="P69" s="90">
        <v>0</v>
      </c>
      <c r="Q69" s="90">
        <v>0</v>
      </c>
      <c r="R69" s="90">
        <v>298550</v>
      </c>
    </row>
    <row r="70" spans="1:18">
      <c r="A70" s="90" t="s">
        <v>206</v>
      </c>
      <c r="B70" s="90" t="s">
        <v>1227</v>
      </c>
      <c r="C70" s="90" t="str">
        <f t="shared" si="1"/>
        <v>Anaktuvuk PassPublic Assembly</v>
      </c>
      <c r="D70" s="90">
        <v>3</v>
      </c>
      <c r="E70" s="90">
        <v>18464</v>
      </c>
      <c r="F70" s="90">
        <v>12769.894309010251</v>
      </c>
      <c r="G70" s="90">
        <v>0</v>
      </c>
      <c r="H70" s="90">
        <v>73422.2714624457</v>
      </c>
      <c r="I70" s="90">
        <v>0</v>
      </c>
      <c r="J70" s="90">
        <v>0</v>
      </c>
      <c r="K70" s="90">
        <v>0</v>
      </c>
      <c r="L70" s="90">
        <v>9449.7217886675862</v>
      </c>
      <c r="M70" s="90">
        <v>0</v>
      </c>
      <c r="N70" s="90">
        <v>54332.480882209813</v>
      </c>
      <c r="O70" s="90">
        <v>0</v>
      </c>
      <c r="P70" s="90">
        <v>0</v>
      </c>
      <c r="Q70" s="90">
        <v>0</v>
      </c>
      <c r="R70" s="90">
        <v>129248</v>
      </c>
    </row>
    <row r="71" spans="1:18">
      <c r="A71" s="90" t="s">
        <v>206</v>
      </c>
      <c r="B71" s="90" t="s">
        <v>1475</v>
      </c>
      <c r="C71" s="90" t="str">
        <f t="shared" si="1"/>
        <v>Anaktuvuk PassPublic Safety</v>
      </c>
      <c r="D71" s="90">
        <v>3</v>
      </c>
      <c r="E71" s="90">
        <v>9559</v>
      </c>
      <c r="F71" s="90">
        <v>5957.5703022807756</v>
      </c>
      <c r="G71" s="90">
        <v>0</v>
      </c>
      <c r="H71" s="90">
        <v>95074.220746499996</v>
      </c>
      <c r="I71" s="90">
        <v>0</v>
      </c>
      <c r="J71" s="90">
        <v>0</v>
      </c>
      <c r="K71" s="90">
        <v>0</v>
      </c>
      <c r="L71" s="90">
        <v>4408.6020236877739</v>
      </c>
      <c r="M71" s="90">
        <v>0</v>
      </c>
      <c r="N71" s="90">
        <v>70354.923352409998</v>
      </c>
      <c r="O71" s="90">
        <v>0</v>
      </c>
      <c r="P71" s="90">
        <v>0</v>
      </c>
      <c r="Q71" s="90">
        <v>0</v>
      </c>
      <c r="R71" s="90">
        <v>66913</v>
      </c>
    </row>
    <row r="72" spans="1:18">
      <c r="A72" s="90" t="s">
        <v>206</v>
      </c>
      <c r="B72" s="90" t="s">
        <v>1442</v>
      </c>
      <c r="C72" s="90" t="str">
        <f t="shared" si="1"/>
        <v>Anaktuvuk PassResidential - Multi-Family</v>
      </c>
      <c r="D72" s="90">
        <v>3</v>
      </c>
      <c r="E72" s="90">
        <v>10168</v>
      </c>
      <c r="F72" s="90">
        <v>10402.648392729356</v>
      </c>
      <c r="G72" s="90">
        <v>0</v>
      </c>
      <c r="H72" s="90">
        <v>27473.913929666665</v>
      </c>
      <c r="I72" s="90">
        <v>0</v>
      </c>
      <c r="J72" s="90">
        <v>0</v>
      </c>
      <c r="K72" s="90">
        <v>0</v>
      </c>
      <c r="L72" s="90">
        <v>7697.9598106197236</v>
      </c>
      <c r="M72" s="90">
        <v>0</v>
      </c>
      <c r="N72" s="90">
        <v>20330.696307953331</v>
      </c>
      <c r="O72" s="90">
        <v>0</v>
      </c>
      <c r="P72" s="90">
        <v>0</v>
      </c>
      <c r="Q72" s="90">
        <v>0</v>
      </c>
      <c r="R72" s="90">
        <v>71176</v>
      </c>
    </row>
    <row r="73" spans="1:18">
      <c r="A73" s="90" t="s">
        <v>206</v>
      </c>
      <c r="B73" s="90" t="s">
        <v>951</v>
      </c>
      <c r="C73" s="90" t="str">
        <f t="shared" si="1"/>
        <v>Anaktuvuk PassWarehousing</v>
      </c>
      <c r="D73" s="90">
        <v>1</v>
      </c>
      <c r="E73" s="90">
        <v>7985</v>
      </c>
      <c r="F73" s="90">
        <v>13936.168390974522</v>
      </c>
      <c r="G73" s="90">
        <v>0</v>
      </c>
      <c r="H73" s="90">
        <v>1905.017145</v>
      </c>
      <c r="I73" s="90">
        <v>0</v>
      </c>
      <c r="J73" s="90">
        <v>0</v>
      </c>
      <c r="K73" s="90">
        <v>0</v>
      </c>
      <c r="L73" s="90">
        <v>10312.764609321146</v>
      </c>
      <c r="M73" s="90">
        <v>0</v>
      </c>
      <c r="N73" s="90">
        <v>1409.7126873</v>
      </c>
      <c r="O73" s="90">
        <v>0</v>
      </c>
      <c r="P73" s="90">
        <v>0</v>
      </c>
      <c r="Q73" s="90">
        <v>0</v>
      </c>
      <c r="R73" s="90">
        <v>55895</v>
      </c>
    </row>
    <row r="74" spans="1:18">
      <c r="A74" s="90" t="s">
        <v>974</v>
      </c>
      <c r="B74" s="90" t="s">
        <v>1439</v>
      </c>
      <c r="C74" s="90" t="str">
        <f t="shared" si="1"/>
        <v>Anchor PointEducation - K - 12</v>
      </c>
      <c r="D74" s="90">
        <v>1</v>
      </c>
      <c r="E74" s="90">
        <v>25348</v>
      </c>
      <c r="F74" s="90">
        <v>33499.360780927433</v>
      </c>
      <c r="G74" s="90">
        <v>0</v>
      </c>
      <c r="H74" s="90">
        <v>220768.37390082216</v>
      </c>
      <c r="I74" s="90">
        <v>0</v>
      </c>
      <c r="J74" s="90">
        <v>0</v>
      </c>
      <c r="K74" s="90">
        <v>0</v>
      </c>
      <c r="L74" s="90">
        <v>24789.5269778863</v>
      </c>
      <c r="M74" s="90">
        <v>0</v>
      </c>
      <c r="N74" s="90">
        <v>163368.59668660839</v>
      </c>
      <c r="O74" s="90">
        <v>0</v>
      </c>
      <c r="P74" s="90">
        <v>0</v>
      </c>
      <c r="Q74" s="90">
        <v>0</v>
      </c>
      <c r="R74" s="90">
        <v>177436</v>
      </c>
    </row>
    <row r="75" spans="1:18">
      <c r="A75" s="90" t="s">
        <v>975</v>
      </c>
      <c r="B75" s="90" t="s">
        <v>1439</v>
      </c>
      <c r="C75" s="90" t="str">
        <f t="shared" si="1"/>
        <v>AndersonEducation - K - 12</v>
      </c>
      <c r="D75" s="90">
        <v>1</v>
      </c>
      <c r="E75" s="90">
        <v>41066</v>
      </c>
      <c r="F75" s="90">
        <v>34814.294657260856</v>
      </c>
      <c r="G75" s="90">
        <v>0</v>
      </c>
      <c r="H75" s="90">
        <v>266863.86378806451</v>
      </c>
      <c r="I75" s="90">
        <v>0</v>
      </c>
      <c r="J75" s="90">
        <v>0</v>
      </c>
      <c r="K75" s="90">
        <v>0</v>
      </c>
      <c r="L75" s="90">
        <v>25762.578046373033</v>
      </c>
      <c r="M75" s="90">
        <v>0</v>
      </c>
      <c r="N75" s="90">
        <v>197479.25920316775</v>
      </c>
      <c r="O75" s="90">
        <v>0</v>
      </c>
      <c r="P75" s="90">
        <v>0</v>
      </c>
      <c r="Q75" s="90">
        <v>0</v>
      </c>
      <c r="R75" s="90">
        <v>287462</v>
      </c>
    </row>
    <row r="76" spans="1:18">
      <c r="A76" s="90" t="s">
        <v>40</v>
      </c>
      <c r="B76" s="90" t="s">
        <v>1439</v>
      </c>
      <c r="C76" s="90" t="str">
        <f t="shared" si="1"/>
        <v>AngoonEducation - K - 12</v>
      </c>
      <c r="D76" s="90">
        <v>4</v>
      </c>
      <c r="E76" s="90">
        <v>57123.223957219248</v>
      </c>
      <c r="F76" s="90">
        <v>38090.562701886542</v>
      </c>
      <c r="G76" s="90">
        <v>0</v>
      </c>
      <c r="H76" s="90">
        <v>229152.04218181563</v>
      </c>
      <c r="I76" s="90">
        <v>0</v>
      </c>
      <c r="J76" s="90">
        <v>0</v>
      </c>
      <c r="K76" s="90">
        <v>0</v>
      </c>
      <c r="L76" s="90">
        <v>28187.016399396038</v>
      </c>
      <c r="M76" s="90">
        <v>0</v>
      </c>
      <c r="N76" s="90">
        <v>169572.51121454357</v>
      </c>
      <c r="O76" s="90">
        <v>0</v>
      </c>
      <c r="P76" s="90">
        <v>0</v>
      </c>
      <c r="Q76" s="90">
        <v>0</v>
      </c>
      <c r="R76" s="90">
        <v>399862.56770053477</v>
      </c>
    </row>
    <row r="77" spans="1:18">
      <c r="A77" s="90" t="s">
        <v>40</v>
      </c>
      <c r="B77" s="90" t="s">
        <v>1440</v>
      </c>
      <c r="C77" s="90" t="str">
        <f t="shared" si="1"/>
        <v>AngoonHealth Care - Hospitals</v>
      </c>
      <c r="D77" s="90">
        <v>1</v>
      </c>
      <c r="E77" s="90">
        <v>6125</v>
      </c>
      <c r="F77" s="90">
        <v>3871.4623983908955</v>
      </c>
      <c r="G77" s="90">
        <v>0</v>
      </c>
      <c r="H77" s="90">
        <v>53996.85294018987</v>
      </c>
      <c r="I77" s="90">
        <v>0</v>
      </c>
      <c r="J77" s="90">
        <v>0</v>
      </c>
      <c r="K77" s="90">
        <v>0</v>
      </c>
      <c r="L77" s="90">
        <v>2864.8821748092628</v>
      </c>
      <c r="M77" s="90">
        <v>0</v>
      </c>
      <c r="N77" s="90">
        <v>39957.671175740506</v>
      </c>
      <c r="O77" s="90">
        <v>0</v>
      </c>
      <c r="P77" s="90">
        <v>0</v>
      </c>
      <c r="Q77" s="90">
        <v>0</v>
      </c>
      <c r="R77" s="90">
        <v>42875</v>
      </c>
    </row>
    <row r="78" spans="1:18">
      <c r="A78" s="90" t="s">
        <v>40</v>
      </c>
      <c r="B78" s="90" t="s">
        <v>665</v>
      </c>
      <c r="C78" s="90" t="str">
        <f t="shared" si="1"/>
        <v>AngoonOffice</v>
      </c>
      <c r="D78" s="90">
        <v>1</v>
      </c>
      <c r="E78" s="90">
        <v>2885.1690647482014</v>
      </c>
      <c r="F78" s="90">
        <v>2401.7606412594769</v>
      </c>
      <c r="G78" s="90">
        <v>0</v>
      </c>
      <c r="H78" s="90">
        <v>16369.463605147095</v>
      </c>
      <c r="I78" s="90">
        <v>0</v>
      </c>
      <c r="J78" s="90">
        <v>0</v>
      </c>
      <c r="K78" s="90">
        <v>0</v>
      </c>
      <c r="L78" s="90">
        <v>1777.3028745320128</v>
      </c>
      <c r="M78" s="90">
        <v>0</v>
      </c>
      <c r="N78" s="90">
        <v>12113.403067808851</v>
      </c>
      <c r="O78" s="90">
        <v>0</v>
      </c>
      <c r="P78" s="90">
        <v>0</v>
      </c>
      <c r="Q78" s="90">
        <v>0</v>
      </c>
      <c r="R78" s="90">
        <v>20196.183453237409</v>
      </c>
    </row>
    <row r="79" spans="1:18">
      <c r="A79" s="90" t="s">
        <v>40</v>
      </c>
      <c r="B79" s="90" t="s">
        <v>643</v>
      </c>
      <c r="C79" s="90" t="str">
        <f t="shared" si="1"/>
        <v>AngoonOther</v>
      </c>
      <c r="D79" s="90">
        <v>4</v>
      </c>
      <c r="E79" s="90">
        <v>17954.763358778626</v>
      </c>
      <c r="F79" s="90">
        <v>19082.587882036307</v>
      </c>
      <c r="G79" s="90">
        <v>0</v>
      </c>
      <c r="H79" s="90">
        <v>133278.98506280503</v>
      </c>
      <c r="I79" s="90">
        <v>0</v>
      </c>
      <c r="J79" s="90">
        <v>0</v>
      </c>
      <c r="K79" s="90">
        <v>0</v>
      </c>
      <c r="L79" s="90">
        <v>14121.115032706866</v>
      </c>
      <c r="M79" s="90">
        <v>0</v>
      </c>
      <c r="N79" s="90">
        <v>98626.448946475721</v>
      </c>
      <c r="O79" s="90">
        <v>0</v>
      </c>
      <c r="P79" s="90">
        <v>0</v>
      </c>
      <c r="Q79" s="90">
        <v>0</v>
      </c>
      <c r="R79" s="90">
        <v>125683.34351145038</v>
      </c>
    </row>
    <row r="80" spans="1:18">
      <c r="A80" s="90" t="s">
        <v>40</v>
      </c>
      <c r="B80" s="90" t="s">
        <v>1227</v>
      </c>
      <c r="C80" s="90" t="str">
        <f t="shared" si="1"/>
        <v>AngoonPublic Assembly</v>
      </c>
      <c r="D80" s="90">
        <v>4</v>
      </c>
      <c r="E80" s="90">
        <v>10705.128089887639</v>
      </c>
      <c r="F80" s="90">
        <v>8339.6946162247878</v>
      </c>
      <c r="G80" s="90">
        <v>0</v>
      </c>
      <c r="H80" s="90">
        <v>49637.811258983085</v>
      </c>
      <c r="I80" s="90">
        <v>0</v>
      </c>
      <c r="J80" s="90">
        <v>0</v>
      </c>
      <c r="K80" s="90">
        <v>0</v>
      </c>
      <c r="L80" s="90">
        <v>6171.3740160063426</v>
      </c>
      <c r="M80" s="90">
        <v>0</v>
      </c>
      <c r="N80" s="90">
        <v>36731.980331647486</v>
      </c>
      <c r="O80" s="90">
        <v>0</v>
      </c>
      <c r="P80" s="90">
        <v>0</v>
      </c>
      <c r="Q80" s="90">
        <v>0</v>
      </c>
      <c r="R80" s="90">
        <v>74935.896629213472</v>
      </c>
    </row>
    <row r="81" spans="1:18">
      <c r="A81" s="90" t="s">
        <v>40</v>
      </c>
      <c r="B81" s="90" t="s">
        <v>1475</v>
      </c>
      <c r="C81" s="90" t="str">
        <f t="shared" si="1"/>
        <v>AngoonPublic Safety</v>
      </c>
      <c r="D81" s="90">
        <v>1</v>
      </c>
      <c r="E81" s="90">
        <v>2697.4089393939394</v>
      </c>
      <c r="F81" s="90">
        <v>1909.3942711307411</v>
      </c>
      <c r="G81" s="90">
        <v>0</v>
      </c>
      <c r="H81" s="90">
        <v>22307.792908055355</v>
      </c>
      <c r="I81" s="90">
        <v>0</v>
      </c>
      <c r="J81" s="90">
        <v>0</v>
      </c>
      <c r="K81" s="90">
        <v>0</v>
      </c>
      <c r="L81" s="90">
        <v>1412.9517606367483</v>
      </c>
      <c r="M81" s="90">
        <v>0</v>
      </c>
      <c r="N81" s="90">
        <v>16507.766751960964</v>
      </c>
      <c r="O81" s="90">
        <v>0</v>
      </c>
      <c r="P81" s="90">
        <v>0</v>
      </c>
      <c r="Q81" s="90">
        <v>0</v>
      </c>
      <c r="R81" s="90">
        <v>18881.862575757576</v>
      </c>
    </row>
    <row r="82" spans="1:18">
      <c r="A82" s="90" t="s">
        <v>115</v>
      </c>
      <c r="B82" s="90" t="s">
        <v>1439</v>
      </c>
      <c r="C82" s="90" t="str">
        <f t="shared" si="1"/>
        <v>AniakEducation - K - 12</v>
      </c>
      <c r="D82" s="90">
        <v>8</v>
      </c>
      <c r="E82" s="90">
        <v>142040.1</v>
      </c>
      <c r="F82" s="90">
        <v>58571.98391771262</v>
      </c>
      <c r="G82" s="90">
        <v>0</v>
      </c>
      <c r="H82" s="90">
        <v>493575.43400142586</v>
      </c>
      <c r="I82" s="90">
        <v>0</v>
      </c>
      <c r="J82" s="90">
        <v>449.72124972677597</v>
      </c>
      <c r="K82" s="90">
        <v>0</v>
      </c>
      <c r="L82" s="90">
        <v>43343.268099107343</v>
      </c>
      <c r="M82" s="90">
        <v>0</v>
      </c>
      <c r="N82" s="90">
        <v>365245.82116105518</v>
      </c>
      <c r="O82" s="90">
        <v>0</v>
      </c>
      <c r="P82" s="90">
        <v>332.79372479781421</v>
      </c>
      <c r="Q82" s="90">
        <v>0</v>
      </c>
      <c r="R82" s="90">
        <v>994280.70000000007</v>
      </c>
    </row>
    <row r="83" spans="1:18">
      <c r="A83" s="90" t="s">
        <v>115</v>
      </c>
      <c r="B83" s="90" t="s">
        <v>1440</v>
      </c>
      <c r="C83" s="90" t="str">
        <f t="shared" si="1"/>
        <v>AniakHealth Care - Hospitals</v>
      </c>
      <c r="D83" s="90">
        <v>2</v>
      </c>
      <c r="E83" s="90">
        <v>4961.5925000000007</v>
      </c>
      <c r="F83" s="90">
        <v>3136.1010285531884</v>
      </c>
      <c r="G83" s="90">
        <v>0</v>
      </c>
      <c r="H83" s="90">
        <v>43740.470297412088</v>
      </c>
      <c r="I83" s="90">
        <v>0</v>
      </c>
      <c r="J83" s="90">
        <v>0</v>
      </c>
      <c r="K83" s="90">
        <v>0</v>
      </c>
      <c r="L83" s="90">
        <v>2320.7147611293594</v>
      </c>
      <c r="M83" s="90">
        <v>0</v>
      </c>
      <c r="N83" s="90">
        <v>32367.948020084943</v>
      </c>
      <c r="O83" s="90">
        <v>0</v>
      </c>
      <c r="P83" s="90">
        <v>0</v>
      </c>
      <c r="Q83" s="90">
        <v>0</v>
      </c>
      <c r="R83" s="90">
        <v>34731.147500000006</v>
      </c>
    </row>
    <row r="84" spans="1:18">
      <c r="A84" s="90" t="s">
        <v>115</v>
      </c>
      <c r="B84" s="90" t="s">
        <v>665</v>
      </c>
      <c r="C84" s="90" t="str">
        <f t="shared" si="1"/>
        <v>AniakOffice</v>
      </c>
      <c r="D84" s="90">
        <v>4</v>
      </c>
      <c r="E84" s="90">
        <v>7254</v>
      </c>
      <c r="F84" s="90">
        <v>5935.4241359124881</v>
      </c>
      <c r="G84" s="90">
        <v>0</v>
      </c>
      <c r="H84" s="90">
        <v>40979.469110389145</v>
      </c>
      <c r="I84" s="90">
        <v>0</v>
      </c>
      <c r="J84" s="90">
        <v>0</v>
      </c>
      <c r="K84" s="90">
        <v>0</v>
      </c>
      <c r="L84" s="90">
        <v>4392.2138605752416</v>
      </c>
      <c r="M84" s="90">
        <v>0</v>
      </c>
      <c r="N84" s="90">
        <v>30324.807141687968</v>
      </c>
      <c r="O84" s="90">
        <v>0</v>
      </c>
      <c r="P84" s="90">
        <v>0</v>
      </c>
      <c r="Q84" s="90">
        <v>0</v>
      </c>
      <c r="R84" s="90">
        <v>50778</v>
      </c>
    </row>
    <row r="85" spans="1:18">
      <c r="A85" s="90" t="s">
        <v>115</v>
      </c>
      <c r="B85" s="90" t="s">
        <v>643</v>
      </c>
      <c r="C85" s="90" t="str">
        <f t="shared" si="1"/>
        <v>AniakOther</v>
      </c>
      <c r="D85" s="90">
        <v>9</v>
      </c>
      <c r="E85" s="90">
        <v>46484.690839694653</v>
      </c>
      <c r="F85" s="90">
        <v>42424.311581075497</v>
      </c>
      <c r="G85" s="90">
        <v>0</v>
      </c>
      <c r="H85" s="90">
        <v>282996.350157818</v>
      </c>
      <c r="I85" s="90">
        <v>0</v>
      </c>
      <c r="J85" s="90">
        <v>0</v>
      </c>
      <c r="K85" s="90">
        <v>0</v>
      </c>
      <c r="L85" s="90">
        <v>31393.990569995873</v>
      </c>
      <c r="M85" s="90">
        <v>0</v>
      </c>
      <c r="N85" s="90">
        <v>209417.29911678532</v>
      </c>
      <c r="O85" s="90">
        <v>0</v>
      </c>
      <c r="P85" s="90">
        <v>0</v>
      </c>
      <c r="Q85" s="90">
        <v>0</v>
      </c>
      <c r="R85" s="90">
        <v>325392.83587786258</v>
      </c>
    </row>
    <row r="86" spans="1:18">
      <c r="A86" s="90" t="s">
        <v>115</v>
      </c>
      <c r="B86" s="90" t="s">
        <v>1227</v>
      </c>
      <c r="C86" s="90" t="str">
        <f t="shared" si="1"/>
        <v>AniakPublic Assembly</v>
      </c>
      <c r="D86" s="90">
        <v>4</v>
      </c>
      <c r="E86" s="90">
        <v>11513.56404494382</v>
      </c>
      <c r="F86" s="90">
        <v>7962.9005618475494</v>
      </c>
      <c r="G86" s="90">
        <v>0</v>
      </c>
      <c r="H86" s="90">
        <v>53386.387737013407</v>
      </c>
      <c r="I86" s="90">
        <v>0</v>
      </c>
      <c r="J86" s="90">
        <v>0</v>
      </c>
      <c r="K86" s="90">
        <v>0</v>
      </c>
      <c r="L86" s="90">
        <v>5892.5464157671859</v>
      </c>
      <c r="M86" s="90">
        <v>0</v>
      </c>
      <c r="N86" s="90">
        <v>39505.926925389918</v>
      </c>
      <c r="O86" s="90">
        <v>0</v>
      </c>
      <c r="P86" s="90">
        <v>0</v>
      </c>
      <c r="Q86" s="90">
        <v>0</v>
      </c>
      <c r="R86" s="90">
        <v>80594.948314606736</v>
      </c>
    </row>
    <row r="87" spans="1:18">
      <c r="A87" s="90" t="s">
        <v>115</v>
      </c>
      <c r="B87" s="90" t="s">
        <v>1475</v>
      </c>
      <c r="C87" s="90" t="str">
        <f t="shared" si="1"/>
        <v>AniakPublic Safety</v>
      </c>
      <c r="D87" s="90">
        <v>1</v>
      </c>
      <c r="E87" s="90">
        <v>2697.4089393939394</v>
      </c>
      <c r="F87" s="90">
        <v>561.14452554744526</v>
      </c>
      <c r="G87" s="90">
        <v>0</v>
      </c>
      <c r="H87" s="90">
        <v>8221.240657166667</v>
      </c>
      <c r="I87" s="90">
        <v>0</v>
      </c>
      <c r="J87" s="90">
        <v>0</v>
      </c>
      <c r="K87" s="90">
        <v>0</v>
      </c>
      <c r="L87" s="90">
        <v>415.24694890510949</v>
      </c>
      <c r="M87" s="90">
        <v>0</v>
      </c>
      <c r="N87" s="90">
        <v>6083.7180863033336</v>
      </c>
      <c r="O87" s="90">
        <v>0</v>
      </c>
      <c r="P87" s="90">
        <v>0</v>
      </c>
      <c r="Q87" s="90">
        <v>0</v>
      </c>
      <c r="R87" s="90">
        <v>18881.862575757576</v>
      </c>
    </row>
    <row r="88" spans="1:18">
      <c r="A88" s="90" t="s">
        <v>115</v>
      </c>
      <c r="B88" s="90" t="s">
        <v>1442</v>
      </c>
      <c r="C88" s="90" t="str">
        <f t="shared" si="1"/>
        <v>AniakResidential - Multi-Family</v>
      </c>
      <c r="D88" s="90">
        <v>3</v>
      </c>
      <c r="E88" s="90">
        <v>15069.642857142855</v>
      </c>
      <c r="F88" s="90">
        <v>1769.8140875912409</v>
      </c>
      <c r="G88" s="90">
        <v>0</v>
      </c>
      <c r="H88" s="90">
        <v>9099.9152318333327</v>
      </c>
      <c r="I88" s="90">
        <v>0</v>
      </c>
      <c r="J88" s="90">
        <v>0</v>
      </c>
      <c r="K88" s="90">
        <v>0</v>
      </c>
      <c r="L88" s="90">
        <v>1309.6624248175185</v>
      </c>
      <c r="M88" s="90">
        <v>0</v>
      </c>
      <c r="N88" s="90">
        <v>6733.937271556666</v>
      </c>
      <c r="O88" s="90">
        <v>0</v>
      </c>
      <c r="P88" s="90">
        <v>0</v>
      </c>
      <c r="Q88" s="90">
        <v>0</v>
      </c>
      <c r="R88" s="90">
        <v>105487.5</v>
      </c>
    </row>
    <row r="89" spans="1:18">
      <c r="A89" s="90" t="s">
        <v>115</v>
      </c>
      <c r="B89" s="90" t="s">
        <v>1485</v>
      </c>
      <c r="C89" s="90" t="str">
        <f t="shared" si="1"/>
        <v>AniakRetail - Other</v>
      </c>
      <c r="D89" s="90">
        <v>1</v>
      </c>
      <c r="E89" s="90">
        <v>5327</v>
      </c>
      <c r="F89" s="90">
        <v>8848.4083206210526</v>
      </c>
      <c r="G89" s="90">
        <v>0</v>
      </c>
      <c r="H89" s="90">
        <v>129969.10087793579</v>
      </c>
      <c r="I89" s="90">
        <v>0</v>
      </c>
      <c r="J89" s="90">
        <v>0</v>
      </c>
      <c r="K89" s="90">
        <v>0</v>
      </c>
      <c r="L89" s="90">
        <v>6547.8221572595785</v>
      </c>
      <c r="M89" s="90">
        <v>0</v>
      </c>
      <c r="N89" s="90">
        <v>96177.134649672487</v>
      </c>
      <c r="O89" s="90">
        <v>0</v>
      </c>
      <c r="P89" s="90">
        <v>0</v>
      </c>
      <c r="Q89" s="90">
        <v>0</v>
      </c>
      <c r="R89" s="90">
        <v>37289</v>
      </c>
    </row>
    <row r="90" spans="1:18">
      <c r="A90" s="90" t="s">
        <v>115</v>
      </c>
      <c r="B90" s="90" t="s">
        <v>951</v>
      </c>
      <c r="C90" s="90" t="str">
        <f t="shared" si="1"/>
        <v>AniakWarehousing</v>
      </c>
      <c r="D90" s="90">
        <v>3</v>
      </c>
      <c r="E90" s="90">
        <v>7446.5661764705883</v>
      </c>
      <c r="F90" s="90">
        <v>10087.469800116829</v>
      </c>
      <c r="G90" s="90">
        <v>0</v>
      </c>
      <c r="H90" s="90">
        <v>216404.2323241423</v>
      </c>
      <c r="I90" s="90">
        <v>0</v>
      </c>
      <c r="J90" s="90">
        <v>0</v>
      </c>
      <c r="K90" s="90">
        <v>0</v>
      </c>
      <c r="L90" s="90">
        <v>7464.7276520864525</v>
      </c>
      <c r="M90" s="90">
        <v>0</v>
      </c>
      <c r="N90" s="90">
        <v>160139.13191986532</v>
      </c>
      <c r="O90" s="90">
        <v>0</v>
      </c>
      <c r="P90" s="90">
        <v>0</v>
      </c>
      <c r="Q90" s="90">
        <v>0</v>
      </c>
      <c r="R90" s="90">
        <v>52125.963235294119</v>
      </c>
    </row>
    <row r="91" spans="1:18">
      <c r="A91" s="90" t="s">
        <v>398</v>
      </c>
      <c r="B91" s="90" t="s">
        <v>1439</v>
      </c>
      <c r="C91" s="90" t="str">
        <f t="shared" si="1"/>
        <v>Arctic VillageEducation - K - 12</v>
      </c>
      <c r="D91" s="90">
        <v>3</v>
      </c>
      <c r="E91" s="90">
        <v>35204.831111111111</v>
      </c>
      <c r="F91" s="90">
        <v>39350.606763610602</v>
      </c>
      <c r="G91" s="90">
        <v>0</v>
      </c>
      <c r="H91" s="90">
        <v>235248.55913175119</v>
      </c>
      <c r="I91" s="90">
        <v>0</v>
      </c>
      <c r="J91" s="90">
        <v>0</v>
      </c>
      <c r="K91" s="90">
        <v>0</v>
      </c>
      <c r="L91" s="90">
        <v>29119.449005071841</v>
      </c>
      <c r="M91" s="90">
        <v>0</v>
      </c>
      <c r="N91" s="90">
        <v>174083.93375749583</v>
      </c>
      <c r="O91" s="90">
        <v>0</v>
      </c>
      <c r="P91" s="90">
        <v>0</v>
      </c>
      <c r="Q91" s="90">
        <v>0</v>
      </c>
      <c r="R91" s="90">
        <v>246433.81777777779</v>
      </c>
    </row>
    <row r="92" spans="1:18">
      <c r="A92" s="90" t="s">
        <v>398</v>
      </c>
      <c r="B92" s="90" t="s">
        <v>1440</v>
      </c>
      <c r="C92" s="90" t="str">
        <f t="shared" si="1"/>
        <v>Arctic VillageHealth Care - Hospitals</v>
      </c>
      <c r="D92" s="90">
        <v>1</v>
      </c>
      <c r="E92" s="90">
        <v>2256.9250000000002</v>
      </c>
      <c r="F92" s="90">
        <v>1573.0165476804564</v>
      </c>
      <c r="G92" s="90">
        <v>0</v>
      </c>
      <c r="H92" s="90">
        <v>16977.563262470368</v>
      </c>
      <c r="I92" s="90">
        <v>0</v>
      </c>
      <c r="J92" s="90">
        <v>0</v>
      </c>
      <c r="K92" s="90">
        <v>0</v>
      </c>
      <c r="L92" s="90">
        <v>1164.0322452835378</v>
      </c>
      <c r="M92" s="90">
        <v>0</v>
      </c>
      <c r="N92" s="90">
        <v>12563.396814228072</v>
      </c>
      <c r="O92" s="90">
        <v>0</v>
      </c>
      <c r="P92" s="90">
        <v>0</v>
      </c>
      <c r="Q92" s="90">
        <v>0</v>
      </c>
      <c r="R92" s="90">
        <v>15798.475000000002</v>
      </c>
    </row>
    <row r="93" spans="1:18">
      <c r="A93" s="90" t="s">
        <v>398</v>
      </c>
      <c r="B93" s="90" t="s">
        <v>665</v>
      </c>
      <c r="C93" s="90" t="str">
        <f t="shared" si="1"/>
        <v>Arctic VillageOffice</v>
      </c>
      <c r="D93" s="90">
        <v>2</v>
      </c>
      <c r="E93" s="90">
        <v>2120</v>
      </c>
      <c r="F93" s="90">
        <v>2474.2102370891766</v>
      </c>
      <c r="G93" s="90">
        <v>0</v>
      </c>
      <c r="H93" s="90">
        <v>11874.747818967595</v>
      </c>
      <c r="I93" s="90">
        <v>0</v>
      </c>
      <c r="J93" s="90">
        <v>0</v>
      </c>
      <c r="K93" s="90">
        <v>0</v>
      </c>
      <c r="L93" s="90">
        <v>1830.9155754459907</v>
      </c>
      <c r="M93" s="90">
        <v>0</v>
      </c>
      <c r="N93" s="90">
        <v>8787.3133860360213</v>
      </c>
      <c r="O93" s="90">
        <v>0</v>
      </c>
      <c r="P93" s="90">
        <v>0</v>
      </c>
      <c r="Q93" s="90">
        <v>0</v>
      </c>
      <c r="R93" s="90">
        <v>14840</v>
      </c>
    </row>
    <row r="94" spans="1:18">
      <c r="A94" s="90" t="s">
        <v>398</v>
      </c>
      <c r="B94" s="90" t="s">
        <v>643</v>
      </c>
      <c r="C94" s="90" t="str">
        <f t="shared" si="1"/>
        <v>Arctic VillageOther</v>
      </c>
      <c r="D94" s="90">
        <v>2</v>
      </c>
      <c r="E94" s="90">
        <v>3155.9204545454545</v>
      </c>
      <c r="F94" s="90">
        <v>2729.465172285818</v>
      </c>
      <c r="G94" s="90">
        <v>0</v>
      </c>
      <c r="H94" s="90">
        <v>22968.750300682324</v>
      </c>
      <c r="I94" s="90">
        <v>0</v>
      </c>
      <c r="J94" s="90">
        <v>0</v>
      </c>
      <c r="K94" s="90">
        <v>0</v>
      </c>
      <c r="L94" s="90">
        <v>2019.8042274915051</v>
      </c>
      <c r="M94" s="90">
        <v>0</v>
      </c>
      <c r="N94" s="90">
        <v>16996.875222504921</v>
      </c>
      <c r="O94" s="90">
        <v>0</v>
      </c>
      <c r="P94" s="90">
        <v>0</v>
      </c>
      <c r="Q94" s="90">
        <v>0</v>
      </c>
      <c r="R94" s="90">
        <v>22091.443181818184</v>
      </c>
    </row>
    <row r="95" spans="1:18">
      <c r="A95" s="90" t="s">
        <v>398</v>
      </c>
      <c r="B95" s="90" t="s">
        <v>1227</v>
      </c>
      <c r="C95" s="90" t="str">
        <f t="shared" si="1"/>
        <v>Arctic VillagePublic Assembly</v>
      </c>
      <c r="D95" s="90">
        <v>4</v>
      </c>
      <c r="E95" s="90">
        <v>10610.163461538463</v>
      </c>
      <c r="F95" s="90">
        <v>6620.2919209620231</v>
      </c>
      <c r="G95" s="90">
        <v>0</v>
      </c>
      <c r="H95" s="90">
        <v>39912.629553186605</v>
      </c>
      <c r="I95" s="90">
        <v>0</v>
      </c>
      <c r="J95" s="90">
        <v>0</v>
      </c>
      <c r="K95" s="90">
        <v>0</v>
      </c>
      <c r="L95" s="90">
        <v>4899.0160215118967</v>
      </c>
      <c r="M95" s="90">
        <v>0</v>
      </c>
      <c r="N95" s="90">
        <v>29535.345869358091</v>
      </c>
      <c r="O95" s="90">
        <v>0</v>
      </c>
      <c r="P95" s="90">
        <v>0</v>
      </c>
      <c r="Q95" s="90">
        <v>0</v>
      </c>
      <c r="R95" s="90">
        <v>74271.144230769234</v>
      </c>
    </row>
    <row r="96" spans="1:18">
      <c r="A96" s="90" t="s">
        <v>398</v>
      </c>
      <c r="B96" s="90" t="s">
        <v>1485</v>
      </c>
      <c r="C96" s="90" t="str">
        <f t="shared" si="1"/>
        <v>Arctic VillageRetail - Other</v>
      </c>
      <c r="D96" s="90">
        <v>1</v>
      </c>
      <c r="E96" s="90">
        <v>2105.2800000000002</v>
      </c>
      <c r="F96" s="90">
        <v>2225.7819714285715</v>
      </c>
      <c r="G96" s="90">
        <v>0</v>
      </c>
      <c r="H96" s="90">
        <v>49590.373216004155</v>
      </c>
      <c r="I96" s="90">
        <v>0</v>
      </c>
      <c r="J96" s="90">
        <v>0</v>
      </c>
      <c r="K96" s="90">
        <v>0</v>
      </c>
      <c r="L96" s="90">
        <v>1647.078658857143</v>
      </c>
      <c r="M96" s="90">
        <v>0</v>
      </c>
      <c r="N96" s="90">
        <v>36696.876179843071</v>
      </c>
      <c r="O96" s="90">
        <v>0</v>
      </c>
      <c r="P96" s="90">
        <v>0</v>
      </c>
      <c r="Q96" s="90">
        <v>0</v>
      </c>
      <c r="R96" s="90">
        <v>14736.960000000001</v>
      </c>
    </row>
    <row r="97" spans="1:18">
      <c r="A97" s="90" t="s">
        <v>398</v>
      </c>
      <c r="B97" s="90" t="s">
        <v>951</v>
      </c>
      <c r="C97" s="90" t="str">
        <f t="shared" si="1"/>
        <v>Arctic VillageWarehousing</v>
      </c>
      <c r="D97" s="90">
        <v>1</v>
      </c>
      <c r="E97" s="90">
        <v>1680</v>
      </c>
      <c r="F97" s="90">
        <v>2105.9310832344631</v>
      </c>
      <c r="G97" s="90">
        <v>0</v>
      </c>
      <c r="H97" s="90">
        <v>19933.449960972252</v>
      </c>
      <c r="I97" s="90">
        <v>0</v>
      </c>
      <c r="J97" s="90">
        <v>0</v>
      </c>
      <c r="K97" s="90">
        <v>0</v>
      </c>
      <c r="L97" s="90">
        <v>1558.3890015935026</v>
      </c>
      <c r="M97" s="90">
        <v>0</v>
      </c>
      <c r="N97" s="90">
        <v>14750.752971119466</v>
      </c>
      <c r="O97" s="90">
        <v>0</v>
      </c>
      <c r="P97" s="90">
        <v>0</v>
      </c>
      <c r="Q97" s="90">
        <v>0</v>
      </c>
      <c r="R97" s="90">
        <v>11760</v>
      </c>
    </row>
    <row r="98" spans="1:18">
      <c r="A98" s="90" t="s">
        <v>24</v>
      </c>
      <c r="B98" s="90" t="s">
        <v>1439</v>
      </c>
      <c r="C98" s="90" t="str">
        <f t="shared" si="1"/>
        <v>AtkaEducation - K - 12</v>
      </c>
      <c r="D98" s="90">
        <v>1</v>
      </c>
      <c r="E98" s="90">
        <v>8130</v>
      </c>
      <c r="F98" s="90">
        <v>5000</v>
      </c>
      <c r="G98" s="90">
        <v>0</v>
      </c>
      <c r="H98" s="90">
        <v>30950</v>
      </c>
      <c r="I98" s="90">
        <v>0</v>
      </c>
      <c r="J98" s="90">
        <v>0</v>
      </c>
      <c r="K98" s="90">
        <v>0</v>
      </c>
      <c r="L98" s="90">
        <v>3700</v>
      </c>
      <c r="M98" s="90">
        <v>0</v>
      </c>
      <c r="N98" s="90">
        <v>22903</v>
      </c>
      <c r="O98" s="90">
        <v>0</v>
      </c>
      <c r="P98" s="90">
        <v>0</v>
      </c>
      <c r="Q98" s="90">
        <v>0</v>
      </c>
      <c r="R98" s="90">
        <v>56910</v>
      </c>
    </row>
    <row r="99" spans="1:18">
      <c r="A99" s="90" t="s">
        <v>24</v>
      </c>
      <c r="B99" s="90" t="s">
        <v>1440</v>
      </c>
      <c r="C99" s="90" t="str">
        <f t="shared" si="1"/>
        <v>AtkaHealth Care - Hospitals</v>
      </c>
      <c r="D99" s="90">
        <v>1</v>
      </c>
      <c r="E99" s="90">
        <v>1980</v>
      </c>
      <c r="F99" s="90">
        <v>1200</v>
      </c>
      <c r="G99" s="90">
        <v>0</v>
      </c>
      <c r="H99" s="90">
        <v>14329</v>
      </c>
      <c r="I99" s="90">
        <v>0</v>
      </c>
      <c r="J99" s="90">
        <v>0</v>
      </c>
      <c r="K99" s="90">
        <v>0</v>
      </c>
      <c r="L99" s="90">
        <v>888</v>
      </c>
      <c r="M99" s="90">
        <v>0</v>
      </c>
      <c r="N99" s="90">
        <v>10603.46</v>
      </c>
      <c r="O99" s="90">
        <v>0</v>
      </c>
      <c r="P99" s="90">
        <v>0</v>
      </c>
      <c r="Q99" s="90">
        <v>0</v>
      </c>
      <c r="R99" s="90">
        <v>13860</v>
      </c>
    </row>
    <row r="100" spans="1:18">
      <c r="A100" s="90" t="s">
        <v>24</v>
      </c>
      <c r="B100" s="90" t="s">
        <v>665</v>
      </c>
      <c r="C100" s="90" t="str">
        <f t="shared" si="1"/>
        <v>AtkaOffice</v>
      </c>
      <c r="D100" s="90">
        <v>4</v>
      </c>
      <c r="E100" s="90">
        <v>4120</v>
      </c>
      <c r="F100" s="90">
        <v>4521.0061985098419</v>
      </c>
      <c r="G100" s="90">
        <v>0</v>
      </c>
      <c r="H100" s="90">
        <v>32140.778056975851</v>
      </c>
      <c r="I100" s="90">
        <v>0</v>
      </c>
      <c r="J100" s="90">
        <v>0</v>
      </c>
      <c r="K100" s="90">
        <v>0</v>
      </c>
      <c r="L100" s="90">
        <v>3345.5445868972834</v>
      </c>
      <c r="M100" s="90">
        <v>0</v>
      </c>
      <c r="N100" s="90">
        <v>23784.175762162133</v>
      </c>
      <c r="O100" s="90">
        <v>0</v>
      </c>
      <c r="P100" s="90">
        <v>0</v>
      </c>
      <c r="Q100" s="90">
        <v>0</v>
      </c>
      <c r="R100" s="90">
        <v>28840</v>
      </c>
    </row>
    <row r="101" spans="1:18">
      <c r="A101" s="90" t="s">
        <v>24</v>
      </c>
      <c r="B101" s="90" t="s">
        <v>643</v>
      </c>
      <c r="C101" s="90" t="str">
        <f t="shared" si="1"/>
        <v>AtkaOther</v>
      </c>
      <c r="D101" s="90">
        <v>4</v>
      </c>
      <c r="E101" s="90">
        <v>8250</v>
      </c>
      <c r="F101" s="90">
        <v>2854.5240810606228</v>
      </c>
      <c r="G101" s="90">
        <v>0</v>
      </c>
      <c r="H101" s="90">
        <v>43267.228138280007</v>
      </c>
      <c r="I101" s="90">
        <v>0</v>
      </c>
      <c r="J101" s="90">
        <v>0</v>
      </c>
      <c r="K101" s="90">
        <v>0</v>
      </c>
      <c r="L101" s="90">
        <v>2112.3478199848614</v>
      </c>
      <c r="M101" s="90">
        <v>0</v>
      </c>
      <c r="N101" s="90">
        <v>32017.748822327201</v>
      </c>
      <c r="O101" s="90">
        <v>0</v>
      </c>
      <c r="P101" s="90">
        <v>0</v>
      </c>
      <c r="Q101" s="90">
        <v>0</v>
      </c>
      <c r="R101" s="90">
        <v>57750</v>
      </c>
    </row>
    <row r="102" spans="1:18">
      <c r="A102" s="90" t="s">
        <v>24</v>
      </c>
      <c r="B102" s="90" t="s">
        <v>1475</v>
      </c>
      <c r="C102" s="90" t="str">
        <f t="shared" si="1"/>
        <v>AtkaPublic Safety</v>
      </c>
      <c r="D102" s="90">
        <v>1</v>
      </c>
      <c r="E102" s="90">
        <v>600</v>
      </c>
      <c r="F102" s="90">
        <v>583.42491234035037</v>
      </c>
      <c r="G102" s="90">
        <v>0</v>
      </c>
      <c r="H102" s="90">
        <v>4842.2679408575004</v>
      </c>
      <c r="I102" s="90">
        <v>0</v>
      </c>
      <c r="J102" s="90">
        <v>0</v>
      </c>
      <c r="K102" s="90">
        <v>0</v>
      </c>
      <c r="L102" s="90">
        <v>431.7344351318593</v>
      </c>
      <c r="M102" s="90">
        <v>0</v>
      </c>
      <c r="N102" s="90">
        <v>3583.2782762345505</v>
      </c>
      <c r="O102" s="90">
        <v>0</v>
      </c>
      <c r="P102" s="90">
        <v>0</v>
      </c>
      <c r="Q102" s="90">
        <v>0</v>
      </c>
      <c r="R102" s="90">
        <v>4200</v>
      </c>
    </row>
    <row r="103" spans="1:18">
      <c r="A103" s="90" t="s">
        <v>24</v>
      </c>
      <c r="B103" s="90" t="s">
        <v>951</v>
      </c>
      <c r="C103" s="90" t="str">
        <f t="shared" si="1"/>
        <v>AtkaWarehousing</v>
      </c>
      <c r="D103" s="90">
        <v>1</v>
      </c>
      <c r="E103" s="90">
        <v>1783.9572649572649</v>
      </c>
      <c r="F103" s="90">
        <v>2236.2446758544302</v>
      </c>
      <c r="G103" s="90">
        <v>0</v>
      </c>
      <c r="H103" s="90">
        <v>21166.918377106285</v>
      </c>
      <c r="I103" s="90">
        <v>0</v>
      </c>
      <c r="J103" s="90">
        <v>0</v>
      </c>
      <c r="K103" s="90">
        <v>0</v>
      </c>
      <c r="L103" s="90">
        <v>1654.8210601322783</v>
      </c>
      <c r="M103" s="90">
        <v>0</v>
      </c>
      <c r="N103" s="90">
        <v>15663.519599058651</v>
      </c>
      <c r="O103" s="90">
        <v>0</v>
      </c>
      <c r="P103" s="90">
        <v>0</v>
      </c>
      <c r="Q103" s="90">
        <v>0</v>
      </c>
      <c r="R103" s="90">
        <v>12487.700854700854</v>
      </c>
    </row>
    <row r="104" spans="1:18">
      <c r="A104" s="90" t="s">
        <v>117</v>
      </c>
      <c r="B104" s="90" t="s">
        <v>1439</v>
      </c>
      <c r="C104" s="90" t="str">
        <f t="shared" si="1"/>
        <v>AtmautluakEducation - K - 12</v>
      </c>
      <c r="D104" s="90">
        <v>4</v>
      </c>
      <c r="E104" s="90">
        <v>18276</v>
      </c>
      <c r="F104" s="90">
        <v>13426.117987377065</v>
      </c>
      <c r="G104" s="90">
        <v>0</v>
      </c>
      <c r="H104" s="90">
        <v>129407.2719490826</v>
      </c>
      <c r="I104" s="90">
        <v>0</v>
      </c>
      <c r="J104" s="90">
        <v>0</v>
      </c>
      <c r="K104" s="90">
        <v>0</v>
      </c>
      <c r="L104" s="90">
        <v>9935.3273106590314</v>
      </c>
      <c r="M104" s="90">
        <v>0</v>
      </c>
      <c r="N104" s="90">
        <v>95761.381242321106</v>
      </c>
      <c r="O104" s="90">
        <v>0</v>
      </c>
      <c r="P104" s="90">
        <v>0</v>
      </c>
      <c r="Q104" s="90">
        <v>0</v>
      </c>
      <c r="R104" s="90">
        <v>127932</v>
      </c>
    </row>
    <row r="105" spans="1:18">
      <c r="A105" s="90" t="s">
        <v>117</v>
      </c>
      <c r="B105" s="90" t="s">
        <v>1440</v>
      </c>
      <c r="C105" s="90" t="str">
        <f t="shared" si="1"/>
        <v>AtmautluakHealth Care - Hospitals</v>
      </c>
      <c r="D105" s="90">
        <v>1</v>
      </c>
      <c r="E105" s="90">
        <v>3905.5925000000002</v>
      </c>
      <c r="F105" s="90">
        <v>2468.6293072959174</v>
      </c>
      <c r="G105" s="90">
        <v>0</v>
      </c>
      <c r="H105" s="90">
        <v>34430.972059887106</v>
      </c>
      <c r="I105" s="90">
        <v>0</v>
      </c>
      <c r="J105" s="90">
        <v>0</v>
      </c>
      <c r="K105" s="90">
        <v>0</v>
      </c>
      <c r="L105" s="90">
        <v>1826.7856873989788</v>
      </c>
      <c r="M105" s="90">
        <v>0</v>
      </c>
      <c r="N105" s="90">
        <v>25478.919324316459</v>
      </c>
      <c r="O105" s="90">
        <v>0</v>
      </c>
      <c r="P105" s="90">
        <v>0</v>
      </c>
      <c r="Q105" s="90">
        <v>0</v>
      </c>
      <c r="R105" s="90">
        <v>27339.147500000003</v>
      </c>
    </row>
    <row r="106" spans="1:18">
      <c r="A106" s="90" t="s">
        <v>117</v>
      </c>
      <c r="B106" s="90" t="s">
        <v>665</v>
      </c>
      <c r="C106" s="90" t="str">
        <f t="shared" si="1"/>
        <v>AtmautluakOffice</v>
      </c>
      <c r="D106" s="90">
        <v>2</v>
      </c>
      <c r="E106" s="90">
        <v>5770.3381294964029</v>
      </c>
      <c r="F106" s="90">
        <v>4803.5212825189537</v>
      </c>
      <c r="G106" s="90">
        <v>0</v>
      </c>
      <c r="H106" s="90">
        <v>32738.92721029419</v>
      </c>
      <c r="I106" s="90">
        <v>0</v>
      </c>
      <c r="J106" s="90">
        <v>0</v>
      </c>
      <c r="K106" s="90">
        <v>0</v>
      </c>
      <c r="L106" s="90">
        <v>3554.6057490640255</v>
      </c>
      <c r="M106" s="90">
        <v>0</v>
      </c>
      <c r="N106" s="90">
        <v>24226.806135617702</v>
      </c>
      <c r="O106" s="90">
        <v>0</v>
      </c>
      <c r="P106" s="90">
        <v>0</v>
      </c>
      <c r="Q106" s="90">
        <v>0</v>
      </c>
      <c r="R106" s="90">
        <v>40392.366906474817</v>
      </c>
    </row>
    <row r="107" spans="1:18">
      <c r="A107" s="90" t="s">
        <v>117</v>
      </c>
      <c r="B107" s="90" t="s">
        <v>643</v>
      </c>
      <c r="C107" s="90" t="str">
        <f t="shared" si="1"/>
        <v>AtmautluakOther</v>
      </c>
      <c r="D107" s="90">
        <v>6</v>
      </c>
      <c r="E107" s="90">
        <v>38469.763358778626</v>
      </c>
      <c r="F107" s="90">
        <v>40886.233108503126</v>
      </c>
      <c r="G107" s="90">
        <v>0</v>
      </c>
      <c r="H107" s="90">
        <v>285562.71745889942</v>
      </c>
      <c r="I107" s="90">
        <v>0</v>
      </c>
      <c r="J107" s="90">
        <v>0</v>
      </c>
      <c r="K107" s="90">
        <v>0</v>
      </c>
      <c r="L107" s="90">
        <v>30255.812500292304</v>
      </c>
      <c r="M107" s="90">
        <v>0</v>
      </c>
      <c r="N107" s="90">
        <v>211316.41091958559</v>
      </c>
      <c r="O107" s="90">
        <v>0</v>
      </c>
      <c r="P107" s="90">
        <v>0</v>
      </c>
      <c r="Q107" s="90">
        <v>0</v>
      </c>
      <c r="R107" s="90">
        <v>269288.34351145034</v>
      </c>
    </row>
    <row r="108" spans="1:18">
      <c r="A108" s="90" t="s">
        <v>117</v>
      </c>
      <c r="B108" s="90" t="s">
        <v>1227</v>
      </c>
      <c r="C108" s="90" t="str">
        <f t="shared" si="1"/>
        <v>AtmautluakPublic Assembly</v>
      </c>
      <c r="D108" s="90">
        <v>5</v>
      </c>
      <c r="E108" s="90">
        <v>17132.8202247191</v>
      </c>
      <c r="F108" s="90">
        <v>11849.236540561968</v>
      </c>
      <c r="G108" s="90">
        <v>0</v>
      </c>
      <c r="H108" s="90">
        <v>79441.89826668585</v>
      </c>
      <c r="I108" s="90">
        <v>0</v>
      </c>
      <c r="J108" s="90">
        <v>0</v>
      </c>
      <c r="K108" s="90">
        <v>0</v>
      </c>
      <c r="L108" s="90">
        <v>8768.4350400158546</v>
      </c>
      <c r="M108" s="90">
        <v>0</v>
      </c>
      <c r="N108" s="90">
        <v>58787.004717347525</v>
      </c>
      <c r="O108" s="90">
        <v>0</v>
      </c>
      <c r="P108" s="90">
        <v>0</v>
      </c>
      <c r="Q108" s="90">
        <v>0</v>
      </c>
      <c r="R108" s="90">
        <v>119929.74157303369</v>
      </c>
    </row>
    <row r="109" spans="1:18">
      <c r="A109" s="90" t="s">
        <v>117</v>
      </c>
      <c r="B109" s="90" t="s">
        <v>1475</v>
      </c>
      <c r="C109" s="90" t="str">
        <f t="shared" si="1"/>
        <v>AtmautluakPublic Safety</v>
      </c>
      <c r="D109" s="90">
        <v>1</v>
      </c>
      <c r="E109" s="90">
        <v>2697.4089393939394</v>
      </c>
      <c r="F109" s="90">
        <v>1909.3942711307411</v>
      </c>
      <c r="G109" s="90">
        <v>0</v>
      </c>
      <c r="H109" s="90">
        <v>22307.792908055355</v>
      </c>
      <c r="I109" s="90">
        <v>0</v>
      </c>
      <c r="J109" s="90">
        <v>0</v>
      </c>
      <c r="K109" s="90">
        <v>0</v>
      </c>
      <c r="L109" s="90">
        <v>1412.9517606367483</v>
      </c>
      <c r="M109" s="90">
        <v>0</v>
      </c>
      <c r="N109" s="90">
        <v>16507.766751960964</v>
      </c>
      <c r="O109" s="90">
        <v>0</v>
      </c>
      <c r="P109" s="90">
        <v>0</v>
      </c>
      <c r="Q109" s="90">
        <v>0</v>
      </c>
      <c r="R109" s="90">
        <v>18881.862575757576</v>
      </c>
    </row>
    <row r="110" spans="1:18">
      <c r="A110" s="90" t="s">
        <v>117</v>
      </c>
      <c r="B110" s="90" t="s">
        <v>951</v>
      </c>
      <c r="C110" s="90" t="str">
        <f t="shared" si="1"/>
        <v>AtmautluakWarehousing</v>
      </c>
      <c r="D110" s="90">
        <v>3</v>
      </c>
      <c r="E110" s="90">
        <v>4598.5661764705883</v>
      </c>
      <c r="F110" s="90">
        <v>8025.8475381758271</v>
      </c>
      <c r="G110" s="90">
        <v>0</v>
      </c>
      <c r="H110" s="90">
        <v>210700.40236638032</v>
      </c>
      <c r="I110" s="90">
        <v>0</v>
      </c>
      <c r="J110" s="90">
        <v>0</v>
      </c>
      <c r="K110" s="90">
        <v>0</v>
      </c>
      <c r="L110" s="90">
        <v>5939.1271782501117</v>
      </c>
      <c r="M110" s="90">
        <v>0</v>
      </c>
      <c r="N110" s="90">
        <v>155918.29775112146</v>
      </c>
      <c r="O110" s="90">
        <v>0</v>
      </c>
      <c r="P110" s="90">
        <v>0</v>
      </c>
      <c r="Q110" s="90">
        <v>0</v>
      </c>
      <c r="R110" s="90">
        <v>32189.963235294119</v>
      </c>
    </row>
    <row r="111" spans="1:18">
      <c r="A111" s="90" t="s">
        <v>207</v>
      </c>
      <c r="B111" s="90" t="s">
        <v>1439</v>
      </c>
      <c r="C111" s="90" t="str">
        <f t="shared" si="1"/>
        <v>AtqasukEducation - K - 12</v>
      </c>
      <c r="D111" s="90">
        <v>8</v>
      </c>
      <c r="E111" s="90">
        <v>82809.415555555548</v>
      </c>
      <c r="F111" s="90">
        <v>103639.66049038876</v>
      </c>
      <c r="G111" s="90">
        <v>20000</v>
      </c>
      <c r="H111" s="90">
        <v>679872.40825011872</v>
      </c>
      <c r="I111" s="90">
        <v>0</v>
      </c>
      <c r="J111" s="90">
        <v>0</v>
      </c>
      <c r="K111" s="90">
        <v>0</v>
      </c>
      <c r="L111" s="90">
        <v>76693.348762887676</v>
      </c>
      <c r="M111" s="90">
        <v>14800</v>
      </c>
      <c r="N111" s="90">
        <v>503105.58210508799</v>
      </c>
      <c r="O111" s="90">
        <v>0</v>
      </c>
      <c r="P111" s="90">
        <v>0</v>
      </c>
      <c r="Q111" s="90">
        <v>0</v>
      </c>
      <c r="R111" s="90">
        <v>579665.90888888889</v>
      </c>
    </row>
    <row r="112" spans="1:18">
      <c r="A112" s="90" t="s">
        <v>207</v>
      </c>
      <c r="B112" s="90" t="s">
        <v>1469</v>
      </c>
      <c r="C112" s="90" t="str">
        <f t="shared" si="1"/>
        <v>AtqasukFood Service and Drinking Places</v>
      </c>
      <c r="D112" s="90">
        <v>1</v>
      </c>
      <c r="E112" s="90">
        <v>3040</v>
      </c>
      <c r="F112" s="90">
        <v>1220.0533333333333</v>
      </c>
      <c r="G112" s="90">
        <v>0</v>
      </c>
      <c r="H112" s="90">
        <v>12137.109232999999</v>
      </c>
      <c r="I112" s="90">
        <v>0</v>
      </c>
      <c r="J112" s="90">
        <v>0</v>
      </c>
      <c r="K112" s="90">
        <v>0</v>
      </c>
      <c r="L112" s="90">
        <v>902.83946666666657</v>
      </c>
      <c r="M112" s="90">
        <v>0</v>
      </c>
      <c r="N112" s="90">
        <v>8981.4608324199999</v>
      </c>
      <c r="O112" s="90">
        <v>0</v>
      </c>
      <c r="P112" s="90">
        <v>0</v>
      </c>
      <c r="Q112" s="90">
        <v>0</v>
      </c>
      <c r="R112" s="90">
        <v>21280</v>
      </c>
    </row>
    <row r="113" spans="1:18">
      <c r="A113" s="90" t="s">
        <v>207</v>
      </c>
      <c r="B113" s="90" t="s">
        <v>1444</v>
      </c>
      <c r="C113" s="90" t="str">
        <f t="shared" si="1"/>
        <v>AtqasukHealth Care - Nursing/Residential Care</v>
      </c>
      <c r="D113" s="90">
        <v>1</v>
      </c>
      <c r="E113" s="90">
        <v>4400</v>
      </c>
      <c r="F113" s="90">
        <v>2456.3978980743072</v>
      </c>
      <c r="G113" s="90">
        <v>0</v>
      </c>
      <c r="H113" s="90">
        <v>8415.0757350000003</v>
      </c>
      <c r="I113" s="90">
        <v>0</v>
      </c>
      <c r="J113" s="90">
        <v>0</v>
      </c>
      <c r="K113" s="90">
        <v>0</v>
      </c>
      <c r="L113" s="90">
        <v>1817.7344445749873</v>
      </c>
      <c r="M113" s="90">
        <v>0</v>
      </c>
      <c r="N113" s="90">
        <v>6227.1560439000004</v>
      </c>
      <c r="O113" s="90">
        <v>0</v>
      </c>
      <c r="P113" s="90">
        <v>0</v>
      </c>
      <c r="Q113" s="90">
        <v>0</v>
      </c>
      <c r="R113" s="90">
        <v>30800</v>
      </c>
    </row>
    <row r="114" spans="1:18">
      <c r="A114" s="90" t="s">
        <v>207</v>
      </c>
      <c r="B114" s="90" t="s">
        <v>665</v>
      </c>
      <c r="C114" s="90" t="str">
        <f t="shared" si="1"/>
        <v>AtqasukOffice</v>
      </c>
      <c r="D114" s="90">
        <v>5</v>
      </c>
      <c r="E114" s="90">
        <v>7792</v>
      </c>
      <c r="F114" s="90">
        <v>8907.2018404570772</v>
      </c>
      <c r="G114" s="90">
        <v>0</v>
      </c>
      <c r="H114" s="90">
        <v>42295.223115016517</v>
      </c>
      <c r="I114" s="90">
        <v>0</v>
      </c>
      <c r="J114" s="90">
        <v>0</v>
      </c>
      <c r="K114" s="90">
        <v>0</v>
      </c>
      <c r="L114" s="90">
        <v>6591.3293619382375</v>
      </c>
      <c r="M114" s="90">
        <v>0</v>
      </c>
      <c r="N114" s="90">
        <v>31298.465105112216</v>
      </c>
      <c r="O114" s="90">
        <v>0</v>
      </c>
      <c r="P114" s="90">
        <v>0</v>
      </c>
      <c r="Q114" s="90">
        <v>0</v>
      </c>
      <c r="R114" s="90">
        <v>54544</v>
      </c>
    </row>
    <row r="115" spans="1:18">
      <c r="A115" s="90" t="s">
        <v>207</v>
      </c>
      <c r="B115" s="90" t="s">
        <v>643</v>
      </c>
      <c r="C115" s="90" t="str">
        <f t="shared" si="1"/>
        <v>AtqasukOther</v>
      </c>
      <c r="D115" s="90">
        <v>4</v>
      </c>
      <c r="E115" s="90">
        <v>24907.920454545456</v>
      </c>
      <c r="F115" s="90">
        <v>23077.62835900006</v>
      </c>
      <c r="G115" s="90">
        <v>4947.826086956522</v>
      </c>
      <c r="H115" s="90">
        <v>237473.09002524579</v>
      </c>
      <c r="I115" s="90">
        <v>0</v>
      </c>
      <c r="J115" s="90">
        <v>0</v>
      </c>
      <c r="K115" s="90">
        <v>0</v>
      </c>
      <c r="L115" s="90">
        <v>17077.444985660044</v>
      </c>
      <c r="M115" s="90">
        <v>3661.391304347826</v>
      </c>
      <c r="N115" s="90">
        <v>175730.08661868187</v>
      </c>
      <c r="O115" s="90">
        <v>0</v>
      </c>
      <c r="P115" s="90">
        <v>0</v>
      </c>
      <c r="Q115" s="90">
        <v>0</v>
      </c>
      <c r="R115" s="90">
        <v>174355.44318181818</v>
      </c>
    </row>
    <row r="116" spans="1:18">
      <c r="A116" s="90" t="s">
        <v>207</v>
      </c>
      <c r="B116" s="90" t="s">
        <v>1227</v>
      </c>
      <c r="C116" s="90" t="str">
        <f t="shared" si="1"/>
        <v>AtqasukPublic Assembly</v>
      </c>
      <c r="D116" s="90">
        <v>1</v>
      </c>
      <c r="E116" s="90">
        <v>3136.7211538461538</v>
      </c>
      <c r="F116" s="90">
        <v>1957.1809414995873</v>
      </c>
      <c r="G116" s="90">
        <v>0</v>
      </c>
      <c r="H116" s="90">
        <v>11799.515613395884</v>
      </c>
      <c r="I116" s="90">
        <v>0</v>
      </c>
      <c r="J116" s="90">
        <v>0</v>
      </c>
      <c r="K116" s="90">
        <v>0</v>
      </c>
      <c r="L116" s="90">
        <v>1448.3138967096945</v>
      </c>
      <c r="M116" s="90">
        <v>0</v>
      </c>
      <c r="N116" s="90">
        <v>8731.6415539129539</v>
      </c>
      <c r="O116" s="90">
        <v>0</v>
      </c>
      <c r="P116" s="90">
        <v>0</v>
      </c>
      <c r="Q116" s="90">
        <v>0</v>
      </c>
      <c r="R116" s="90">
        <v>21957.048076923078</v>
      </c>
    </row>
    <row r="117" spans="1:18">
      <c r="A117" s="90" t="s">
        <v>207</v>
      </c>
      <c r="B117" s="90" t="s">
        <v>1475</v>
      </c>
      <c r="C117" s="90" t="str">
        <f t="shared" si="1"/>
        <v>AtqasukPublic Safety</v>
      </c>
      <c r="D117" s="90">
        <v>4</v>
      </c>
      <c r="E117" s="90">
        <v>12447.475</v>
      </c>
      <c r="F117" s="90">
        <v>11927.397408877172</v>
      </c>
      <c r="G117" s="90">
        <v>1815.9420289855072</v>
      </c>
      <c r="H117" s="90">
        <v>155655.14418033333</v>
      </c>
      <c r="I117" s="90">
        <v>0</v>
      </c>
      <c r="J117" s="90">
        <v>0</v>
      </c>
      <c r="K117" s="90">
        <v>0</v>
      </c>
      <c r="L117" s="90">
        <v>8826.2740825691071</v>
      </c>
      <c r="M117" s="90">
        <v>1343.7971014492753</v>
      </c>
      <c r="N117" s="90">
        <v>115184.80669344666</v>
      </c>
      <c r="O117" s="90">
        <v>0</v>
      </c>
      <c r="P117" s="90">
        <v>0</v>
      </c>
      <c r="Q117" s="90">
        <v>0</v>
      </c>
      <c r="R117" s="90">
        <v>87132.324999999997</v>
      </c>
    </row>
    <row r="118" spans="1:18">
      <c r="A118" s="90" t="s">
        <v>207</v>
      </c>
      <c r="B118" s="90" t="s">
        <v>1442</v>
      </c>
      <c r="C118" s="90" t="str">
        <f t="shared" si="1"/>
        <v>AtqasukResidential - Multi-Family</v>
      </c>
      <c r="D118" s="90">
        <v>2</v>
      </c>
      <c r="E118" s="90">
        <v>6552</v>
      </c>
      <c r="F118" s="90">
        <v>4950.1843620437958</v>
      </c>
      <c r="G118" s="90">
        <v>0</v>
      </c>
      <c r="H118" s="90">
        <v>44718.402461999998</v>
      </c>
      <c r="I118" s="90">
        <v>0</v>
      </c>
      <c r="J118" s="90">
        <v>0</v>
      </c>
      <c r="K118" s="90">
        <v>0</v>
      </c>
      <c r="L118" s="90">
        <v>3663.1364279124091</v>
      </c>
      <c r="M118" s="90">
        <v>0</v>
      </c>
      <c r="N118" s="90">
        <v>33091.617821879998</v>
      </c>
      <c r="O118" s="90">
        <v>0</v>
      </c>
      <c r="P118" s="90">
        <v>0</v>
      </c>
      <c r="Q118" s="90">
        <v>0</v>
      </c>
      <c r="R118" s="90">
        <v>45864</v>
      </c>
    </row>
    <row r="119" spans="1:18">
      <c r="A119" s="90" t="s">
        <v>207</v>
      </c>
      <c r="B119" s="90" t="s">
        <v>1485</v>
      </c>
      <c r="C119" s="90" t="str">
        <f t="shared" si="1"/>
        <v>AtqasukRetail - Other</v>
      </c>
      <c r="D119" s="90">
        <v>1</v>
      </c>
      <c r="E119" s="90">
        <v>2105.2800000000002</v>
      </c>
      <c r="F119" s="90">
        <v>2225.7819714285715</v>
      </c>
      <c r="G119" s="90">
        <v>0</v>
      </c>
      <c r="H119" s="90">
        <v>49590.373216004155</v>
      </c>
      <c r="I119" s="90">
        <v>0</v>
      </c>
      <c r="J119" s="90">
        <v>0</v>
      </c>
      <c r="K119" s="90">
        <v>0</v>
      </c>
      <c r="L119" s="90">
        <v>1647.078658857143</v>
      </c>
      <c r="M119" s="90">
        <v>0</v>
      </c>
      <c r="N119" s="90">
        <v>36696.876179843071</v>
      </c>
      <c r="O119" s="90">
        <v>0</v>
      </c>
      <c r="P119" s="90">
        <v>0</v>
      </c>
      <c r="Q119" s="90">
        <v>0</v>
      </c>
      <c r="R119" s="90">
        <v>14736.960000000001</v>
      </c>
    </row>
    <row r="120" spans="1:18">
      <c r="A120" s="90" t="s">
        <v>207</v>
      </c>
      <c r="B120" s="90" t="s">
        <v>951</v>
      </c>
      <c r="C120" s="90" t="str">
        <f t="shared" si="1"/>
        <v>AtqasukWarehousing</v>
      </c>
      <c r="D120" s="90">
        <v>2</v>
      </c>
      <c r="E120" s="90">
        <v>8759</v>
      </c>
      <c r="F120" s="90">
        <v>10979.672832173013</v>
      </c>
      <c r="G120" s="90">
        <v>0</v>
      </c>
      <c r="H120" s="90">
        <v>69164.612720000005</v>
      </c>
      <c r="I120" s="90">
        <v>0</v>
      </c>
      <c r="J120" s="90">
        <v>0</v>
      </c>
      <c r="K120" s="90">
        <v>0</v>
      </c>
      <c r="L120" s="90">
        <v>8124.9578958080292</v>
      </c>
      <c r="M120" s="90">
        <v>0</v>
      </c>
      <c r="N120" s="90">
        <v>51181.813412800009</v>
      </c>
      <c r="O120" s="90">
        <v>0</v>
      </c>
      <c r="P120" s="90">
        <v>0</v>
      </c>
      <c r="Q120" s="90">
        <v>0</v>
      </c>
      <c r="R120" s="90">
        <v>61313</v>
      </c>
    </row>
    <row r="121" spans="1:18">
      <c r="A121" s="90" t="s">
        <v>1486</v>
      </c>
      <c r="B121" s="90" t="s">
        <v>643</v>
      </c>
      <c r="C121" s="90" t="str">
        <f t="shared" si="1"/>
        <v>Attu StationOther</v>
      </c>
      <c r="D121" s="90">
        <v>1</v>
      </c>
      <c r="E121" s="90">
        <v>2163.9204545454545</v>
      </c>
      <c r="F121" s="90">
        <v>1871.5127967727569</v>
      </c>
      <c r="G121" s="90">
        <v>0</v>
      </c>
      <c r="H121" s="90">
        <v>15748.986486464588</v>
      </c>
      <c r="I121" s="90">
        <v>0</v>
      </c>
      <c r="J121" s="90">
        <v>0</v>
      </c>
      <c r="K121" s="90">
        <v>0</v>
      </c>
      <c r="L121" s="90">
        <v>1384.9194696118402</v>
      </c>
      <c r="M121" s="90">
        <v>0</v>
      </c>
      <c r="N121" s="90">
        <v>11654.249999983795</v>
      </c>
      <c r="O121" s="90">
        <v>0</v>
      </c>
      <c r="P121" s="90">
        <v>0</v>
      </c>
      <c r="Q121" s="90">
        <v>0</v>
      </c>
      <c r="R121" s="90">
        <v>15147.443181818182</v>
      </c>
    </row>
    <row r="122" spans="1:18">
      <c r="A122" s="90" t="s">
        <v>978</v>
      </c>
      <c r="B122" s="90" t="s">
        <v>1439</v>
      </c>
      <c r="C122" s="90" t="str">
        <f t="shared" si="1"/>
        <v>BarrowEducation - K - 12</v>
      </c>
      <c r="D122" s="90">
        <v>1</v>
      </c>
      <c r="E122" s="90">
        <v>433780</v>
      </c>
      <c r="F122" s="90">
        <v>573274.13285271823</v>
      </c>
      <c r="G122" s="90">
        <v>0</v>
      </c>
      <c r="H122" s="90">
        <v>3778006.36068718</v>
      </c>
      <c r="I122" s="90">
        <v>0</v>
      </c>
      <c r="J122" s="90">
        <v>0</v>
      </c>
      <c r="K122" s="90">
        <v>0</v>
      </c>
      <c r="L122" s="90">
        <v>424222.85831101151</v>
      </c>
      <c r="M122" s="90">
        <v>0</v>
      </c>
      <c r="N122" s="90">
        <v>2795724.7069085133</v>
      </c>
      <c r="O122" s="90">
        <v>0</v>
      </c>
      <c r="P122" s="90">
        <v>0</v>
      </c>
      <c r="Q122" s="90">
        <v>0</v>
      </c>
      <c r="R122" s="90">
        <v>3036460</v>
      </c>
    </row>
    <row r="123" spans="1:18">
      <c r="A123" s="90" t="s">
        <v>978</v>
      </c>
      <c r="B123" s="90" t="s">
        <v>1469</v>
      </c>
      <c r="C123" s="90" t="str">
        <f t="shared" si="1"/>
        <v>BarrowFood Service and Drinking Places</v>
      </c>
      <c r="D123" s="90">
        <v>1</v>
      </c>
      <c r="E123" s="90">
        <v>6848</v>
      </c>
      <c r="F123" s="90">
        <v>7514.0802422262286</v>
      </c>
      <c r="G123" s="90">
        <v>0</v>
      </c>
      <c r="H123" s="90">
        <v>43110.387990000003</v>
      </c>
      <c r="I123" s="90">
        <v>5108.25</v>
      </c>
      <c r="J123" s="90">
        <v>0</v>
      </c>
      <c r="K123" s="90">
        <v>0</v>
      </c>
      <c r="L123" s="90">
        <v>5560.4193792474089</v>
      </c>
      <c r="M123" s="90">
        <v>0</v>
      </c>
      <c r="N123" s="90">
        <v>31901.687112600001</v>
      </c>
      <c r="O123" s="90">
        <v>3780.105</v>
      </c>
      <c r="P123" s="90">
        <v>0</v>
      </c>
      <c r="Q123" s="90">
        <v>0</v>
      </c>
      <c r="R123" s="90">
        <v>47936</v>
      </c>
    </row>
    <row r="124" spans="1:18">
      <c r="A124" s="90" t="s">
        <v>978</v>
      </c>
      <c r="B124" s="90" t="s">
        <v>1440</v>
      </c>
      <c r="C124" s="90" t="str">
        <f t="shared" si="1"/>
        <v>BarrowHealth Care - Hospitals</v>
      </c>
      <c r="D124" s="90">
        <v>1</v>
      </c>
      <c r="E124" s="90">
        <v>1824</v>
      </c>
      <c r="F124" s="90">
        <v>1180.9625222351715</v>
      </c>
      <c r="G124" s="90">
        <v>0</v>
      </c>
      <c r="H124" s="90">
        <v>7600.0683999999992</v>
      </c>
      <c r="I124" s="90">
        <v>3624.04</v>
      </c>
      <c r="J124" s="90">
        <v>0</v>
      </c>
      <c r="K124" s="90">
        <v>0</v>
      </c>
      <c r="L124" s="90">
        <v>873.91226645402685</v>
      </c>
      <c r="M124" s="90">
        <v>0</v>
      </c>
      <c r="N124" s="90">
        <v>5624.0506159999995</v>
      </c>
      <c r="O124" s="90">
        <v>2681.7896000000001</v>
      </c>
      <c r="P124" s="90">
        <v>0</v>
      </c>
      <c r="Q124" s="90">
        <v>0</v>
      </c>
      <c r="R124" s="90">
        <v>12768</v>
      </c>
    </row>
    <row r="125" spans="1:18">
      <c r="A125" s="90" t="s">
        <v>978</v>
      </c>
      <c r="B125" s="90" t="s">
        <v>1444</v>
      </c>
      <c r="C125" s="90" t="str">
        <f t="shared" si="1"/>
        <v>BarrowHealth Care - Nursing/Residential Care</v>
      </c>
      <c r="D125" s="90">
        <v>1</v>
      </c>
      <c r="E125" s="90">
        <v>2828</v>
      </c>
      <c r="F125" s="90">
        <v>2417.327621255075</v>
      </c>
      <c r="G125" s="90">
        <v>0</v>
      </c>
      <c r="H125" s="90">
        <v>49480.445319999992</v>
      </c>
      <c r="I125" s="90">
        <v>7660.66</v>
      </c>
      <c r="J125" s="90">
        <v>0</v>
      </c>
      <c r="K125" s="90">
        <v>0</v>
      </c>
      <c r="L125" s="90">
        <v>1788.8224397287554</v>
      </c>
      <c r="M125" s="90">
        <v>0</v>
      </c>
      <c r="N125" s="90">
        <v>36615.529536799993</v>
      </c>
      <c r="O125" s="90">
        <v>5668.8883999999998</v>
      </c>
      <c r="P125" s="90">
        <v>0</v>
      </c>
      <c r="Q125" s="90">
        <v>0</v>
      </c>
      <c r="R125" s="90">
        <v>19796</v>
      </c>
    </row>
    <row r="126" spans="1:18">
      <c r="A126" s="90" t="s">
        <v>978</v>
      </c>
      <c r="B126" s="90" t="s">
        <v>665</v>
      </c>
      <c r="C126" s="90" t="str">
        <f t="shared" si="1"/>
        <v>BarrowOffice</v>
      </c>
      <c r="D126" s="90">
        <v>6</v>
      </c>
      <c r="E126" s="90">
        <v>125479</v>
      </c>
      <c r="F126" s="90">
        <v>56577.111225946057</v>
      </c>
      <c r="G126" s="90">
        <v>0</v>
      </c>
      <c r="H126" s="90">
        <v>1416666.9987162501</v>
      </c>
      <c r="I126" s="90">
        <v>264328.29499999998</v>
      </c>
      <c r="J126" s="90">
        <v>0</v>
      </c>
      <c r="K126" s="90">
        <v>0</v>
      </c>
      <c r="L126" s="90">
        <v>41867.062307200082</v>
      </c>
      <c r="M126" s="90">
        <v>0</v>
      </c>
      <c r="N126" s="90">
        <v>1048333.579050025</v>
      </c>
      <c r="O126" s="90">
        <v>195602.93829999998</v>
      </c>
      <c r="P126" s="90">
        <v>0</v>
      </c>
      <c r="Q126" s="90">
        <v>0</v>
      </c>
      <c r="R126" s="90">
        <v>878353</v>
      </c>
    </row>
    <row r="127" spans="1:18">
      <c r="A127" s="90" t="s">
        <v>978</v>
      </c>
      <c r="B127" s="90" t="s">
        <v>643</v>
      </c>
      <c r="C127" s="90" t="str">
        <f t="shared" si="1"/>
        <v>BarrowOther</v>
      </c>
      <c r="D127" s="90">
        <v>13</v>
      </c>
      <c r="E127" s="90">
        <v>164713</v>
      </c>
      <c r="F127" s="90">
        <v>95673.9864544062</v>
      </c>
      <c r="G127" s="90">
        <v>0</v>
      </c>
      <c r="H127" s="90">
        <v>1894721.3523324211</v>
      </c>
      <c r="I127" s="90">
        <v>490149.28666666668</v>
      </c>
      <c r="J127" s="90">
        <v>0</v>
      </c>
      <c r="K127" s="90">
        <v>0</v>
      </c>
      <c r="L127" s="90">
        <v>70798.749976260602</v>
      </c>
      <c r="M127" s="90">
        <v>0</v>
      </c>
      <c r="N127" s="90">
        <v>1402093.8007259914</v>
      </c>
      <c r="O127" s="90">
        <v>362710.47213333333</v>
      </c>
      <c r="P127" s="90">
        <v>0</v>
      </c>
      <c r="Q127" s="90">
        <v>0</v>
      </c>
      <c r="R127" s="90">
        <v>1152991</v>
      </c>
    </row>
    <row r="128" spans="1:18">
      <c r="A128" s="90" t="s">
        <v>978</v>
      </c>
      <c r="B128" s="90" t="s">
        <v>1227</v>
      </c>
      <c r="C128" s="90" t="str">
        <f t="shared" si="1"/>
        <v>BarrowPublic Assembly</v>
      </c>
      <c r="D128" s="90">
        <v>2</v>
      </c>
      <c r="E128" s="90">
        <v>9774</v>
      </c>
      <c r="F128" s="90">
        <v>11009.243696125221</v>
      </c>
      <c r="G128" s="90">
        <v>0</v>
      </c>
      <c r="H128" s="90">
        <v>131894.52037333333</v>
      </c>
      <c r="I128" s="90">
        <v>17845.8</v>
      </c>
      <c r="J128" s="90">
        <v>0</v>
      </c>
      <c r="K128" s="90">
        <v>0</v>
      </c>
      <c r="L128" s="90">
        <v>8146.8403351326615</v>
      </c>
      <c r="M128" s="90">
        <v>0</v>
      </c>
      <c r="N128" s="90">
        <v>97601.945076266653</v>
      </c>
      <c r="O128" s="90">
        <v>13205.892</v>
      </c>
      <c r="P128" s="90">
        <v>0</v>
      </c>
      <c r="Q128" s="90">
        <v>0</v>
      </c>
      <c r="R128" s="90">
        <v>68418</v>
      </c>
    </row>
    <row r="129" spans="1:18">
      <c r="A129" s="90" t="s">
        <v>978</v>
      </c>
      <c r="B129" s="90" t="s">
        <v>1475</v>
      </c>
      <c r="C129" s="90" t="str">
        <f t="shared" si="1"/>
        <v>BarrowPublic Safety</v>
      </c>
      <c r="D129" s="90">
        <v>7</v>
      </c>
      <c r="E129" s="90">
        <v>65617</v>
      </c>
      <c r="F129" s="90">
        <v>34767.771675963697</v>
      </c>
      <c r="G129" s="90">
        <v>0</v>
      </c>
      <c r="H129" s="90">
        <v>863516.77158099995</v>
      </c>
      <c r="I129" s="90">
        <v>81341.47</v>
      </c>
      <c r="J129" s="90">
        <v>0</v>
      </c>
      <c r="K129" s="90">
        <v>0</v>
      </c>
      <c r="L129" s="90">
        <v>25728.151040213139</v>
      </c>
      <c r="M129" s="90">
        <v>0</v>
      </c>
      <c r="N129" s="90">
        <v>639002.41096994001</v>
      </c>
      <c r="O129" s="90">
        <v>60192.687799999992</v>
      </c>
      <c r="P129" s="90">
        <v>0</v>
      </c>
      <c r="Q129" s="90">
        <v>0</v>
      </c>
      <c r="R129" s="90">
        <v>459319</v>
      </c>
    </row>
    <row r="130" spans="1:18">
      <c r="A130" s="90" t="s">
        <v>978</v>
      </c>
      <c r="B130" s="90" t="s">
        <v>1442</v>
      </c>
      <c r="C130" s="90" t="str">
        <f t="shared" si="1"/>
        <v>BarrowResidential - Multi-Family</v>
      </c>
      <c r="D130" s="90">
        <v>1</v>
      </c>
      <c r="E130" s="90">
        <v>10368</v>
      </c>
      <c r="F130" s="90">
        <v>6333.722321340194</v>
      </c>
      <c r="G130" s="90">
        <v>0</v>
      </c>
      <c r="H130" s="90">
        <v>73141.658268999992</v>
      </c>
      <c r="I130" s="90">
        <v>22346.45</v>
      </c>
      <c r="J130" s="90">
        <v>0</v>
      </c>
      <c r="K130" s="90">
        <v>0</v>
      </c>
      <c r="L130" s="90">
        <v>4686.9545177917435</v>
      </c>
      <c r="M130" s="90">
        <v>0</v>
      </c>
      <c r="N130" s="90">
        <v>54124.827119059992</v>
      </c>
      <c r="O130" s="90">
        <v>16536.373</v>
      </c>
      <c r="P130" s="90">
        <v>0</v>
      </c>
      <c r="Q130" s="90">
        <v>0</v>
      </c>
      <c r="R130" s="90">
        <v>72576</v>
      </c>
    </row>
    <row r="131" spans="1:18">
      <c r="A131" s="90" t="s">
        <v>978</v>
      </c>
      <c r="B131" s="90" t="s">
        <v>951</v>
      </c>
      <c r="C131" s="90" t="str">
        <f t="shared" ref="C131:C194" si="2">CONCATENATE(A131,B131)</f>
        <v>BarrowWarehousing</v>
      </c>
      <c r="D131" s="90">
        <v>3</v>
      </c>
      <c r="E131" s="90">
        <v>17660.580645161292</v>
      </c>
      <c r="F131" s="90">
        <v>26480.485493955071</v>
      </c>
      <c r="G131" s="90">
        <v>0</v>
      </c>
      <c r="H131" s="90">
        <v>109892.98844199999</v>
      </c>
      <c r="I131" s="90">
        <v>28275.939999999995</v>
      </c>
      <c r="J131" s="90">
        <v>0</v>
      </c>
      <c r="K131" s="90">
        <v>0</v>
      </c>
      <c r="L131" s="90">
        <v>19595.559265526754</v>
      </c>
      <c r="M131" s="90">
        <v>0</v>
      </c>
      <c r="N131" s="90">
        <v>81320.811447079992</v>
      </c>
      <c r="O131" s="90">
        <v>20924.195599999999</v>
      </c>
      <c r="P131" s="90">
        <v>0</v>
      </c>
      <c r="Q131" s="90">
        <v>0</v>
      </c>
      <c r="R131" s="90">
        <v>123624.06451612903</v>
      </c>
    </row>
    <row r="132" spans="1:18">
      <c r="A132" s="90" t="s">
        <v>119</v>
      </c>
      <c r="B132" s="90" t="s">
        <v>1439</v>
      </c>
      <c r="C132" s="90" t="str">
        <f t="shared" si="2"/>
        <v>BeaverEducation - K - 12</v>
      </c>
      <c r="D132" s="90">
        <v>1</v>
      </c>
      <c r="E132" s="90">
        <v>10130</v>
      </c>
      <c r="F132" s="90">
        <v>23654</v>
      </c>
      <c r="G132" s="90">
        <v>0</v>
      </c>
      <c r="H132" s="90">
        <v>65941</v>
      </c>
      <c r="I132" s="90">
        <v>0</v>
      </c>
      <c r="J132" s="90">
        <v>0</v>
      </c>
      <c r="K132" s="90">
        <v>0</v>
      </c>
      <c r="L132" s="90">
        <v>17503.96</v>
      </c>
      <c r="M132" s="90">
        <v>0</v>
      </c>
      <c r="N132" s="90">
        <v>48796.34</v>
      </c>
      <c r="O132" s="90">
        <v>0</v>
      </c>
      <c r="P132" s="90">
        <v>0</v>
      </c>
      <c r="Q132" s="90">
        <v>0</v>
      </c>
      <c r="R132" s="90">
        <v>70910</v>
      </c>
    </row>
    <row r="133" spans="1:18">
      <c r="A133" s="90" t="s">
        <v>119</v>
      </c>
      <c r="B133" s="90" t="s">
        <v>1440</v>
      </c>
      <c r="C133" s="90" t="str">
        <f t="shared" si="2"/>
        <v>BeaverHealth Care - Hospitals</v>
      </c>
      <c r="D133" s="90">
        <v>2</v>
      </c>
      <c r="E133" s="90">
        <v>6440</v>
      </c>
      <c r="F133" s="90">
        <v>4488.5082876312408</v>
      </c>
      <c r="G133" s="90">
        <v>0</v>
      </c>
      <c r="H133" s="90">
        <v>48444.457574048392</v>
      </c>
      <c r="I133" s="90">
        <v>0</v>
      </c>
      <c r="J133" s="90">
        <v>0</v>
      </c>
      <c r="K133" s="90">
        <v>0</v>
      </c>
      <c r="L133" s="90">
        <v>3321.4961328471177</v>
      </c>
      <c r="M133" s="90">
        <v>0</v>
      </c>
      <c r="N133" s="90">
        <v>35848.89860479581</v>
      </c>
      <c r="O133" s="90">
        <v>0</v>
      </c>
      <c r="P133" s="90">
        <v>0</v>
      </c>
      <c r="Q133" s="90">
        <v>0</v>
      </c>
      <c r="R133" s="90">
        <v>45080</v>
      </c>
    </row>
    <row r="134" spans="1:18">
      <c r="A134" s="90" t="s">
        <v>119</v>
      </c>
      <c r="B134" s="90" t="s">
        <v>643</v>
      </c>
      <c r="C134" s="90" t="str">
        <f t="shared" si="2"/>
        <v>BeaverOther</v>
      </c>
      <c r="D134" s="90">
        <v>4</v>
      </c>
      <c r="E134" s="90">
        <v>3976</v>
      </c>
      <c r="F134" s="90">
        <v>3438.72847282251</v>
      </c>
      <c r="G134" s="90">
        <v>0</v>
      </c>
      <c r="H134" s="90">
        <v>34689.824273464154</v>
      </c>
      <c r="I134" s="90">
        <v>0</v>
      </c>
      <c r="J134" s="90">
        <v>0</v>
      </c>
      <c r="K134" s="90">
        <v>0</v>
      </c>
      <c r="L134" s="90">
        <v>2544.6590698886575</v>
      </c>
      <c r="M134" s="90">
        <v>0</v>
      </c>
      <c r="N134" s="90">
        <v>25670.46996236347</v>
      </c>
      <c r="O134" s="90">
        <v>0</v>
      </c>
      <c r="P134" s="90">
        <v>0</v>
      </c>
      <c r="Q134" s="90">
        <v>0</v>
      </c>
      <c r="R134" s="90">
        <v>27832</v>
      </c>
    </row>
    <row r="135" spans="1:18">
      <c r="A135" s="90" t="s">
        <v>119</v>
      </c>
      <c r="B135" s="90" t="s">
        <v>1227</v>
      </c>
      <c r="C135" s="90" t="str">
        <f t="shared" si="2"/>
        <v>BeaverPublic Assembly</v>
      </c>
      <c r="D135" s="90">
        <v>1</v>
      </c>
      <c r="E135" s="90">
        <v>500</v>
      </c>
      <c r="F135" s="90">
        <v>694</v>
      </c>
      <c r="G135" s="90">
        <v>0</v>
      </c>
      <c r="H135" s="90">
        <v>1880.8677970828985</v>
      </c>
      <c r="I135" s="90">
        <v>0</v>
      </c>
      <c r="J135" s="90">
        <v>0</v>
      </c>
      <c r="K135" s="90">
        <v>0</v>
      </c>
      <c r="L135" s="90">
        <v>513.55999999999995</v>
      </c>
      <c r="M135" s="90">
        <v>0</v>
      </c>
      <c r="N135" s="90">
        <v>1391.8421698413449</v>
      </c>
      <c r="O135" s="90">
        <v>0</v>
      </c>
      <c r="P135" s="90">
        <v>0</v>
      </c>
      <c r="Q135" s="90">
        <v>0</v>
      </c>
      <c r="R135" s="90">
        <v>3500</v>
      </c>
    </row>
    <row r="136" spans="1:18">
      <c r="A136" s="90" t="s">
        <v>119</v>
      </c>
      <c r="B136" s="90" t="s">
        <v>951</v>
      </c>
      <c r="C136" s="90" t="str">
        <f t="shared" si="2"/>
        <v>BeaverWarehousing</v>
      </c>
      <c r="D136" s="90">
        <v>2</v>
      </c>
      <c r="E136" s="90">
        <v>2480</v>
      </c>
      <c r="F136" s="90">
        <v>3108.7554085842075</v>
      </c>
      <c r="G136" s="90">
        <v>0</v>
      </c>
      <c r="H136" s="90">
        <v>29425.568990006657</v>
      </c>
      <c r="I136" s="90">
        <v>0</v>
      </c>
      <c r="J136" s="90">
        <v>0</v>
      </c>
      <c r="K136" s="90">
        <v>0</v>
      </c>
      <c r="L136" s="90">
        <v>2300.4790023523133</v>
      </c>
      <c r="M136" s="90">
        <v>0</v>
      </c>
      <c r="N136" s="90">
        <v>21774.921052604928</v>
      </c>
      <c r="O136" s="90">
        <v>0</v>
      </c>
      <c r="P136" s="90">
        <v>0</v>
      </c>
      <c r="Q136" s="90">
        <v>0</v>
      </c>
      <c r="R136" s="90">
        <v>17360</v>
      </c>
    </row>
    <row r="137" spans="1:18">
      <c r="A137" s="90" t="s">
        <v>1487</v>
      </c>
      <c r="B137" s="90" t="s">
        <v>1447</v>
      </c>
      <c r="C137" s="90" t="str">
        <f t="shared" si="2"/>
        <v>BelugaAccomodation Services</v>
      </c>
      <c r="D137" s="90">
        <v>2</v>
      </c>
      <c r="E137" s="90" t="e">
        <v>#N/A</v>
      </c>
      <c r="F137" s="90" t="e">
        <v>#N/A</v>
      </c>
      <c r="G137" s="90">
        <v>0</v>
      </c>
      <c r="H137" s="90" t="e">
        <v>#N/A</v>
      </c>
      <c r="I137" s="90">
        <v>0</v>
      </c>
      <c r="J137" s="90">
        <v>0</v>
      </c>
      <c r="K137" s="90">
        <v>0</v>
      </c>
      <c r="L137" s="90" t="e">
        <v>#N/A</v>
      </c>
      <c r="M137" s="90">
        <v>0</v>
      </c>
      <c r="N137" s="90" t="e">
        <v>#N/A</v>
      </c>
      <c r="O137" s="90">
        <v>0</v>
      </c>
      <c r="P137" s="90">
        <v>0</v>
      </c>
      <c r="Q137" s="90">
        <v>0</v>
      </c>
      <c r="R137" s="90" t="e">
        <v>#N/A</v>
      </c>
    </row>
    <row r="138" spans="1:18" s="46" customFormat="1">
      <c r="A138" s="90" t="s">
        <v>1487</v>
      </c>
      <c r="B138" s="90" t="s">
        <v>1469</v>
      </c>
      <c r="C138" s="90" t="str">
        <f t="shared" si="2"/>
        <v>BelugaFood Service and Drinking Places</v>
      </c>
      <c r="D138" s="90">
        <v>1</v>
      </c>
      <c r="E138" s="90" t="e">
        <v>#N/A</v>
      </c>
      <c r="F138" s="90" t="e">
        <v>#N/A</v>
      </c>
      <c r="G138" s="90">
        <v>0</v>
      </c>
      <c r="H138" s="90" t="e">
        <v>#N/A</v>
      </c>
      <c r="I138" s="90">
        <v>0</v>
      </c>
      <c r="J138" s="90">
        <v>0</v>
      </c>
      <c r="K138" s="90">
        <v>0</v>
      </c>
      <c r="L138" s="90" t="e">
        <v>#N/A</v>
      </c>
      <c r="M138" s="90">
        <v>0</v>
      </c>
      <c r="N138" s="90" t="e">
        <v>#N/A</v>
      </c>
      <c r="O138" s="90">
        <v>0</v>
      </c>
      <c r="P138" s="90">
        <v>0</v>
      </c>
      <c r="Q138" s="90">
        <v>0</v>
      </c>
      <c r="R138" s="90" t="e">
        <v>#N/A</v>
      </c>
    </row>
    <row r="139" spans="1:18" s="46" customFormat="1">
      <c r="A139" s="90" t="s">
        <v>1487</v>
      </c>
      <c r="B139" s="90" t="s">
        <v>1485</v>
      </c>
      <c r="C139" s="90" t="str">
        <f t="shared" si="2"/>
        <v>BelugaRetail - Other</v>
      </c>
      <c r="D139" s="90">
        <v>1</v>
      </c>
      <c r="E139" s="90" t="e">
        <v>#N/A</v>
      </c>
      <c r="F139" s="90" t="e">
        <v>#N/A</v>
      </c>
      <c r="G139" s="90">
        <v>0</v>
      </c>
      <c r="H139" s="90" t="e">
        <v>#N/A</v>
      </c>
      <c r="I139" s="90">
        <v>0</v>
      </c>
      <c r="J139" s="90">
        <v>0</v>
      </c>
      <c r="K139" s="90">
        <v>0</v>
      </c>
      <c r="L139" s="90" t="e">
        <v>#N/A</v>
      </c>
      <c r="M139" s="90">
        <v>0</v>
      </c>
      <c r="N139" s="90" t="e">
        <v>#N/A</v>
      </c>
      <c r="O139" s="90">
        <v>0</v>
      </c>
      <c r="P139" s="90">
        <v>0</v>
      </c>
      <c r="Q139" s="90">
        <v>0</v>
      </c>
      <c r="R139" s="90" t="e">
        <v>#N/A</v>
      </c>
    </row>
    <row r="140" spans="1:18" s="46" customFormat="1">
      <c r="A140" s="90" t="s">
        <v>26</v>
      </c>
      <c r="B140" s="90" t="s">
        <v>1447</v>
      </c>
      <c r="C140" s="90" t="str">
        <f t="shared" si="2"/>
        <v>BethelAccomodation Services</v>
      </c>
      <c r="D140" s="90">
        <v>3</v>
      </c>
      <c r="E140" s="90">
        <v>21779</v>
      </c>
      <c r="F140" s="90">
        <v>18048.684580765035</v>
      </c>
      <c r="G140" s="90">
        <v>0</v>
      </c>
      <c r="H140" s="90">
        <v>317280.23157446005</v>
      </c>
      <c r="I140" s="90">
        <v>0</v>
      </c>
      <c r="J140" s="90">
        <v>0</v>
      </c>
      <c r="K140" s="90">
        <v>0</v>
      </c>
      <c r="L140" s="90">
        <v>13356.026589766127</v>
      </c>
      <c r="M140" s="90">
        <v>0</v>
      </c>
      <c r="N140" s="90">
        <v>234787.37136510041</v>
      </c>
      <c r="O140" s="90">
        <v>0</v>
      </c>
      <c r="P140" s="90">
        <v>0</v>
      </c>
      <c r="Q140" s="90">
        <v>0</v>
      </c>
      <c r="R140" s="90">
        <v>152453</v>
      </c>
    </row>
    <row r="141" spans="1:18" s="46" customFormat="1">
      <c r="A141" s="90" t="s">
        <v>26</v>
      </c>
      <c r="B141" s="90" t="s">
        <v>1439</v>
      </c>
      <c r="C141" s="90" t="str">
        <f t="shared" si="2"/>
        <v>BethelEducation - K - 12</v>
      </c>
      <c r="D141" s="90">
        <v>1</v>
      </c>
      <c r="E141" s="90">
        <v>259758</v>
      </c>
      <c r="F141" s="90">
        <v>343290.47489869606</v>
      </c>
      <c r="G141" s="90">
        <v>0</v>
      </c>
      <c r="H141" s="90">
        <v>2262361.9720581411</v>
      </c>
      <c r="I141" s="90">
        <v>0</v>
      </c>
      <c r="J141" s="90">
        <v>0</v>
      </c>
      <c r="K141" s="90">
        <v>0</v>
      </c>
      <c r="L141" s="90">
        <v>254034.95142503508</v>
      </c>
      <c r="M141" s="90">
        <v>0</v>
      </c>
      <c r="N141" s="90">
        <v>1674147.8593230245</v>
      </c>
      <c r="O141" s="90">
        <v>0</v>
      </c>
      <c r="P141" s="90">
        <v>0</v>
      </c>
      <c r="Q141" s="90">
        <v>0</v>
      </c>
      <c r="R141" s="90">
        <v>1818306</v>
      </c>
    </row>
    <row r="142" spans="1:18" s="46" customFormat="1">
      <c r="A142" s="90" t="s">
        <v>26</v>
      </c>
      <c r="B142" s="90" t="s">
        <v>1450</v>
      </c>
      <c r="C142" s="90" t="str">
        <f t="shared" si="2"/>
        <v>BethelEducation - University</v>
      </c>
      <c r="D142" s="90">
        <v>5</v>
      </c>
      <c r="E142" s="90">
        <v>104214.54545454546</v>
      </c>
      <c r="F142" s="90">
        <v>91480.894503806921</v>
      </c>
      <c r="G142" s="90">
        <v>22870.22362595173</v>
      </c>
      <c r="H142" s="90">
        <v>1241855.0914928413</v>
      </c>
      <c r="I142" s="90">
        <v>0</v>
      </c>
      <c r="J142" s="90">
        <v>0</v>
      </c>
      <c r="K142" s="90">
        <v>0</v>
      </c>
      <c r="L142" s="90">
        <v>67695.861932817119</v>
      </c>
      <c r="M142" s="90">
        <v>16923.96548320428</v>
      </c>
      <c r="N142" s="90">
        <v>918972.76770470245</v>
      </c>
      <c r="O142" s="90">
        <v>0</v>
      </c>
      <c r="P142" s="90">
        <v>0</v>
      </c>
      <c r="Q142" s="90">
        <v>0</v>
      </c>
      <c r="R142" s="90">
        <v>729501.81818181823</v>
      </c>
    </row>
    <row r="143" spans="1:18" s="46" customFormat="1">
      <c r="A143" s="90" t="s">
        <v>26</v>
      </c>
      <c r="B143" s="90" t="s">
        <v>1469</v>
      </c>
      <c r="C143" s="90" t="str">
        <f t="shared" si="2"/>
        <v>BethelFood Service and Drinking Places</v>
      </c>
      <c r="D143" s="90">
        <v>11</v>
      </c>
      <c r="E143" s="90">
        <v>87033.529411764714</v>
      </c>
      <c r="F143" s="90">
        <v>95498.966671167684</v>
      </c>
      <c r="G143" s="90">
        <v>0</v>
      </c>
      <c r="H143" s="90">
        <v>1037120.4054018907</v>
      </c>
      <c r="I143" s="90">
        <v>0</v>
      </c>
      <c r="J143" s="90">
        <v>0</v>
      </c>
      <c r="K143" s="90">
        <v>0</v>
      </c>
      <c r="L143" s="90">
        <v>70669.235336664104</v>
      </c>
      <c r="M143" s="90">
        <v>0</v>
      </c>
      <c r="N143" s="90">
        <v>767469.09999739903</v>
      </c>
      <c r="O143" s="90">
        <v>0</v>
      </c>
      <c r="P143" s="90">
        <v>0</v>
      </c>
      <c r="Q143" s="90">
        <v>0</v>
      </c>
      <c r="R143" s="90">
        <v>609234.70588235301</v>
      </c>
    </row>
    <row r="144" spans="1:18">
      <c r="A144" s="90" t="s">
        <v>26</v>
      </c>
      <c r="B144" s="90" t="s">
        <v>1440</v>
      </c>
      <c r="C144" s="90" t="str">
        <f t="shared" si="2"/>
        <v>BethelHealth Care - Hospitals</v>
      </c>
      <c r="D144" s="90">
        <v>10</v>
      </c>
      <c r="E144" s="90">
        <v>398153</v>
      </c>
      <c r="F144" s="90">
        <v>193041.40290130646</v>
      </c>
      <c r="G144" s="90">
        <v>64745.752315524755</v>
      </c>
      <c r="H144" s="90">
        <v>2187637.86949442</v>
      </c>
      <c r="I144" s="90">
        <v>0</v>
      </c>
      <c r="J144" s="90">
        <v>0</v>
      </c>
      <c r="K144" s="90">
        <v>0</v>
      </c>
      <c r="L144" s="90">
        <v>142850.63814696684</v>
      </c>
      <c r="M144" s="90">
        <v>47911.85671348832</v>
      </c>
      <c r="N144" s="90">
        <v>1618852.0234258706</v>
      </c>
      <c r="O144" s="90">
        <v>0</v>
      </c>
      <c r="P144" s="90">
        <v>0</v>
      </c>
      <c r="Q144" s="90">
        <v>0</v>
      </c>
      <c r="R144" s="90">
        <v>2787071</v>
      </c>
    </row>
    <row r="145" spans="1:18">
      <c r="A145" s="90" t="s">
        <v>26</v>
      </c>
      <c r="B145" s="90" t="s">
        <v>665</v>
      </c>
      <c r="C145" s="90" t="str">
        <f t="shared" si="2"/>
        <v>BethelOffice</v>
      </c>
      <c r="D145" s="90">
        <v>21</v>
      </c>
      <c r="E145" s="90">
        <v>292677.00006440684</v>
      </c>
      <c r="F145" s="90">
        <v>143291.15303627748</v>
      </c>
      <c r="G145" s="90">
        <v>6080.6901727372333</v>
      </c>
      <c r="H145" s="90">
        <v>4066596.5940130535</v>
      </c>
      <c r="I145" s="90">
        <v>0</v>
      </c>
      <c r="J145" s="90">
        <v>0</v>
      </c>
      <c r="K145" s="90">
        <v>0</v>
      </c>
      <c r="L145" s="90">
        <v>106035.45324684537</v>
      </c>
      <c r="M145" s="90">
        <v>4499.7107278255526</v>
      </c>
      <c r="N145" s="90">
        <v>3009281.4795696596</v>
      </c>
      <c r="O145" s="90">
        <v>0</v>
      </c>
      <c r="P145" s="90">
        <v>0</v>
      </c>
      <c r="Q145" s="90">
        <v>0</v>
      </c>
      <c r="R145" s="90">
        <v>2048739.0004508463</v>
      </c>
    </row>
    <row r="146" spans="1:18">
      <c r="A146" s="90" t="s">
        <v>26</v>
      </c>
      <c r="B146" s="90" t="s">
        <v>643</v>
      </c>
      <c r="C146" s="90" t="str">
        <f t="shared" si="2"/>
        <v>BethelOther</v>
      </c>
      <c r="D146" s="90">
        <v>164</v>
      </c>
      <c r="E146" s="90">
        <v>1068798.2240259703</v>
      </c>
      <c r="F146" s="90">
        <v>625072.49684420589</v>
      </c>
      <c r="G146" s="90">
        <v>3672.1826636136839</v>
      </c>
      <c r="H146" s="90">
        <v>9857277.0123375859</v>
      </c>
      <c r="I146" s="90">
        <v>0</v>
      </c>
      <c r="J146" s="90">
        <v>0</v>
      </c>
      <c r="K146" s="90">
        <v>0</v>
      </c>
      <c r="L146" s="90">
        <v>462553.6476647096</v>
      </c>
      <c r="M146" s="90">
        <v>2717.4151710741262</v>
      </c>
      <c r="N146" s="90">
        <v>7294384.9891298022</v>
      </c>
      <c r="O146" s="90">
        <v>0</v>
      </c>
      <c r="P146" s="90">
        <v>0</v>
      </c>
      <c r="Q146" s="90">
        <v>0</v>
      </c>
      <c r="R146" s="90">
        <v>7481587.568181837</v>
      </c>
    </row>
    <row r="147" spans="1:18">
      <c r="A147" s="90" t="s">
        <v>26</v>
      </c>
      <c r="B147" s="90" t="s">
        <v>1227</v>
      </c>
      <c r="C147" s="90" t="str">
        <f t="shared" si="2"/>
        <v>BethelPublic Assembly</v>
      </c>
      <c r="D147" s="90">
        <v>24</v>
      </c>
      <c r="E147" s="90">
        <v>293920.5</v>
      </c>
      <c r="F147" s="90">
        <v>331066.34047339589</v>
      </c>
      <c r="G147" s="90">
        <v>0</v>
      </c>
      <c r="H147" s="90">
        <v>4403763.6458413443</v>
      </c>
      <c r="I147" s="90">
        <v>0</v>
      </c>
      <c r="J147" s="90">
        <v>0</v>
      </c>
      <c r="K147" s="90">
        <v>0</v>
      </c>
      <c r="L147" s="90">
        <v>244989.09195031319</v>
      </c>
      <c r="M147" s="90">
        <v>0</v>
      </c>
      <c r="N147" s="90">
        <v>3258785.0979225957</v>
      </c>
      <c r="O147" s="90">
        <v>0</v>
      </c>
      <c r="P147" s="90">
        <v>0</v>
      </c>
      <c r="Q147" s="90">
        <v>0</v>
      </c>
      <c r="R147" s="90">
        <v>2057443.5</v>
      </c>
    </row>
    <row r="148" spans="1:18">
      <c r="A148" s="90" t="s">
        <v>26</v>
      </c>
      <c r="B148" s="90" t="s">
        <v>1475</v>
      </c>
      <c r="C148" s="90" t="str">
        <f t="shared" si="2"/>
        <v>BethelPublic Safety</v>
      </c>
      <c r="D148" s="90">
        <v>9</v>
      </c>
      <c r="E148" s="90">
        <v>109292.66666666667</v>
      </c>
      <c r="F148" s="90">
        <v>51873.569739416569</v>
      </c>
      <c r="G148" s="90">
        <v>6036.1561018117018</v>
      </c>
      <c r="H148" s="90">
        <v>2746315.8008491052</v>
      </c>
      <c r="I148" s="90">
        <v>0</v>
      </c>
      <c r="J148" s="90">
        <v>0</v>
      </c>
      <c r="K148" s="90">
        <v>0</v>
      </c>
      <c r="L148" s="90">
        <v>38386.441607168257</v>
      </c>
      <c r="M148" s="90">
        <v>4466.7555153406593</v>
      </c>
      <c r="N148" s="90">
        <v>2032273.6926283375</v>
      </c>
      <c r="O148" s="90">
        <v>0</v>
      </c>
      <c r="P148" s="90">
        <v>0</v>
      </c>
      <c r="Q148" s="90">
        <v>0</v>
      </c>
      <c r="R148" s="90">
        <v>765048.66666666663</v>
      </c>
    </row>
    <row r="149" spans="1:18">
      <c r="A149" s="90" t="s">
        <v>26</v>
      </c>
      <c r="B149" s="90" t="s">
        <v>1442</v>
      </c>
      <c r="C149" s="90" t="str">
        <f t="shared" si="2"/>
        <v>BethelResidential - Multi-Family</v>
      </c>
      <c r="D149" s="90">
        <v>5</v>
      </c>
      <c r="E149" s="90">
        <v>33333.153846153844</v>
      </c>
      <c r="F149" s="90">
        <v>19623.294658571242</v>
      </c>
      <c r="G149" s="90">
        <v>0</v>
      </c>
      <c r="H149" s="90">
        <v>366922.11968604941</v>
      </c>
      <c r="I149" s="90">
        <v>0</v>
      </c>
      <c r="J149" s="90">
        <v>0</v>
      </c>
      <c r="K149" s="90">
        <v>0</v>
      </c>
      <c r="L149" s="90">
        <v>14521.238047342722</v>
      </c>
      <c r="M149" s="90">
        <v>0</v>
      </c>
      <c r="N149" s="90">
        <v>271522.36856767657</v>
      </c>
      <c r="O149" s="90">
        <v>0</v>
      </c>
      <c r="P149" s="90">
        <v>0</v>
      </c>
      <c r="Q149" s="90">
        <v>0</v>
      </c>
      <c r="R149" s="90">
        <v>233332.07692307694</v>
      </c>
    </row>
    <row r="150" spans="1:18">
      <c r="A150" s="90" t="s">
        <v>26</v>
      </c>
      <c r="B150" s="90" t="s">
        <v>1485</v>
      </c>
      <c r="C150" s="90" t="str">
        <f t="shared" si="2"/>
        <v>BethelRetail - Other</v>
      </c>
      <c r="D150" s="90">
        <v>3</v>
      </c>
      <c r="E150" s="90">
        <v>38341.5</v>
      </c>
      <c r="F150" s="90">
        <v>12873.775202300716</v>
      </c>
      <c r="G150" s="90">
        <v>0</v>
      </c>
      <c r="H150" s="90">
        <v>164826.060853031</v>
      </c>
      <c r="I150" s="90">
        <v>0</v>
      </c>
      <c r="J150" s="90">
        <v>0</v>
      </c>
      <c r="K150" s="90">
        <v>0</v>
      </c>
      <c r="L150" s="90">
        <v>9526.5936497025305</v>
      </c>
      <c r="M150" s="90">
        <v>0</v>
      </c>
      <c r="N150" s="90">
        <v>121971.28503124294</v>
      </c>
      <c r="O150" s="90">
        <v>0</v>
      </c>
      <c r="P150" s="90">
        <v>0</v>
      </c>
      <c r="Q150" s="90">
        <v>0</v>
      </c>
      <c r="R150" s="90">
        <v>268390.5</v>
      </c>
    </row>
    <row r="151" spans="1:18">
      <c r="A151" s="90" t="s">
        <v>26</v>
      </c>
      <c r="B151" s="90" t="s">
        <v>951</v>
      </c>
      <c r="C151" s="90" t="str">
        <f t="shared" si="2"/>
        <v>BethelWarehousing</v>
      </c>
      <c r="D151" s="90">
        <v>2</v>
      </c>
      <c r="E151" s="90">
        <v>8152</v>
      </c>
      <c r="F151" s="90">
        <v>6291.8568619233911</v>
      </c>
      <c r="G151" s="90">
        <v>0</v>
      </c>
      <c r="H151" s="90">
        <v>6043.9543951000005</v>
      </c>
      <c r="I151" s="90">
        <v>0</v>
      </c>
      <c r="J151" s="90">
        <v>0</v>
      </c>
      <c r="K151" s="90">
        <v>0</v>
      </c>
      <c r="L151" s="90">
        <v>4655.9740778233099</v>
      </c>
      <c r="M151" s="90">
        <v>0</v>
      </c>
      <c r="N151" s="90">
        <v>4472.5262523740003</v>
      </c>
      <c r="O151" s="90">
        <v>0</v>
      </c>
      <c r="P151" s="90">
        <v>0</v>
      </c>
      <c r="Q151" s="90">
        <v>0</v>
      </c>
      <c r="R151" s="90">
        <v>57064</v>
      </c>
    </row>
    <row r="152" spans="1:18">
      <c r="A152" s="90" t="s">
        <v>979</v>
      </c>
      <c r="B152" s="90" t="s">
        <v>1447</v>
      </c>
      <c r="C152" s="90" t="str">
        <f t="shared" si="2"/>
        <v>BettlesAccomodation Services</v>
      </c>
      <c r="D152" s="90">
        <v>1</v>
      </c>
      <c r="E152" s="90">
        <v>4770.8148148148148</v>
      </c>
      <c r="F152" s="90">
        <v>2988.4980540000279</v>
      </c>
      <c r="G152" s="90">
        <v>0</v>
      </c>
      <c r="H152" s="90">
        <v>35003.910702682631</v>
      </c>
      <c r="I152" s="90">
        <v>0</v>
      </c>
      <c r="J152" s="90">
        <v>0</v>
      </c>
      <c r="K152" s="90">
        <v>0</v>
      </c>
      <c r="L152" s="90">
        <v>2211.4885599600207</v>
      </c>
      <c r="M152" s="90">
        <v>0</v>
      </c>
      <c r="N152" s="90">
        <v>25902.893919985148</v>
      </c>
      <c r="O152" s="90">
        <v>0</v>
      </c>
      <c r="P152" s="90">
        <v>0</v>
      </c>
      <c r="Q152" s="90">
        <v>0</v>
      </c>
      <c r="R152" s="90">
        <v>33395.703703703701</v>
      </c>
    </row>
    <row r="153" spans="1:18">
      <c r="A153" s="90" t="s">
        <v>979</v>
      </c>
      <c r="B153" s="90" t="s">
        <v>665</v>
      </c>
      <c r="C153" s="90" t="str">
        <f t="shared" si="2"/>
        <v>BettlesOffice</v>
      </c>
      <c r="D153" s="90">
        <v>1</v>
      </c>
      <c r="E153" s="90">
        <v>893</v>
      </c>
      <c r="F153" s="90">
        <v>1188.2823279572117</v>
      </c>
      <c r="G153" s="90">
        <v>0</v>
      </c>
      <c r="H153" s="90">
        <v>1188</v>
      </c>
      <c r="I153" s="90">
        <v>0</v>
      </c>
      <c r="J153" s="90">
        <v>0</v>
      </c>
      <c r="K153" s="90">
        <v>0</v>
      </c>
      <c r="L153" s="90">
        <v>879.32892268833666</v>
      </c>
      <c r="M153" s="90">
        <v>0</v>
      </c>
      <c r="N153" s="90">
        <v>879.12</v>
      </c>
      <c r="O153" s="90">
        <v>0</v>
      </c>
      <c r="P153" s="90">
        <v>0</v>
      </c>
      <c r="Q153" s="90">
        <v>0</v>
      </c>
      <c r="R153" s="90">
        <v>6251</v>
      </c>
    </row>
    <row r="154" spans="1:18">
      <c r="A154" s="90" t="s">
        <v>979</v>
      </c>
      <c r="B154" s="90" t="s">
        <v>643</v>
      </c>
      <c r="C154" s="90" t="str">
        <f t="shared" si="2"/>
        <v>BettlesOther</v>
      </c>
      <c r="D154" s="90">
        <v>3</v>
      </c>
      <c r="E154" s="90">
        <v>4423.840909090909</v>
      </c>
      <c r="F154" s="90">
        <v>3826.0532427887133</v>
      </c>
      <c r="G154" s="90">
        <v>0</v>
      </c>
      <c r="H154" s="90">
        <v>32196.659793659921</v>
      </c>
      <c r="I154" s="90">
        <v>0</v>
      </c>
      <c r="J154" s="90">
        <v>0</v>
      </c>
      <c r="K154" s="90">
        <v>0</v>
      </c>
      <c r="L154" s="90">
        <v>2831.2793996636483</v>
      </c>
      <c r="M154" s="90">
        <v>0</v>
      </c>
      <c r="N154" s="90">
        <v>23825.528247308343</v>
      </c>
      <c r="O154" s="90">
        <v>0</v>
      </c>
      <c r="P154" s="90">
        <v>0</v>
      </c>
      <c r="Q154" s="90">
        <v>0</v>
      </c>
      <c r="R154" s="90">
        <v>30966.886363636364</v>
      </c>
    </row>
    <row r="155" spans="1:18">
      <c r="A155" s="90" t="s">
        <v>979</v>
      </c>
      <c r="B155" s="90" t="s">
        <v>1227</v>
      </c>
      <c r="C155" s="90" t="str">
        <f t="shared" si="2"/>
        <v>BettlesPublic Assembly</v>
      </c>
      <c r="D155" s="90">
        <v>1</v>
      </c>
      <c r="E155" s="90">
        <v>2925</v>
      </c>
      <c r="F155" s="90">
        <v>1400</v>
      </c>
      <c r="G155" s="90">
        <v>0</v>
      </c>
      <c r="H155" s="90">
        <v>7200</v>
      </c>
      <c r="I155" s="90">
        <v>0</v>
      </c>
      <c r="J155" s="90">
        <v>0</v>
      </c>
      <c r="K155" s="90">
        <v>0</v>
      </c>
      <c r="L155" s="90">
        <v>1036</v>
      </c>
      <c r="M155" s="90">
        <v>0</v>
      </c>
      <c r="N155" s="90">
        <v>5328</v>
      </c>
      <c r="O155" s="90">
        <v>0</v>
      </c>
      <c r="P155" s="90">
        <v>0</v>
      </c>
      <c r="Q155" s="90">
        <v>0</v>
      </c>
      <c r="R155" s="90">
        <v>20475</v>
      </c>
    </row>
    <row r="156" spans="1:18">
      <c r="A156" s="90" t="s">
        <v>399</v>
      </c>
      <c r="B156" s="90" t="s">
        <v>643</v>
      </c>
      <c r="C156" s="90" t="str">
        <f t="shared" si="2"/>
        <v>Birch CreekOther</v>
      </c>
      <c r="D156" s="90">
        <v>3</v>
      </c>
      <c r="E156" s="90">
        <v>4423.840909090909</v>
      </c>
      <c r="F156" s="90">
        <v>3826.0532427887133</v>
      </c>
      <c r="G156" s="90">
        <v>0</v>
      </c>
      <c r="H156" s="90">
        <v>32196.659793659921</v>
      </c>
      <c r="I156" s="90">
        <v>0</v>
      </c>
      <c r="J156" s="90">
        <v>0</v>
      </c>
      <c r="K156" s="90">
        <v>0</v>
      </c>
      <c r="L156" s="90">
        <v>2831.2793996636483</v>
      </c>
      <c r="M156" s="90">
        <v>0</v>
      </c>
      <c r="N156" s="90">
        <v>23825.528247308343</v>
      </c>
      <c r="O156" s="90">
        <v>0</v>
      </c>
      <c r="P156" s="90">
        <v>0</v>
      </c>
      <c r="Q156" s="90">
        <v>0</v>
      </c>
      <c r="R156" s="90">
        <v>30966.886363636364</v>
      </c>
    </row>
    <row r="157" spans="1:18">
      <c r="A157" s="90" t="s">
        <v>399</v>
      </c>
      <c r="B157" s="90" t="s">
        <v>951</v>
      </c>
      <c r="C157" s="90" t="str">
        <f t="shared" si="2"/>
        <v>Birch CreekWarehousing</v>
      </c>
      <c r="D157" s="90">
        <v>1</v>
      </c>
      <c r="E157" s="90">
        <v>1600</v>
      </c>
      <c r="F157" s="90">
        <v>2005.6486506994886</v>
      </c>
      <c r="G157" s="90">
        <v>0</v>
      </c>
      <c r="H157" s="90">
        <v>18984.238058068811</v>
      </c>
      <c r="I157" s="90">
        <v>0</v>
      </c>
      <c r="J157" s="90">
        <v>0</v>
      </c>
      <c r="K157" s="90">
        <v>0</v>
      </c>
      <c r="L157" s="90">
        <v>1484.1800015176216</v>
      </c>
      <c r="M157" s="90">
        <v>0</v>
      </c>
      <c r="N157" s="90">
        <v>14048.33616297092</v>
      </c>
      <c r="O157" s="90">
        <v>0</v>
      </c>
      <c r="P157" s="90">
        <v>0</v>
      </c>
      <c r="Q157" s="90">
        <v>0</v>
      </c>
      <c r="R157" s="90">
        <v>11200</v>
      </c>
    </row>
    <row r="158" spans="1:18">
      <c r="A158" s="90" t="s">
        <v>72</v>
      </c>
      <c r="B158" s="90" t="s">
        <v>1439</v>
      </c>
      <c r="C158" s="90" t="str">
        <f t="shared" si="2"/>
        <v>Brevig MissionEducation - K - 12</v>
      </c>
      <c r="D158" s="90">
        <v>3</v>
      </c>
      <c r="E158" s="90">
        <v>27472</v>
      </c>
      <c r="F158" s="90">
        <v>37031.180248347206</v>
      </c>
      <c r="G158" s="90">
        <v>0</v>
      </c>
      <c r="H158" s="90">
        <v>247042.61265454468</v>
      </c>
      <c r="I158" s="90">
        <v>0</v>
      </c>
      <c r="J158" s="90">
        <v>0</v>
      </c>
      <c r="K158" s="90">
        <v>0</v>
      </c>
      <c r="L158" s="90">
        <v>27403.073383776926</v>
      </c>
      <c r="M158" s="90">
        <v>0</v>
      </c>
      <c r="N158" s="90">
        <v>182811.53336436307</v>
      </c>
      <c r="O158" s="90">
        <v>0</v>
      </c>
      <c r="P158" s="90">
        <v>0</v>
      </c>
      <c r="Q158" s="90">
        <v>0</v>
      </c>
      <c r="R158" s="90">
        <v>192304</v>
      </c>
    </row>
    <row r="159" spans="1:18">
      <c r="A159" s="90" t="s">
        <v>72</v>
      </c>
      <c r="B159" s="90" t="s">
        <v>1440</v>
      </c>
      <c r="C159" s="90" t="str">
        <f t="shared" si="2"/>
        <v>Brevig MissionHealth Care - Hospitals</v>
      </c>
      <c r="D159" s="90">
        <v>1</v>
      </c>
      <c r="E159" s="90">
        <v>3905.5925000000002</v>
      </c>
      <c r="F159" s="90">
        <v>4236</v>
      </c>
      <c r="G159" s="90">
        <v>0</v>
      </c>
      <c r="H159" s="90">
        <v>34430.972059887106</v>
      </c>
      <c r="I159" s="90">
        <v>0</v>
      </c>
      <c r="J159" s="90">
        <v>0</v>
      </c>
      <c r="K159" s="90">
        <v>0</v>
      </c>
      <c r="L159" s="90">
        <v>3134.64</v>
      </c>
      <c r="M159" s="90">
        <v>0</v>
      </c>
      <c r="N159" s="90">
        <v>25478.919324316459</v>
      </c>
      <c r="O159" s="90">
        <v>0</v>
      </c>
      <c r="P159" s="90">
        <v>0</v>
      </c>
      <c r="Q159" s="90">
        <v>0</v>
      </c>
      <c r="R159" s="90">
        <v>27339.147500000003</v>
      </c>
    </row>
    <row r="160" spans="1:18">
      <c r="A160" s="90" t="s">
        <v>72</v>
      </c>
      <c r="B160" s="90" t="s">
        <v>643</v>
      </c>
      <c r="C160" s="90" t="str">
        <f t="shared" si="2"/>
        <v>Brevig MissionOther</v>
      </c>
      <c r="D160" s="90">
        <v>7</v>
      </c>
      <c r="E160" s="90">
        <v>18818.763358778626</v>
      </c>
      <c r="F160" s="90">
        <v>15890.212882069141</v>
      </c>
      <c r="G160" s="90">
        <v>0</v>
      </c>
      <c r="H160" s="90">
        <v>147296.45713188511</v>
      </c>
      <c r="I160" s="90">
        <v>0</v>
      </c>
      <c r="J160" s="90">
        <v>0</v>
      </c>
      <c r="K160" s="90">
        <v>0</v>
      </c>
      <c r="L160" s="90">
        <v>11758.757532731164</v>
      </c>
      <c r="M160" s="90">
        <v>0</v>
      </c>
      <c r="N160" s="90">
        <v>108999.37827759498</v>
      </c>
      <c r="O160" s="90">
        <v>0</v>
      </c>
      <c r="P160" s="90">
        <v>0</v>
      </c>
      <c r="Q160" s="90">
        <v>0</v>
      </c>
      <c r="R160" s="90">
        <v>131731.3435114504</v>
      </c>
    </row>
    <row r="161" spans="1:18">
      <c r="A161" s="90" t="s">
        <v>72</v>
      </c>
      <c r="B161" s="90" t="s">
        <v>1227</v>
      </c>
      <c r="C161" s="90" t="str">
        <f t="shared" si="2"/>
        <v>Brevig MissionPublic Assembly</v>
      </c>
      <c r="D161" s="90">
        <v>5</v>
      </c>
      <c r="E161" s="90">
        <v>17511.692134831461</v>
      </c>
      <c r="F161" s="90">
        <v>12573.521706818572</v>
      </c>
      <c r="G161" s="90">
        <v>0</v>
      </c>
      <c r="H161" s="90">
        <v>65214.533549199761</v>
      </c>
      <c r="I161" s="90">
        <v>0</v>
      </c>
      <c r="J161" s="90">
        <v>0</v>
      </c>
      <c r="K161" s="90">
        <v>0</v>
      </c>
      <c r="L161" s="90">
        <v>9304.4060630457425</v>
      </c>
      <c r="M161" s="90">
        <v>0</v>
      </c>
      <c r="N161" s="90">
        <v>48258.754826407814</v>
      </c>
      <c r="O161" s="90">
        <v>0</v>
      </c>
      <c r="P161" s="90">
        <v>0</v>
      </c>
      <c r="Q161" s="90">
        <v>0</v>
      </c>
      <c r="R161" s="90">
        <v>122581.84494382021</v>
      </c>
    </row>
    <row r="162" spans="1:18">
      <c r="A162" s="90" t="s">
        <v>72</v>
      </c>
      <c r="B162" s="90" t="s">
        <v>1475</v>
      </c>
      <c r="C162" s="90" t="str">
        <f t="shared" si="2"/>
        <v>Brevig MissionPublic Safety</v>
      </c>
      <c r="D162" s="90">
        <v>1</v>
      </c>
      <c r="E162" s="90">
        <v>2697.4089393939394</v>
      </c>
      <c r="F162" s="90">
        <v>990</v>
      </c>
      <c r="G162" s="90">
        <v>0</v>
      </c>
      <c r="H162" s="90">
        <v>22307.792908055355</v>
      </c>
      <c r="I162" s="90">
        <v>0</v>
      </c>
      <c r="J162" s="90">
        <v>0</v>
      </c>
      <c r="K162" s="90">
        <v>0</v>
      </c>
      <c r="L162" s="90">
        <v>732.6</v>
      </c>
      <c r="M162" s="90">
        <v>0</v>
      </c>
      <c r="N162" s="90">
        <v>16507.766751960964</v>
      </c>
      <c r="O162" s="90">
        <v>0</v>
      </c>
      <c r="P162" s="90">
        <v>0</v>
      </c>
      <c r="Q162" s="90">
        <v>0</v>
      </c>
      <c r="R162" s="90">
        <v>18881.862575757576</v>
      </c>
    </row>
    <row r="163" spans="1:18">
      <c r="A163" s="90" t="s">
        <v>72</v>
      </c>
      <c r="B163" s="90" t="s">
        <v>1485</v>
      </c>
      <c r="C163" s="90" t="str">
        <f t="shared" si="2"/>
        <v>Brevig MissionRetail - Other</v>
      </c>
      <c r="D163" s="90">
        <v>2</v>
      </c>
      <c r="E163" s="90">
        <v>10026.365853658535</v>
      </c>
      <c r="F163" s="90">
        <v>15225.351575516059</v>
      </c>
      <c r="G163" s="90">
        <v>0</v>
      </c>
      <c r="H163" s="90">
        <v>265619.89915167599</v>
      </c>
      <c r="I163" s="90">
        <v>0</v>
      </c>
      <c r="J163" s="90">
        <v>0</v>
      </c>
      <c r="K163" s="90">
        <v>0</v>
      </c>
      <c r="L163" s="90">
        <v>11266.760165881882</v>
      </c>
      <c r="M163" s="90">
        <v>0</v>
      </c>
      <c r="N163" s="90">
        <v>196558.72537224024</v>
      </c>
      <c r="O163" s="90">
        <v>0</v>
      </c>
      <c r="P163" s="90">
        <v>0</v>
      </c>
      <c r="Q163" s="90">
        <v>0</v>
      </c>
      <c r="R163" s="90">
        <v>70184.560975609755</v>
      </c>
    </row>
    <row r="164" spans="1:18">
      <c r="A164" s="90" t="s">
        <v>72</v>
      </c>
      <c r="B164" s="90" t="s">
        <v>951</v>
      </c>
      <c r="C164" s="90" t="str">
        <f t="shared" si="2"/>
        <v>Brevig MissionWarehousing</v>
      </c>
      <c r="D164" s="90">
        <v>4</v>
      </c>
      <c r="E164" s="90">
        <v>3955</v>
      </c>
      <c r="F164" s="90">
        <v>6902.6356902071684</v>
      </c>
      <c r="G164" s="90">
        <v>0</v>
      </c>
      <c r="H164" s="90">
        <v>181213.0258389822</v>
      </c>
      <c r="I164" s="90">
        <v>0</v>
      </c>
      <c r="J164" s="90">
        <v>0</v>
      </c>
      <c r="K164" s="90">
        <v>0</v>
      </c>
      <c r="L164" s="90">
        <v>5107.9504107533039</v>
      </c>
      <c r="M164" s="90">
        <v>0</v>
      </c>
      <c r="N164" s="90">
        <v>134097.63912084681</v>
      </c>
      <c r="O164" s="90">
        <v>0</v>
      </c>
      <c r="P164" s="90">
        <v>0</v>
      </c>
      <c r="Q164" s="90">
        <v>0</v>
      </c>
      <c r="R164" s="90">
        <v>27685</v>
      </c>
    </row>
    <row r="165" spans="1:18">
      <c r="A165" s="90" t="s">
        <v>41</v>
      </c>
      <c r="B165" s="90" t="s">
        <v>1439</v>
      </c>
      <c r="C165" s="90" t="str">
        <f t="shared" si="2"/>
        <v>BucklandEducation - K - 12</v>
      </c>
      <c r="D165" s="90">
        <v>1</v>
      </c>
      <c r="E165" s="90">
        <v>48225</v>
      </c>
      <c r="F165" s="90">
        <v>65473.927007299273</v>
      </c>
      <c r="G165" s="90">
        <v>0</v>
      </c>
      <c r="H165" s="90">
        <v>336986.03284699999</v>
      </c>
      <c r="I165" s="90">
        <v>0</v>
      </c>
      <c r="J165" s="90">
        <v>0</v>
      </c>
      <c r="K165" s="90">
        <v>0</v>
      </c>
      <c r="L165" s="90">
        <v>48450.705985401459</v>
      </c>
      <c r="M165" s="90">
        <v>0</v>
      </c>
      <c r="N165" s="90">
        <v>249369.66430678</v>
      </c>
      <c r="O165" s="90">
        <v>0</v>
      </c>
      <c r="P165" s="90">
        <v>0</v>
      </c>
      <c r="Q165" s="90">
        <v>0</v>
      </c>
      <c r="R165" s="90">
        <v>337575</v>
      </c>
    </row>
    <row r="166" spans="1:18">
      <c r="A166" s="90" t="s">
        <v>41</v>
      </c>
      <c r="B166" s="90" t="s">
        <v>1440</v>
      </c>
      <c r="C166" s="90" t="str">
        <f t="shared" si="2"/>
        <v>BucklandHealth Care - Hospitals</v>
      </c>
      <c r="D166" s="90">
        <v>1</v>
      </c>
      <c r="E166" s="90">
        <v>5000</v>
      </c>
      <c r="F166" s="90">
        <v>4000</v>
      </c>
      <c r="G166" s="90">
        <v>0</v>
      </c>
      <c r="H166" s="90">
        <v>24000</v>
      </c>
      <c r="I166" s="90">
        <v>0</v>
      </c>
      <c r="J166" s="90">
        <v>0</v>
      </c>
      <c r="K166" s="90">
        <v>0</v>
      </c>
      <c r="L166" s="90">
        <v>2960</v>
      </c>
      <c r="M166" s="90">
        <v>0</v>
      </c>
      <c r="N166" s="90">
        <v>17760</v>
      </c>
      <c r="O166" s="90">
        <v>0</v>
      </c>
      <c r="P166" s="90">
        <v>0</v>
      </c>
      <c r="Q166" s="90">
        <v>0</v>
      </c>
      <c r="R166" s="90">
        <v>35000</v>
      </c>
    </row>
    <row r="167" spans="1:18">
      <c r="A167" s="90" t="s">
        <v>41</v>
      </c>
      <c r="B167" s="90" t="s">
        <v>665</v>
      </c>
      <c r="C167" s="90" t="str">
        <f t="shared" si="2"/>
        <v>BucklandOffice</v>
      </c>
      <c r="D167" s="90">
        <v>3</v>
      </c>
      <c r="E167" s="90">
        <v>4845.169064748201</v>
      </c>
      <c r="F167" s="90">
        <v>4312.7606412594769</v>
      </c>
      <c r="G167" s="90">
        <v>0</v>
      </c>
      <c r="H167" s="90">
        <v>27489.83400496226</v>
      </c>
      <c r="I167" s="90">
        <v>0</v>
      </c>
      <c r="J167" s="90">
        <v>0</v>
      </c>
      <c r="K167" s="90">
        <v>0</v>
      </c>
      <c r="L167" s="90">
        <v>3191.4428745320129</v>
      </c>
      <c r="M167" s="90">
        <v>0</v>
      </c>
      <c r="N167" s="90">
        <v>20342.477163672072</v>
      </c>
      <c r="O167" s="90">
        <v>0</v>
      </c>
      <c r="P167" s="90">
        <v>0</v>
      </c>
      <c r="Q167" s="90">
        <v>0</v>
      </c>
      <c r="R167" s="90">
        <v>33916.183453237405</v>
      </c>
    </row>
    <row r="168" spans="1:18">
      <c r="A168" s="90" t="s">
        <v>41</v>
      </c>
      <c r="B168" s="90" t="s">
        <v>643</v>
      </c>
      <c r="C168" s="90" t="str">
        <f t="shared" si="2"/>
        <v>BucklandOther</v>
      </c>
      <c r="D168" s="90">
        <v>3</v>
      </c>
      <c r="E168" s="90">
        <v>7546</v>
      </c>
      <c r="F168" s="90">
        <v>8020.0003353116535</v>
      </c>
      <c r="G168" s="90">
        <v>0</v>
      </c>
      <c r="H168" s="90">
        <v>56014.284409501743</v>
      </c>
      <c r="I168" s="90">
        <v>0</v>
      </c>
      <c r="J168" s="90">
        <v>0</v>
      </c>
      <c r="K168" s="90">
        <v>0</v>
      </c>
      <c r="L168" s="90">
        <v>5934.800248130623</v>
      </c>
      <c r="M168" s="90">
        <v>0</v>
      </c>
      <c r="N168" s="90">
        <v>41450.57046303129</v>
      </c>
      <c r="O168" s="90">
        <v>0</v>
      </c>
      <c r="P168" s="90">
        <v>0</v>
      </c>
      <c r="Q168" s="90">
        <v>0</v>
      </c>
      <c r="R168" s="90">
        <v>52822</v>
      </c>
    </row>
    <row r="169" spans="1:18">
      <c r="A169" s="90" t="s">
        <v>41</v>
      </c>
      <c r="B169" s="90" t="s">
        <v>1227</v>
      </c>
      <c r="C169" s="90" t="str">
        <f t="shared" si="2"/>
        <v>BucklandPublic Assembly</v>
      </c>
      <c r="D169" s="90">
        <v>2</v>
      </c>
      <c r="E169" s="90">
        <v>9426.5640449438197</v>
      </c>
      <c r="F169" s="90">
        <v>3369.8473081123934</v>
      </c>
      <c r="G169" s="90">
        <v>0</v>
      </c>
      <c r="H169" s="90">
        <v>43709.332850079765</v>
      </c>
      <c r="I169" s="90">
        <v>0</v>
      </c>
      <c r="J169" s="90">
        <v>0</v>
      </c>
      <c r="K169" s="90">
        <v>0</v>
      </c>
      <c r="L169" s="90">
        <v>2493.6870080031713</v>
      </c>
      <c r="M169" s="90">
        <v>0</v>
      </c>
      <c r="N169" s="90">
        <v>32344.906309059028</v>
      </c>
      <c r="O169" s="90">
        <v>0</v>
      </c>
      <c r="P169" s="90">
        <v>0</v>
      </c>
      <c r="Q169" s="90">
        <v>0</v>
      </c>
      <c r="R169" s="90">
        <v>65985.948314606736</v>
      </c>
    </row>
    <row r="170" spans="1:18">
      <c r="A170" s="90" t="s">
        <v>41</v>
      </c>
      <c r="B170" s="90" t="s">
        <v>1485</v>
      </c>
      <c r="C170" s="90" t="str">
        <f t="shared" si="2"/>
        <v>BucklandRetail - Other</v>
      </c>
      <c r="D170" s="90">
        <v>1</v>
      </c>
      <c r="E170" s="90">
        <v>6276.3658536585363</v>
      </c>
      <c r="F170" s="90">
        <v>10425.351575516059</v>
      </c>
      <c r="G170" s="90">
        <v>0</v>
      </c>
      <c r="H170" s="90">
        <v>153131.89915167599</v>
      </c>
      <c r="I170" s="90">
        <v>0</v>
      </c>
      <c r="J170" s="90">
        <v>0</v>
      </c>
      <c r="K170" s="90">
        <v>0</v>
      </c>
      <c r="L170" s="90">
        <v>7714.760165881883</v>
      </c>
      <c r="M170" s="90">
        <v>0</v>
      </c>
      <c r="N170" s="90">
        <v>113317.60537224023</v>
      </c>
      <c r="O170" s="90">
        <v>0</v>
      </c>
      <c r="P170" s="90">
        <v>0</v>
      </c>
      <c r="Q170" s="90">
        <v>0</v>
      </c>
      <c r="R170" s="90">
        <v>43934.560975609755</v>
      </c>
    </row>
    <row r="171" spans="1:18">
      <c r="A171" s="90" t="s">
        <v>41</v>
      </c>
      <c r="B171" s="90" t="s">
        <v>951</v>
      </c>
      <c r="C171" s="90" t="str">
        <f t="shared" si="2"/>
        <v>BucklandWarehousing</v>
      </c>
      <c r="D171" s="90">
        <v>1</v>
      </c>
      <c r="E171" s="90">
        <v>2000</v>
      </c>
      <c r="F171" s="90">
        <v>963.50364963503648</v>
      </c>
      <c r="G171" s="90">
        <v>0</v>
      </c>
      <c r="H171" s="90">
        <v>6645.0598049999999</v>
      </c>
      <c r="I171" s="90">
        <v>0</v>
      </c>
      <c r="J171" s="90">
        <v>0</v>
      </c>
      <c r="K171" s="90">
        <v>0</v>
      </c>
      <c r="L171" s="90">
        <v>712.99270072992704</v>
      </c>
      <c r="M171" s="90">
        <v>0</v>
      </c>
      <c r="N171" s="90">
        <v>4917.3442556999998</v>
      </c>
      <c r="O171" s="90">
        <v>0</v>
      </c>
      <c r="P171" s="90">
        <v>0</v>
      </c>
      <c r="Q171" s="90">
        <v>0</v>
      </c>
      <c r="R171" s="90">
        <v>14000</v>
      </c>
    </row>
    <row r="172" spans="1:18">
      <c r="A172" s="90" t="s">
        <v>984</v>
      </c>
      <c r="B172" s="90" t="s">
        <v>1439</v>
      </c>
      <c r="C172" s="90" t="str">
        <f t="shared" si="2"/>
        <v>CantwellEducation - K - 12</v>
      </c>
      <c r="D172" s="90">
        <v>1</v>
      </c>
      <c r="E172" s="90">
        <v>17141</v>
      </c>
      <c r="F172" s="90">
        <v>14531.530334585992</v>
      </c>
      <c r="G172" s="90">
        <v>0</v>
      </c>
      <c r="H172" s="90">
        <v>111389.31206329358</v>
      </c>
      <c r="I172" s="90">
        <v>0</v>
      </c>
      <c r="J172" s="90">
        <v>0</v>
      </c>
      <c r="K172" s="90">
        <v>0</v>
      </c>
      <c r="L172" s="90">
        <v>10753.332447593633</v>
      </c>
      <c r="M172" s="90">
        <v>0</v>
      </c>
      <c r="N172" s="90">
        <v>82428.090926837249</v>
      </c>
      <c r="O172" s="90">
        <v>0</v>
      </c>
      <c r="P172" s="90">
        <v>0</v>
      </c>
      <c r="Q172" s="90">
        <v>0</v>
      </c>
      <c r="R172" s="90">
        <v>119987</v>
      </c>
    </row>
    <row r="173" spans="1:18">
      <c r="A173" s="90" t="s">
        <v>984</v>
      </c>
      <c r="B173" s="90" t="s">
        <v>665</v>
      </c>
      <c r="C173" s="90" t="str">
        <f t="shared" si="2"/>
        <v>CantwellOffice</v>
      </c>
      <c r="D173" s="90">
        <v>1</v>
      </c>
      <c r="E173" s="90">
        <v>960</v>
      </c>
      <c r="F173" s="90">
        <v>493</v>
      </c>
      <c r="G173" s="90">
        <v>0</v>
      </c>
      <c r="H173" s="90">
        <v>20461</v>
      </c>
      <c r="I173" s="90">
        <v>0</v>
      </c>
      <c r="J173" s="90">
        <v>0</v>
      </c>
      <c r="K173" s="90">
        <v>0</v>
      </c>
      <c r="L173" s="90">
        <v>364.82</v>
      </c>
      <c r="M173" s="90">
        <v>0</v>
      </c>
      <c r="N173" s="90">
        <v>15141.14</v>
      </c>
      <c r="O173" s="90">
        <v>0</v>
      </c>
      <c r="P173" s="90">
        <v>0</v>
      </c>
      <c r="Q173" s="90">
        <v>0</v>
      </c>
      <c r="R173" s="90">
        <v>6720</v>
      </c>
    </row>
    <row r="174" spans="1:18">
      <c r="A174" s="90" t="s">
        <v>984</v>
      </c>
      <c r="B174" s="90" t="s">
        <v>643</v>
      </c>
      <c r="C174" s="90" t="str">
        <f t="shared" si="2"/>
        <v>CantwellOther</v>
      </c>
      <c r="D174" s="90">
        <v>5</v>
      </c>
      <c r="E174" s="90">
        <v>12265.920454545454</v>
      </c>
      <c r="F174" s="90">
        <v>10608.44313692693</v>
      </c>
      <c r="G174" s="90">
        <v>0</v>
      </c>
      <c r="H174" s="90">
        <v>89271.218392944022</v>
      </c>
      <c r="I174" s="90">
        <v>0</v>
      </c>
      <c r="J174" s="90">
        <v>0</v>
      </c>
      <c r="K174" s="90">
        <v>0</v>
      </c>
      <c r="L174" s="90">
        <v>7850.2479213259285</v>
      </c>
      <c r="M174" s="90">
        <v>0</v>
      </c>
      <c r="N174" s="90">
        <v>66060.701610778575</v>
      </c>
      <c r="O174" s="90">
        <v>0</v>
      </c>
      <c r="P174" s="90">
        <v>0</v>
      </c>
      <c r="Q174" s="90">
        <v>0</v>
      </c>
      <c r="R174" s="90">
        <v>85861.443181818177</v>
      </c>
    </row>
    <row r="175" spans="1:18">
      <c r="A175" s="90" t="s">
        <v>984</v>
      </c>
      <c r="B175" s="90" t="s">
        <v>1227</v>
      </c>
      <c r="C175" s="90" t="str">
        <f t="shared" si="2"/>
        <v>CantwellPublic Assembly</v>
      </c>
      <c r="D175" s="90">
        <v>1</v>
      </c>
      <c r="E175" s="90">
        <v>2400</v>
      </c>
      <c r="F175" s="90">
        <v>1497.4981929265218</v>
      </c>
      <c r="G175" s="90">
        <v>0</v>
      </c>
      <c r="H175" s="90">
        <v>18825</v>
      </c>
      <c r="I175" s="90">
        <v>0</v>
      </c>
      <c r="J175" s="90">
        <v>0</v>
      </c>
      <c r="K175" s="90">
        <v>0</v>
      </c>
      <c r="L175" s="90">
        <v>1108.1486627656261</v>
      </c>
      <c r="M175" s="90">
        <v>0</v>
      </c>
      <c r="N175" s="90">
        <v>13930.5</v>
      </c>
      <c r="O175" s="90">
        <v>0</v>
      </c>
      <c r="P175" s="90">
        <v>0</v>
      </c>
      <c r="Q175" s="90">
        <v>0</v>
      </c>
      <c r="R175" s="90">
        <v>16800</v>
      </c>
    </row>
    <row r="176" spans="1:18">
      <c r="A176" s="90" t="s">
        <v>984</v>
      </c>
      <c r="B176" s="90" t="s">
        <v>951</v>
      </c>
      <c r="C176" s="90" t="str">
        <f t="shared" si="2"/>
        <v>CantwellWarehousing</v>
      </c>
      <c r="D176" s="90">
        <v>2</v>
      </c>
      <c r="E176" s="90">
        <v>1648</v>
      </c>
      <c r="F176" s="90">
        <v>2065.8181102204735</v>
      </c>
      <c r="G176" s="90">
        <v>0</v>
      </c>
      <c r="H176" s="90">
        <v>19553.765199810878</v>
      </c>
      <c r="I176" s="90">
        <v>0</v>
      </c>
      <c r="J176" s="90">
        <v>0</v>
      </c>
      <c r="K176" s="90">
        <v>0</v>
      </c>
      <c r="L176" s="90">
        <v>1528.7054015631502</v>
      </c>
      <c r="M176" s="90">
        <v>0</v>
      </c>
      <c r="N176" s="90">
        <v>14469.786247860047</v>
      </c>
      <c r="O176" s="90">
        <v>0</v>
      </c>
      <c r="P176" s="90">
        <v>0</v>
      </c>
      <c r="Q176" s="90">
        <v>0</v>
      </c>
      <c r="R176" s="90">
        <v>11536</v>
      </c>
    </row>
    <row r="177" spans="1:18">
      <c r="A177" s="90" t="s">
        <v>123</v>
      </c>
      <c r="B177" s="90" t="s">
        <v>1447</v>
      </c>
      <c r="C177" s="90" t="str">
        <f t="shared" si="2"/>
        <v>CentralAccomodation Services</v>
      </c>
      <c r="D177" s="90">
        <v>1</v>
      </c>
      <c r="E177" s="90">
        <v>360</v>
      </c>
      <c r="F177" s="90">
        <v>225.50850141974561</v>
      </c>
      <c r="G177" s="90">
        <v>0</v>
      </c>
      <c r="H177" s="90">
        <v>2641.3533834586465</v>
      </c>
      <c r="I177" s="90">
        <v>0</v>
      </c>
      <c r="J177" s="90">
        <v>0</v>
      </c>
      <c r="K177" s="90">
        <v>0</v>
      </c>
      <c r="L177" s="90">
        <v>166.87629105061174</v>
      </c>
      <c r="M177" s="90">
        <v>0</v>
      </c>
      <c r="N177" s="90">
        <v>1954.6015037593984</v>
      </c>
      <c r="O177" s="90">
        <v>0</v>
      </c>
      <c r="P177" s="90">
        <v>0</v>
      </c>
      <c r="Q177" s="90">
        <v>0</v>
      </c>
      <c r="R177" s="90">
        <v>2520</v>
      </c>
    </row>
    <row r="178" spans="1:18">
      <c r="A178" s="90" t="s">
        <v>123</v>
      </c>
      <c r="B178" s="90" t="s">
        <v>1439</v>
      </c>
      <c r="C178" s="90" t="str">
        <f t="shared" si="2"/>
        <v>CentralEducation - K - 12</v>
      </c>
      <c r="D178" s="90">
        <v>1</v>
      </c>
      <c r="E178" s="90">
        <v>4256</v>
      </c>
      <c r="F178" s="90">
        <v>3608.0854736595288</v>
      </c>
      <c r="G178" s="90">
        <v>0</v>
      </c>
      <c r="H178" s="90">
        <v>27657.249410266464</v>
      </c>
      <c r="I178" s="90">
        <v>0</v>
      </c>
      <c r="J178" s="90">
        <v>0</v>
      </c>
      <c r="K178" s="90">
        <v>0</v>
      </c>
      <c r="L178" s="90">
        <v>2669.9832505080512</v>
      </c>
      <c r="M178" s="90">
        <v>0</v>
      </c>
      <c r="N178" s="90">
        <v>20466.364563597184</v>
      </c>
      <c r="O178" s="90">
        <v>0</v>
      </c>
      <c r="P178" s="90">
        <v>0</v>
      </c>
      <c r="Q178" s="90">
        <v>0</v>
      </c>
      <c r="R178" s="90">
        <v>29792</v>
      </c>
    </row>
    <row r="179" spans="1:18">
      <c r="A179" s="90" t="s">
        <v>123</v>
      </c>
      <c r="B179" s="90" t="s">
        <v>1469</v>
      </c>
      <c r="C179" s="90" t="str">
        <f t="shared" si="2"/>
        <v>CentralFood Service and Drinking Places</v>
      </c>
      <c r="D179" s="90">
        <v>2</v>
      </c>
      <c r="E179" s="90">
        <v>5140</v>
      </c>
      <c r="F179" s="90">
        <v>2062.8533333333335</v>
      </c>
      <c r="G179" s="90">
        <v>0</v>
      </c>
      <c r="H179" s="90">
        <v>13764.236841336788</v>
      </c>
      <c r="I179" s="90">
        <v>0</v>
      </c>
      <c r="J179" s="90">
        <v>0</v>
      </c>
      <c r="K179" s="90">
        <v>0</v>
      </c>
      <c r="L179" s="90">
        <v>1526.5114666666666</v>
      </c>
      <c r="M179" s="90">
        <v>0</v>
      </c>
      <c r="N179" s="90">
        <v>10185.535262589223</v>
      </c>
      <c r="O179" s="90">
        <v>0</v>
      </c>
      <c r="P179" s="90">
        <v>0</v>
      </c>
      <c r="Q179" s="90">
        <v>0</v>
      </c>
      <c r="R179" s="90">
        <v>35980</v>
      </c>
    </row>
    <row r="180" spans="1:18">
      <c r="A180" s="90" t="s">
        <v>123</v>
      </c>
      <c r="B180" s="90" t="s">
        <v>665</v>
      </c>
      <c r="C180" s="90" t="str">
        <f t="shared" si="2"/>
        <v>CentralOffice</v>
      </c>
      <c r="D180" s="90">
        <v>1</v>
      </c>
      <c r="E180" s="90">
        <v>1350</v>
      </c>
      <c r="F180" s="90">
        <v>300</v>
      </c>
      <c r="G180" s="90">
        <v>0</v>
      </c>
      <c r="H180" s="90">
        <v>20400</v>
      </c>
      <c r="I180" s="90">
        <v>0</v>
      </c>
      <c r="J180" s="90">
        <v>0</v>
      </c>
      <c r="K180" s="90">
        <v>0</v>
      </c>
      <c r="L180" s="90">
        <v>222</v>
      </c>
      <c r="M180" s="90">
        <v>0</v>
      </c>
      <c r="N180" s="90">
        <v>15096</v>
      </c>
      <c r="O180" s="90">
        <v>0</v>
      </c>
      <c r="P180" s="90">
        <v>0</v>
      </c>
      <c r="Q180" s="90">
        <v>0</v>
      </c>
      <c r="R180" s="90">
        <v>9450</v>
      </c>
    </row>
    <row r="181" spans="1:18">
      <c r="A181" s="90" t="s">
        <v>123</v>
      </c>
      <c r="B181" s="90" t="s">
        <v>643</v>
      </c>
      <c r="C181" s="90" t="str">
        <f t="shared" si="2"/>
        <v>CentralOther</v>
      </c>
      <c r="D181" s="90">
        <v>3</v>
      </c>
      <c r="E181" s="90">
        <v>10224</v>
      </c>
      <c r="F181" s="90">
        <v>7202.2119394559541</v>
      </c>
      <c r="G181" s="90">
        <v>0</v>
      </c>
      <c r="H181" s="90">
        <v>84065.964391229951</v>
      </c>
      <c r="I181" s="90">
        <v>0</v>
      </c>
      <c r="J181" s="90">
        <v>0</v>
      </c>
      <c r="K181" s="90">
        <v>0</v>
      </c>
      <c r="L181" s="90">
        <v>5329.6368351974052</v>
      </c>
      <c r="M181" s="90">
        <v>0</v>
      </c>
      <c r="N181" s="90">
        <v>62208.813649510164</v>
      </c>
      <c r="O181" s="90">
        <v>0</v>
      </c>
      <c r="P181" s="90">
        <v>0</v>
      </c>
      <c r="Q181" s="90">
        <v>0</v>
      </c>
      <c r="R181" s="90">
        <v>71568</v>
      </c>
    </row>
    <row r="182" spans="1:18">
      <c r="A182" s="90" t="s">
        <v>123</v>
      </c>
      <c r="B182" s="90" t="s">
        <v>951</v>
      </c>
      <c r="C182" s="90" t="str">
        <f t="shared" si="2"/>
        <v>CentralWarehousing</v>
      </c>
      <c r="D182" s="90">
        <v>1</v>
      </c>
      <c r="E182" s="90">
        <v>200</v>
      </c>
      <c r="F182" s="90">
        <v>250.70608133743607</v>
      </c>
      <c r="G182" s="90">
        <v>0</v>
      </c>
      <c r="H182" s="90">
        <v>2373.0297572586014</v>
      </c>
      <c r="I182" s="90">
        <v>0</v>
      </c>
      <c r="J182" s="90">
        <v>0</v>
      </c>
      <c r="K182" s="90">
        <v>0</v>
      </c>
      <c r="L182" s="90">
        <v>185.5225001897027</v>
      </c>
      <c r="M182" s="90">
        <v>0</v>
      </c>
      <c r="N182" s="90">
        <v>1756.042020371365</v>
      </c>
      <c r="O182" s="90">
        <v>0</v>
      </c>
      <c r="P182" s="90">
        <v>0</v>
      </c>
      <c r="Q182" s="90">
        <v>0</v>
      </c>
      <c r="R182" s="90">
        <v>1400</v>
      </c>
    </row>
    <row r="183" spans="1:18">
      <c r="A183" s="90" t="s">
        <v>985</v>
      </c>
      <c r="B183" s="90" t="s">
        <v>1439</v>
      </c>
      <c r="C183" s="90" t="str">
        <f t="shared" si="2"/>
        <v>ChalkyitsikEducation - K - 12</v>
      </c>
      <c r="D183" s="90">
        <v>1</v>
      </c>
      <c r="E183" s="90">
        <v>9854</v>
      </c>
      <c r="F183" s="90">
        <v>11250</v>
      </c>
      <c r="G183" s="90">
        <v>0</v>
      </c>
      <c r="H183" s="90">
        <v>77423</v>
      </c>
      <c r="I183" s="90">
        <v>0</v>
      </c>
      <c r="J183" s="90">
        <v>0</v>
      </c>
      <c r="K183" s="90">
        <v>0</v>
      </c>
      <c r="L183" s="90">
        <v>8325</v>
      </c>
      <c r="M183" s="90">
        <v>0</v>
      </c>
      <c r="N183" s="90">
        <v>57293.02</v>
      </c>
      <c r="O183" s="90">
        <v>0</v>
      </c>
      <c r="P183" s="90">
        <v>108.78</v>
      </c>
      <c r="Q183" s="90">
        <v>0</v>
      </c>
      <c r="R183" s="90">
        <v>68978</v>
      </c>
    </row>
    <row r="184" spans="1:18">
      <c r="A184" s="90" t="s">
        <v>985</v>
      </c>
      <c r="B184" s="90" t="s">
        <v>1440</v>
      </c>
      <c r="C184" s="90" t="str">
        <f t="shared" si="2"/>
        <v>ChalkyitsikHealth Care - Hospitals</v>
      </c>
      <c r="D184" s="90">
        <v>1</v>
      </c>
      <c r="E184" s="90">
        <v>2256.9250000000002</v>
      </c>
      <c r="F184" s="90">
        <v>1573.0165476804564</v>
      </c>
      <c r="G184" s="90">
        <v>0</v>
      </c>
      <c r="H184" s="90">
        <v>16977.563262470368</v>
      </c>
      <c r="I184" s="90">
        <v>0</v>
      </c>
      <c r="J184" s="90">
        <v>0</v>
      </c>
      <c r="K184" s="90">
        <v>0</v>
      </c>
      <c r="L184" s="90">
        <v>1164.0322452835378</v>
      </c>
      <c r="M184" s="90">
        <v>0</v>
      </c>
      <c r="N184" s="90">
        <v>12563.396814228072</v>
      </c>
      <c r="O184" s="90">
        <v>0</v>
      </c>
      <c r="P184" s="90">
        <v>0</v>
      </c>
      <c r="Q184" s="90">
        <v>0</v>
      </c>
      <c r="R184" s="90">
        <v>15798.475000000002</v>
      </c>
    </row>
    <row r="185" spans="1:18">
      <c r="A185" s="90" t="s">
        <v>985</v>
      </c>
      <c r="B185" s="90" t="s">
        <v>665</v>
      </c>
      <c r="C185" s="90" t="str">
        <f t="shared" si="2"/>
        <v>ChalkyitsikOffice</v>
      </c>
      <c r="D185" s="90">
        <v>3</v>
      </c>
      <c r="E185" s="90">
        <v>4642.517006802721</v>
      </c>
      <c r="F185" s="90">
        <v>6177.62700607445</v>
      </c>
      <c r="G185" s="90">
        <v>0</v>
      </c>
      <c r="H185" s="90">
        <v>37214.556706998192</v>
      </c>
      <c r="I185" s="90">
        <v>0</v>
      </c>
      <c r="J185" s="90">
        <v>0</v>
      </c>
      <c r="K185" s="90">
        <v>0</v>
      </c>
      <c r="L185" s="90">
        <v>4571.443984495093</v>
      </c>
      <c r="M185" s="90">
        <v>0</v>
      </c>
      <c r="N185" s="90">
        <v>27538.77196317866</v>
      </c>
      <c r="O185" s="90">
        <v>0</v>
      </c>
      <c r="P185" s="90">
        <v>0</v>
      </c>
      <c r="Q185" s="90">
        <v>0</v>
      </c>
      <c r="R185" s="90">
        <v>32497.619047619046</v>
      </c>
    </row>
    <row r="186" spans="1:18">
      <c r="A186" s="90" t="s">
        <v>985</v>
      </c>
      <c r="B186" s="90" t="s">
        <v>643</v>
      </c>
      <c r="C186" s="90" t="str">
        <f t="shared" si="2"/>
        <v>ChalkyitsikOther</v>
      </c>
      <c r="D186" s="90">
        <v>4</v>
      </c>
      <c r="E186" s="90">
        <v>4823.840909090909</v>
      </c>
      <c r="F186" s="90">
        <v>4172.001781302044</v>
      </c>
      <c r="G186" s="90">
        <v>0</v>
      </c>
      <c r="H186" s="90">
        <v>35107.854880038045</v>
      </c>
      <c r="I186" s="90">
        <v>0</v>
      </c>
      <c r="J186" s="90">
        <v>0</v>
      </c>
      <c r="K186" s="90">
        <v>0</v>
      </c>
      <c r="L186" s="90">
        <v>3087.2813181635129</v>
      </c>
      <c r="M186" s="90">
        <v>0</v>
      </c>
      <c r="N186" s="90">
        <v>25979.812611228153</v>
      </c>
      <c r="O186" s="90">
        <v>0</v>
      </c>
      <c r="P186" s="90">
        <v>0</v>
      </c>
      <c r="Q186" s="90">
        <v>0</v>
      </c>
      <c r="R186" s="90">
        <v>33766.886363636368</v>
      </c>
    </row>
    <row r="187" spans="1:18">
      <c r="A187" s="90" t="s">
        <v>985</v>
      </c>
      <c r="B187" s="90" t="s">
        <v>1227</v>
      </c>
      <c r="C187" s="90" t="str">
        <f t="shared" si="2"/>
        <v>ChalkyitsikPublic Assembly</v>
      </c>
      <c r="D187" s="90">
        <v>3</v>
      </c>
      <c r="E187" s="90">
        <v>9178.4423076923085</v>
      </c>
      <c r="F187" s="90">
        <v>5726.9586540206528</v>
      </c>
      <c r="G187" s="90">
        <v>0</v>
      </c>
      <c r="H187" s="90">
        <v>34526.873127843413</v>
      </c>
      <c r="I187" s="90">
        <v>0</v>
      </c>
      <c r="J187" s="90">
        <v>0</v>
      </c>
      <c r="K187" s="90">
        <v>0</v>
      </c>
      <c r="L187" s="90">
        <v>4237.9494039752826</v>
      </c>
      <c r="M187" s="90">
        <v>0</v>
      </c>
      <c r="N187" s="90">
        <v>25549.886114604124</v>
      </c>
      <c r="O187" s="90">
        <v>0</v>
      </c>
      <c r="P187" s="90">
        <v>0</v>
      </c>
      <c r="Q187" s="90">
        <v>0</v>
      </c>
      <c r="R187" s="90">
        <v>64249.096153846156</v>
      </c>
    </row>
    <row r="188" spans="1:18">
      <c r="A188" s="90" t="s">
        <v>985</v>
      </c>
      <c r="B188" s="90" t="s">
        <v>1485</v>
      </c>
      <c r="C188" s="90" t="str">
        <f t="shared" si="2"/>
        <v>ChalkyitsikRetail - Other</v>
      </c>
      <c r="D188" s="90">
        <v>1</v>
      </c>
      <c r="E188" s="90">
        <v>2105.2800000000002</v>
      </c>
      <c r="F188" s="90">
        <v>2225.7819714285715</v>
      </c>
      <c r="G188" s="90">
        <v>0</v>
      </c>
      <c r="H188" s="90">
        <v>49590.373216004155</v>
      </c>
      <c r="I188" s="90">
        <v>0</v>
      </c>
      <c r="J188" s="90">
        <v>0</v>
      </c>
      <c r="K188" s="90">
        <v>0</v>
      </c>
      <c r="L188" s="90">
        <v>1647.078658857143</v>
      </c>
      <c r="M188" s="90">
        <v>0</v>
      </c>
      <c r="N188" s="90">
        <v>36696.876179843071</v>
      </c>
      <c r="O188" s="90">
        <v>0</v>
      </c>
      <c r="P188" s="90">
        <v>0</v>
      </c>
      <c r="Q188" s="90">
        <v>0</v>
      </c>
      <c r="R188" s="90">
        <v>14736.960000000001</v>
      </c>
    </row>
    <row r="189" spans="1:18">
      <c r="A189" s="90" t="s">
        <v>985</v>
      </c>
      <c r="B189" s="90" t="s">
        <v>951</v>
      </c>
      <c r="C189" s="90" t="str">
        <f t="shared" si="2"/>
        <v>ChalkyitsikWarehousing</v>
      </c>
      <c r="D189" s="90">
        <v>4</v>
      </c>
      <c r="E189" s="90">
        <v>4392</v>
      </c>
      <c r="F189" s="90">
        <v>5505.5055461700958</v>
      </c>
      <c r="G189" s="90">
        <v>0</v>
      </c>
      <c r="H189" s="90">
        <v>52111.733469398889</v>
      </c>
      <c r="I189" s="90">
        <v>0</v>
      </c>
      <c r="J189" s="90">
        <v>0</v>
      </c>
      <c r="K189" s="90">
        <v>0</v>
      </c>
      <c r="L189" s="90">
        <v>4074.0741041658712</v>
      </c>
      <c r="M189" s="90">
        <v>0</v>
      </c>
      <c r="N189" s="90">
        <v>38562.682767355174</v>
      </c>
      <c r="O189" s="90">
        <v>0</v>
      </c>
      <c r="P189" s="90">
        <v>0</v>
      </c>
      <c r="Q189" s="90">
        <v>0</v>
      </c>
      <c r="R189" s="90">
        <v>30744</v>
      </c>
    </row>
    <row r="190" spans="1:18">
      <c r="A190" s="90" t="s">
        <v>199</v>
      </c>
      <c r="B190" s="90" t="s">
        <v>1439</v>
      </c>
      <c r="C190" s="90" t="str">
        <f t="shared" si="2"/>
        <v>ChefornakEducation - K - 12</v>
      </c>
      <c r="D190" s="90">
        <v>2</v>
      </c>
      <c r="E190" s="90">
        <v>19571</v>
      </c>
      <c r="F190" s="90">
        <v>14377.4652621447</v>
      </c>
      <c r="G190" s="90">
        <v>0</v>
      </c>
      <c r="H190" s="90">
        <v>138576.80670362746</v>
      </c>
      <c r="I190" s="90">
        <v>0</v>
      </c>
      <c r="J190" s="90">
        <v>0</v>
      </c>
      <c r="K190" s="90">
        <v>0</v>
      </c>
      <c r="L190" s="90">
        <v>10639.32429398708</v>
      </c>
      <c r="M190" s="90">
        <v>0</v>
      </c>
      <c r="N190" s="90">
        <v>102546.83696068432</v>
      </c>
      <c r="O190" s="90">
        <v>0</v>
      </c>
      <c r="P190" s="90">
        <v>0</v>
      </c>
      <c r="Q190" s="90">
        <v>0</v>
      </c>
      <c r="R190" s="90">
        <v>136997</v>
      </c>
    </row>
    <row r="191" spans="1:18">
      <c r="A191" s="90" t="s">
        <v>199</v>
      </c>
      <c r="B191" s="90" t="s">
        <v>1440</v>
      </c>
      <c r="C191" s="90" t="str">
        <f t="shared" si="2"/>
        <v>ChefornakHealth Care - Hospitals</v>
      </c>
      <c r="D191" s="90">
        <v>1</v>
      </c>
      <c r="E191" s="90">
        <v>2351</v>
      </c>
      <c r="F191" s="90">
        <v>503.43065693430657</v>
      </c>
      <c r="G191" s="90">
        <v>0</v>
      </c>
      <c r="H191" s="90">
        <v>23581.211349999998</v>
      </c>
      <c r="I191" s="90">
        <v>0</v>
      </c>
      <c r="J191" s="90">
        <v>0</v>
      </c>
      <c r="K191" s="90">
        <v>0</v>
      </c>
      <c r="L191" s="90">
        <v>372.53868613138684</v>
      </c>
      <c r="M191" s="90">
        <v>0</v>
      </c>
      <c r="N191" s="90">
        <v>17450.096398999998</v>
      </c>
      <c r="O191" s="90">
        <v>0</v>
      </c>
      <c r="P191" s="90">
        <v>0</v>
      </c>
      <c r="Q191" s="90">
        <v>0</v>
      </c>
      <c r="R191" s="90">
        <v>16457</v>
      </c>
    </row>
    <row r="192" spans="1:18">
      <c r="A192" s="90" t="s">
        <v>199</v>
      </c>
      <c r="B192" s="90" t="s">
        <v>665</v>
      </c>
      <c r="C192" s="90" t="str">
        <f t="shared" si="2"/>
        <v>ChefornakOffice</v>
      </c>
      <c r="D192" s="90">
        <v>2</v>
      </c>
      <c r="E192" s="90">
        <v>4005</v>
      </c>
      <c r="F192" s="90">
        <v>3304.8418337197436</v>
      </c>
      <c r="G192" s="90">
        <v>0</v>
      </c>
      <c r="H192" s="90">
        <v>21864.706775208437</v>
      </c>
      <c r="I192" s="90">
        <v>0</v>
      </c>
      <c r="J192" s="90">
        <v>0</v>
      </c>
      <c r="K192" s="90">
        <v>0</v>
      </c>
      <c r="L192" s="90">
        <v>2445.5829569526104</v>
      </c>
      <c r="M192" s="90">
        <v>0</v>
      </c>
      <c r="N192" s="90">
        <v>16179.883013654244</v>
      </c>
      <c r="O192" s="90">
        <v>0</v>
      </c>
      <c r="P192" s="90">
        <v>0</v>
      </c>
      <c r="Q192" s="90">
        <v>0</v>
      </c>
      <c r="R192" s="90">
        <v>28035</v>
      </c>
    </row>
    <row r="193" spans="1:18">
      <c r="A193" s="90" t="s">
        <v>199</v>
      </c>
      <c r="B193" s="90" t="s">
        <v>643</v>
      </c>
      <c r="C193" s="90" t="str">
        <f t="shared" si="2"/>
        <v>ChefornakOther</v>
      </c>
      <c r="D193" s="90">
        <v>2</v>
      </c>
      <c r="E193" s="90">
        <v>5293.6908396946565</v>
      </c>
      <c r="F193" s="90">
        <v>5626.2128689885203</v>
      </c>
      <c r="G193" s="90">
        <v>0</v>
      </c>
      <c r="H193" s="90">
        <v>39295.296086752001</v>
      </c>
      <c r="I193" s="90">
        <v>0</v>
      </c>
      <c r="J193" s="90">
        <v>0</v>
      </c>
      <c r="K193" s="90">
        <v>0</v>
      </c>
      <c r="L193" s="90">
        <v>4163.3975230515043</v>
      </c>
      <c r="M193" s="90">
        <v>0</v>
      </c>
      <c r="N193" s="90">
        <v>29078.519104196479</v>
      </c>
      <c r="O193" s="90">
        <v>0</v>
      </c>
      <c r="P193" s="90">
        <v>0</v>
      </c>
      <c r="Q193" s="90">
        <v>0</v>
      </c>
      <c r="R193" s="90">
        <v>37055.835877862599</v>
      </c>
    </row>
    <row r="194" spans="1:18">
      <c r="A194" s="90" t="s">
        <v>199</v>
      </c>
      <c r="B194" s="90" t="s">
        <v>1227</v>
      </c>
      <c r="C194" s="90" t="str">
        <f t="shared" si="2"/>
        <v>ChefornakPublic Assembly</v>
      </c>
      <c r="D194" s="90">
        <v>1</v>
      </c>
      <c r="E194" s="90">
        <v>1034</v>
      </c>
      <c r="F194" s="90">
        <v>809</v>
      </c>
      <c r="G194" s="90">
        <v>0</v>
      </c>
      <c r="H194" s="90">
        <v>7820</v>
      </c>
      <c r="I194" s="90">
        <v>0</v>
      </c>
      <c r="J194" s="90">
        <v>0</v>
      </c>
      <c r="K194" s="90">
        <v>0</v>
      </c>
      <c r="L194" s="90">
        <v>598.66</v>
      </c>
      <c r="M194" s="90">
        <v>0</v>
      </c>
      <c r="N194" s="90">
        <v>5786.8</v>
      </c>
      <c r="O194" s="90">
        <v>0</v>
      </c>
      <c r="P194" s="90">
        <v>0</v>
      </c>
      <c r="Q194" s="90">
        <v>0</v>
      </c>
      <c r="R194" s="90">
        <v>7238</v>
      </c>
    </row>
    <row r="195" spans="1:18">
      <c r="A195" s="90" t="s">
        <v>199</v>
      </c>
      <c r="B195" s="90" t="s">
        <v>951</v>
      </c>
      <c r="C195" s="90" t="str">
        <f t="shared" ref="C195:C258" si="3">CONCATENATE(A195,B195)</f>
        <v>ChefornakWarehousing</v>
      </c>
      <c r="D195" s="90">
        <v>1</v>
      </c>
      <c r="E195" s="90">
        <v>336</v>
      </c>
      <c r="F195" s="90">
        <v>586.41860730963549</v>
      </c>
      <c r="G195" s="90">
        <v>0</v>
      </c>
      <c r="H195" s="90">
        <v>15395.088920833885</v>
      </c>
      <c r="I195" s="90">
        <v>0</v>
      </c>
      <c r="J195" s="90">
        <v>0</v>
      </c>
      <c r="K195" s="90">
        <v>0</v>
      </c>
      <c r="L195" s="90">
        <v>433.94976940913028</v>
      </c>
      <c r="M195" s="90">
        <v>0</v>
      </c>
      <c r="N195" s="90">
        <v>11392.365801417074</v>
      </c>
      <c r="O195" s="90">
        <v>0</v>
      </c>
      <c r="P195" s="90">
        <v>0</v>
      </c>
      <c r="Q195" s="90">
        <v>0</v>
      </c>
      <c r="R195" s="90">
        <v>2352</v>
      </c>
    </row>
    <row r="196" spans="1:18">
      <c r="A196" s="90" t="s">
        <v>1356</v>
      </c>
      <c r="B196" s="90" t="s">
        <v>1439</v>
      </c>
      <c r="C196" s="90" t="str">
        <f t="shared" si="3"/>
        <v>Chenega BayEducation - K - 12</v>
      </c>
      <c r="D196" s="90">
        <v>2</v>
      </c>
      <c r="E196" s="90">
        <v>19560.415555555555</v>
      </c>
      <c r="F196" s="90">
        <v>16582.624817843956</v>
      </c>
      <c r="G196" s="90">
        <v>0</v>
      </c>
      <c r="H196" s="90">
        <v>127111.67565518231</v>
      </c>
      <c r="I196" s="90">
        <v>0</v>
      </c>
      <c r="J196" s="90">
        <v>0</v>
      </c>
      <c r="K196" s="90">
        <v>0</v>
      </c>
      <c r="L196" s="90">
        <v>12271.142365204527</v>
      </c>
      <c r="M196" s="90">
        <v>0</v>
      </c>
      <c r="N196" s="90">
        <v>94062.63998483491</v>
      </c>
      <c r="O196" s="90">
        <v>0</v>
      </c>
      <c r="P196" s="90">
        <v>0</v>
      </c>
      <c r="Q196" s="90">
        <v>0</v>
      </c>
      <c r="R196" s="90">
        <v>136922.90888888889</v>
      </c>
    </row>
    <row r="197" spans="1:18">
      <c r="A197" s="90" t="s">
        <v>1356</v>
      </c>
      <c r="B197" s="90" t="s">
        <v>1440</v>
      </c>
      <c r="C197" s="90" t="str">
        <f t="shared" si="3"/>
        <v>Chenega BayHealth Care - Hospitals</v>
      </c>
      <c r="D197" s="90">
        <v>1</v>
      </c>
      <c r="E197" s="90">
        <v>2256.9250000000002</v>
      </c>
      <c r="F197" s="90">
        <v>1573.0165476804564</v>
      </c>
      <c r="G197" s="90">
        <v>0</v>
      </c>
      <c r="H197" s="90">
        <v>16977.563262470368</v>
      </c>
      <c r="I197" s="90">
        <v>0</v>
      </c>
      <c r="J197" s="90">
        <v>0</v>
      </c>
      <c r="K197" s="90">
        <v>0</v>
      </c>
      <c r="L197" s="90">
        <v>1164.0322452835378</v>
      </c>
      <c r="M197" s="90">
        <v>0</v>
      </c>
      <c r="N197" s="90">
        <v>12563.396814228072</v>
      </c>
      <c r="O197" s="90">
        <v>0</v>
      </c>
      <c r="P197" s="90">
        <v>0</v>
      </c>
      <c r="Q197" s="90">
        <v>0</v>
      </c>
      <c r="R197" s="90">
        <v>15798.475000000002</v>
      </c>
    </row>
    <row r="198" spans="1:18">
      <c r="A198" s="90" t="s">
        <v>1356</v>
      </c>
      <c r="B198" s="90" t="s">
        <v>665</v>
      </c>
      <c r="C198" s="90" t="str">
        <f t="shared" si="3"/>
        <v>Chenega BayOffice</v>
      </c>
      <c r="D198" s="90">
        <v>1</v>
      </c>
      <c r="E198" s="90">
        <v>2033.2585034013605</v>
      </c>
      <c r="F198" s="90">
        <v>2705.5824722962652</v>
      </c>
      <c r="G198" s="90">
        <v>0</v>
      </c>
      <c r="H198" s="90">
        <v>16298.661644952717</v>
      </c>
      <c r="I198" s="90">
        <v>0</v>
      </c>
      <c r="J198" s="90">
        <v>0</v>
      </c>
      <c r="K198" s="90">
        <v>0</v>
      </c>
      <c r="L198" s="90">
        <v>2002.1310294992363</v>
      </c>
      <c r="M198" s="90">
        <v>0</v>
      </c>
      <c r="N198" s="90">
        <v>12061.00961726501</v>
      </c>
      <c r="O198" s="90">
        <v>0</v>
      </c>
      <c r="P198" s="90">
        <v>0</v>
      </c>
      <c r="Q198" s="90">
        <v>0</v>
      </c>
      <c r="R198" s="90">
        <v>14232.809523809523</v>
      </c>
    </row>
    <row r="199" spans="1:18">
      <c r="A199" s="90" t="s">
        <v>1356</v>
      </c>
      <c r="B199" s="90" t="s">
        <v>643</v>
      </c>
      <c r="C199" s="90" t="str">
        <f t="shared" si="3"/>
        <v>Chenega BayOther</v>
      </c>
      <c r="D199" s="90">
        <v>10</v>
      </c>
      <c r="E199" s="90">
        <v>20415.363636363636</v>
      </c>
      <c r="F199" s="90">
        <v>19126.282384274469</v>
      </c>
      <c r="G199" s="90">
        <v>0</v>
      </c>
      <c r="H199" s="90">
        <v>148582.76576201094</v>
      </c>
      <c r="I199" s="90">
        <v>0</v>
      </c>
      <c r="J199" s="90">
        <v>0</v>
      </c>
      <c r="K199" s="90">
        <v>0</v>
      </c>
      <c r="L199" s="90">
        <v>14153.448964363106</v>
      </c>
      <c r="M199" s="90">
        <v>0</v>
      </c>
      <c r="N199" s="90">
        <v>109951.24666388806</v>
      </c>
      <c r="O199" s="90">
        <v>0</v>
      </c>
      <c r="P199" s="90">
        <v>0</v>
      </c>
      <c r="Q199" s="90">
        <v>0</v>
      </c>
      <c r="R199" s="90">
        <v>142907.54545454544</v>
      </c>
    </row>
    <row r="200" spans="1:18">
      <c r="A200" s="90" t="s">
        <v>1356</v>
      </c>
      <c r="B200" s="90" t="s">
        <v>1227</v>
      </c>
      <c r="C200" s="90" t="str">
        <f t="shared" si="3"/>
        <v>Chenega BayPublic Assembly</v>
      </c>
      <c r="D200" s="90">
        <v>3</v>
      </c>
      <c r="E200" s="90">
        <v>9410.163461538461</v>
      </c>
      <c r="F200" s="90">
        <v>5871.5428244987615</v>
      </c>
      <c r="G200" s="90">
        <v>0</v>
      </c>
      <c r="H200" s="90">
        <v>35398.546840187657</v>
      </c>
      <c r="I200" s="90">
        <v>0</v>
      </c>
      <c r="J200" s="90">
        <v>0</v>
      </c>
      <c r="K200" s="90">
        <v>0</v>
      </c>
      <c r="L200" s="90">
        <v>4344.9416901290833</v>
      </c>
      <c r="M200" s="90">
        <v>0</v>
      </c>
      <c r="N200" s="90">
        <v>26194.924661738864</v>
      </c>
      <c r="O200" s="90">
        <v>0</v>
      </c>
      <c r="P200" s="90">
        <v>0</v>
      </c>
      <c r="Q200" s="90">
        <v>0</v>
      </c>
      <c r="R200" s="90">
        <v>65871.144230769234</v>
      </c>
    </row>
    <row r="201" spans="1:18">
      <c r="A201" s="90" t="s">
        <v>1356</v>
      </c>
      <c r="B201" s="90" t="s">
        <v>951</v>
      </c>
      <c r="C201" s="90" t="str">
        <f t="shared" si="3"/>
        <v>Chenega BayWarehousing</v>
      </c>
      <c r="D201" s="90">
        <v>1</v>
      </c>
      <c r="E201" s="90">
        <v>1783.9572649572649</v>
      </c>
      <c r="F201" s="90">
        <v>2236.2446758544302</v>
      </c>
      <c r="G201" s="90">
        <v>0</v>
      </c>
      <c r="H201" s="90">
        <v>21166.918377106285</v>
      </c>
      <c r="I201" s="90">
        <v>0</v>
      </c>
      <c r="J201" s="90">
        <v>0</v>
      </c>
      <c r="K201" s="90">
        <v>0</v>
      </c>
      <c r="L201" s="90">
        <v>1654.8210601322783</v>
      </c>
      <c r="M201" s="90">
        <v>0</v>
      </c>
      <c r="N201" s="90">
        <v>15663.519599058651</v>
      </c>
      <c r="O201" s="90">
        <v>0</v>
      </c>
      <c r="P201" s="90">
        <v>0</v>
      </c>
      <c r="Q201" s="90">
        <v>0</v>
      </c>
      <c r="R201" s="90">
        <v>12487.700854700854</v>
      </c>
    </row>
    <row r="202" spans="1:18">
      <c r="A202" s="90" t="s">
        <v>73</v>
      </c>
      <c r="B202" s="90" t="s">
        <v>1439</v>
      </c>
      <c r="C202" s="90" t="str">
        <f t="shared" si="3"/>
        <v>ChevakEducation - K - 12</v>
      </c>
      <c r="D202" s="90">
        <v>1</v>
      </c>
      <c r="E202" s="90">
        <v>69419</v>
      </c>
      <c r="F202" s="90">
        <v>50997.356345246691</v>
      </c>
      <c r="G202" s="90">
        <v>0</v>
      </c>
      <c r="H202" s="90">
        <v>491536.62789633207</v>
      </c>
      <c r="I202" s="90">
        <v>0</v>
      </c>
      <c r="J202" s="90">
        <v>0</v>
      </c>
      <c r="K202" s="90">
        <v>0</v>
      </c>
      <c r="L202" s="90">
        <v>37738.043695482549</v>
      </c>
      <c r="M202" s="90">
        <v>0</v>
      </c>
      <c r="N202" s="90">
        <v>363737.10464328574</v>
      </c>
      <c r="O202" s="90">
        <v>0</v>
      </c>
      <c r="P202" s="90">
        <v>0</v>
      </c>
      <c r="Q202" s="90">
        <v>0</v>
      </c>
      <c r="R202" s="90">
        <v>485933</v>
      </c>
    </row>
    <row r="203" spans="1:18">
      <c r="A203" s="90" t="s">
        <v>73</v>
      </c>
      <c r="B203" s="90" t="s">
        <v>1440</v>
      </c>
      <c r="C203" s="90" t="str">
        <f t="shared" si="3"/>
        <v>ChevakHealth Care - Hospitals</v>
      </c>
      <c r="D203" s="90">
        <v>1</v>
      </c>
      <c r="E203" s="90">
        <v>2400</v>
      </c>
      <c r="F203" s="90">
        <v>1962</v>
      </c>
      <c r="G203" s="90">
        <v>0</v>
      </c>
      <c r="H203" s="90">
        <v>36202</v>
      </c>
      <c r="I203" s="90">
        <v>0</v>
      </c>
      <c r="J203" s="90">
        <v>0</v>
      </c>
      <c r="K203" s="90">
        <v>0</v>
      </c>
      <c r="L203" s="90">
        <v>1451.8799999999999</v>
      </c>
      <c r="M203" s="90">
        <v>0</v>
      </c>
      <c r="N203" s="90">
        <v>26789.48</v>
      </c>
      <c r="O203" s="90">
        <v>0</v>
      </c>
      <c r="P203" s="90">
        <v>0</v>
      </c>
      <c r="Q203" s="90">
        <v>0</v>
      </c>
      <c r="R203" s="90">
        <v>16800</v>
      </c>
    </row>
    <row r="204" spans="1:18">
      <c r="A204" s="90" t="s">
        <v>73</v>
      </c>
      <c r="B204" s="90" t="s">
        <v>665</v>
      </c>
      <c r="C204" s="90" t="str">
        <f t="shared" si="3"/>
        <v>ChevakOffice</v>
      </c>
      <c r="D204" s="90">
        <v>4</v>
      </c>
      <c r="E204" s="90">
        <v>6640</v>
      </c>
      <c r="F204" s="90">
        <v>4381.824817518248</v>
      </c>
      <c r="G204" s="90">
        <v>0</v>
      </c>
      <c r="H204" s="90">
        <v>17858.047931499998</v>
      </c>
      <c r="I204" s="90">
        <v>0</v>
      </c>
      <c r="J204" s="90">
        <v>0</v>
      </c>
      <c r="K204" s="90">
        <v>0</v>
      </c>
      <c r="L204" s="90">
        <v>3242.5503649635034</v>
      </c>
      <c r="M204" s="90">
        <v>0</v>
      </c>
      <c r="N204" s="90">
        <v>13214.95546931</v>
      </c>
      <c r="O204" s="90">
        <v>0</v>
      </c>
      <c r="P204" s="90">
        <v>0</v>
      </c>
      <c r="Q204" s="90">
        <v>0</v>
      </c>
      <c r="R204" s="90">
        <v>46480</v>
      </c>
    </row>
    <row r="205" spans="1:18">
      <c r="A205" s="90" t="s">
        <v>73</v>
      </c>
      <c r="B205" s="90" t="s">
        <v>643</v>
      </c>
      <c r="C205" s="90" t="str">
        <f t="shared" si="3"/>
        <v>ChevakOther</v>
      </c>
      <c r="D205" s="90">
        <v>2</v>
      </c>
      <c r="E205" s="90">
        <v>8977.3816793893129</v>
      </c>
      <c r="F205" s="90">
        <v>9541.2939410181534</v>
      </c>
      <c r="G205" s="90">
        <v>0</v>
      </c>
      <c r="H205" s="90">
        <v>66639.492531402517</v>
      </c>
      <c r="I205" s="90">
        <v>0</v>
      </c>
      <c r="J205" s="90">
        <v>0</v>
      </c>
      <c r="K205" s="90">
        <v>0</v>
      </c>
      <c r="L205" s="90">
        <v>7060.5575163534331</v>
      </c>
      <c r="M205" s="90">
        <v>0</v>
      </c>
      <c r="N205" s="90">
        <v>49313.22447323786</v>
      </c>
      <c r="O205" s="90">
        <v>0</v>
      </c>
      <c r="P205" s="90">
        <v>0</v>
      </c>
      <c r="Q205" s="90">
        <v>0</v>
      </c>
      <c r="R205" s="90">
        <v>62841.67175572519</v>
      </c>
    </row>
    <row r="206" spans="1:18">
      <c r="A206" s="90" t="s">
        <v>988</v>
      </c>
      <c r="B206" s="90" t="s">
        <v>1439</v>
      </c>
      <c r="C206" s="90" t="str">
        <f t="shared" si="3"/>
        <v>ChickaloonEducation - K - 12</v>
      </c>
      <c r="D206" s="90">
        <v>2</v>
      </c>
      <c r="E206" s="90">
        <v>45757</v>
      </c>
      <c r="F206" s="90">
        <v>38791.157664059931</v>
      </c>
      <c r="G206" s="90">
        <v>0</v>
      </c>
      <c r="H206" s="90">
        <v>343360</v>
      </c>
      <c r="I206" s="90">
        <v>0</v>
      </c>
      <c r="J206" s="90">
        <v>0</v>
      </c>
      <c r="K206" s="90">
        <v>0</v>
      </c>
      <c r="L206" s="90">
        <v>28705.456671404347</v>
      </c>
      <c r="M206" s="90">
        <v>0</v>
      </c>
      <c r="N206" s="90">
        <v>254086.39999999999</v>
      </c>
      <c r="O206" s="90">
        <v>0</v>
      </c>
      <c r="P206" s="90">
        <v>0</v>
      </c>
      <c r="Q206" s="90">
        <v>0</v>
      </c>
      <c r="R206" s="90">
        <v>320299</v>
      </c>
    </row>
    <row r="207" spans="1:18">
      <c r="A207" s="90" t="s">
        <v>988</v>
      </c>
      <c r="B207" s="90" t="s">
        <v>1440</v>
      </c>
      <c r="C207" s="90" t="str">
        <f t="shared" si="3"/>
        <v>ChickaloonHealth Care - Hospitals</v>
      </c>
      <c r="D207" s="90">
        <v>2</v>
      </c>
      <c r="E207" s="90">
        <v>7632.9250000000002</v>
      </c>
      <c r="F207" s="90">
        <v>2273</v>
      </c>
      <c r="G207" s="90">
        <v>0</v>
      </c>
      <c r="H207" s="90">
        <v>33389</v>
      </c>
      <c r="I207" s="90">
        <v>0</v>
      </c>
      <c r="J207" s="90">
        <v>0</v>
      </c>
      <c r="K207" s="90">
        <v>0</v>
      </c>
      <c r="L207" s="90">
        <v>1682.02</v>
      </c>
      <c r="M207" s="90">
        <v>0</v>
      </c>
      <c r="N207" s="90">
        <v>24707.86</v>
      </c>
      <c r="O207" s="90">
        <v>0</v>
      </c>
      <c r="P207" s="90">
        <v>0</v>
      </c>
      <c r="Q207" s="90">
        <v>0</v>
      </c>
      <c r="R207" s="90">
        <v>53430.475000000006</v>
      </c>
    </row>
    <row r="208" spans="1:18">
      <c r="A208" s="90" t="s">
        <v>988</v>
      </c>
      <c r="B208" s="90" t="s">
        <v>643</v>
      </c>
      <c r="C208" s="90" t="str">
        <f t="shared" si="3"/>
        <v>ChickaloonOther</v>
      </c>
      <c r="D208" s="90">
        <v>1</v>
      </c>
      <c r="E208" s="90">
        <v>2163.9204545454545</v>
      </c>
      <c r="F208" s="90">
        <v>1871.5127967727569</v>
      </c>
      <c r="G208" s="90">
        <v>0</v>
      </c>
      <c r="H208" s="90">
        <v>15748.986486464588</v>
      </c>
      <c r="I208" s="90">
        <v>0</v>
      </c>
      <c r="J208" s="90">
        <v>0</v>
      </c>
      <c r="K208" s="90">
        <v>0</v>
      </c>
      <c r="L208" s="90">
        <v>1384.9194696118402</v>
      </c>
      <c r="M208" s="90">
        <v>0</v>
      </c>
      <c r="N208" s="90">
        <v>11654.249999983795</v>
      </c>
      <c r="O208" s="90">
        <v>0</v>
      </c>
      <c r="P208" s="90">
        <v>0</v>
      </c>
      <c r="Q208" s="90">
        <v>0</v>
      </c>
      <c r="R208" s="90">
        <v>15147.443181818182</v>
      </c>
    </row>
    <row r="209" spans="1:18">
      <c r="A209" s="90" t="s">
        <v>989</v>
      </c>
      <c r="B209" s="90" t="s">
        <v>951</v>
      </c>
      <c r="C209" s="90" t="str">
        <f t="shared" si="3"/>
        <v>ChickenWarehousing</v>
      </c>
      <c r="D209" s="90">
        <v>1</v>
      </c>
      <c r="E209" s="90">
        <v>1696</v>
      </c>
      <c r="F209" s="90">
        <v>2125.9875697414582</v>
      </c>
      <c r="G209" s="90">
        <v>0</v>
      </c>
      <c r="H209" s="90">
        <v>20123.29234155294</v>
      </c>
      <c r="I209" s="90">
        <v>0</v>
      </c>
      <c r="J209" s="90">
        <v>0</v>
      </c>
      <c r="K209" s="90">
        <v>0</v>
      </c>
      <c r="L209" s="90">
        <v>1573.230801608679</v>
      </c>
      <c r="M209" s="90">
        <v>0</v>
      </c>
      <c r="N209" s="90">
        <v>14891.236332749175</v>
      </c>
      <c r="O209" s="90">
        <v>0</v>
      </c>
      <c r="P209" s="90">
        <v>0</v>
      </c>
      <c r="Q209" s="90">
        <v>0</v>
      </c>
      <c r="R209" s="90">
        <v>11872</v>
      </c>
    </row>
    <row r="210" spans="1:18">
      <c r="A210" s="90" t="s">
        <v>990</v>
      </c>
      <c r="B210" s="90" t="s">
        <v>1439</v>
      </c>
      <c r="C210" s="90" t="str">
        <f t="shared" si="3"/>
        <v>ChignikEducation - K - 12</v>
      </c>
      <c r="D210" s="90">
        <v>1</v>
      </c>
      <c r="E210" s="90">
        <v>23900</v>
      </c>
      <c r="F210" s="90">
        <v>6926.9489051094888</v>
      </c>
      <c r="G210" s="90">
        <v>0</v>
      </c>
      <c r="H210" s="90">
        <v>46560.419039999993</v>
      </c>
      <c r="I210" s="90">
        <v>0</v>
      </c>
      <c r="J210" s="90">
        <v>0</v>
      </c>
      <c r="K210" s="90">
        <v>0</v>
      </c>
      <c r="L210" s="90">
        <v>5125.9421897810216</v>
      </c>
      <c r="M210" s="90">
        <v>0</v>
      </c>
      <c r="N210" s="90">
        <v>34454.710089599997</v>
      </c>
      <c r="O210" s="90">
        <v>0</v>
      </c>
      <c r="P210" s="90">
        <v>0</v>
      </c>
      <c r="Q210" s="90">
        <v>0</v>
      </c>
      <c r="R210" s="90">
        <v>167300</v>
      </c>
    </row>
    <row r="211" spans="1:18">
      <c r="A211" s="90" t="s">
        <v>990</v>
      </c>
      <c r="B211" s="90" t="s">
        <v>665</v>
      </c>
      <c r="C211" s="90" t="str">
        <f t="shared" si="3"/>
        <v>ChignikOffice</v>
      </c>
      <c r="D211" s="90">
        <v>1</v>
      </c>
      <c r="E211" s="90">
        <v>2300</v>
      </c>
      <c r="F211" s="90">
        <v>3060.5255927229418</v>
      </c>
      <c r="G211" s="90">
        <v>0</v>
      </c>
      <c r="H211" s="90">
        <v>18436.869547418988</v>
      </c>
      <c r="I211" s="90">
        <v>0</v>
      </c>
      <c r="J211" s="90">
        <v>0</v>
      </c>
      <c r="K211" s="90">
        <v>0</v>
      </c>
      <c r="L211" s="90">
        <v>2264.7889386149768</v>
      </c>
      <c r="M211" s="90">
        <v>0</v>
      </c>
      <c r="N211" s="90">
        <v>13643.283465090051</v>
      </c>
      <c r="O211" s="90">
        <v>0</v>
      </c>
      <c r="P211" s="90">
        <v>0</v>
      </c>
      <c r="Q211" s="90">
        <v>0</v>
      </c>
      <c r="R211" s="90">
        <v>16100</v>
      </c>
    </row>
    <row r="212" spans="1:18">
      <c r="A212" s="90" t="s">
        <v>1488</v>
      </c>
      <c r="B212" s="90" t="s">
        <v>1439</v>
      </c>
      <c r="C212" s="90" t="str">
        <f t="shared" si="3"/>
        <v>Chignik BayEducation - K - 12</v>
      </c>
      <c r="D212" s="90">
        <v>1</v>
      </c>
      <c r="E212" s="90">
        <v>21937</v>
      </c>
      <c r="F212" s="90" t="e">
        <v>#N/A</v>
      </c>
      <c r="G212" s="90">
        <v>0</v>
      </c>
      <c r="H212" s="90" t="e">
        <v>#N/A</v>
      </c>
      <c r="I212" s="90">
        <v>0</v>
      </c>
      <c r="J212" s="90">
        <v>0</v>
      </c>
      <c r="K212" s="90">
        <v>0</v>
      </c>
      <c r="L212" s="90" t="e">
        <v>#N/A</v>
      </c>
      <c r="M212" s="90">
        <v>0</v>
      </c>
      <c r="N212" s="90" t="e">
        <v>#N/A</v>
      </c>
      <c r="O212" s="90">
        <v>0</v>
      </c>
      <c r="P212" s="90">
        <v>0</v>
      </c>
      <c r="Q212" s="90">
        <v>0</v>
      </c>
      <c r="R212" s="90">
        <v>153559</v>
      </c>
    </row>
    <row r="213" spans="1:18">
      <c r="A213" s="90" t="s">
        <v>1488</v>
      </c>
      <c r="B213" s="90" t="s">
        <v>665</v>
      </c>
      <c r="C213" s="90" t="str">
        <f t="shared" si="3"/>
        <v>Chignik BayOffice</v>
      </c>
      <c r="D213" s="90">
        <v>1</v>
      </c>
      <c r="E213" s="90">
        <v>1141</v>
      </c>
      <c r="F213" s="90" t="e">
        <v>#N/A</v>
      </c>
      <c r="G213" s="90">
        <v>0</v>
      </c>
      <c r="H213" s="90" t="e">
        <v>#N/A</v>
      </c>
      <c r="I213" s="90">
        <v>0</v>
      </c>
      <c r="J213" s="90">
        <v>0</v>
      </c>
      <c r="K213" s="90">
        <v>0</v>
      </c>
      <c r="L213" s="90" t="e">
        <v>#N/A</v>
      </c>
      <c r="M213" s="90">
        <v>0</v>
      </c>
      <c r="N213" s="90" t="e">
        <v>#N/A</v>
      </c>
      <c r="O213" s="90">
        <v>0</v>
      </c>
      <c r="P213" s="90">
        <v>0</v>
      </c>
      <c r="Q213" s="90">
        <v>0</v>
      </c>
      <c r="R213" s="90">
        <v>7987</v>
      </c>
    </row>
    <row r="214" spans="1:18">
      <c r="A214" s="90" t="s">
        <v>9</v>
      </c>
      <c r="B214" s="90" t="s">
        <v>1439</v>
      </c>
      <c r="C214" s="90" t="str">
        <f t="shared" si="3"/>
        <v>Chignik LagoonEducation - K - 12</v>
      </c>
      <c r="D214" s="90">
        <v>2</v>
      </c>
      <c r="E214" s="90">
        <v>13118</v>
      </c>
      <c r="F214" s="90">
        <v>203.46346655974787</v>
      </c>
      <c r="G214" s="90">
        <v>10917.51050981847</v>
      </c>
      <c r="H214" s="90">
        <v>85246.193083617356</v>
      </c>
      <c r="I214" s="90">
        <v>0</v>
      </c>
      <c r="J214" s="90">
        <v>0</v>
      </c>
      <c r="K214" s="90">
        <v>0</v>
      </c>
      <c r="L214" s="90">
        <v>150.56296525421342</v>
      </c>
      <c r="M214" s="90">
        <v>8078.9577772656676</v>
      </c>
      <c r="N214" s="90">
        <v>63082.182881876841</v>
      </c>
      <c r="O214" s="90">
        <v>0</v>
      </c>
      <c r="P214" s="90">
        <v>0</v>
      </c>
      <c r="Q214" s="90">
        <v>0</v>
      </c>
      <c r="R214" s="90">
        <v>91826</v>
      </c>
    </row>
    <row r="215" spans="1:18">
      <c r="A215" s="90" t="s">
        <v>9</v>
      </c>
      <c r="B215" s="90" t="s">
        <v>1440</v>
      </c>
      <c r="C215" s="90" t="str">
        <f t="shared" si="3"/>
        <v>Chignik LagoonHealth Care - Hospitals</v>
      </c>
      <c r="D215" s="90">
        <v>1</v>
      </c>
      <c r="E215" s="90">
        <v>1302</v>
      </c>
      <c r="F215" s="90">
        <v>907.45928423849</v>
      </c>
      <c r="G215" s="90">
        <v>0</v>
      </c>
      <c r="H215" s="90">
        <v>9794.2055530141315</v>
      </c>
      <c r="I215" s="90">
        <v>0</v>
      </c>
      <c r="J215" s="90">
        <v>0</v>
      </c>
      <c r="K215" s="90">
        <v>0</v>
      </c>
      <c r="L215" s="90">
        <v>671.51987033648254</v>
      </c>
      <c r="M215" s="90">
        <v>0</v>
      </c>
      <c r="N215" s="90">
        <v>7247.7121092304569</v>
      </c>
      <c r="O215" s="90">
        <v>0</v>
      </c>
      <c r="P215" s="90">
        <v>0</v>
      </c>
      <c r="Q215" s="90">
        <v>0</v>
      </c>
      <c r="R215" s="90">
        <v>9114</v>
      </c>
    </row>
    <row r="216" spans="1:18">
      <c r="A216" s="90" t="s">
        <v>9</v>
      </c>
      <c r="B216" s="90" t="s">
        <v>665</v>
      </c>
      <c r="C216" s="90" t="str">
        <f t="shared" si="3"/>
        <v>Chignik LagoonOffice</v>
      </c>
      <c r="D216" s="90">
        <v>4</v>
      </c>
      <c r="E216" s="90">
        <v>8133.0340136054419</v>
      </c>
      <c r="F216" s="90">
        <v>10822.329889185061</v>
      </c>
      <c r="G216" s="90">
        <v>0</v>
      </c>
      <c r="H216" s="90">
        <v>65194.646579810869</v>
      </c>
      <c r="I216" s="90">
        <v>0</v>
      </c>
      <c r="J216" s="90">
        <v>0</v>
      </c>
      <c r="K216" s="90">
        <v>0</v>
      </c>
      <c r="L216" s="90">
        <v>8008.5241179969453</v>
      </c>
      <c r="M216" s="90">
        <v>0</v>
      </c>
      <c r="N216" s="90">
        <v>48244.03846906004</v>
      </c>
      <c r="O216" s="90">
        <v>0</v>
      </c>
      <c r="P216" s="90">
        <v>0</v>
      </c>
      <c r="Q216" s="90">
        <v>0</v>
      </c>
      <c r="R216" s="90">
        <v>56931.238095238092</v>
      </c>
    </row>
    <row r="217" spans="1:18">
      <c r="A217" s="90" t="s">
        <v>9</v>
      </c>
      <c r="B217" s="90" t="s">
        <v>643</v>
      </c>
      <c r="C217" s="90" t="str">
        <f t="shared" si="3"/>
        <v>Chignik LagoonOther</v>
      </c>
      <c r="D217" s="90">
        <v>7</v>
      </c>
      <c r="E217" s="90">
        <v>15147.44318181818</v>
      </c>
      <c r="F217" s="90">
        <v>13100.589577409299</v>
      </c>
      <c r="G217" s="90">
        <v>0</v>
      </c>
      <c r="H217" s="90">
        <v>110242.90540525212</v>
      </c>
      <c r="I217" s="90">
        <v>0</v>
      </c>
      <c r="J217" s="90">
        <v>0</v>
      </c>
      <c r="K217" s="90">
        <v>0</v>
      </c>
      <c r="L217" s="90">
        <v>9694.4362872828824</v>
      </c>
      <c r="M217" s="90">
        <v>0</v>
      </c>
      <c r="N217" s="90">
        <v>81579.749999886553</v>
      </c>
      <c r="O217" s="90">
        <v>0</v>
      </c>
      <c r="P217" s="90">
        <v>0</v>
      </c>
      <c r="Q217" s="90">
        <v>0</v>
      </c>
      <c r="R217" s="90">
        <v>106032.10227272726</v>
      </c>
    </row>
    <row r="218" spans="1:18">
      <c r="A218" s="90" t="s">
        <v>9</v>
      </c>
      <c r="B218" s="90" t="s">
        <v>1227</v>
      </c>
      <c r="C218" s="90" t="str">
        <f t="shared" si="3"/>
        <v>Chignik LagoonPublic Assembly</v>
      </c>
      <c r="D218" s="90">
        <v>3</v>
      </c>
      <c r="E218" s="90">
        <v>9410.163461538461</v>
      </c>
      <c r="F218" s="90">
        <v>5871.5428244987615</v>
      </c>
      <c r="G218" s="90">
        <v>0</v>
      </c>
      <c r="H218" s="90">
        <v>35398.546840187657</v>
      </c>
      <c r="I218" s="90">
        <v>0</v>
      </c>
      <c r="J218" s="90">
        <v>0</v>
      </c>
      <c r="K218" s="90">
        <v>0</v>
      </c>
      <c r="L218" s="90">
        <v>4344.9416901290833</v>
      </c>
      <c r="M218" s="90">
        <v>0</v>
      </c>
      <c r="N218" s="90">
        <v>26194.924661738864</v>
      </c>
      <c r="O218" s="90">
        <v>0</v>
      </c>
      <c r="P218" s="90">
        <v>0</v>
      </c>
      <c r="Q218" s="90">
        <v>0</v>
      </c>
      <c r="R218" s="90">
        <v>65871.144230769234</v>
      </c>
    </row>
    <row r="219" spans="1:18">
      <c r="A219" s="90" t="s">
        <v>9</v>
      </c>
      <c r="B219" s="90" t="s">
        <v>1475</v>
      </c>
      <c r="C219" s="90" t="str">
        <f t="shared" si="3"/>
        <v>Chignik LagoonPublic Safety</v>
      </c>
      <c r="D219" s="90">
        <v>2</v>
      </c>
      <c r="E219" s="90">
        <v>5190.95</v>
      </c>
      <c r="F219" s="90">
        <v>5047.549247855236</v>
      </c>
      <c r="G219" s="90">
        <v>0</v>
      </c>
      <c r="H219" s="90">
        <v>41893.284612657066</v>
      </c>
      <c r="I219" s="90">
        <v>0</v>
      </c>
      <c r="J219" s="90">
        <v>0</v>
      </c>
      <c r="K219" s="90">
        <v>0</v>
      </c>
      <c r="L219" s="90">
        <v>3735.1864434128747</v>
      </c>
      <c r="M219" s="90">
        <v>0</v>
      </c>
      <c r="N219" s="90">
        <v>31001.030613366227</v>
      </c>
      <c r="O219" s="90">
        <v>0</v>
      </c>
      <c r="P219" s="90">
        <v>0</v>
      </c>
      <c r="Q219" s="90">
        <v>0</v>
      </c>
      <c r="R219" s="90">
        <v>36336.65</v>
      </c>
    </row>
    <row r="220" spans="1:18">
      <c r="A220" s="90" t="s">
        <v>9</v>
      </c>
      <c r="B220" s="90" t="s">
        <v>1485</v>
      </c>
      <c r="C220" s="90" t="str">
        <f t="shared" si="3"/>
        <v>Chignik LagoonRetail - Other</v>
      </c>
      <c r="D220" s="90">
        <v>1</v>
      </c>
      <c r="E220" s="90">
        <v>2105.2800000000002</v>
      </c>
      <c r="F220" s="90">
        <v>2225.7819714285715</v>
      </c>
      <c r="G220" s="90">
        <v>0</v>
      </c>
      <c r="H220" s="90">
        <v>49590.373216004155</v>
      </c>
      <c r="I220" s="90">
        <v>0</v>
      </c>
      <c r="J220" s="90">
        <v>0</v>
      </c>
      <c r="K220" s="90">
        <v>0</v>
      </c>
      <c r="L220" s="90">
        <v>1647.078658857143</v>
      </c>
      <c r="M220" s="90">
        <v>0</v>
      </c>
      <c r="N220" s="90">
        <v>36696.876179843071</v>
      </c>
      <c r="O220" s="90">
        <v>0</v>
      </c>
      <c r="P220" s="90">
        <v>0</v>
      </c>
      <c r="Q220" s="90">
        <v>0</v>
      </c>
      <c r="R220" s="90">
        <v>14736.960000000001</v>
      </c>
    </row>
    <row r="221" spans="1:18">
      <c r="A221" s="90" t="s">
        <v>255</v>
      </c>
      <c r="B221" s="90" t="s">
        <v>1447</v>
      </c>
      <c r="C221" s="90" t="str">
        <f t="shared" si="3"/>
        <v>Chignik LakeAccomodation Services</v>
      </c>
      <c r="D221" s="90">
        <v>2</v>
      </c>
      <c r="E221" s="90">
        <v>9541.6296296296296</v>
      </c>
      <c r="F221" s="90">
        <v>5976.9961080000558</v>
      </c>
      <c r="G221" s="90">
        <v>0</v>
      </c>
      <c r="H221" s="90">
        <v>70007.821405365263</v>
      </c>
      <c r="I221" s="90">
        <v>0</v>
      </c>
      <c r="J221" s="90">
        <v>0</v>
      </c>
      <c r="K221" s="90">
        <v>0</v>
      </c>
      <c r="L221" s="90">
        <v>4422.9771199200413</v>
      </c>
      <c r="M221" s="90">
        <v>0</v>
      </c>
      <c r="N221" s="90">
        <v>51805.787839970297</v>
      </c>
      <c r="O221" s="90">
        <v>0</v>
      </c>
      <c r="P221" s="90">
        <v>0</v>
      </c>
      <c r="Q221" s="90">
        <v>0</v>
      </c>
      <c r="R221" s="90">
        <v>66791.407407407401</v>
      </c>
    </row>
    <row r="222" spans="1:18">
      <c r="A222" s="90" t="s">
        <v>255</v>
      </c>
      <c r="B222" s="90" t="s">
        <v>1439</v>
      </c>
      <c r="C222" s="90" t="str">
        <f t="shared" si="3"/>
        <v>Chignik LakeEducation - K - 12</v>
      </c>
      <c r="D222" s="90">
        <v>3</v>
      </c>
      <c r="E222" s="90">
        <v>23510</v>
      </c>
      <c r="F222" s="90">
        <v>22449.304763316773</v>
      </c>
      <c r="G222" s="90">
        <v>18031.949723857655</v>
      </c>
      <c r="H222" s="90">
        <v>20525.500779034977</v>
      </c>
      <c r="I222" s="90">
        <v>0</v>
      </c>
      <c r="J222" s="90">
        <v>0</v>
      </c>
      <c r="K222" s="90">
        <v>0</v>
      </c>
      <c r="L222" s="90">
        <v>16612.485524854412</v>
      </c>
      <c r="M222" s="90">
        <v>13343.642795654665</v>
      </c>
      <c r="N222" s="90">
        <v>15188.870576485884</v>
      </c>
      <c r="O222" s="90">
        <v>0</v>
      </c>
      <c r="P222" s="90">
        <v>0</v>
      </c>
      <c r="Q222" s="90">
        <v>0</v>
      </c>
      <c r="R222" s="90">
        <v>164570</v>
      </c>
    </row>
    <row r="223" spans="1:18">
      <c r="A223" s="90" t="s">
        <v>255</v>
      </c>
      <c r="B223" s="90" t="s">
        <v>1440</v>
      </c>
      <c r="C223" s="90" t="str">
        <f t="shared" si="3"/>
        <v>Chignik LakeHealth Care - Hospitals</v>
      </c>
      <c r="D223" s="90">
        <v>1</v>
      </c>
      <c r="E223" s="90">
        <v>2400</v>
      </c>
      <c r="F223" s="90">
        <v>660</v>
      </c>
      <c r="G223" s="90">
        <v>0</v>
      </c>
      <c r="H223" s="90">
        <v>18053.835120763375</v>
      </c>
      <c r="I223" s="90">
        <v>0</v>
      </c>
      <c r="J223" s="90">
        <v>0</v>
      </c>
      <c r="K223" s="90">
        <v>0</v>
      </c>
      <c r="L223" s="90">
        <v>488.4</v>
      </c>
      <c r="M223" s="90">
        <v>0</v>
      </c>
      <c r="N223" s="90">
        <v>13359.837989364898</v>
      </c>
      <c r="O223" s="90">
        <v>0</v>
      </c>
      <c r="P223" s="90">
        <v>0</v>
      </c>
      <c r="Q223" s="90">
        <v>0</v>
      </c>
      <c r="R223" s="90">
        <v>16800</v>
      </c>
    </row>
    <row r="224" spans="1:18">
      <c r="A224" s="90" t="s">
        <v>255</v>
      </c>
      <c r="B224" s="90" t="s">
        <v>665</v>
      </c>
      <c r="C224" s="90" t="str">
        <f t="shared" si="3"/>
        <v>Chignik LakeOffice</v>
      </c>
      <c r="D224" s="90">
        <v>4</v>
      </c>
      <c r="E224" s="90">
        <v>7766.517006802721</v>
      </c>
      <c r="F224" s="90">
        <v>6621.1649445925304</v>
      </c>
      <c r="G224" s="90">
        <v>0</v>
      </c>
      <c r="H224" s="90">
        <v>43716.559575515341</v>
      </c>
      <c r="I224" s="90">
        <v>0</v>
      </c>
      <c r="J224" s="90">
        <v>0</v>
      </c>
      <c r="K224" s="90">
        <v>0</v>
      </c>
      <c r="L224" s="90">
        <v>4899.6620589984723</v>
      </c>
      <c r="M224" s="90">
        <v>0</v>
      </c>
      <c r="N224" s="90">
        <v>32350.254085881352</v>
      </c>
      <c r="O224" s="90">
        <v>0</v>
      </c>
      <c r="P224" s="90">
        <v>0</v>
      </c>
      <c r="Q224" s="90">
        <v>0</v>
      </c>
      <c r="R224" s="90">
        <v>54365.619047619046</v>
      </c>
    </row>
    <row r="225" spans="1:18">
      <c r="A225" s="90" t="s">
        <v>255</v>
      </c>
      <c r="B225" s="90" t="s">
        <v>643</v>
      </c>
      <c r="C225" s="90" t="str">
        <f t="shared" si="3"/>
        <v>Chignik LakeOther</v>
      </c>
      <c r="D225" s="90">
        <v>4</v>
      </c>
      <c r="E225" s="90">
        <v>18827.840909090912</v>
      </c>
      <c r="F225" s="90">
        <v>16283.660114653761</v>
      </c>
      <c r="G225" s="90">
        <v>0</v>
      </c>
      <c r="H225" s="90">
        <v>137028.79485413604</v>
      </c>
      <c r="I225" s="90">
        <v>0</v>
      </c>
      <c r="J225" s="90">
        <v>0</v>
      </c>
      <c r="K225" s="90">
        <v>0</v>
      </c>
      <c r="L225" s="90">
        <v>12049.908484843781</v>
      </c>
      <c r="M225" s="90">
        <v>0</v>
      </c>
      <c r="N225" s="90">
        <v>101401.30819206065</v>
      </c>
      <c r="O225" s="90">
        <v>0</v>
      </c>
      <c r="P225" s="90">
        <v>0</v>
      </c>
      <c r="Q225" s="90">
        <v>0</v>
      </c>
      <c r="R225" s="90">
        <v>131794.88636363635</v>
      </c>
    </row>
    <row r="226" spans="1:18">
      <c r="A226" s="90" t="s">
        <v>255</v>
      </c>
      <c r="B226" s="90" t="s">
        <v>1227</v>
      </c>
      <c r="C226" s="90" t="str">
        <f t="shared" si="3"/>
        <v>Chignik LakePublic Assembly</v>
      </c>
      <c r="D226" s="90">
        <v>4</v>
      </c>
      <c r="E226" s="90">
        <v>11330.163461538463</v>
      </c>
      <c r="F226" s="90">
        <v>7069.5413788399801</v>
      </c>
      <c r="G226" s="90">
        <v>0</v>
      </c>
      <c r="H226" s="90">
        <v>42621.07918098598</v>
      </c>
      <c r="I226" s="90">
        <v>0</v>
      </c>
      <c r="J226" s="90">
        <v>0</v>
      </c>
      <c r="K226" s="90">
        <v>0</v>
      </c>
      <c r="L226" s="90">
        <v>5231.4606203415851</v>
      </c>
      <c r="M226" s="90">
        <v>0</v>
      </c>
      <c r="N226" s="90">
        <v>31539.598593929622</v>
      </c>
      <c r="O226" s="90">
        <v>0</v>
      </c>
      <c r="P226" s="90">
        <v>0</v>
      </c>
      <c r="Q226" s="90">
        <v>0</v>
      </c>
      <c r="R226" s="90">
        <v>79311.144230769234</v>
      </c>
    </row>
    <row r="227" spans="1:18">
      <c r="A227" s="90" t="s">
        <v>255</v>
      </c>
      <c r="B227" s="90" t="s">
        <v>1485</v>
      </c>
      <c r="C227" s="90" t="str">
        <f t="shared" si="3"/>
        <v>Chignik LakeRetail - Other</v>
      </c>
      <c r="D227" s="90">
        <v>1</v>
      </c>
      <c r="E227" s="90">
        <v>2105.2800000000002</v>
      </c>
      <c r="F227" s="90">
        <v>2225.7819714285715</v>
      </c>
      <c r="G227" s="90">
        <v>0</v>
      </c>
      <c r="H227" s="90">
        <v>49590.373216004155</v>
      </c>
      <c r="I227" s="90">
        <v>0</v>
      </c>
      <c r="J227" s="90">
        <v>0</v>
      </c>
      <c r="K227" s="90">
        <v>0</v>
      </c>
      <c r="L227" s="90">
        <v>1647.078658857143</v>
      </c>
      <c r="M227" s="90">
        <v>0</v>
      </c>
      <c r="N227" s="90">
        <v>36696.876179843071</v>
      </c>
      <c r="O227" s="90">
        <v>0</v>
      </c>
      <c r="P227" s="90">
        <v>0</v>
      </c>
      <c r="Q227" s="90">
        <v>0</v>
      </c>
      <c r="R227" s="90">
        <v>14736.960000000001</v>
      </c>
    </row>
    <row r="228" spans="1:18">
      <c r="A228" s="90" t="s">
        <v>255</v>
      </c>
      <c r="B228" s="90" t="s">
        <v>951</v>
      </c>
      <c r="C228" s="90" t="str">
        <f t="shared" si="3"/>
        <v>Chignik LakeWarehousing</v>
      </c>
      <c r="D228" s="90">
        <v>4</v>
      </c>
      <c r="E228" s="90">
        <v>5471.9145299145293</v>
      </c>
      <c r="F228" s="90">
        <v>6859.2112460412518</v>
      </c>
      <c r="G228" s="90">
        <v>0</v>
      </c>
      <c r="H228" s="90">
        <v>64925.080043314454</v>
      </c>
      <c r="I228" s="90">
        <v>0</v>
      </c>
      <c r="J228" s="90">
        <v>0</v>
      </c>
      <c r="K228" s="90">
        <v>0</v>
      </c>
      <c r="L228" s="90">
        <v>5075.8163220705264</v>
      </c>
      <c r="M228" s="90">
        <v>0</v>
      </c>
      <c r="N228" s="90">
        <v>48044.559232052699</v>
      </c>
      <c r="O228" s="90">
        <v>0</v>
      </c>
      <c r="P228" s="90">
        <v>0</v>
      </c>
      <c r="Q228" s="90">
        <v>0</v>
      </c>
      <c r="R228" s="90">
        <v>38303.401709401704</v>
      </c>
    </row>
    <row r="229" spans="1:18">
      <c r="A229" s="90" t="s">
        <v>991</v>
      </c>
      <c r="B229" s="90" t="s">
        <v>1439</v>
      </c>
      <c r="C229" s="90" t="str">
        <f t="shared" si="3"/>
        <v>ChiniakEducation - K - 12</v>
      </c>
      <c r="D229" s="90">
        <v>1</v>
      </c>
      <c r="E229" s="90">
        <v>8450</v>
      </c>
      <c r="F229" s="90">
        <v>3000</v>
      </c>
      <c r="G229" s="90">
        <v>0</v>
      </c>
      <c r="H229" s="90">
        <v>37856</v>
      </c>
      <c r="I229" s="90">
        <v>0</v>
      </c>
      <c r="J229" s="90">
        <v>0</v>
      </c>
      <c r="K229" s="90">
        <v>0</v>
      </c>
      <c r="L229" s="90">
        <v>2220</v>
      </c>
      <c r="M229" s="90">
        <v>0</v>
      </c>
      <c r="N229" s="90">
        <v>28013.439999999999</v>
      </c>
      <c r="O229" s="90">
        <v>0</v>
      </c>
      <c r="P229" s="90">
        <v>0</v>
      </c>
      <c r="Q229" s="90">
        <v>0</v>
      </c>
      <c r="R229" s="90">
        <v>59150</v>
      </c>
    </row>
    <row r="230" spans="1:18">
      <c r="A230" s="90" t="s">
        <v>10</v>
      </c>
      <c r="B230" s="90" t="s">
        <v>1439</v>
      </c>
      <c r="C230" s="90" t="str">
        <f t="shared" si="3"/>
        <v>ChistochinaEducation - K - 12</v>
      </c>
      <c r="D230" s="90">
        <v>2</v>
      </c>
      <c r="E230" s="90">
        <v>16308.415555555555</v>
      </c>
      <c r="F230" s="90">
        <v>12509.303381805299</v>
      </c>
      <c r="G230" s="90">
        <v>0</v>
      </c>
      <c r="H230" s="90">
        <v>89492.779565875579</v>
      </c>
      <c r="I230" s="90">
        <v>0</v>
      </c>
      <c r="J230" s="90">
        <v>0</v>
      </c>
      <c r="K230" s="90">
        <v>0</v>
      </c>
      <c r="L230" s="90">
        <v>9256.8845025359205</v>
      </c>
      <c r="M230" s="90">
        <v>0</v>
      </c>
      <c r="N230" s="90">
        <v>66224.656878747934</v>
      </c>
      <c r="O230" s="90">
        <v>0</v>
      </c>
      <c r="P230" s="90">
        <v>0</v>
      </c>
      <c r="Q230" s="90">
        <v>0</v>
      </c>
      <c r="R230" s="90">
        <v>114158.90888888889</v>
      </c>
    </row>
    <row r="231" spans="1:18">
      <c r="A231" s="90" t="s">
        <v>10</v>
      </c>
      <c r="B231" s="90" t="s">
        <v>1440</v>
      </c>
      <c r="C231" s="90" t="str">
        <f t="shared" si="3"/>
        <v>ChistochinaHealth Care - Hospitals</v>
      </c>
      <c r="D231" s="90">
        <v>2</v>
      </c>
      <c r="E231" s="90">
        <v>2456.9250000000002</v>
      </c>
      <c r="F231" s="90">
        <v>1712.4112149981968</v>
      </c>
      <c r="G231" s="90">
        <v>0</v>
      </c>
      <c r="H231" s="90">
        <v>18482.049522533984</v>
      </c>
      <c r="I231" s="90">
        <v>0</v>
      </c>
      <c r="J231" s="90">
        <v>0</v>
      </c>
      <c r="K231" s="90">
        <v>0</v>
      </c>
      <c r="L231" s="90">
        <v>1267.1842990986656</v>
      </c>
      <c r="M231" s="90">
        <v>0</v>
      </c>
      <c r="N231" s="90">
        <v>13676.716646675148</v>
      </c>
      <c r="O231" s="90">
        <v>0</v>
      </c>
      <c r="P231" s="90">
        <v>0</v>
      </c>
      <c r="Q231" s="90">
        <v>0</v>
      </c>
      <c r="R231" s="90">
        <v>17198.475000000002</v>
      </c>
    </row>
    <row r="232" spans="1:18">
      <c r="A232" s="90" t="s">
        <v>10</v>
      </c>
      <c r="B232" s="90" t="s">
        <v>665</v>
      </c>
      <c r="C232" s="90" t="str">
        <f t="shared" si="3"/>
        <v>ChistochinaOffice</v>
      </c>
      <c r="D232" s="90">
        <v>3</v>
      </c>
      <c r="E232" s="90">
        <v>3233.2585034013605</v>
      </c>
      <c r="F232" s="90">
        <v>4302.3784337169309</v>
      </c>
      <c r="G232" s="90">
        <v>0</v>
      </c>
      <c r="H232" s="90">
        <v>25917.897930562624</v>
      </c>
      <c r="I232" s="90">
        <v>0</v>
      </c>
      <c r="J232" s="90">
        <v>0</v>
      </c>
      <c r="K232" s="90">
        <v>0</v>
      </c>
      <c r="L232" s="90">
        <v>3183.7600409505285</v>
      </c>
      <c r="M232" s="90">
        <v>0</v>
      </c>
      <c r="N232" s="90">
        <v>19179.24446861634</v>
      </c>
      <c r="O232" s="90">
        <v>0</v>
      </c>
      <c r="P232" s="90">
        <v>0</v>
      </c>
      <c r="Q232" s="90">
        <v>0</v>
      </c>
      <c r="R232" s="90">
        <v>22632.809523809523</v>
      </c>
    </row>
    <row r="233" spans="1:18">
      <c r="A233" s="90" t="s">
        <v>10</v>
      </c>
      <c r="B233" s="90" t="s">
        <v>643</v>
      </c>
      <c r="C233" s="90" t="str">
        <f t="shared" si="3"/>
        <v>ChistochinaOther</v>
      </c>
      <c r="D233" s="90">
        <v>5</v>
      </c>
      <c r="E233" s="90">
        <v>9255.681818181818</v>
      </c>
      <c r="F233" s="90">
        <v>8004.973994861024</v>
      </c>
      <c r="G233" s="90">
        <v>0</v>
      </c>
      <c r="H233" s="90">
        <v>67362.738575425537</v>
      </c>
      <c r="I233" s="90">
        <v>0</v>
      </c>
      <c r="J233" s="90">
        <v>0</v>
      </c>
      <c r="K233" s="90">
        <v>0</v>
      </c>
      <c r="L233" s="90">
        <v>5923.6807561971582</v>
      </c>
      <c r="M233" s="90">
        <v>0</v>
      </c>
      <c r="N233" s="90">
        <v>49848.426545814895</v>
      </c>
      <c r="O233" s="90">
        <v>0</v>
      </c>
      <c r="P233" s="90">
        <v>0</v>
      </c>
      <c r="Q233" s="90">
        <v>0</v>
      </c>
      <c r="R233" s="90">
        <v>64789.772727272735</v>
      </c>
    </row>
    <row r="234" spans="1:18">
      <c r="A234" s="90" t="s">
        <v>10</v>
      </c>
      <c r="B234" s="90" t="s">
        <v>1227</v>
      </c>
      <c r="C234" s="90" t="str">
        <f t="shared" si="3"/>
        <v>ChistochinaPublic Assembly</v>
      </c>
      <c r="D234" s="90">
        <v>2</v>
      </c>
      <c r="E234" s="90">
        <v>9136.7211538461543</v>
      </c>
      <c r="F234" s="90">
        <v>5700.9264238158921</v>
      </c>
      <c r="G234" s="90">
        <v>0</v>
      </c>
      <c r="H234" s="90">
        <v>34369.929178390666</v>
      </c>
      <c r="I234" s="90">
        <v>0</v>
      </c>
      <c r="J234" s="90">
        <v>0</v>
      </c>
      <c r="K234" s="90">
        <v>0</v>
      </c>
      <c r="L234" s="90">
        <v>4218.6855536237599</v>
      </c>
      <c r="M234" s="90">
        <v>0</v>
      </c>
      <c r="N234" s="90">
        <v>25433.747592009095</v>
      </c>
      <c r="O234" s="90">
        <v>0</v>
      </c>
      <c r="P234" s="90">
        <v>0</v>
      </c>
      <c r="Q234" s="90">
        <v>0</v>
      </c>
      <c r="R234" s="90">
        <v>63957.048076923078</v>
      </c>
    </row>
    <row r="235" spans="1:18">
      <c r="A235" s="90" t="s">
        <v>10</v>
      </c>
      <c r="B235" s="90" t="s">
        <v>1475</v>
      </c>
      <c r="C235" s="90" t="str">
        <f t="shared" si="3"/>
        <v>ChistochinaPublic Safety</v>
      </c>
      <c r="D235" s="90">
        <v>1</v>
      </c>
      <c r="E235" s="90">
        <v>2595.4749999999999</v>
      </c>
      <c r="F235" s="90">
        <v>2523.774623927618</v>
      </c>
      <c r="G235" s="90">
        <v>0</v>
      </c>
      <c r="H235" s="90">
        <v>20946.642306328533</v>
      </c>
      <c r="I235" s="90">
        <v>0</v>
      </c>
      <c r="J235" s="90">
        <v>0</v>
      </c>
      <c r="K235" s="90">
        <v>0</v>
      </c>
      <c r="L235" s="90">
        <v>1867.5932217064374</v>
      </c>
      <c r="M235" s="90">
        <v>0</v>
      </c>
      <c r="N235" s="90">
        <v>15500.515306683114</v>
      </c>
      <c r="O235" s="90">
        <v>0</v>
      </c>
      <c r="P235" s="90">
        <v>0</v>
      </c>
      <c r="Q235" s="90">
        <v>0</v>
      </c>
      <c r="R235" s="90">
        <v>18168.325000000001</v>
      </c>
    </row>
    <row r="236" spans="1:18">
      <c r="A236" s="90" t="s">
        <v>992</v>
      </c>
      <c r="B236" s="90" t="s">
        <v>1447</v>
      </c>
      <c r="C236" s="90" t="str">
        <f t="shared" si="3"/>
        <v>ChitinaAccomodation Services</v>
      </c>
      <c r="D236" s="90">
        <v>2</v>
      </c>
      <c r="E236" s="90">
        <v>21500</v>
      </c>
      <c r="F236" s="90">
        <v>13467.868834790364</v>
      </c>
      <c r="G236" s="90">
        <v>0</v>
      </c>
      <c r="H236" s="90">
        <v>157747.49373433585</v>
      </c>
      <c r="I236" s="90">
        <v>0</v>
      </c>
      <c r="J236" s="90">
        <v>0</v>
      </c>
      <c r="K236" s="90">
        <v>0</v>
      </c>
      <c r="L236" s="90">
        <v>9966.2229377448693</v>
      </c>
      <c r="M236" s="90">
        <v>0</v>
      </c>
      <c r="N236" s="90">
        <v>116733.14536340852</v>
      </c>
      <c r="O236" s="90">
        <v>0</v>
      </c>
      <c r="P236" s="90">
        <v>0</v>
      </c>
      <c r="Q236" s="90">
        <v>0</v>
      </c>
      <c r="R236" s="90">
        <v>150500</v>
      </c>
    </row>
    <row r="237" spans="1:18">
      <c r="A237" s="90" t="s">
        <v>992</v>
      </c>
      <c r="B237" s="90" t="s">
        <v>1469</v>
      </c>
      <c r="C237" s="90" t="str">
        <f t="shared" si="3"/>
        <v>ChitinaFood Service and Drinking Places</v>
      </c>
      <c r="D237" s="90">
        <v>1</v>
      </c>
      <c r="E237" s="90">
        <v>2640.5384615384614</v>
      </c>
      <c r="F237" s="90">
        <v>1059.7361025641026</v>
      </c>
      <c r="G237" s="90">
        <v>0</v>
      </c>
      <c r="H237" s="90">
        <v>7071.0110453841353</v>
      </c>
      <c r="I237" s="90">
        <v>0</v>
      </c>
      <c r="J237" s="90">
        <v>0</v>
      </c>
      <c r="K237" s="90">
        <v>0</v>
      </c>
      <c r="L237" s="90">
        <v>784.2047158974359</v>
      </c>
      <c r="M237" s="90">
        <v>0</v>
      </c>
      <c r="N237" s="90">
        <v>5232.5481735842604</v>
      </c>
      <c r="O237" s="90">
        <v>0</v>
      </c>
      <c r="P237" s="90">
        <v>0</v>
      </c>
      <c r="Q237" s="90">
        <v>0</v>
      </c>
      <c r="R237" s="90">
        <v>18483.76923076923</v>
      </c>
    </row>
    <row r="238" spans="1:18">
      <c r="A238" s="90" t="s">
        <v>992</v>
      </c>
      <c r="B238" s="90" t="s">
        <v>1440</v>
      </c>
      <c r="C238" s="90" t="str">
        <f t="shared" si="3"/>
        <v>ChitinaHealth Care - Hospitals</v>
      </c>
      <c r="D238" s="90">
        <v>1</v>
      </c>
      <c r="E238" s="90">
        <v>2500</v>
      </c>
      <c r="F238" s="90">
        <v>0</v>
      </c>
      <c r="G238" s="90">
        <v>1742.4333414717548</v>
      </c>
      <c r="H238" s="90">
        <v>18806.078250795184</v>
      </c>
      <c r="I238" s="90">
        <v>0</v>
      </c>
      <c r="J238" s="90">
        <v>0</v>
      </c>
      <c r="K238" s="90">
        <v>0</v>
      </c>
      <c r="L238" s="90">
        <v>0</v>
      </c>
      <c r="M238" s="90">
        <v>1289.4006726890987</v>
      </c>
      <c r="N238" s="90">
        <v>13916.497905588436</v>
      </c>
      <c r="O238" s="90">
        <v>0</v>
      </c>
      <c r="P238" s="90">
        <v>0</v>
      </c>
      <c r="Q238" s="90">
        <v>0</v>
      </c>
      <c r="R238" s="90">
        <v>17500</v>
      </c>
    </row>
    <row r="239" spans="1:18">
      <c r="A239" s="90" t="s">
        <v>992</v>
      </c>
      <c r="B239" s="90" t="s">
        <v>665</v>
      </c>
      <c r="C239" s="90" t="str">
        <f t="shared" si="3"/>
        <v>ChitinaOffice</v>
      </c>
      <c r="D239" s="90">
        <v>3</v>
      </c>
      <c r="E239" s="90">
        <v>1656</v>
      </c>
      <c r="F239" s="90">
        <v>2203.5784267605181</v>
      </c>
      <c r="G239" s="90">
        <v>0</v>
      </c>
      <c r="H239" s="90">
        <v>8962.0043027757274</v>
      </c>
      <c r="I239" s="90">
        <v>0</v>
      </c>
      <c r="J239" s="90">
        <v>0</v>
      </c>
      <c r="K239" s="90">
        <v>0</v>
      </c>
      <c r="L239" s="90">
        <v>1630.6480358027834</v>
      </c>
      <c r="M239" s="90">
        <v>0</v>
      </c>
      <c r="N239" s="90">
        <v>6631.8831840540388</v>
      </c>
      <c r="O239" s="90">
        <v>0</v>
      </c>
      <c r="P239" s="90">
        <v>0</v>
      </c>
      <c r="Q239" s="90">
        <v>0</v>
      </c>
      <c r="R239" s="90">
        <v>11592</v>
      </c>
    </row>
    <row r="240" spans="1:18">
      <c r="A240" s="90" t="s">
        <v>992</v>
      </c>
      <c r="B240" s="90" t="s">
        <v>643</v>
      </c>
      <c r="C240" s="90" t="str">
        <f t="shared" si="3"/>
        <v>ChitinaOther</v>
      </c>
      <c r="D240" s="90">
        <v>8</v>
      </c>
      <c r="E240" s="90">
        <v>10627.920454545454</v>
      </c>
      <c r="F240" s="90">
        <v>8604.4419254017375</v>
      </c>
      <c r="G240" s="90">
        <v>0</v>
      </c>
      <c r="H240" s="90">
        <v>82205.398240822513</v>
      </c>
      <c r="I240" s="90">
        <v>0</v>
      </c>
      <c r="J240" s="90">
        <v>0</v>
      </c>
      <c r="K240" s="90">
        <v>0</v>
      </c>
      <c r="L240" s="90">
        <v>6367.2870247972851</v>
      </c>
      <c r="M240" s="90">
        <v>0</v>
      </c>
      <c r="N240" s="90">
        <v>60831.994698208669</v>
      </c>
      <c r="O240" s="90">
        <v>0</v>
      </c>
      <c r="P240" s="90">
        <v>0</v>
      </c>
      <c r="Q240" s="90">
        <v>0</v>
      </c>
      <c r="R240" s="90">
        <v>74395.443181818177</v>
      </c>
    </row>
    <row r="241" spans="1:18">
      <c r="A241" s="90" t="s">
        <v>992</v>
      </c>
      <c r="B241" s="90" t="s">
        <v>1227</v>
      </c>
      <c r="C241" s="90" t="str">
        <f t="shared" si="3"/>
        <v>ChitinaPublic Assembly</v>
      </c>
      <c r="D241" s="90">
        <v>3</v>
      </c>
      <c r="E241" s="90">
        <v>5200</v>
      </c>
      <c r="F241" s="90">
        <v>3244.5794180074636</v>
      </c>
      <c r="G241" s="90">
        <v>0</v>
      </c>
      <c r="H241" s="90">
        <v>19561.025089662144</v>
      </c>
      <c r="I241" s="90">
        <v>0</v>
      </c>
      <c r="J241" s="90">
        <v>0</v>
      </c>
      <c r="K241" s="90">
        <v>0</v>
      </c>
      <c r="L241" s="90">
        <v>2400.9887693255232</v>
      </c>
      <c r="M241" s="90">
        <v>0</v>
      </c>
      <c r="N241" s="90">
        <v>14475.158566349986</v>
      </c>
      <c r="O241" s="90">
        <v>0</v>
      </c>
      <c r="P241" s="90">
        <v>0</v>
      </c>
      <c r="Q241" s="90">
        <v>0</v>
      </c>
      <c r="R241" s="90">
        <v>36400</v>
      </c>
    </row>
    <row r="242" spans="1:18">
      <c r="A242" s="90" t="s">
        <v>992</v>
      </c>
      <c r="B242" s="90" t="s">
        <v>1442</v>
      </c>
      <c r="C242" s="90" t="str">
        <f t="shared" si="3"/>
        <v>ChitinaResidential - Multi-Family</v>
      </c>
      <c r="D242" s="90">
        <v>1</v>
      </c>
      <c r="E242" s="90">
        <v>600</v>
      </c>
      <c r="F242" s="90">
        <v>453.31358626774687</v>
      </c>
      <c r="G242" s="90">
        <v>0</v>
      </c>
      <c r="H242" s="90">
        <v>466.50419849999992</v>
      </c>
      <c r="I242" s="90">
        <v>0</v>
      </c>
      <c r="J242" s="90">
        <v>0</v>
      </c>
      <c r="K242" s="90">
        <v>0</v>
      </c>
      <c r="L242" s="90">
        <v>335.45205383813266</v>
      </c>
      <c r="M242" s="90">
        <v>0</v>
      </c>
      <c r="N242" s="90">
        <v>345.21310688999995</v>
      </c>
      <c r="O242" s="90">
        <v>0</v>
      </c>
      <c r="P242" s="90">
        <v>0</v>
      </c>
      <c r="Q242" s="90">
        <v>0</v>
      </c>
      <c r="R242" s="90">
        <v>4200</v>
      </c>
    </row>
    <row r="243" spans="1:18">
      <c r="A243" s="90" t="s">
        <v>992</v>
      </c>
      <c r="B243" s="90" t="s">
        <v>1485</v>
      </c>
      <c r="C243" s="90" t="str">
        <f t="shared" si="3"/>
        <v>ChitinaRetail - Other</v>
      </c>
      <c r="D243" s="90">
        <v>1</v>
      </c>
      <c r="E243" s="90">
        <v>400</v>
      </c>
      <c r="F243" s="90">
        <v>794</v>
      </c>
      <c r="G243" s="90">
        <v>0</v>
      </c>
      <c r="H243" s="90">
        <v>10528</v>
      </c>
      <c r="I243" s="90">
        <v>0</v>
      </c>
      <c r="J243" s="90">
        <v>0</v>
      </c>
      <c r="K243" s="90">
        <v>0</v>
      </c>
      <c r="L243" s="90">
        <v>587.55999999999995</v>
      </c>
      <c r="M243" s="90">
        <v>0</v>
      </c>
      <c r="N243" s="90">
        <v>7790.72</v>
      </c>
      <c r="O243" s="90">
        <v>0</v>
      </c>
      <c r="P243" s="90">
        <v>0</v>
      </c>
      <c r="Q243" s="90">
        <v>0</v>
      </c>
      <c r="R243" s="90">
        <v>2800</v>
      </c>
    </row>
    <row r="244" spans="1:18">
      <c r="A244" s="90" t="s">
        <v>992</v>
      </c>
      <c r="B244" s="90" t="s">
        <v>951</v>
      </c>
      <c r="C244" s="90" t="str">
        <f t="shared" si="3"/>
        <v>ChitinaWarehousing</v>
      </c>
      <c r="D244" s="90">
        <v>1</v>
      </c>
      <c r="E244" s="90">
        <v>2240</v>
      </c>
      <c r="F244" s="90">
        <v>2807.9081109792842</v>
      </c>
      <c r="G244" s="90">
        <v>0</v>
      </c>
      <c r="H244" s="90">
        <v>26577.933281296337</v>
      </c>
      <c r="I244" s="90">
        <v>0</v>
      </c>
      <c r="J244" s="90">
        <v>0</v>
      </c>
      <c r="K244" s="90">
        <v>0</v>
      </c>
      <c r="L244" s="90">
        <v>2077.8520021246704</v>
      </c>
      <c r="M244" s="90">
        <v>0</v>
      </c>
      <c r="N244" s="90">
        <v>19667.670628159289</v>
      </c>
      <c r="O244" s="90">
        <v>0</v>
      </c>
      <c r="P244" s="90">
        <v>0</v>
      </c>
      <c r="Q244" s="90">
        <v>0</v>
      </c>
      <c r="R244" s="90">
        <v>15680</v>
      </c>
    </row>
    <row r="245" spans="1:18">
      <c r="A245" s="90" t="s">
        <v>188</v>
      </c>
      <c r="B245" s="90" t="s">
        <v>1439</v>
      </c>
      <c r="C245" s="90" t="str">
        <f t="shared" si="3"/>
        <v>ChuathbalukEducation - K - 12</v>
      </c>
      <c r="D245" s="90">
        <v>1</v>
      </c>
      <c r="E245" s="90">
        <v>10451.5</v>
      </c>
      <c r="F245" s="90">
        <v>3756.2189781021898</v>
      </c>
      <c r="G245" s="90">
        <v>0</v>
      </c>
      <c r="H245" s="90">
        <v>27629.915040666663</v>
      </c>
      <c r="I245" s="90">
        <v>0</v>
      </c>
      <c r="J245" s="90">
        <v>0</v>
      </c>
      <c r="K245" s="90">
        <v>0</v>
      </c>
      <c r="L245" s="90">
        <v>2779.6020437956204</v>
      </c>
      <c r="M245" s="90">
        <v>0</v>
      </c>
      <c r="N245" s="90">
        <v>20446.137130093332</v>
      </c>
      <c r="O245" s="90">
        <v>0</v>
      </c>
      <c r="P245" s="90">
        <v>0</v>
      </c>
      <c r="Q245" s="90">
        <v>0</v>
      </c>
      <c r="R245" s="90">
        <v>73160.5</v>
      </c>
    </row>
    <row r="246" spans="1:18">
      <c r="A246" s="90" t="s">
        <v>188</v>
      </c>
      <c r="B246" s="90" t="s">
        <v>1440</v>
      </c>
      <c r="C246" s="90" t="str">
        <f t="shared" si="3"/>
        <v>ChuathbalukHealth Care - Hospitals</v>
      </c>
      <c r="D246" s="90">
        <v>2</v>
      </c>
      <c r="E246" s="90">
        <v>4136</v>
      </c>
      <c r="F246" s="90">
        <v>2330.3408600654357</v>
      </c>
      <c r="G246" s="90">
        <v>0</v>
      </c>
      <c r="H246" s="90">
        <v>40736.611714999999</v>
      </c>
      <c r="I246" s="90">
        <v>0</v>
      </c>
      <c r="J246" s="90">
        <v>0</v>
      </c>
      <c r="K246" s="90">
        <v>0</v>
      </c>
      <c r="L246" s="90">
        <v>1724.4522364484224</v>
      </c>
      <c r="M246" s="90">
        <v>0</v>
      </c>
      <c r="N246" s="90">
        <v>30145.092669099999</v>
      </c>
      <c r="O246" s="90">
        <v>0</v>
      </c>
      <c r="P246" s="90">
        <v>0</v>
      </c>
      <c r="Q246" s="90">
        <v>0</v>
      </c>
      <c r="R246" s="90">
        <v>28952</v>
      </c>
    </row>
    <row r="247" spans="1:18">
      <c r="A247" s="90" t="s">
        <v>188</v>
      </c>
      <c r="B247" s="90" t="s">
        <v>665</v>
      </c>
      <c r="C247" s="90" t="str">
        <f t="shared" si="3"/>
        <v>ChuathbalukOffice</v>
      </c>
      <c r="D247" s="90">
        <v>3</v>
      </c>
      <c r="E247" s="90">
        <v>3530</v>
      </c>
      <c r="F247" s="90">
        <v>3751.9523771815057</v>
      </c>
      <c r="G247" s="90">
        <v>0</v>
      </c>
      <c r="H247" s="90">
        <v>25305.308489088697</v>
      </c>
      <c r="I247" s="90">
        <v>0</v>
      </c>
      <c r="J247" s="90">
        <v>0</v>
      </c>
      <c r="K247" s="90">
        <v>0</v>
      </c>
      <c r="L247" s="90">
        <v>2776.4447591143144</v>
      </c>
      <c r="M247" s="90">
        <v>0</v>
      </c>
      <c r="N247" s="90">
        <v>18725.928281925637</v>
      </c>
      <c r="O247" s="90">
        <v>0</v>
      </c>
      <c r="P247" s="90">
        <v>0</v>
      </c>
      <c r="Q247" s="90">
        <v>0</v>
      </c>
      <c r="R247" s="90">
        <v>24710</v>
      </c>
    </row>
    <row r="248" spans="1:18">
      <c r="A248" s="90" t="s">
        <v>188</v>
      </c>
      <c r="B248" s="90" t="s">
        <v>643</v>
      </c>
      <c r="C248" s="90" t="str">
        <f t="shared" si="3"/>
        <v>ChuathbalukOther</v>
      </c>
      <c r="D248" s="90">
        <v>3</v>
      </c>
      <c r="E248" s="90">
        <v>3348.9204545454545</v>
      </c>
      <c r="F248" s="90">
        <v>2896.3853421184999</v>
      </c>
      <c r="G248" s="90">
        <v>0</v>
      </c>
      <c r="H248" s="90">
        <v>24373.40192985977</v>
      </c>
      <c r="I248" s="90">
        <v>0</v>
      </c>
      <c r="J248" s="90">
        <v>0</v>
      </c>
      <c r="K248" s="90">
        <v>0</v>
      </c>
      <c r="L248" s="90">
        <v>2143.3251531676897</v>
      </c>
      <c r="M248" s="90">
        <v>0</v>
      </c>
      <c r="N248" s="90">
        <v>18036.317428096227</v>
      </c>
      <c r="O248" s="90">
        <v>0</v>
      </c>
      <c r="P248" s="90">
        <v>0</v>
      </c>
      <c r="Q248" s="90">
        <v>0</v>
      </c>
      <c r="R248" s="90">
        <v>23442.443181818184</v>
      </c>
    </row>
    <row r="249" spans="1:18">
      <c r="A249" s="90" t="s">
        <v>188</v>
      </c>
      <c r="B249" s="90" t="s">
        <v>1227</v>
      </c>
      <c r="C249" s="90" t="str">
        <f t="shared" si="3"/>
        <v>ChuathbalukPublic Assembly</v>
      </c>
      <c r="D249" s="90">
        <v>1</v>
      </c>
      <c r="E249" s="90">
        <v>1200</v>
      </c>
      <c r="F249" s="90">
        <v>748.74909646326091</v>
      </c>
      <c r="G249" s="90">
        <v>0</v>
      </c>
      <c r="H249" s="90">
        <v>4514.0827129989566</v>
      </c>
      <c r="I249" s="90">
        <v>0</v>
      </c>
      <c r="J249" s="90">
        <v>0</v>
      </c>
      <c r="K249" s="90">
        <v>0</v>
      </c>
      <c r="L249" s="90">
        <v>554.07433138281306</v>
      </c>
      <c r="M249" s="90">
        <v>0</v>
      </c>
      <c r="N249" s="90">
        <v>3340.421207619228</v>
      </c>
      <c r="O249" s="90">
        <v>0</v>
      </c>
      <c r="P249" s="90">
        <v>0</v>
      </c>
      <c r="Q249" s="90">
        <v>0</v>
      </c>
      <c r="R249" s="90">
        <v>8400</v>
      </c>
    </row>
    <row r="250" spans="1:18">
      <c r="A250" s="90" t="s">
        <v>188</v>
      </c>
      <c r="B250" s="90" t="s">
        <v>1485</v>
      </c>
      <c r="C250" s="90" t="str">
        <f t="shared" si="3"/>
        <v>ChuathbalukRetail - Other</v>
      </c>
      <c r="D250" s="90">
        <v>1</v>
      </c>
      <c r="E250" s="90">
        <v>950</v>
      </c>
      <c r="F250" s="90">
        <v>1004.3760795985061</v>
      </c>
      <c r="G250" s="90">
        <v>0</v>
      </c>
      <c r="H250" s="90">
        <v>22377.476893906722</v>
      </c>
      <c r="I250" s="90">
        <v>0</v>
      </c>
      <c r="J250" s="90">
        <v>0</v>
      </c>
      <c r="K250" s="90">
        <v>0</v>
      </c>
      <c r="L250" s="90">
        <v>743.23829890289448</v>
      </c>
      <c r="M250" s="90">
        <v>0</v>
      </c>
      <c r="N250" s="90">
        <v>16559.332901490972</v>
      </c>
      <c r="O250" s="90">
        <v>0</v>
      </c>
      <c r="P250" s="90">
        <v>0</v>
      </c>
      <c r="Q250" s="90">
        <v>0</v>
      </c>
      <c r="R250" s="90">
        <v>6650</v>
      </c>
    </row>
    <row r="251" spans="1:18">
      <c r="A251" s="90" t="s">
        <v>132</v>
      </c>
      <c r="B251" s="90" t="s">
        <v>1439</v>
      </c>
      <c r="C251" s="90" t="str">
        <f t="shared" si="3"/>
        <v>CircleEducation - K - 12</v>
      </c>
      <c r="D251" s="90">
        <v>1</v>
      </c>
      <c r="E251" s="90">
        <v>9206</v>
      </c>
      <c r="F251" s="90">
        <v>10766</v>
      </c>
      <c r="G251" s="90">
        <v>0</v>
      </c>
      <c r="H251" s="90">
        <v>70131</v>
      </c>
      <c r="I251" s="90">
        <v>0</v>
      </c>
      <c r="J251" s="90">
        <v>0</v>
      </c>
      <c r="K251" s="90">
        <v>0</v>
      </c>
      <c r="L251" s="90">
        <v>7966.84</v>
      </c>
      <c r="M251" s="90">
        <v>0</v>
      </c>
      <c r="N251" s="90">
        <v>51896.94</v>
      </c>
      <c r="O251" s="90">
        <v>0</v>
      </c>
      <c r="P251" s="90">
        <v>136.16</v>
      </c>
      <c r="Q251" s="90">
        <v>0</v>
      </c>
      <c r="R251" s="90">
        <v>64442</v>
      </c>
    </row>
    <row r="252" spans="1:18">
      <c r="A252" s="90" t="s">
        <v>132</v>
      </c>
      <c r="B252" s="90" t="s">
        <v>1440</v>
      </c>
      <c r="C252" s="90" t="str">
        <f t="shared" si="3"/>
        <v>CircleHealth Care - Hospitals</v>
      </c>
      <c r="D252" s="90">
        <v>1</v>
      </c>
      <c r="E252" s="90">
        <v>2256.9250000000002</v>
      </c>
      <c r="F252" s="90">
        <v>1573.0165476804564</v>
      </c>
      <c r="G252" s="90">
        <v>0</v>
      </c>
      <c r="H252" s="90">
        <v>16977.563262470368</v>
      </c>
      <c r="I252" s="90">
        <v>0</v>
      </c>
      <c r="J252" s="90">
        <v>0</v>
      </c>
      <c r="K252" s="90">
        <v>0</v>
      </c>
      <c r="L252" s="90">
        <v>1164.0322452835378</v>
      </c>
      <c r="M252" s="90">
        <v>0</v>
      </c>
      <c r="N252" s="90">
        <v>12563.396814228072</v>
      </c>
      <c r="O252" s="90">
        <v>0</v>
      </c>
      <c r="P252" s="90">
        <v>0</v>
      </c>
      <c r="Q252" s="90">
        <v>0</v>
      </c>
      <c r="R252" s="90">
        <v>15798.475000000002</v>
      </c>
    </row>
    <row r="253" spans="1:18">
      <c r="A253" s="90" t="s">
        <v>132</v>
      </c>
      <c r="B253" s="90" t="s">
        <v>665</v>
      </c>
      <c r="C253" s="90" t="str">
        <f t="shared" si="3"/>
        <v>CircleOffice</v>
      </c>
      <c r="D253" s="90">
        <v>2</v>
      </c>
      <c r="E253" s="90">
        <v>2633.2585034013605</v>
      </c>
      <c r="F253" s="90">
        <v>3355.5824722962652</v>
      </c>
      <c r="G253" s="90">
        <v>0</v>
      </c>
      <c r="H253" s="90">
        <v>29772.661644952717</v>
      </c>
      <c r="I253" s="90">
        <v>0</v>
      </c>
      <c r="J253" s="90">
        <v>0</v>
      </c>
      <c r="K253" s="90">
        <v>0</v>
      </c>
      <c r="L253" s="90">
        <v>2483.1310294992363</v>
      </c>
      <c r="M253" s="90">
        <v>0</v>
      </c>
      <c r="N253" s="90">
        <v>22031.76961726501</v>
      </c>
      <c r="O253" s="90">
        <v>0</v>
      </c>
      <c r="P253" s="90">
        <v>0</v>
      </c>
      <c r="Q253" s="90">
        <v>0</v>
      </c>
      <c r="R253" s="90">
        <v>18432.809523809523</v>
      </c>
    </row>
    <row r="254" spans="1:18">
      <c r="A254" s="90" t="s">
        <v>132</v>
      </c>
      <c r="B254" s="90" t="s">
        <v>1227</v>
      </c>
      <c r="C254" s="90" t="str">
        <f t="shared" si="3"/>
        <v>CirclePublic Assembly</v>
      </c>
      <c r="D254" s="90">
        <v>3</v>
      </c>
      <c r="E254" s="90">
        <v>6593.4423076923076</v>
      </c>
      <c r="F254" s="90">
        <v>4114.0283087227108</v>
      </c>
      <c r="G254" s="90">
        <v>0</v>
      </c>
      <c r="H254" s="90">
        <v>24802.786616924823</v>
      </c>
      <c r="I254" s="90">
        <v>0</v>
      </c>
      <c r="J254" s="90">
        <v>0</v>
      </c>
      <c r="K254" s="90">
        <v>0</v>
      </c>
      <c r="L254" s="90">
        <v>3044.380948454806</v>
      </c>
      <c r="M254" s="90">
        <v>0</v>
      </c>
      <c r="N254" s="90">
        <v>18354.062096524369</v>
      </c>
      <c r="O254" s="90">
        <v>0</v>
      </c>
      <c r="P254" s="90">
        <v>0</v>
      </c>
      <c r="Q254" s="90">
        <v>0</v>
      </c>
      <c r="R254" s="90">
        <v>46154.096153846156</v>
      </c>
    </row>
    <row r="255" spans="1:18">
      <c r="A255" s="90" t="s">
        <v>132</v>
      </c>
      <c r="B255" s="90" t="s">
        <v>1475</v>
      </c>
      <c r="C255" s="90" t="str">
        <f t="shared" si="3"/>
        <v>CirclePublic Safety</v>
      </c>
      <c r="D255" s="90">
        <v>1</v>
      </c>
      <c r="E255" s="90">
        <v>2595.4749999999999</v>
      </c>
      <c r="F255" s="90">
        <v>2523.774623927618</v>
      </c>
      <c r="G255" s="90">
        <v>0</v>
      </c>
      <c r="H255" s="90">
        <v>20946.642306328533</v>
      </c>
      <c r="I255" s="90">
        <v>0</v>
      </c>
      <c r="J255" s="90">
        <v>0</v>
      </c>
      <c r="K255" s="90">
        <v>0</v>
      </c>
      <c r="L255" s="90">
        <v>1867.5932217064374</v>
      </c>
      <c r="M255" s="90">
        <v>0</v>
      </c>
      <c r="N255" s="90">
        <v>15500.515306683114</v>
      </c>
      <c r="O255" s="90">
        <v>0</v>
      </c>
      <c r="P255" s="90">
        <v>0</v>
      </c>
      <c r="Q255" s="90">
        <v>0</v>
      </c>
      <c r="R255" s="90">
        <v>18168.325000000001</v>
      </c>
    </row>
    <row r="256" spans="1:18">
      <c r="A256" s="90" t="s">
        <v>132</v>
      </c>
      <c r="B256" s="90" t="s">
        <v>951</v>
      </c>
      <c r="C256" s="90" t="str">
        <f t="shared" si="3"/>
        <v>CircleWarehousing</v>
      </c>
      <c r="D256" s="90">
        <v>1</v>
      </c>
      <c r="E256" s="90">
        <v>1575</v>
      </c>
      <c r="F256" s="90">
        <v>1974.3103905323092</v>
      </c>
      <c r="G256" s="90">
        <v>0</v>
      </c>
      <c r="H256" s="90">
        <v>18687.609338411487</v>
      </c>
      <c r="I256" s="90">
        <v>0</v>
      </c>
      <c r="J256" s="90">
        <v>0</v>
      </c>
      <c r="K256" s="90">
        <v>0</v>
      </c>
      <c r="L256" s="90">
        <v>1460.9896889939087</v>
      </c>
      <c r="M256" s="90">
        <v>0</v>
      </c>
      <c r="N256" s="90">
        <v>13828.8309104245</v>
      </c>
      <c r="O256" s="90">
        <v>0</v>
      </c>
      <c r="P256" s="90">
        <v>0</v>
      </c>
      <c r="Q256" s="90">
        <v>0</v>
      </c>
      <c r="R256" s="90">
        <v>11025</v>
      </c>
    </row>
    <row r="257" spans="1:18">
      <c r="A257" s="90" t="s">
        <v>996</v>
      </c>
      <c r="B257" s="90" t="s">
        <v>1439</v>
      </c>
      <c r="C257" s="90" t="str">
        <f t="shared" si="3"/>
        <v>Clark's PointEducation - K - 12</v>
      </c>
      <c r="D257" s="90">
        <v>4</v>
      </c>
      <c r="E257" s="90">
        <v>10370</v>
      </c>
      <c r="F257" s="90">
        <v>8791.3172842691074</v>
      </c>
      <c r="G257" s="90">
        <v>0</v>
      </c>
      <c r="H257" s="90">
        <v>67388.551782063732</v>
      </c>
      <c r="I257" s="90">
        <v>0</v>
      </c>
      <c r="J257" s="90">
        <v>0</v>
      </c>
      <c r="K257" s="90">
        <v>0</v>
      </c>
      <c r="L257" s="90">
        <v>6505.5747903591382</v>
      </c>
      <c r="M257" s="90">
        <v>0</v>
      </c>
      <c r="N257" s="90">
        <v>49867.528318727156</v>
      </c>
      <c r="O257" s="90">
        <v>0</v>
      </c>
      <c r="P257" s="90">
        <v>0</v>
      </c>
      <c r="Q257" s="90">
        <v>0</v>
      </c>
      <c r="R257" s="90">
        <v>72590</v>
      </c>
    </row>
    <row r="258" spans="1:18">
      <c r="A258" s="90" t="s">
        <v>996</v>
      </c>
      <c r="B258" s="90" t="s">
        <v>1440</v>
      </c>
      <c r="C258" s="90" t="str">
        <f t="shared" si="3"/>
        <v>Clark's PointHealth Care - Hospitals</v>
      </c>
      <c r="D258" s="90">
        <v>2</v>
      </c>
      <c r="E258" s="90">
        <v>3860.9250000000002</v>
      </c>
      <c r="F258" s="90">
        <v>2690.9617795687345</v>
      </c>
      <c r="G258" s="90">
        <v>0</v>
      </c>
      <c r="H258" s="90">
        <v>29043.543068180559</v>
      </c>
      <c r="I258" s="90">
        <v>0</v>
      </c>
      <c r="J258" s="90">
        <v>0</v>
      </c>
      <c r="K258" s="90">
        <v>0</v>
      </c>
      <c r="L258" s="90">
        <v>1991.3117168808635</v>
      </c>
      <c r="M258" s="90">
        <v>0</v>
      </c>
      <c r="N258" s="90">
        <v>21492.221870453614</v>
      </c>
      <c r="O258" s="90">
        <v>0</v>
      </c>
      <c r="P258" s="90">
        <v>0</v>
      </c>
      <c r="Q258" s="90">
        <v>0</v>
      </c>
      <c r="R258" s="90">
        <v>27026.475000000002</v>
      </c>
    </row>
    <row r="259" spans="1:18">
      <c r="A259" s="90" t="s">
        <v>996</v>
      </c>
      <c r="B259" s="90" t="s">
        <v>665</v>
      </c>
      <c r="C259" s="90" t="str">
        <f t="shared" ref="C259:C322" si="4">CONCATENATE(A259,B259)</f>
        <v>Clark's PointOffice</v>
      </c>
      <c r="D259" s="90">
        <v>5</v>
      </c>
      <c r="E259" s="90">
        <v>8552.0340136054419</v>
      </c>
      <c r="F259" s="90">
        <v>11379.87781238111</v>
      </c>
      <c r="G259" s="90">
        <v>0</v>
      </c>
      <c r="H259" s="90">
        <v>68553.363249536327</v>
      </c>
      <c r="I259" s="90">
        <v>0</v>
      </c>
      <c r="J259" s="90">
        <v>0</v>
      </c>
      <c r="K259" s="90">
        <v>0</v>
      </c>
      <c r="L259" s="90">
        <v>8421.1095811620216</v>
      </c>
      <c r="M259" s="90">
        <v>0</v>
      </c>
      <c r="N259" s="90">
        <v>50729.488804656874</v>
      </c>
      <c r="O259" s="90">
        <v>0</v>
      </c>
      <c r="P259" s="90">
        <v>0</v>
      </c>
      <c r="Q259" s="90">
        <v>0</v>
      </c>
      <c r="R259" s="90">
        <v>59864.238095238092</v>
      </c>
    </row>
    <row r="260" spans="1:18">
      <c r="A260" s="90" t="s">
        <v>996</v>
      </c>
      <c r="B260" s="90" t="s">
        <v>643</v>
      </c>
      <c r="C260" s="90" t="str">
        <f t="shared" si="4"/>
        <v>Clark's PointOther</v>
      </c>
      <c r="D260" s="90">
        <v>13</v>
      </c>
      <c r="E260" s="90">
        <v>24385.204545454548</v>
      </c>
      <c r="F260" s="90">
        <v>21090.064684621586</v>
      </c>
      <c r="G260" s="90">
        <v>0</v>
      </c>
      <c r="H260" s="90">
        <v>177475.2191326317</v>
      </c>
      <c r="I260" s="90">
        <v>0</v>
      </c>
      <c r="J260" s="90">
        <v>0</v>
      </c>
      <c r="K260" s="90">
        <v>0</v>
      </c>
      <c r="L260" s="90">
        <v>15606.647866619973</v>
      </c>
      <c r="M260" s="90">
        <v>0</v>
      </c>
      <c r="N260" s="90">
        <v>131331.6621581474</v>
      </c>
      <c r="O260" s="90">
        <v>0</v>
      </c>
      <c r="P260" s="90">
        <v>0</v>
      </c>
      <c r="Q260" s="90">
        <v>0</v>
      </c>
      <c r="R260" s="90">
        <v>170696.43181818179</v>
      </c>
    </row>
    <row r="261" spans="1:18">
      <c r="A261" s="90" t="s">
        <v>996</v>
      </c>
      <c r="B261" s="90" t="s">
        <v>1227</v>
      </c>
      <c r="C261" s="90" t="str">
        <f t="shared" si="4"/>
        <v>Clark's PointPublic Assembly</v>
      </c>
      <c r="D261" s="90">
        <v>5</v>
      </c>
      <c r="E261" s="90">
        <v>15683.60576923077</v>
      </c>
      <c r="F261" s="90">
        <v>9785.9047074979371</v>
      </c>
      <c r="G261" s="90">
        <v>0</v>
      </c>
      <c r="H261" s="90">
        <v>58997.578066979419</v>
      </c>
      <c r="I261" s="90">
        <v>0</v>
      </c>
      <c r="J261" s="90">
        <v>0</v>
      </c>
      <c r="K261" s="90">
        <v>0</v>
      </c>
      <c r="L261" s="90">
        <v>7241.5694835484728</v>
      </c>
      <c r="M261" s="90">
        <v>0</v>
      </c>
      <c r="N261" s="90">
        <v>43658.207769564768</v>
      </c>
      <c r="O261" s="90">
        <v>0</v>
      </c>
      <c r="P261" s="90">
        <v>0</v>
      </c>
      <c r="Q261" s="90">
        <v>0</v>
      </c>
      <c r="R261" s="90">
        <v>109785.24038461539</v>
      </c>
    </row>
    <row r="262" spans="1:18">
      <c r="A262" s="90" t="s">
        <v>996</v>
      </c>
      <c r="B262" s="90" t="s">
        <v>1442</v>
      </c>
      <c r="C262" s="90" t="str">
        <f t="shared" si="4"/>
        <v>Clark's PointResidential - Multi-Family</v>
      </c>
      <c r="D262" s="90">
        <v>3</v>
      </c>
      <c r="E262" s="90">
        <v>8253</v>
      </c>
      <c r="F262" s="90">
        <v>6235.3283791128588</v>
      </c>
      <c r="G262" s="90">
        <v>0</v>
      </c>
      <c r="H262" s="90">
        <v>43212.529565790028</v>
      </c>
      <c r="I262" s="90">
        <v>0</v>
      </c>
      <c r="J262" s="90">
        <v>0</v>
      </c>
      <c r="K262" s="90">
        <v>0</v>
      </c>
      <c r="L262" s="90">
        <v>4614.143000543515</v>
      </c>
      <c r="M262" s="90">
        <v>0</v>
      </c>
      <c r="N262" s="90">
        <v>31977.271878684616</v>
      </c>
      <c r="O262" s="90">
        <v>0</v>
      </c>
      <c r="P262" s="90">
        <v>0</v>
      </c>
      <c r="Q262" s="90">
        <v>0</v>
      </c>
      <c r="R262" s="90">
        <v>57771</v>
      </c>
    </row>
    <row r="263" spans="1:18">
      <c r="A263" s="90" t="s">
        <v>996</v>
      </c>
      <c r="B263" s="90" t="s">
        <v>1485</v>
      </c>
      <c r="C263" s="90" t="str">
        <f t="shared" si="4"/>
        <v>Clark's PointRetail - Other</v>
      </c>
      <c r="D263" s="90">
        <v>1</v>
      </c>
      <c r="E263" s="90">
        <v>2105.2800000000002</v>
      </c>
      <c r="F263" s="90">
        <v>2225.7819714285715</v>
      </c>
      <c r="G263" s="90">
        <v>0</v>
      </c>
      <c r="H263" s="90">
        <v>49590.373216004155</v>
      </c>
      <c r="I263" s="90">
        <v>0</v>
      </c>
      <c r="J263" s="90">
        <v>0</v>
      </c>
      <c r="K263" s="90">
        <v>0</v>
      </c>
      <c r="L263" s="90">
        <v>1647.078658857143</v>
      </c>
      <c r="M263" s="90">
        <v>0</v>
      </c>
      <c r="N263" s="90">
        <v>36696.876179843071</v>
      </c>
      <c r="O263" s="90">
        <v>0</v>
      </c>
      <c r="P263" s="90">
        <v>0</v>
      </c>
      <c r="Q263" s="90">
        <v>0</v>
      </c>
      <c r="R263" s="90">
        <v>14736.960000000001</v>
      </c>
    </row>
    <row r="264" spans="1:18">
      <c r="A264" s="90" t="s">
        <v>996</v>
      </c>
      <c r="B264" s="90" t="s">
        <v>951</v>
      </c>
      <c r="C264" s="90" t="str">
        <f t="shared" si="4"/>
        <v>Clark's PointWarehousing</v>
      </c>
      <c r="D264" s="90">
        <v>5</v>
      </c>
      <c r="E264" s="90">
        <v>8919.7863247863243</v>
      </c>
      <c r="F264" s="90">
        <v>11181.223379272151</v>
      </c>
      <c r="G264" s="90">
        <v>0</v>
      </c>
      <c r="H264" s="90">
        <v>105834.59188553142</v>
      </c>
      <c r="I264" s="90">
        <v>0</v>
      </c>
      <c r="J264" s="90">
        <v>0</v>
      </c>
      <c r="K264" s="90">
        <v>0</v>
      </c>
      <c r="L264" s="90">
        <v>8274.1053006613911</v>
      </c>
      <c r="M264" s="90">
        <v>0</v>
      </c>
      <c r="N264" s="90">
        <v>78317.597995293254</v>
      </c>
      <c r="O264" s="90">
        <v>0</v>
      </c>
      <c r="P264" s="90">
        <v>0</v>
      </c>
      <c r="Q264" s="90">
        <v>0</v>
      </c>
      <c r="R264" s="90">
        <v>62438.504273504266</v>
      </c>
    </row>
    <row r="265" spans="1:18">
      <c r="A265" s="90" t="s">
        <v>12</v>
      </c>
      <c r="B265" s="90" t="s">
        <v>1447</v>
      </c>
      <c r="C265" s="90" t="str">
        <f t="shared" si="4"/>
        <v>Coffman CoveAccomodation Services</v>
      </c>
      <c r="D265" s="90">
        <v>5</v>
      </c>
      <c r="E265" s="90">
        <v>23854.074074074073</v>
      </c>
      <c r="F265" s="90">
        <v>14942.49027000014</v>
      </c>
      <c r="G265" s="90">
        <v>0</v>
      </c>
      <c r="H265" s="90">
        <v>175019.55351341315</v>
      </c>
      <c r="I265" s="90">
        <v>0</v>
      </c>
      <c r="J265" s="90">
        <v>0</v>
      </c>
      <c r="K265" s="90">
        <v>0</v>
      </c>
      <c r="L265" s="90">
        <v>11057.442799800103</v>
      </c>
      <c r="M265" s="90">
        <v>0</v>
      </c>
      <c r="N265" s="90">
        <v>129514.46959992574</v>
      </c>
      <c r="O265" s="90">
        <v>0</v>
      </c>
      <c r="P265" s="90">
        <v>0</v>
      </c>
      <c r="Q265" s="90">
        <v>0</v>
      </c>
      <c r="R265" s="90">
        <v>166978.51851851851</v>
      </c>
    </row>
    <row r="266" spans="1:18">
      <c r="A266" s="90" t="s">
        <v>12</v>
      </c>
      <c r="B266" s="90" t="s">
        <v>1439</v>
      </c>
      <c r="C266" s="90" t="str">
        <f t="shared" si="4"/>
        <v>Coffman CoveEducation - K - 12</v>
      </c>
      <c r="D266" s="90">
        <v>1</v>
      </c>
      <c r="E266" s="90">
        <v>9708</v>
      </c>
      <c r="F266" s="90">
        <v>2839</v>
      </c>
      <c r="G266" s="90">
        <v>0</v>
      </c>
      <c r="H266" s="90">
        <v>40016</v>
      </c>
      <c r="I266" s="90">
        <v>0</v>
      </c>
      <c r="J266" s="90">
        <v>0</v>
      </c>
      <c r="K266" s="90">
        <v>70.984588542698035</v>
      </c>
      <c r="L266" s="90">
        <v>2100.86</v>
      </c>
      <c r="M266" s="90">
        <v>0</v>
      </c>
      <c r="N266" s="90">
        <v>29611.84</v>
      </c>
      <c r="O266" s="90">
        <v>0</v>
      </c>
      <c r="P266" s="90">
        <v>0</v>
      </c>
      <c r="Q266" s="90">
        <v>52.528595521596543</v>
      </c>
      <c r="R266" s="90">
        <v>67956</v>
      </c>
    </row>
    <row r="267" spans="1:18">
      <c r="A267" s="90" t="s">
        <v>12</v>
      </c>
      <c r="B267" s="90" t="s">
        <v>1469</v>
      </c>
      <c r="C267" s="90" t="str">
        <f t="shared" si="4"/>
        <v>Coffman CoveFood Service and Drinking Places</v>
      </c>
      <c r="D267" s="90">
        <v>2</v>
      </c>
      <c r="E267" s="90">
        <v>5281.0769230769229</v>
      </c>
      <c r="F267" s="90">
        <v>2119.4722051282051</v>
      </c>
      <c r="G267" s="90">
        <v>0</v>
      </c>
      <c r="H267" s="90">
        <v>14142.022090768271</v>
      </c>
      <c r="I267" s="90">
        <v>0</v>
      </c>
      <c r="J267" s="90">
        <v>0</v>
      </c>
      <c r="K267" s="90">
        <v>0</v>
      </c>
      <c r="L267" s="90">
        <v>1568.4094317948718</v>
      </c>
      <c r="M267" s="90">
        <v>0</v>
      </c>
      <c r="N267" s="90">
        <v>10465.096347168521</v>
      </c>
      <c r="O267" s="90">
        <v>0</v>
      </c>
      <c r="P267" s="90">
        <v>0</v>
      </c>
      <c r="Q267" s="90">
        <v>0</v>
      </c>
      <c r="R267" s="90">
        <v>36967.538461538461</v>
      </c>
    </row>
    <row r="268" spans="1:18">
      <c r="A268" s="90" t="s">
        <v>12</v>
      </c>
      <c r="B268" s="90" t="s">
        <v>1440</v>
      </c>
      <c r="C268" s="90" t="str">
        <f t="shared" si="4"/>
        <v>Coffman CoveHealth Care - Hospitals</v>
      </c>
      <c r="D268" s="90">
        <v>1</v>
      </c>
      <c r="E268" s="90">
        <v>800</v>
      </c>
      <c r="F268" s="90">
        <v>557.57866927096154</v>
      </c>
      <c r="G268" s="90">
        <v>0</v>
      </c>
      <c r="H268" s="90">
        <v>6017.9450402544589</v>
      </c>
      <c r="I268" s="90">
        <v>0</v>
      </c>
      <c r="J268" s="90">
        <v>0</v>
      </c>
      <c r="K268" s="90">
        <v>0</v>
      </c>
      <c r="L268" s="90">
        <v>412.60821526051154</v>
      </c>
      <c r="M268" s="90">
        <v>0</v>
      </c>
      <c r="N268" s="90">
        <v>4453.2793297882999</v>
      </c>
      <c r="O268" s="90">
        <v>0</v>
      </c>
      <c r="P268" s="90">
        <v>0</v>
      </c>
      <c r="Q268" s="90">
        <v>0</v>
      </c>
      <c r="R268" s="90">
        <v>5600</v>
      </c>
    </row>
    <row r="269" spans="1:18">
      <c r="A269" s="90" t="s">
        <v>12</v>
      </c>
      <c r="B269" s="90" t="s">
        <v>665</v>
      </c>
      <c r="C269" s="90" t="str">
        <f t="shared" si="4"/>
        <v>Coffman CoveOffice</v>
      </c>
      <c r="D269" s="90">
        <v>5</v>
      </c>
      <c r="E269" s="90">
        <v>5093.2585034013609</v>
      </c>
      <c r="F269" s="90">
        <v>4606.5788066740324</v>
      </c>
      <c r="G269" s="90">
        <v>0</v>
      </c>
      <c r="H269" s="90">
        <v>37290.117041859325</v>
      </c>
      <c r="I269" s="90">
        <v>0</v>
      </c>
      <c r="J269" s="90">
        <v>0</v>
      </c>
      <c r="K269" s="90">
        <v>0</v>
      </c>
      <c r="L269" s="90">
        <v>3408.8683169387841</v>
      </c>
      <c r="M269" s="90">
        <v>0</v>
      </c>
      <c r="N269" s="90">
        <v>27594.686610975896</v>
      </c>
      <c r="O269" s="90">
        <v>0</v>
      </c>
      <c r="P269" s="90">
        <v>0</v>
      </c>
      <c r="Q269" s="90">
        <v>0</v>
      </c>
      <c r="R269" s="90">
        <v>35652.809523809527</v>
      </c>
    </row>
    <row r="270" spans="1:18">
      <c r="A270" s="90" t="s">
        <v>12</v>
      </c>
      <c r="B270" s="90" t="s">
        <v>643</v>
      </c>
      <c r="C270" s="90" t="str">
        <f t="shared" si="4"/>
        <v>Coffman CoveOther</v>
      </c>
      <c r="D270" s="90">
        <v>8</v>
      </c>
      <c r="E270" s="90">
        <v>14093.920454545454</v>
      </c>
      <c r="F270" s="90">
        <v>9388.560644207264</v>
      </c>
      <c r="G270" s="90">
        <v>0</v>
      </c>
      <c r="H270" s="90">
        <v>125518.80646758739</v>
      </c>
      <c r="I270" s="90">
        <v>0</v>
      </c>
      <c r="J270" s="90">
        <v>0</v>
      </c>
      <c r="K270" s="90">
        <v>0</v>
      </c>
      <c r="L270" s="90">
        <v>6947.5348767133755</v>
      </c>
      <c r="M270" s="90">
        <v>0</v>
      </c>
      <c r="N270" s="90">
        <v>92883.91678601467</v>
      </c>
      <c r="O270" s="90">
        <v>0</v>
      </c>
      <c r="P270" s="90">
        <v>0</v>
      </c>
      <c r="Q270" s="90">
        <v>0</v>
      </c>
      <c r="R270" s="90">
        <v>98657.443181818177</v>
      </c>
    </row>
    <row r="271" spans="1:18">
      <c r="A271" s="90" t="s">
        <v>12</v>
      </c>
      <c r="B271" s="90" t="s">
        <v>1227</v>
      </c>
      <c r="C271" s="90" t="str">
        <f t="shared" si="4"/>
        <v>Coffman CovePublic Assembly</v>
      </c>
      <c r="D271" s="90">
        <v>5</v>
      </c>
      <c r="E271" s="90">
        <v>11490.163461538463</v>
      </c>
      <c r="F271" s="90">
        <v>6497.0260361775945</v>
      </c>
      <c r="G271" s="90">
        <v>0</v>
      </c>
      <c r="H271" s="90">
        <v>46420.879709586821</v>
      </c>
      <c r="I271" s="90">
        <v>0</v>
      </c>
      <c r="J271" s="90">
        <v>0</v>
      </c>
      <c r="K271" s="90">
        <v>0</v>
      </c>
      <c r="L271" s="90">
        <v>4807.7992667714198</v>
      </c>
      <c r="M271" s="90">
        <v>0</v>
      </c>
      <c r="N271" s="90">
        <v>34351.450985094241</v>
      </c>
      <c r="O271" s="90">
        <v>0</v>
      </c>
      <c r="P271" s="90">
        <v>0</v>
      </c>
      <c r="Q271" s="90">
        <v>0</v>
      </c>
      <c r="R271" s="90">
        <v>80431.144230769234</v>
      </c>
    </row>
    <row r="272" spans="1:18">
      <c r="A272" s="90" t="s">
        <v>12</v>
      </c>
      <c r="B272" s="90" t="s">
        <v>1475</v>
      </c>
      <c r="C272" s="90" t="str">
        <f t="shared" si="4"/>
        <v>Coffman CovePublic Safety</v>
      </c>
      <c r="D272" s="90">
        <v>1</v>
      </c>
      <c r="E272" s="90">
        <v>2595.4749999999999</v>
      </c>
      <c r="F272" s="90">
        <v>2523.774623927618</v>
      </c>
      <c r="G272" s="90">
        <v>0</v>
      </c>
      <c r="H272" s="90">
        <v>20946.642306328533</v>
      </c>
      <c r="I272" s="90">
        <v>0</v>
      </c>
      <c r="J272" s="90">
        <v>0</v>
      </c>
      <c r="K272" s="90">
        <v>0</v>
      </c>
      <c r="L272" s="90">
        <v>1867.5932217064374</v>
      </c>
      <c r="M272" s="90">
        <v>0</v>
      </c>
      <c r="N272" s="90">
        <v>15500.515306683114</v>
      </c>
      <c r="O272" s="90">
        <v>0</v>
      </c>
      <c r="P272" s="90">
        <v>0</v>
      </c>
      <c r="Q272" s="90">
        <v>0</v>
      </c>
      <c r="R272" s="90">
        <v>18168.325000000001</v>
      </c>
    </row>
    <row r="273" spans="1:18">
      <c r="A273" s="90" t="s">
        <v>12</v>
      </c>
      <c r="B273" s="90" t="s">
        <v>1485</v>
      </c>
      <c r="C273" s="90" t="str">
        <f t="shared" si="4"/>
        <v>Coffman CoveRetail - Other</v>
      </c>
      <c r="D273" s="90">
        <v>1</v>
      </c>
      <c r="E273" s="90">
        <v>784</v>
      </c>
      <c r="F273" s="90">
        <v>828.87457516339873</v>
      </c>
      <c r="G273" s="90">
        <v>0</v>
      </c>
      <c r="H273" s="90">
        <v>18467.307247181969</v>
      </c>
      <c r="I273" s="90">
        <v>0</v>
      </c>
      <c r="J273" s="90">
        <v>0</v>
      </c>
      <c r="K273" s="90">
        <v>0</v>
      </c>
      <c r="L273" s="90">
        <v>613.36718562091505</v>
      </c>
      <c r="M273" s="90">
        <v>0</v>
      </c>
      <c r="N273" s="90">
        <v>13665.807362914657</v>
      </c>
      <c r="O273" s="90">
        <v>0</v>
      </c>
      <c r="P273" s="90">
        <v>0</v>
      </c>
      <c r="Q273" s="90">
        <v>0</v>
      </c>
      <c r="R273" s="90">
        <v>5488</v>
      </c>
    </row>
    <row r="274" spans="1:18">
      <c r="A274" s="90" t="s">
        <v>12</v>
      </c>
      <c r="B274" s="90" t="s">
        <v>951</v>
      </c>
      <c r="C274" s="90" t="str">
        <f t="shared" si="4"/>
        <v>Coffman CoveWarehousing</v>
      </c>
      <c r="D274" s="90">
        <v>2</v>
      </c>
      <c r="E274" s="90">
        <v>2683.9572649572647</v>
      </c>
      <c r="F274" s="90">
        <v>2568.3162087011456</v>
      </c>
      <c r="G274" s="90">
        <v>0</v>
      </c>
      <c r="H274" s="90">
        <v>24002.943901106286</v>
      </c>
      <c r="I274" s="90">
        <v>0</v>
      </c>
      <c r="J274" s="90">
        <v>0</v>
      </c>
      <c r="K274" s="90">
        <v>0</v>
      </c>
      <c r="L274" s="90">
        <v>1900.5539944388477</v>
      </c>
      <c r="M274" s="90">
        <v>0</v>
      </c>
      <c r="N274" s="90">
        <v>17762.178486818651</v>
      </c>
      <c r="O274" s="90">
        <v>0</v>
      </c>
      <c r="P274" s="90">
        <v>0</v>
      </c>
      <c r="Q274" s="90">
        <v>0</v>
      </c>
      <c r="R274" s="90">
        <v>18787.700854700852</v>
      </c>
    </row>
    <row r="275" spans="1:18">
      <c r="A275" s="90" t="s">
        <v>145</v>
      </c>
      <c r="B275" s="90" t="s">
        <v>1447</v>
      </c>
      <c r="C275" s="90" t="str">
        <f t="shared" si="4"/>
        <v>Cold BayAccomodation Services</v>
      </c>
      <c r="D275" s="90">
        <v>3</v>
      </c>
      <c r="E275" s="90">
        <v>10360</v>
      </c>
      <c r="F275" s="90">
        <v>6489.6335408571231</v>
      </c>
      <c r="G275" s="90">
        <v>0</v>
      </c>
      <c r="H275" s="90">
        <v>76012.280701754396</v>
      </c>
      <c r="I275" s="90">
        <v>0</v>
      </c>
      <c r="J275" s="90">
        <v>0</v>
      </c>
      <c r="K275" s="90">
        <v>0</v>
      </c>
      <c r="L275" s="90">
        <v>4802.328820234271</v>
      </c>
      <c r="M275" s="90">
        <v>0</v>
      </c>
      <c r="N275" s="90">
        <v>56249.087719298244</v>
      </c>
      <c r="O275" s="90">
        <v>0</v>
      </c>
      <c r="P275" s="90">
        <v>0</v>
      </c>
      <c r="Q275" s="90">
        <v>0</v>
      </c>
      <c r="R275" s="90">
        <v>72520</v>
      </c>
    </row>
    <row r="276" spans="1:18">
      <c r="A276" s="90" t="s">
        <v>145</v>
      </c>
      <c r="B276" s="90" t="s">
        <v>1439</v>
      </c>
      <c r="C276" s="90" t="str">
        <f t="shared" si="4"/>
        <v>Cold BayEducation - K - 12</v>
      </c>
      <c r="D276" s="90">
        <v>1</v>
      </c>
      <c r="E276" s="90">
        <v>10000</v>
      </c>
      <c r="F276" s="90">
        <v>5767</v>
      </c>
      <c r="G276" s="90">
        <v>0</v>
      </c>
      <c r="H276" s="90">
        <v>57447</v>
      </c>
      <c r="I276" s="90">
        <v>0</v>
      </c>
      <c r="J276" s="90">
        <v>0</v>
      </c>
      <c r="K276" s="90">
        <v>0</v>
      </c>
      <c r="L276" s="90">
        <v>4267.58</v>
      </c>
      <c r="M276" s="90">
        <v>0</v>
      </c>
      <c r="N276" s="90">
        <v>42510.78</v>
      </c>
      <c r="O276" s="90">
        <v>0</v>
      </c>
      <c r="P276" s="90">
        <v>0</v>
      </c>
      <c r="Q276" s="90">
        <v>0</v>
      </c>
      <c r="R276" s="90">
        <v>70000</v>
      </c>
    </row>
    <row r="277" spans="1:18">
      <c r="A277" s="90" t="s">
        <v>145</v>
      </c>
      <c r="B277" s="90" t="s">
        <v>1469</v>
      </c>
      <c r="C277" s="90" t="str">
        <f t="shared" si="4"/>
        <v>Cold BayFood Service and Drinking Places</v>
      </c>
      <c r="D277" s="90">
        <v>1</v>
      </c>
      <c r="E277" s="90">
        <v>8160</v>
      </c>
      <c r="F277" s="90">
        <v>3274.88</v>
      </c>
      <c r="G277" s="90">
        <v>0</v>
      </c>
      <c r="H277" s="90">
        <v>21851.39545239459</v>
      </c>
      <c r="I277" s="90">
        <v>0</v>
      </c>
      <c r="J277" s="90">
        <v>0</v>
      </c>
      <c r="K277" s="90">
        <v>0</v>
      </c>
      <c r="L277" s="90">
        <v>2423.4112</v>
      </c>
      <c r="M277" s="90">
        <v>0</v>
      </c>
      <c r="N277" s="90">
        <v>16170.032634771997</v>
      </c>
      <c r="O277" s="90">
        <v>0</v>
      </c>
      <c r="P277" s="90">
        <v>0</v>
      </c>
      <c r="Q277" s="90">
        <v>0</v>
      </c>
      <c r="R277" s="90">
        <v>57120</v>
      </c>
    </row>
    <row r="278" spans="1:18">
      <c r="A278" s="90" t="s">
        <v>145</v>
      </c>
      <c r="B278" s="90" t="s">
        <v>1440</v>
      </c>
      <c r="C278" s="90" t="str">
        <f t="shared" si="4"/>
        <v>Cold BayHealth Care - Hospitals</v>
      </c>
      <c r="D278" s="90">
        <v>1</v>
      </c>
      <c r="E278" s="90">
        <v>3400</v>
      </c>
      <c r="F278" s="90">
        <v>1682</v>
      </c>
      <c r="G278" s="90">
        <v>0</v>
      </c>
      <c r="H278" s="90">
        <v>22036</v>
      </c>
      <c r="I278" s="90">
        <v>0</v>
      </c>
      <c r="J278" s="90">
        <v>0</v>
      </c>
      <c r="K278" s="90">
        <v>0</v>
      </c>
      <c r="L278" s="90">
        <v>1244.68</v>
      </c>
      <c r="M278" s="90">
        <v>0</v>
      </c>
      <c r="N278" s="90">
        <v>16306.64</v>
      </c>
      <c r="O278" s="90">
        <v>0</v>
      </c>
      <c r="P278" s="90">
        <v>0</v>
      </c>
      <c r="Q278" s="90">
        <v>0</v>
      </c>
      <c r="R278" s="90">
        <v>23800</v>
      </c>
    </row>
    <row r="279" spans="1:18">
      <c r="A279" s="90" t="s">
        <v>145</v>
      </c>
      <c r="B279" s="90" t="s">
        <v>1444</v>
      </c>
      <c r="C279" s="90" t="str">
        <f t="shared" si="4"/>
        <v>Cold BayHealth Care - Nursing/Residential Care</v>
      </c>
      <c r="D279" s="90">
        <v>1</v>
      </c>
      <c r="E279" s="90">
        <v>3364</v>
      </c>
      <c r="F279" s="90">
        <v>1878.0278475277203</v>
      </c>
      <c r="G279" s="90">
        <v>0</v>
      </c>
      <c r="H279" s="90">
        <v>16396.490227893224</v>
      </c>
      <c r="I279" s="90">
        <v>0</v>
      </c>
      <c r="J279" s="90">
        <v>0</v>
      </c>
      <c r="K279" s="90">
        <v>0</v>
      </c>
      <c r="L279" s="90">
        <v>1389.7406071705129</v>
      </c>
      <c r="M279" s="90">
        <v>0</v>
      </c>
      <c r="N279" s="90">
        <v>12133.402768640986</v>
      </c>
      <c r="O279" s="90">
        <v>0</v>
      </c>
      <c r="P279" s="90">
        <v>0</v>
      </c>
      <c r="Q279" s="90">
        <v>0</v>
      </c>
      <c r="R279" s="90">
        <v>23548</v>
      </c>
    </row>
    <row r="280" spans="1:18">
      <c r="A280" s="90" t="s">
        <v>145</v>
      </c>
      <c r="B280" s="90" t="s">
        <v>665</v>
      </c>
      <c r="C280" s="90" t="str">
        <f t="shared" si="4"/>
        <v>Cold BayOffice</v>
      </c>
      <c r="D280" s="90">
        <v>5</v>
      </c>
      <c r="E280" s="90">
        <v>22716</v>
      </c>
      <c r="F280" s="90">
        <v>30227.347549693197</v>
      </c>
      <c r="G280" s="90">
        <v>0</v>
      </c>
      <c r="H280" s="90">
        <v>182092.14288659554</v>
      </c>
      <c r="I280" s="90">
        <v>0</v>
      </c>
      <c r="J280" s="90">
        <v>0</v>
      </c>
      <c r="K280" s="90">
        <v>0</v>
      </c>
      <c r="L280" s="90">
        <v>22368.237186772963</v>
      </c>
      <c r="M280" s="90">
        <v>0</v>
      </c>
      <c r="N280" s="90">
        <v>134748.18573608069</v>
      </c>
      <c r="O280" s="90">
        <v>0</v>
      </c>
      <c r="P280" s="90">
        <v>0</v>
      </c>
      <c r="Q280" s="90">
        <v>0</v>
      </c>
      <c r="R280" s="90">
        <v>159012</v>
      </c>
    </row>
    <row r="281" spans="1:18">
      <c r="A281" s="90" t="s">
        <v>145</v>
      </c>
      <c r="B281" s="90" t="s">
        <v>643</v>
      </c>
      <c r="C281" s="90" t="str">
        <f t="shared" si="4"/>
        <v>Cold BayOther</v>
      </c>
      <c r="D281" s="90">
        <v>17</v>
      </c>
      <c r="E281" s="90">
        <v>55679.920454545456</v>
      </c>
      <c r="F281" s="90">
        <v>50735.775262624775</v>
      </c>
      <c r="G281" s="90">
        <v>0</v>
      </c>
      <c r="H281" s="90">
        <v>405237.77709299343</v>
      </c>
      <c r="I281" s="90">
        <v>0</v>
      </c>
      <c r="J281" s="90">
        <v>0</v>
      </c>
      <c r="K281" s="90">
        <v>0</v>
      </c>
      <c r="L281" s="90">
        <v>37544.473694342349</v>
      </c>
      <c r="M281" s="90">
        <v>0</v>
      </c>
      <c r="N281" s="90">
        <v>299875.95504881506</v>
      </c>
      <c r="O281" s="90">
        <v>0</v>
      </c>
      <c r="P281" s="90">
        <v>0</v>
      </c>
      <c r="Q281" s="90">
        <v>0</v>
      </c>
      <c r="R281" s="90">
        <v>389759.44318181818</v>
      </c>
    </row>
    <row r="282" spans="1:18">
      <c r="A282" s="90" t="s">
        <v>145</v>
      </c>
      <c r="B282" s="90" t="s">
        <v>1227</v>
      </c>
      <c r="C282" s="90" t="str">
        <f t="shared" si="4"/>
        <v>Cold BayPublic Assembly</v>
      </c>
      <c r="D282" s="90">
        <v>4</v>
      </c>
      <c r="E282" s="90">
        <v>10954</v>
      </c>
      <c r="F282" s="90">
        <v>5874.9303938271423</v>
      </c>
      <c r="G282" s="90">
        <v>0</v>
      </c>
      <c r="H282" s="90">
        <v>29075.81575962327</v>
      </c>
      <c r="I282" s="90">
        <v>0</v>
      </c>
      <c r="J282" s="90">
        <v>0</v>
      </c>
      <c r="K282" s="90">
        <v>0</v>
      </c>
      <c r="L282" s="90">
        <v>4347.4484914320856</v>
      </c>
      <c r="M282" s="90">
        <v>0</v>
      </c>
      <c r="N282" s="90">
        <v>21516.103662121219</v>
      </c>
      <c r="O282" s="90">
        <v>0</v>
      </c>
      <c r="P282" s="90">
        <v>0</v>
      </c>
      <c r="Q282" s="90">
        <v>0</v>
      </c>
      <c r="R282" s="90">
        <v>76678</v>
      </c>
    </row>
    <row r="283" spans="1:18">
      <c r="A283" s="90" t="s">
        <v>145</v>
      </c>
      <c r="B283" s="90" t="s">
        <v>1475</v>
      </c>
      <c r="C283" s="90" t="str">
        <f t="shared" si="4"/>
        <v>Cold BayPublic Safety</v>
      </c>
      <c r="D283" s="90">
        <v>1</v>
      </c>
      <c r="E283" s="90">
        <v>3731</v>
      </c>
      <c r="F283" s="90">
        <v>3451</v>
      </c>
      <c r="G283" s="90">
        <v>0</v>
      </c>
      <c r="H283" s="90">
        <v>85315</v>
      </c>
      <c r="I283" s="90">
        <v>0</v>
      </c>
      <c r="J283" s="90">
        <v>0</v>
      </c>
      <c r="K283" s="90">
        <v>0</v>
      </c>
      <c r="L283" s="90">
        <v>2553.7399999999998</v>
      </c>
      <c r="M283" s="90">
        <v>0</v>
      </c>
      <c r="N283" s="90">
        <v>63133.1</v>
      </c>
      <c r="O283" s="90">
        <v>0</v>
      </c>
      <c r="P283" s="90">
        <v>0</v>
      </c>
      <c r="Q283" s="90">
        <v>0</v>
      </c>
      <c r="R283" s="90">
        <v>26117</v>
      </c>
    </row>
    <row r="284" spans="1:18">
      <c r="A284" s="90" t="s">
        <v>145</v>
      </c>
      <c r="B284" s="90" t="s">
        <v>1442</v>
      </c>
      <c r="C284" s="90" t="str">
        <f t="shared" si="4"/>
        <v>Cold BayResidential - Multi-Family</v>
      </c>
      <c r="D284" s="90">
        <v>2</v>
      </c>
      <c r="E284" s="90">
        <v>4571</v>
      </c>
      <c r="F284" s="90">
        <v>2034.4379562043796</v>
      </c>
      <c r="G284" s="90">
        <v>0</v>
      </c>
      <c r="H284" s="90">
        <v>13106.846179974051</v>
      </c>
      <c r="I284" s="90">
        <v>0</v>
      </c>
      <c r="J284" s="90">
        <v>0</v>
      </c>
      <c r="K284" s="90">
        <v>0</v>
      </c>
      <c r="L284" s="90">
        <v>1505.484087591241</v>
      </c>
      <c r="M284" s="90">
        <v>0</v>
      </c>
      <c r="N284" s="90">
        <v>9699.0661731807977</v>
      </c>
      <c r="O284" s="90">
        <v>0</v>
      </c>
      <c r="P284" s="90">
        <v>0</v>
      </c>
      <c r="Q284" s="90">
        <v>0</v>
      </c>
      <c r="R284" s="90">
        <v>31997</v>
      </c>
    </row>
    <row r="285" spans="1:18" s="46" customFormat="1">
      <c r="A285" s="90" t="s">
        <v>145</v>
      </c>
      <c r="B285" s="90" t="s">
        <v>951</v>
      </c>
      <c r="C285" s="90" t="str">
        <f t="shared" si="4"/>
        <v>Cold BayWarehousing</v>
      </c>
      <c r="D285" s="90">
        <v>2</v>
      </c>
      <c r="E285" s="90">
        <v>6824</v>
      </c>
      <c r="F285" s="90">
        <v>12517.357664233576</v>
      </c>
      <c r="G285" s="90">
        <v>0</v>
      </c>
      <c r="H285" s="90">
        <v>80967.775317663487</v>
      </c>
      <c r="I285" s="90">
        <v>0</v>
      </c>
      <c r="J285" s="90">
        <v>0</v>
      </c>
      <c r="K285" s="90">
        <v>0</v>
      </c>
      <c r="L285" s="90">
        <v>9262.8446715328464</v>
      </c>
      <c r="M285" s="90">
        <v>0</v>
      </c>
      <c r="N285" s="90">
        <v>59916.15373507097</v>
      </c>
      <c r="O285" s="90">
        <v>0</v>
      </c>
      <c r="P285" s="90">
        <v>0</v>
      </c>
      <c r="Q285" s="90">
        <v>0</v>
      </c>
      <c r="R285" s="90">
        <v>47768</v>
      </c>
    </row>
    <row r="286" spans="1:18" s="46" customFormat="1">
      <c r="A286" s="90" t="s">
        <v>998</v>
      </c>
      <c r="B286" s="90" t="s">
        <v>643</v>
      </c>
      <c r="C286" s="90" t="str">
        <f t="shared" si="4"/>
        <v>ColdfootOther</v>
      </c>
      <c r="D286" s="90">
        <v>2</v>
      </c>
      <c r="E286" s="90">
        <v>6600</v>
      </c>
      <c r="F286" s="90">
        <v>5708.1508854699605</v>
      </c>
      <c r="G286" s="90">
        <v>0</v>
      </c>
      <c r="H286" s="90">
        <v>48034.71892523898</v>
      </c>
      <c r="I286" s="90">
        <v>0</v>
      </c>
      <c r="J286" s="90">
        <v>0</v>
      </c>
      <c r="K286" s="90">
        <v>0</v>
      </c>
      <c r="L286" s="90">
        <v>4224.0316552477707</v>
      </c>
      <c r="M286" s="90">
        <v>0</v>
      </c>
      <c r="N286" s="90">
        <v>35545.69200467685</v>
      </c>
      <c r="O286" s="90">
        <v>0</v>
      </c>
      <c r="P286" s="90">
        <v>0</v>
      </c>
      <c r="Q286" s="90">
        <v>0</v>
      </c>
      <c r="R286" s="90">
        <v>46200</v>
      </c>
    </row>
    <row r="287" spans="1:18" s="46" customFormat="1">
      <c r="A287" s="90" t="s">
        <v>998</v>
      </c>
      <c r="B287" s="90" t="s">
        <v>951</v>
      </c>
      <c r="C287" s="90" t="str">
        <f t="shared" si="4"/>
        <v>ColdfootWarehousing</v>
      </c>
      <c r="D287" s="90">
        <v>1</v>
      </c>
      <c r="E287" s="90">
        <v>900</v>
      </c>
      <c r="F287" s="90">
        <v>1128.1773660184624</v>
      </c>
      <c r="G287" s="90">
        <v>0</v>
      </c>
      <c r="H287" s="90">
        <v>10678.633907663707</v>
      </c>
      <c r="I287" s="90">
        <v>0</v>
      </c>
      <c r="J287" s="90">
        <v>0</v>
      </c>
      <c r="K287" s="90">
        <v>0</v>
      </c>
      <c r="L287" s="90">
        <v>834.85125085366212</v>
      </c>
      <c r="M287" s="90">
        <v>0</v>
      </c>
      <c r="N287" s="90">
        <v>7902.1890916711427</v>
      </c>
      <c r="O287" s="90">
        <v>0</v>
      </c>
      <c r="P287" s="90">
        <v>0</v>
      </c>
      <c r="Q287" s="90">
        <v>0</v>
      </c>
      <c r="R287" s="90">
        <v>6300</v>
      </c>
    </row>
    <row r="288" spans="1:18" s="46" customFormat="1">
      <c r="A288" s="90" t="s">
        <v>1000</v>
      </c>
      <c r="B288" s="90" t="s">
        <v>1447</v>
      </c>
      <c r="C288" s="90" t="str">
        <f t="shared" si="4"/>
        <v>Copper CenterAccomodation Services</v>
      </c>
      <c r="D288" s="90">
        <v>2</v>
      </c>
      <c r="E288" s="90">
        <v>65150</v>
      </c>
      <c r="F288" s="90">
        <v>21400</v>
      </c>
      <c r="G288" s="90">
        <v>0</v>
      </c>
      <c r="H288" s="90">
        <v>643927.12218597066</v>
      </c>
      <c r="I288" s="90">
        <v>0</v>
      </c>
      <c r="J288" s="90">
        <v>0</v>
      </c>
      <c r="K288" s="90">
        <v>0</v>
      </c>
      <c r="L288" s="90">
        <v>15836</v>
      </c>
      <c r="M288" s="90">
        <v>0</v>
      </c>
      <c r="N288" s="90">
        <v>476506.07041761826</v>
      </c>
      <c r="O288" s="90">
        <v>0</v>
      </c>
      <c r="P288" s="90">
        <v>0</v>
      </c>
      <c r="Q288" s="90">
        <v>0</v>
      </c>
      <c r="R288" s="90">
        <v>456050</v>
      </c>
    </row>
    <row r="289" spans="1:18" s="46" customFormat="1">
      <c r="A289" s="90" t="s">
        <v>1000</v>
      </c>
      <c r="B289" s="90" t="s">
        <v>1439</v>
      </c>
      <c r="C289" s="90" t="str">
        <f t="shared" si="4"/>
        <v>Copper CenterEducation - K - 12</v>
      </c>
      <c r="D289" s="90">
        <v>2</v>
      </c>
      <c r="E289" s="90">
        <v>11121.08</v>
      </c>
      <c r="F289" s="90">
        <v>16494.019048755472</v>
      </c>
      <c r="G289" s="90">
        <v>0</v>
      </c>
      <c r="H289" s="90">
        <v>81963.164026835046</v>
      </c>
      <c r="I289" s="90">
        <v>0</v>
      </c>
      <c r="J289" s="90">
        <v>0</v>
      </c>
      <c r="K289" s="90">
        <v>0</v>
      </c>
      <c r="L289" s="90">
        <v>12205.57409607905</v>
      </c>
      <c r="M289" s="90">
        <v>0</v>
      </c>
      <c r="N289" s="90">
        <v>60652.741379857929</v>
      </c>
      <c r="O289" s="90">
        <v>0</v>
      </c>
      <c r="P289" s="90">
        <v>0</v>
      </c>
      <c r="Q289" s="90">
        <v>0</v>
      </c>
      <c r="R289" s="90">
        <v>77847.56</v>
      </c>
    </row>
    <row r="290" spans="1:18" s="46" customFormat="1">
      <c r="A290" s="90" t="s">
        <v>1000</v>
      </c>
      <c r="B290" s="90" t="s">
        <v>1440</v>
      </c>
      <c r="C290" s="90" t="str">
        <f t="shared" si="4"/>
        <v>Copper CenterHealth Care - Hospitals</v>
      </c>
      <c r="D290" s="90">
        <v>1</v>
      </c>
      <c r="E290" s="90">
        <v>932.4</v>
      </c>
      <c r="F290" s="90">
        <v>1405</v>
      </c>
      <c r="G290" s="90">
        <v>0</v>
      </c>
      <c r="H290" s="90">
        <v>10962</v>
      </c>
      <c r="I290" s="90">
        <v>0</v>
      </c>
      <c r="J290" s="90">
        <v>0</v>
      </c>
      <c r="K290" s="90">
        <v>0</v>
      </c>
      <c r="L290" s="90">
        <v>1039.7</v>
      </c>
      <c r="M290" s="90">
        <v>0</v>
      </c>
      <c r="N290" s="90">
        <v>8111.88</v>
      </c>
      <c r="O290" s="90">
        <v>0</v>
      </c>
      <c r="P290" s="90">
        <v>0</v>
      </c>
      <c r="Q290" s="90">
        <v>0</v>
      </c>
      <c r="R290" s="90">
        <v>6526.8</v>
      </c>
    </row>
    <row r="291" spans="1:18" s="46" customFormat="1">
      <c r="A291" s="90" t="s">
        <v>1000</v>
      </c>
      <c r="B291" s="90" t="s">
        <v>665</v>
      </c>
      <c r="C291" s="90" t="str">
        <f t="shared" si="4"/>
        <v>Copper CenterOffice</v>
      </c>
      <c r="D291" s="90">
        <v>2</v>
      </c>
      <c r="E291" s="90">
        <v>20400</v>
      </c>
      <c r="F291" s="90">
        <v>6563.8813752898077</v>
      </c>
      <c r="G291" s="90">
        <v>0</v>
      </c>
      <c r="H291" s="90">
        <v>112884.78008140632</v>
      </c>
      <c r="I291" s="90">
        <v>0</v>
      </c>
      <c r="J291" s="90">
        <v>0</v>
      </c>
      <c r="K291" s="90">
        <v>0</v>
      </c>
      <c r="L291" s="90">
        <v>4857.2722177144578</v>
      </c>
      <c r="M291" s="90">
        <v>0</v>
      </c>
      <c r="N291" s="90">
        <v>83534.737260240669</v>
      </c>
      <c r="O291" s="90">
        <v>0</v>
      </c>
      <c r="P291" s="90">
        <v>0</v>
      </c>
      <c r="Q291" s="90">
        <v>0</v>
      </c>
      <c r="R291" s="90">
        <v>142800</v>
      </c>
    </row>
    <row r="292" spans="1:18" s="46" customFormat="1">
      <c r="A292" s="90" t="s">
        <v>1000</v>
      </c>
      <c r="B292" s="90" t="s">
        <v>1227</v>
      </c>
      <c r="C292" s="90" t="str">
        <f t="shared" si="4"/>
        <v>Copper CenterPublic Assembly</v>
      </c>
      <c r="D292" s="90">
        <v>1</v>
      </c>
      <c r="E292" s="90">
        <v>4988.2</v>
      </c>
      <c r="F292" s="90">
        <v>4416</v>
      </c>
      <c r="G292" s="90">
        <v>0</v>
      </c>
      <c r="H292" s="90">
        <v>25137</v>
      </c>
      <c r="I292" s="90">
        <v>0</v>
      </c>
      <c r="J292" s="90">
        <v>0</v>
      </c>
      <c r="K292" s="90">
        <v>0</v>
      </c>
      <c r="L292" s="90">
        <v>3267.84</v>
      </c>
      <c r="M292" s="90">
        <v>0</v>
      </c>
      <c r="N292" s="90">
        <v>18601.38</v>
      </c>
      <c r="O292" s="90">
        <v>0</v>
      </c>
      <c r="P292" s="90">
        <v>0</v>
      </c>
      <c r="Q292" s="90">
        <v>0</v>
      </c>
      <c r="R292" s="90">
        <v>34917.4</v>
      </c>
    </row>
    <row r="293" spans="1:18" s="46" customFormat="1">
      <c r="A293" s="90" t="s">
        <v>1000</v>
      </c>
      <c r="B293" s="90" t="s">
        <v>1475</v>
      </c>
      <c r="C293" s="90" t="str">
        <f t="shared" si="4"/>
        <v>Copper CenterPublic Safety</v>
      </c>
      <c r="D293" s="90">
        <v>1</v>
      </c>
      <c r="E293" s="90">
        <v>2400</v>
      </c>
      <c r="F293" s="90">
        <v>1698.8696759281138</v>
      </c>
      <c r="G293" s="90">
        <v>0</v>
      </c>
      <c r="H293" s="90">
        <v>19848.196614697237</v>
      </c>
      <c r="I293" s="90">
        <v>0</v>
      </c>
      <c r="J293" s="90">
        <v>0</v>
      </c>
      <c r="K293" s="90">
        <v>0</v>
      </c>
      <c r="L293" s="90">
        <v>1257.1635601868043</v>
      </c>
      <c r="M293" s="90">
        <v>0</v>
      </c>
      <c r="N293" s="90">
        <v>14687.665494875955</v>
      </c>
      <c r="O293" s="90">
        <v>0</v>
      </c>
      <c r="P293" s="90">
        <v>0</v>
      </c>
      <c r="Q293" s="90">
        <v>0</v>
      </c>
      <c r="R293" s="90">
        <v>16800</v>
      </c>
    </row>
    <row r="294" spans="1:18" s="46" customFormat="1">
      <c r="A294" s="90" t="s">
        <v>11</v>
      </c>
      <c r="B294" s="90" t="s">
        <v>1439</v>
      </c>
      <c r="C294" s="90" t="str">
        <f t="shared" si="4"/>
        <v>CordovaEducation - K - 12</v>
      </c>
      <c r="D294" s="90">
        <v>2</v>
      </c>
      <c r="E294" s="90">
        <v>98965</v>
      </c>
      <c r="F294" s="90">
        <v>48368.197080291975</v>
      </c>
      <c r="G294" s="90">
        <v>0</v>
      </c>
      <c r="H294" s="90">
        <v>410344.69328875002</v>
      </c>
      <c r="I294" s="90">
        <v>0</v>
      </c>
      <c r="J294" s="90">
        <v>0</v>
      </c>
      <c r="K294" s="90">
        <v>0</v>
      </c>
      <c r="L294" s="90">
        <v>35792.465839416058</v>
      </c>
      <c r="M294" s="90">
        <v>0</v>
      </c>
      <c r="N294" s="90">
        <v>303655.07303367503</v>
      </c>
      <c r="O294" s="90">
        <v>0</v>
      </c>
      <c r="P294" s="90">
        <v>0</v>
      </c>
      <c r="Q294" s="90">
        <v>0</v>
      </c>
      <c r="R294" s="90">
        <v>692755</v>
      </c>
    </row>
    <row r="295" spans="1:18" s="46" customFormat="1">
      <c r="A295" s="90" t="s">
        <v>11</v>
      </c>
      <c r="B295" s="90" t="s">
        <v>1440</v>
      </c>
      <c r="C295" s="90" t="str">
        <f t="shared" si="4"/>
        <v>CordovaHealth Care - Hospitals</v>
      </c>
      <c r="D295" s="90">
        <v>2</v>
      </c>
      <c r="E295" s="90">
        <v>107400</v>
      </c>
      <c r="F295" s="90">
        <v>68017.255474452555</v>
      </c>
      <c r="G295" s="90">
        <v>0</v>
      </c>
      <c r="H295" s="90">
        <v>1162550.4628599999</v>
      </c>
      <c r="I295" s="90">
        <v>0</v>
      </c>
      <c r="J295" s="90">
        <v>0</v>
      </c>
      <c r="K295" s="90">
        <v>0</v>
      </c>
      <c r="L295" s="90">
        <v>50332.769051094889</v>
      </c>
      <c r="M295" s="90">
        <v>0</v>
      </c>
      <c r="N295" s="90">
        <v>860287.34251639992</v>
      </c>
      <c r="O295" s="90">
        <v>0</v>
      </c>
      <c r="P295" s="90">
        <v>0</v>
      </c>
      <c r="Q295" s="90">
        <v>0</v>
      </c>
      <c r="R295" s="90">
        <v>751800</v>
      </c>
    </row>
    <row r="296" spans="1:18" s="46" customFormat="1">
      <c r="A296" s="90" t="s">
        <v>11</v>
      </c>
      <c r="B296" s="90" t="s">
        <v>643</v>
      </c>
      <c r="C296" s="90" t="str">
        <f t="shared" si="4"/>
        <v>CordovaOther</v>
      </c>
      <c r="D296" s="90">
        <v>6</v>
      </c>
      <c r="E296" s="90">
        <v>26486.055194805194</v>
      </c>
      <c r="F296" s="90">
        <v>17774.374121186898</v>
      </c>
      <c r="G296" s="90">
        <v>0</v>
      </c>
      <c r="H296" s="90">
        <v>297147.07990577014</v>
      </c>
      <c r="I296" s="90">
        <v>0</v>
      </c>
      <c r="J296" s="90">
        <v>0</v>
      </c>
      <c r="K296" s="90">
        <v>0</v>
      </c>
      <c r="L296" s="90">
        <v>13153.036849678308</v>
      </c>
      <c r="M296" s="90">
        <v>0</v>
      </c>
      <c r="N296" s="90">
        <v>219888.83913026992</v>
      </c>
      <c r="O296" s="90">
        <v>0</v>
      </c>
      <c r="P296" s="90">
        <v>0</v>
      </c>
      <c r="Q296" s="90">
        <v>0</v>
      </c>
      <c r="R296" s="90">
        <v>185402.38636363635</v>
      </c>
    </row>
    <row r="297" spans="1:18">
      <c r="A297" s="90" t="s">
        <v>11</v>
      </c>
      <c r="B297" s="90" t="s">
        <v>1227</v>
      </c>
      <c r="C297" s="90" t="str">
        <f t="shared" si="4"/>
        <v>CordovaPublic Assembly</v>
      </c>
      <c r="D297" s="90">
        <v>1</v>
      </c>
      <c r="E297" s="90">
        <v>6232</v>
      </c>
      <c r="F297" s="90">
        <v>7019.603715393122</v>
      </c>
      <c r="G297" s="90">
        <v>0</v>
      </c>
      <c r="H297" s="90">
        <v>93373.055097835211</v>
      </c>
      <c r="I297" s="90">
        <v>0</v>
      </c>
      <c r="J297" s="90">
        <v>0</v>
      </c>
      <c r="K297" s="90">
        <v>0</v>
      </c>
      <c r="L297" s="90">
        <v>5194.50674939091</v>
      </c>
      <c r="M297" s="90">
        <v>0</v>
      </c>
      <c r="N297" s="90">
        <v>69096.06077239805</v>
      </c>
      <c r="O297" s="90">
        <v>0</v>
      </c>
      <c r="P297" s="90">
        <v>0</v>
      </c>
      <c r="Q297" s="90">
        <v>0</v>
      </c>
      <c r="R297" s="90">
        <v>43624</v>
      </c>
    </row>
    <row r="298" spans="1:18">
      <c r="A298" s="90" t="s">
        <v>11</v>
      </c>
      <c r="B298" s="90" t="s">
        <v>1442</v>
      </c>
      <c r="C298" s="90" t="str">
        <f t="shared" si="4"/>
        <v>CordovaResidential - Multi-Family</v>
      </c>
      <c r="D298" s="90">
        <v>2</v>
      </c>
      <c r="E298" s="90">
        <v>13282.384615384615</v>
      </c>
      <c r="F298" s="90">
        <v>2040.9164465029205</v>
      </c>
      <c r="G298" s="90">
        <v>0</v>
      </c>
      <c r="H298" s="90">
        <v>33850.583108746272</v>
      </c>
      <c r="I298" s="90">
        <v>0</v>
      </c>
      <c r="J298" s="90">
        <v>0</v>
      </c>
      <c r="K298" s="90">
        <v>0</v>
      </c>
      <c r="L298" s="90">
        <v>1510.2781704121612</v>
      </c>
      <c r="M298" s="90">
        <v>0</v>
      </c>
      <c r="N298" s="90">
        <v>25049.431500472241</v>
      </c>
      <c r="O298" s="90">
        <v>0</v>
      </c>
      <c r="P298" s="90">
        <v>0</v>
      </c>
      <c r="Q298" s="90">
        <v>0</v>
      </c>
      <c r="R298" s="90">
        <v>92976.692307692312</v>
      </c>
    </row>
    <row r="299" spans="1:18">
      <c r="A299" s="90" t="s">
        <v>11</v>
      </c>
      <c r="B299" s="90" t="s">
        <v>951</v>
      </c>
      <c r="C299" s="90" t="str">
        <f t="shared" si="4"/>
        <v>CordovaWarehousing</v>
      </c>
      <c r="D299" s="90">
        <v>2</v>
      </c>
      <c r="E299" s="90">
        <v>14842.580645161292</v>
      </c>
      <c r="F299" s="90">
        <v>12568.251670924474</v>
      </c>
      <c r="G299" s="90">
        <v>0</v>
      </c>
      <c r="H299" s="90">
        <v>189734.42830641617</v>
      </c>
      <c r="I299" s="90">
        <v>0</v>
      </c>
      <c r="J299" s="90">
        <v>0</v>
      </c>
      <c r="K299" s="90">
        <v>0</v>
      </c>
      <c r="L299" s="90">
        <v>9300.5062364841106</v>
      </c>
      <c r="M299" s="90">
        <v>0</v>
      </c>
      <c r="N299" s="90">
        <v>140403.47694674798</v>
      </c>
      <c r="O299" s="90">
        <v>0</v>
      </c>
      <c r="P299" s="90">
        <v>0</v>
      </c>
      <c r="Q299" s="90">
        <v>0</v>
      </c>
      <c r="R299" s="90">
        <v>103898.06451612903</v>
      </c>
    </row>
    <row r="300" spans="1:18">
      <c r="A300" s="90" t="s">
        <v>57</v>
      </c>
      <c r="B300" s="90" t="s">
        <v>1447</v>
      </c>
      <c r="C300" s="90" t="str">
        <f t="shared" si="4"/>
        <v>CraigAccomodation Services</v>
      </c>
      <c r="D300" s="90">
        <v>12</v>
      </c>
      <c r="E300" s="90">
        <v>86000.625</v>
      </c>
      <c r="F300" s="90">
        <v>88668.943509206656</v>
      </c>
      <c r="G300" s="90">
        <v>0</v>
      </c>
      <c r="H300" s="90">
        <v>1874749.3408947634</v>
      </c>
      <c r="I300" s="90">
        <v>0</v>
      </c>
      <c r="J300" s="90">
        <v>0</v>
      </c>
      <c r="K300" s="90">
        <v>0</v>
      </c>
      <c r="L300" s="90">
        <v>65615.018196812918</v>
      </c>
      <c r="M300" s="90">
        <v>0</v>
      </c>
      <c r="N300" s="90">
        <v>1387314.5122621253</v>
      </c>
      <c r="O300" s="90">
        <v>0</v>
      </c>
      <c r="P300" s="90">
        <v>0</v>
      </c>
      <c r="Q300" s="90">
        <v>0</v>
      </c>
      <c r="R300" s="90">
        <v>602004.375</v>
      </c>
    </row>
    <row r="301" spans="1:18">
      <c r="A301" s="90" t="s">
        <v>57</v>
      </c>
      <c r="B301" s="90" t="s">
        <v>1439</v>
      </c>
      <c r="C301" s="90" t="str">
        <f t="shared" si="4"/>
        <v>CraigEducation - K - 12</v>
      </c>
      <c r="D301" s="90">
        <v>6</v>
      </c>
      <c r="E301" s="90">
        <v>104980.22395721925</v>
      </c>
      <c r="F301" s="90">
        <v>38927.370906392003</v>
      </c>
      <c r="G301" s="90">
        <v>0</v>
      </c>
      <c r="H301" s="90">
        <v>743335.76225144824</v>
      </c>
      <c r="I301" s="90">
        <v>0</v>
      </c>
      <c r="J301" s="90">
        <v>0</v>
      </c>
      <c r="K301" s="90">
        <v>206.02765936851017</v>
      </c>
      <c r="L301" s="90">
        <v>28806.254470730077</v>
      </c>
      <c r="M301" s="90">
        <v>0</v>
      </c>
      <c r="N301" s="90">
        <v>550068.46406607167</v>
      </c>
      <c r="O301" s="90">
        <v>0</v>
      </c>
      <c r="P301" s="90">
        <v>0</v>
      </c>
      <c r="Q301" s="90">
        <v>152.46046793269755</v>
      </c>
      <c r="R301" s="90">
        <v>734861.56770053483</v>
      </c>
    </row>
    <row r="302" spans="1:18">
      <c r="A302" s="90" t="s">
        <v>57</v>
      </c>
      <c r="B302" s="90" t="s">
        <v>1469</v>
      </c>
      <c r="C302" s="90" t="str">
        <f t="shared" si="4"/>
        <v>CraigFood Service and Drinking Places</v>
      </c>
      <c r="D302" s="90">
        <v>7</v>
      </c>
      <c r="E302" s="90">
        <v>26250</v>
      </c>
      <c r="F302" s="90">
        <v>19669.121375470098</v>
      </c>
      <c r="G302" s="90">
        <v>0</v>
      </c>
      <c r="H302" s="90">
        <v>191548.85910189114</v>
      </c>
      <c r="I302" s="90">
        <v>0</v>
      </c>
      <c r="J302" s="90">
        <v>0</v>
      </c>
      <c r="K302" s="90">
        <v>0</v>
      </c>
      <c r="L302" s="90">
        <v>14555.149817847876</v>
      </c>
      <c r="M302" s="90">
        <v>0</v>
      </c>
      <c r="N302" s="90">
        <v>141746.15573539949</v>
      </c>
      <c r="O302" s="90">
        <v>0</v>
      </c>
      <c r="P302" s="90">
        <v>0</v>
      </c>
      <c r="Q302" s="90">
        <v>0</v>
      </c>
      <c r="R302" s="90">
        <v>183750</v>
      </c>
    </row>
    <row r="303" spans="1:18">
      <c r="A303" s="90" t="s">
        <v>57</v>
      </c>
      <c r="B303" s="90" t="s">
        <v>1440</v>
      </c>
      <c r="C303" s="90" t="str">
        <f t="shared" si="4"/>
        <v>CraigHealth Care - Hospitals</v>
      </c>
      <c r="D303" s="90">
        <v>2</v>
      </c>
      <c r="E303" s="90">
        <v>20205.592499999999</v>
      </c>
      <c r="F303" s="90">
        <v>12771.459853217812</v>
      </c>
      <c r="G303" s="90">
        <v>0</v>
      </c>
      <c r="H303" s="90">
        <v>178128.71947622913</v>
      </c>
      <c r="I303" s="90">
        <v>0</v>
      </c>
      <c r="J303" s="90">
        <v>0</v>
      </c>
      <c r="K303" s="90">
        <v>0</v>
      </c>
      <c r="L303" s="90">
        <v>9450.8802913811796</v>
      </c>
      <c r="M303" s="90">
        <v>0</v>
      </c>
      <c r="N303" s="90">
        <v>131815.25241240955</v>
      </c>
      <c r="O303" s="90">
        <v>0</v>
      </c>
      <c r="P303" s="90">
        <v>0</v>
      </c>
      <c r="Q303" s="90">
        <v>0</v>
      </c>
      <c r="R303" s="90">
        <v>141439.14749999999</v>
      </c>
    </row>
    <row r="304" spans="1:18">
      <c r="A304" s="90" t="s">
        <v>57</v>
      </c>
      <c r="B304" s="90" t="s">
        <v>665</v>
      </c>
      <c r="C304" s="90" t="str">
        <f t="shared" si="4"/>
        <v>CraigOffice</v>
      </c>
      <c r="D304" s="90">
        <v>15</v>
      </c>
      <c r="E304" s="90">
        <v>42892.366906474832</v>
      </c>
      <c r="F304" s="90">
        <v>35705.775410226219</v>
      </c>
      <c r="G304" s="90">
        <v>0</v>
      </c>
      <c r="H304" s="90">
        <v>243356.63639019086</v>
      </c>
      <c r="I304" s="90">
        <v>0</v>
      </c>
      <c r="J304" s="90">
        <v>0</v>
      </c>
      <c r="K304" s="90">
        <v>0</v>
      </c>
      <c r="L304" s="90">
        <v>26422.273803567401</v>
      </c>
      <c r="M304" s="90">
        <v>0</v>
      </c>
      <c r="N304" s="90">
        <v>180083.9109287413</v>
      </c>
      <c r="O304" s="90">
        <v>0</v>
      </c>
      <c r="P304" s="90">
        <v>0</v>
      </c>
      <c r="Q304" s="90">
        <v>0</v>
      </c>
      <c r="R304" s="90">
        <v>300246.56834532373</v>
      </c>
    </row>
    <row r="305" spans="1:18">
      <c r="A305" s="90" t="s">
        <v>57</v>
      </c>
      <c r="B305" s="90" t="s">
        <v>643</v>
      </c>
      <c r="C305" s="90" t="str">
        <f t="shared" si="4"/>
        <v>CraigOther</v>
      </c>
      <c r="D305" s="90">
        <v>19</v>
      </c>
      <c r="E305" s="90">
        <v>106831.05343511447</v>
      </c>
      <c r="F305" s="90">
        <v>108770.97566019799</v>
      </c>
      <c r="G305" s="90">
        <v>0</v>
      </c>
      <c r="H305" s="90">
        <v>793011.53072901943</v>
      </c>
      <c r="I305" s="90">
        <v>0</v>
      </c>
      <c r="J305" s="90">
        <v>0</v>
      </c>
      <c r="K305" s="90">
        <v>41.146830120640793</v>
      </c>
      <c r="L305" s="90">
        <v>80490.521988546519</v>
      </c>
      <c r="M305" s="90">
        <v>0</v>
      </c>
      <c r="N305" s="90">
        <v>586828.53273947467</v>
      </c>
      <c r="O305" s="90">
        <v>0</v>
      </c>
      <c r="P305" s="90">
        <v>0</v>
      </c>
      <c r="Q305" s="90">
        <v>30.448654289274188</v>
      </c>
      <c r="R305" s="90">
        <v>747817.37404580147</v>
      </c>
    </row>
    <row r="306" spans="1:18">
      <c r="A306" s="90" t="s">
        <v>57</v>
      </c>
      <c r="B306" s="90" t="s">
        <v>1227</v>
      </c>
      <c r="C306" s="90" t="str">
        <f t="shared" si="4"/>
        <v>CraigPublic Assembly</v>
      </c>
      <c r="D306" s="90">
        <v>7</v>
      </c>
      <c r="E306" s="90">
        <v>23985.948314606743</v>
      </c>
      <c r="F306" s="90">
        <v>16588.931156786755</v>
      </c>
      <c r="G306" s="90">
        <v>0</v>
      </c>
      <c r="H306" s="90">
        <v>111218.65757336018</v>
      </c>
      <c r="I306" s="90">
        <v>0</v>
      </c>
      <c r="J306" s="90">
        <v>0</v>
      </c>
      <c r="K306" s="90">
        <v>0</v>
      </c>
      <c r="L306" s="90">
        <v>12275.809056022197</v>
      </c>
      <c r="M306" s="90">
        <v>0</v>
      </c>
      <c r="N306" s="90">
        <v>82301.806604286539</v>
      </c>
      <c r="O306" s="90">
        <v>0</v>
      </c>
      <c r="P306" s="90">
        <v>0</v>
      </c>
      <c r="Q306" s="90">
        <v>0</v>
      </c>
      <c r="R306" s="90">
        <v>167901.63820224718</v>
      </c>
    </row>
    <row r="307" spans="1:18">
      <c r="A307" s="90" t="s">
        <v>57</v>
      </c>
      <c r="B307" s="90" t="s">
        <v>1475</v>
      </c>
      <c r="C307" s="90" t="str">
        <f t="shared" si="4"/>
        <v>CraigPublic Safety</v>
      </c>
      <c r="D307" s="90">
        <v>3</v>
      </c>
      <c r="E307" s="90">
        <v>8092.2268181818181</v>
      </c>
      <c r="F307" s="90">
        <v>5728.1828133922236</v>
      </c>
      <c r="G307" s="90">
        <v>0</v>
      </c>
      <c r="H307" s="90">
        <v>66923.378724166061</v>
      </c>
      <c r="I307" s="90">
        <v>0</v>
      </c>
      <c r="J307" s="90">
        <v>0</v>
      </c>
      <c r="K307" s="90">
        <v>0</v>
      </c>
      <c r="L307" s="90">
        <v>4238.8552819102451</v>
      </c>
      <c r="M307" s="90">
        <v>0</v>
      </c>
      <c r="N307" s="90">
        <v>49523.300255882888</v>
      </c>
      <c r="O307" s="90">
        <v>0</v>
      </c>
      <c r="P307" s="90">
        <v>0</v>
      </c>
      <c r="Q307" s="90">
        <v>0</v>
      </c>
      <c r="R307" s="90">
        <v>56645.587727272723</v>
      </c>
    </row>
    <row r="308" spans="1:18">
      <c r="A308" s="90" t="s">
        <v>57</v>
      </c>
      <c r="B308" s="90" t="s">
        <v>1442</v>
      </c>
      <c r="C308" s="90" t="str">
        <f t="shared" si="4"/>
        <v>CraigResidential - Multi-Family</v>
      </c>
      <c r="D308" s="90">
        <v>2</v>
      </c>
      <c r="E308" s="90">
        <v>10046.428571428571</v>
      </c>
      <c r="F308" s="90">
        <v>10278.271442883723</v>
      </c>
      <c r="G308" s="90">
        <v>0</v>
      </c>
      <c r="H308" s="90">
        <v>41522.738222165877</v>
      </c>
      <c r="I308" s="90">
        <v>0</v>
      </c>
      <c r="J308" s="90">
        <v>0</v>
      </c>
      <c r="K308" s="90">
        <v>0</v>
      </c>
      <c r="L308" s="90">
        <v>7605.9208677339548</v>
      </c>
      <c r="M308" s="90">
        <v>0</v>
      </c>
      <c r="N308" s="90">
        <v>30726.826284402749</v>
      </c>
      <c r="O308" s="90">
        <v>0</v>
      </c>
      <c r="P308" s="90">
        <v>0</v>
      </c>
      <c r="Q308" s="90">
        <v>0</v>
      </c>
      <c r="R308" s="90">
        <v>70325</v>
      </c>
    </row>
    <row r="309" spans="1:18">
      <c r="A309" s="90" t="s">
        <v>57</v>
      </c>
      <c r="B309" s="90" t="s">
        <v>1485</v>
      </c>
      <c r="C309" s="90" t="str">
        <f t="shared" si="4"/>
        <v>CraigRetail - Other</v>
      </c>
      <c r="D309" s="90">
        <v>10</v>
      </c>
      <c r="E309" s="90">
        <v>60462.292682926825</v>
      </c>
      <c r="F309" s="90">
        <v>100430.83417672897</v>
      </c>
      <c r="G309" s="90">
        <v>0</v>
      </c>
      <c r="H309" s="90">
        <v>1475169.8548936727</v>
      </c>
      <c r="I309" s="90">
        <v>0</v>
      </c>
      <c r="J309" s="90">
        <v>0</v>
      </c>
      <c r="K309" s="90">
        <v>0</v>
      </c>
      <c r="L309" s="90">
        <v>74318.817290779421</v>
      </c>
      <c r="M309" s="90">
        <v>0</v>
      </c>
      <c r="N309" s="90">
        <v>1091625.6926213179</v>
      </c>
      <c r="O309" s="90">
        <v>0</v>
      </c>
      <c r="P309" s="90">
        <v>0</v>
      </c>
      <c r="Q309" s="90">
        <v>0</v>
      </c>
      <c r="R309" s="90">
        <v>423236.04878048779</v>
      </c>
    </row>
    <row r="310" spans="1:18">
      <c r="A310" s="90" t="s">
        <v>57</v>
      </c>
      <c r="B310" s="90" t="s">
        <v>951</v>
      </c>
      <c r="C310" s="90" t="str">
        <f t="shared" si="4"/>
        <v>CraigWarehousing</v>
      </c>
      <c r="D310" s="90">
        <v>6</v>
      </c>
      <c r="E310" s="90">
        <v>16359.397058823528</v>
      </c>
      <c r="F310" s="90">
        <v>28551.948927561436</v>
      </c>
      <c r="G310" s="90">
        <v>0</v>
      </c>
      <c r="H310" s="90">
        <v>749566.58455897786</v>
      </c>
      <c r="I310" s="90">
        <v>0</v>
      </c>
      <c r="J310" s="90">
        <v>0</v>
      </c>
      <c r="K310" s="90">
        <v>0</v>
      </c>
      <c r="L310" s="90">
        <v>21128.442206395459</v>
      </c>
      <c r="M310" s="90">
        <v>0</v>
      </c>
      <c r="N310" s="90">
        <v>554679.2725736436</v>
      </c>
      <c r="O310" s="90">
        <v>0</v>
      </c>
      <c r="P310" s="90">
        <v>0</v>
      </c>
      <c r="Q310" s="90">
        <v>0</v>
      </c>
      <c r="R310" s="90">
        <v>114515.77941176473</v>
      </c>
    </row>
    <row r="311" spans="1:18">
      <c r="A311" s="90" t="s">
        <v>189</v>
      </c>
      <c r="B311" s="90" t="s">
        <v>1447</v>
      </c>
      <c r="C311" s="90" t="str">
        <f t="shared" si="4"/>
        <v>Crooked CreekAccomodation Services</v>
      </c>
      <c r="D311" s="90">
        <v>1</v>
      </c>
      <c r="E311" s="90">
        <v>4770.8148148148148</v>
      </c>
      <c r="F311" s="90">
        <v>2988.4980540000279</v>
      </c>
      <c r="G311" s="90">
        <v>0</v>
      </c>
      <c r="H311" s="90">
        <v>35003.910702682631</v>
      </c>
      <c r="I311" s="90">
        <v>0</v>
      </c>
      <c r="J311" s="90">
        <v>0</v>
      </c>
      <c r="K311" s="90">
        <v>0</v>
      </c>
      <c r="L311" s="90">
        <v>2211.4885599600207</v>
      </c>
      <c r="M311" s="90">
        <v>0</v>
      </c>
      <c r="N311" s="90">
        <v>25902.893919985148</v>
      </c>
      <c r="O311" s="90">
        <v>0</v>
      </c>
      <c r="P311" s="90">
        <v>0</v>
      </c>
      <c r="Q311" s="90">
        <v>0</v>
      </c>
      <c r="R311" s="90">
        <v>33395.703703703701</v>
      </c>
    </row>
    <row r="312" spans="1:18">
      <c r="A312" s="90" t="s">
        <v>189</v>
      </c>
      <c r="B312" s="90" t="s">
        <v>1439</v>
      </c>
      <c r="C312" s="90" t="str">
        <f t="shared" si="4"/>
        <v>Crooked CreekEducation - K - 12</v>
      </c>
      <c r="D312" s="90">
        <v>2</v>
      </c>
      <c r="E312" s="90">
        <v>9130</v>
      </c>
      <c r="F312" s="90">
        <v>7740.0893737104088</v>
      </c>
      <c r="G312" s="90">
        <v>0</v>
      </c>
      <c r="H312" s="90">
        <v>59330.518589222935</v>
      </c>
      <c r="I312" s="90">
        <v>0</v>
      </c>
      <c r="J312" s="90">
        <v>0</v>
      </c>
      <c r="K312" s="90">
        <v>0</v>
      </c>
      <c r="L312" s="90">
        <v>5727.6661365457021</v>
      </c>
      <c r="M312" s="90">
        <v>0</v>
      </c>
      <c r="N312" s="90">
        <v>43904.583756024971</v>
      </c>
      <c r="O312" s="90">
        <v>0</v>
      </c>
      <c r="P312" s="90">
        <v>0</v>
      </c>
      <c r="Q312" s="90">
        <v>0</v>
      </c>
      <c r="R312" s="90">
        <v>63910</v>
      </c>
    </row>
    <row r="313" spans="1:18">
      <c r="A313" s="90" t="s">
        <v>189</v>
      </c>
      <c r="B313" s="90" t="s">
        <v>1469</v>
      </c>
      <c r="C313" s="90" t="str">
        <f t="shared" si="4"/>
        <v>Crooked CreekFood Service and Drinking Places</v>
      </c>
      <c r="D313" s="90">
        <v>1</v>
      </c>
      <c r="E313" s="90">
        <v>2304</v>
      </c>
      <c r="F313" s="90">
        <v>924.67200000000003</v>
      </c>
      <c r="G313" s="90">
        <v>0</v>
      </c>
      <c r="H313" s="90">
        <v>6169.8057747937673</v>
      </c>
      <c r="I313" s="90">
        <v>0</v>
      </c>
      <c r="J313" s="90">
        <v>0</v>
      </c>
      <c r="K313" s="90">
        <v>0</v>
      </c>
      <c r="L313" s="90">
        <v>684.25728000000004</v>
      </c>
      <c r="M313" s="90">
        <v>0</v>
      </c>
      <c r="N313" s="90">
        <v>4565.6562733473875</v>
      </c>
      <c r="O313" s="90">
        <v>0</v>
      </c>
      <c r="P313" s="90">
        <v>0</v>
      </c>
      <c r="Q313" s="90">
        <v>0</v>
      </c>
      <c r="R313" s="90">
        <v>16128</v>
      </c>
    </row>
    <row r="314" spans="1:18">
      <c r="A314" s="90" t="s">
        <v>189</v>
      </c>
      <c r="B314" s="90" t="s">
        <v>1440</v>
      </c>
      <c r="C314" s="90" t="str">
        <f t="shared" si="4"/>
        <v>Crooked CreekHealth Care - Hospitals</v>
      </c>
      <c r="D314" s="90">
        <v>1</v>
      </c>
      <c r="E314" s="90">
        <v>2256.9250000000002</v>
      </c>
      <c r="F314" s="90">
        <v>1573.0165476804564</v>
      </c>
      <c r="G314" s="90">
        <v>0</v>
      </c>
      <c r="H314" s="90">
        <v>16977.563262470368</v>
      </c>
      <c r="I314" s="90">
        <v>0</v>
      </c>
      <c r="J314" s="90">
        <v>0</v>
      </c>
      <c r="K314" s="90">
        <v>0</v>
      </c>
      <c r="L314" s="90">
        <v>1164.0322452835378</v>
      </c>
      <c r="M314" s="90">
        <v>0</v>
      </c>
      <c r="N314" s="90">
        <v>12563.396814228072</v>
      </c>
      <c r="O314" s="90">
        <v>0</v>
      </c>
      <c r="P314" s="90">
        <v>0</v>
      </c>
      <c r="Q314" s="90">
        <v>0</v>
      </c>
      <c r="R314" s="90">
        <v>15798.475000000002</v>
      </c>
    </row>
    <row r="315" spans="1:18">
      <c r="A315" s="90" t="s">
        <v>189</v>
      </c>
      <c r="B315" s="90" t="s">
        <v>665</v>
      </c>
      <c r="C315" s="90" t="str">
        <f t="shared" si="4"/>
        <v>Crooked CreekOffice</v>
      </c>
      <c r="D315" s="90">
        <v>2</v>
      </c>
      <c r="E315" s="90">
        <v>4066.517006802721</v>
      </c>
      <c r="F315" s="90">
        <v>5411.1649445925304</v>
      </c>
      <c r="G315" s="90">
        <v>0</v>
      </c>
      <c r="H315" s="90">
        <v>32597.323289905435</v>
      </c>
      <c r="I315" s="90">
        <v>0</v>
      </c>
      <c r="J315" s="90">
        <v>0</v>
      </c>
      <c r="K315" s="90">
        <v>0</v>
      </c>
      <c r="L315" s="90">
        <v>4004.2620589984726</v>
      </c>
      <c r="M315" s="90">
        <v>0</v>
      </c>
      <c r="N315" s="90">
        <v>24122.01923453002</v>
      </c>
      <c r="O315" s="90">
        <v>0</v>
      </c>
      <c r="P315" s="90">
        <v>0</v>
      </c>
      <c r="Q315" s="90">
        <v>0</v>
      </c>
      <c r="R315" s="90">
        <v>28465.619047619046</v>
      </c>
    </row>
    <row r="316" spans="1:18">
      <c r="A316" s="90" t="s">
        <v>189</v>
      </c>
      <c r="B316" s="90" t="s">
        <v>643</v>
      </c>
      <c r="C316" s="90" t="str">
        <f t="shared" si="4"/>
        <v>Crooked CreekOther</v>
      </c>
      <c r="D316" s="90">
        <v>6</v>
      </c>
      <c r="E316" s="90">
        <v>9903.681818181818</v>
      </c>
      <c r="F316" s="90">
        <v>8565.4106272526205</v>
      </c>
      <c r="G316" s="90">
        <v>0</v>
      </c>
      <c r="H316" s="90">
        <v>72078.874615358087</v>
      </c>
      <c r="I316" s="90">
        <v>0</v>
      </c>
      <c r="J316" s="90">
        <v>0</v>
      </c>
      <c r="K316" s="90">
        <v>0</v>
      </c>
      <c r="L316" s="90">
        <v>6338.4038641669395</v>
      </c>
      <c r="M316" s="90">
        <v>0</v>
      </c>
      <c r="N316" s="90">
        <v>53338.36721536499</v>
      </c>
      <c r="O316" s="90">
        <v>0</v>
      </c>
      <c r="P316" s="90">
        <v>0</v>
      </c>
      <c r="Q316" s="90">
        <v>0</v>
      </c>
      <c r="R316" s="90">
        <v>69325.772727272735</v>
      </c>
    </row>
    <row r="317" spans="1:18">
      <c r="A317" s="90" t="s">
        <v>189</v>
      </c>
      <c r="B317" s="90" t="s">
        <v>1227</v>
      </c>
      <c r="C317" s="90" t="str">
        <f t="shared" si="4"/>
        <v>Crooked CreekPublic Assembly</v>
      </c>
      <c r="D317" s="90">
        <v>3</v>
      </c>
      <c r="E317" s="90">
        <v>9410.163461538461</v>
      </c>
      <c r="F317" s="90">
        <v>5871.5428244987615</v>
      </c>
      <c r="G317" s="90">
        <v>0</v>
      </c>
      <c r="H317" s="90">
        <v>35398.546840187657</v>
      </c>
      <c r="I317" s="90">
        <v>0</v>
      </c>
      <c r="J317" s="90">
        <v>0</v>
      </c>
      <c r="K317" s="90">
        <v>0</v>
      </c>
      <c r="L317" s="90">
        <v>4344.9416901290833</v>
      </c>
      <c r="M317" s="90">
        <v>0</v>
      </c>
      <c r="N317" s="90">
        <v>26194.924661738864</v>
      </c>
      <c r="O317" s="90">
        <v>0</v>
      </c>
      <c r="P317" s="90">
        <v>0</v>
      </c>
      <c r="Q317" s="90">
        <v>0</v>
      </c>
      <c r="R317" s="90">
        <v>65871.144230769234</v>
      </c>
    </row>
    <row r="318" spans="1:18">
      <c r="A318" s="90" t="s">
        <v>189</v>
      </c>
      <c r="B318" s="90" t="s">
        <v>951</v>
      </c>
      <c r="C318" s="90" t="str">
        <f t="shared" si="4"/>
        <v>Crooked CreekWarehousing</v>
      </c>
      <c r="D318" s="90">
        <v>1</v>
      </c>
      <c r="E318" s="90">
        <v>1104</v>
      </c>
      <c r="F318" s="90">
        <v>1383.8975689826473</v>
      </c>
      <c r="G318" s="90">
        <v>0</v>
      </c>
      <c r="H318" s="90">
        <v>13099.12426006748</v>
      </c>
      <c r="I318" s="90">
        <v>0</v>
      </c>
      <c r="J318" s="90">
        <v>0</v>
      </c>
      <c r="K318" s="90">
        <v>0</v>
      </c>
      <c r="L318" s="90">
        <v>1024.084201047159</v>
      </c>
      <c r="M318" s="90">
        <v>0</v>
      </c>
      <c r="N318" s="90">
        <v>9693.3519524499352</v>
      </c>
      <c r="O318" s="90">
        <v>0</v>
      </c>
      <c r="P318" s="90">
        <v>0</v>
      </c>
      <c r="Q318" s="90">
        <v>0</v>
      </c>
      <c r="R318" s="90">
        <v>7728</v>
      </c>
    </row>
    <row r="319" spans="1:18">
      <c r="A319" s="90" t="s">
        <v>42</v>
      </c>
      <c r="B319" s="90" t="s">
        <v>1439</v>
      </c>
      <c r="C319" s="90" t="str">
        <f t="shared" si="4"/>
        <v>DeeringEducation - K - 12</v>
      </c>
      <c r="D319" s="90">
        <v>3</v>
      </c>
      <c r="E319" s="90">
        <v>13559</v>
      </c>
      <c r="F319" s="90">
        <v>16804.042736829764</v>
      </c>
      <c r="G319" s="90">
        <v>0</v>
      </c>
      <c r="H319" s="90">
        <v>129330.62470513323</v>
      </c>
      <c r="I319" s="90">
        <v>0</v>
      </c>
      <c r="J319" s="90">
        <v>0</v>
      </c>
      <c r="K319" s="90">
        <v>0</v>
      </c>
      <c r="L319" s="90">
        <v>12434.991625254026</v>
      </c>
      <c r="M319" s="90">
        <v>0</v>
      </c>
      <c r="N319" s="90">
        <v>95704.662281798577</v>
      </c>
      <c r="O319" s="90">
        <v>0</v>
      </c>
      <c r="P319" s="90">
        <v>0</v>
      </c>
      <c r="Q319" s="90">
        <v>0</v>
      </c>
      <c r="R319" s="90">
        <v>94913</v>
      </c>
    </row>
    <row r="320" spans="1:18">
      <c r="A320" s="90" t="s">
        <v>42</v>
      </c>
      <c r="B320" s="90" t="s">
        <v>1440</v>
      </c>
      <c r="C320" s="90" t="str">
        <f t="shared" si="4"/>
        <v>DeeringHealth Care - Hospitals</v>
      </c>
      <c r="D320" s="90">
        <v>1</v>
      </c>
      <c r="E320" s="90">
        <v>5000</v>
      </c>
      <c r="F320" s="90">
        <v>4000</v>
      </c>
      <c r="G320" s="90">
        <v>0</v>
      </c>
      <c r="H320" s="90">
        <v>38400</v>
      </c>
      <c r="I320" s="90">
        <v>0</v>
      </c>
      <c r="J320" s="90">
        <v>0</v>
      </c>
      <c r="K320" s="90">
        <v>0</v>
      </c>
      <c r="L320" s="90">
        <v>2960</v>
      </c>
      <c r="M320" s="90">
        <v>0</v>
      </c>
      <c r="N320" s="90">
        <v>28416</v>
      </c>
      <c r="O320" s="90">
        <v>0</v>
      </c>
      <c r="P320" s="90">
        <v>0</v>
      </c>
      <c r="Q320" s="90">
        <v>0</v>
      </c>
      <c r="R320" s="90">
        <v>35000</v>
      </c>
    </row>
    <row r="321" spans="1:18">
      <c r="A321" s="90" t="s">
        <v>42</v>
      </c>
      <c r="B321" s="90" t="s">
        <v>665</v>
      </c>
      <c r="C321" s="90" t="str">
        <f t="shared" si="4"/>
        <v>DeeringOffice</v>
      </c>
      <c r="D321" s="90">
        <v>2</v>
      </c>
      <c r="E321" s="90">
        <v>3833.2585034013605</v>
      </c>
      <c r="F321" s="90">
        <v>2500</v>
      </c>
      <c r="G321" s="90">
        <v>0</v>
      </c>
      <c r="H321" s="90">
        <v>30727.516073367577</v>
      </c>
      <c r="I321" s="90">
        <v>0</v>
      </c>
      <c r="J321" s="90">
        <v>0</v>
      </c>
      <c r="K321" s="90">
        <v>0</v>
      </c>
      <c r="L321" s="90">
        <v>1850</v>
      </c>
      <c r="M321" s="90">
        <v>0</v>
      </c>
      <c r="N321" s="90">
        <v>22738.361894292007</v>
      </c>
      <c r="O321" s="90">
        <v>0</v>
      </c>
      <c r="P321" s="90">
        <v>0</v>
      </c>
      <c r="Q321" s="90">
        <v>0</v>
      </c>
      <c r="R321" s="90">
        <v>26832.809523809523</v>
      </c>
    </row>
    <row r="322" spans="1:18">
      <c r="A322" s="90" t="s">
        <v>42</v>
      </c>
      <c r="B322" s="90" t="s">
        <v>643</v>
      </c>
      <c r="C322" s="90" t="str">
        <f t="shared" si="4"/>
        <v>DeeringOther</v>
      </c>
      <c r="D322" s="90">
        <v>6</v>
      </c>
      <c r="E322" s="90">
        <v>2594</v>
      </c>
      <c r="F322" s="90">
        <v>1684.8063524353315</v>
      </c>
      <c r="G322" s="90">
        <v>0</v>
      </c>
      <c r="H322" s="90">
        <v>9684.3742855983801</v>
      </c>
      <c r="I322" s="90">
        <v>0</v>
      </c>
      <c r="J322" s="90">
        <v>0</v>
      </c>
      <c r="K322" s="90">
        <v>0</v>
      </c>
      <c r="L322" s="90">
        <v>1246.7567008021454</v>
      </c>
      <c r="M322" s="90">
        <v>0</v>
      </c>
      <c r="N322" s="90">
        <v>7166.4369713428005</v>
      </c>
      <c r="O322" s="90">
        <v>0</v>
      </c>
      <c r="P322" s="90">
        <v>0</v>
      </c>
      <c r="Q322" s="90">
        <v>0</v>
      </c>
      <c r="R322" s="90">
        <v>18158</v>
      </c>
    </row>
    <row r="323" spans="1:18">
      <c r="A323" s="90" t="s">
        <v>42</v>
      </c>
      <c r="B323" s="90" t="s">
        <v>1227</v>
      </c>
      <c r="C323" s="90" t="str">
        <f t="shared" ref="C323:C386" si="5">CONCATENATE(A323,B323)</f>
        <v>DeeringPublic Assembly</v>
      </c>
      <c r="D323" s="90">
        <v>1</v>
      </c>
      <c r="E323" s="90">
        <v>3136.7211538461538</v>
      </c>
      <c r="F323" s="90">
        <v>1957.1809414995873</v>
      </c>
      <c r="G323" s="90">
        <v>0</v>
      </c>
      <c r="H323" s="90">
        <v>11799.515613395884</v>
      </c>
      <c r="I323" s="90">
        <v>0</v>
      </c>
      <c r="J323" s="90">
        <v>0</v>
      </c>
      <c r="K323" s="90">
        <v>0</v>
      </c>
      <c r="L323" s="90">
        <v>1448.3138967096945</v>
      </c>
      <c r="M323" s="90">
        <v>0</v>
      </c>
      <c r="N323" s="90">
        <v>8731.6415539129539</v>
      </c>
      <c r="O323" s="90">
        <v>0</v>
      </c>
      <c r="P323" s="90">
        <v>0</v>
      </c>
      <c r="Q323" s="90">
        <v>0</v>
      </c>
      <c r="R323" s="90">
        <v>21957.048076923078</v>
      </c>
    </row>
    <row r="324" spans="1:18">
      <c r="A324" s="90" t="s">
        <v>42</v>
      </c>
      <c r="B324" s="90" t="s">
        <v>1485</v>
      </c>
      <c r="C324" s="90" t="str">
        <f t="shared" si="5"/>
        <v>DeeringRetail - Other</v>
      </c>
      <c r="D324" s="90">
        <v>1</v>
      </c>
      <c r="E324" s="90">
        <v>2105.2800000000002</v>
      </c>
      <c r="F324" s="90">
        <v>2225.7819714285715</v>
      </c>
      <c r="G324" s="90">
        <v>0</v>
      </c>
      <c r="H324" s="90">
        <v>49590.373216004155</v>
      </c>
      <c r="I324" s="90">
        <v>0</v>
      </c>
      <c r="J324" s="90">
        <v>0</v>
      </c>
      <c r="K324" s="90">
        <v>0</v>
      </c>
      <c r="L324" s="90">
        <v>1647.078658857143</v>
      </c>
      <c r="M324" s="90">
        <v>0</v>
      </c>
      <c r="N324" s="90">
        <v>36696.876179843071</v>
      </c>
      <c r="O324" s="90">
        <v>0</v>
      </c>
      <c r="P324" s="90">
        <v>0</v>
      </c>
      <c r="Q324" s="90">
        <v>0</v>
      </c>
      <c r="R324" s="90">
        <v>14736.960000000001</v>
      </c>
    </row>
    <row r="325" spans="1:18">
      <c r="A325" s="90" t="s">
        <v>42</v>
      </c>
      <c r="B325" s="90" t="s">
        <v>951</v>
      </c>
      <c r="C325" s="90" t="str">
        <f t="shared" si="5"/>
        <v>DeeringWarehousing</v>
      </c>
      <c r="D325" s="90">
        <v>1</v>
      </c>
      <c r="E325" s="90">
        <v>1760</v>
      </c>
      <c r="F325" s="90">
        <v>2206.2135157694374</v>
      </c>
      <c r="G325" s="90">
        <v>0</v>
      </c>
      <c r="H325" s="90">
        <v>20882.661863875692</v>
      </c>
      <c r="I325" s="90">
        <v>0</v>
      </c>
      <c r="J325" s="90">
        <v>0</v>
      </c>
      <c r="K325" s="90">
        <v>0</v>
      </c>
      <c r="L325" s="90">
        <v>1632.5980016693836</v>
      </c>
      <c r="M325" s="90">
        <v>0</v>
      </c>
      <c r="N325" s="90">
        <v>15453.169779268012</v>
      </c>
      <c r="O325" s="90">
        <v>0</v>
      </c>
      <c r="P325" s="90">
        <v>0</v>
      </c>
      <c r="Q325" s="90">
        <v>0</v>
      </c>
      <c r="R325" s="90">
        <v>12320</v>
      </c>
    </row>
    <row r="326" spans="1:18">
      <c r="A326" s="90" t="s">
        <v>1001</v>
      </c>
      <c r="B326" s="90" t="s">
        <v>1439</v>
      </c>
      <c r="C326" s="90" t="str">
        <f t="shared" si="5"/>
        <v>Delta JunctionEducation - K - 12</v>
      </c>
      <c r="D326" s="90">
        <v>5</v>
      </c>
      <c r="E326" s="90">
        <v>142469</v>
      </c>
      <c r="F326" s="90">
        <v>71144</v>
      </c>
      <c r="G326" s="90">
        <v>0</v>
      </c>
      <c r="H326" s="90">
        <v>1232024</v>
      </c>
      <c r="I326" s="90">
        <v>0</v>
      </c>
      <c r="J326" s="90">
        <v>0</v>
      </c>
      <c r="K326" s="90">
        <v>485.87830616790097</v>
      </c>
      <c r="L326" s="90">
        <v>52646.559999999998</v>
      </c>
      <c r="M326" s="90">
        <v>0</v>
      </c>
      <c r="N326" s="90">
        <v>911697.75999999989</v>
      </c>
      <c r="O326" s="90">
        <v>0</v>
      </c>
      <c r="P326" s="90">
        <v>0</v>
      </c>
      <c r="Q326" s="90">
        <v>359.54994656424674</v>
      </c>
      <c r="R326" s="90">
        <v>997283</v>
      </c>
    </row>
    <row r="327" spans="1:18">
      <c r="A327" s="90" t="s">
        <v>1001</v>
      </c>
      <c r="B327" s="90" t="s">
        <v>665</v>
      </c>
      <c r="C327" s="90" t="str">
        <f t="shared" si="5"/>
        <v>Delta JunctionOffice</v>
      </c>
      <c r="D327" s="90">
        <v>1</v>
      </c>
      <c r="E327" s="90">
        <v>3000</v>
      </c>
      <c r="F327" s="90">
        <v>3600</v>
      </c>
      <c r="G327" s="90">
        <v>0</v>
      </c>
      <c r="H327" s="90">
        <v>7200</v>
      </c>
      <c r="I327" s="90">
        <v>0</v>
      </c>
      <c r="J327" s="90">
        <v>0</v>
      </c>
      <c r="K327" s="90">
        <v>0</v>
      </c>
      <c r="L327" s="90">
        <v>2664</v>
      </c>
      <c r="M327" s="90">
        <v>0</v>
      </c>
      <c r="N327" s="90">
        <v>5328</v>
      </c>
      <c r="O327" s="90">
        <v>0</v>
      </c>
      <c r="P327" s="90">
        <v>0</v>
      </c>
      <c r="Q327" s="90">
        <v>0</v>
      </c>
      <c r="R327" s="90">
        <v>21000</v>
      </c>
    </row>
    <row r="328" spans="1:18">
      <c r="A328" s="90" t="s">
        <v>1001</v>
      </c>
      <c r="B328" s="90" t="s">
        <v>643</v>
      </c>
      <c r="C328" s="90" t="str">
        <f t="shared" si="5"/>
        <v>Delta JunctionOther</v>
      </c>
      <c r="D328" s="90">
        <v>9</v>
      </c>
      <c r="E328" s="90">
        <v>103000.69083969465</v>
      </c>
      <c r="F328" s="90">
        <v>80139.673086515817</v>
      </c>
      <c r="G328" s="90">
        <v>0</v>
      </c>
      <c r="H328" s="90">
        <v>485065.37744304643</v>
      </c>
      <c r="I328" s="90">
        <v>0</v>
      </c>
      <c r="J328" s="90">
        <v>0</v>
      </c>
      <c r="K328" s="90">
        <v>0</v>
      </c>
      <c r="L328" s="90">
        <v>59303.358084021704</v>
      </c>
      <c r="M328" s="90">
        <v>0</v>
      </c>
      <c r="N328" s="90">
        <v>358948.37930785434</v>
      </c>
      <c r="O328" s="90">
        <v>0</v>
      </c>
      <c r="P328" s="90">
        <v>0</v>
      </c>
      <c r="Q328" s="90">
        <v>0</v>
      </c>
      <c r="R328" s="90">
        <v>721004.83587786264</v>
      </c>
    </row>
    <row r="329" spans="1:18">
      <c r="A329" s="90" t="s">
        <v>1001</v>
      </c>
      <c r="B329" s="90" t="s">
        <v>1227</v>
      </c>
      <c r="C329" s="90" t="str">
        <f t="shared" si="5"/>
        <v>Delta JunctionPublic Assembly</v>
      </c>
      <c r="D329" s="90">
        <v>5</v>
      </c>
      <c r="E329" s="90">
        <v>40154</v>
      </c>
      <c r="F329" s="90">
        <v>20392.557915421356</v>
      </c>
      <c r="G329" s="90">
        <v>0</v>
      </c>
      <c r="H329" s="90">
        <v>152224.47659837129</v>
      </c>
      <c r="I329" s="90">
        <v>0</v>
      </c>
      <c r="J329" s="90">
        <v>0</v>
      </c>
      <c r="K329" s="90">
        <v>0</v>
      </c>
      <c r="L329" s="90">
        <v>15090.492857411806</v>
      </c>
      <c r="M329" s="90">
        <v>0</v>
      </c>
      <c r="N329" s="90">
        <v>112646.11268279476</v>
      </c>
      <c r="O329" s="90">
        <v>0</v>
      </c>
      <c r="P329" s="90">
        <v>0</v>
      </c>
      <c r="Q329" s="90">
        <v>0</v>
      </c>
      <c r="R329" s="90">
        <v>281078</v>
      </c>
    </row>
    <row r="330" spans="1:18">
      <c r="A330" s="90" t="s">
        <v>1001</v>
      </c>
      <c r="B330" s="90" t="s">
        <v>1475</v>
      </c>
      <c r="C330" s="90" t="str">
        <f t="shared" si="5"/>
        <v>Delta JunctionPublic Safety</v>
      </c>
      <c r="D330" s="90">
        <v>3</v>
      </c>
      <c r="E330" s="90">
        <v>11770</v>
      </c>
      <c r="F330" s="90">
        <v>15755.049030673621</v>
      </c>
      <c r="G330" s="90">
        <v>0</v>
      </c>
      <c r="H330" s="90">
        <v>66713.70890311581</v>
      </c>
      <c r="I330" s="90">
        <v>0</v>
      </c>
      <c r="J330" s="90">
        <v>0</v>
      </c>
      <c r="K330" s="90">
        <v>0</v>
      </c>
      <c r="L330" s="90">
        <v>11658.736282698479</v>
      </c>
      <c r="M330" s="90">
        <v>0</v>
      </c>
      <c r="N330" s="90">
        <v>49368.144588305702</v>
      </c>
      <c r="O330" s="90">
        <v>0</v>
      </c>
      <c r="P330" s="90">
        <v>0</v>
      </c>
      <c r="Q330" s="90">
        <v>0</v>
      </c>
      <c r="R330" s="90">
        <v>82390</v>
      </c>
    </row>
    <row r="331" spans="1:18">
      <c r="A331" s="90" t="s">
        <v>1001</v>
      </c>
      <c r="B331" s="90" t="s">
        <v>1485</v>
      </c>
      <c r="C331" s="90" t="str">
        <f t="shared" si="5"/>
        <v>Delta JunctionRetail - Other</v>
      </c>
      <c r="D331" s="90">
        <v>2</v>
      </c>
      <c r="E331" s="90">
        <v>28776.365853658535</v>
      </c>
      <c r="F331" s="90">
        <v>22846</v>
      </c>
      <c r="G331" s="90">
        <v>0</v>
      </c>
      <c r="H331" s="90">
        <v>1024571.899151676</v>
      </c>
      <c r="I331" s="90">
        <v>0</v>
      </c>
      <c r="J331" s="90">
        <v>0</v>
      </c>
      <c r="K331" s="90">
        <v>0</v>
      </c>
      <c r="L331" s="90">
        <v>16906.04</v>
      </c>
      <c r="M331" s="90">
        <v>0</v>
      </c>
      <c r="N331" s="90">
        <v>758183.20537224016</v>
      </c>
      <c r="O331" s="90">
        <v>0</v>
      </c>
      <c r="P331" s="90">
        <v>0</v>
      </c>
      <c r="Q331" s="90">
        <v>0</v>
      </c>
      <c r="R331" s="90">
        <v>201434.56097560975</v>
      </c>
    </row>
    <row r="332" spans="1:18">
      <c r="A332" s="90" t="s">
        <v>1001</v>
      </c>
      <c r="B332" s="90" t="s">
        <v>951</v>
      </c>
      <c r="C332" s="90" t="str">
        <f t="shared" si="5"/>
        <v>Delta JunctionWarehousing</v>
      </c>
      <c r="D332" s="90">
        <v>2</v>
      </c>
      <c r="E332" s="90">
        <v>7360</v>
      </c>
      <c r="F332" s="90">
        <v>6544.1860730963554</v>
      </c>
      <c r="G332" s="90">
        <v>0</v>
      </c>
      <c r="H332" s="90">
        <v>337225.75731350417</v>
      </c>
      <c r="I332" s="90">
        <v>0</v>
      </c>
      <c r="J332" s="90">
        <v>0</v>
      </c>
      <c r="K332" s="90">
        <v>0</v>
      </c>
      <c r="L332" s="90">
        <v>4842.6976940913028</v>
      </c>
      <c r="M332" s="90">
        <v>0</v>
      </c>
      <c r="N332" s="90">
        <v>249547.06041199306</v>
      </c>
      <c r="O332" s="90">
        <v>0</v>
      </c>
      <c r="P332" s="90">
        <v>0</v>
      </c>
      <c r="Q332" s="90">
        <v>0</v>
      </c>
      <c r="R332" s="90">
        <v>51520</v>
      </c>
    </row>
    <row r="333" spans="1:18">
      <c r="A333" s="90" t="s">
        <v>23</v>
      </c>
      <c r="B333" s="90" t="s">
        <v>1447</v>
      </c>
      <c r="C333" s="90" t="str">
        <f t="shared" si="5"/>
        <v>DillinghamAccomodation Services</v>
      </c>
      <c r="D333" s="90">
        <v>3</v>
      </c>
      <c r="E333" s="90">
        <v>21779</v>
      </c>
      <c r="F333" s="90">
        <v>18048.684580765035</v>
      </c>
      <c r="G333" s="90">
        <v>0</v>
      </c>
      <c r="H333" s="90">
        <v>317280.23157446005</v>
      </c>
      <c r="I333" s="90">
        <v>0</v>
      </c>
      <c r="J333" s="90">
        <v>0</v>
      </c>
      <c r="K333" s="90">
        <v>0</v>
      </c>
      <c r="L333" s="90">
        <v>13356.026589766127</v>
      </c>
      <c r="M333" s="90">
        <v>0</v>
      </c>
      <c r="N333" s="90">
        <v>234787.37136510041</v>
      </c>
      <c r="O333" s="90">
        <v>0</v>
      </c>
      <c r="P333" s="90">
        <v>0</v>
      </c>
      <c r="Q333" s="90">
        <v>0</v>
      </c>
      <c r="R333" s="90">
        <v>152453</v>
      </c>
    </row>
    <row r="334" spans="1:18">
      <c r="A334" s="90" t="s">
        <v>23</v>
      </c>
      <c r="B334" s="90" t="s">
        <v>1439</v>
      </c>
      <c r="C334" s="90" t="str">
        <f t="shared" si="5"/>
        <v>DillinghamEducation - K - 12</v>
      </c>
      <c r="D334" s="90">
        <v>7</v>
      </c>
      <c r="E334" s="90">
        <v>131995</v>
      </c>
      <c r="F334" s="90">
        <v>74559.469669306578</v>
      </c>
      <c r="G334" s="90">
        <v>28563.478260869564</v>
      </c>
      <c r="H334" s="90">
        <v>946702.32219428523</v>
      </c>
      <c r="I334" s="90">
        <v>0</v>
      </c>
      <c r="J334" s="90">
        <v>0</v>
      </c>
      <c r="K334" s="90">
        <v>0</v>
      </c>
      <c r="L334" s="90">
        <v>55174.007555286858</v>
      </c>
      <c r="M334" s="90">
        <v>21136.973913043475</v>
      </c>
      <c r="N334" s="90">
        <v>700559.71842377109</v>
      </c>
      <c r="O334" s="90">
        <v>0</v>
      </c>
      <c r="P334" s="90">
        <v>0</v>
      </c>
      <c r="Q334" s="90">
        <v>0</v>
      </c>
      <c r="R334" s="90">
        <v>923965</v>
      </c>
    </row>
    <row r="335" spans="1:18">
      <c r="A335" s="90" t="s">
        <v>23</v>
      </c>
      <c r="B335" s="90" t="s">
        <v>1450</v>
      </c>
      <c r="C335" s="90" t="str">
        <f t="shared" si="5"/>
        <v>DillinghamEducation - University</v>
      </c>
      <c r="D335" s="90">
        <v>1</v>
      </c>
      <c r="E335" s="90">
        <v>12525</v>
      </c>
      <c r="F335" s="90">
        <v>20559.949739311785</v>
      </c>
      <c r="G335" s="90">
        <v>0</v>
      </c>
      <c r="H335" s="90">
        <v>124441.11995999997</v>
      </c>
      <c r="I335" s="90">
        <v>0</v>
      </c>
      <c r="J335" s="90">
        <v>0</v>
      </c>
      <c r="K335" s="90">
        <v>0</v>
      </c>
      <c r="L335" s="90">
        <v>15214.362807090722</v>
      </c>
      <c r="M335" s="90">
        <v>0</v>
      </c>
      <c r="N335" s="90">
        <v>92086.428770399973</v>
      </c>
      <c r="O335" s="90">
        <v>0</v>
      </c>
      <c r="P335" s="90">
        <v>0</v>
      </c>
      <c r="Q335" s="90">
        <v>0</v>
      </c>
      <c r="R335" s="90">
        <v>87675</v>
      </c>
    </row>
    <row r="336" spans="1:18">
      <c r="A336" s="90" t="s">
        <v>23</v>
      </c>
      <c r="B336" s="90" t="s">
        <v>1440</v>
      </c>
      <c r="C336" s="90" t="str">
        <f t="shared" si="5"/>
        <v>DillinghamHealth Care - Hospitals</v>
      </c>
      <c r="D336" s="90">
        <v>1</v>
      </c>
      <c r="E336" s="90">
        <v>125996</v>
      </c>
      <c r="F336" s="90">
        <v>81577.058087468569</v>
      </c>
      <c r="G336" s="90">
        <v>0</v>
      </c>
      <c r="H336" s="90">
        <v>692280.65845245158</v>
      </c>
      <c r="I336" s="90">
        <v>0</v>
      </c>
      <c r="J336" s="90">
        <v>0</v>
      </c>
      <c r="K336" s="90">
        <v>0</v>
      </c>
      <c r="L336" s="90">
        <v>60367.02298472674</v>
      </c>
      <c r="M336" s="90">
        <v>0</v>
      </c>
      <c r="N336" s="90">
        <v>512287.68725481414</v>
      </c>
      <c r="O336" s="90">
        <v>0</v>
      </c>
      <c r="P336" s="90">
        <v>0</v>
      </c>
      <c r="Q336" s="90">
        <v>0</v>
      </c>
      <c r="R336" s="90">
        <v>881972</v>
      </c>
    </row>
    <row r="337" spans="1:18">
      <c r="A337" s="90" t="s">
        <v>23</v>
      </c>
      <c r="B337" s="90" t="s">
        <v>1444</v>
      </c>
      <c r="C337" s="90" t="str">
        <f t="shared" si="5"/>
        <v>DillinghamHealth Care - Nursing/Residential Care</v>
      </c>
      <c r="D337" s="90">
        <v>1</v>
      </c>
      <c r="E337" s="90">
        <v>1296</v>
      </c>
      <c r="F337" s="90">
        <v>480.28729927007299</v>
      </c>
      <c r="G337" s="90">
        <v>0</v>
      </c>
      <c r="H337" s="90">
        <v>9322.8839052000003</v>
      </c>
      <c r="I337" s="90">
        <v>0</v>
      </c>
      <c r="J337" s="90">
        <v>0</v>
      </c>
      <c r="K337" s="90">
        <v>0</v>
      </c>
      <c r="L337" s="90">
        <v>355.41260145985399</v>
      </c>
      <c r="M337" s="90">
        <v>0</v>
      </c>
      <c r="N337" s="90">
        <v>6898.9340898480004</v>
      </c>
      <c r="O337" s="90">
        <v>0</v>
      </c>
      <c r="P337" s="90">
        <v>0</v>
      </c>
      <c r="Q337" s="90">
        <v>0</v>
      </c>
      <c r="R337" s="90">
        <v>9072</v>
      </c>
    </row>
    <row r="338" spans="1:18">
      <c r="A338" s="90" t="s">
        <v>23</v>
      </c>
      <c r="B338" s="90" t="s">
        <v>665</v>
      </c>
      <c r="C338" s="90" t="str">
        <f t="shared" si="5"/>
        <v>DillinghamOffice</v>
      </c>
      <c r="D338" s="90">
        <v>5</v>
      </c>
      <c r="E338" s="90">
        <v>54664.000013559322</v>
      </c>
      <c r="F338" s="90">
        <v>24681.023464671562</v>
      </c>
      <c r="G338" s="90">
        <v>0</v>
      </c>
      <c r="H338" s="90">
        <v>763739.28067483997</v>
      </c>
      <c r="I338" s="90">
        <v>0</v>
      </c>
      <c r="J338" s="90">
        <v>0</v>
      </c>
      <c r="K338" s="90">
        <v>0</v>
      </c>
      <c r="L338" s="90">
        <v>18263.957363856953</v>
      </c>
      <c r="M338" s="90">
        <v>0</v>
      </c>
      <c r="N338" s="90">
        <v>565167.06769938162</v>
      </c>
      <c r="O338" s="90">
        <v>0</v>
      </c>
      <c r="P338" s="90">
        <v>0</v>
      </c>
      <c r="Q338" s="90">
        <v>0</v>
      </c>
      <c r="R338" s="90">
        <v>382648.00009491527</v>
      </c>
    </row>
    <row r="339" spans="1:18">
      <c r="A339" s="90" t="s">
        <v>23</v>
      </c>
      <c r="B339" s="90" t="s">
        <v>643</v>
      </c>
      <c r="C339" s="90" t="str">
        <f t="shared" si="5"/>
        <v>DillinghamOther</v>
      </c>
      <c r="D339" s="90">
        <v>26</v>
      </c>
      <c r="E339" s="90">
        <v>168950.15909090918</v>
      </c>
      <c r="F339" s="90">
        <v>101164.99646855886</v>
      </c>
      <c r="G339" s="90">
        <v>0</v>
      </c>
      <c r="H339" s="90">
        <v>1470910.9134351993</v>
      </c>
      <c r="I339" s="90">
        <v>0</v>
      </c>
      <c r="J339" s="90">
        <v>0</v>
      </c>
      <c r="K339" s="90">
        <v>0</v>
      </c>
      <c r="L339" s="90">
        <v>74862.097386733585</v>
      </c>
      <c r="M339" s="90">
        <v>0</v>
      </c>
      <c r="N339" s="90">
        <v>1088474.0759420479</v>
      </c>
      <c r="O339" s="90">
        <v>0</v>
      </c>
      <c r="P339" s="90">
        <v>0</v>
      </c>
      <c r="Q339" s="90">
        <v>0</v>
      </c>
      <c r="R339" s="90">
        <v>1182651.1136363638</v>
      </c>
    </row>
    <row r="340" spans="1:18">
      <c r="A340" s="90" t="s">
        <v>23</v>
      </c>
      <c r="B340" s="90" t="s">
        <v>1227</v>
      </c>
      <c r="C340" s="90" t="str">
        <f t="shared" si="5"/>
        <v>DillinghamPublic Assembly</v>
      </c>
      <c r="D340" s="90">
        <v>7</v>
      </c>
      <c r="E340" s="90">
        <v>68024</v>
      </c>
      <c r="F340" s="90">
        <v>76620.911928097194</v>
      </c>
      <c r="G340" s="90">
        <v>0</v>
      </c>
      <c r="H340" s="90">
        <v>1019192.6668766275</v>
      </c>
      <c r="I340" s="90">
        <v>0</v>
      </c>
      <c r="J340" s="90">
        <v>0</v>
      </c>
      <c r="K340" s="90">
        <v>0</v>
      </c>
      <c r="L340" s="90">
        <v>56699.47482679192</v>
      </c>
      <c r="M340" s="90">
        <v>0</v>
      </c>
      <c r="N340" s="90">
        <v>754202.57348870439</v>
      </c>
      <c r="O340" s="90">
        <v>0</v>
      </c>
      <c r="P340" s="90">
        <v>0</v>
      </c>
      <c r="Q340" s="90">
        <v>0</v>
      </c>
      <c r="R340" s="90">
        <v>476168</v>
      </c>
    </row>
    <row r="341" spans="1:18">
      <c r="A341" s="90" t="s">
        <v>23</v>
      </c>
      <c r="B341" s="90" t="s">
        <v>1475</v>
      </c>
      <c r="C341" s="90" t="str">
        <f t="shared" si="5"/>
        <v>DillinghamPublic Safety</v>
      </c>
      <c r="D341" s="90">
        <v>4</v>
      </c>
      <c r="E341" s="90">
        <v>45731</v>
      </c>
      <c r="F341" s="90">
        <v>17962.616989517042</v>
      </c>
      <c r="G341" s="90">
        <v>0</v>
      </c>
      <c r="H341" s="90">
        <v>650010.55715776002</v>
      </c>
      <c r="I341" s="90">
        <v>0</v>
      </c>
      <c r="J341" s="90">
        <v>0</v>
      </c>
      <c r="K341" s="90">
        <v>0</v>
      </c>
      <c r="L341" s="90">
        <v>13292.336572242612</v>
      </c>
      <c r="M341" s="90">
        <v>0</v>
      </c>
      <c r="N341" s="90">
        <v>481007.81229674234</v>
      </c>
      <c r="O341" s="90">
        <v>0</v>
      </c>
      <c r="P341" s="90">
        <v>0</v>
      </c>
      <c r="Q341" s="90">
        <v>0</v>
      </c>
      <c r="R341" s="90">
        <v>320117</v>
      </c>
    </row>
    <row r="342" spans="1:18">
      <c r="A342" s="90" t="s">
        <v>23</v>
      </c>
      <c r="B342" s="90" t="s">
        <v>1442</v>
      </c>
      <c r="C342" s="90" t="str">
        <f t="shared" si="5"/>
        <v>DillinghamResidential - Multi-Family</v>
      </c>
      <c r="D342" s="90">
        <v>2</v>
      </c>
      <c r="E342" s="90">
        <v>20812.76923076923</v>
      </c>
      <c r="F342" s="90">
        <v>1512.2912408759123</v>
      </c>
      <c r="G342" s="90">
        <v>0</v>
      </c>
      <c r="H342" s="90">
        <v>7545.401241333333</v>
      </c>
      <c r="I342" s="90">
        <v>0</v>
      </c>
      <c r="J342" s="90">
        <v>0</v>
      </c>
      <c r="K342" s="90">
        <v>0</v>
      </c>
      <c r="L342" s="90">
        <v>1119.0955182481753</v>
      </c>
      <c r="M342" s="90">
        <v>0</v>
      </c>
      <c r="N342" s="90">
        <v>5583.596918586667</v>
      </c>
      <c r="O342" s="90">
        <v>0</v>
      </c>
      <c r="P342" s="90">
        <v>0</v>
      </c>
      <c r="Q342" s="90">
        <v>0</v>
      </c>
      <c r="R342" s="90">
        <v>145689.38461538462</v>
      </c>
    </row>
    <row r="343" spans="1:18">
      <c r="A343" s="90" t="s">
        <v>23</v>
      </c>
      <c r="B343" s="90" t="s">
        <v>1485</v>
      </c>
      <c r="C343" s="90" t="str">
        <f t="shared" si="5"/>
        <v>DillinghamRetail - Other</v>
      </c>
      <c r="D343" s="90">
        <v>1</v>
      </c>
      <c r="E343" s="90">
        <v>12780.5</v>
      </c>
      <c r="F343" s="90">
        <v>4291.2584007669057</v>
      </c>
      <c r="G343" s="90">
        <v>0</v>
      </c>
      <c r="H343" s="90">
        <v>54942.020284343664</v>
      </c>
      <c r="I343" s="90">
        <v>0</v>
      </c>
      <c r="J343" s="90">
        <v>0</v>
      </c>
      <c r="K343" s="90">
        <v>0</v>
      </c>
      <c r="L343" s="90">
        <v>3175.53121656751</v>
      </c>
      <c r="M343" s="90">
        <v>0</v>
      </c>
      <c r="N343" s="90">
        <v>40657.095010414312</v>
      </c>
      <c r="O343" s="90">
        <v>0</v>
      </c>
      <c r="P343" s="90">
        <v>0</v>
      </c>
      <c r="Q343" s="90">
        <v>0</v>
      </c>
      <c r="R343" s="90">
        <v>89463.5</v>
      </c>
    </row>
    <row r="344" spans="1:18">
      <c r="A344" s="90" t="s">
        <v>23</v>
      </c>
      <c r="B344" s="90" t="s">
        <v>951</v>
      </c>
      <c r="C344" s="90" t="str">
        <f t="shared" si="5"/>
        <v>DillinghamWarehousing</v>
      </c>
      <c r="D344" s="90">
        <v>5</v>
      </c>
      <c r="E344" s="90">
        <v>19185.161290322583</v>
      </c>
      <c r="F344" s="90">
        <v>25242.77779440369</v>
      </c>
      <c r="G344" s="90">
        <v>0</v>
      </c>
      <c r="H344" s="90">
        <v>374012.9503672609</v>
      </c>
      <c r="I344" s="90">
        <v>0</v>
      </c>
      <c r="J344" s="90">
        <v>0</v>
      </c>
      <c r="K344" s="90">
        <v>0</v>
      </c>
      <c r="L344" s="90">
        <v>18679.655567858736</v>
      </c>
      <c r="M344" s="90">
        <v>0</v>
      </c>
      <c r="N344" s="90">
        <v>276769.58327177301</v>
      </c>
      <c r="O344" s="90">
        <v>0</v>
      </c>
      <c r="P344" s="90">
        <v>0</v>
      </c>
      <c r="Q344" s="90">
        <v>0</v>
      </c>
      <c r="R344" s="90">
        <v>134296.12903225806</v>
      </c>
    </row>
    <row r="345" spans="1:18">
      <c r="A345" s="90" t="s">
        <v>135</v>
      </c>
      <c r="B345" s="90" t="s">
        <v>1439</v>
      </c>
      <c r="C345" s="90" t="str">
        <f t="shared" si="5"/>
        <v>DiomedeEducation - K - 12</v>
      </c>
      <c r="D345" s="90">
        <v>2</v>
      </c>
      <c r="E345" s="90">
        <v>14906</v>
      </c>
      <c r="F345" s="90">
        <v>24854.148262710671</v>
      </c>
      <c r="G345" s="90">
        <v>0</v>
      </c>
      <c r="H345" s="90">
        <v>96865.357074584565</v>
      </c>
      <c r="I345" s="90">
        <v>0</v>
      </c>
      <c r="J345" s="90">
        <v>0</v>
      </c>
      <c r="K345" s="90">
        <v>0</v>
      </c>
      <c r="L345" s="90">
        <v>18392.069714405898</v>
      </c>
      <c r="M345" s="90">
        <v>0</v>
      </c>
      <c r="N345" s="90">
        <v>71680.364235192581</v>
      </c>
      <c r="O345" s="90">
        <v>0</v>
      </c>
      <c r="P345" s="90">
        <v>0</v>
      </c>
      <c r="Q345" s="90">
        <v>0</v>
      </c>
      <c r="R345" s="90">
        <v>104342</v>
      </c>
    </row>
    <row r="346" spans="1:18">
      <c r="A346" s="90" t="s">
        <v>135</v>
      </c>
      <c r="B346" s="90" t="s">
        <v>1440</v>
      </c>
      <c r="C346" s="90" t="str">
        <f t="shared" si="5"/>
        <v>DiomedeHealth Care - Hospitals</v>
      </c>
      <c r="D346" s="90">
        <v>1</v>
      </c>
      <c r="E346" s="90">
        <v>800</v>
      </c>
      <c r="F346" s="90">
        <v>557.57866927096154</v>
      </c>
      <c r="G346" s="90">
        <v>0</v>
      </c>
      <c r="H346" s="90">
        <v>6017.9450402544589</v>
      </c>
      <c r="I346" s="90">
        <v>0</v>
      </c>
      <c r="J346" s="90">
        <v>0</v>
      </c>
      <c r="K346" s="90">
        <v>0</v>
      </c>
      <c r="L346" s="90">
        <v>412.60821526051154</v>
      </c>
      <c r="M346" s="90">
        <v>0</v>
      </c>
      <c r="N346" s="90">
        <v>4453.2793297882999</v>
      </c>
      <c r="O346" s="90">
        <v>0</v>
      </c>
      <c r="P346" s="90">
        <v>0</v>
      </c>
      <c r="Q346" s="90">
        <v>0</v>
      </c>
      <c r="R346" s="90">
        <v>5600</v>
      </c>
    </row>
    <row r="347" spans="1:18">
      <c r="A347" s="90" t="s">
        <v>135</v>
      </c>
      <c r="B347" s="90" t="s">
        <v>665</v>
      </c>
      <c r="C347" s="90" t="str">
        <f t="shared" si="5"/>
        <v>DiomedeOffice</v>
      </c>
      <c r="D347" s="90">
        <v>5</v>
      </c>
      <c r="E347" s="90">
        <v>3933.2585034013605</v>
      </c>
      <c r="F347" s="90">
        <v>5233.8427445456527</v>
      </c>
      <c r="G347" s="90">
        <v>0</v>
      </c>
      <c r="H347" s="90">
        <v>31529.119097168405</v>
      </c>
      <c r="I347" s="90">
        <v>0</v>
      </c>
      <c r="J347" s="90">
        <v>0</v>
      </c>
      <c r="K347" s="90">
        <v>0</v>
      </c>
      <c r="L347" s="90">
        <v>3873.0436309637826</v>
      </c>
      <c r="M347" s="90">
        <v>0</v>
      </c>
      <c r="N347" s="90">
        <v>23331.548131904616</v>
      </c>
      <c r="O347" s="90">
        <v>0</v>
      </c>
      <c r="P347" s="90">
        <v>0</v>
      </c>
      <c r="Q347" s="90">
        <v>0</v>
      </c>
      <c r="R347" s="90">
        <v>27532.809523809523</v>
      </c>
    </row>
    <row r="348" spans="1:18">
      <c r="A348" s="90" t="s">
        <v>135</v>
      </c>
      <c r="B348" s="90" t="s">
        <v>643</v>
      </c>
      <c r="C348" s="90" t="str">
        <f t="shared" si="5"/>
        <v>DiomedeOther</v>
      </c>
      <c r="D348" s="90">
        <v>1</v>
      </c>
      <c r="E348" s="90">
        <v>1540</v>
      </c>
      <c r="F348" s="90">
        <v>1331.9018732763243</v>
      </c>
      <c r="G348" s="90">
        <v>0</v>
      </c>
      <c r="H348" s="90">
        <v>11208.101082555762</v>
      </c>
      <c r="I348" s="90">
        <v>0</v>
      </c>
      <c r="J348" s="90">
        <v>0</v>
      </c>
      <c r="K348" s="90">
        <v>0</v>
      </c>
      <c r="L348" s="90">
        <v>985.60738622447991</v>
      </c>
      <c r="M348" s="90">
        <v>0</v>
      </c>
      <c r="N348" s="90">
        <v>8293.9948010912649</v>
      </c>
      <c r="O348" s="90">
        <v>0</v>
      </c>
      <c r="P348" s="90">
        <v>0</v>
      </c>
      <c r="Q348" s="90">
        <v>0</v>
      </c>
      <c r="R348" s="90">
        <v>10780</v>
      </c>
    </row>
    <row r="349" spans="1:18">
      <c r="A349" s="90" t="s">
        <v>135</v>
      </c>
      <c r="B349" s="90" t="s">
        <v>1227</v>
      </c>
      <c r="C349" s="90" t="str">
        <f t="shared" si="5"/>
        <v>DiomedePublic Assembly</v>
      </c>
      <c r="D349" s="90">
        <v>2</v>
      </c>
      <c r="E349" s="90">
        <v>8000</v>
      </c>
      <c r="F349" s="90">
        <v>4991.6606430884058</v>
      </c>
      <c r="G349" s="90">
        <v>0</v>
      </c>
      <c r="H349" s="90">
        <v>30093.884753326376</v>
      </c>
      <c r="I349" s="90">
        <v>0</v>
      </c>
      <c r="J349" s="90">
        <v>0</v>
      </c>
      <c r="K349" s="90">
        <v>0</v>
      </c>
      <c r="L349" s="90">
        <v>3693.8288758854201</v>
      </c>
      <c r="M349" s="90">
        <v>0</v>
      </c>
      <c r="N349" s="90">
        <v>22269.474717461519</v>
      </c>
      <c r="O349" s="90">
        <v>0</v>
      </c>
      <c r="P349" s="90">
        <v>0</v>
      </c>
      <c r="Q349" s="90">
        <v>0</v>
      </c>
      <c r="R349" s="90">
        <v>56000</v>
      </c>
    </row>
    <row r="350" spans="1:18">
      <c r="A350" s="90" t="s">
        <v>135</v>
      </c>
      <c r="B350" s="90" t="s">
        <v>1485</v>
      </c>
      <c r="C350" s="90" t="str">
        <f t="shared" si="5"/>
        <v>DiomedeRetail - Other</v>
      </c>
      <c r="D350" s="90">
        <v>1</v>
      </c>
      <c r="E350" s="90">
        <v>1296</v>
      </c>
      <c r="F350" s="90">
        <v>1370.1804201680673</v>
      </c>
      <c r="G350" s="90">
        <v>0</v>
      </c>
      <c r="H350" s="90">
        <v>30527.589531055906</v>
      </c>
      <c r="I350" s="90">
        <v>0</v>
      </c>
      <c r="J350" s="90">
        <v>0</v>
      </c>
      <c r="K350" s="90">
        <v>0</v>
      </c>
      <c r="L350" s="90">
        <v>1013.9335109243698</v>
      </c>
      <c r="M350" s="90">
        <v>0</v>
      </c>
      <c r="N350" s="90">
        <v>22590.416252981369</v>
      </c>
      <c r="O350" s="90">
        <v>0</v>
      </c>
      <c r="P350" s="90">
        <v>0</v>
      </c>
      <c r="Q350" s="90">
        <v>0</v>
      </c>
      <c r="R350" s="90">
        <v>9072</v>
      </c>
    </row>
    <row r="351" spans="1:18">
      <c r="A351" s="90" t="s">
        <v>135</v>
      </c>
      <c r="B351" s="90" t="s">
        <v>951</v>
      </c>
      <c r="C351" s="90" t="str">
        <f t="shared" si="5"/>
        <v>DiomedeWarehousing</v>
      </c>
      <c r="D351" s="90">
        <v>2</v>
      </c>
      <c r="E351" s="90">
        <v>660</v>
      </c>
      <c r="F351" s="90">
        <v>827.33006841353904</v>
      </c>
      <c r="G351" s="90">
        <v>0</v>
      </c>
      <c r="H351" s="90">
        <v>7830.9981989533844</v>
      </c>
      <c r="I351" s="90">
        <v>0</v>
      </c>
      <c r="J351" s="90">
        <v>0</v>
      </c>
      <c r="K351" s="90">
        <v>0</v>
      </c>
      <c r="L351" s="90">
        <v>612.22425062601883</v>
      </c>
      <c r="M351" s="90">
        <v>0</v>
      </c>
      <c r="N351" s="90">
        <v>5794.9386672255041</v>
      </c>
      <c r="O351" s="90">
        <v>0</v>
      </c>
      <c r="P351" s="90">
        <v>0</v>
      </c>
      <c r="Q351" s="90">
        <v>0</v>
      </c>
      <c r="R351" s="90">
        <v>4620</v>
      </c>
    </row>
    <row r="352" spans="1:18">
      <c r="A352" s="90" t="s">
        <v>58</v>
      </c>
      <c r="B352" s="90" t="s">
        <v>1439</v>
      </c>
      <c r="C352" s="90" t="str">
        <f t="shared" si="5"/>
        <v>Dot LakeEducation - K - 12</v>
      </c>
      <c r="D352" s="90">
        <v>1</v>
      </c>
      <c r="E352" s="90">
        <v>11330</v>
      </c>
      <c r="F352" s="90">
        <v>9605.1711505080966</v>
      </c>
      <c r="G352" s="90">
        <v>0</v>
      </c>
      <c r="H352" s="90">
        <v>25558.32</v>
      </c>
      <c r="I352" s="90">
        <v>0</v>
      </c>
      <c r="J352" s="90">
        <v>0</v>
      </c>
      <c r="K352" s="90">
        <v>0</v>
      </c>
      <c r="L352" s="90">
        <v>7107.8266513759918</v>
      </c>
      <c r="M352" s="90">
        <v>0</v>
      </c>
      <c r="N352" s="90">
        <v>18913.156800000001</v>
      </c>
      <c r="O352" s="90">
        <v>0</v>
      </c>
      <c r="P352" s="90">
        <v>0</v>
      </c>
      <c r="Q352" s="90">
        <v>0</v>
      </c>
      <c r="R352" s="90">
        <v>79310</v>
      </c>
    </row>
    <row r="353" spans="1:18">
      <c r="A353" s="90" t="s">
        <v>58</v>
      </c>
      <c r="B353" s="90" t="s">
        <v>1440</v>
      </c>
      <c r="C353" s="90" t="str">
        <f t="shared" si="5"/>
        <v>Dot LakeHealth Care - Hospitals</v>
      </c>
      <c r="D353" s="90">
        <v>1</v>
      </c>
      <c r="E353" s="90">
        <v>2256.9250000000002</v>
      </c>
      <c r="F353" s="90">
        <v>1573.0165476804564</v>
      </c>
      <c r="G353" s="90">
        <v>0</v>
      </c>
      <c r="H353" s="90">
        <v>16977.563262470368</v>
      </c>
      <c r="I353" s="90">
        <v>0</v>
      </c>
      <c r="J353" s="90">
        <v>0</v>
      </c>
      <c r="K353" s="90">
        <v>0</v>
      </c>
      <c r="L353" s="90">
        <v>1164.0322452835378</v>
      </c>
      <c r="M353" s="90">
        <v>0</v>
      </c>
      <c r="N353" s="90">
        <v>12563.396814228072</v>
      </c>
      <c r="O353" s="90">
        <v>0</v>
      </c>
      <c r="P353" s="90">
        <v>0</v>
      </c>
      <c r="Q353" s="90">
        <v>0</v>
      </c>
      <c r="R353" s="90">
        <v>15798.475000000002</v>
      </c>
    </row>
    <row r="354" spans="1:18">
      <c r="A354" s="90" t="s">
        <v>58</v>
      </c>
      <c r="B354" s="90" t="s">
        <v>665</v>
      </c>
      <c r="C354" s="90" t="str">
        <f t="shared" si="5"/>
        <v>Dot LakeOffice</v>
      </c>
      <c r="D354" s="90">
        <v>2</v>
      </c>
      <c r="E354" s="90">
        <v>3033.2585034013605</v>
      </c>
      <c r="F354" s="90">
        <v>4036.2457734801528</v>
      </c>
      <c r="G354" s="90">
        <v>0</v>
      </c>
      <c r="H354" s="90">
        <v>24314.691882960971</v>
      </c>
      <c r="I354" s="90">
        <v>0</v>
      </c>
      <c r="J354" s="90">
        <v>0</v>
      </c>
      <c r="K354" s="90">
        <v>0</v>
      </c>
      <c r="L354" s="90">
        <v>2986.8218723753134</v>
      </c>
      <c r="M354" s="90">
        <v>0</v>
      </c>
      <c r="N354" s="90">
        <v>17992.87199339112</v>
      </c>
      <c r="O354" s="90">
        <v>0</v>
      </c>
      <c r="P354" s="90">
        <v>0</v>
      </c>
      <c r="Q354" s="90">
        <v>0</v>
      </c>
      <c r="R354" s="90">
        <v>21232.809523809523</v>
      </c>
    </row>
    <row r="355" spans="1:18">
      <c r="A355" s="90" t="s">
        <v>58</v>
      </c>
      <c r="B355" s="90" t="s">
        <v>643</v>
      </c>
      <c r="C355" s="90" t="str">
        <f t="shared" si="5"/>
        <v>Dot LakeOther</v>
      </c>
      <c r="D355" s="90">
        <v>4</v>
      </c>
      <c r="E355" s="90">
        <v>7131.761363636364</v>
      </c>
      <c r="F355" s="90">
        <v>6168.0560519396004</v>
      </c>
      <c r="G355" s="90">
        <v>0</v>
      </c>
      <c r="H355" s="90">
        <v>51904.871597598751</v>
      </c>
      <c r="I355" s="90">
        <v>0</v>
      </c>
      <c r="J355" s="90">
        <v>0</v>
      </c>
      <c r="K355" s="90">
        <v>0</v>
      </c>
      <c r="L355" s="90">
        <v>4564.3614784353049</v>
      </c>
      <c r="M355" s="90">
        <v>0</v>
      </c>
      <c r="N355" s="90">
        <v>38409.604982223078</v>
      </c>
      <c r="O355" s="90">
        <v>0</v>
      </c>
      <c r="P355" s="90">
        <v>0</v>
      </c>
      <c r="Q355" s="90">
        <v>0</v>
      </c>
      <c r="R355" s="90">
        <v>49922.329545454551</v>
      </c>
    </row>
    <row r="356" spans="1:18">
      <c r="A356" s="90" t="s">
        <v>58</v>
      </c>
      <c r="B356" s="90" t="s">
        <v>1227</v>
      </c>
      <c r="C356" s="90" t="str">
        <f t="shared" si="5"/>
        <v>Dot LakePublic Assembly</v>
      </c>
      <c r="D356" s="90">
        <v>1</v>
      </c>
      <c r="E356" s="90">
        <v>480</v>
      </c>
      <c r="F356" s="90">
        <v>165</v>
      </c>
      <c r="G356" s="90">
        <v>0</v>
      </c>
      <c r="H356" s="90">
        <v>1805.6330851995824</v>
      </c>
      <c r="I356" s="90">
        <v>0</v>
      </c>
      <c r="J356" s="90">
        <v>0</v>
      </c>
      <c r="K356" s="90">
        <v>0</v>
      </c>
      <c r="L356" s="90">
        <v>122.1</v>
      </c>
      <c r="M356" s="90">
        <v>0</v>
      </c>
      <c r="N356" s="90">
        <v>1336.1684830476909</v>
      </c>
      <c r="O356" s="90">
        <v>0</v>
      </c>
      <c r="P356" s="90">
        <v>0</v>
      </c>
      <c r="Q356" s="90">
        <v>0</v>
      </c>
      <c r="R356" s="90">
        <v>3360</v>
      </c>
    </row>
    <row r="357" spans="1:18">
      <c r="A357" s="90" t="s">
        <v>58</v>
      </c>
      <c r="B357" s="90" t="s">
        <v>951</v>
      </c>
      <c r="C357" s="90" t="str">
        <f t="shared" si="5"/>
        <v>Dot LakeWarehousing</v>
      </c>
      <c r="D357" s="90">
        <v>1</v>
      </c>
      <c r="E357" s="90">
        <v>1783.9572649572649</v>
      </c>
      <c r="F357" s="90">
        <v>2236.2446758544302</v>
      </c>
      <c r="G357" s="90">
        <v>0</v>
      </c>
      <c r="H357" s="90">
        <v>21166.918377106285</v>
      </c>
      <c r="I357" s="90">
        <v>0</v>
      </c>
      <c r="J357" s="90">
        <v>0</v>
      </c>
      <c r="K357" s="90">
        <v>0</v>
      </c>
      <c r="L357" s="90">
        <v>1654.8210601322783</v>
      </c>
      <c r="M357" s="90">
        <v>0</v>
      </c>
      <c r="N357" s="90">
        <v>15663.519599058651</v>
      </c>
      <c r="O357" s="90">
        <v>0</v>
      </c>
      <c r="P357" s="90">
        <v>0</v>
      </c>
      <c r="Q357" s="90">
        <v>0</v>
      </c>
      <c r="R357" s="90">
        <v>12487.700854700854</v>
      </c>
    </row>
    <row r="358" spans="1:18">
      <c r="A358" s="90" t="s">
        <v>1177</v>
      </c>
      <c r="B358" s="90" t="s">
        <v>1439</v>
      </c>
      <c r="C358" s="90" t="str">
        <f t="shared" si="5"/>
        <v>Dot Lake VillageEducation - K - 12</v>
      </c>
      <c r="D358" s="90">
        <v>1</v>
      </c>
      <c r="E358" s="90">
        <v>640</v>
      </c>
      <c r="F358" s="90">
        <v>542.5692441593277</v>
      </c>
      <c r="G358" s="90">
        <v>0</v>
      </c>
      <c r="H358" s="90">
        <v>4158.9848737242801</v>
      </c>
      <c r="I358" s="90">
        <v>0</v>
      </c>
      <c r="J358" s="90">
        <v>0</v>
      </c>
      <c r="K358" s="90">
        <v>0</v>
      </c>
      <c r="L358" s="90">
        <v>401.5012406779025</v>
      </c>
      <c r="M358" s="90">
        <v>0</v>
      </c>
      <c r="N358" s="90">
        <v>3077.6488065559674</v>
      </c>
      <c r="O358" s="90">
        <v>0</v>
      </c>
      <c r="P358" s="90">
        <v>0</v>
      </c>
      <c r="Q358" s="90">
        <v>0</v>
      </c>
      <c r="R358" s="90">
        <v>4480</v>
      </c>
    </row>
    <row r="359" spans="1:18">
      <c r="A359" s="90" t="s">
        <v>1177</v>
      </c>
      <c r="B359" s="90" t="s">
        <v>665</v>
      </c>
      <c r="C359" s="90" t="str">
        <f t="shared" si="5"/>
        <v>Dot Lake VillageOffice</v>
      </c>
      <c r="D359" s="90">
        <v>1</v>
      </c>
      <c r="E359" s="90">
        <v>1500</v>
      </c>
      <c r="F359" s="90">
        <v>1861</v>
      </c>
      <c r="G359" s="90">
        <v>0</v>
      </c>
      <c r="H359" s="90">
        <v>8210</v>
      </c>
      <c r="I359" s="90">
        <v>0</v>
      </c>
      <c r="J359" s="90">
        <v>0</v>
      </c>
      <c r="K359" s="90">
        <v>0</v>
      </c>
      <c r="L359" s="90">
        <v>1377.1399999999999</v>
      </c>
      <c r="M359" s="90">
        <v>0</v>
      </c>
      <c r="N359" s="90">
        <v>6075.4</v>
      </c>
      <c r="O359" s="90">
        <v>0</v>
      </c>
      <c r="P359" s="90">
        <v>0</v>
      </c>
      <c r="Q359" s="90">
        <v>0</v>
      </c>
      <c r="R359" s="90">
        <v>10500</v>
      </c>
    </row>
    <row r="360" spans="1:18">
      <c r="A360" s="90" t="s">
        <v>1177</v>
      </c>
      <c r="B360" s="90" t="s">
        <v>1227</v>
      </c>
      <c r="C360" s="90" t="str">
        <f t="shared" si="5"/>
        <v>Dot Lake VillagePublic Assembly</v>
      </c>
      <c r="D360" s="90">
        <v>1</v>
      </c>
      <c r="E360" s="90">
        <v>4400</v>
      </c>
      <c r="F360" s="90">
        <v>2661</v>
      </c>
      <c r="G360" s="90">
        <v>0</v>
      </c>
      <c r="H360" s="90">
        <v>16129</v>
      </c>
      <c r="I360" s="90">
        <v>0</v>
      </c>
      <c r="J360" s="90">
        <v>0</v>
      </c>
      <c r="K360" s="90">
        <v>0</v>
      </c>
      <c r="L360" s="90">
        <v>1969.1399999999999</v>
      </c>
      <c r="M360" s="90">
        <v>0</v>
      </c>
      <c r="N360" s="90">
        <v>11935.46</v>
      </c>
      <c r="O360" s="90">
        <v>0</v>
      </c>
      <c r="P360" s="90">
        <v>0</v>
      </c>
      <c r="Q360" s="90">
        <v>0</v>
      </c>
      <c r="R360" s="90">
        <v>30800</v>
      </c>
    </row>
    <row r="361" spans="1:18">
      <c r="A361" s="90" t="s">
        <v>1004</v>
      </c>
      <c r="B361" s="90" t="s">
        <v>665</v>
      </c>
      <c r="C361" s="90" t="str">
        <f t="shared" si="5"/>
        <v>Dry CreekOffice</v>
      </c>
      <c r="D361" s="90">
        <v>1</v>
      </c>
      <c r="E361" s="90">
        <v>2033.2585034013605</v>
      </c>
      <c r="F361" s="90">
        <v>18000</v>
      </c>
      <c r="G361" s="90">
        <v>0</v>
      </c>
      <c r="H361" s="90">
        <v>16298.661644952717</v>
      </c>
      <c r="I361" s="90">
        <v>0</v>
      </c>
      <c r="J361" s="90">
        <v>0</v>
      </c>
      <c r="K361" s="90">
        <v>0</v>
      </c>
      <c r="L361" s="90">
        <v>13320</v>
      </c>
      <c r="M361" s="90">
        <v>0</v>
      </c>
      <c r="N361" s="90">
        <v>12061.00961726501</v>
      </c>
      <c r="O361" s="90">
        <v>0</v>
      </c>
      <c r="P361" s="90">
        <v>0</v>
      </c>
      <c r="Q361" s="90">
        <v>0</v>
      </c>
      <c r="R361" s="90">
        <v>14232.809523809523</v>
      </c>
    </row>
    <row r="362" spans="1:18">
      <c r="A362" s="90" t="s">
        <v>1004</v>
      </c>
      <c r="B362" s="90" t="s">
        <v>643</v>
      </c>
      <c r="C362" s="90" t="str">
        <f t="shared" si="5"/>
        <v>Dry CreekOther</v>
      </c>
      <c r="D362" s="90">
        <v>1</v>
      </c>
      <c r="E362" s="90">
        <v>1800</v>
      </c>
      <c r="F362" s="90">
        <v>1556.7684233099894</v>
      </c>
      <c r="G362" s="90">
        <v>0</v>
      </c>
      <c r="H362" s="90">
        <v>13100.37788870154</v>
      </c>
      <c r="I362" s="90">
        <v>0</v>
      </c>
      <c r="J362" s="90">
        <v>0</v>
      </c>
      <c r="K362" s="90">
        <v>0</v>
      </c>
      <c r="L362" s="90">
        <v>1152.0086332493922</v>
      </c>
      <c r="M362" s="90">
        <v>0</v>
      </c>
      <c r="N362" s="90">
        <v>9694.2796376391398</v>
      </c>
      <c r="O362" s="90">
        <v>0</v>
      </c>
      <c r="P362" s="90">
        <v>0</v>
      </c>
      <c r="Q362" s="90">
        <v>0</v>
      </c>
      <c r="R362" s="90">
        <v>12600</v>
      </c>
    </row>
    <row r="363" spans="1:18">
      <c r="A363" s="90" t="s">
        <v>1004</v>
      </c>
      <c r="B363" s="90" t="s">
        <v>1227</v>
      </c>
      <c r="C363" s="90" t="str">
        <f t="shared" si="5"/>
        <v>Dry CreekPublic Assembly</v>
      </c>
      <c r="D363" s="90">
        <v>1</v>
      </c>
      <c r="E363" s="90">
        <v>2250</v>
      </c>
      <c r="F363" s="90">
        <v>1403.9045558686141</v>
      </c>
      <c r="G363" s="90">
        <v>0</v>
      </c>
      <c r="H363" s="90">
        <v>8463.9050868730428</v>
      </c>
      <c r="I363" s="90">
        <v>0</v>
      </c>
      <c r="J363" s="90">
        <v>0</v>
      </c>
      <c r="K363" s="90">
        <v>0</v>
      </c>
      <c r="L363" s="90">
        <v>1038.8893713427744</v>
      </c>
      <c r="M363" s="90">
        <v>0</v>
      </c>
      <c r="N363" s="90">
        <v>6263.2897642860516</v>
      </c>
      <c r="O363" s="90">
        <v>0</v>
      </c>
      <c r="P363" s="90">
        <v>0</v>
      </c>
      <c r="Q363" s="90">
        <v>0</v>
      </c>
      <c r="R363" s="90">
        <v>15750</v>
      </c>
    </row>
    <row r="364" spans="1:18">
      <c r="A364" s="90" t="s">
        <v>1006</v>
      </c>
      <c r="B364" s="90" t="s">
        <v>1439</v>
      </c>
      <c r="C364" s="90" t="str">
        <f t="shared" si="5"/>
        <v>EagleEducation - K - 12</v>
      </c>
      <c r="D364" s="90">
        <v>2</v>
      </c>
      <c r="E364" s="90">
        <v>32232</v>
      </c>
      <c r="F364" s="90">
        <v>18194.801711341177</v>
      </c>
      <c r="G364" s="90">
        <v>14489.989876830045</v>
      </c>
      <c r="H364" s="90">
        <v>121189.65591999999</v>
      </c>
      <c r="I364" s="90">
        <v>0</v>
      </c>
      <c r="J364" s="90">
        <v>50.11377049180328</v>
      </c>
      <c r="K364" s="90">
        <v>0</v>
      </c>
      <c r="L364" s="90">
        <v>13464.15326639247</v>
      </c>
      <c r="M364" s="90">
        <v>10722.592508854234</v>
      </c>
      <c r="N364" s="90">
        <v>89680.34538079999</v>
      </c>
      <c r="O364" s="90">
        <v>0</v>
      </c>
      <c r="P364" s="90">
        <v>37.084190163934423</v>
      </c>
      <c r="Q364" s="90">
        <v>0</v>
      </c>
      <c r="R364" s="90">
        <v>225624</v>
      </c>
    </row>
    <row r="365" spans="1:18">
      <c r="A365" s="90" t="s">
        <v>1006</v>
      </c>
      <c r="B365" s="90" t="s">
        <v>1440</v>
      </c>
      <c r="C365" s="90" t="str">
        <f t="shared" si="5"/>
        <v>EagleHealth Care - Hospitals</v>
      </c>
      <c r="D365" s="90">
        <v>1</v>
      </c>
      <c r="E365" s="90">
        <v>2256.9250000000002</v>
      </c>
      <c r="F365" s="90">
        <v>1573.0165476804564</v>
      </c>
      <c r="G365" s="90">
        <v>0</v>
      </c>
      <c r="H365" s="90">
        <v>16977.563262470368</v>
      </c>
      <c r="I365" s="90">
        <v>0</v>
      </c>
      <c r="J365" s="90">
        <v>0</v>
      </c>
      <c r="K365" s="90">
        <v>0</v>
      </c>
      <c r="L365" s="90">
        <v>1164.0322452835378</v>
      </c>
      <c r="M365" s="90">
        <v>0</v>
      </c>
      <c r="N365" s="90">
        <v>12563.396814228072</v>
      </c>
      <c r="O365" s="90">
        <v>0</v>
      </c>
      <c r="P365" s="90">
        <v>0</v>
      </c>
      <c r="Q365" s="90">
        <v>0</v>
      </c>
      <c r="R365" s="90">
        <v>15798.475000000002</v>
      </c>
    </row>
    <row r="366" spans="1:18">
      <c r="A366" s="90" t="s">
        <v>1006</v>
      </c>
      <c r="B366" s="90" t="s">
        <v>665</v>
      </c>
      <c r="C366" s="90" t="str">
        <f t="shared" si="5"/>
        <v>EagleOffice</v>
      </c>
      <c r="D366" s="90">
        <v>3</v>
      </c>
      <c r="E366" s="90">
        <v>4442</v>
      </c>
      <c r="F366" s="90">
        <v>5749.8316762042168</v>
      </c>
      <c r="G366" s="90">
        <v>0</v>
      </c>
      <c r="H366" s="90">
        <v>33744.050705837501</v>
      </c>
      <c r="I366" s="90">
        <v>0</v>
      </c>
      <c r="J366" s="90">
        <v>0</v>
      </c>
      <c r="K366" s="90">
        <v>0</v>
      </c>
      <c r="L366" s="90">
        <v>4254.8754403911207</v>
      </c>
      <c r="M366" s="90">
        <v>0</v>
      </c>
      <c r="N366" s="90">
        <v>24970.597522319746</v>
      </c>
      <c r="O366" s="90">
        <v>0</v>
      </c>
      <c r="P366" s="90">
        <v>0</v>
      </c>
      <c r="Q366" s="90">
        <v>0</v>
      </c>
      <c r="R366" s="90">
        <v>31094</v>
      </c>
    </row>
    <row r="367" spans="1:18">
      <c r="A367" s="90" t="s">
        <v>1006</v>
      </c>
      <c r="B367" s="90" t="s">
        <v>643</v>
      </c>
      <c r="C367" s="90" t="str">
        <f t="shared" si="5"/>
        <v>EagleOther</v>
      </c>
      <c r="D367" s="90">
        <v>6</v>
      </c>
      <c r="E367" s="90">
        <v>10311.761363636362</v>
      </c>
      <c r="F367" s="90">
        <v>8918.3469331205815</v>
      </c>
      <c r="G367" s="90">
        <v>0</v>
      </c>
      <c r="H367" s="90">
        <v>75048.872534304799</v>
      </c>
      <c r="I367" s="90">
        <v>0</v>
      </c>
      <c r="J367" s="90">
        <v>0</v>
      </c>
      <c r="K367" s="90">
        <v>0</v>
      </c>
      <c r="L367" s="90">
        <v>6599.5767305092304</v>
      </c>
      <c r="M367" s="90">
        <v>0</v>
      </c>
      <c r="N367" s="90">
        <v>55536.165675385557</v>
      </c>
      <c r="O367" s="90">
        <v>0</v>
      </c>
      <c r="P367" s="90">
        <v>0</v>
      </c>
      <c r="Q367" s="90">
        <v>0</v>
      </c>
      <c r="R367" s="90">
        <v>72182.329545454544</v>
      </c>
    </row>
    <row r="368" spans="1:18">
      <c r="A368" s="90" t="s">
        <v>1006</v>
      </c>
      <c r="B368" s="90" t="s">
        <v>1227</v>
      </c>
      <c r="C368" s="90" t="str">
        <f t="shared" si="5"/>
        <v>EaglePublic Assembly</v>
      </c>
      <c r="D368" s="90">
        <v>4</v>
      </c>
      <c r="E368" s="90">
        <v>7461.7211538461543</v>
      </c>
      <c r="F368" s="90">
        <v>4385.4600455998316</v>
      </c>
      <c r="G368" s="90">
        <v>0</v>
      </c>
      <c r="H368" s="90">
        <v>19344.12262264458</v>
      </c>
      <c r="I368" s="90">
        <v>0</v>
      </c>
      <c r="J368" s="90">
        <v>0</v>
      </c>
      <c r="K368" s="90">
        <v>0</v>
      </c>
      <c r="L368" s="90">
        <v>3245.2404337438757</v>
      </c>
      <c r="M368" s="90">
        <v>0</v>
      </c>
      <c r="N368" s="90">
        <v>14314.650740756988</v>
      </c>
      <c r="O368" s="90">
        <v>0</v>
      </c>
      <c r="P368" s="90">
        <v>0</v>
      </c>
      <c r="Q368" s="90">
        <v>0</v>
      </c>
      <c r="R368" s="90">
        <v>52232.048076923078</v>
      </c>
    </row>
    <row r="369" spans="1:18">
      <c r="A369" s="90" t="s">
        <v>1006</v>
      </c>
      <c r="B369" s="90" t="s">
        <v>1475</v>
      </c>
      <c r="C369" s="90" t="str">
        <f t="shared" si="5"/>
        <v>EaglePublic Safety</v>
      </c>
      <c r="D369" s="90">
        <v>2</v>
      </c>
      <c r="E369" s="90">
        <v>6595.4750000000004</v>
      </c>
      <c r="F369" s="90">
        <v>4362.7746239276184</v>
      </c>
      <c r="G369" s="90">
        <v>0</v>
      </c>
      <c r="H369" s="90">
        <v>22871.642306328533</v>
      </c>
      <c r="I369" s="90">
        <v>0</v>
      </c>
      <c r="J369" s="90">
        <v>0</v>
      </c>
      <c r="K369" s="90">
        <v>0</v>
      </c>
      <c r="L369" s="90">
        <v>3228.453221706437</v>
      </c>
      <c r="M369" s="90">
        <v>0</v>
      </c>
      <c r="N369" s="90">
        <v>16925.015306683112</v>
      </c>
      <c r="O369" s="90">
        <v>0</v>
      </c>
      <c r="P369" s="90">
        <v>0</v>
      </c>
      <c r="Q369" s="90">
        <v>0</v>
      </c>
      <c r="R369" s="90">
        <v>46168.324999999997</v>
      </c>
    </row>
    <row r="370" spans="1:18">
      <c r="A370" s="90" t="s">
        <v>1006</v>
      </c>
      <c r="B370" s="90" t="s">
        <v>1442</v>
      </c>
      <c r="C370" s="90" t="str">
        <f t="shared" si="5"/>
        <v>EagleResidential - Multi-Family</v>
      </c>
      <c r="D370" s="90">
        <v>1</v>
      </c>
      <c r="E370" s="90">
        <v>1018</v>
      </c>
      <c r="F370" s="90">
        <v>769.12205136761054</v>
      </c>
      <c r="G370" s="90">
        <v>0</v>
      </c>
      <c r="H370" s="90">
        <v>5330.2259903034346</v>
      </c>
      <c r="I370" s="90">
        <v>0</v>
      </c>
      <c r="J370" s="90">
        <v>0</v>
      </c>
      <c r="K370" s="90">
        <v>0</v>
      </c>
      <c r="L370" s="90">
        <v>569.15031801203179</v>
      </c>
      <c r="M370" s="90">
        <v>0</v>
      </c>
      <c r="N370" s="90">
        <v>3944.3672328245416</v>
      </c>
      <c r="O370" s="90">
        <v>0</v>
      </c>
      <c r="P370" s="90">
        <v>0</v>
      </c>
      <c r="Q370" s="90">
        <v>0</v>
      </c>
      <c r="R370" s="90">
        <v>7126</v>
      </c>
    </row>
    <row r="371" spans="1:18">
      <c r="A371" s="90" t="s">
        <v>1006</v>
      </c>
      <c r="B371" s="90" t="s">
        <v>1485</v>
      </c>
      <c r="C371" s="90" t="str">
        <f t="shared" si="5"/>
        <v>EagleRetail - Other</v>
      </c>
      <c r="D371" s="90">
        <v>1</v>
      </c>
      <c r="E371" s="90">
        <v>2700</v>
      </c>
      <c r="F371" s="90">
        <v>1500</v>
      </c>
      <c r="G371" s="90">
        <v>0</v>
      </c>
      <c r="H371" s="90">
        <v>14600</v>
      </c>
      <c r="I371" s="90">
        <v>0</v>
      </c>
      <c r="J371" s="90">
        <v>0</v>
      </c>
      <c r="K371" s="90">
        <v>0</v>
      </c>
      <c r="L371" s="90">
        <v>1110</v>
      </c>
      <c r="M371" s="90">
        <v>0</v>
      </c>
      <c r="N371" s="90">
        <v>10804</v>
      </c>
      <c r="O371" s="90">
        <v>0</v>
      </c>
      <c r="P371" s="90">
        <v>0</v>
      </c>
      <c r="Q371" s="90">
        <v>0</v>
      </c>
      <c r="R371" s="90">
        <v>18900</v>
      </c>
    </row>
    <row r="372" spans="1:18">
      <c r="A372" s="90" t="s">
        <v>1178</v>
      </c>
      <c r="B372" s="90" t="s">
        <v>1440</v>
      </c>
      <c r="C372" s="90" t="str">
        <f t="shared" si="5"/>
        <v>Eagle VillageHealth Care - Hospitals</v>
      </c>
      <c r="D372" s="90">
        <v>1</v>
      </c>
      <c r="E372" s="90">
        <v>2072</v>
      </c>
      <c r="F372" s="90">
        <v>2000</v>
      </c>
      <c r="G372" s="90">
        <v>0</v>
      </c>
      <c r="H372" s="90">
        <v>15586.477654259048</v>
      </c>
      <c r="I372" s="90">
        <v>0</v>
      </c>
      <c r="J372" s="90">
        <v>0</v>
      </c>
      <c r="K372" s="90">
        <v>0</v>
      </c>
      <c r="L372" s="90">
        <v>1480</v>
      </c>
      <c r="M372" s="90">
        <v>0</v>
      </c>
      <c r="N372" s="90">
        <v>11533.993464151696</v>
      </c>
      <c r="O372" s="90">
        <v>0</v>
      </c>
      <c r="P372" s="90">
        <v>0</v>
      </c>
      <c r="Q372" s="90">
        <v>0</v>
      </c>
      <c r="R372" s="90">
        <v>14504</v>
      </c>
    </row>
    <row r="373" spans="1:18">
      <c r="A373" s="90" t="s">
        <v>1178</v>
      </c>
      <c r="B373" s="90" t="s">
        <v>1227</v>
      </c>
      <c r="C373" s="90" t="str">
        <f t="shared" si="5"/>
        <v>Eagle VillagePublic Assembly</v>
      </c>
      <c r="D373" s="90">
        <v>1</v>
      </c>
      <c r="E373" s="90">
        <v>2000</v>
      </c>
      <c r="F373" s="90">
        <v>1500</v>
      </c>
      <c r="G373" s="90">
        <v>0</v>
      </c>
      <c r="H373" s="90">
        <v>8636</v>
      </c>
      <c r="I373" s="90">
        <v>0</v>
      </c>
      <c r="J373" s="90">
        <v>0</v>
      </c>
      <c r="K373" s="90">
        <v>0</v>
      </c>
      <c r="L373" s="90">
        <v>1110</v>
      </c>
      <c r="M373" s="90">
        <v>0</v>
      </c>
      <c r="N373" s="90">
        <v>6390.64</v>
      </c>
      <c r="O373" s="90">
        <v>0</v>
      </c>
      <c r="P373" s="90">
        <v>0</v>
      </c>
      <c r="Q373" s="90">
        <v>0</v>
      </c>
      <c r="R373" s="90">
        <v>14000</v>
      </c>
    </row>
    <row r="374" spans="1:18">
      <c r="A374" s="90" t="s">
        <v>1372</v>
      </c>
      <c r="B374" s="90" t="s">
        <v>1439</v>
      </c>
      <c r="C374" s="90" t="str">
        <f t="shared" si="5"/>
        <v>Edna BayEducation - K - 12</v>
      </c>
      <c r="D374" s="90">
        <v>1</v>
      </c>
      <c r="E374" s="90">
        <v>1584</v>
      </c>
      <c r="F374" s="90">
        <v>1032</v>
      </c>
      <c r="G374" s="90">
        <v>0</v>
      </c>
      <c r="H374" s="90">
        <v>10293.487562467593</v>
      </c>
      <c r="I374" s="90">
        <v>0</v>
      </c>
      <c r="J374" s="90">
        <v>0</v>
      </c>
      <c r="K374" s="90">
        <v>0</v>
      </c>
      <c r="L374" s="90">
        <v>763.68</v>
      </c>
      <c r="M374" s="90">
        <v>0</v>
      </c>
      <c r="N374" s="90">
        <v>7617.1807962260191</v>
      </c>
      <c r="O374" s="90">
        <v>0</v>
      </c>
      <c r="P374" s="90">
        <v>0</v>
      </c>
      <c r="Q374" s="90">
        <v>0</v>
      </c>
      <c r="R374" s="90">
        <v>11088</v>
      </c>
    </row>
    <row r="375" spans="1:18">
      <c r="A375" s="90" t="s">
        <v>1372</v>
      </c>
      <c r="B375" s="90" t="s">
        <v>1227</v>
      </c>
      <c r="C375" s="90" t="str">
        <f t="shared" si="5"/>
        <v>Edna BayPublic Assembly</v>
      </c>
      <c r="D375" s="90">
        <v>2</v>
      </c>
      <c r="E375" s="90">
        <v>2825</v>
      </c>
      <c r="F375" s="90">
        <v>699.16606430884053</v>
      </c>
      <c r="G375" s="90">
        <v>0</v>
      </c>
      <c r="H375" s="90">
        <v>10626.903053518376</v>
      </c>
      <c r="I375" s="90">
        <v>0</v>
      </c>
      <c r="J375" s="90">
        <v>0</v>
      </c>
      <c r="K375" s="90">
        <v>0</v>
      </c>
      <c r="L375" s="90">
        <v>517.38288758854196</v>
      </c>
      <c r="M375" s="90">
        <v>0</v>
      </c>
      <c r="N375" s="90">
        <v>7863.9082596035978</v>
      </c>
      <c r="O375" s="90">
        <v>0</v>
      </c>
      <c r="P375" s="90">
        <v>0</v>
      </c>
      <c r="Q375" s="90">
        <v>0</v>
      </c>
      <c r="R375" s="90">
        <v>19775</v>
      </c>
    </row>
    <row r="376" spans="1:18">
      <c r="A376" s="90" t="s">
        <v>74</v>
      </c>
      <c r="B376" s="90" t="s">
        <v>1439</v>
      </c>
      <c r="C376" s="90" t="str">
        <f t="shared" si="5"/>
        <v>EekEducation - K - 12</v>
      </c>
      <c r="D376" s="90">
        <v>4</v>
      </c>
      <c r="E376" s="90">
        <v>33312</v>
      </c>
      <c r="F376" s="90">
        <v>24472.031210084529</v>
      </c>
      <c r="G376" s="90">
        <v>0</v>
      </c>
      <c r="H376" s="90">
        <v>285494.26534353511</v>
      </c>
      <c r="I376" s="90">
        <v>0</v>
      </c>
      <c r="J376" s="90">
        <v>0</v>
      </c>
      <c r="K376" s="90">
        <v>0</v>
      </c>
      <c r="L376" s="90">
        <v>18109.303095462546</v>
      </c>
      <c r="M376" s="90">
        <v>0</v>
      </c>
      <c r="N376" s="90">
        <v>211265.75635421599</v>
      </c>
      <c r="O376" s="90">
        <v>0</v>
      </c>
      <c r="P376" s="90">
        <v>0</v>
      </c>
      <c r="Q376" s="90">
        <v>0</v>
      </c>
      <c r="R376" s="90">
        <v>233184</v>
      </c>
    </row>
    <row r="377" spans="1:18">
      <c r="A377" s="90" t="s">
        <v>74</v>
      </c>
      <c r="B377" s="90" t="s">
        <v>1440</v>
      </c>
      <c r="C377" s="90" t="str">
        <f t="shared" si="5"/>
        <v>EekHealth Care - Hospitals</v>
      </c>
      <c r="D377" s="90">
        <v>1</v>
      </c>
      <c r="E377" s="90">
        <v>2350</v>
      </c>
      <c r="F377" s="90">
        <v>1445.2554744525548</v>
      </c>
      <c r="G377" s="90">
        <v>0</v>
      </c>
      <c r="H377" s="90">
        <v>14910.134189999999</v>
      </c>
      <c r="I377" s="90">
        <v>0</v>
      </c>
      <c r="J377" s="90">
        <v>0</v>
      </c>
      <c r="K377" s="90">
        <v>0</v>
      </c>
      <c r="L377" s="90">
        <v>1069.4890510948906</v>
      </c>
      <c r="M377" s="90">
        <v>0</v>
      </c>
      <c r="N377" s="90">
        <v>11033.499300599999</v>
      </c>
      <c r="O377" s="90">
        <v>0</v>
      </c>
      <c r="P377" s="90">
        <v>0</v>
      </c>
      <c r="Q377" s="90">
        <v>0</v>
      </c>
      <c r="R377" s="90">
        <v>16450</v>
      </c>
    </row>
    <row r="378" spans="1:18">
      <c r="A378" s="90" t="s">
        <v>74</v>
      </c>
      <c r="B378" s="90" t="s">
        <v>665</v>
      </c>
      <c r="C378" s="90" t="str">
        <f t="shared" si="5"/>
        <v>EekOffice</v>
      </c>
      <c r="D378" s="90">
        <v>4</v>
      </c>
      <c r="E378" s="90">
        <v>6091.169064748201</v>
      </c>
      <c r="F378" s="90">
        <v>5471.7011452654788</v>
      </c>
      <c r="G378" s="90">
        <v>0</v>
      </c>
      <c r="H378" s="90">
        <v>33698.066263990891</v>
      </c>
      <c r="I378" s="90">
        <v>0</v>
      </c>
      <c r="J378" s="90">
        <v>0</v>
      </c>
      <c r="K378" s="90">
        <v>0</v>
      </c>
      <c r="L378" s="90">
        <v>4049.0588474964534</v>
      </c>
      <c r="M378" s="90">
        <v>0</v>
      </c>
      <c r="N378" s="90">
        <v>24936.569035353259</v>
      </c>
      <c r="O378" s="90">
        <v>0</v>
      </c>
      <c r="P378" s="90">
        <v>0</v>
      </c>
      <c r="Q378" s="90">
        <v>0</v>
      </c>
      <c r="R378" s="90">
        <v>42638.183453237405</v>
      </c>
    </row>
    <row r="379" spans="1:18">
      <c r="A379" s="90" t="s">
        <v>74</v>
      </c>
      <c r="B379" s="90" t="s">
        <v>643</v>
      </c>
      <c r="C379" s="90" t="str">
        <f t="shared" si="5"/>
        <v>EekOther</v>
      </c>
      <c r="D379" s="90">
        <v>7</v>
      </c>
      <c r="E379" s="90">
        <v>20278.763358778626</v>
      </c>
      <c r="F379" s="90">
        <v>21552.569432429133</v>
      </c>
      <c r="G379" s="90">
        <v>0</v>
      </c>
      <c r="H379" s="90">
        <v>150530.13758966458</v>
      </c>
      <c r="I379" s="90">
        <v>0</v>
      </c>
      <c r="J379" s="90">
        <v>0</v>
      </c>
      <c r="K379" s="90">
        <v>0</v>
      </c>
      <c r="L379" s="90">
        <v>15948.90137999756</v>
      </c>
      <c r="M379" s="90">
        <v>0</v>
      </c>
      <c r="N379" s="90">
        <v>111392.30181635177</v>
      </c>
      <c r="O379" s="90">
        <v>0</v>
      </c>
      <c r="P379" s="90">
        <v>0</v>
      </c>
      <c r="Q379" s="90">
        <v>0</v>
      </c>
      <c r="R379" s="90">
        <v>141951.3435114504</v>
      </c>
    </row>
    <row r="380" spans="1:18">
      <c r="A380" s="90" t="s">
        <v>74</v>
      </c>
      <c r="B380" s="90" t="s">
        <v>1475</v>
      </c>
      <c r="C380" s="90" t="str">
        <f t="shared" si="5"/>
        <v>EekPublic Safety</v>
      </c>
      <c r="D380" s="90">
        <v>1</v>
      </c>
      <c r="E380" s="90">
        <v>2697.4089393939394</v>
      </c>
      <c r="F380" s="90">
        <v>1909.3942711307411</v>
      </c>
      <c r="G380" s="90">
        <v>0</v>
      </c>
      <c r="H380" s="90">
        <v>22307.792908055355</v>
      </c>
      <c r="I380" s="90">
        <v>0</v>
      </c>
      <c r="J380" s="90">
        <v>0</v>
      </c>
      <c r="K380" s="90">
        <v>0</v>
      </c>
      <c r="L380" s="90">
        <v>1412.9517606367483</v>
      </c>
      <c r="M380" s="90">
        <v>0</v>
      </c>
      <c r="N380" s="90">
        <v>16507.766751960964</v>
      </c>
      <c r="O380" s="90">
        <v>0</v>
      </c>
      <c r="P380" s="90">
        <v>0</v>
      </c>
      <c r="Q380" s="90">
        <v>0</v>
      </c>
      <c r="R380" s="90">
        <v>18881.862575757576</v>
      </c>
    </row>
    <row r="381" spans="1:18">
      <c r="A381" s="90" t="s">
        <v>74</v>
      </c>
      <c r="B381" s="90" t="s">
        <v>951</v>
      </c>
      <c r="C381" s="90" t="str">
        <f t="shared" si="5"/>
        <v>EekWarehousing</v>
      </c>
      <c r="D381" s="90">
        <v>2</v>
      </c>
      <c r="E381" s="90">
        <v>1164</v>
      </c>
      <c r="F381" s="90">
        <v>2031.5216038940944</v>
      </c>
      <c r="G381" s="90">
        <v>0</v>
      </c>
      <c r="H381" s="90">
        <v>53332.986618603099</v>
      </c>
      <c r="I381" s="90">
        <v>0</v>
      </c>
      <c r="J381" s="90">
        <v>0</v>
      </c>
      <c r="K381" s="90">
        <v>0</v>
      </c>
      <c r="L381" s="90">
        <v>1503.3259868816297</v>
      </c>
      <c r="M381" s="90">
        <v>0</v>
      </c>
      <c r="N381" s="90">
        <v>39466.410097766289</v>
      </c>
      <c r="O381" s="90">
        <v>0</v>
      </c>
      <c r="P381" s="90">
        <v>0</v>
      </c>
      <c r="Q381" s="90">
        <v>0</v>
      </c>
      <c r="R381" s="90">
        <v>8148</v>
      </c>
    </row>
    <row r="382" spans="1:18">
      <c r="A382" s="90" t="s">
        <v>137</v>
      </c>
      <c r="B382" s="90" t="s">
        <v>1447</v>
      </c>
      <c r="C382" s="90" t="str">
        <f t="shared" si="5"/>
        <v>EgegikAccomodation Services</v>
      </c>
      <c r="D382" s="90">
        <v>1</v>
      </c>
      <c r="E382" s="90">
        <v>4124</v>
      </c>
      <c r="F382" s="90">
        <v>2583.3251662639746</v>
      </c>
      <c r="G382" s="90">
        <v>0</v>
      </c>
      <c r="H382" s="90">
        <v>30258.170426065164</v>
      </c>
      <c r="I382" s="90">
        <v>0</v>
      </c>
      <c r="J382" s="90">
        <v>0</v>
      </c>
      <c r="K382" s="90">
        <v>0</v>
      </c>
      <c r="L382" s="90">
        <v>1911.6606230353411</v>
      </c>
      <c r="M382" s="90">
        <v>0</v>
      </c>
      <c r="N382" s="90">
        <v>22391.04611528822</v>
      </c>
      <c r="O382" s="90">
        <v>0</v>
      </c>
      <c r="P382" s="90">
        <v>0</v>
      </c>
      <c r="Q382" s="90">
        <v>0</v>
      </c>
      <c r="R382" s="90">
        <v>28868</v>
      </c>
    </row>
    <row r="383" spans="1:18">
      <c r="A383" s="90" t="s">
        <v>137</v>
      </c>
      <c r="B383" s="90" t="s">
        <v>1439</v>
      </c>
      <c r="C383" s="90" t="str">
        <f t="shared" si="5"/>
        <v>EgegikEducation - K - 12</v>
      </c>
      <c r="D383" s="90">
        <v>1</v>
      </c>
      <c r="E383" s="90">
        <v>10251</v>
      </c>
      <c r="F383" s="90">
        <v>7600.5407299270082</v>
      </c>
      <c r="G383" s="90">
        <v>0</v>
      </c>
      <c r="H383" s="90">
        <v>34325.487259449998</v>
      </c>
      <c r="I383" s="90">
        <v>0</v>
      </c>
      <c r="J383" s="90">
        <v>0</v>
      </c>
      <c r="K383" s="90">
        <v>0</v>
      </c>
      <c r="L383" s="90">
        <v>5624.4001401459864</v>
      </c>
      <c r="M383" s="90">
        <v>0</v>
      </c>
      <c r="N383" s="90">
        <v>25400.860571992998</v>
      </c>
      <c r="O383" s="90">
        <v>0</v>
      </c>
      <c r="P383" s="90">
        <v>0</v>
      </c>
      <c r="Q383" s="90">
        <v>0</v>
      </c>
      <c r="R383" s="90">
        <v>71757</v>
      </c>
    </row>
    <row r="384" spans="1:18">
      <c r="A384" s="90" t="s">
        <v>137</v>
      </c>
      <c r="B384" s="90" t="s">
        <v>1440</v>
      </c>
      <c r="C384" s="90" t="str">
        <f t="shared" si="5"/>
        <v>EgegikHealth Care - Hospitals</v>
      </c>
      <c r="D384" s="90">
        <v>1</v>
      </c>
      <c r="E384" s="90">
        <v>2497</v>
      </c>
      <c r="F384" s="90">
        <v>1740.3424214619888</v>
      </c>
      <c r="G384" s="90">
        <v>0</v>
      </c>
      <c r="H384" s="90">
        <v>18783.510956894228</v>
      </c>
      <c r="I384" s="90">
        <v>0</v>
      </c>
      <c r="J384" s="90">
        <v>0</v>
      </c>
      <c r="K384" s="90">
        <v>0</v>
      </c>
      <c r="L384" s="90">
        <v>1287.8533918818716</v>
      </c>
      <c r="M384" s="90">
        <v>0</v>
      </c>
      <c r="N384" s="90">
        <v>13899.798108101728</v>
      </c>
      <c r="O384" s="90">
        <v>0</v>
      </c>
      <c r="P384" s="90">
        <v>0</v>
      </c>
      <c r="Q384" s="90">
        <v>0</v>
      </c>
      <c r="R384" s="90">
        <v>17479</v>
      </c>
    </row>
    <row r="385" spans="1:18">
      <c r="A385" s="90" t="s">
        <v>137</v>
      </c>
      <c r="B385" s="90" t="s">
        <v>665</v>
      </c>
      <c r="C385" s="90" t="str">
        <f t="shared" si="5"/>
        <v>EgegikOffice</v>
      </c>
      <c r="D385" s="90">
        <v>2</v>
      </c>
      <c r="E385" s="90">
        <v>4533.2585034013609</v>
      </c>
      <c r="F385" s="90">
        <v>6032.2407252559842</v>
      </c>
      <c r="G385" s="90">
        <v>0</v>
      </c>
      <c r="H385" s="90">
        <v>36338.737239973358</v>
      </c>
      <c r="I385" s="90">
        <v>0</v>
      </c>
      <c r="J385" s="90">
        <v>0</v>
      </c>
      <c r="K385" s="90">
        <v>0</v>
      </c>
      <c r="L385" s="90">
        <v>4463.8581366894286</v>
      </c>
      <c r="M385" s="90">
        <v>0</v>
      </c>
      <c r="N385" s="90">
        <v>26890.665557580283</v>
      </c>
      <c r="O385" s="90">
        <v>0</v>
      </c>
      <c r="P385" s="90">
        <v>0</v>
      </c>
      <c r="Q385" s="90">
        <v>0</v>
      </c>
      <c r="R385" s="90">
        <v>31732.809523809523</v>
      </c>
    </row>
    <row r="386" spans="1:18">
      <c r="A386" s="90" t="s">
        <v>137</v>
      </c>
      <c r="B386" s="90" t="s">
        <v>643</v>
      </c>
      <c r="C386" s="90" t="str">
        <f t="shared" si="5"/>
        <v>EgegikOther</v>
      </c>
      <c r="D386" s="90">
        <v>2</v>
      </c>
      <c r="E386" s="90">
        <v>5200</v>
      </c>
      <c r="F386" s="90">
        <v>4497.3310006733027</v>
      </c>
      <c r="G386" s="90">
        <v>0</v>
      </c>
      <c r="H386" s="90">
        <v>37845.536122915561</v>
      </c>
      <c r="I386" s="90">
        <v>0</v>
      </c>
      <c r="J386" s="90">
        <v>0</v>
      </c>
      <c r="K386" s="90">
        <v>0</v>
      </c>
      <c r="L386" s="90">
        <v>3328.0249404982437</v>
      </c>
      <c r="M386" s="90">
        <v>0</v>
      </c>
      <c r="N386" s="90">
        <v>28005.696730957512</v>
      </c>
      <c r="O386" s="90">
        <v>0</v>
      </c>
      <c r="P386" s="90">
        <v>0</v>
      </c>
      <c r="Q386" s="90">
        <v>0</v>
      </c>
      <c r="R386" s="90">
        <v>36400</v>
      </c>
    </row>
    <row r="387" spans="1:18">
      <c r="A387" s="90" t="s">
        <v>137</v>
      </c>
      <c r="B387" s="90" t="s">
        <v>1227</v>
      </c>
      <c r="C387" s="90" t="str">
        <f t="shared" ref="C387:C450" si="6">CONCATENATE(A387,B387)</f>
        <v>EgegikPublic Assembly</v>
      </c>
      <c r="D387" s="90">
        <v>2</v>
      </c>
      <c r="E387" s="90">
        <v>6273.4423076923076</v>
      </c>
      <c r="F387" s="90">
        <v>3914.3618829991747</v>
      </c>
      <c r="G387" s="90">
        <v>0</v>
      </c>
      <c r="H387" s="90">
        <v>23599.031226791769</v>
      </c>
      <c r="I387" s="90">
        <v>0</v>
      </c>
      <c r="J387" s="90">
        <v>0</v>
      </c>
      <c r="K387" s="90">
        <v>0</v>
      </c>
      <c r="L387" s="90">
        <v>2896.627793419389</v>
      </c>
      <c r="M387" s="90">
        <v>0</v>
      </c>
      <c r="N387" s="90">
        <v>17463.283107825908</v>
      </c>
      <c r="O387" s="90">
        <v>0</v>
      </c>
      <c r="P387" s="90">
        <v>0</v>
      </c>
      <c r="Q387" s="90">
        <v>0</v>
      </c>
      <c r="R387" s="90">
        <v>43914.096153846156</v>
      </c>
    </row>
    <row r="388" spans="1:18">
      <c r="A388" s="90" t="s">
        <v>137</v>
      </c>
      <c r="B388" s="90" t="s">
        <v>1485</v>
      </c>
      <c r="C388" s="90" t="str">
        <f t="shared" si="6"/>
        <v>EgegikRetail - Other</v>
      </c>
      <c r="D388" s="90">
        <v>1</v>
      </c>
      <c r="E388" s="90">
        <v>2105.2800000000002</v>
      </c>
      <c r="F388" s="90">
        <v>2225.7819714285715</v>
      </c>
      <c r="G388" s="90">
        <v>0</v>
      </c>
      <c r="H388" s="90">
        <v>49590.373216004155</v>
      </c>
      <c r="I388" s="90">
        <v>0</v>
      </c>
      <c r="J388" s="90">
        <v>0</v>
      </c>
      <c r="K388" s="90">
        <v>0</v>
      </c>
      <c r="L388" s="90">
        <v>1647.078658857143</v>
      </c>
      <c r="M388" s="90">
        <v>0</v>
      </c>
      <c r="N388" s="90">
        <v>36696.876179843071</v>
      </c>
      <c r="O388" s="90">
        <v>0</v>
      </c>
      <c r="P388" s="90">
        <v>0</v>
      </c>
      <c r="Q388" s="90">
        <v>0</v>
      </c>
      <c r="R388" s="90">
        <v>14736.960000000001</v>
      </c>
    </row>
    <row r="389" spans="1:18">
      <c r="A389" s="90" t="s">
        <v>137</v>
      </c>
      <c r="B389" s="90" t="s">
        <v>951</v>
      </c>
      <c r="C389" s="90" t="str">
        <f t="shared" si="6"/>
        <v>EgegikWarehousing</v>
      </c>
      <c r="D389" s="90">
        <v>1</v>
      </c>
      <c r="E389" s="90">
        <v>1104</v>
      </c>
      <c r="F389" s="90">
        <v>1383.8975689826473</v>
      </c>
      <c r="G389" s="90">
        <v>0</v>
      </c>
      <c r="H389" s="90">
        <v>13099.12426006748</v>
      </c>
      <c r="I389" s="90">
        <v>0</v>
      </c>
      <c r="J389" s="90">
        <v>0</v>
      </c>
      <c r="K389" s="90">
        <v>0</v>
      </c>
      <c r="L389" s="90">
        <v>1024.084201047159</v>
      </c>
      <c r="M389" s="90">
        <v>0</v>
      </c>
      <c r="N389" s="90">
        <v>9693.3519524499352</v>
      </c>
      <c r="O389" s="90">
        <v>0</v>
      </c>
      <c r="P389" s="90">
        <v>0</v>
      </c>
      <c r="Q389" s="90">
        <v>0</v>
      </c>
      <c r="R389" s="90">
        <v>7728</v>
      </c>
    </row>
    <row r="390" spans="1:18">
      <c r="A390" s="90" t="s">
        <v>139</v>
      </c>
      <c r="B390" s="90" t="s">
        <v>1447</v>
      </c>
      <c r="C390" s="90" t="str">
        <f t="shared" si="6"/>
        <v>EkwokAccomodation Services</v>
      </c>
      <c r="D390" s="90">
        <v>1</v>
      </c>
      <c r="E390" s="90">
        <v>4770.8148148148148</v>
      </c>
      <c r="F390" s="90">
        <v>2988.4980540000279</v>
      </c>
      <c r="G390" s="90">
        <v>0</v>
      </c>
      <c r="H390" s="90">
        <v>35003.910702682631</v>
      </c>
      <c r="I390" s="90">
        <v>0</v>
      </c>
      <c r="J390" s="90">
        <v>0</v>
      </c>
      <c r="K390" s="90">
        <v>0</v>
      </c>
      <c r="L390" s="90">
        <v>2211.4885599600207</v>
      </c>
      <c r="M390" s="90">
        <v>0</v>
      </c>
      <c r="N390" s="90">
        <v>25902.893919985148</v>
      </c>
      <c r="O390" s="90">
        <v>0</v>
      </c>
      <c r="P390" s="90">
        <v>0</v>
      </c>
      <c r="Q390" s="90">
        <v>0</v>
      </c>
      <c r="R390" s="90">
        <v>33395.703703703701</v>
      </c>
    </row>
    <row r="391" spans="1:18">
      <c r="A391" s="90" t="s">
        <v>139</v>
      </c>
      <c r="B391" s="90" t="s">
        <v>1439</v>
      </c>
      <c r="C391" s="90" t="str">
        <f t="shared" si="6"/>
        <v>EkwokEducation - K - 12</v>
      </c>
      <c r="D391" s="90">
        <v>3</v>
      </c>
      <c r="E391" s="90">
        <v>26159</v>
      </c>
      <c r="F391" s="90">
        <v>32486.230697605111</v>
      </c>
      <c r="G391" s="90">
        <v>0</v>
      </c>
      <c r="H391" s="90">
        <v>166980.45796887256</v>
      </c>
      <c r="I391" s="90">
        <v>0</v>
      </c>
      <c r="J391" s="90">
        <v>0</v>
      </c>
      <c r="K391" s="90">
        <v>0</v>
      </c>
      <c r="L391" s="90">
        <v>24039.810716227781</v>
      </c>
      <c r="M391" s="90">
        <v>0</v>
      </c>
      <c r="N391" s="90">
        <v>123565.53889696571</v>
      </c>
      <c r="O391" s="90">
        <v>0</v>
      </c>
      <c r="P391" s="90">
        <v>0</v>
      </c>
      <c r="Q391" s="90">
        <v>0</v>
      </c>
      <c r="R391" s="90">
        <v>183113</v>
      </c>
    </row>
    <row r="392" spans="1:18">
      <c r="A392" s="90" t="s">
        <v>139</v>
      </c>
      <c r="B392" s="90" t="s">
        <v>1440</v>
      </c>
      <c r="C392" s="90" t="str">
        <f t="shared" si="6"/>
        <v>EkwokHealth Care - Hospitals</v>
      </c>
      <c r="D392" s="90">
        <v>2</v>
      </c>
      <c r="E392" s="90">
        <v>3892.9250000000002</v>
      </c>
      <c r="F392" s="90">
        <v>2713.2649263395729</v>
      </c>
      <c r="G392" s="90">
        <v>0</v>
      </c>
      <c r="H392" s="90">
        <v>29284.260869790734</v>
      </c>
      <c r="I392" s="90">
        <v>0</v>
      </c>
      <c r="J392" s="90">
        <v>0</v>
      </c>
      <c r="K392" s="90">
        <v>0</v>
      </c>
      <c r="L392" s="90">
        <v>2007.8160454912841</v>
      </c>
      <c r="M392" s="90">
        <v>0</v>
      </c>
      <c r="N392" s="90">
        <v>21670.353043645144</v>
      </c>
      <c r="O392" s="90">
        <v>0</v>
      </c>
      <c r="P392" s="90">
        <v>0</v>
      </c>
      <c r="Q392" s="90">
        <v>0</v>
      </c>
      <c r="R392" s="90">
        <v>27250.475000000002</v>
      </c>
    </row>
    <row r="393" spans="1:18">
      <c r="A393" s="90" t="s">
        <v>139</v>
      </c>
      <c r="B393" s="90" t="s">
        <v>665</v>
      </c>
      <c r="C393" s="90" t="str">
        <f t="shared" si="6"/>
        <v>EkwokOffice</v>
      </c>
      <c r="D393" s="90">
        <v>1</v>
      </c>
      <c r="E393" s="90">
        <v>2033.2585034013605</v>
      </c>
      <c r="F393" s="90">
        <v>2705.5824722962652</v>
      </c>
      <c r="G393" s="90">
        <v>0</v>
      </c>
      <c r="H393" s="90">
        <v>16298.661644952717</v>
      </c>
      <c r="I393" s="90">
        <v>0</v>
      </c>
      <c r="J393" s="90">
        <v>0</v>
      </c>
      <c r="K393" s="90">
        <v>0</v>
      </c>
      <c r="L393" s="90">
        <v>2002.1310294992363</v>
      </c>
      <c r="M393" s="90">
        <v>0</v>
      </c>
      <c r="N393" s="90">
        <v>12061.00961726501</v>
      </c>
      <c r="O393" s="90">
        <v>0</v>
      </c>
      <c r="P393" s="90">
        <v>0</v>
      </c>
      <c r="Q393" s="90">
        <v>0</v>
      </c>
      <c r="R393" s="90">
        <v>14232.809523809523</v>
      </c>
    </row>
    <row r="394" spans="1:18">
      <c r="A394" s="90" t="s">
        <v>139</v>
      </c>
      <c r="B394" s="90" t="s">
        <v>643</v>
      </c>
      <c r="C394" s="90" t="str">
        <f t="shared" si="6"/>
        <v>EkwokOther</v>
      </c>
      <c r="D394" s="90">
        <v>4</v>
      </c>
      <c r="E394" s="90">
        <v>7691.761363636364</v>
      </c>
      <c r="F394" s="90">
        <v>7541.5456895883435</v>
      </c>
      <c r="G394" s="90">
        <v>0</v>
      </c>
      <c r="H394" s="90">
        <v>49352.978413393765</v>
      </c>
      <c r="I394" s="90">
        <v>0</v>
      </c>
      <c r="J394" s="90">
        <v>0</v>
      </c>
      <c r="K394" s="90">
        <v>0</v>
      </c>
      <c r="L394" s="90">
        <v>5580.7438102953747</v>
      </c>
      <c r="M394" s="90">
        <v>0</v>
      </c>
      <c r="N394" s="90">
        <v>36521.204025911386</v>
      </c>
      <c r="O394" s="90">
        <v>0</v>
      </c>
      <c r="P394" s="90">
        <v>0</v>
      </c>
      <c r="Q394" s="90">
        <v>0</v>
      </c>
      <c r="R394" s="90">
        <v>53842.329545454544</v>
      </c>
    </row>
    <row r="395" spans="1:18">
      <c r="A395" s="90" t="s">
        <v>139</v>
      </c>
      <c r="B395" s="90" t="s">
        <v>1227</v>
      </c>
      <c r="C395" s="90" t="str">
        <f t="shared" si="6"/>
        <v>EkwokPublic Assembly</v>
      </c>
      <c r="D395" s="90">
        <v>3</v>
      </c>
      <c r="E395" s="90">
        <v>9410.163461538461</v>
      </c>
      <c r="F395" s="90">
        <v>5871.5428244987615</v>
      </c>
      <c r="G395" s="90">
        <v>0</v>
      </c>
      <c r="H395" s="90">
        <v>35398.546840187657</v>
      </c>
      <c r="I395" s="90">
        <v>0</v>
      </c>
      <c r="J395" s="90">
        <v>0</v>
      </c>
      <c r="K395" s="90">
        <v>0</v>
      </c>
      <c r="L395" s="90">
        <v>4344.9416901290833</v>
      </c>
      <c r="M395" s="90">
        <v>0</v>
      </c>
      <c r="N395" s="90">
        <v>26194.924661738864</v>
      </c>
      <c r="O395" s="90">
        <v>0</v>
      </c>
      <c r="P395" s="90">
        <v>0</v>
      </c>
      <c r="Q395" s="90">
        <v>0</v>
      </c>
      <c r="R395" s="90">
        <v>65871.144230769234</v>
      </c>
    </row>
    <row r="396" spans="1:18">
      <c r="A396" s="90" t="s">
        <v>139</v>
      </c>
      <c r="B396" s="90" t="s">
        <v>1485</v>
      </c>
      <c r="C396" s="90" t="str">
        <f t="shared" si="6"/>
        <v>EkwokRetail - Other</v>
      </c>
      <c r="D396" s="90">
        <v>1</v>
      </c>
      <c r="E396" s="90">
        <v>2105.2800000000002</v>
      </c>
      <c r="F396" s="90">
        <v>2225.7819714285715</v>
      </c>
      <c r="G396" s="90">
        <v>0</v>
      </c>
      <c r="H396" s="90">
        <v>49590.373216004155</v>
      </c>
      <c r="I396" s="90">
        <v>0</v>
      </c>
      <c r="J396" s="90">
        <v>0</v>
      </c>
      <c r="K396" s="90">
        <v>0</v>
      </c>
      <c r="L396" s="90">
        <v>1647.078658857143</v>
      </c>
      <c r="M396" s="90">
        <v>0</v>
      </c>
      <c r="N396" s="90">
        <v>36696.876179843071</v>
      </c>
      <c r="O396" s="90">
        <v>0</v>
      </c>
      <c r="P396" s="90">
        <v>0</v>
      </c>
      <c r="Q396" s="90">
        <v>0</v>
      </c>
      <c r="R396" s="90">
        <v>14736.960000000001</v>
      </c>
    </row>
    <row r="397" spans="1:18">
      <c r="A397" s="90" t="s">
        <v>139</v>
      </c>
      <c r="B397" s="90" t="s">
        <v>951</v>
      </c>
      <c r="C397" s="90" t="str">
        <f t="shared" si="6"/>
        <v>EkwokWarehousing</v>
      </c>
      <c r="D397" s="90">
        <v>1</v>
      </c>
      <c r="E397" s="90">
        <v>1783.9572649572649</v>
      </c>
      <c r="F397" s="90">
        <v>2236.2446758544302</v>
      </c>
      <c r="G397" s="90">
        <v>0</v>
      </c>
      <c r="H397" s="90">
        <v>21166.918377106285</v>
      </c>
      <c r="I397" s="90">
        <v>0</v>
      </c>
      <c r="J397" s="90">
        <v>0</v>
      </c>
      <c r="K397" s="90">
        <v>0</v>
      </c>
      <c r="L397" s="90">
        <v>1654.8210601322783</v>
      </c>
      <c r="M397" s="90">
        <v>0</v>
      </c>
      <c r="N397" s="90">
        <v>15663.519599058651</v>
      </c>
      <c r="O397" s="90">
        <v>0</v>
      </c>
      <c r="P397" s="90">
        <v>0</v>
      </c>
      <c r="Q397" s="90">
        <v>0</v>
      </c>
      <c r="R397" s="90">
        <v>12487.700854700854</v>
      </c>
    </row>
    <row r="398" spans="1:18">
      <c r="A398" s="90" t="s">
        <v>75</v>
      </c>
      <c r="B398" s="90" t="s">
        <v>1439</v>
      </c>
      <c r="C398" s="90" t="str">
        <f t="shared" si="6"/>
        <v>ElimEducation - K - 12</v>
      </c>
      <c r="D398" s="90">
        <v>3</v>
      </c>
      <c r="E398" s="90">
        <v>71797.447914438497</v>
      </c>
      <c r="F398" s="90">
        <v>54042.048382127061</v>
      </c>
      <c r="G398" s="90">
        <v>0</v>
      </c>
      <c r="H398" s="90">
        <v>518134.86397933657</v>
      </c>
      <c r="I398" s="90">
        <v>0</v>
      </c>
      <c r="J398" s="90">
        <v>0</v>
      </c>
      <c r="K398" s="90">
        <v>0</v>
      </c>
      <c r="L398" s="90">
        <v>39991.115802774024</v>
      </c>
      <c r="M398" s="90">
        <v>0</v>
      </c>
      <c r="N398" s="90">
        <v>383419.79934470903</v>
      </c>
      <c r="O398" s="90">
        <v>0</v>
      </c>
      <c r="P398" s="90">
        <v>0</v>
      </c>
      <c r="Q398" s="90">
        <v>0</v>
      </c>
      <c r="R398" s="90">
        <v>502582.13540106954</v>
      </c>
    </row>
    <row r="399" spans="1:18">
      <c r="A399" s="90" t="s">
        <v>75</v>
      </c>
      <c r="B399" s="90" t="s">
        <v>1440</v>
      </c>
      <c r="C399" s="90" t="str">
        <f t="shared" si="6"/>
        <v>ElimHealth Care - Hospitals</v>
      </c>
      <c r="D399" s="90">
        <v>1</v>
      </c>
      <c r="E399" s="90">
        <v>3905.5925000000002</v>
      </c>
      <c r="F399" s="90">
        <v>2468.6293072959174</v>
      </c>
      <c r="G399" s="90">
        <v>0</v>
      </c>
      <c r="H399" s="90">
        <v>34430.972059887106</v>
      </c>
      <c r="I399" s="90">
        <v>0</v>
      </c>
      <c r="J399" s="90">
        <v>0</v>
      </c>
      <c r="K399" s="90">
        <v>0</v>
      </c>
      <c r="L399" s="90">
        <v>1826.7856873989788</v>
      </c>
      <c r="M399" s="90">
        <v>0</v>
      </c>
      <c r="N399" s="90">
        <v>25478.919324316459</v>
      </c>
      <c r="O399" s="90">
        <v>0</v>
      </c>
      <c r="P399" s="90">
        <v>0</v>
      </c>
      <c r="Q399" s="90">
        <v>0</v>
      </c>
      <c r="R399" s="90">
        <v>27339.147500000003</v>
      </c>
    </row>
    <row r="400" spans="1:18">
      <c r="A400" s="90" t="s">
        <v>75</v>
      </c>
      <c r="B400" s="90" t="s">
        <v>665</v>
      </c>
      <c r="C400" s="90" t="str">
        <f t="shared" si="6"/>
        <v>ElimOffice</v>
      </c>
      <c r="D400" s="90">
        <v>6</v>
      </c>
      <c r="E400" s="90">
        <v>12422.676258992806</v>
      </c>
      <c r="F400" s="90">
        <v>11136.645322904747</v>
      </c>
      <c r="G400" s="90">
        <v>0</v>
      </c>
      <c r="H400" s="90">
        <v>70482.021100505197</v>
      </c>
      <c r="I400" s="90">
        <v>0</v>
      </c>
      <c r="J400" s="90">
        <v>0</v>
      </c>
      <c r="K400" s="90">
        <v>0</v>
      </c>
      <c r="L400" s="90">
        <v>8241.1175389495111</v>
      </c>
      <c r="M400" s="90">
        <v>0</v>
      </c>
      <c r="N400" s="90">
        <v>52156.695614373857</v>
      </c>
      <c r="O400" s="90">
        <v>0</v>
      </c>
      <c r="P400" s="90">
        <v>0</v>
      </c>
      <c r="Q400" s="90">
        <v>0</v>
      </c>
      <c r="R400" s="90">
        <v>86958.733812949635</v>
      </c>
    </row>
    <row r="401" spans="1:18">
      <c r="A401" s="90" t="s">
        <v>75</v>
      </c>
      <c r="B401" s="90" t="s">
        <v>643</v>
      </c>
      <c r="C401" s="90" t="str">
        <f t="shared" si="6"/>
        <v>ElimOther</v>
      </c>
      <c r="D401" s="90">
        <v>12</v>
      </c>
      <c r="E401" s="90">
        <v>45632.908396946557</v>
      </c>
      <c r="F401" s="90">
        <v>48499.329531507748</v>
      </c>
      <c r="G401" s="90">
        <v>0</v>
      </c>
      <c r="H401" s="90">
        <v>338735.05292596144</v>
      </c>
      <c r="I401" s="90">
        <v>0</v>
      </c>
      <c r="J401" s="90">
        <v>0</v>
      </c>
      <c r="K401" s="90">
        <v>0</v>
      </c>
      <c r="L401" s="90">
        <v>35889.503853315728</v>
      </c>
      <c r="M401" s="90">
        <v>0</v>
      </c>
      <c r="N401" s="90">
        <v>250663.93916521152</v>
      </c>
      <c r="O401" s="90">
        <v>0</v>
      </c>
      <c r="P401" s="90">
        <v>0</v>
      </c>
      <c r="Q401" s="90">
        <v>0</v>
      </c>
      <c r="R401" s="90">
        <v>319430.3587786259</v>
      </c>
    </row>
    <row r="402" spans="1:18">
      <c r="A402" s="90" t="s">
        <v>75</v>
      </c>
      <c r="B402" s="90" t="s">
        <v>1227</v>
      </c>
      <c r="C402" s="90" t="str">
        <f t="shared" si="6"/>
        <v>ElimPublic Assembly</v>
      </c>
      <c r="D402" s="90">
        <v>2</v>
      </c>
      <c r="E402" s="90">
        <v>6626.5640449438197</v>
      </c>
      <c r="F402" s="90">
        <v>4583.0005679061978</v>
      </c>
      <c r="G402" s="90">
        <v>0</v>
      </c>
      <c r="H402" s="90">
        <v>30726.221358266557</v>
      </c>
      <c r="I402" s="90">
        <v>0</v>
      </c>
      <c r="J402" s="90">
        <v>0</v>
      </c>
      <c r="K402" s="90">
        <v>0</v>
      </c>
      <c r="L402" s="90">
        <v>3391.4204202505862</v>
      </c>
      <c r="M402" s="90">
        <v>0</v>
      </c>
      <c r="N402" s="90">
        <v>22737.40380511725</v>
      </c>
      <c r="O402" s="90">
        <v>0</v>
      </c>
      <c r="P402" s="90">
        <v>0</v>
      </c>
      <c r="Q402" s="90">
        <v>0</v>
      </c>
      <c r="R402" s="90">
        <v>46385.948314606736</v>
      </c>
    </row>
    <row r="403" spans="1:18">
      <c r="A403" s="90" t="s">
        <v>75</v>
      </c>
      <c r="B403" s="90" t="s">
        <v>1475</v>
      </c>
      <c r="C403" s="90" t="str">
        <f t="shared" si="6"/>
        <v>ElimPublic Safety</v>
      </c>
      <c r="D403" s="90">
        <v>2</v>
      </c>
      <c r="E403" s="90">
        <v>5394.8178787878787</v>
      </c>
      <c r="F403" s="90">
        <v>3818.7885422614822</v>
      </c>
      <c r="G403" s="90">
        <v>0</v>
      </c>
      <c r="H403" s="90">
        <v>44615.58581611071</v>
      </c>
      <c r="I403" s="90">
        <v>0</v>
      </c>
      <c r="J403" s="90">
        <v>0</v>
      </c>
      <c r="K403" s="90">
        <v>0</v>
      </c>
      <c r="L403" s="90">
        <v>2825.9035212734966</v>
      </c>
      <c r="M403" s="90">
        <v>0</v>
      </c>
      <c r="N403" s="90">
        <v>33015.533503921928</v>
      </c>
      <c r="O403" s="90">
        <v>0</v>
      </c>
      <c r="P403" s="90">
        <v>0</v>
      </c>
      <c r="Q403" s="90">
        <v>0</v>
      </c>
      <c r="R403" s="90">
        <v>37763.725151515151</v>
      </c>
    </row>
    <row r="404" spans="1:18">
      <c r="A404" s="90" t="s">
        <v>75</v>
      </c>
      <c r="B404" s="90" t="s">
        <v>1485</v>
      </c>
      <c r="C404" s="90" t="str">
        <f t="shared" si="6"/>
        <v>ElimRetail - Other</v>
      </c>
      <c r="D404" s="90">
        <v>3</v>
      </c>
      <c r="E404" s="90">
        <v>16248.731707317071</v>
      </c>
      <c r="F404" s="90">
        <v>26989.94046152872</v>
      </c>
      <c r="G404" s="90">
        <v>0</v>
      </c>
      <c r="H404" s="90">
        <v>417858.79830335197</v>
      </c>
      <c r="I404" s="90">
        <v>0</v>
      </c>
      <c r="J404" s="90">
        <v>0</v>
      </c>
      <c r="K404" s="90">
        <v>0</v>
      </c>
      <c r="L404" s="90">
        <v>19972.555941531253</v>
      </c>
      <c r="M404" s="90">
        <v>0</v>
      </c>
      <c r="N404" s="90">
        <v>309215.51074448047</v>
      </c>
      <c r="O404" s="90">
        <v>0</v>
      </c>
      <c r="P404" s="90">
        <v>0</v>
      </c>
      <c r="Q404" s="90">
        <v>0</v>
      </c>
      <c r="R404" s="90">
        <v>113741.12195121951</v>
      </c>
    </row>
    <row r="405" spans="1:18">
      <c r="A405" s="90" t="s">
        <v>75</v>
      </c>
      <c r="B405" s="90" t="s">
        <v>951</v>
      </c>
      <c r="C405" s="90" t="str">
        <f t="shared" si="6"/>
        <v>ElimWarehousing</v>
      </c>
      <c r="D405" s="90">
        <v>5</v>
      </c>
      <c r="E405" s="90">
        <v>7638.5661764705883</v>
      </c>
      <c r="F405" s="90">
        <v>12353.44267828438</v>
      </c>
      <c r="G405" s="90">
        <v>0</v>
      </c>
      <c r="H405" s="90">
        <v>260015.38304522334</v>
      </c>
      <c r="I405" s="90">
        <v>0</v>
      </c>
      <c r="J405" s="90">
        <v>0</v>
      </c>
      <c r="K405" s="90">
        <v>0</v>
      </c>
      <c r="L405" s="90">
        <v>9141.5475819304411</v>
      </c>
      <c r="M405" s="90">
        <v>0</v>
      </c>
      <c r="N405" s="90">
        <v>192411.38345346524</v>
      </c>
      <c r="O405" s="90">
        <v>0</v>
      </c>
      <c r="P405" s="90">
        <v>0</v>
      </c>
      <c r="Q405" s="90">
        <v>0</v>
      </c>
      <c r="R405" s="90">
        <v>53469.963235294119</v>
      </c>
    </row>
    <row r="406" spans="1:18">
      <c r="A406" s="90" t="s">
        <v>76</v>
      </c>
      <c r="B406" s="90" t="s">
        <v>1447</v>
      </c>
      <c r="C406" s="90" t="str">
        <f t="shared" si="6"/>
        <v>EmmonakAccomodation Services</v>
      </c>
      <c r="D406" s="90">
        <v>3</v>
      </c>
      <c r="E406" s="90">
        <v>6610</v>
      </c>
      <c r="F406" s="90">
        <v>6191.8166607969542</v>
      </c>
      <c r="G406" s="90">
        <v>0</v>
      </c>
      <c r="H406" s="90">
        <v>111124.29247854918</v>
      </c>
      <c r="I406" s="90">
        <v>0</v>
      </c>
      <c r="J406" s="90">
        <v>0</v>
      </c>
      <c r="K406" s="90">
        <v>0</v>
      </c>
      <c r="L406" s="90">
        <v>4581.9443289897463</v>
      </c>
      <c r="M406" s="90">
        <v>0</v>
      </c>
      <c r="N406" s="90">
        <v>82231.976434126394</v>
      </c>
      <c r="O406" s="90">
        <v>0</v>
      </c>
      <c r="P406" s="90">
        <v>0</v>
      </c>
      <c r="Q406" s="90">
        <v>0</v>
      </c>
      <c r="R406" s="90">
        <v>46270</v>
      </c>
    </row>
    <row r="407" spans="1:18">
      <c r="A407" s="90" t="s">
        <v>76</v>
      </c>
      <c r="B407" s="90" t="s">
        <v>1439</v>
      </c>
      <c r="C407" s="90" t="str">
        <f t="shared" si="6"/>
        <v>EmmonakEducation - K - 12</v>
      </c>
      <c r="D407" s="90">
        <v>4</v>
      </c>
      <c r="E407" s="90">
        <v>96534.447914438497</v>
      </c>
      <c r="F407" s="90">
        <v>70917.207679227256</v>
      </c>
      <c r="G407" s="90">
        <v>0</v>
      </c>
      <c r="H407" s="90">
        <v>683533.57155385707</v>
      </c>
      <c r="I407" s="90">
        <v>0</v>
      </c>
      <c r="J407" s="90">
        <v>0</v>
      </c>
      <c r="K407" s="90">
        <v>0</v>
      </c>
      <c r="L407" s="90">
        <v>52478.733682628168</v>
      </c>
      <c r="M407" s="90">
        <v>0</v>
      </c>
      <c r="N407" s="90">
        <v>505814.84294985427</v>
      </c>
      <c r="O407" s="90">
        <v>0</v>
      </c>
      <c r="P407" s="90">
        <v>0</v>
      </c>
      <c r="Q407" s="90">
        <v>0</v>
      </c>
      <c r="R407" s="90">
        <v>675741.13540106954</v>
      </c>
    </row>
    <row r="408" spans="1:18">
      <c r="A408" s="90" t="s">
        <v>76</v>
      </c>
      <c r="B408" s="90" t="s">
        <v>665</v>
      </c>
      <c r="C408" s="90" t="str">
        <f t="shared" si="6"/>
        <v>EmmonakOffice</v>
      </c>
      <c r="D408" s="90">
        <v>7</v>
      </c>
      <c r="E408" s="90">
        <v>31102.169064748203</v>
      </c>
      <c r="F408" s="90">
        <v>21189.57204263725</v>
      </c>
      <c r="G408" s="90">
        <v>0</v>
      </c>
      <c r="H408" s="90">
        <v>370179.99067630491</v>
      </c>
      <c r="I408" s="90">
        <v>0</v>
      </c>
      <c r="J408" s="90">
        <v>0</v>
      </c>
      <c r="K408" s="90">
        <v>0</v>
      </c>
      <c r="L408" s="90">
        <v>15680.283311551568</v>
      </c>
      <c r="M408" s="90">
        <v>0</v>
      </c>
      <c r="N408" s="90">
        <v>273933.19310046564</v>
      </c>
      <c r="O408" s="90">
        <v>0</v>
      </c>
      <c r="P408" s="90">
        <v>0</v>
      </c>
      <c r="Q408" s="90">
        <v>0</v>
      </c>
      <c r="R408" s="90">
        <v>217715.18345323741</v>
      </c>
    </row>
    <row r="409" spans="1:18">
      <c r="A409" s="90" t="s">
        <v>76</v>
      </c>
      <c r="B409" s="90" t="s">
        <v>643</v>
      </c>
      <c r="C409" s="90" t="str">
        <f t="shared" si="6"/>
        <v>EmmonakOther</v>
      </c>
      <c r="D409" s="90">
        <v>4</v>
      </c>
      <c r="E409" s="90">
        <v>12977.381679389313</v>
      </c>
      <c r="F409" s="90">
        <v>14500.808538833278</v>
      </c>
      <c r="G409" s="90">
        <v>0</v>
      </c>
      <c r="H409" s="90">
        <v>99389.930760715273</v>
      </c>
      <c r="I409" s="90">
        <v>0</v>
      </c>
      <c r="J409" s="90">
        <v>0</v>
      </c>
      <c r="K409" s="90">
        <v>0</v>
      </c>
      <c r="L409" s="90">
        <v>10730.598318736626</v>
      </c>
      <c r="M409" s="90">
        <v>0</v>
      </c>
      <c r="N409" s="90">
        <v>73548.548762929306</v>
      </c>
      <c r="O409" s="90">
        <v>0</v>
      </c>
      <c r="P409" s="90">
        <v>0</v>
      </c>
      <c r="Q409" s="90">
        <v>0</v>
      </c>
      <c r="R409" s="90">
        <v>90841.671755725198</v>
      </c>
    </row>
    <row r="410" spans="1:18">
      <c r="A410" s="90" t="s">
        <v>76</v>
      </c>
      <c r="B410" s="90" t="s">
        <v>1227</v>
      </c>
      <c r="C410" s="90" t="str">
        <f t="shared" si="6"/>
        <v>EmmonakPublic Assembly</v>
      </c>
      <c r="D410" s="90">
        <v>1</v>
      </c>
      <c r="E410" s="90">
        <v>8245</v>
      </c>
      <c r="F410" s="90">
        <v>2376.3372262773723</v>
      </c>
      <c r="G410" s="90">
        <v>0</v>
      </c>
      <c r="H410" s="90">
        <v>28736.758628499996</v>
      </c>
      <c r="I410" s="90">
        <v>0</v>
      </c>
      <c r="J410" s="90">
        <v>0</v>
      </c>
      <c r="K410" s="90">
        <v>0</v>
      </c>
      <c r="L410" s="90">
        <v>1758.4895474452555</v>
      </c>
      <c r="M410" s="90">
        <v>0</v>
      </c>
      <c r="N410" s="90">
        <v>21265.201385089997</v>
      </c>
      <c r="O410" s="90">
        <v>0</v>
      </c>
      <c r="P410" s="90">
        <v>0</v>
      </c>
      <c r="Q410" s="90">
        <v>0</v>
      </c>
      <c r="R410" s="90">
        <v>57715</v>
      </c>
    </row>
    <row r="411" spans="1:18">
      <c r="A411" s="90" t="s">
        <v>76</v>
      </c>
      <c r="B411" s="90" t="s">
        <v>1475</v>
      </c>
      <c r="C411" s="90" t="str">
        <f t="shared" si="6"/>
        <v>EmmonakPublic Safety</v>
      </c>
      <c r="D411" s="90">
        <v>3</v>
      </c>
      <c r="E411" s="90">
        <v>7732.4089393939394</v>
      </c>
      <c r="F411" s="90">
        <v>3139.3718657091358</v>
      </c>
      <c r="G411" s="90">
        <v>0</v>
      </c>
      <c r="H411" s="90">
        <v>54763.510849697239</v>
      </c>
      <c r="I411" s="90">
        <v>0</v>
      </c>
      <c r="J411" s="90">
        <v>0</v>
      </c>
      <c r="K411" s="90">
        <v>0</v>
      </c>
      <c r="L411" s="90">
        <v>2323.1351806247603</v>
      </c>
      <c r="M411" s="90">
        <v>0</v>
      </c>
      <c r="N411" s="90">
        <v>40524.998028775954</v>
      </c>
      <c r="O411" s="90">
        <v>0</v>
      </c>
      <c r="P411" s="90">
        <v>0</v>
      </c>
      <c r="Q411" s="90">
        <v>0</v>
      </c>
      <c r="R411" s="90">
        <v>54126.862575757579</v>
      </c>
    </row>
    <row r="412" spans="1:18">
      <c r="A412" s="90" t="s">
        <v>76</v>
      </c>
      <c r="B412" s="90" t="s">
        <v>1442</v>
      </c>
      <c r="C412" s="90" t="str">
        <f t="shared" si="6"/>
        <v>EmmonakResidential - Multi-Family</v>
      </c>
      <c r="D412" s="90">
        <v>1</v>
      </c>
      <c r="E412" s="90">
        <v>1620</v>
      </c>
      <c r="F412" s="90">
        <v>1657.3849720910264</v>
      </c>
      <c r="G412" s="90">
        <v>0</v>
      </c>
      <c r="H412" s="90">
        <v>4972.2447497999992</v>
      </c>
      <c r="I412" s="90">
        <v>0</v>
      </c>
      <c r="J412" s="90">
        <v>0</v>
      </c>
      <c r="K412" s="90">
        <v>0</v>
      </c>
      <c r="L412" s="90">
        <v>1226.4648793473596</v>
      </c>
      <c r="M412" s="90">
        <v>0</v>
      </c>
      <c r="N412" s="90">
        <v>3679.4611148519994</v>
      </c>
      <c r="O412" s="90">
        <v>0</v>
      </c>
      <c r="P412" s="90">
        <v>0</v>
      </c>
      <c r="Q412" s="90">
        <v>0</v>
      </c>
      <c r="R412" s="90">
        <v>11340</v>
      </c>
    </row>
    <row r="413" spans="1:18">
      <c r="A413" s="90" t="s">
        <v>76</v>
      </c>
      <c r="B413" s="90" t="s">
        <v>1485</v>
      </c>
      <c r="C413" s="90" t="str">
        <f t="shared" si="6"/>
        <v>EmmonakRetail - Other</v>
      </c>
      <c r="D413" s="90">
        <v>1</v>
      </c>
      <c r="E413" s="90">
        <v>11286</v>
      </c>
      <c r="F413" s="90">
        <v>18746.59964455213</v>
      </c>
      <c r="G413" s="90">
        <v>0</v>
      </c>
      <c r="H413" s="90">
        <v>275357.85104343598</v>
      </c>
      <c r="I413" s="90">
        <v>0</v>
      </c>
      <c r="J413" s="90">
        <v>0</v>
      </c>
      <c r="K413" s="90">
        <v>0</v>
      </c>
      <c r="L413" s="90">
        <v>13872.483736968576</v>
      </c>
      <c r="M413" s="90">
        <v>0</v>
      </c>
      <c r="N413" s="90">
        <v>203764.80977214262</v>
      </c>
      <c r="O413" s="90">
        <v>0</v>
      </c>
      <c r="P413" s="90">
        <v>0</v>
      </c>
      <c r="Q413" s="90">
        <v>0</v>
      </c>
      <c r="R413" s="90">
        <v>79002</v>
      </c>
    </row>
    <row r="414" spans="1:18">
      <c r="A414" s="90" t="s">
        <v>76</v>
      </c>
      <c r="B414" s="90" t="s">
        <v>951</v>
      </c>
      <c r="C414" s="90" t="str">
        <f t="shared" si="6"/>
        <v>EmmonakWarehousing</v>
      </c>
      <c r="D414" s="90">
        <v>2</v>
      </c>
      <c r="E414" s="90">
        <v>4326.5661764705883</v>
      </c>
      <c r="F414" s="90">
        <v>7551.1277132108844</v>
      </c>
      <c r="G414" s="90">
        <v>0</v>
      </c>
      <c r="H414" s="90">
        <v>198237.71133522911</v>
      </c>
      <c r="I414" s="90">
        <v>0</v>
      </c>
      <c r="J414" s="90">
        <v>0</v>
      </c>
      <c r="K414" s="90">
        <v>0</v>
      </c>
      <c r="L414" s="90">
        <v>5587.8345077760541</v>
      </c>
      <c r="M414" s="90">
        <v>0</v>
      </c>
      <c r="N414" s="90">
        <v>146695.90638806953</v>
      </c>
      <c r="O414" s="90">
        <v>0</v>
      </c>
      <c r="P414" s="90">
        <v>0</v>
      </c>
      <c r="Q414" s="90">
        <v>0</v>
      </c>
      <c r="R414" s="90">
        <v>30285.963235294119</v>
      </c>
    </row>
    <row r="415" spans="1:18">
      <c r="A415" s="90" t="s">
        <v>1010</v>
      </c>
      <c r="B415" s="90" t="s">
        <v>1440</v>
      </c>
      <c r="C415" s="90" t="str">
        <f t="shared" si="6"/>
        <v>EvansvilleHealth Care - Hospitals</v>
      </c>
      <c r="D415" s="90">
        <v>1</v>
      </c>
      <c r="E415" s="90">
        <v>480</v>
      </c>
      <c r="F415" s="90">
        <v>334.54720156257696</v>
      </c>
      <c r="G415" s="90">
        <v>0</v>
      </c>
      <c r="H415" s="90">
        <v>3610.7670241526753</v>
      </c>
      <c r="I415" s="90">
        <v>0</v>
      </c>
      <c r="J415" s="90">
        <v>0</v>
      </c>
      <c r="K415" s="90">
        <v>0</v>
      </c>
      <c r="L415" s="90">
        <v>247.56492915630696</v>
      </c>
      <c r="M415" s="90">
        <v>0</v>
      </c>
      <c r="N415" s="90">
        <v>2671.9675978729797</v>
      </c>
      <c r="O415" s="90">
        <v>0</v>
      </c>
      <c r="P415" s="90">
        <v>0</v>
      </c>
      <c r="Q415" s="90">
        <v>0</v>
      </c>
      <c r="R415" s="90">
        <v>3360</v>
      </c>
    </row>
    <row r="416" spans="1:18">
      <c r="A416" s="90" t="s">
        <v>1010</v>
      </c>
      <c r="B416" s="90" t="s">
        <v>665</v>
      </c>
      <c r="C416" s="90" t="str">
        <f t="shared" si="6"/>
        <v>EvansvilleOffice</v>
      </c>
      <c r="D416" s="90">
        <v>1</v>
      </c>
      <c r="E416" s="90">
        <v>1950</v>
      </c>
      <c r="F416" s="90">
        <v>2594.7934373085809</v>
      </c>
      <c r="G416" s="90">
        <v>0</v>
      </c>
      <c r="H416" s="90">
        <v>15631.258964116098</v>
      </c>
      <c r="I416" s="90">
        <v>0</v>
      </c>
      <c r="J416" s="90">
        <v>0</v>
      </c>
      <c r="K416" s="90">
        <v>0</v>
      </c>
      <c r="L416" s="90">
        <v>1920.1471436083498</v>
      </c>
      <c r="M416" s="90">
        <v>0</v>
      </c>
      <c r="N416" s="90">
        <v>11567.131633445912</v>
      </c>
      <c r="O416" s="90">
        <v>0</v>
      </c>
      <c r="P416" s="90">
        <v>0</v>
      </c>
      <c r="Q416" s="90">
        <v>0</v>
      </c>
      <c r="R416" s="90">
        <v>13650</v>
      </c>
    </row>
    <row r="417" spans="1:18">
      <c r="A417" s="90" t="s">
        <v>1010</v>
      </c>
      <c r="B417" s="90" t="s">
        <v>643</v>
      </c>
      <c r="C417" s="90" t="str">
        <f t="shared" si="6"/>
        <v>EvansvilleOther</v>
      </c>
      <c r="D417" s="90">
        <v>2</v>
      </c>
      <c r="E417" s="90">
        <v>1264</v>
      </c>
      <c r="F417" s="90">
        <v>1093.1973817021258</v>
      </c>
      <c r="G417" s="90">
        <v>0</v>
      </c>
      <c r="H417" s="90">
        <v>9199.3764729548584</v>
      </c>
      <c r="I417" s="90">
        <v>0</v>
      </c>
      <c r="J417" s="90">
        <v>0</v>
      </c>
      <c r="K417" s="90">
        <v>0</v>
      </c>
      <c r="L417" s="90">
        <v>808.96606245957321</v>
      </c>
      <c r="M417" s="90">
        <v>0</v>
      </c>
      <c r="N417" s="90">
        <v>6807.538589986596</v>
      </c>
      <c r="O417" s="90">
        <v>0</v>
      </c>
      <c r="P417" s="90">
        <v>0</v>
      </c>
      <c r="Q417" s="90">
        <v>0</v>
      </c>
      <c r="R417" s="90">
        <v>8848</v>
      </c>
    </row>
    <row r="418" spans="1:18">
      <c r="A418" s="90" t="s">
        <v>1373</v>
      </c>
      <c r="B418" s="90" t="s">
        <v>643</v>
      </c>
      <c r="C418" s="90" t="str">
        <f t="shared" si="6"/>
        <v>Excursion InletOther</v>
      </c>
      <c r="D418" s="90">
        <v>1</v>
      </c>
      <c r="E418" s="90">
        <v>2163.9204545454545</v>
      </c>
      <c r="F418" s="90">
        <v>1871.5127967727569</v>
      </c>
      <c r="G418" s="90">
        <v>0</v>
      </c>
      <c r="H418" s="90">
        <v>15748.986486464588</v>
      </c>
      <c r="I418" s="90">
        <v>0</v>
      </c>
      <c r="J418" s="90">
        <v>0</v>
      </c>
      <c r="K418" s="90">
        <v>0</v>
      </c>
      <c r="L418" s="90">
        <v>1384.9194696118402</v>
      </c>
      <c r="M418" s="90">
        <v>0</v>
      </c>
      <c r="N418" s="90">
        <v>11654.249999983795</v>
      </c>
      <c r="O418" s="90">
        <v>0</v>
      </c>
      <c r="P418" s="90">
        <v>0</v>
      </c>
      <c r="Q418" s="90">
        <v>0</v>
      </c>
      <c r="R418" s="90">
        <v>15147.443181818182</v>
      </c>
    </row>
    <row r="419" spans="1:18">
      <c r="A419" s="90" t="s">
        <v>143</v>
      </c>
      <c r="B419" s="90" t="s">
        <v>1439</v>
      </c>
      <c r="C419" s="90" t="str">
        <f t="shared" si="6"/>
        <v>False PassEducation - K - 12</v>
      </c>
      <c r="D419" s="90">
        <v>6</v>
      </c>
      <c r="E419" s="90">
        <v>44971.415555555555</v>
      </c>
      <c r="F419" s="90">
        <v>34200.192673015328</v>
      </c>
      <c r="G419" s="90">
        <v>0</v>
      </c>
      <c r="H419" s="90">
        <v>254063.94162273762</v>
      </c>
      <c r="I419" s="90">
        <v>0</v>
      </c>
      <c r="J419" s="90">
        <v>0</v>
      </c>
      <c r="K419" s="90">
        <v>0</v>
      </c>
      <c r="L419" s="90">
        <v>25308.142578031344</v>
      </c>
      <c r="M419" s="90">
        <v>0</v>
      </c>
      <c r="N419" s="90">
        <v>188007.31680082582</v>
      </c>
      <c r="O419" s="90">
        <v>0</v>
      </c>
      <c r="P419" s="90">
        <v>0</v>
      </c>
      <c r="Q419" s="90">
        <v>0</v>
      </c>
      <c r="R419" s="90">
        <v>314799.90888888889</v>
      </c>
    </row>
    <row r="420" spans="1:18">
      <c r="A420" s="90" t="s">
        <v>143</v>
      </c>
      <c r="B420" s="90" t="s">
        <v>1440</v>
      </c>
      <c r="C420" s="90" t="str">
        <f t="shared" si="6"/>
        <v>False PassHealth Care - Hospitals</v>
      </c>
      <c r="D420" s="90">
        <v>2</v>
      </c>
      <c r="E420" s="90">
        <v>5909</v>
      </c>
      <c r="F420" s="90">
        <v>4118.4154459026395</v>
      </c>
      <c r="G420" s="90">
        <v>0</v>
      </c>
      <c r="H420" s="90">
        <v>45276.334489172361</v>
      </c>
      <c r="I420" s="90">
        <v>0</v>
      </c>
      <c r="J420" s="90">
        <v>0</v>
      </c>
      <c r="K420" s="90">
        <v>0</v>
      </c>
      <c r="L420" s="90">
        <v>3047.6274299679535</v>
      </c>
      <c r="M420" s="90">
        <v>0</v>
      </c>
      <c r="N420" s="90">
        <v>33504.487521987547</v>
      </c>
      <c r="O420" s="90">
        <v>0</v>
      </c>
      <c r="P420" s="90">
        <v>0</v>
      </c>
      <c r="Q420" s="90">
        <v>0</v>
      </c>
      <c r="R420" s="90">
        <v>41363</v>
      </c>
    </row>
    <row r="421" spans="1:18">
      <c r="A421" s="90" t="s">
        <v>143</v>
      </c>
      <c r="B421" s="90" t="s">
        <v>665</v>
      </c>
      <c r="C421" s="90" t="str">
        <f t="shared" si="6"/>
        <v>False PassOffice</v>
      </c>
      <c r="D421" s="90">
        <v>5</v>
      </c>
      <c r="E421" s="90">
        <v>9762.5170068027219</v>
      </c>
      <c r="F421" s="90">
        <v>8454.7028848097143</v>
      </c>
      <c r="G421" s="90">
        <v>0</v>
      </c>
      <c r="H421" s="90">
        <v>56128.962461405434</v>
      </c>
      <c r="I421" s="90">
        <v>0</v>
      </c>
      <c r="J421" s="90">
        <v>0</v>
      </c>
      <c r="K421" s="90">
        <v>0</v>
      </c>
      <c r="L421" s="90">
        <v>6256.4801347591883</v>
      </c>
      <c r="M421" s="90">
        <v>0</v>
      </c>
      <c r="N421" s="90">
        <v>41535.432221440016</v>
      </c>
      <c r="O421" s="90">
        <v>0</v>
      </c>
      <c r="P421" s="90">
        <v>0</v>
      </c>
      <c r="Q421" s="90">
        <v>0</v>
      </c>
      <c r="R421" s="90">
        <v>68337.619047619053</v>
      </c>
    </row>
    <row r="422" spans="1:18">
      <c r="A422" s="90" t="s">
        <v>143</v>
      </c>
      <c r="B422" s="90" t="s">
        <v>643</v>
      </c>
      <c r="C422" s="90" t="str">
        <f t="shared" si="6"/>
        <v>False PassOther</v>
      </c>
      <c r="D422" s="90">
        <v>3</v>
      </c>
      <c r="E422" s="90">
        <v>21200</v>
      </c>
      <c r="F422" s="90">
        <v>14875.787156073231</v>
      </c>
      <c r="G422" s="90">
        <v>3459.4853851333096</v>
      </c>
      <c r="H422" s="90">
        <v>158359.38871425914</v>
      </c>
      <c r="I422" s="90">
        <v>0</v>
      </c>
      <c r="J422" s="90">
        <v>0</v>
      </c>
      <c r="K422" s="90">
        <v>0</v>
      </c>
      <c r="L422" s="90">
        <v>11008.082495494191</v>
      </c>
      <c r="M422" s="90">
        <v>2560.0191849986491</v>
      </c>
      <c r="N422" s="90">
        <v>117185.94764855178</v>
      </c>
      <c r="O422" s="90">
        <v>0</v>
      </c>
      <c r="P422" s="90">
        <v>0</v>
      </c>
      <c r="Q422" s="90">
        <v>0</v>
      </c>
      <c r="R422" s="90">
        <v>148400</v>
      </c>
    </row>
    <row r="423" spans="1:18">
      <c r="A423" s="90" t="s">
        <v>143</v>
      </c>
      <c r="B423" s="90" t="s">
        <v>1227</v>
      </c>
      <c r="C423" s="90" t="str">
        <f t="shared" si="6"/>
        <v>False PassPublic Assembly</v>
      </c>
      <c r="D423" s="90">
        <v>2</v>
      </c>
      <c r="E423" s="90">
        <v>2800</v>
      </c>
      <c r="F423" s="90">
        <v>1747.081225080942</v>
      </c>
      <c r="G423" s="90">
        <v>0</v>
      </c>
      <c r="H423" s="90">
        <v>10098.388475332638</v>
      </c>
      <c r="I423" s="90">
        <v>0</v>
      </c>
      <c r="J423" s="90">
        <v>0</v>
      </c>
      <c r="K423" s="90">
        <v>0</v>
      </c>
      <c r="L423" s="90">
        <v>1292.8401065598971</v>
      </c>
      <c r="M423" s="90">
        <v>0</v>
      </c>
      <c r="N423" s="90">
        <v>7472.8074717461514</v>
      </c>
      <c r="O423" s="90">
        <v>0</v>
      </c>
      <c r="P423" s="90">
        <v>0</v>
      </c>
      <c r="Q423" s="90">
        <v>0</v>
      </c>
      <c r="R423" s="90">
        <v>19600</v>
      </c>
    </row>
    <row r="424" spans="1:18">
      <c r="A424" s="90" t="s">
        <v>143</v>
      </c>
      <c r="B424" s="90" t="s">
        <v>1475</v>
      </c>
      <c r="C424" s="90" t="str">
        <f t="shared" si="6"/>
        <v>False PassPublic Safety</v>
      </c>
      <c r="D424" s="90">
        <v>3</v>
      </c>
      <c r="E424" s="90">
        <v>12214</v>
      </c>
      <c r="F424" s="90">
        <v>11876.586465541734</v>
      </c>
      <c r="G424" s="90">
        <v>0</v>
      </c>
      <c r="H424" s="90">
        <v>98572.434382722524</v>
      </c>
      <c r="I424" s="90">
        <v>0</v>
      </c>
      <c r="J424" s="90">
        <v>0</v>
      </c>
      <c r="K424" s="90">
        <v>0</v>
      </c>
      <c r="L424" s="90">
        <v>8788.6739845008815</v>
      </c>
      <c r="M424" s="90">
        <v>0</v>
      </c>
      <c r="N424" s="90">
        <v>72943.601443214662</v>
      </c>
      <c r="O424" s="90">
        <v>0</v>
      </c>
      <c r="P424" s="90">
        <v>0</v>
      </c>
      <c r="Q424" s="90">
        <v>0</v>
      </c>
      <c r="R424" s="90">
        <v>85498</v>
      </c>
    </row>
    <row r="425" spans="1:18">
      <c r="A425" s="90" t="s">
        <v>143</v>
      </c>
      <c r="B425" s="90" t="s">
        <v>1442</v>
      </c>
      <c r="C425" s="90" t="str">
        <f t="shared" si="6"/>
        <v>False PassResidential - Multi-Family</v>
      </c>
      <c r="D425" s="90">
        <v>1</v>
      </c>
      <c r="E425" s="90">
        <v>6800</v>
      </c>
      <c r="F425" s="90">
        <v>5137.5539777011309</v>
      </c>
      <c r="G425" s="90">
        <v>0</v>
      </c>
      <c r="H425" s="90">
        <v>35604.652980415871</v>
      </c>
      <c r="I425" s="90">
        <v>0</v>
      </c>
      <c r="J425" s="90">
        <v>0</v>
      </c>
      <c r="K425" s="90">
        <v>0</v>
      </c>
      <c r="L425" s="90">
        <v>3801.7899434988367</v>
      </c>
      <c r="M425" s="90">
        <v>0</v>
      </c>
      <c r="N425" s="90">
        <v>26347.443205507745</v>
      </c>
      <c r="O425" s="90">
        <v>0</v>
      </c>
      <c r="P425" s="90">
        <v>0</v>
      </c>
      <c r="Q425" s="90">
        <v>0</v>
      </c>
      <c r="R425" s="90">
        <v>47600</v>
      </c>
    </row>
    <row r="426" spans="1:18">
      <c r="A426" s="90" t="s">
        <v>143</v>
      </c>
      <c r="B426" s="90" t="s">
        <v>1485</v>
      </c>
      <c r="C426" s="90" t="str">
        <f t="shared" si="6"/>
        <v>False PassRetail - Other</v>
      </c>
      <c r="D426" s="90">
        <v>2</v>
      </c>
      <c r="E426" s="90">
        <v>4210.5600000000004</v>
      </c>
      <c r="F426" s="90">
        <v>4451.563942857143</v>
      </c>
      <c r="G426" s="90">
        <v>0</v>
      </c>
      <c r="H426" s="90">
        <v>5798</v>
      </c>
      <c r="I426" s="90">
        <v>0</v>
      </c>
      <c r="J426" s="90">
        <v>0</v>
      </c>
      <c r="K426" s="90">
        <v>0</v>
      </c>
      <c r="L426" s="90">
        <v>3294.1573177142859</v>
      </c>
      <c r="M426" s="90">
        <v>0</v>
      </c>
      <c r="N426" s="90">
        <v>4290.5200000000004</v>
      </c>
      <c r="O426" s="90">
        <v>0</v>
      </c>
      <c r="P426" s="90">
        <v>0</v>
      </c>
      <c r="Q426" s="90">
        <v>0</v>
      </c>
      <c r="R426" s="90">
        <v>29473.920000000002</v>
      </c>
    </row>
    <row r="427" spans="1:18">
      <c r="A427" s="90" t="s">
        <v>143</v>
      </c>
      <c r="B427" s="90" t="s">
        <v>951</v>
      </c>
      <c r="C427" s="90" t="str">
        <f t="shared" si="6"/>
        <v>False PassWarehousing</v>
      </c>
      <c r="D427" s="90">
        <v>2</v>
      </c>
      <c r="E427" s="90">
        <v>2887.9572649572647</v>
      </c>
      <c r="F427" s="90">
        <v>3620.1422448370777</v>
      </c>
      <c r="G427" s="90">
        <v>0</v>
      </c>
      <c r="H427" s="90">
        <v>7793.5535184999999</v>
      </c>
      <c r="I427" s="90">
        <v>0</v>
      </c>
      <c r="J427" s="90">
        <v>0</v>
      </c>
      <c r="K427" s="90">
        <v>0</v>
      </c>
      <c r="L427" s="90">
        <v>2678.9052611794373</v>
      </c>
      <c r="M427" s="90">
        <v>0</v>
      </c>
      <c r="N427" s="90">
        <v>5767.2296036899997</v>
      </c>
      <c r="O427" s="90">
        <v>0</v>
      </c>
      <c r="P427" s="90">
        <v>0</v>
      </c>
      <c r="Q427" s="90">
        <v>0</v>
      </c>
      <c r="R427" s="90">
        <v>20215.700854700852</v>
      </c>
    </row>
    <row r="428" spans="1:18" s="46" customFormat="1">
      <c r="A428" s="90" t="s">
        <v>17</v>
      </c>
      <c r="B428" s="90" t="s">
        <v>1439</v>
      </c>
      <c r="C428" s="90" t="str">
        <f t="shared" si="6"/>
        <v>Fort YukonEducation - K - 12</v>
      </c>
      <c r="D428" s="90">
        <v>1</v>
      </c>
      <c r="E428" s="90">
        <v>20928.223957219252</v>
      </c>
      <c r="F428" s="90">
        <v>15374.524191063529</v>
      </c>
      <c r="G428" s="90">
        <v>0</v>
      </c>
      <c r="H428" s="90">
        <v>148186.93198966826</v>
      </c>
      <c r="I428" s="90">
        <v>0</v>
      </c>
      <c r="J428" s="90">
        <v>0</v>
      </c>
      <c r="K428" s="90">
        <v>0</v>
      </c>
      <c r="L428" s="90">
        <v>11377.14790138701</v>
      </c>
      <c r="M428" s="90">
        <v>0</v>
      </c>
      <c r="N428" s="90">
        <v>109658.32967235451</v>
      </c>
      <c r="O428" s="90">
        <v>0</v>
      </c>
      <c r="P428" s="90">
        <v>0</v>
      </c>
      <c r="Q428" s="90">
        <v>0</v>
      </c>
      <c r="R428" s="90">
        <v>146497.56770053477</v>
      </c>
    </row>
    <row r="429" spans="1:18" s="46" customFormat="1">
      <c r="A429" s="90" t="s">
        <v>17</v>
      </c>
      <c r="B429" s="90" t="s">
        <v>1440</v>
      </c>
      <c r="C429" s="90" t="str">
        <f t="shared" si="6"/>
        <v>Fort YukonHealth Care - Hospitals</v>
      </c>
      <c r="D429" s="90">
        <v>2</v>
      </c>
      <c r="E429" s="90">
        <v>7811.1850000000004</v>
      </c>
      <c r="F429" s="90">
        <v>4937.2586145918349</v>
      </c>
      <c r="G429" s="90">
        <v>0</v>
      </c>
      <c r="H429" s="90">
        <v>68861.944119774213</v>
      </c>
      <c r="I429" s="90">
        <v>0</v>
      </c>
      <c r="J429" s="90">
        <v>0</v>
      </c>
      <c r="K429" s="90">
        <v>0</v>
      </c>
      <c r="L429" s="90">
        <v>3653.5713747979576</v>
      </c>
      <c r="M429" s="90">
        <v>0</v>
      </c>
      <c r="N429" s="90">
        <v>50957.838648632918</v>
      </c>
      <c r="O429" s="90">
        <v>0</v>
      </c>
      <c r="P429" s="90">
        <v>0</v>
      </c>
      <c r="Q429" s="90">
        <v>0</v>
      </c>
      <c r="R429" s="90">
        <v>54678.295000000006</v>
      </c>
    </row>
    <row r="430" spans="1:18" s="46" customFormat="1">
      <c r="A430" s="90" t="s">
        <v>17</v>
      </c>
      <c r="B430" s="90" t="s">
        <v>665</v>
      </c>
      <c r="C430" s="90" t="str">
        <f t="shared" si="6"/>
        <v>Fort YukonOffice</v>
      </c>
      <c r="D430" s="90">
        <v>5</v>
      </c>
      <c r="E430" s="90">
        <v>14808.676258992804</v>
      </c>
      <c r="F430" s="90">
        <v>12327.491037724194</v>
      </c>
      <c r="G430" s="90">
        <v>0</v>
      </c>
      <c r="H430" s="90">
        <v>84019.369964769983</v>
      </c>
      <c r="I430" s="90">
        <v>0</v>
      </c>
      <c r="J430" s="90">
        <v>0</v>
      </c>
      <c r="K430" s="90">
        <v>0</v>
      </c>
      <c r="L430" s="90">
        <v>9122.3433679159043</v>
      </c>
      <c r="M430" s="90">
        <v>0</v>
      </c>
      <c r="N430" s="90">
        <v>62174.3337739298</v>
      </c>
      <c r="O430" s="90">
        <v>0</v>
      </c>
      <c r="P430" s="90">
        <v>0</v>
      </c>
      <c r="Q430" s="90">
        <v>0</v>
      </c>
      <c r="R430" s="90">
        <v>103660.73381294963</v>
      </c>
    </row>
    <row r="431" spans="1:18" s="46" customFormat="1">
      <c r="A431" s="90" t="s">
        <v>17</v>
      </c>
      <c r="B431" s="90" t="s">
        <v>643</v>
      </c>
      <c r="C431" s="90" t="str">
        <f t="shared" si="6"/>
        <v>Fort YukonOther</v>
      </c>
      <c r="D431" s="90">
        <v>18</v>
      </c>
      <c r="E431" s="90">
        <v>79738.290076335863</v>
      </c>
      <c r="F431" s="90">
        <v>84747.033282453165</v>
      </c>
      <c r="G431" s="90">
        <v>0</v>
      </c>
      <c r="H431" s="90">
        <v>591900.77639321866</v>
      </c>
      <c r="I431" s="90">
        <v>0</v>
      </c>
      <c r="J431" s="90">
        <v>0</v>
      </c>
      <c r="K431" s="90">
        <v>0</v>
      </c>
      <c r="L431" s="90">
        <v>62712.804629015351</v>
      </c>
      <c r="M431" s="90">
        <v>0</v>
      </c>
      <c r="N431" s="90">
        <v>438006.57453098189</v>
      </c>
      <c r="O431" s="90">
        <v>0</v>
      </c>
      <c r="P431" s="90">
        <v>0</v>
      </c>
      <c r="Q431" s="90">
        <v>0</v>
      </c>
      <c r="R431" s="90">
        <v>558168.03053435113</v>
      </c>
    </row>
    <row r="432" spans="1:18" s="46" customFormat="1">
      <c r="A432" s="90" t="s">
        <v>17</v>
      </c>
      <c r="B432" s="90" t="s">
        <v>1227</v>
      </c>
      <c r="C432" s="90" t="str">
        <f t="shared" si="6"/>
        <v>Fort YukonPublic Assembly</v>
      </c>
      <c r="D432" s="90">
        <v>10</v>
      </c>
      <c r="E432" s="90">
        <v>33691.384269662922</v>
      </c>
      <c r="F432" s="90">
        <v>23301.311538553186</v>
      </c>
      <c r="G432" s="90">
        <v>0</v>
      </c>
      <c r="H432" s="90">
        <v>156221.07081662698</v>
      </c>
      <c r="I432" s="90">
        <v>0</v>
      </c>
      <c r="J432" s="90">
        <v>0</v>
      </c>
      <c r="K432" s="90">
        <v>0</v>
      </c>
      <c r="L432" s="90">
        <v>17242.970538529356</v>
      </c>
      <c r="M432" s="90">
        <v>0</v>
      </c>
      <c r="N432" s="90">
        <v>115603.59240430396</v>
      </c>
      <c r="O432" s="90">
        <v>0</v>
      </c>
      <c r="P432" s="90">
        <v>0</v>
      </c>
      <c r="Q432" s="90">
        <v>0</v>
      </c>
      <c r="R432" s="90">
        <v>235839.68988764044</v>
      </c>
    </row>
    <row r="433" spans="1:18">
      <c r="A433" s="90" t="s">
        <v>17</v>
      </c>
      <c r="B433" s="90" t="s">
        <v>1485</v>
      </c>
      <c r="C433" s="90" t="str">
        <f t="shared" si="6"/>
        <v>Fort YukonRetail - Other</v>
      </c>
      <c r="D433" s="90">
        <v>2</v>
      </c>
      <c r="E433" s="90">
        <v>16193.365853658535</v>
      </c>
      <c r="F433" s="90">
        <v>26897.975062581758</v>
      </c>
      <c r="G433" s="90">
        <v>0</v>
      </c>
      <c r="H433" s="90">
        <v>395088.6427984733</v>
      </c>
      <c r="I433" s="90">
        <v>0</v>
      </c>
      <c r="J433" s="90">
        <v>0</v>
      </c>
      <c r="K433" s="90">
        <v>0</v>
      </c>
      <c r="L433" s="90">
        <v>19904.501546310501</v>
      </c>
      <c r="M433" s="90">
        <v>0</v>
      </c>
      <c r="N433" s="90">
        <v>292365.59567087021</v>
      </c>
      <c r="O433" s="90">
        <v>0</v>
      </c>
      <c r="P433" s="90">
        <v>0</v>
      </c>
      <c r="Q433" s="90">
        <v>0</v>
      </c>
      <c r="R433" s="90">
        <v>113353.56097560975</v>
      </c>
    </row>
    <row r="434" spans="1:18">
      <c r="A434" s="90" t="s">
        <v>17</v>
      </c>
      <c r="B434" s="90" t="s">
        <v>951</v>
      </c>
      <c r="C434" s="90" t="str">
        <f t="shared" si="6"/>
        <v>Fort YukonWarehousing</v>
      </c>
      <c r="D434" s="90">
        <v>3</v>
      </c>
      <c r="E434" s="90">
        <v>5302.5661764705883</v>
      </c>
      <c r="F434" s="90">
        <v>9254.5341439674448</v>
      </c>
      <c r="G434" s="90">
        <v>0</v>
      </c>
      <c r="H434" s="90">
        <v>242956.77915288944</v>
      </c>
      <c r="I434" s="90">
        <v>0</v>
      </c>
      <c r="J434" s="90">
        <v>0</v>
      </c>
      <c r="K434" s="90">
        <v>0</v>
      </c>
      <c r="L434" s="90">
        <v>6848.3552665359084</v>
      </c>
      <c r="M434" s="90">
        <v>0</v>
      </c>
      <c r="N434" s="90">
        <v>179788.01657313819</v>
      </c>
      <c r="O434" s="90">
        <v>0</v>
      </c>
      <c r="P434" s="90">
        <v>0</v>
      </c>
      <c r="Q434" s="90">
        <v>0</v>
      </c>
      <c r="R434" s="90">
        <v>37117.963235294119</v>
      </c>
    </row>
    <row r="435" spans="1:18">
      <c r="A435" s="90" t="s">
        <v>1012</v>
      </c>
      <c r="B435" s="90" t="s">
        <v>1447</v>
      </c>
      <c r="C435" s="90" t="str">
        <f t="shared" si="6"/>
        <v>GakonaAccomodation Services</v>
      </c>
      <c r="D435" s="90">
        <v>1</v>
      </c>
      <c r="E435" s="90">
        <v>5900</v>
      </c>
      <c r="F435" s="90">
        <v>2411</v>
      </c>
      <c r="G435" s="90">
        <v>0</v>
      </c>
      <c r="H435" s="90">
        <v>43288.847117794488</v>
      </c>
      <c r="I435" s="90">
        <v>0</v>
      </c>
      <c r="J435" s="90">
        <v>0</v>
      </c>
      <c r="K435" s="90">
        <v>0</v>
      </c>
      <c r="L435" s="90">
        <v>1784.1399999999999</v>
      </c>
      <c r="M435" s="90">
        <v>0</v>
      </c>
      <c r="N435" s="90">
        <v>32033.74686716792</v>
      </c>
      <c r="O435" s="90">
        <v>0</v>
      </c>
      <c r="P435" s="90">
        <v>0</v>
      </c>
      <c r="Q435" s="90">
        <v>0</v>
      </c>
      <c r="R435" s="90">
        <v>41300</v>
      </c>
    </row>
    <row r="436" spans="1:18">
      <c r="A436" s="90" t="s">
        <v>1012</v>
      </c>
      <c r="B436" s="90" t="s">
        <v>1439</v>
      </c>
      <c r="C436" s="90" t="str">
        <f t="shared" si="6"/>
        <v>GakonaEducation - K - 12</v>
      </c>
      <c r="D436" s="90">
        <v>1</v>
      </c>
      <c r="E436" s="90">
        <v>6663</v>
      </c>
      <c r="F436" s="90">
        <v>5648.6544903650001</v>
      </c>
      <c r="G436" s="90">
        <v>0</v>
      </c>
      <c r="H436" s="90">
        <v>43298.931583788872</v>
      </c>
      <c r="I436" s="90">
        <v>0</v>
      </c>
      <c r="J436" s="90">
        <v>0</v>
      </c>
      <c r="K436" s="90">
        <v>0</v>
      </c>
      <c r="L436" s="90">
        <v>4180.0043228700997</v>
      </c>
      <c r="M436" s="90">
        <v>0</v>
      </c>
      <c r="N436" s="90">
        <v>32041.209372003763</v>
      </c>
      <c r="O436" s="90">
        <v>0</v>
      </c>
      <c r="P436" s="90">
        <v>0</v>
      </c>
      <c r="Q436" s="90">
        <v>0</v>
      </c>
      <c r="R436" s="90">
        <v>46641</v>
      </c>
    </row>
    <row r="437" spans="1:18">
      <c r="A437" s="90" t="s">
        <v>1012</v>
      </c>
      <c r="B437" s="90" t="s">
        <v>1469</v>
      </c>
      <c r="C437" s="90" t="str">
        <f t="shared" si="6"/>
        <v>GakonaFood Service and Drinking Places</v>
      </c>
      <c r="D437" s="90">
        <v>2</v>
      </c>
      <c r="E437" s="90">
        <v>2350</v>
      </c>
      <c r="F437" s="90">
        <v>1204</v>
      </c>
      <c r="G437" s="90">
        <v>0</v>
      </c>
      <c r="H437" s="90">
        <v>6292.9876609224621</v>
      </c>
      <c r="I437" s="90">
        <v>0</v>
      </c>
      <c r="J437" s="90">
        <v>0</v>
      </c>
      <c r="K437" s="90">
        <v>0</v>
      </c>
      <c r="L437" s="90">
        <v>890.96</v>
      </c>
      <c r="M437" s="90">
        <v>0</v>
      </c>
      <c r="N437" s="90">
        <v>4656.810869082622</v>
      </c>
      <c r="O437" s="90">
        <v>0</v>
      </c>
      <c r="P437" s="90">
        <v>0</v>
      </c>
      <c r="Q437" s="90">
        <v>0</v>
      </c>
      <c r="R437" s="90">
        <v>16450</v>
      </c>
    </row>
    <row r="438" spans="1:18">
      <c r="A438" s="90" t="s">
        <v>1012</v>
      </c>
      <c r="B438" s="90" t="s">
        <v>665</v>
      </c>
      <c r="C438" s="90" t="str">
        <f t="shared" si="6"/>
        <v>GakonaOffice</v>
      </c>
      <c r="D438" s="90">
        <v>1</v>
      </c>
      <c r="E438" s="90">
        <v>2033.2585034013605</v>
      </c>
      <c r="F438" s="90">
        <v>1028</v>
      </c>
      <c r="G438" s="90">
        <v>0</v>
      </c>
      <c r="H438" s="90">
        <v>6773</v>
      </c>
      <c r="I438" s="90">
        <v>0</v>
      </c>
      <c r="J438" s="90">
        <v>0</v>
      </c>
      <c r="K438" s="90">
        <v>0</v>
      </c>
      <c r="L438" s="90">
        <v>760.72</v>
      </c>
      <c r="M438" s="90">
        <v>0</v>
      </c>
      <c r="N438" s="90">
        <v>5012.0199999999995</v>
      </c>
      <c r="O438" s="90">
        <v>0</v>
      </c>
      <c r="P438" s="90">
        <v>0</v>
      </c>
      <c r="Q438" s="90">
        <v>0</v>
      </c>
      <c r="R438" s="90">
        <v>14232.809523809523</v>
      </c>
    </row>
    <row r="439" spans="1:18">
      <c r="A439" s="90" t="s">
        <v>1012</v>
      </c>
      <c r="B439" s="90" t="s">
        <v>643</v>
      </c>
      <c r="C439" s="90" t="str">
        <f t="shared" si="6"/>
        <v>GakonaOther</v>
      </c>
      <c r="D439" s="90">
        <v>3</v>
      </c>
      <c r="E439" s="90">
        <v>9027.920454545454</v>
      </c>
      <c r="F439" s="90">
        <v>7807.9897176615159</v>
      </c>
      <c r="G439" s="90">
        <v>0</v>
      </c>
      <c r="H439" s="90">
        <v>65705.094168713127</v>
      </c>
      <c r="I439" s="90">
        <v>0</v>
      </c>
      <c r="J439" s="90">
        <v>0</v>
      </c>
      <c r="K439" s="90">
        <v>0</v>
      </c>
      <c r="L439" s="90">
        <v>5777.9123910695216</v>
      </c>
      <c r="M439" s="90">
        <v>0</v>
      </c>
      <c r="N439" s="90">
        <v>48621.769684847721</v>
      </c>
      <c r="O439" s="90">
        <v>0</v>
      </c>
      <c r="P439" s="90">
        <v>0</v>
      </c>
      <c r="Q439" s="90">
        <v>0</v>
      </c>
      <c r="R439" s="90">
        <v>63195.443181818184</v>
      </c>
    </row>
    <row r="440" spans="1:18">
      <c r="A440" s="90" t="s">
        <v>1012</v>
      </c>
      <c r="B440" s="90" t="s">
        <v>1227</v>
      </c>
      <c r="C440" s="90" t="str">
        <f t="shared" si="6"/>
        <v>GakonaPublic Assembly</v>
      </c>
      <c r="D440" s="90">
        <v>3</v>
      </c>
      <c r="E440" s="90">
        <v>5454</v>
      </c>
      <c r="F440" s="90">
        <v>2588.2449267848046</v>
      </c>
      <c r="G440" s="90">
        <v>0</v>
      </c>
      <c r="H440" s="90">
        <v>32529.129655375622</v>
      </c>
      <c r="I440" s="90">
        <v>0</v>
      </c>
      <c r="J440" s="90">
        <v>0</v>
      </c>
      <c r="K440" s="90">
        <v>0</v>
      </c>
      <c r="L440" s="90">
        <v>1915.3012458207554</v>
      </c>
      <c r="M440" s="90">
        <v>0</v>
      </c>
      <c r="N440" s="90">
        <v>24071.555944977958</v>
      </c>
      <c r="O440" s="90">
        <v>0</v>
      </c>
      <c r="P440" s="90">
        <v>0</v>
      </c>
      <c r="Q440" s="90">
        <v>0</v>
      </c>
      <c r="R440" s="90">
        <v>38178</v>
      </c>
    </row>
    <row r="441" spans="1:18">
      <c r="A441" s="90" t="s">
        <v>1012</v>
      </c>
      <c r="B441" s="90" t="s">
        <v>1475</v>
      </c>
      <c r="C441" s="90" t="str">
        <f t="shared" si="6"/>
        <v>GakonaPublic Safety</v>
      </c>
      <c r="D441" s="90">
        <v>2</v>
      </c>
      <c r="E441" s="90">
        <v>3800</v>
      </c>
      <c r="F441" s="90">
        <v>4480.6996493614015</v>
      </c>
      <c r="G441" s="90">
        <v>0</v>
      </c>
      <c r="H441" s="90">
        <v>14062</v>
      </c>
      <c r="I441" s="90">
        <v>0</v>
      </c>
      <c r="J441" s="90">
        <v>0</v>
      </c>
      <c r="K441" s="90">
        <v>0</v>
      </c>
      <c r="L441" s="90">
        <v>3315.7177405274369</v>
      </c>
      <c r="M441" s="90">
        <v>0</v>
      </c>
      <c r="N441" s="90">
        <v>10405.879999999999</v>
      </c>
      <c r="O441" s="90">
        <v>0</v>
      </c>
      <c r="P441" s="90">
        <v>0</v>
      </c>
      <c r="Q441" s="90">
        <v>0</v>
      </c>
      <c r="R441" s="90">
        <v>26600</v>
      </c>
    </row>
    <row r="442" spans="1:18">
      <c r="A442" s="90" t="s">
        <v>2224</v>
      </c>
      <c r="B442" s="90" t="s">
        <v>1447</v>
      </c>
      <c r="C442" s="90" t="str">
        <f t="shared" si="6"/>
        <v>GALENAAccomodation Services</v>
      </c>
      <c r="D442" s="90">
        <v>1</v>
      </c>
      <c r="E442" s="90">
        <v>1104</v>
      </c>
      <c r="F442" s="90">
        <v>1138.2535142525321</v>
      </c>
      <c r="G442" s="90">
        <v>0</v>
      </c>
      <c r="H442" s="90">
        <v>24066.374777483528</v>
      </c>
      <c r="I442" s="90">
        <v>0</v>
      </c>
      <c r="J442" s="90">
        <v>0</v>
      </c>
      <c r="K442" s="90">
        <v>0</v>
      </c>
      <c r="L442" s="90">
        <v>842.3076005468738</v>
      </c>
      <c r="M442" s="90">
        <v>0</v>
      </c>
      <c r="N442" s="90">
        <v>17809.117335337811</v>
      </c>
      <c r="O442" s="90">
        <v>0</v>
      </c>
      <c r="P442" s="90">
        <v>0</v>
      </c>
      <c r="Q442" s="90">
        <v>0</v>
      </c>
      <c r="R442" s="90">
        <v>7728</v>
      </c>
    </row>
    <row r="443" spans="1:18">
      <c r="A443" s="90" t="s">
        <v>2224</v>
      </c>
      <c r="B443" s="90" t="s">
        <v>1439</v>
      </c>
      <c r="C443" s="90" t="str">
        <f t="shared" si="6"/>
        <v>GALENAEducation - K - 12</v>
      </c>
      <c r="D443" s="90">
        <v>19</v>
      </c>
      <c r="E443" s="90">
        <v>294834.11978609627</v>
      </c>
      <c r="F443" s="90">
        <v>198617.78218103063</v>
      </c>
      <c r="G443" s="90">
        <v>65964.730380857349</v>
      </c>
      <c r="H443" s="90">
        <v>893314.33504815621</v>
      </c>
      <c r="I443" s="90">
        <v>0</v>
      </c>
      <c r="J443" s="90">
        <v>0</v>
      </c>
      <c r="K443" s="90">
        <v>0</v>
      </c>
      <c r="L443" s="90">
        <v>146977.15881396265</v>
      </c>
      <c r="M443" s="90">
        <v>48813.90048183444</v>
      </c>
      <c r="N443" s="90">
        <v>661052.60793563561</v>
      </c>
      <c r="O443" s="90">
        <v>0</v>
      </c>
      <c r="P443" s="90">
        <v>0</v>
      </c>
      <c r="Q443" s="90">
        <v>0</v>
      </c>
      <c r="R443" s="90">
        <v>2063838.8385026739</v>
      </c>
    </row>
    <row r="444" spans="1:18">
      <c r="A444" s="90" t="s">
        <v>2224</v>
      </c>
      <c r="B444" s="90" t="s">
        <v>1440</v>
      </c>
      <c r="C444" s="90" t="str">
        <f t="shared" si="6"/>
        <v>GALENAHealth Care - Hospitals</v>
      </c>
      <c r="D444" s="90">
        <v>2</v>
      </c>
      <c r="E444" s="90">
        <v>14405.592500000001</v>
      </c>
      <c r="F444" s="90">
        <v>2468.6293072959174</v>
      </c>
      <c r="G444" s="90">
        <v>6636.792682955821</v>
      </c>
      <c r="H444" s="90">
        <v>126997.00567164118</v>
      </c>
      <c r="I444" s="90">
        <v>0</v>
      </c>
      <c r="J444" s="90">
        <v>0</v>
      </c>
      <c r="K444" s="90">
        <v>0</v>
      </c>
      <c r="L444" s="90">
        <v>1826.7856873989788</v>
      </c>
      <c r="M444" s="90">
        <v>4911.2265853873078</v>
      </c>
      <c r="N444" s="90">
        <v>93977.78419701448</v>
      </c>
      <c r="O444" s="90">
        <v>0</v>
      </c>
      <c r="P444" s="90">
        <v>0</v>
      </c>
      <c r="Q444" s="90">
        <v>0</v>
      </c>
      <c r="R444" s="90">
        <v>100839.14750000001</v>
      </c>
    </row>
    <row r="445" spans="1:18">
      <c r="A445" s="90" t="s">
        <v>2224</v>
      </c>
      <c r="B445" s="90" t="s">
        <v>665</v>
      </c>
      <c r="C445" s="90" t="str">
        <f t="shared" si="6"/>
        <v>GALENAOffice</v>
      </c>
      <c r="D445" s="90">
        <v>6</v>
      </c>
      <c r="E445" s="90">
        <v>17003.507194244601</v>
      </c>
      <c r="F445" s="90">
        <v>22216.559879982808</v>
      </c>
      <c r="G445" s="90">
        <v>6283.336925286445</v>
      </c>
      <c r="H445" s="90">
        <v>114883.12453352465</v>
      </c>
      <c r="I445" s="90">
        <v>0</v>
      </c>
      <c r="J445" s="90">
        <v>0</v>
      </c>
      <c r="K445" s="90">
        <v>0</v>
      </c>
      <c r="L445" s="90">
        <v>16440.25431118728</v>
      </c>
      <c r="M445" s="90">
        <v>4649.6693247119692</v>
      </c>
      <c r="N445" s="90">
        <v>85013.512154808239</v>
      </c>
      <c r="O445" s="90">
        <v>0</v>
      </c>
      <c r="P445" s="90">
        <v>0</v>
      </c>
      <c r="Q445" s="90">
        <v>0</v>
      </c>
      <c r="R445" s="90">
        <v>119024.55035971222</v>
      </c>
    </row>
    <row r="446" spans="1:18">
      <c r="A446" s="90" t="s">
        <v>2224</v>
      </c>
      <c r="B446" s="90" t="s">
        <v>643</v>
      </c>
      <c r="C446" s="90" t="str">
        <f t="shared" si="6"/>
        <v>GALENAOther</v>
      </c>
      <c r="D446" s="90">
        <v>32</v>
      </c>
      <c r="E446" s="90">
        <v>171640.96183206109</v>
      </c>
      <c r="F446" s="90">
        <v>183213.13732310967</v>
      </c>
      <c r="G446" s="90">
        <v>8635.3700933484215</v>
      </c>
      <c r="H446" s="90">
        <v>1210032.0354514604</v>
      </c>
      <c r="I446" s="90">
        <v>0</v>
      </c>
      <c r="J446" s="90">
        <v>0</v>
      </c>
      <c r="K446" s="90">
        <v>0</v>
      </c>
      <c r="L446" s="90">
        <v>135577.72161910118</v>
      </c>
      <c r="M446" s="90">
        <v>6390.173869077832</v>
      </c>
      <c r="N446" s="90">
        <v>895423.70623408025</v>
      </c>
      <c r="O446" s="90">
        <v>0</v>
      </c>
      <c r="P446" s="90">
        <v>0</v>
      </c>
      <c r="Q446" s="90">
        <v>0</v>
      </c>
      <c r="R446" s="90">
        <v>1201486.7328244275</v>
      </c>
    </row>
    <row r="447" spans="1:18">
      <c r="A447" s="90" t="s">
        <v>2224</v>
      </c>
      <c r="B447" s="90" t="s">
        <v>1227</v>
      </c>
      <c r="C447" s="90" t="str">
        <f t="shared" si="6"/>
        <v>GALENAPublic Assembly</v>
      </c>
      <c r="D447" s="90">
        <v>4</v>
      </c>
      <c r="E447" s="90">
        <v>13706.256179775281</v>
      </c>
      <c r="F447" s="90">
        <v>9479.3892324495737</v>
      </c>
      <c r="G447" s="90">
        <v>0</v>
      </c>
      <c r="H447" s="90">
        <v>63553.518613348679</v>
      </c>
      <c r="I447" s="90">
        <v>0</v>
      </c>
      <c r="J447" s="90">
        <v>0</v>
      </c>
      <c r="K447" s="90">
        <v>0</v>
      </c>
      <c r="L447" s="90">
        <v>7014.7480320126842</v>
      </c>
      <c r="M447" s="90">
        <v>0</v>
      </c>
      <c r="N447" s="90">
        <v>47029.603773878021</v>
      </c>
      <c r="O447" s="90">
        <v>0</v>
      </c>
      <c r="P447" s="90">
        <v>0</v>
      </c>
      <c r="Q447" s="90">
        <v>0</v>
      </c>
      <c r="R447" s="90">
        <v>95943.793258426958</v>
      </c>
    </row>
    <row r="448" spans="1:18">
      <c r="A448" s="90" t="s">
        <v>2224</v>
      </c>
      <c r="B448" s="90" t="s">
        <v>1475</v>
      </c>
      <c r="C448" s="90" t="str">
        <f t="shared" si="6"/>
        <v>GALENAPublic Safety</v>
      </c>
      <c r="D448" s="90">
        <v>2</v>
      </c>
      <c r="E448" s="90">
        <v>4197.4089393939394</v>
      </c>
      <c r="F448" s="90">
        <v>2971.1878185858122</v>
      </c>
      <c r="G448" s="90">
        <v>0</v>
      </c>
      <c r="H448" s="90">
        <v>34712.915792241125</v>
      </c>
      <c r="I448" s="90">
        <v>0</v>
      </c>
      <c r="J448" s="90">
        <v>0</v>
      </c>
      <c r="K448" s="90">
        <v>0</v>
      </c>
      <c r="L448" s="90">
        <v>2198.6789857535009</v>
      </c>
      <c r="M448" s="90">
        <v>0</v>
      </c>
      <c r="N448" s="90">
        <v>25687.557686258435</v>
      </c>
      <c r="O448" s="90">
        <v>0</v>
      </c>
      <c r="P448" s="90">
        <v>0</v>
      </c>
      <c r="Q448" s="90">
        <v>0</v>
      </c>
      <c r="R448" s="90">
        <v>29381.862575757576</v>
      </c>
    </row>
    <row r="449" spans="1:18">
      <c r="A449" s="90" t="s">
        <v>2224</v>
      </c>
      <c r="B449" s="90" t="s">
        <v>1442</v>
      </c>
      <c r="C449" s="90" t="str">
        <f t="shared" si="6"/>
        <v>GALENAResidential - Multi-Family</v>
      </c>
      <c r="D449" s="90">
        <v>6</v>
      </c>
      <c r="E449" s="90">
        <v>56775.857142857138</v>
      </c>
      <c r="F449" s="90">
        <v>8344.6838365127078</v>
      </c>
      <c r="G449" s="90">
        <v>36400.061680263352</v>
      </c>
      <c r="H449" s="90">
        <v>59127.131066499598</v>
      </c>
      <c r="I449" s="90">
        <v>0</v>
      </c>
      <c r="J449" s="90">
        <v>0</v>
      </c>
      <c r="K449" s="90">
        <v>0</v>
      </c>
      <c r="L449" s="90">
        <v>6175.0660390194034</v>
      </c>
      <c r="M449" s="90">
        <v>26936.045643394882</v>
      </c>
      <c r="N449" s="90">
        <v>43754.076989209701</v>
      </c>
      <c r="O449" s="90">
        <v>0</v>
      </c>
      <c r="P449" s="90">
        <v>0</v>
      </c>
      <c r="Q449" s="90">
        <v>0</v>
      </c>
      <c r="R449" s="90">
        <v>397431</v>
      </c>
    </row>
    <row r="450" spans="1:18">
      <c r="A450" s="90" t="s">
        <v>2224</v>
      </c>
      <c r="B450" s="90" t="s">
        <v>1485</v>
      </c>
      <c r="C450" s="90" t="str">
        <f t="shared" si="6"/>
        <v>GALENARetail - Other</v>
      </c>
      <c r="D450" s="90">
        <v>3</v>
      </c>
      <c r="E450" s="90">
        <v>18829.09756097561</v>
      </c>
      <c r="F450" s="90">
        <v>31276.054726548176</v>
      </c>
      <c r="G450" s="90">
        <v>0</v>
      </c>
      <c r="H450" s="90">
        <v>459395.69745502796</v>
      </c>
      <c r="I450" s="90">
        <v>0</v>
      </c>
      <c r="J450" s="90">
        <v>0</v>
      </c>
      <c r="K450" s="90">
        <v>0</v>
      </c>
      <c r="L450" s="90">
        <v>23144.28049764565</v>
      </c>
      <c r="M450" s="90">
        <v>0</v>
      </c>
      <c r="N450" s="90">
        <v>339952.81611672067</v>
      </c>
      <c r="O450" s="90">
        <v>0</v>
      </c>
      <c r="P450" s="90">
        <v>0</v>
      </c>
      <c r="Q450" s="90">
        <v>0</v>
      </c>
      <c r="R450" s="90">
        <v>131803.68292682926</v>
      </c>
    </row>
    <row r="451" spans="1:18">
      <c r="A451" s="90" t="s">
        <v>2224</v>
      </c>
      <c r="B451" s="90" t="s">
        <v>951</v>
      </c>
      <c r="C451" s="90" t="str">
        <f t="shared" ref="C451:C514" si="7">CONCATENATE(A451,B451)</f>
        <v>GALENAWarehousing</v>
      </c>
      <c r="D451" s="90">
        <v>5</v>
      </c>
      <c r="E451" s="90">
        <v>16870.698529411766</v>
      </c>
      <c r="F451" s="90">
        <v>29444.320047495126</v>
      </c>
      <c r="G451" s="90">
        <v>0</v>
      </c>
      <c r="H451" s="90">
        <v>772993.76195498684</v>
      </c>
      <c r="I451" s="90">
        <v>0</v>
      </c>
      <c r="J451" s="90">
        <v>0</v>
      </c>
      <c r="K451" s="90">
        <v>0</v>
      </c>
      <c r="L451" s="90">
        <v>21788.796835146393</v>
      </c>
      <c r="M451" s="90">
        <v>0</v>
      </c>
      <c r="N451" s="90">
        <v>572015.38384669018</v>
      </c>
      <c r="O451" s="90">
        <v>0</v>
      </c>
      <c r="P451" s="90">
        <v>0</v>
      </c>
      <c r="Q451" s="90">
        <v>0</v>
      </c>
      <c r="R451" s="90">
        <v>118094.88970588235</v>
      </c>
    </row>
    <row r="452" spans="1:18">
      <c r="A452" s="90" t="s">
        <v>77</v>
      </c>
      <c r="B452" s="90" t="s">
        <v>1439</v>
      </c>
      <c r="C452" s="90" t="str">
        <f t="shared" si="7"/>
        <v>GambellEducation - K - 12</v>
      </c>
      <c r="D452" s="90">
        <v>1</v>
      </c>
      <c r="E452" s="90">
        <v>42245</v>
      </c>
      <c r="F452" s="90">
        <v>64664</v>
      </c>
      <c r="G452" s="90">
        <v>0</v>
      </c>
      <c r="H452" s="90">
        <v>332781</v>
      </c>
      <c r="I452" s="90">
        <v>0</v>
      </c>
      <c r="J452" s="90">
        <v>0</v>
      </c>
      <c r="K452" s="90">
        <v>0</v>
      </c>
      <c r="L452" s="90">
        <v>47851.360000000001</v>
      </c>
      <c r="M452" s="90">
        <v>0</v>
      </c>
      <c r="N452" s="90">
        <v>246257.94</v>
      </c>
      <c r="O452" s="90">
        <v>0</v>
      </c>
      <c r="P452" s="90">
        <v>0</v>
      </c>
      <c r="Q452" s="90">
        <v>0</v>
      </c>
      <c r="R452" s="90">
        <v>295715</v>
      </c>
    </row>
    <row r="453" spans="1:18">
      <c r="A453" s="90" t="s">
        <v>77</v>
      </c>
      <c r="B453" s="90" t="s">
        <v>1440</v>
      </c>
      <c r="C453" s="90" t="str">
        <f t="shared" si="7"/>
        <v>GambellHealth Care - Hospitals</v>
      </c>
      <c r="D453" s="90">
        <v>1</v>
      </c>
      <c r="E453" s="90">
        <v>2200</v>
      </c>
      <c r="F453" s="90">
        <v>800</v>
      </c>
      <c r="G453" s="90">
        <v>0</v>
      </c>
      <c r="H453" s="90">
        <v>30019</v>
      </c>
      <c r="I453" s="90">
        <v>0</v>
      </c>
      <c r="J453" s="90">
        <v>0</v>
      </c>
      <c r="K453" s="90">
        <v>0</v>
      </c>
      <c r="L453" s="90">
        <v>592</v>
      </c>
      <c r="M453" s="90">
        <v>0</v>
      </c>
      <c r="N453" s="90">
        <v>22214.06</v>
      </c>
      <c r="O453" s="90">
        <v>0</v>
      </c>
      <c r="P453" s="90">
        <v>0</v>
      </c>
      <c r="Q453" s="90">
        <v>0</v>
      </c>
      <c r="R453" s="90">
        <v>15400</v>
      </c>
    </row>
    <row r="454" spans="1:18">
      <c r="A454" s="90" t="s">
        <v>77</v>
      </c>
      <c r="B454" s="90" t="s">
        <v>665</v>
      </c>
      <c r="C454" s="90" t="str">
        <f t="shared" si="7"/>
        <v>GambellOffice</v>
      </c>
      <c r="D454" s="90">
        <v>6</v>
      </c>
      <c r="E454" s="90">
        <v>16823.507194244601</v>
      </c>
      <c r="F454" s="90">
        <v>13580.521282518954</v>
      </c>
      <c r="G454" s="90">
        <v>0</v>
      </c>
      <c r="H454" s="90">
        <v>78934.390815441293</v>
      </c>
      <c r="I454" s="90">
        <v>0</v>
      </c>
      <c r="J454" s="90">
        <v>0</v>
      </c>
      <c r="K454" s="90">
        <v>0</v>
      </c>
      <c r="L454" s="90">
        <v>10049.585749064025</v>
      </c>
      <c r="M454" s="90">
        <v>0</v>
      </c>
      <c r="N454" s="90">
        <v>58411.449203426557</v>
      </c>
      <c r="O454" s="90">
        <v>0</v>
      </c>
      <c r="P454" s="90">
        <v>0</v>
      </c>
      <c r="Q454" s="90">
        <v>0</v>
      </c>
      <c r="R454" s="90">
        <v>117764.55035971222</v>
      </c>
    </row>
    <row r="455" spans="1:18">
      <c r="A455" s="90" t="s">
        <v>77</v>
      </c>
      <c r="B455" s="90" t="s">
        <v>643</v>
      </c>
      <c r="C455" s="90" t="str">
        <f t="shared" si="7"/>
        <v>GambellOther</v>
      </c>
      <c r="D455" s="90">
        <v>3</v>
      </c>
      <c r="E455" s="90">
        <v>2856</v>
      </c>
      <c r="F455" s="90">
        <v>1873.27310193119</v>
      </c>
      <c r="G455" s="90">
        <v>0</v>
      </c>
      <c r="H455" s="90">
        <v>9500.1533411048895</v>
      </c>
      <c r="I455" s="90">
        <v>0</v>
      </c>
      <c r="J455" s="90">
        <v>0</v>
      </c>
      <c r="K455" s="90">
        <v>0</v>
      </c>
      <c r="L455" s="90">
        <v>1386.2220954290806</v>
      </c>
      <c r="M455" s="90">
        <v>0</v>
      </c>
      <c r="N455" s="90">
        <v>7030.1134724176172</v>
      </c>
      <c r="O455" s="90">
        <v>0</v>
      </c>
      <c r="P455" s="90">
        <v>0</v>
      </c>
      <c r="Q455" s="90">
        <v>0</v>
      </c>
      <c r="R455" s="90">
        <v>19992</v>
      </c>
    </row>
    <row r="456" spans="1:18">
      <c r="A456" s="90" t="s">
        <v>77</v>
      </c>
      <c r="B456" s="90" t="s">
        <v>1227</v>
      </c>
      <c r="C456" s="90" t="str">
        <f t="shared" si="7"/>
        <v>GambellPublic Assembly</v>
      </c>
      <c r="D456" s="90">
        <v>2</v>
      </c>
      <c r="E456" s="90">
        <v>3650</v>
      </c>
      <c r="F456" s="90">
        <v>2086</v>
      </c>
      <c r="G456" s="90">
        <v>0</v>
      </c>
      <c r="H456" s="90">
        <v>14364.651065580867</v>
      </c>
      <c r="I456" s="90">
        <v>0</v>
      </c>
      <c r="J456" s="90">
        <v>0</v>
      </c>
      <c r="K456" s="90">
        <v>0</v>
      </c>
      <c r="L456" s="90">
        <v>1543.6399999999999</v>
      </c>
      <c r="M456" s="90">
        <v>0</v>
      </c>
      <c r="N456" s="90">
        <v>10629.84178852984</v>
      </c>
      <c r="O456" s="90">
        <v>0</v>
      </c>
      <c r="P456" s="90">
        <v>0</v>
      </c>
      <c r="Q456" s="90">
        <v>0</v>
      </c>
      <c r="R456" s="90">
        <v>25550</v>
      </c>
    </row>
    <row r="457" spans="1:18">
      <c r="A457" s="90" t="s">
        <v>77</v>
      </c>
      <c r="B457" s="90" t="s">
        <v>1475</v>
      </c>
      <c r="C457" s="90" t="str">
        <f t="shared" si="7"/>
        <v>GambellPublic Safety</v>
      </c>
      <c r="D457" s="90">
        <v>1</v>
      </c>
      <c r="E457" s="90">
        <v>2160</v>
      </c>
      <c r="F457" s="90">
        <v>600</v>
      </c>
      <c r="G457" s="90">
        <v>0</v>
      </c>
      <c r="H457" s="90">
        <v>6986</v>
      </c>
      <c r="I457" s="90">
        <v>0</v>
      </c>
      <c r="J457" s="90">
        <v>0</v>
      </c>
      <c r="K457" s="90">
        <v>0</v>
      </c>
      <c r="L457" s="90">
        <v>444</v>
      </c>
      <c r="M457" s="90">
        <v>0</v>
      </c>
      <c r="N457" s="90">
        <v>5169.6400000000003</v>
      </c>
      <c r="O457" s="90">
        <v>0</v>
      </c>
      <c r="P457" s="90">
        <v>0</v>
      </c>
      <c r="Q457" s="90">
        <v>0</v>
      </c>
      <c r="R457" s="90">
        <v>15120</v>
      </c>
    </row>
    <row r="458" spans="1:18">
      <c r="A458" s="90" t="s">
        <v>77</v>
      </c>
      <c r="B458" s="90" t="s">
        <v>1485</v>
      </c>
      <c r="C458" s="90" t="str">
        <f t="shared" si="7"/>
        <v>GambellRetail - Other</v>
      </c>
      <c r="D458" s="90">
        <v>1</v>
      </c>
      <c r="E458" s="90">
        <v>5600</v>
      </c>
      <c r="F458" s="90">
        <v>9301.8747128736431</v>
      </c>
      <c r="G458" s="90">
        <v>0</v>
      </c>
      <c r="H458" s="90">
        <v>137060</v>
      </c>
      <c r="I458" s="90">
        <v>0</v>
      </c>
      <c r="J458" s="90">
        <v>0</v>
      </c>
      <c r="K458" s="90">
        <v>0</v>
      </c>
      <c r="L458" s="90">
        <v>6883.387287526496</v>
      </c>
      <c r="M458" s="90">
        <v>0</v>
      </c>
      <c r="N458" s="90">
        <v>101424.4</v>
      </c>
      <c r="O458" s="90">
        <v>0</v>
      </c>
      <c r="P458" s="90">
        <v>0</v>
      </c>
      <c r="Q458" s="90">
        <v>0</v>
      </c>
      <c r="R458" s="90">
        <v>39200</v>
      </c>
    </row>
    <row r="459" spans="1:18">
      <c r="A459" s="90" t="s">
        <v>1374</v>
      </c>
      <c r="B459" s="90" t="s">
        <v>643</v>
      </c>
      <c r="C459" s="90" t="str">
        <f t="shared" si="7"/>
        <v>Game CreekOther</v>
      </c>
      <c r="D459" s="90">
        <v>1</v>
      </c>
      <c r="E459" s="90">
        <v>2163.9204545454545</v>
      </c>
      <c r="F459" s="90">
        <v>1871.5127967727569</v>
      </c>
      <c r="G459" s="90">
        <v>0</v>
      </c>
      <c r="H459" s="90">
        <v>15748.986486464588</v>
      </c>
      <c r="I459" s="90">
        <v>0</v>
      </c>
      <c r="J459" s="90">
        <v>0</v>
      </c>
      <c r="K459" s="90">
        <v>0</v>
      </c>
      <c r="L459" s="90">
        <v>1384.9194696118402</v>
      </c>
      <c r="M459" s="90">
        <v>0</v>
      </c>
      <c r="N459" s="90">
        <v>11654.249999983795</v>
      </c>
      <c r="O459" s="90">
        <v>0</v>
      </c>
      <c r="P459" s="90">
        <v>0</v>
      </c>
      <c r="Q459" s="90">
        <v>0</v>
      </c>
      <c r="R459" s="90">
        <v>15147.443181818182</v>
      </c>
    </row>
    <row r="460" spans="1:18">
      <c r="A460" s="90" t="s">
        <v>1167</v>
      </c>
      <c r="B460" s="90" t="s">
        <v>1447</v>
      </c>
      <c r="C460" s="90" t="str">
        <f t="shared" si="7"/>
        <v>GlennallenAccomodation Services</v>
      </c>
      <c r="D460" s="90">
        <v>1</v>
      </c>
      <c r="E460" s="90">
        <v>7260.0625</v>
      </c>
      <c r="F460" s="90">
        <v>7485.3185274619782</v>
      </c>
      <c r="G460" s="90">
        <v>0</v>
      </c>
      <c r="H460" s="90">
        <v>158263.93571825544</v>
      </c>
      <c r="I460" s="90">
        <v>0</v>
      </c>
      <c r="J460" s="90">
        <v>0</v>
      </c>
      <c r="K460" s="90">
        <v>0</v>
      </c>
      <c r="L460" s="90">
        <v>5539.1357103218634</v>
      </c>
      <c r="M460" s="90">
        <v>0</v>
      </c>
      <c r="N460" s="90">
        <v>117115.31243150902</v>
      </c>
      <c r="O460" s="90">
        <v>0</v>
      </c>
      <c r="P460" s="90">
        <v>0</v>
      </c>
      <c r="Q460" s="90">
        <v>0</v>
      </c>
      <c r="R460" s="90">
        <v>50820.4375</v>
      </c>
    </row>
    <row r="461" spans="1:18">
      <c r="A461" s="90" t="s">
        <v>1167</v>
      </c>
      <c r="B461" s="90" t="s">
        <v>1439</v>
      </c>
      <c r="C461" s="90" t="str">
        <f t="shared" si="7"/>
        <v>GlennallenEducation - K - 12</v>
      </c>
      <c r="D461" s="90">
        <v>1</v>
      </c>
      <c r="E461" s="90">
        <v>78073</v>
      </c>
      <c r="F461" s="90">
        <v>81145.500729927007</v>
      </c>
      <c r="G461" s="90">
        <v>0</v>
      </c>
      <c r="H461" s="90">
        <v>471612.24447199999</v>
      </c>
      <c r="I461" s="90">
        <v>0</v>
      </c>
      <c r="J461" s="90">
        <v>0</v>
      </c>
      <c r="K461" s="90">
        <v>0</v>
      </c>
      <c r="L461" s="90">
        <v>60047.670540145984</v>
      </c>
      <c r="M461" s="90">
        <v>0</v>
      </c>
      <c r="N461" s="90">
        <v>348993.06090927997</v>
      </c>
      <c r="O461" s="90">
        <v>0</v>
      </c>
      <c r="P461" s="90">
        <v>0</v>
      </c>
      <c r="Q461" s="90">
        <v>0</v>
      </c>
      <c r="R461" s="90">
        <v>546511</v>
      </c>
    </row>
    <row r="462" spans="1:18">
      <c r="A462" s="90" t="s">
        <v>1167</v>
      </c>
      <c r="B462" s="90" t="s">
        <v>1469</v>
      </c>
      <c r="C462" s="90" t="str">
        <f t="shared" si="7"/>
        <v>GlennallenFood Service and Drinking Places</v>
      </c>
      <c r="D462" s="90">
        <v>1</v>
      </c>
      <c r="E462" s="90">
        <v>4750</v>
      </c>
      <c r="F462" s="90">
        <v>3559.1743441326848</v>
      </c>
      <c r="G462" s="90">
        <v>0</v>
      </c>
      <c r="H462" s="90">
        <v>34661.222123199354</v>
      </c>
      <c r="I462" s="90">
        <v>0</v>
      </c>
      <c r="J462" s="90">
        <v>0</v>
      </c>
      <c r="K462" s="90">
        <v>0</v>
      </c>
      <c r="L462" s="90">
        <v>2633.7890146581867</v>
      </c>
      <c r="M462" s="90">
        <v>0</v>
      </c>
      <c r="N462" s="90">
        <v>25649.30437116752</v>
      </c>
      <c r="O462" s="90">
        <v>0</v>
      </c>
      <c r="P462" s="90">
        <v>0</v>
      </c>
      <c r="Q462" s="90">
        <v>0</v>
      </c>
      <c r="R462" s="90">
        <v>33250</v>
      </c>
    </row>
    <row r="463" spans="1:18">
      <c r="A463" s="90" t="s">
        <v>1167</v>
      </c>
      <c r="B463" s="90" t="s">
        <v>665</v>
      </c>
      <c r="C463" s="90" t="str">
        <f t="shared" si="7"/>
        <v>GlennallenOffice</v>
      </c>
      <c r="D463" s="90">
        <v>10</v>
      </c>
      <c r="E463" s="90">
        <v>43189.352517985615</v>
      </c>
      <c r="F463" s="90">
        <v>39934.676734246932</v>
      </c>
      <c r="G463" s="90">
        <v>0</v>
      </c>
      <c r="H463" s="90">
        <v>238813.92955642671</v>
      </c>
      <c r="I463" s="90">
        <v>0</v>
      </c>
      <c r="J463" s="90">
        <v>0</v>
      </c>
      <c r="K463" s="90">
        <v>0</v>
      </c>
      <c r="L463" s="90">
        <v>29551.660783342726</v>
      </c>
      <c r="M463" s="90">
        <v>0</v>
      </c>
      <c r="N463" s="90">
        <v>176722.30787175582</v>
      </c>
      <c r="O463" s="90">
        <v>0</v>
      </c>
      <c r="P463" s="90">
        <v>0</v>
      </c>
      <c r="Q463" s="90">
        <v>0</v>
      </c>
      <c r="R463" s="90">
        <v>302325.46762589924</v>
      </c>
    </row>
    <row r="464" spans="1:18">
      <c r="A464" s="90" t="s">
        <v>1167</v>
      </c>
      <c r="B464" s="90" t="s">
        <v>643</v>
      </c>
      <c r="C464" s="90" t="str">
        <f t="shared" si="7"/>
        <v>GlennallenOther</v>
      </c>
      <c r="D464" s="90">
        <v>24</v>
      </c>
      <c r="E464" s="90">
        <v>104439.88931297704</v>
      </c>
      <c r="F464" s="90">
        <v>111000.25805857249</v>
      </c>
      <c r="G464" s="90">
        <v>0</v>
      </c>
      <c r="H464" s="90">
        <v>770926.00525732886</v>
      </c>
      <c r="I464" s="90">
        <v>0</v>
      </c>
      <c r="J464" s="90">
        <v>0</v>
      </c>
      <c r="K464" s="90">
        <v>0</v>
      </c>
      <c r="L464" s="90">
        <v>82140.190963343688</v>
      </c>
      <c r="M464" s="90">
        <v>0</v>
      </c>
      <c r="N464" s="90">
        <v>570485.24389042344</v>
      </c>
      <c r="O464" s="90">
        <v>0</v>
      </c>
      <c r="P464" s="90">
        <v>0</v>
      </c>
      <c r="Q464" s="90">
        <v>0</v>
      </c>
      <c r="R464" s="90">
        <v>731079.22519083985</v>
      </c>
    </row>
    <row r="465" spans="1:18">
      <c r="A465" s="90" t="s">
        <v>1167</v>
      </c>
      <c r="B465" s="90" t="s">
        <v>1227</v>
      </c>
      <c r="C465" s="90" t="str">
        <f t="shared" si="7"/>
        <v>GlennallenPublic Assembly</v>
      </c>
      <c r="D465" s="90">
        <v>3</v>
      </c>
      <c r="E465" s="90">
        <v>10279.692134831461</v>
      </c>
      <c r="F465" s="90">
        <v>7109.5419243371798</v>
      </c>
      <c r="G465" s="90">
        <v>0</v>
      </c>
      <c r="H465" s="90">
        <v>47665.138960011507</v>
      </c>
      <c r="I465" s="90">
        <v>0</v>
      </c>
      <c r="J465" s="90">
        <v>0</v>
      </c>
      <c r="K465" s="90">
        <v>0</v>
      </c>
      <c r="L465" s="90">
        <v>5261.0610240095129</v>
      </c>
      <c r="M465" s="90">
        <v>0</v>
      </c>
      <c r="N465" s="90">
        <v>35272.202830408518</v>
      </c>
      <c r="O465" s="90">
        <v>0</v>
      </c>
      <c r="P465" s="90">
        <v>0</v>
      </c>
      <c r="Q465" s="90">
        <v>0</v>
      </c>
      <c r="R465" s="90">
        <v>71957.844943820222</v>
      </c>
    </row>
    <row r="466" spans="1:18">
      <c r="A466" s="90" t="s">
        <v>1167</v>
      </c>
      <c r="B466" s="90" t="s">
        <v>1475</v>
      </c>
      <c r="C466" s="90" t="str">
        <f t="shared" si="7"/>
        <v>GlennallenPublic Safety</v>
      </c>
      <c r="D466" s="90">
        <v>3</v>
      </c>
      <c r="E466" s="90">
        <v>8092.2268181818181</v>
      </c>
      <c r="F466" s="90">
        <v>5728.1828133922236</v>
      </c>
      <c r="G466" s="90">
        <v>0</v>
      </c>
      <c r="H466" s="90">
        <v>66923.378724166061</v>
      </c>
      <c r="I466" s="90">
        <v>0</v>
      </c>
      <c r="J466" s="90">
        <v>0</v>
      </c>
      <c r="K466" s="90">
        <v>0</v>
      </c>
      <c r="L466" s="90">
        <v>4238.8552819102451</v>
      </c>
      <c r="M466" s="90">
        <v>0</v>
      </c>
      <c r="N466" s="90">
        <v>49523.300255882888</v>
      </c>
      <c r="O466" s="90">
        <v>0</v>
      </c>
      <c r="P466" s="90">
        <v>0</v>
      </c>
      <c r="Q466" s="90">
        <v>0</v>
      </c>
      <c r="R466" s="90">
        <v>56645.587727272723</v>
      </c>
    </row>
    <row r="467" spans="1:18">
      <c r="A467" s="90" t="s">
        <v>1167</v>
      </c>
      <c r="B467" s="90" t="s">
        <v>1442</v>
      </c>
      <c r="C467" s="90" t="str">
        <f t="shared" si="7"/>
        <v>GlennallenResidential - Multi-Family</v>
      </c>
      <c r="D467" s="90">
        <v>1</v>
      </c>
      <c r="E467" s="90">
        <v>1000</v>
      </c>
      <c r="F467" s="90">
        <v>1023.0771432660657</v>
      </c>
      <c r="G467" s="90">
        <v>0</v>
      </c>
      <c r="H467" s="90">
        <v>422.20379979999996</v>
      </c>
      <c r="I467" s="90">
        <v>0</v>
      </c>
      <c r="J467" s="90">
        <v>0</v>
      </c>
      <c r="K467" s="90">
        <v>0</v>
      </c>
      <c r="L467" s="90">
        <v>757.07708601688864</v>
      </c>
      <c r="M467" s="90">
        <v>0</v>
      </c>
      <c r="N467" s="90">
        <v>312.43081185199998</v>
      </c>
      <c r="O467" s="90">
        <v>0</v>
      </c>
      <c r="P467" s="90">
        <v>0</v>
      </c>
      <c r="Q467" s="90">
        <v>0</v>
      </c>
      <c r="R467" s="90">
        <v>7000</v>
      </c>
    </row>
    <row r="468" spans="1:18">
      <c r="A468" s="90" t="s">
        <v>1167</v>
      </c>
      <c r="B468" s="90" t="s">
        <v>1485</v>
      </c>
      <c r="C468" s="90" t="str">
        <f t="shared" si="7"/>
        <v>GlennallenRetail - Other</v>
      </c>
      <c r="D468" s="90">
        <v>3</v>
      </c>
      <c r="E468" s="90">
        <v>18829.09756097561</v>
      </c>
      <c r="F468" s="90">
        <v>31276.054726548176</v>
      </c>
      <c r="G468" s="90">
        <v>0</v>
      </c>
      <c r="H468" s="90">
        <v>459395.69745502796</v>
      </c>
      <c r="I468" s="90">
        <v>0</v>
      </c>
      <c r="J468" s="90">
        <v>0</v>
      </c>
      <c r="K468" s="90">
        <v>0</v>
      </c>
      <c r="L468" s="90">
        <v>23144.28049764565</v>
      </c>
      <c r="M468" s="90">
        <v>0</v>
      </c>
      <c r="N468" s="90">
        <v>339952.81611672067</v>
      </c>
      <c r="O468" s="90">
        <v>0</v>
      </c>
      <c r="P468" s="90">
        <v>0</v>
      </c>
      <c r="Q468" s="90">
        <v>0</v>
      </c>
      <c r="R468" s="90">
        <v>131803.68292682926</v>
      </c>
    </row>
    <row r="469" spans="1:18">
      <c r="A469" s="90" t="s">
        <v>1167</v>
      </c>
      <c r="B469" s="90" t="s">
        <v>951</v>
      </c>
      <c r="C469" s="90" t="str">
        <f t="shared" si="7"/>
        <v>GlennallenWarehousing</v>
      </c>
      <c r="D469" s="90">
        <v>5</v>
      </c>
      <c r="E469" s="90">
        <v>13632.830882352941</v>
      </c>
      <c r="F469" s="90">
        <v>23793.290772967863</v>
      </c>
      <c r="G469" s="90">
        <v>0</v>
      </c>
      <c r="H469" s="90">
        <v>624638.8204658149</v>
      </c>
      <c r="I469" s="90">
        <v>0</v>
      </c>
      <c r="J469" s="90">
        <v>0</v>
      </c>
      <c r="K469" s="90">
        <v>0</v>
      </c>
      <c r="L469" s="90">
        <v>17607.035171996216</v>
      </c>
      <c r="M469" s="90">
        <v>0</v>
      </c>
      <c r="N469" s="90">
        <v>462232.72714470304</v>
      </c>
      <c r="O469" s="90">
        <v>0</v>
      </c>
      <c r="P469" s="90">
        <v>0</v>
      </c>
      <c r="Q469" s="90">
        <v>0</v>
      </c>
      <c r="R469" s="90">
        <v>95429.816176470602</v>
      </c>
    </row>
    <row r="470" spans="1:18">
      <c r="A470" s="90" t="s">
        <v>148</v>
      </c>
      <c r="B470" s="90" t="s">
        <v>1439</v>
      </c>
      <c r="C470" s="90" t="str">
        <f t="shared" si="7"/>
        <v>GolovinEducation - K - 12</v>
      </c>
      <c r="D470" s="90">
        <v>3</v>
      </c>
      <c r="E470" s="90">
        <v>56576.415555555555</v>
      </c>
      <c r="F470" s="90">
        <v>59072.038259980036</v>
      </c>
      <c r="G470" s="90">
        <v>0</v>
      </c>
      <c r="H470" s="90">
        <v>367656.96328921034</v>
      </c>
      <c r="I470" s="90">
        <v>0</v>
      </c>
      <c r="J470" s="90">
        <v>0</v>
      </c>
      <c r="K470" s="90">
        <v>0</v>
      </c>
      <c r="L470" s="90">
        <v>43713.308312385227</v>
      </c>
      <c r="M470" s="90">
        <v>0</v>
      </c>
      <c r="N470" s="90">
        <v>272066.15283401567</v>
      </c>
      <c r="O470" s="90">
        <v>0</v>
      </c>
      <c r="P470" s="90">
        <v>0</v>
      </c>
      <c r="Q470" s="90">
        <v>0</v>
      </c>
      <c r="R470" s="90">
        <v>396034.90888888889</v>
      </c>
    </row>
    <row r="471" spans="1:18">
      <c r="A471" s="90" t="s">
        <v>148</v>
      </c>
      <c r="B471" s="90" t="s">
        <v>1440</v>
      </c>
      <c r="C471" s="90" t="str">
        <f t="shared" si="7"/>
        <v>GolovinHealth Care - Hospitals</v>
      </c>
      <c r="D471" s="90">
        <v>3</v>
      </c>
      <c r="E471" s="90">
        <v>6770.7750000000005</v>
      </c>
      <c r="F471" s="90">
        <v>4719.0496430413696</v>
      </c>
      <c r="G471" s="90">
        <v>0</v>
      </c>
      <c r="H471" s="90">
        <v>50932.689787411102</v>
      </c>
      <c r="I471" s="90">
        <v>0</v>
      </c>
      <c r="J471" s="90">
        <v>0</v>
      </c>
      <c r="K471" s="90">
        <v>0</v>
      </c>
      <c r="L471" s="90">
        <v>3492.0967358506132</v>
      </c>
      <c r="M471" s="90">
        <v>0</v>
      </c>
      <c r="N471" s="90">
        <v>37690.190442684216</v>
      </c>
      <c r="O471" s="90">
        <v>0</v>
      </c>
      <c r="P471" s="90">
        <v>0</v>
      </c>
      <c r="Q471" s="90">
        <v>0</v>
      </c>
      <c r="R471" s="90">
        <v>47395.425000000003</v>
      </c>
    </row>
    <row r="472" spans="1:18">
      <c r="A472" s="90" t="s">
        <v>148</v>
      </c>
      <c r="B472" s="90" t="s">
        <v>665</v>
      </c>
      <c r="C472" s="90" t="str">
        <f t="shared" si="7"/>
        <v>GolovinOffice</v>
      </c>
      <c r="D472" s="90">
        <v>2</v>
      </c>
      <c r="E472" s="90">
        <v>4553.2585034013609</v>
      </c>
      <c r="F472" s="90">
        <v>3249.5824722962652</v>
      </c>
      <c r="G472" s="90">
        <v>0</v>
      </c>
      <c r="H472" s="90">
        <v>36499.057844733521</v>
      </c>
      <c r="I472" s="90">
        <v>0</v>
      </c>
      <c r="J472" s="90">
        <v>0</v>
      </c>
      <c r="K472" s="90">
        <v>0</v>
      </c>
      <c r="L472" s="90">
        <v>2404.6910294992363</v>
      </c>
      <c r="M472" s="90">
        <v>0</v>
      </c>
      <c r="N472" s="90">
        <v>27009.302805102805</v>
      </c>
      <c r="O472" s="90">
        <v>0</v>
      </c>
      <c r="P472" s="90">
        <v>0</v>
      </c>
      <c r="Q472" s="90">
        <v>0</v>
      </c>
      <c r="R472" s="90">
        <v>31872.809523809523</v>
      </c>
    </row>
    <row r="473" spans="1:18">
      <c r="A473" s="90" t="s">
        <v>148</v>
      </c>
      <c r="B473" s="90" t="s">
        <v>643</v>
      </c>
      <c r="C473" s="90" t="str">
        <f t="shared" si="7"/>
        <v>GolovinOther</v>
      </c>
      <c r="D473" s="90">
        <v>6</v>
      </c>
      <c r="E473" s="90">
        <v>7895.8409090909081</v>
      </c>
      <c r="F473" s="90">
        <v>6062.6475141528081</v>
      </c>
      <c r="G473" s="90">
        <v>0</v>
      </c>
      <c r="H473" s="90">
        <v>46117.886583531406</v>
      </c>
      <c r="I473" s="90">
        <v>0</v>
      </c>
      <c r="J473" s="90">
        <v>0</v>
      </c>
      <c r="K473" s="90">
        <v>0</v>
      </c>
      <c r="L473" s="90">
        <v>4486.3591604730773</v>
      </c>
      <c r="M473" s="90">
        <v>0</v>
      </c>
      <c r="N473" s="90">
        <v>34127.23607181324</v>
      </c>
      <c r="O473" s="90">
        <v>0</v>
      </c>
      <c r="P473" s="90">
        <v>0</v>
      </c>
      <c r="Q473" s="90">
        <v>0</v>
      </c>
      <c r="R473" s="90">
        <v>55270.886363636368</v>
      </c>
    </row>
    <row r="474" spans="1:18">
      <c r="A474" s="90" t="s">
        <v>148</v>
      </c>
      <c r="B474" s="90" t="s">
        <v>1227</v>
      </c>
      <c r="C474" s="90" t="str">
        <f t="shared" si="7"/>
        <v>GolovinPublic Assembly</v>
      </c>
      <c r="D474" s="90">
        <v>5</v>
      </c>
      <c r="E474" s="90">
        <v>16671.884615384617</v>
      </c>
      <c r="F474" s="90">
        <v>10228.723765998351</v>
      </c>
      <c r="G474" s="90">
        <v>0</v>
      </c>
      <c r="H474" s="90">
        <v>71198.062453583523</v>
      </c>
      <c r="I474" s="90">
        <v>0</v>
      </c>
      <c r="J474" s="90">
        <v>0</v>
      </c>
      <c r="K474" s="90">
        <v>0</v>
      </c>
      <c r="L474" s="90">
        <v>7569.255586838779</v>
      </c>
      <c r="M474" s="90">
        <v>0</v>
      </c>
      <c r="N474" s="90">
        <v>52686.566215651808</v>
      </c>
      <c r="O474" s="90">
        <v>0</v>
      </c>
      <c r="P474" s="90">
        <v>0</v>
      </c>
      <c r="Q474" s="90">
        <v>0</v>
      </c>
      <c r="R474" s="90">
        <v>116703.19230769231</v>
      </c>
    </row>
    <row r="475" spans="1:18">
      <c r="A475" s="90" t="s">
        <v>148</v>
      </c>
      <c r="B475" s="90" t="s">
        <v>1475</v>
      </c>
      <c r="C475" s="90" t="str">
        <f t="shared" si="7"/>
        <v>GolovinPublic Safety</v>
      </c>
      <c r="D475" s="90">
        <v>1</v>
      </c>
      <c r="E475" s="90">
        <v>2595.4749999999999</v>
      </c>
      <c r="F475" s="90">
        <v>2523.774623927618</v>
      </c>
      <c r="G475" s="90">
        <v>0</v>
      </c>
      <c r="H475" s="90">
        <v>20946.642306328533</v>
      </c>
      <c r="I475" s="90">
        <v>0</v>
      </c>
      <c r="J475" s="90">
        <v>0</v>
      </c>
      <c r="K475" s="90">
        <v>0</v>
      </c>
      <c r="L475" s="90">
        <v>1867.5932217064374</v>
      </c>
      <c r="M475" s="90">
        <v>0</v>
      </c>
      <c r="N475" s="90">
        <v>15500.515306683114</v>
      </c>
      <c r="O475" s="90">
        <v>0</v>
      </c>
      <c r="P475" s="90">
        <v>0</v>
      </c>
      <c r="Q475" s="90">
        <v>0</v>
      </c>
      <c r="R475" s="90">
        <v>18168.325000000001</v>
      </c>
    </row>
    <row r="476" spans="1:18">
      <c r="A476" s="90" t="s">
        <v>148</v>
      </c>
      <c r="B476" s="90" t="s">
        <v>1485</v>
      </c>
      <c r="C476" s="90" t="str">
        <f t="shared" si="7"/>
        <v>GolovinRetail - Other</v>
      </c>
      <c r="D476" s="90">
        <v>2</v>
      </c>
      <c r="E476" s="90">
        <v>2705.28</v>
      </c>
      <c r="F476" s="90">
        <v>2638.7819714285715</v>
      </c>
      <c r="G476" s="90">
        <v>0</v>
      </c>
      <c r="H476" s="90">
        <v>63723.516517418924</v>
      </c>
      <c r="I476" s="90">
        <v>0</v>
      </c>
      <c r="J476" s="90">
        <v>0</v>
      </c>
      <c r="K476" s="90">
        <v>0</v>
      </c>
      <c r="L476" s="90">
        <v>1952.6986588571431</v>
      </c>
      <c r="M476" s="90">
        <v>0</v>
      </c>
      <c r="N476" s="90">
        <v>47155.402222889999</v>
      </c>
      <c r="O476" s="90">
        <v>0</v>
      </c>
      <c r="P476" s="90">
        <v>0</v>
      </c>
      <c r="Q476" s="90">
        <v>0</v>
      </c>
      <c r="R476" s="90">
        <v>18936.96</v>
      </c>
    </row>
    <row r="477" spans="1:18">
      <c r="A477" s="90" t="s">
        <v>148</v>
      </c>
      <c r="B477" s="90" t="s">
        <v>951</v>
      </c>
      <c r="C477" s="90" t="str">
        <f t="shared" si="7"/>
        <v>GolovinWarehousing</v>
      </c>
      <c r="D477" s="90">
        <v>2</v>
      </c>
      <c r="E477" s="90">
        <v>2336</v>
      </c>
      <c r="F477" s="90">
        <v>2928.2470300212535</v>
      </c>
      <c r="G477" s="90">
        <v>0</v>
      </c>
      <c r="H477" s="90">
        <v>27716.987564780466</v>
      </c>
      <c r="I477" s="90">
        <v>0</v>
      </c>
      <c r="J477" s="90">
        <v>0</v>
      </c>
      <c r="K477" s="90">
        <v>0</v>
      </c>
      <c r="L477" s="90">
        <v>2166.9028022157272</v>
      </c>
      <c r="M477" s="90">
        <v>0</v>
      </c>
      <c r="N477" s="90">
        <v>20510.570797937547</v>
      </c>
      <c r="O477" s="90">
        <v>0</v>
      </c>
      <c r="P477" s="90">
        <v>0</v>
      </c>
      <c r="Q477" s="90">
        <v>0</v>
      </c>
      <c r="R477" s="90">
        <v>16352</v>
      </c>
    </row>
    <row r="478" spans="1:18">
      <c r="A478" s="90" t="s">
        <v>78</v>
      </c>
      <c r="B478" s="90" t="s">
        <v>1439</v>
      </c>
      <c r="C478" s="90" t="str">
        <f t="shared" si="7"/>
        <v>Goodnews BayEducation - K - 12</v>
      </c>
      <c r="D478" s="90">
        <v>1</v>
      </c>
      <c r="E478" s="90">
        <v>16970</v>
      </c>
      <c r="F478" s="90">
        <v>0</v>
      </c>
      <c r="G478" s="90">
        <v>14386.562614662173</v>
      </c>
      <c r="H478" s="90">
        <v>110278.08329234537</v>
      </c>
      <c r="I478" s="90">
        <v>0</v>
      </c>
      <c r="J478" s="90">
        <v>0</v>
      </c>
      <c r="K478" s="90">
        <v>0</v>
      </c>
      <c r="L478" s="90">
        <v>0</v>
      </c>
      <c r="M478" s="90">
        <v>10646.056334850007</v>
      </c>
      <c r="N478" s="90">
        <v>81605.781636335567</v>
      </c>
      <c r="O478" s="90">
        <v>0</v>
      </c>
      <c r="P478" s="90">
        <v>0</v>
      </c>
      <c r="Q478" s="90">
        <v>0</v>
      </c>
      <c r="R478" s="90">
        <v>118790</v>
      </c>
    </row>
    <row r="479" spans="1:18">
      <c r="A479" s="90" t="s">
        <v>78</v>
      </c>
      <c r="B479" s="90" t="s">
        <v>1440</v>
      </c>
      <c r="C479" s="90" t="str">
        <f t="shared" si="7"/>
        <v>Goodnews BayHealth Care - Hospitals</v>
      </c>
      <c r="D479" s="90">
        <v>1</v>
      </c>
      <c r="E479" s="90">
        <v>2572</v>
      </c>
      <c r="F479" s="90">
        <v>2127</v>
      </c>
      <c r="G479" s="90">
        <v>1792.6154217061414</v>
      </c>
      <c r="H479" s="90">
        <v>14673</v>
      </c>
      <c r="I479" s="90">
        <v>0</v>
      </c>
      <c r="J479" s="90">
        <v>0</v>
      </c>
      <c r="K479" s="90">
        <v>0</v>
      </c>
      <c r="L479" s="90">
        <v>1573.98</v>
      </c>
      <c r="M479" s="90">
        <v>1326.5354120625445</v>
      </c>
      <c r="N479" s="90">
        <v>10858.02</v>
      </c>
      <c r="O479" s="90">
        <v>0</v>
      </c>
      <c r="P479" s="90">
        <v>0</v>
      </c>
      <c r="Q479" s="90">
        <v>0</v>
      </c>
      <c r="R479" s="90">
        <v>18004</v>
      </c>
    </row>
    <row r="480" spans="1:18">
      <c r="A480" s="90" t="s">
        <v>78</v>
      </c>
      <c r="B480" s="90" t="s">
        <v>665</v>
      </c>
      <c r="C480" s="90" t="str">
        <f t="shared" si="7"/>
        <v>Goodnews BayOffice</v>
      </c>
      <c r="D480" s="90">
        <v>1</v>
      </c>
      <c r="E480" s="90">
        <v>1608</v>
      </c>
      <c r="F480" s="90">
        <v>783</v>
      </c>
      <c r="G480" s="90">
        <v>0</v>
      </c>
      <c r="H480" s="90">
        <v>3018</v>
      </c>
      <c r="I480" s="90">
        <v>0</v>
      </c>
      <c r="J480" s="90">
        <v>0</v>
      </c>
      <c r="K480" s="90">
        <v>0</v>
      </c>
      <c r="L480" s="90">
        <v>579.41999999999996</v>
      </c>
      <c r="M480" s="90">
        <v>0</v>
      </c>
      <c r="N480" s="90">
        <v>2233.3200000000002</v>
      </c>
      <c r="O480" s="90">
        <v>0</v>
      </c>
      <c r="P480" s="90">
        <v>0</v>
      </c>
      <c r="Q480" s="90">
        <v>0</v>
      </c>
      <c r="R480" s="90">
        <v>11256</v>
      </c>
    </row>
    <row r="481" spans="1:18">
      <c r="A481" s="90" t="s">
        <v>78</v>
      </c>
      <c r="B481" s="90" t="s">
        <v>643</v>
      </c>
      <c r="C481" s="90" t="str">
        <f t="shared" si="7"/>
        <v>Goodnews BayOther</v>
      </c>
      <c r="D481" s="90">
        <v>5</v>
      </c>
      <c r="E481" s="90">
        <v>12910.761363636362</v>
      </c>
      <c r="F481" s="90">
        <v>11166.147562110949</v>
      </c>
      <c r="G481" s="90">
        <v>0</v>
      </c>
      <c r="H481" s="90">
        <v>80065.808649966988</v>
      </c>
      <c r="I481" s="90">
        <v>0</v>
      </c>
      <c r="J481" s="90">
        <v>0</v>
      </c>
      <c r="K481" s="90">
        <v>0</v>
      </c>
      <c r="L481" s="90">
        <v>8262.9491959621027</v>
      </c>
      <c r="M481" s="90">
        <v>0</v>
      </c>
      <c r="N481" s="90">
        <v>59248.698400975569</v>
      </c>
      <c r="O481" s="90">
        <v>0</v>
      </c>
      <c r="P481" s="90">
        <v>0</v>
      </c>
      <c r="Q481" s="90">
        <v>0</v>
      </c>
      <c r="R481" s="90">
        <v>90375.329545454544</v>
      </c>
    </row>
    <row r="482" spans="1:18">
      <c r="A482" s="90" t="s">
        <v>78</v>
      </c>
      <c r="B482" s="90" t="s">
        <v>1227</v>
      </c>
      <c r="C482" s="90" t="str">
        <f t="shared" si="7"/>
        <v>Goodnews BayPublic Assembly</v>
      </c>
      <c r="D482" s="90">
        <v>1</v>
      </c>
      <c r="E482" s="90">
        <v>5664</v>
      </c>
      <c r="F482" s="90">
        <v>400</v>
      </c>
      <c r="G482" s="90">
        <v>0</v>
      </c>
      <c r="H482" s="90">
        <v>29569</v>
      </c>
      <c r="I482" s="90">
        <v>0</v>
      </c>
      <c r="J482" s="90">
        <v>0</v>
      </c>
      <c r="K482" s="90">
        <v>0</v>
      </c>
      <c r="L482" s="90">
        <v>296</v>
      </c>
      <c r="M482" s="90">
        <v>0</v>
      </c>
      <c r="N482" s="90">
        <v>21881.06</v>
      </c>
      <c r="O482" s="90">
        <v>0</v>
      </c>
      <c r="P482" s="90">
        <v>0</v>
      </c>
      <c r="Q482" s="90">
        <v>0</v>
      </c>
      <c r="R482" s="90">
        <v>39648</v>
      </c>
    </row>
    <row r="483" spans="1:18">
      <c r="A483" s="90" t="s">
        <v>78</v>
      </c>
      <c r="B483" s="90" t="s">
        <v>1475</v>
      </c>
      <c r="C483" s="90" t="str">
        <f t="shared" si="7"/>
        <v>Goodnews BayPublic Safety</v>
      </c>
      <c r="D483" s="90">
        <v>2</v>
      </c>
      <c r="E483" s="90">
        <v>1200</v>
      </c>
      <c r="F483" s="90">
        <v>760.18978102189783</v>
      </c>
      <c r="G483" s="90">
        <v>583.42491234035037</v>
      </c>
      <c r="H483" s="90">
        <v>3122.0085884999999</v>
      </c>
      <c r="I483" s="90">
        <v>0</v>
      </c>
      <c r="J483" s="90">
        <v>0</v>
      </c>
      <c r="K483" s="90">
        <v>0</v>
      </c>
      <c r="L483" s="90">
        <v>562.54043795620441</v>
      </c>
      <c r="M483" s="90">
        <v>431.7344351318593</v>
      </c>
      <c r="N483" s="90">
        <v>2310.28635549</v>
      </c>
      <c r="O483" s="90">
        <v>0</v>
      </c>
      <c r="P483" s="90">
        <v>0</v>
      </c>
      <c r="Q483" s="90">
        <v>0</v>
      </c>
      <c r="R483" s="90">
        <v>8400</v>
      </c>
    </row>
    <row r="484" spans="1:18">
      <c r="A484" s="90" t="s">
        <v>79</v>
      </c>
      <c r="B484" s="90" t="s">
        <v>1439</v>
      </c>
      <c r="C484" s="90" t="str">
        <f t="shared" si="7"/>
        <v>GraylingEducation - K - 12</v>
      </c>
      <c r="D484" s="90">
        <v>2</v>
      </c>
      <c r="E484" s="90">
        <v>23434</v>
      </c>
      <c r="F484" s="90">
        <v>8221.5707116839039</v>
      </c>
      <c r="G484" s="90">
        <v>0</v>
      </c>
      <c r="H484" s="90">
        <v>50876.563535760797</v>
      </c>
      <c r="I484" s="90">
        <v>0</v>
      </c>
      <c r="J484" s="90">
        <v>0</v>
      </c>
      <c r="K484" s="90">
        <v>0</v>
      </c>
      <c r="L484" s="90">
        <v>6083.9623266460894</v>
      </c>
      <c r="M484" s="90">
        <v>0</v>
      </c>
      <c r="N484" s="90">
        <v>37648.657016462996</v>
      </c>
      <c r="O484" s="90">
        <v>0</v>
      </c>
      <c r="P484" s="90">
        <v>0</v>
      </c>
      <c r="Q484" s="90">
        <v>0</v>
      </c>
      <c r="R484" s="90">
        <v>164038</v>
      </c>
    </row>
    <row r="485" spans="1:18">
      <c r="A485" s="90" t="s">
        <v>79</v>
      </c>
      <c r="B485" s="90" t="s">
        <v>1440</v>
      </c>
      <c r="C485" s="90" t="str">
        <f t="shared" si="7"/>
        <v>GraylingHealth Care - Hospitals</v>
      </c>
      <c r="D485" s="90">
        <v>2</v>
      </c>
      <c r="E485" s="90">
        <v>3096.9250000000002</v>
      </c>
      <c r="F485" s="90">
        <v>2268.0165476804564</v>
      </c>
      <c r="G485" s="90">
        <v>0</v>
      </c>
      <c r="H485" s="90">
        <v>27138.563262470368</v>
      </c>
      <c r="I485" s="90">
        <v>0</v>
      </c>
      <c r="J485" s="90">
        <v>0</v>
      </c>
      <c r="K485" s="90">
        <v>0</v>
      </c>
      <c r="L485" s="90">
        <v>1678.3322452835378</v>
      </c>
      <c r="M485" s="90">
        <v>0</v>
      </c>
      <c r="N485" s="90">
        <v>20082.536814228071</v>
      </c>
      <c r="O485" s="90">
        <v>0</v>
      </c>
      <c r="P485" s="90">
        <v>0</v>
      </c>
      <c r="Q485" s="90">
        <v>0</v>
      </c>
      <c r="R485" s="90">
        <v>21678.475000000002</v>
      </c>
    </row>
    <row r="486" spans="1:18">
      <c r="A486" s="90" t="s">
        <v>79</v>
      </c>
      <c r="B486" s="90" t="s">
        <v>665</v>
      </c>
      <c r="C486" s="90" t="str">
        <f t="shared" si="7"/>
        <v>GraylingOffice</v>
      </c>
      <c r="D486" s="90">
        <v>2</v>
      </c>
      <c r="E486" s="90">
        <v>2513.2585034013605</v>
      </c>
      <c r="F486" s="90">
        <v>3344.3008568645314</v>
      </c>
      <c r="G486" s="90">
        <v>0</v>
      </c>
      <c r="H486" s="90">
        <v>20146.356159196679</v>
      </c>
      <c r="I486" s="90">
        <v>0</v>
      </c>
      <c r="J486" s="90">
        <v>0</v>
      </c>
      <c r="K486" s="90">
        <v>0</v>
      </c>
      <c r="L486" s="90">
        <v>2474.7826340797533</v>
      </c>
      <c r="M486" s="90">
        <v>0</v>
      </c>
      <c r="N486" s="90">
        <v>14908.303557805542</v>
      </c>
      <c r="O486" s="90">
        <v>0</v>
      </c>
      <c r="P486" s="90">
        <v>0</v>
      </c>
      <c r="Q486" s="90">
        <v>0</v>
      </c>
      <c r="R486" s="90">
        <v>17592.809523809523</v>
      </c>
    </row>
    <row r="487" spans="1:18">
      <c r="A487" s="90" t="s">
        <v>79</v>
      </c>
      <c r="B487" s="90" t="s">
        <v>643</v>
      </c>
      <c r="C487" s="90" t="str">
        <f t="shared" si="7"/>
        <v>GraylingOther</v>
      </c>
      <c r="D487" s="90">
        <v>7</v>
      </c>
      <c r="E487" s="90">
        <v>10087.920454545454</v>
      </c>
      <c r="F487" s="90">
        <v>9071.8008224433033</v>
      </c>
      <c r="G487" s="90">
        <v>0</v>
      </c>
      <c r="H487" s="90">
        <v>51824.104943895334</v>
      </c>
      <c r="I487" s="90">
        <v>0</v>
      </c>
      <c r="J487" s="90">
        <v>0</v>
      </c>
      <c r="K487" s="90">
        <v>0</v>
      </c>
      <c r="L487" s="90">
        <v>6713.1326086080444</v>
      </c>
      <c r="M487" s="90">
        <v>0</v>
      </c>
      <c r="N487" s="90">
        <v>38349.837658482553</v>
      </c>
      <c r="O487" s="90">
        <v>0</v>
      </c>
      <c r="P487" s="90">
        <v>0</v>
      </c>
      <c r="Q487" s="90">
        <v>0</v>
      </c>
      <c r="R487" s="90">
        <v>70615.443181818177</v>
      </c>
    </row>
    <row r="488" spans="1:18">
      <c r="A488" s="90" t="s">
        <v>79</v>
      </c>
      <c r="B488" s="90" t="s">
        <v>1227</v>
      </c>
      <c r="C488" s="90" t="str">
        <f t="shared" si="7"/>
        <v>GraylingPublic Assembly</v>
      </c>
      <c r="D488" s="90">
        <v>5</v>
      </c>
      <c r="E488" s="90">
        <v>13460.163461538463</v>
      </c>
      <c r="F488" s="90">
        <v>7883.5428244987615</v>
      </c>
      <c r="G488" s="90">
        <v>0</v>
      </c>
      <c r="H488" s="90">
        <v>52728.546840187657</v>
      </c>
      <c r="I488" s="90">
        <v>0</v>
      </c>
      <c r="J488" s="90">
        <v>0</v>
      </c>
      <c r="K488" s="90">
        <v>0</v>
      </c>
      <c r="L488" s="90">
        <v>5833.8216901290843</v>
      </c>
      <c r="M488" s="90">
        <v>0</v>
      </c>
      <c r="N488" s="90">
        <v>39019.124661738861</v>
      </c>
      <c r="O488" s="90">
        <v>0</v>
      </c>
      <c r="P488" s="90">
        <v>0</v>
      </c>
      <c r="Q488" s="90">
        <v>0</v>
      </c>
      <c r="R488" s="90">
        <v>94221.144230769234</v>
      </c>
    </row>
    <row r="489" spans="1:18">
      <c r="A489" s="90" t="s">
        <v>79</v>
      </c>
      <c r="B489" s="90" t="s">
        <v>1475</v>
      </c>
      <c r="C489" s="90" t="str">
        <f t="shared" si="7"/>
        <v>GraylingPublic Safety</v>
      </c>
      <c r="D489" s="90">
        <v>1</v>
      </c>
      <c r="E489" s="90">
        <v>864</v>
      </c>
      <c r="F489" s="90">
        <v>686</v>
      </c>
      <c r="G489" s="90">
        <v>0</v>
      </c>
      <c r="H489" s="90">
        <v>8912</v>
      </c>
      <c r="I489" s="90">
        <v>0</v>
      </c>
      <c r="J489" s="90">
        <v>0</v>
      </c>
      <c r="K489" s="90">
        <v>0</v>
      </c>
      <c r="L489" s="90">
        <v>507.64</v>
      </c>
      <c r="M489" s="90">
        <v>0</v>
      </c>
      <c r="N489" s="90">
        <v>6594.88</v>
      </c>
      <c r="O489" s="90">
        <v>0</v>
      </c>
      <c r="P489" s="90">
        <v>0</v>
      </c>
      <c r="Q489" s="90">
        <v>0</v>
      </c>
      <c r="R489" s="90">
        <v>6048</v>
      </c>
    </row>
    <row r="490" spans="1:18">
      <c r="A490" s="90" t="s">
        <v>79</v>
      </c>
      <c r="B490" s="90" t="s">
        <v>951</v>
      </c>
      <c r="C490" s="90" t="str">
        <f t="shared" si="7"/>
        <v>GraylingWarehousing</v>
      </c>
      <c r="D490" s="90">
        <v>2</v>
      </c>
      <c r="E490" s="90">
        <v>2960</v>
      </c>
      <c r="F490" s="90">
        <v>3710.4500037940543</v>
      </c>
      <c r="G490" s="90">
        <v>0</v>
      </c>
      <c r="H490" s="90">
        <v>35120.840407427298</v>
      </c>
      <c r="I490" s="90">
        <v>0</v>
      </c>
      <c r="J490" s="90">
        <v>0</v>
      </c>
      <c r="K490" s="90">
        <v>0</v>
      </c>
      <c r="L490" s="90">
        <v>2745.7330028075999</v>
      </c>
      <c r="M490" s="90">
        <v>0</v>
      </c>
      <c r="N490" s="90">
        <v>25989.421901496204</v>
      </c>
      <c r="O490" s="90">
        <v>0</v>
      </c>
      <c r="P490" s="90">
        <v>0</v>
      </c>
      <c r="Q490" s="90">
        <v>0</v>
      </c>
      <c r="R490" s="90">
        <v>20720</v>
      </c>
    </row>
    <row r="491" spans="1:18">
      <c r="A491" s="90" t="s">
        <v>8</v>
      </c>
      <c r="B491" s="90" t="s">
        <v>1439</v>
      </c>
      <c r="C491" s="90" t="str">
        <f t="shared" si="7"/>
        <v>GustavusEducation - K - 12</v>
      </c>
      <c r="D491" s="90">
        <v>2</v>
      </c>
      <c r="E491" s="90">
        <v>17073</v>
      </c>
      <c r="F491" s="90">
        <v>6338.9386861313869</v>
      </c>
      <c r="G491" s="90">
        <v>0</v>
      </c>
      <c r="H491" s="90">
        <v>120889.1636018104</v>
      </c>
      <c r="I491" s="90">
        <v>0</v>
      </c>
      <c r="J491" s="90">
        <v>0</v>
      </c>
      <c r="K491" s="90">
        <v>0</v>
      </c>
      <c r="L491" s="90">
        <v>4690.8146277372261</v>
      </c>
      <c r="M491" s="90">
        <v>0</v>
      </c>
      <c r="N491" s="90">
        <v>89457.9810653397</v>
      </c>
      <c r="O491" s="90">
        <v>0</v>
      </c>
      <c r="P491" s="90">
        <v>0</v>
      </c>
      <c r="Q491" s="90">
        <v>0</v>
      </c>
      <c r="R491" s="90">
        <v>119511</v>
      </c>
    </row>
    <row r="492" spans="1:18">
      <c r="A492" s="90" t="s">
        <v>8</v>
      </c>
      <c r="B492" s="90" t="s">
        <v>1440</v>
      </c>
      <c r="C492" s="90" t="str">
        <f t="shared" si="7"/>
        <v>GustavusHealth Care - Hospitals</v>
      </c>
      <c r="D492" s="90">
        <v>1</v>
      </c>
      <c r="E492" s="90">
        <v>3905.5925000000002</v>
      </c>
      <c r="F492" s="90">
        <v>2468.6293072959174</v>
      </c>
      <c r="G492" s="90">
        <v>0</v>
      </c>
      <c r="H492" s="90">
        <v>34430.972059887106</v>
      </c>
      <c r="I492" s="90">
        <v>0</v>
      </c>
      <c r="J492" s="90">
        <v>0</v>
      </c>
      <c r="K492" s="90">
        <v>0</v>
      </c>
      <c r="L492" s="90">
        <v>1826.7856873989788</v>
      </c>
      <c r="M492" s="90">
        <v>0</v>
      </c>
      <c r="N492" s="90">
        <v>25478.919324316459</v>
      </c>
      <c r="O492" s="90">
        <v>0</v>
      </c>
      <c r="P492" s="90">
        <v>0</v>
      </c>
      <c r="Q492" s="90">
        <v>0</v>
      </c>
      <c r="R492" s="90">
        <v>27339.147500000003</v>
      </c>
    </row>
    <row r="493" spans="1:18">
      <c r="A493" s="90" t="s">
        <v>8</v>
      </c>
      <c r="B493" s="90" t="s">
        <v>665</v>
      </c>
      <c r="C493" s="90" t="str">
        <f t="shared" si="7"/>
        <v>GustavusOffice</v>
      </c>
      <c r="D493" s="90">
        <v>1</v>
      </c>
      <c r="E493" s="90">
        <v>2885.1690647482014</v>
      </c>
      <c r="F493" s="90">
        <v>2401.7606412594769</v>
      </c>
      <c r="G493" s="90">
        <v>0</v>
      </c>
      <c r="H493" s="90">
        <v>16369.463605147095</v>
      </c>
      <c r="I493" s="90">
        <v>0</v>
      </c>
      <c r="J493" s="90">
        <v>0</v>
      </c>
      <c r="K493" s="90">
        <v>0</v>
      </c>
      <c r="L493" s="90">
        <v>1777.3028745320128</v>
      </c>
      <c r="M493" s="90">
        <v>0</v>
      </c>
      <c r="N493" s="90">
        <v>12113.403067808851</v>
      </c>
      <c r="O493" s="90">
        <v>0</v>
      </c>
      <c r="P493" s="90">
        <v>0</v>
      </c>
      <c r="Q493" s="90">
        <v>0</v>
      </c>
      <c r="R493" s="90">
        <v>20196.183453237409</v>
      </c>
    </row>
    <row r="494" spans="1:18">
      <c r="A494" s="90" t="s">
        <v>8</v>
      </c>
      <c r="B494" s="90" t="s">
        <v>643</v>
      </c>
      <c r="C494" s="90" t="str">
        <f t="shared" si="7"/>
        <v>GustavusOther</v>
      </c>
      <c r="D494" s="90">
        <v>6</v>
      </c>
      <c r="E494" s="90">
        <v>22914.763358778626</v>
      </c>
      <c r="F494" s="90">
        <v>21990.710023155531</v>
      </c>
      <c r="G494" s="90">
        <v>0</v>
      </c>
      <c r="H494" s="90">
        <v>170976.03643458738</v>
      </c>
      <c r="I494" s="90">
        <v>0</v>
      </c>
      <c r="J494" s="90">
        <v>0</v>
      </c>
      <c r="K494" s="90">
        <v>0</v>
      </c>
      <c r="L494" s="90">
        <v>16273.125417135092</v>
      </c>
      <c r="M494" s="90">
        <v>0</v>
      </c>
      <c r="N494" s="90">
        <v>126522.26696159468</v>
      </c>
      <c r="O494" s="90">
        <v>0</v>
      </c>
      <c r="P494" s="90">
        <v>0</v>
      </c>
      <c r="Q494" s="90">
        <v>0</v>
      </c>
      <c r="R494" s="90">
        <v>160403.3435114504</v>
      </c>
    </row>
    <row r="495" spans="1:18">
      <c r="A495" s="90" t="s">
        <v>8</v>
      </c>
      <c r="B495" s="90" t="s">
        <v>1475</v>
      </c>
      <c r="C495" s="90" t="str">
        <f t="shared" si="7"/>
        <v>GustavusPublic Safety</v>
      </c>
      <c r="D495" s="90">
        <v>2</v>
      </c>
      <c r="E495" s="90">
        <v>6597.4089393939394</v>
      </c>
      <c r="F495" s="90">
        <v>5372.6632233831842</v>
      </c>
      <c r="G495" s="90">
        <v>0</v>
      </c>
      <c r="H495" s="90">
        <v>54561.112406938366</v>
      </c>
      <c r="I495" s="90">
        <v>0</v>
      </c>
      <c r="J495" s="90">
        <v>0</v>
      </c>
      <c r="K495" s="90">
        <v>0</v>
      </c>
      <c r="L495" s="90">
        <v>3975.7707853035563</v>
      </c>
      <c r="M495" s="90">
        <v>0</v>
      </c>
      <c r="N495" s="90">
        <v>40375.223181134395</v>
      </c>
      <c r="O495" s="90">
        <v>0</v>
      </c>
      <c r="P495" s="90">
        <v>0</v>
      </c>
      <c r="Q495" s="90">
        <v>0</v>
      </c>
      <c r="R495" s="90">
        <v>46181.862575757579</v>
      </c>
    </row>
    <row r="496" spans="1:18">
      <c r="A496" s="90" t="s">
        <v>8</v>
      </c>
      <c r="B496" s="90" t="s">
        <v>951</v>
      </c>
      <c r="C496" s="90" t="str">
        <f t="shared" si="7"/>
        <v>GustavusWarehousing</v>
      </c>
      <c r="D496" s="90">
        <v>1</v>
      </c>
      <c r="E496" s="90">
        <v>3900</v>
      </c>
      <c r="F496" s="90">
        <v>6806.6445491296981</v>
      </c>
      <c r="G496" s="90">
        <v>0</v>
      </c>
      <c r="H496" s="90">
        <v>178692.99640253617</v>
      </c>
      <c r="I496" s="90">
        <v>0</v>
      </c>
      <c r="J496" s="90">
        <v>0</v>
      </c>
      <c r="K496" s="90">
        <v>0</v>
      </c>
      <c r="L496" s="90">
        <v>5036.9169663559769</v>
      </c>
      <c r="M496" s="90">
        <v>0</v>
      </c>
      <c r="N496" s="90">
        <v>132232.81733787677</v>
      </c>
      <c r="O496" s="90">
        <v>0</v>
      </c>
      <c r="P496" s="90">
        <v>0</v>
      </c>
      <c r="Q496" s="90">
        <v>0</v>
      </c>
      <c r="R496" s="90">
        <v>27300</v>
      </c>
    </row>
    <row r="497" spans="1:18">
      <c r="A497" s="90" t="s">
        <v>18</v>
      </c>
      <c r="B497" s="90" t="s">
        <v>1439</v>
      </c>
      <c r="C497" s="90" t="str">
        <f t="shared" si="7"/>
        <v>HainesEducation - K - 12</v>
      </c>
      <c r="D497" s="90">
        <v>3</v>
      </c>
      <c r="E497" s="90">
        <v>180272.69298245612</v>
      </c>
      <c r="F497" s="90">
        <v>139303.51054848536</v>
      </c>
      <c r="G497" s="90">
        <v>0</v>
      </c>
      <c r="H497" s="90">
        <v>1644069.7790551684</v>
      </c>
      <c r="I497" s="90">
        <v>0</v>
      </c>
      <c r="J497" s="90">
        <v>0</v>
      </c>
      <c r="K497" s="90">
        <v>0</v>
      </c>
      <c r="L497" s="90">
        <v>103084.59780587918</v>
      </c>
      <c r="M497" s="90">
        <v>0</v>
      </c>
      <c r="N497" s="90">
        <v>1216611.6365008245</v>
      </c>
      <c r="O497" s="90">
        <v>0</v>
      </c>
      <c r="P497" s="90">
        <v>0</v>
      </c>
      <c r="Q497" s="90">
        <v>0</v>
      </c>
      <c r="R497" s="90">
        <v>1261908.8508771928</v>
      </c>
    </row>
    <row r="498" spans="1:18">
      <c r="A498" s="90" t="s">
        <v>18</v>
      </c>
      <c r="B498" s="90" t="s">
        <v>1440</v>
      </c>
      <c r="C498" s="90" t="str">
        <f t="shared" si="7"/>
        <v>HainesHealth Care - Hospitals</v>
      </c>
      <c r="D498" s="90">
        <v>1</v>
      </c>
      <c r="E498" s="90">
        <v>10947</v>
      </c>
      <c r="F498" s="90">
        <v>4502.8379562043801</v>
      </c>
      <c r="G498" s="90">
        <v>0</v>
      </c>
      <c r="H498" s="90">
        <v>93168.838511999988</v>
      </c>
      <c r="I498" s="90">
        <v>0</v>
      </c>
      <c r="J498" s="90">
        <v>0</v>
      </c>
      <c r="K498" s="90">
        <v>0</v>
      </c>
      <c r="L498" s="90">
        <v>3332.1000875912414</v>
      </c>
      <c r="M498" s="90">
        <v>0</v>
      </c>
      <c r="N498" s="90">
        <v>68944.940498879994</v>
      </c>
      <c r="O498" s="90">
        <v>0</v>
      </c>
      <c r="P498" s="90">
        <v>0</v>
      </c>
      <c r="Q498" s="90">
        <v>0</v>
      </c>
      <c r="R498" s="90">
        <v>76629</v>
      </c>
    </row>
    <row r="499" spans="1:18">
      <c r="A499" s="90" t="s">
        <v>18</v>
      </c>
      <c r="B499" s="90" t="s">
        <v>1444</v>
      </c>
      <c r="C499" s="90" t="str">
        <f t="shared" si="7"/>
        <v>HainesHealth Care - Nursing/Residential Care</v>
      </c>
      <c r="D499" s="90">
        <v>1</v>
      </c>
      <c r="E499" s="90">
        <v>20815</v>
      </c>
      <c r="F499" s="90">
        <v>0</v>
      </c>
      <c r="G499" s="90">
        <v>0</v>
      </c>
      <c r="H499" s="90">
        <v>405373.60279860202</v>
      </c>
      <c r="I499" s="90">
        <v>0</v>
      </c>
      <c r="J499" s="90">
        <v>0</v>
      </c>
      <c r="K499" s="90">
        <v>153.4587401040171</v>
      </c>
      <c r="L499" s="90">
        <v>0</v>
      </c>
      <c r="M499" s="90">
        <v>0</v>
      </c>
      <c r="N499" s="90">
        <v>299976.46607096551</v>
      </c>
      <c r="O499" s="90">
        <v>0</v>
      </c>
      <c r="P499" s="90">
        <v>0</v>
      </c>
      <c r="Q499" s="90">
        <v>113.55946767697264</v>
      </c>
      <c r="R499" s="90">
        <v>145705</v>
      </c>
    </row>
    <row r="500" spans="1:18">
      <c r="A500" s="90" t="s">
        <v>18</v>
      </c>
      <c r="B500" s="90" t="s">
        <v>665</v>
      </c>
      <c r="C500" s="90" t="str">
        <f t="shared" si="7"/>
        <v>HainesOffice</v>
      </c>
      <c r="D500" s="90">
        <v>9</v>
      </c>
      <c r="E500" s="90">
        <v>81190.000016949154</v>
      </c>
      <c r="F500" s="90">
        <v>34241.41873683827</v>
      </c>
      <c r="G500" s="90">
        <v>0</v>
      </c>
      <c r="H500" s="90">
        <v>1124766.0268874157</v>
      </c>
      <c r="I500" s="90">
        <v>0</v>
      </c>
      <c r="J500" s="90">
        <v>60.297049180327875</v>
      </c>
      <c r="K500" s="90">
        <v>20.409043445765604</v>
      </c>
      <c r="L500" s="90">
        <v>25338.649865260322</v>
      </c>
      <c r="M500" s="90">
        <v>0</v>
      </c>
      <c r="N500" s="90">
        <v>832326.85989668744</v>
      </c>
      <c r="O500" s="90">
        <v>0</v>
      </c>
      <c r="P500" s="90">
        <v>44.619816393442626</v>
      </c>
      <c r="Q500" s="90">
        <v>15.102692149866547</v>
      </c>
      <c r="R500" s="90">
        <v>568330.00011864409</v>
      </c>
    </row>
    <row r="501" spans="1:18">
      <c r="A501" s="90" t="s">
        <v>18</v>
      </c>
      <c r="B501" s="90" t="s">
        <v>643</v>
      </c>
      <c r="C501" s="90" t="str">
        <f t="shared" si="7"/>
        <v>HainesOther</v>
      </c>
      <c r="D501" s="90">
        <v>13</v>
      </c>
      <c r="E501" s="90">
        <v>83624.496753246756</v>
      </c>
      <c r="F501" s="90">
        <v>49461.660529027678</v>
      </c>
      <c r="G501" s="90">
        <v>0</v>
      </c>
      <c r="H501" s="90">
        <v>738379.88575466955</v>
      </c>
      <c r="I501" s="90">
        <v>0</v>
      </c>
      <c r="J501" s="90">
        <v>0</v>
      </c>
      <c r="K501" s="90">
        <v>0</v>
      </c>
      <c r="L501" s="90">
        <v>36601.628791480493</v>
      </c>
      <c r="M501" s="90">
        <v>0</v>
      </c>
      <c r="N501" s="90">
        <v>546401.11545845552</v>
      </c>
      <c r="O501" s="90">
        <v>0</v>
      </c>
      <c r="P501" s="90">
        <v>0</v>
      </c>
      <c r="Q501" s="90">
        <v>0</v>
      </c>
      <c r="R501" s="90">
        <v>585371.47727272729</v>
      </c>
    </row>
    <row r="502" spans="1:18">
      <c r="A502" s="90" t="s">
        <v>18</v>
      </c>
      <c r="B502" s="90" t="s">
        <v>1227</v>
      </c>
      <c r="C502" s="90" t="str">
        <f t="shared" si="7"/>
        <v>HainesPublic Assembly</v>
      </c>
      <c r="D502" s="90">
        <v>1</v>
      </c>
      <c r="E502" s="90">
        <v>12071.75</v>
      </c>
      <c r="F502" s="90">
        <v>13597.384652005281</v>
      </c>
      <c r="G502" s="90">
        <v>0</v>
      </c>
      <c r="H502" s="90">
        <v>180869.09144372467</v>
      </c>
      <c r="I502" s="90">
        <v>0</v>
      </c>
      <c r="J502" s="90">
        <v>0</v>
      </c>
      <c r="K502" s="90">
        <v>0</v>
      </c>
      <c r="L502" s="90">
        <v>10062.064642483909</v>
      </c>
      <c r="M502" s="90">
        <v>0</v>
      </c>
      <c r="N502" s="90">
        <v>133843.12766835626</v>
      </c>
      <c r="O502" s="90">
        <v>0</v>
      </c>
      <c r="P502" s="90">
        <v>0</v>
      </c>
      <c r="Q502" s="90">
        <v>0</v>
      </c>
      <c r="R502" s="90">
        <v>84502.25</v>
      </c>
    </row>
    <row r="503" spans="1:18">
      <c r="A503" s="90" t="s">
        <v>18</v>
      </c>
      <c r="B503" s="90" t="s">
        <v>1475</v>
      </c>
      <c r="C503" s="90" t="str">
        <f t="shared" si="7"/>
        <v>HainesPublic Safety</v>
      </c>
      <c r="D503" s="90">
        <v>2</v>
      </c>
      <c r="E503" s="90">
        <v>25499.666666666664</v>
      </c>
      <c r="F503" s="90">
        <v>13511.233193834662</v>
      </c>
      <c r="G503" s="90">
        <v>0</v>
      </c>
      <c r="H503" s="90">
        <v>500191.0577555151</v>
      </c>
      <c r="I503" s="90">
        <v>0</v>
      </c>
      <c r="J503" s="90">
        <v>0</v>
      </c>
      <c r="K503" s="90">
        <v>0</v>
      </c>
      <c r="L503" s="90">
        <v>9998.3125634376502</v>
      </c>
      <c r="M503" s="90">
        <v>0</v>
      </c>
      <c r="N503" s="90">
        <v>370141.38273908116</v>
      </c>
      <c r="O503" s="90">
        <v>0</v>
      </c>
      <c r="P503" s="90">
        <v>0</v>
      </c>
      <c r="Q503" s="90">
        <v>0</v>
      </c>
      <c r="R503" s="90">
        <v>178497.66666666666</v>
      </c>
    </row>
    <row r="504" spans="1:18">
      <c r="A504" s="90" t="s">
        <v>18</v>
      </c>
      <c r="B504" s="90" t="s">
        <v>951</v>
      </c>
      <c r="C504" s="90" t="str">
        <f t="shared" si="7"/>
        <v>HainesWarehousing</v>
      </c>
      <c r="D504" s="90">
        <v>3</v>
      </c>
      <c r="E504" s="90">
        <v>20292.580645161292</v>
      </c>
      <c r="F504" s="90">
        <v>18660.949067606973</v>
      </c>
      <c r="G504" s="90">
        <v>0</v>
      </c>
      <c r="H504" s="90">
        <v>267160.62513591617</v>
      </c>
      <c r="I504" s="90">
        <v>0</v>
      </c>
      <c r="J504" s="90">
        <v>0</v>
      </c>
      <c r="K504" s="90">
        <v>0</v>
      </c>
      <c r="L504" s="90">
        <v>13809.102310029159</v>
      </c>
      <c r="M504" s="90">
        <v>0</v>
      </c>
      <c r="N504" s="90">
        <v>197698.86260057794</v>
      </c>
      <c r="O504" s="90">
        <v>0</v>
      </c>
      <c r="P504" s="90">
        <v>0</v>
      </c>
      <c r="Q504" s="90">
        <v>0</v>
      </c>
      <c r="R504" s="90">
        <v>142048.06451612903</v>
      </c>
    </row>
    <row r="505" spans="1:18">
      <c r="A505" s="90" t="s">
        <v>1016</v>
      </c>
      <c r="B505" s="90" t="s">
        <v>643</v>
      </c>
      <c r="C505" s="90" t="str">
        <f t="shared" si="7"/>
        <v>Halibut CoveOther</v>
      </c>
      <c r="D505" s="90">
        <v>1</v>
      </c>
      <c r="E505" s="90">
        <v>2163.9204545454545</v>
      </c>
      <c r="F505" s="90">
        <v>1871.5127967727569</v>
      </c>
      <c r="G505" s="90">
        <v>0</v>
      </c>
      <c r="H505" s="90">
        <v>15748.986486464588</v>
      </c>
      <c r="I505" s="90">
        <v>0</v>
      </c>
      <c r="J505" s="90">
        <v>0</v>
      </c>
      <c r="K505" s="90">
        <v>0</v>
      </c>
      <c r="L505" s="90">
        <v>1384.9194696118402</v>
      </c>
      <c r="M505" s="90">
        <v>0</v>
      </c>
      <c r="N505" s="90">
        <v>11654.249999983795</v>
      </c>
      <c r="O505" s="90">
        <v>0</v>
      </c>
      <c r="P505" s="90">
        <v>0</v>
      </c>
      <c r="Q505" s="90">
        <v>0</v>
      </c>
      <c r="R505" s="90">
        <v>15147.443181818182</v>
      </c>
    </row>
    <row r="506" spans="1:18">
      <c r="A506" s="90" t="s">
        <v>1017</v>
      </c>
      <c r="B506" s="90" t="s">
        <v>1439</v>
      </c>
      <c r="C506" s="90" t="str">
        <f t="shared" si="7"/>
        <v>HealyEducation - K - 12</v>
      </c>
      <c r="D506" s="90">
        <v>1</v>
      </c>
      <c r="E506" s="90">
        <v>50966</v>
      </c>
      <c r="F506" s="90">
        <v>37441.20865313305</v>
      </c>
      <c r="G506" s="90">
        <v>0</v>
      </c>
      <c r="H506" s="90">
        <v>360876.06818543136</v>
      </c>
      <c r="I506" s="90">
        <v>0</v>
      </c>
      <c r="J506" s="90">
        <v>0</v>
      </c>
      <c r="K506" s="90">
        <v>0</v>
      </c>
      <c r="L506" s="90">
        <v>27706.494403318455</v>
      </c>
      <c r="M506" s="90">
        <v>0</v>
      </c>
      <c r="N506" s="90">
        <v>267048.29045721918</v>
      </c>
      <c r="O506" s="90">
        <v>0</v>
      </c>
      <c r="P506" s="90">
        <v>0</v>
      </c>
      <c r="Q506" s="90">
        <v>0</v>
      </c>
      <c r="R506" s="90">
        <v>356762</v>
      </c>
    </row>
    <row r="507" spans="1:18">
      <c r="A507" s="90" t="s">
        <v>60</v>
      </c>
      <c r="B507" s="90" t="s">
        <v>1439</v>
      </c>
      <c r="C507" s="90" t="str">
        <f t="shared" si="7"/>
        <v>Healy LakeEducation - K - 12</v>
      </c>
      <c r="D507" s="90">
        <v>1</v>
      </c>
      <c r="E507" s="90">
        <v>7600</v>
      </c>
      <c r="F507" s="90">
        <v>6443.009774392016</v>
      </c>
      <c r="G507" s="90">
        <v>0</v>
      </c>
      <c r="H507" s="90">
        <v>49387.945375475829</v>
      </c>
      <c r="I507" s="90">
        <v>0</v>
      </c>
      <c r="J507" s="90">
        <v>0</v>
      </c>
      <c r="K507" s="90">
        <v>0</v>
      </c>
      <c r="L507" s="90">
        <v>4767.8272330500913</v>
      </c>
      <c r="M507" s="90">
        <v>0</v>
      </c>
      <c r="N507" s="90">
        <v>36547.079577852113</v>
      </c>
      <c r="O507" s="90">
        <v>0</v>
      </c>
      <c r="P507" s="90">
        <v>0</v>
      </c>
      <c r="Q507" s="90">
        <v>0</v>
      </c>
      <c r="R507" s="90">
        <v>53200</v>
      </c>
    </row>
    <row r="508" spans="1:18">
      <c r="A508" s="90" t="s">
        <v>60</v>
      </c>
      <c r="B508" s="90" t="s">
        <v>665</v>
      </c>
      <c r="C508" s="90" t="str">
        <f t="shared" si="7"/>
        <v>Healy LakeOffice</v>
      </c>
      <c r="D508" s="90">
        <v>1</v>
      </c>
      <c r="E508" s="90">
        <v>2033.2585034013605</v>
      </c>
      <c r="F508" s="90">
        <v>2705.5824722962652</v>
      </c>
      <c r="G508" s="90">
        <v>0</v>
      </c>
      <c r="H508" s="90">
        <v>16298.661644952717</v>
      </c>
      <c r="I508" s="90">
        <v>0</v>
      </c>
      <c r="J508" s="90">
        <v>0</v>
      </c>
      <c r="K508" s="90">
        <v>0</v>
      </c>
      <c r="L508" s="90">
        <v>2002.1310294992363</v>
      </c>
      <c r="M508" s="90">
        <v>0</v>
      </c>
      <c r="N508" s="90">
        <v>12061.00961726501</v>
      </c>
      <c r="O508" s="90">
        <v>0</v>
      </c>
      <c r="P508" s="90">
        <v>0</v>
      </c>
      <c r="Q508" s="90">
        <v>0</v>
      </c>
      <c r="R508" s="90">
        <v>14232.809523809523</v>
      </c>
    </row>
    <row r="509" spans="1:18">
      <c r="A509" s="90" t="s">
        <v>60</v>
      </c>
      <c r="B509" s="90" t="s">
        <v>1227</v>
      </c>
      <c r="C509" s="90" t="str">
        <f t="shared" si="7"/>
        <v>Healy LakePublic Assembly</v>
      </c>
      <c r="D509" s="90">
        <v>1</v>
      </c>
      <c r="E509" s="90">
        <v>3136.7211538461538</v>
      </c>
      <c r="F509" s="90">
        <v>1957.1809414995873</v>
      </c>
      <c r="G509" s="90">
        <v>0</v>
      </c>
      <c r="H509" s="90">
        <v>11799.515613395884</v>
      </c>
      <c r="I509" s="90">
        <v>0</v>
      </c>
      <c r="J509" s="90">
        <v>0</v>
      </c>
      <c r="K509" s="90">
        <v>0</v>
      </c>
      <c r="L509" s="90">
        <v>1448.3138967096945</v>
      </c>
      <c r="M509" s="90">
        <v>0</v>
      </c>
      <c r="N509" s="90">
        <v>8731.6415539129539</v>
      </c>
      <c r="O509" s="90">
        <v>0</v>
      </c>
      <c r="P509" s="90">
        <v>0</v>
      </c>
      <c r="Q509" s="90">
        <v>0</v>
      </c>
      <c r="R509" s="90">
        <v>21957.048076923078</v>
      </c>
    </row>
    <row r="510" spans="1:18">
      <c r="A510" s="90" t="s">
        <v>61</v>
      </c>
      <c r="B510" s="90" t="s">
        <v>1439</v>
      </c>
      <c r="C510" s="90" t="str">
        <f t="shared" si="7"/>
        <v>HollisEducation - K - 12</v>
      </c>
      <c r="D510" s="90">
        <v>2</v>
      </c>
      <c r="E510" s="90">
        <v>6320</v>
      </c>
      <c r="F510" s="90">
        <v>2605.2659854014601</v>
      </c>
      <c r="G510" s="90">
        <v>0</v>
      </c>
      <c r="H510" s="90">
        <v>20064.735008199998</v>
      </c>
      <c r="I510" s="90">
        <v>0</v>
      </c>
      <c r="J510" s="90">
        <v>26.892885245901642</v>
      </c>
      <c r="K510" s="90">
        <v>0</v>
      </c>
      <c r="L510" s="90">
        <v>1927.8968291970805</v>
      </c>
      <c r="M510" s="90">
        <v>0</v>
      </c>
      <c r="N510" s="90">
        <v>14847.903906067999</v>
      </c>
      <c r="O510" s="90">
        <v>0</v>
      </c>
      <c r="P510" s="90">
        <v>19.900735081967216</v>
      </c>
      <c r="Q510" s="90">
        <v>0</v>
      </c>
      <c r="R510" s="90">
        <v>44240</v>
      </c>
    </row>
    <row r="511" spans="1:18">
      <c r="A511" s="90" t="s">
        <v>61</v>
      </c>
      <c r="B511" s="90" t="s">
        <v>643</v>
      </c>
      <c r="C511" s="90" t="str">
        <f t="shared" si="7"/>
        <v>HollisOther</v>
      </c>
      <c r="D511" s="90">
        <v>2</v>
      </c>
      <c r="E511" s="90">
        <v>4327.840909090909</v>
      </c>
      <c r="F511" s="90">
        <v>3743.0255935455139</v>
      </c>
      <c r="G511" s="90">
        <v>0</v>
      </c>
      <c r="H511" s="90">
        <v>31497.972972929176</v>
      </c>
      <c r="I511" s="90">
        <v>0</v>
      </c>
      <c r="J511" s="90">
        <v>0</v>
      </c>
      <c r="K511" s="90">
        <v>0</v>
      </c>
      <c r="L511" s="90">
        <v>2769.8389392236804</v>
      </c>
      <c r="M511" s="90">
        <v>0</v>
      </c>
      <c r="N511" s="90">
        <v>23308.499999967589</v>
      </c>
      <c r="O511" s="90">
        <v>0</v>
      </c>
      <c r="P511" s="90">
        <v>0</v>
      </c>
      <c r="Q511" s="90">
        <v>0</v>
      </c>
      <c r="R511" s="90">
        <v>30294.886363636364</v>
      </c>
    </row>
    <row r="512" spans="1:18">
      <c r="A512" s="90" t="s">
        <v>61</v>
      </c>
      <c r="B512" s="90" t="s">
        <v>1227</v>
      </c>
      <c r="C512" s="90" t="str">
        <f t="shared" si="7"/>
        <v>HollisPublic Assembly</v>
      </c>
      <c r="D512" s="90">
        <v>4</v>
      </c>
      <c r="E512" s="90">
        <v>12546.884615384615</v>
      </c>
      <c r="F512" s="90">
        <v>7828.7237659983493</v>
      </c>
      <c r="G512" s="90">
        <v>0</v>
      </c>
      <c r="H512" s="90">
        <v>47198.062453583538</v>
      </c>
      <c r="I512" s="90">
        <v>0</v>
      </c>
      <c r="J512" s="90">
        <v>0</v>
      </c>
      <c r="K512" s="90">
        <v>0</v>
      </c>
      <c r="L512" s="90">
        <v>5793.2555868387781</v>
      </c>
      <c r="M512" s="90">
        <v>0</v>
      </c>
      <c r="N512" s="90">
        <v>34926.566215651816</v>
      </c>
      <c r="O512" s="90">
        <v>0</v>
      </c>
      <c r="P512" s="90">
        <v>0</v>
      </c>
      <c r="Q512" s="90">
        <v>0</v>
      </c>
      <c r="R512" s="90">
        <v>87828.192307692312</v>
      </c>
    </row>
    <row r="513" spans="1:18">
      <c r="A513" s="90" t="s">
        <v>80</v>
      </c>
      <c r="B513" s="90" t="s">
        <v>1439</v>
      </c>
      <c r="C513" s="90" t="str">
        <f t="shared" si="7"/>
        <v>Holy CrossEducation - K - 12</v>
      </c>
      <c r="D513" s="90">
        <v>1</v>
      </c>
      <c r="E513" s="90">
        <v>19580</v>
      </c>
      <c r="F513" s="90">
        <v>9406.1947445255464</v>
      </c>
      <c r="G513" s="90">
        <v>0</v>
      </c>
      <c r="H513" s="90">
        <v>77855.033533999987</v>
      </c>
      <c r="I513" s="90">
        <v>0</v>
      </c>
      <c r="J513" s="90">
        <v>331.33278688524587</v>
      </c>
      <c r="K513" s="90">
        <v>0</v>
      </c>
      <c r="L513" s="90">
        <v>6960.5841109489047</v>
      </c>
      <c r="M513" s="90">
        <v>0</v>
      </c>
      <c r="N513" s="90">
        <v>57612.724815159992</v>
      </c>
      <c r="O513" s="90">
        <v>0</v>
      </c>
      <c r="P513" s="90">
        <v>245.18626229508195</v>
      </c>
      <c r="Q513" s="90">
        <v>0</v>
      </c>
      <c r="R513" s="90">
        <v>137060</v>
      </c>
    </row>
    <row r="514" spans="1:18">
      <c r="A514" s="90" t="s">
        <v>80</v>
      </c>
      <c r="B514" s="90" t="s">
        <v>1440</v>
      </c>
      <c r="C514" s="90" t="str">
        <f t="shared" si="7"/>
        <v>Holy CrossHealth Care - Hospitals</v>
      </c>
      <c r="D514" s="90">
        <v>1</v>
      </c>
      <c r="E514" s="90">
        <v>2256.9250000000002</v>
      </c>
      <c r="F514" s="90">
        <v>1573.0165476804564</v>
      </c>
      <c r="G514" s="90">
        <v>0</v>
      </c>
      <c r="H514" s="90">
        <v>16977.563262470368</v>
      </c>
      <c r="I514" s="90">
        <v>0</v>
      </c>
      <c r="J514" s="90">
        <v>0</v>
      </c>
      <c r="K514" s="90">
        <v>0</v>
      </c>
      <c r="L514" s="90">
        <v>1164.0322452835378</v>
      </c>
      <c r="M514" s="90">
        <v>0</v>
      </c>
      <c r="N514" s="90">
        <v>12563.396814228072</v>
      </c>
      <c r="O514" s="90">
        <v>0</v>
      </c>
      <c r="P514" s="90">
        <v>0</v>
      </c>
      <c r="Q514" s="90">
        <v>0</v>
      </c>
      <c r="R514" s="90">
        <v>15798.475000000002</v>
      </c>
    </row>
    <row r="515" spans="1:18">
      <c r="A515" s="90" t="s">
        <v>80</v>
      </c>
      <c r="B515" s="90" t="s">
        <v>665</v>
      </c>
      <c r="C515" s="90" t="str">
        <f t="shared" ref="C515:C578" si="8">CONCATENATE(A515,B515)</f>
        <v>Holy CrossOffice</v>
      </c>
      <c r="D515" s="90">
        <v>3</v>
      </c>
      <c r="E515" s="90">
        <v>4836.517006802721</v>
      </c>
      <c r="F515" s="90">
        <v>6435.7756865041238</v>
      </c>
      <c r="G515" s="90">
        <v>0</v>
      </c>
      <c r="H515" s="90">
        <v>38769.666573171795</v>
      </c>
      <c r="I515" s="90">
        <v>0</v>
      </c>
      <c r="J515" s="90">
        <v>0</v>
      </c>
      <c r="K515" s="90">
        <v>0</v>
      </c>
      <c r="L515" s="90">
        <v>4762.4740080130523</v>
      </c>
      <c r="M515" s="90">
        <v>0</v>
      </c>
      <c r="N515" s="90">
        <v>28689.553264147122</v>
      </c>
      <c r="O515" s="90">
        <v>0</v>
      </c>
      <c r="P515" s="90">
        <v>0</v>
      </c>
      <c r="Q515" s="90">
        <v>0</v>
      </c>
      <c r="R515" s="90">
        <v>33855.619047619046</v>
      </c>
    </row>
    <row r="516" spans="1:18">
      <c r="A516" s="90" t="s">
        <v>80</v>
      </c>
      <c r="B516" s="90" t="s">
        <v>643</v>
      </c>
      <c r="C516" s="90" t="str">
        <f t="shared" si="8"/>
        <v>Holy CrossOther</v>
      </c>
      <c r="D516" s="90">
        <v>6</v>
      </c>
      <c r="E516" s="90">
        <v>10751.681818181818</v>
      </c>
      <c r="F516" s="90">
        <v>8725.2832158962701</v>
      </c>
      <c r="G516" s="90">
        <v>0</v>
      </c>
      <c r="H516" s="90">
        <v>67191.664239589096</v>
      </c>
      <c r="I516" s="90">
        <v>0</v>
      </c>
      <c r="J516" s="90">
        <v>0</v>
      </c>
      <c r="K516" s="90">
        <v>0</v>
      </c>
      <c r="L516" s="90">
        <v>6456.709579763241</v>
      </c>
      <c r="M516" s="90">
        <v>0</v>
      </c>
      <c r="N516" s="90">
        <v>49721.831537295933</v>
      </c>
      <c r="O516" s="90">
        <v>0</v>
      </c>
      <c r="P516" s="90">
        <v>0</v>
      </c>
      <c r="Q516" s="90">
        <v>0</v>
      </c>
      <c r="R516" s="90">
        <v>75261.772727272735</v>
      </c>
    </row>
    <row r="517" spans="1:18">
      <c r="A517" s="90" t="s">
        <v>80</v>
      </c>
      <c r="B517" s="90" t="s">
        <v>1227</v>
      </c>
      <c r="C517" s="90" t="str">
        <f t="shared" si="8"/>
        <v>Holy CrossPublic Assembly</v>
      </c>
      <c r="D517" s="90">
        <v>3</v>
      </c>
      <c r="E517" s="90">
        <v>8913.4423076923085</v>
      </c>
      <c r="F517" s="90">
        <v>5561.6098952183493</v>
      </c>
      <c r="G517" s="90">
        <v>0</v>
      </c>
      <c r="H517" s="90">
        <v>33530.013195389474</v>
      </c>
      <c r="I517" s="90">
        <v>0</v>
      </c>
      <c r="J517" s="90">
        <v>0</v>
      </c>
      <c r="K517" s="90">
        <v>0</v>
      </c>
      <c r="L517" s="90">
        <v>4115.5913224615779</v>
      </c>
      <c r="M517" s="90">
        <v>0</v>
      </c>
      <c r="N517" s="90">
        <v>24812.20976458821</v>
      </c>
      <c r="O517" s="90">
        <v>0</v>
      </c>
      <c r="P517" s="90">
        <v>0</v>
      </c>
      <c r="Q517" s="90">
        <v>0</v>
      </c>
      <c r="R517" s="90">
        <v>62394.096153846156</v>
      </c>
    </row>
    <row r="518" spans="1:18">
      <c r="A518" s="90" t="s">
        <v>80</v>
      </c>
      <c r="B518" s="90" t="s">
        <v>1475</v>
      </c>
      <c r="C518" s="90" t="str">
        <f t="shared" si="8"/>
        <v>Holy CrossPublic Safety</v>
      </c>
      <c r="D518" s="90">
        <v>1</v>
      </c>
      <c r="E518" s="90">
        <v>2595.4749999999999</v>
      </c>
      <c r="F518" s="90">
        <v>2523.774623927618</v>
      </c>
      <c r="G518" s="90">
        <v>0</v>
      </c>
      <c r="H518" s="90">
        <v>20946.642306328533</v>
      </c>
      <c r="I518" s="90">
        <v>0</v>
      </c>
      <c r="J518" s="90">
        <v>0</v>
      </c>
      <c r="K518" s="90">
        <v>0</v>
      </c>
      <c r="L518" s="90">
        <v>1867.5932217064374</v>
      </c>
      <c r="M518" s="90">
        <v>0</v>
      </c>
      <c r="N518" s="90">
        <v>15500.515306683114</v>
      </c>
      <c r="O518" s="90">
        <v>0</v>
      </c>
      <c r="P518" s="90">
        <v>0</v>
      </c>
      <c r="Q518" s="90">
        <v>0</v>
      </c>
      <c r="R518" s="90">
        <v>18168.325000000001</v>
      </c>
    </row>
    <row r="519" spans="1:18">
      <c r="A519" s="90" t="s">
        <v>80</v>
      </c>
      <c r="B519" s="90" t="s">
        <v>951</v>
      </c>
      <c r="C519" s="90" t="str">
        <f t="shared" si="8"/>
        <v>Holy CrossWarehousing</v>
      </c>
      <c r="D519" s="90">
        <v>1</v>
      </c>
      <c r="E519" s="90">
        <v>3300</v>
      </c>
      <c r="F519" s="90">
        <v>4136.6503420676954</v>
      </c>
      <c r="G519" s="90">
        <v>0</v>
      </c>
      <c r="H519" s="90">
        <v>39154.990994766922</v>
      </c>
      <c r="I519" s="90">
        <v>0</v>
      </c>
      <c r="J519" s="90">
        <v>0</v>
      </c>
      <c r="K519" s="90">
        <v>0</v>
      </c>
      <c r="L519" s="90">
        <v>3061.1212531300944</v>
      </c>
      <c r="M519" s="90">
        <v>0</v>
      </c>
      <c r="N519" s="90">
        <v>28974.693336127522</v>
      </c>
      <c r="O519" s="90">
        <v>0</v>
      </c>
      <c r="P519" s="90">
        <v>0</v>
      </c>
      <c r="Q519" s="90">
        <v>0</v>
      </c>
      <c r="R519" s="90">
        <v>23100</v>
      </c>
    </row>
    <row r="520" spans="1:18">
      <c r="A520" s="90" t="s">
        <v>14</v>
      </c>
      <c r="B520" s="90" t="s">
        <v>1447</v>
      </c>
      <c r="C520" s="90" t="str">
        <f t="shared" si="8"/>
        <v>HoonahAccomodation Services</v>
      </c>
      <c r="D520" s="90">
        <v>4</v>
      </c>
      <c r="E520" s="90">
        <v>29040.25</v>
      </c>
      <c r="F520" s="90">
        <v>29941.274109847913</v>
      </c>
      <c r="G520" s="90">
        <v>0</v>
      </c>
      <c r="H520" s="90">
        <v>633055.74287302175</v>
      </c>
      <c r="I520" s="90">
        <v>0</v>
      </c>
      <c r="J520" s="90">
        <v>0</v>
      </c>
      <c r="K520" s="90">
        <v>0</v>
      </c>
      <c r="L520" s="90">
        <v>22156.542841287453</v>
      </c>
      <c r="M520" s="90">
        <v>0</v>
      </c>
      <c r="N520" s="90">
        <v>468461.2497260361</v>
      </c>
      <c r="O520" s="90">
        <v>0</v>
      </c>
      <c r="P520" s="90">
        <v>0</v>
      </c>
      <c r="Q520" s="90">
        <v>0</v>
      </c>
      <c r="R520" s="90">
        <v>203281.75</v>
      </c>
    </row>
    <row r="521" spans="1:18">
      <c r="A521" s="90" t="s">
        <v>14</v>
      </c>
      <c r="B521" s="90" t="s">
        <v>1439</v>
      </c>
      <c r="C521" s="90" t="str">
        <f t="shared" si="8"/>
        <v>HoonahEducation - K - 12</v>
      </c>
      <c r="D521" s="90">
        <v>3</v>
      </c>
      <c r="E521" s="90">
        <v>127819.4479144385</v>
      </c>
      <c r="F521" s="90">
        <v>54153.756411324139</v>
      </c>
      <c r="G521" s="90">
        <v>0</v>
      </c>
      <c r="H521" s="90">
        <v>628576.85377933644</v>
      </c>
      <c r="I521" s="90">
        <v>0</v>
      </c>
      <c r="J521" s="90">
        <v>0</v>
      </c>
      <c r="K521" s="90">
        <v>0</v>
      </c>
      <c r="L521" s="90">
        <v>40073.779744379863</v>
      </c>
      <c r="M521" s="90">
        <v>0</v>
      </c>
      <c r="N521" s="90">
        <v>465146.87179670902</v>
      </c>
      <c r="O521" s="90">
        <v>0</v>
      </c>
      <c r="P521" s="90">
        <v>0</v>
      </c>
      <c r="Q521" s="90">
        <v>0</v>
      </c>
      <c r="R521" s="90">
        <v>894736.13540106954</v>
      </c>
    </row>
    <row r="522" spans="1:18">
      <c r="A522" s="90" t="s">
        <v>14</v>
      </c>
      <c r="B522" s="90" t="s">
        <v>1469</v>
      </c>
      <c r="C522" s="90" t="str">
        <f t="shared" si="8"/>
        <v>HoonahFood Service and Drinking Places</v>
      </c>
      <c r="D522" s="90">
        <v>5</v>
      </c>
      <c r="E522" s="90">
        <v>18152</v>
      </c>
      <c r="F522" s="90">
        <v>13601.291093620315</v>
      </c>
      <c r="G522" s="90">
        <v>0</v>
      </c>
      <c r="H522" s="90">
        <v>132456.94820638205</v>
      </c>
      <c r="I522" s="90">
        <v>0</v>
      </c>
      <c r="J522" s="90">
        <v>0</v>
      </c>
      <c r="K522" s="90">
        <v>0</v>
      </c>
      <c r="L522" s="90">
        <v>10064.955409279033</v>
      </c>
      <c r="M522" s="90">
        <v>0</v>
      </c>
      <c r="N522" s="90">
        <v>98018.141672722704</v>
      </c>
      <c r="O522" s="90">
        <v>0</v>
      </c>
      <c r="P522" s="90">
        <v>0</v>
      </c>
      <c r="Q522" s="90">
        <v>0</v>
      </c>
      <c r="R522" s="90">
        <v>127064</v>
      </c>
    </row>
    <row r="523" spans="1:18">
      <c r="A523" s="90" t="s">
        <v>14</v>
      </c>
      <c r="B523" s="90" t="s">
        <v>1440</v>
      </c>
      <c r="C523" s="90" t="str">
        <f t="shared" si="8"/>
        <v>HoonahHealth Care - Hospitals</v>
      </c>
      <c r="D523" s="90">
        <v>2</v>
      </c>
      <c r="E523" s="90">
        <v>6305.5925000000007</v>
      </c>
      <c r="F523" s="90">
        <v>3985.6104919715335</v>
      </c>
      <c r="G523" s="90">
        <v>0</v>
      </c>
      <c r="H523" s="90">
        <v>55588.922599716607</v>
      </c>
      <c r="I523" s="90">
        <v>0</v>
      </c>
      <c r="J523" s="90">
        <v>0</v>
      </c>
      <c r="K523" s="90">
        <v>0</v>
      </c>
      <c r="L523" s="90">
        <v>2949.3517640589344</v>
      </c>
      <c r="M523" s="90">
        <v>0</v>
      </c>
      <c r="N523" s="90">
        <v>41135.802723790286</v>
      </c>
      <c r="O523" s="90">
        <v>0</v>
      </c>
      <c r="P523" s="90">
        <v>0</v>
      </c>
      <c r="Q523" s="90">
        <v>0</v>
      </c>
      <c r="R523" s="90">
        <v>44139.147500000006</v>
      </c>
    </row>
    <row r="524" spans="1:18">
      <c r="A524" s="90" t="s">
        <v>14</v>
      </c>
      <c r="B524" s="90" t="s">
        <v>1444</v>
      </c>
      <c r="C524" s="90" t="str">
        <f t="shared" si="8"/>
        <v>HoonahHealth Care - Nursing/Residential Care</v>
      </c>
      <c r="D524" s="90">
        <v>1</v>
      </c>
      <c r="E524" s="90">
        <v>6307.25</v>
      </c>
      <c r="F524" s="90">
        <v>4458.7240236154639</v>
      </c>
      <c r="G524" s="90">
        <v>0</v>
      </c>
      <c r="H524" s="90">
        <v>36017.001130087716</v>
      </c>
      <c r="I524" s="90">
        <v>0</v>
      </c>
      <c r="J524" s="90">
        <v>0</v>
      </c>
      <c r="K524" s="90">
        <v>0</v>
      </c>
      <c r="L524" s="90">
        <v>3299.4557774754435</v>
      </c>
      <c r="M524" s="90">
        <v>0</v>
      </c>
      <c r="N524" s="90">
        <v>26652.580836264908</v>
      </c>
      <c r="O524" s="90">
        <v>0</v>
      </c>
      <c r="P524" s="90">
        <v>0</v>
      </c>
      <c r="Q524" s="90">
        <v>0</v>
      </c>
      <c r="R524" s="90">
        <v>44150.75</v>
      </c>
    </row>
    <row r="525" spans="1:18">
      <c r="A525" s="90" t="s">
        <v>14</v>
      </c>
      <c r="B525" s="90" t="s">
        <v>665</v>
      </c>
      <c r="C525" s="90" t="str">
        <f t="shared" si="8"/>
        <v>HoonahOffice</v>
      </c>
      <c r="D525" s="90">
        <v>7</v>
      </c>
      <c r="E525" s="90">
        <v>15222.507194244603</v>
      </c>
      <c r="F525" s="90">
        <v>10001.216542792308</v>
      </c>
      <c r="G525" s="90">
        <v>0</v>
      </c>
      <c r="H525" s="90">
        <v>119779.29220094127</v>
      </c>
      <c r="I525" s="90">
        <v>0</v>
      </c>
      <c r="J525" s="90">
        <v>39.120344262295085</v>
      </c>
      <c r="K525" s="90">
        <v>0</v>
      </c>
      <c r="L525" s="90">
        <v>7400.900241666307</v>
      </c>
      <c r="M525" s="90">
        <v>0</v>
      </c>
      <c r="N525" s="90">
        <v>88636.676228696553</v>
      </c>
      <c r="O525" s="90">
        <v>0</v>
      </c>
      <c r="P525" s="90">
        <v>28.949054754098363</v>
      </c>
      <c r="Q525" s="90">
        <v>0</v>
      </c>
      <c r="R525" s="90">
        <v>106557.55035971222</v>
      </c>
    </row>
    <row r="526" spans="1:18">
      <c r="A526" s="90" t="s">
        <v>14</v>
      </c>
      <c r="B526" s="90" t="s">
        <v>643</v>
      </c>
      <c r="C526" s="90" t="str">
        <f t="shared" si="8"/>
        <v>HoonahOther</v>
      </c>
      <c r="D526" s="90">
        <v>20</v>
      </c>
      <c r="E526" s="90">
        <v>94594.362595419821</v>
      </c>
      <c r="F526" s="90">
        <v>101606.25073065692</v>
      </c>
      <c r="G526" s="90">
        <v>0</v>
      </c>
      <c r="H526" s="90">
        <v>686286.18780251534</v>
      </c>
      <c r="I526" s="90">
        <v>0</v>
      </c>
      <c r="J526" s="90">
        <v>0</v>
      </c>
      <c r="K526" s="90">
        <v>0</v>
      </c>
      <c r="L526" s="90">
        <v>75188.625540686146</v>
      </c>
      <c r="M526" s="90">
        <v>0</v>
      </c>
      <c r="N526" s="90">
        <v>507851.77897386142</v>
      </c>
      <c r="O526" s="90">
        <v>0</v>
      </c>
      <c r="P526" s="90">
        <v>0</v>
      </c>
      <c r="Q526" s="90">
        <v>0</v>
      </c>
      <c r="R526" s="90">
        <v>662160.53816793906</v>
      </c>
    </row>
    <row r="527" spans="1:18">
      <c r="A527" s="90" t="s">
        <v>14</v>
      </c>
      <c r="B527" s="90" t="s">
        <v>1227</v>
      </c>
      <c r="C527" s="90" t="str">
        <f t="shared" si="8"/>
        <v>HoonahPublic Assembly</v>
      </c>
      <c r="D527" s="90">
        <v>6</v>
      </c>
      <c r="E527" s="90">
        <v>20332.8202247191</v>
      </c>
      <c r="F527" s="90">
        <v>13661.596540561968</v>
      </c>
      <c r="G527" s="90">
        <v>0</v>
      </c>
      <c r="H527" s="90">
        <v>99502.44880708585</v>
      </c>
      <c r="I527" s="90">
        <v>0</v>
      </c>
      <c r="J527" s="90">
        <v>0</v>
      </c>
      <c r="K527" s="90">
        <v>0</v>
      </c>
      <c r="L527" s="90">
        <v>10109.581440015854</v>
      </c>
      <c r="M527" s="90">
        <v>0</v>
      </c>
      <c r="N527" s="90">
        <v>73631.81211724352</v>
      </c>
      <c r="O527" s="90">
        <v>0</v>
      </c>
      <c r="P527" s="90">
        <v>0</v>
      </c>
      <c r="Q527" s="90">
        <v>0</v>
      </c>
      <c r="R527" s="90">
        <v>142329.74157303368</v>
      </c>
    </row>
    <row r="528" spans="1:18">
      <c r="A528" s="90" t="s">
        <v>14</v>
      </c>
      <c r="B528" s="90" t="s">
        <v>1475</v>
      </c>
      <c r="C528" s="90" t="str">
        <f t="shared" si="8"/>
        <v>HoonahPublic Safety</v>
      </c>
      <c r="D528" s="90">
        <v>3</v>
      </c>
      <c r="E528" s="90">
        <v>9894.8178787878787</v>
      </c>
      <c r="F528" s="90">
        <v>7996.774913495954</v>
      </c>
      <c r="G528" s="90">
        <v>0</v>
      </c>
      <c r="H528" s="90">
        <v>81830.954468668031</v>
      </c>
      <c r="I528" s="90">
        <v>0</v>
      </c>
      <c r="J528" s="90">
        <v>0</v>
      </c>
      <c r="K528" s="90">
        <v>0</v>
      </c>
      <c r="L528" s="90">
        <v>5917.6134359870066</v>
      </c>
      <c r="M528" s="90">
        <v>0</v>
      </c>
      <c r="N528" s="90">
        <v>60554.906306814344</v>
      </c>
      <c r="O528" s="90">
        <v>0</v>
      </c>
      <c r="P528" s="90">
        <v>0</v>
      </c>
      <c r="Q528" s="90">
        <v>0</v>
      </c>
      <c r="R528" s="90">
        <v>69263.725151515158</v>
      </c>
    </row>
    <row r="529" spans="1:18">
      <c r="A529" s="90" t="s">
        <v>14</v>
      </c>
      <c r="B529" s="90" t="s">
        <v>951</v>
      </c>
      <c r="C529" s="90" t="str">
        <f t="shared" si="8"/>
        <v>HoonahWarehousing</v>
      </c>
      <c r="D529" s="90">
        <v>4</v>
      </c>
      <c r="E529" s="90">
        <v>12803.132352941175</v>
      </c>
      <c r="F529" s="90">
        <v>22345.223344085422</v>
      </c>
      <c r="G529" s="90">
        <v>0</v>
      </c>
      <c r="H529" s="90">
        <v>421081.23098682472</v>
      </c>
      <c r="I529" s="90">
        <v>0</v>
      </c>
      <c r="J529" s="90">
        <v>0</v>
      </c>
      <c r="K529" s="90">
        <v>0</v>
      </c>
      <c r="L529" s="90">
        <v>16535.46527462321</v>
      </c>
      <c r="M529" s="90">
        <v>0</v>
      </c>
      <c r="N529" s="90">
        <v>311600.11093025026</v>
      </c>
      <c r="O529" s="90">
        <v>0</v>
      </c>
      <c r="P529" s="90">
        <v>0</v>
      </c>
      <c r="Q529" s="90">
        <v>0</v>
      </c>
      <c r="R529" s="90">
        <v>89621.926470588252</v>
      </c>
    </row>
    <row r="530" spans="1:18">
      <c r="A530" s="90" t="s">
        <v>19</v>
      </c>
      <c r="B530" s="90" t="s">
        <v>1439</v>
      </c>
      <c r="C530" s="90" t="str">
        <f t="shared" si="8"/>
        <v>Hooper BayEducation - K - 12</v>
      </c>
      <c r="D530" s="90">
        <v>1</v>
      </c>
      <c r="E530" s="90">
        <v>75829</v>
      </c>
      <c r="F530" s="90">
        <v>61112.627737226278</v>
      </c>
      <c r="G530" s="90">
        <v>0</v>
      </c>
      <c r="H530" s="90">
        <v>342840.41886933328</v>
      </c>
      <c r="I530" s="90">
        <v>0</v>
      </c>
      <c r="J530" s="90">
        <v>0</v>
      </c>
      <c r="K530" s="90">
        <v>0</v>
      </c>
      <c r="L530" s="90">
        <v>45223.344525547443</v>
      </c>
      <c r="M530" s="90">
        <v>0</v>
      </c>
      <c r="N530" s="90">
        <v>253701.90996330662</v>
      </c>
      <c r="O530" s="90">
        <v>0</v>
      </c>
      <c r="P530" s="90">
        <v>0</v>
      </c>
      <c r="Q530" s="90">
        <v>0</v>
      </c>
      <c r="R530" s="90">
        <v>530803</v>
      </c>
    </row>
    <row r="531" spans="1:18">
      <c r="A531" s="90" t="s">
        <v>19</v>
      </c>
      <c r="B531" s="90" t="s">
        <v>665</v>
      </c>
      <c r="C531" s="90" t="str">
        <f t="shared" si="8"/>
        <v>Hooper BayOffice</v>
      </c>
      <c r="D531" s="90">
        <v>2</v>
      </c>
      <c r="E531" s="90">
        <v>3020</v>
      </c>
      <c r="F531" s="90">
        <v>1156.9173722627736</v>
      </c>
      <c r="G531" s="90">
        <v>0</v>
      </c>
      <c r="H531" s="90">
        <v>9628.0860659999998</v>
      </c>
      <c r="I531" s="90">
        <v>0</v>
      </c>
      <c r="J531" s="90">
        <v>0</v>
      </c>
      <c r="K531" s="90">
        <v>0</v>
      </c>
      <c r="L531" s="90">
        <v>856.11885547445252</v>
      </c>
      <c r="M531" s="90">
        <v>0</v>
      </c>
      <c r="N531" s="90">
        <v>7124.7836888399988</v>
      </c>
      <c r="O531" s="90">
        <v>0</v>
      </c>
      <c r="P531" s="90">
        <v>0</v>
      </c>
      <c r="Q531" s="90">
        <v>0</v>
      </c>
      <c r="R531" s="90">
        <v>21140</v>
      </c>
    </row>
    <row r="532" spans="1:18">
      <c r="A532" s="90" t="s">
        <v>19</v>
      </c>
      <c r="B532" s="90" t="s">
        <v>643</v>
      </c>
      <c r="C532" s="90" t="str">
        <f t="shared" si="8"/>
        <v>Hooper BayOther</v>
      </c>
      <c r="D532" s="90">
        <v>3</v>
      </c>
      <c r="E532" s="90">
        <v>32160</v>
      </c>
      <c r="F532" s="90">
        <v>33394.155282557607</v>
      </c>
      <c r="G532" s="90">
        <v>0</v>
      </c>
      <c r="H532" s="90">
        <v>232793.0412748275</v>
      </c>
      <c r="I532" s="90">
        <v>0</v>
      </c>
      <c r="J532" s="90">
        <v>0</v>
      </c>
      <c r="K532" s="90">
        <v>0</v>
      </c>
      <c r="L532" s="90">
        <v>24711.674909092631</v>
      </c>
      <c r="M532" s="90">
        <v>0</v>
      </c>
      <c r="N532" s="90">
        <v>172266.85054337236</v>
      </c>
      <c r="O532" s="90">
        <v>0</v>
      </c>
      <c r="P532" s="90">
        <v>0</v>
      </c>
      <c r="Q532" s="90">
        <v>0</v>
      </c>
      <c r="R532" s="90">
        <v>225120</v>
      </c>
    </row>
    <row r="533" spans="1:18">
      <c r="A533" s="90" t="s">
        <v>19</v>
      </c>
      <c r="B533" s="90" t="s">
        <v>1227</v>
      </c>
      <c r="C533" s="90" t="str">
        <f t="shared" si="8"/>
        <v>Hooper BayPublic Assembly</v>
      </c>
      <c r="D533" s="90">
        <v>1</v>
      </c>
      <c r="E533" s="90">
        <v>1440</v>
      </c>
      <c r="F533" s="90">
        <v>995.91896690721194</v>
      </c>
      <c r="G533" s="90">
        <v>0</v>
      </c>
      <c r="H533" s="90">
        <v>6677.0287672182239</v>
      </c>
      <c r="I533" s="90">
        <v>0</v>
      </c>
      <c r="J533" s="90">
        <v>0</v>
      </c>
      <c r="K533" s="90">
        <v>0</v>
      </c>
      <c r="L533" s="90">
        <v>736.98003551133684</v>
      </c>
      <c r="M533" s="90">
        <v>0</v>
      </c>
      <c r="N533" s="90">
        <v>4941.0012877414856</v>
      </c>
      <c r="O533" s="90">
        <v>0</v>
      </c>
      <c r="P533" s="90">
        <v>0</v>
      </c>
      <c r="Q533" s="90">
        <v>0</v>
      </c>
      <c r="R533" s="90">
        <v>10080</v>
      </c>
    </row>
    <row r="534" spans="1:18">
      <c r="A534" s="90" t="s">
        <v>19</v>
      </c>
      <c r="B534" s="90" t="s">
        <v>1475</v>
      </c>
      <c r="C534" s="90" t="str">
        <f t="shared" si="8"/>
        <v>Hooper BayPublic Safety</v>
      </c>
      <c r="D534" s="90">
        <v>1</v>
      </c>
      <c r="E534" s="90">
        <v>2570</v>
      </c>
      <c r="F534" s="90">
        <v>550.16058394160586</v>
      </c>
      <c r="G534" s="90">
        <v>0</v>
      </c>
      <c r="H534" s="90">
        <v>12041.608373500001</v>
      </c>
      <c r="I534" s="90">
        <v>0</v>
      </c>
      <c r="J534" s="90">
        <v>0</v>
      </c>
      <c r="K534" s="90">
        <v>0</v>
      </c>
      <c r="L534" s="90">
        <v>407.11883211678833</v>
      </c>
      <c r="M534" s="90">
        <v>0</v>
      </c>
      <c r="N534" s="90">
        <v>8910.7901963900003</v>
      </c>
      <c r="O534" s="90">
        <v>0</v>
      </c>
      <c r="P534" s="90">
        <v>0</v>
      </c>
      <c r="Q534" s="90">
        <v>0</v>
      </c>
      <c r="R534" s="90">
        <v>17990</v>
      </c>
    </row>
    <row r="535" spans="1:18">
      <c r="A535" s="90" t="s">
        <v>152</v>
      </c>
      <c r="B535" s="90" t="s">
        <v>1439</v>
      </c>
      <c r="C535" s="90" t="str">
        <f t="shared" si="8"/>
        <v>HughesEducation - K - 12</v>
      </c>
      <c r="D535" s="90">
        <v>1</v>
      </c>
      <c r="E535" s="90">
        <v>123328</v>
      </c>
      <c r="F535" s="90">
        <v>7000</v>
      </c>
      <c r="G535" s="90">
        <v>0</v>
      </c>
      <c r="H535" s="90">
        <v>32838</v>
      </c>
      <c r="I535" s="90">
        <v>0</v>
      </c>
      <c r="J535" s="90">
        <v>0</v>
      </c>
      <c r="K535" s="90">
        <v>0</v>
      </c>
      <c r="L535" s="90">
        <v>5180</v>
      </c>
      <c r="M535" s="90">
        <v>0</v>
      </c>
      <c r="N535" s="90">
        <v>24300.12</v>
      </c>
      <c r="O535" s="90">
        <v>0</v>
      </c>
      <c r="P535" s="90">
        <v>0</v>
      </c>
      <c r="Q535" s="90">
        <v>0</v>
      </c>
      <c r="R535" s="90">
        <v>863296</v>
      </c>
    </row>
    <row r="536" spans="1:18">
      <c r="A536" s="90" t="s">
        <v>152</v>
      </c>
      <c r="B536" s="90" t="s">
        <v>1440</v>
      </c>
      <c r="C536" s="90" t="str">
        <f t="shared" si="8"/>
        <v>HughesHealth Care - Hospitals</v>
      </c>
      <c r="D536" s="90">
        <v>1</v>
      </c>
      <c r="E536" s="90">
        <v>1679</v>
      </c>
      <c r="F536" s="90">
        <v>1170.2182321324306</v>
      </c>
      <c r="G536" s="90">
        <v>0</v>
      </c>
      <c r="H536" s="90">
        <v>12630.162153234045</v>
      </c>
      <c r="I536" s="90">
        <v>0</v>
      </c>
      <c r="J536" s="90">
        <v>0</v>
      </c>
      <c r="K536" s="90">
        <v>0</v>
      </c>
      <c r="L536" s="90">
        <v>865.96149177799862</v>
      </c>
      <c r="M536" s="90">
        <v>0</v>
      </c>
      <c r="N536" s="90">
        <v>9346.3199933931937</v>
      </c>
      <c r="O536" s="90">
        <v>0</v>
      </c>
      <c r="P536" s="90">
        <v>0</v>
      </c>
      <c r="Q536" s="90">
        <v>0</v>
      </c>
      <c r="R536" s="90">
        <v>11753</v>
      </c>
    </row>
    <row r="537" spans="1:18">
      <c r="A537" s="90" t="s">
        <v>152</v>
      </c>
      <c r="B537" s="90" t="s">
        <v>665</v>
      </c>
      <c r="C537" s="90" t="str">
        <f t="shared" si="8"/>
        <v>HughesOffice</v>
      </c>
      <c r="D537" s="90">
        <v>2</v>
      </c>
      <c r="E537" s="90">
        <v>4830</v>
      </c>
      <c r="F537" s="90">
        <v>0</v>
      </c>
      <c r="G537" s="90">
        <v>0</v>
      </c>
      <c r="H537" s="90">
        <v>38717.426049579874</v>
      </c>
      <c r="I537" s="90">
        <v>0</v>
      </c>
      <c r="J537" s="90">
        <v>0</v>
      </c>
      <c r="K537" s="90">
        <v>55.433769798194284</v>
      </c>
      <c r="L537" s="90">
        <v>0</v>
      </c>
      <c r="M537" s="90">
        <v>0</v>
      </c>
      <c r="N537" s="90">
        <v>28650.895276689109</v>
      </c>
      <c r="O537" s="90">
        <v>0</v>
      </c>
      <c r="P537" s="90">
        <v>0</v>
      </c>
      <c r="Q537" s="90">
        <v>41.020989650663772</v>
      </c>
      <c r="R537" s="90">
        <v>33810</v>
      </c>
    </row>
    <row r="538" spans="1:18">
      <c r="A538" s="90" t="s">
        <v>152</v>
      </c>
      <c r="B538" s="90" t="s">
        <v>643</v>
      </c>
      <c r="C538" s="90" t="str">
        <f t="shared" si="8"/>
        <v>HughesOther</v>
      </c>
      <c r="D538" s="90">
        <v>2</v>
      </c>
      <c r="E538" s="90">
        <v>2259.9204545454545</v>
      </c>
      <c r="F538" s="90">
        <v>1954.5404460159564</v>
      </c>
      <c r="G538" s="90">
        <v>0</v>
      </c>
      <c r="H538" s="90">
        <v>16447.673307195335</v>
      </c>
      <c r="I538" s="90">
        <v>0</v>
      </c>
      <c r="J538" s="90">
        <v>0</v>
      </c>
      <c r="K538" s="90">
        <v>0</v>
      </c>
      <c r="L538" s="90">
        <v>1446.3599300518079</v>
      </c>
      <c r="M538" s="90">
        <v>0</v>
      </c>
      <c r="N538" s="90">
        <v>12171.278247324548</v>
      </c>
      <c r="O538" s="90">
        <v>0</v>
      </c>
      <c r="P538" s="90">
        <v>0</v>
      </c>
      <c r="Q538" s="90">
        <v>0</v>
      </c>
      <c r="R538" s="90">
        <v>15819.443181818182</v>
      </c>
    </row>
    <row r="539" spans="1:18">
      <c r="A539" s="90" t="s">
        <v>152</v>
      </c>
      <c r="B539" s="90" t="s">
        <v>1227</v>
      </c>
      <c r="C539" s="90" t="str">
        <f t="shared" si="8"/>
        <v>HughesPublic Assembly</v>
      </c>
      <c r="D539" s="90">
        <v>2</v>
      </c>
      <c r="E539" s="90">
        <v>3712.7211538461538</v>
      </c>
      <c r="F539" s="90">
        <v>2316.5805078019525</v>
      </c>
      <c r="G539" s="90">
        <v>0</v>
      </c>
      <c r="H539" s="90">
        <v>13966.275315635383</v>
      </c>
      <c r="I539" s="90">
        <v>0</v>
      </c>
      <c r="J539" s="90">
        <v>0</v>
      </c>
      <c r="K539" s="90">
        <v>0</v>
      </c>
      <c r="L539" s="90">
        <v>1714.2695757734448</v>
      </c>
      <c r="M539" s="90">
        <v>0</v>
      </c>
      <c r="N539" s="90">
        <v>10335.043733570183</v>
      </c>
      <c r="O539" s="90">
        <v>0</v>
      </c>
      <c r="P539" s="90">
        <v>0</v>
      </c>
      <c r="Q539" s="90">
        <v>0</v>
      </c>
      <c r="R539" s="90">
        <v>25989.048076923078</v>
      </c>
    </row>
    <row r="540" spans="1:18">
      <c r="A540" s="90" t="s">
        <v>152</v>
      </c>
      <c r="B540" s="90" t="s">
        <v>1485</v>
      </c>
      <c r="C540" s="90" t="str">
        <f t="shared" si="8"/>
        <v>HughesRetail - Other</v>
      </c>
      <c r="D540" s="90">
        <v>1</v>
      </c>
      <c r="E540" s="90">
        <v>1555</v>
      </c>
      <c r="F540" s="90">
        <v>1644.0050566059756</v>
      </c>
      <c r="G540" s="90">
        <v>0</v>
      </c>
      <c r="H540" s="90">
        <v>36628.396389499947</v>
      </c>
      <c r="I540" s="90">
        <v>0</v>
      </c>
      <c r="J540" s="90">
        <v>0</v>
      </c>
      <c r="K540" s="90">
        <v>0</v>
      </c>
      <c r="L540" s="90">
        <v>1216.5637418884219</v>
      </c>
      <c r="M540" s="90">
        <v>0</v>
      </c>
      <c r="N540" s="90">
        <v>27105.013328229961</v>
      </c>
      <c r="O540" s="90">
        <v>0</v>
      </c>
      <c r="P540" s="90">
        <v>0</v>
      </c>
      <c r="Q540" s="90">
        <v>0</v>
      </c>
      <c r="R540" s="90">
        <v>10885</v>
      </c>
    </row>
    <row r="541" spans="1:18">
      <c r="A541" s="90" t="s">
        <v>152</v>
      </c>
      <c r="B541" s="90" t="s">
        <v>951</v>
      </c>
      <c r="C541" s="90" t="str">
        <f t="shared" si="8"/>
        <v>HughesWarehousing</v>
      </c>
      <c r="D541" s="90">
        <v>3</v>
      </c>
      <c r="E541" s="90">
        <v>2400</v>
      </c>
      <c r="F541" s="90">
        <v>3008.4729760492328</v>
      </c>
      <c r="G541" s="90">
        <v>0</v>
      </c>
      <c r="H541" s="90">
        <v>28476.357087103221</v>
      </c>
      <c r="I541" s="90">
        <v>0</v>
      </c>
      <c r="J541" s="90">
        <v>0</v>
      </c>
      <c r="K541" s="90">
        <v>0</v>
      </c>
      <c r="L541" s="90">
        <v>2226.270002276432</v>
      </c>
      <c r="M541" s="90">
        <v>0</v>
      </c>
      <c r="N541" s="90">
        <v>21072.504244456381</v>
      </c>
      <c r="O541" s="90">
        <v>0</v>
      </c>
      <c r="P541" s="90">
        <v>0</v>
      </c>
      <c r="Q541" s="90">
        <v>0</v>
      </c>
      <c r="R541" s="90">
        <v>16800</v>
      </c>
    </row>
    <row r="542" spans="1:18">
      <c r="A542" s="90" t="s">
        <v>81</v>
      </c>
      <c r="B542" s="90" t="s">
        <v>1439</v>
      </c>
      <c r="C542" s="90" t="str">
        <f t="shared" si="8"/>
        <v>HusliaEducation - K - 12</v>
      </c>
      <c r="D542" s="90">
        <v>1</v>
      </c>
      <c r="E542" s="90">
        <v>24419</v>
      </c>
      <c r="F542" s="90">
        <v>20000</v>
      </c>
      <c r="G542" s="90">
        <v>0</v>
      </c>
      <c r="H542" s="90">
        <v>181892</v>
      </c>
      <c r="I542" s="90">
        <v>0</v>
      </c>
      <c r="J542" s="90">
        <v>0</v>
      </c>
      <c r="K542" s="90">
        <v>0</v>
      </c>
      <c r="L542" s="90">
        <v>14800</v>
      </c>
      <c r="M542" s="90">
        <v>0</v>
      </c>
      <c r="N542" s="90">
        <v>134600.07999999999</v>
      </c>
      <c r="O542" s="90">
        <v>0</v>
      </c>
      <c r="P542" s="90">
        <v>0</v>
      </c>
      <c r="Q542" s="90">
        <v>0</v>
      </c>
      <c r="R542" s="90">
        <v>170933</v>
      </c>
    </row>
    <row r="543" spans="1:18">
      <c r="A543" s="90" t="s">
        <v>81</v>
      </c>
      <c r="B543" s="90" t="s">
        <v>1440</v>
      </c>
      <c r="C543" s="90" t="str">
        <f t="shared" si="8"/>
        <v>HusliaHealth Care - Hospitals</v>
      </c>
      <c r="D543" s="90">
        <v>2</v>
      </c>
      <c r="E543" s="90">
        <v>6562.5925000000007</v>
      </c>
      <c r="F543" s="90">
        <v>4148.0538938305472</v>
      </c>
      <c r="G543" s="90">
        <v>0</v>
      </c>
      <c r="H543" s="90">
        <v>57854.586470023351</v>
      </c>
      <c r="I543" s="90">
        <v>0</v>
      </c>
      <c r="J543" s="90">
        <v>0</v>
      </c>
      <c r="K543" s="90">
        <v>0</v>
      </c>
      <c r="L543" s="90">
        <v>3069.5598814346049</v>
      </c>
      <c r="M543" s="90">
        <v>0</v>
      </c>
      <c r="N543" s="90">
        <v>42812.393987817282</v>
      </c>
      <c r="O543" s="90">
        <v>0</v>
      </c>
      <c r="P543" s="90">
        <v>0</v>
      </c>
      <c r="Q543" s="90">
        <v>0</v>
      </c>
      <c r="R543" s="90">
        <v>45938.147500000006</v>
      </c>
    </row>
    <row r="544" spans="1:18">
      <c r="A544" s="90" t="s">
        <v>81</v>
      </c>
      <c r="B544" s="90" t="s">
        <v>665</v>
      </c>
      <c r="C544" s="90" t="str">
        <f t="shared" si="8"/>
        <v>HusliaOffice</v>
      </c>
      <c r="D544" s="90">
        <v>5</v>
      </c>
      <c r="E544" s="90">
        <v>9833.338129496402</v>
      </c>
      <c r="F544" s="90">
        <v>8185.7679607699902</v>
      </c>
      <c r="G544" s="90">
        <v>0</v>
      </c>
      <c r="H544" s="90">
        <v>55791.001156441649</v>
      </c>
      <c r="I544" s="90">
        <v>0</v>
      </c>
      <c r="J544" s="90">
        <v>0</v>
      </c>
      <c r="K544" s="90">
        <v>0</v>
      </c>
      <c r="L544" s="90">
        <v>6057.4682909697931</v>
      </c>
      <c r="M544" s="90">
        <v>0</v>
      </c>
      <c r="N544" s="90">
        <v>41285.340855766823</v>
      </c>
      <c r="O544" s="90">
        <v>0</v>
      </c>
      <c r="P544" s="90">
        <v>0</v>
      </c>
      <c r="Q544" s="90">
        <v>0</v>
      </c>
      <c r="R544" s="90">
        <v>68833.36690647481</v>
      </c>
    </row>
    <row r="545" spans="1:18">
      <c r="A545" s="90" t="s">
        <v>81</v>
      </c>
      <c r="B545" s="90" t="s">
        <v>643</v>
      </c>
      <c r="C545" s="90" t="str">
        <f t="shared" si="8"/>
        <v>HusliaOther</v>
      </c>
      <c r="D545" s="90">
        <v>8</v>
      </c>
      <c r="E545" s="90">
        <v>17428.072519083969</v>
      </c>
      <c r="F545" s="90">
        <v>18522.8130727391</v>
      </c>
      <c r="G545" s="90">
        <v>0</v>
      </c>
      <c r="H545" s="90">
        <v>129369.33617723177</v>
      </c>
      <c r="I545" s="90">
        <v>0</v>
      </c>
      <c r="J545" s="90">
        <v>0</v>
      </c>
      <c r="K545" s="90">
        <v>0</v>
      </c>
      <c r="L545" s="90">
        <v>13706.881673826932</v>
      </c>
      <c r="M545" s="90">
        <v>0</v>
      </c>
      <c r="N545" s="90">
        <v>95733.308771151525</v>
      </c>
      <c r="O545" s="90">
        <v>0</v>
      </c>
      <c r="P545" s="90">
        <v>0</v>
      </c>
      <c r="Q545" s="90">
        <v>0</v>
      </c>
      <c r="R545" s="90">
        <v>121996.5076335878</v>
      </c>
    </row>
    <row r="546" spans="1:18">
      <c r="A546" s="90" t="s">
        <v>81</v>
      </c>
      <c r="B546" s="90" t="s">
        <v>1227</v>
      </c>
      <c r="C546" s="90" t="str">
        <f t="shared" si="8"/>
        <v>HusliaPublic Assembly</v>
      </c>
      <c r="D546" s="90">
        <v>6</v>
      </c>
      <c r="E546" s="90">
        <v>15389.256179775279</v>
      </c>
      <c r="F546" s="90">
        <v>10643.369525022379</v>
      </c>
      <c r="G546" s="90">
        <v>0</v>
      </c>
      <c r="H546" s="90">
        <v>71357.295985034973</v>
      </c>
      <c r="I546" s="90">
        <v>0</v>
      </c>
      <c r="J546" s="90">
        <v>0</v>
      </c>
      <c r="K546" s="90">
        <v>0</v>
      </c>
      <c r="L546" s="90">
        <v>7876.0934485165599</v>
      </c>
      <c r="M546" s="90">
        <v>0</v>
      </c>
      <c r="N546" s="90">
        <v>52804.39902892588</v>
      </c>
      <c r="O546" s="90">
        <v>0</v>
      </c>
      <c r="P546" s="90">
        <v>0</v>
      </c>
      <c r="Q546" s="90">
        <v>0</v>
      </c>
      <c r="R546" s="90">
        <v>107724.79325842694</v>
      </c>
    </row>
    <row r="547" spans="1:18">
      <c r="A547" s="90" t="s">
        <v>81</v>
      </c>
      <c r="B547" s="90" t="s">
        <v>1475</v>
      </c>
      <c r="C547" s="90" t="str">
        <f t="shared" si="8"/>
        <v>HusliaPublic Safety</v>
      </c>
      <c r="D547" s="90">
        <v>1</v>
      </c>
      <c r="E547" s="90">
        <v>2697.4089393939394</v>
      </c>
      <c r="F547" s="90">
        <v>1909.3942711307411</v>
      </c>
      <c r="G547" s="90">
        <v>0</v>
      </c>
      <c r="H547" s="90">
        <v>22307.792908055355</v>
      </c>
      <c r="I547" s="90">
        <v>0</v>
      </c>
      <c r="J547" s="90">
        <v>0</v>
      </c>
      <c r="K547" s="90">
        <v>0</v>
      </c>
      <c r="L547" s="90">
        <v>1412.9517606367483</v>
      </c>
      <c r="M547" s="90">
        <v>0</v>
      </c>
      <c r="N547" s="90">
        <v>16507.766751960964</v>
      </c>
      <c r="O547" s="90">
        <v>0</v>
      </c>
      <c r="P547" s="90">
        <v>0</v>
      </c>
      <c r="Q547" s="90">
        <v>0</v>
      </c>
      <c r="R547" s="90">
        <v>18881.862575757576</v>
      </c>
    </row>
    <row r="548" spans="1:18">
      <c r="A548" s="90" t="s">
        <v>81</v>
      </c>
      <c r="B548" s="90" t="s">
        <v>1485</v>
      </c>
      <c r="C548" s="90" t="str">
        <f t="shared" si="8"/>
        <v>HusliaRetail - Other</v>
      </c>
      <c r="D548" s="90">
        <v>3</v>
      </c>
      <c r="E548" s="90">
        <v>18829.09756097561</v>
      </c>
      <c r="F548" s="90">
        <v>31276.054726548176</v>
      </c>
      <c r="G548" s="90">
        <v>0</v>
      </c>
      <c r="H548" s="90">
        <v>459395.69745502796</v>
      </c>
      <c r="I548" s="90">
        <v>0</v>
      </c>
      <c r="J548" s="90">
        <v>0</v>
      </c>
      <c r="K548" s="90">
        <v>0</v>
      </c>
      <c r="L548" s="90">
        <v>23144.28049764565</v>
      </c>
      <c r="M548" s="90">
        <v>0</v>
      </c>
      <c r="N548" s="90">
        <v>339952.81611672067</v>
      </c>
      <c r="O548" s="90">
        <v>0</v>
      </c>
      <c r="P548" s="90">
        <v>0</v>
      </c>
      <c r="Q548" s="90">
        <v>0</v>
      </c>
      <c r="R548" s="90">
        <v>131803.68292682926</v>
      </c>
    </row>
    <row r="549" spans="1:18">
      <c r="A549" s="90" t="s">
        <v>81</v>
      </c>
      <c r="B549" s="90" t="s">
        <v>951</v>
      </c>
      <c r="C549" s="90" t="str">
        <f t="shared" si="8"/>
        <v>HusliaWarehousing</v>
      </c>
      <c r="D549" s="90">
        <v>3</v>
      </c>
      <c r="E549" s="90">
        <v>2128</v>
      </c>
      <c r="F549" s="90">
        <v>3713.9845129610248</v>
      </c>
      <c r="G549" s="90">
        <v>0</v>
      </c>
      <c r="H549" s="90">
        <v>97502.229831947945</v>
      </c>
      <c r="I549" s="90">
        <v>0</v>
      </c>
      <c r="J549" s="90">
        <v>0</v>
      </c>
      <c r="K549" s="90">
        <v>0</v>
      </c>
      <c r="L549" s="90">
        <v>2748.3485395911584</v>
      </c>
      <c r="M549" s="90">
        <v>0</v>
      </c>
      <c r="N549" s="90">
        <v>72151.650075641475</v>
      </c>
      <c r="O549" s="90">
        <v>0</v>
      </c>
      <c r="P549" s="90">
        <v>0</v>
      </c>
      <c r="Q549" s="90">
        <v>0</v>
      </c>
      <c r="R549" s="90">
        <v>14896</v>
      </c>
    </row>
    <row r="550" spans="1:18">
      <c r="A550" s="90" t="s">
        <v>37</v>
      </c>
      <c r="B550" s="90" t="s">
        <v>1439</v>
      </c>
      <c r="C550" s="90" t="str">
        <f t="shared" si="8"/>
        <v>HydaburgEducation - K - 12</v>
      </c>
      <c r="D550" s="90">
        <v>3</v>
      </c>
      <c r="E550" s="90">
        <v>45362</v>
      </c>
      <c r="F550" s="90">
        <v>29983.6700729927</v>
      </c>
      <c r="G550" s="90">
        <v>0</v>
      </c>
      <c r="H550" s="90">
        <v>465854.91811325093</v>
      </c>
      <c r="I550" s="90">
        <v>0</v>
      </c>
      <c r="J550" s="90">
        <v>0</v>
      </c>
      <c r="K550" s="90">
        <v>0</v>
      </c>
      <c r="L550" s="90">
        <v>22187.915854014598</v>
      </c>
      <c r="M550" s="90">
        <v>0</v>
      </c>
      <c r="N550" s="90">
        <v>344732.63940380566</v>
      </c>
      <c r="O550" s="90">
        <v>0</v>
      </c>
      <c r="P550" s="90">
        <v>0</v>
      </c>
      <c r="Q550" s="90">
        <v>0</v>
      </c>
      <c r="R550" s="90">
        <v>317534</v>
      </c>
    </row>
    <row r="551" spans="1:18">
      <c r="A551" s="90" t="s">
        <v>37</v>
      </c>
      <c r="B551" s="90" t="s">
        <v>1440</v>
      </c>
      <c r="C551" s="90" t="str">
        <f t="shared" si="8"/>
        <v>HydaburgHealth Care - Hospitals</v>
      </c>
      <c r="D551" s="90">
        <v>2</v>
      </c>
      <c r="E551" s="90">
        <v>6905.5925000000007</v>
      </c>
      <c r="F551" s="90">
        <v>4364.8557881404377</v>
      </c>
      <c r="G551" s="90">
        <v>0</v>
      </c>
      <c r="H551" s="90">
        <v>60878.410234673982</v>
      </c>
      <c r="I551" s="90">
        <v>0</v>
      </c>
      <c r="J551" s="90">
        <v>0</v>
      </c>
      <c r="K551" s="90">
        <v>0</v>
      </c>
      <c r="L551" s="90">
        <v>3229.9932832239238</v>
      </c>
      <c r="M551" s="90">
        <v>0</v>
      </c>
      <c r="N551" s="90">
        <v>45050.023573658749</v>
      </c>
      <c r="O551" s="90">
        <v>0</v>
      </c>
      <c r="P551" s="90">
        <v>0</v>
      </c>
      <c r="Q551" s="90">
        <v>0</v>
      </c>
      <c r="R551" s="90">
        <v>48339.147500000006</v>
      </c>
    </row>
    <row r="552" spans="1:18">
      <c r="A552" s="90" t="s">
        <v>37</v>
      </c>
      <c r="B552" s="90" t="s">
        <v>1444</v>
      </c>
      <c r="C552" s="90" t="str">
        <f t="shared" si="8"/>
        <v>HydaburgHealth Care - Nursing/Residential Care</v>
      </c>
      <c r="D552" s="90">
        <v>1</v>
      </c>
      <c r="E552" s="90">
        <v>6307.25</v>
      </c>
      <c r="F552" s="90">
        <v>4458.7240236154639</v>
      </c>
      <c r="G552" s="90">
        <v>0</v>
      </c>
      <c r="H552" s="90">
        <v>36017.001130087716</v>
      </c>
      <c r="I552" s="90">
        <v>0</v>
      </c>
      <c r="J552" s="90">
        <v>0</v>
      </c>
      <c r="K552" s="90">
        <v>0</v>
      </c>
      <c r="L552" s="90">
        <v>3299.4557774754435</v>
      </c>
      <c r="M552" s="90">
        <v>0</v>
      </c>
      <c r="N552" s="90">
        <v>26652.580836264908</v>
      </c>
      <c r="O552" s="90">
        <v>0</v>
      </c>
      <c r="P552" s="90">
        <v>0</v>
      </c>
      <c r="Q552" s="90">
        <v>0</v>
      </c>
      <c r="R552" s="90">
        <v>44150.75</v>
      </c>
    </row>
    <row r="553" spans="1:18">
      <c r="A553" s="90" t="s">
        <v>37</v>
      </c>
      <c r="B553" s="90" t="s">
        <v>665</v>
      </c>
      <c r="C553" s="90" t="str">
        <f t="shared" si="8"/>
        <v>HydaburgOffice</v>
      </c>
      <c r="D553" s="90">
        <v>2</v>
      </c>
      <c r="E553" s="90">
        <v>5770.3381294964029</v>
      </c>
      <c r="F553" s="90">
        <v>4803.5212825189537</v>
      </c>
      <c r="G553" s="90">
        <v>0</v>
      </c>
      <c r="H553" s="90">
        <v>32738.92721029419</v>
      </c>
      <c r="I553" s="90">
        <v>0</v>
      </c>
      <c r="J553" s="90">
        <v>0</v>
      </c>
      <c r="K553" s="90">
        <v>0</v>
      </c>
      <c r="L553" s="90">
        <v>3554.6057490640255</v>
      </c>
      <c r="M553" s="90">
        <v>0</v>
      </c>
      <c r="N553" s="90">
        <v>24226.806135617702</v>
      </c>
      <c r="O553" s="90">
        <v>0</v>
      </c>
      <c r="P553" s="90">
        <v>0</v>
      </c>
      <c r="Q553" s="90">
        <v>0</v>
      </c>
      <c r="R553" s="90">
        <v>40392.366906474817</v>
      </c>
    </row>
    <row r="554" spans="1:18">
      <c r="A554" s="90" t="s">
        <v>37</v>
      </c>
      <c r="B554" s="90" t="s">
        <v>643</v>
      </c>
      <c r="C554" s="90" t="str">
        <f t="shared" si="8"/>
        <v>HydaburgOther</v>
      </c>
      <c r="D554" s="90">
        <v>6</v>
      </c>
      <c r="E554" s="90">
        <v>26932.145038167939</v>
      </c>
      <c r="F554" s="90">
        <v>28623.881823054464</v>
      </c>
      <c r="G554" s="90">
        <v>0</v>
      </c>
      <c r="H554" s="90">
        <v>199918.47759420754</v>
      </c>
      <c r="I554" s="90">
        <v>0</v>
      </c>
      <c r="J554" s="90">
        <v>0</v>
      </c>
      <c r="K554" s="90">
        <v>0</v>
      </c>
      <c r="L554" s="90">
        <v>21181.672549060298</v>
      </c>
      <c r="M554" s="90">
        <v>0</v>
      </c>
      <c r="N554" s="90">
        <v>147939.6734197136</v>
      </c>
      <c r="O554" s="90">
        <v>0</v>
      </c>
      <c r="P554" s="90">
        <v>0</v>
      </c>
      <c r="Q554" s="90">
        <v>0</v>
      </c>
      <c r="R554" s="90">
        <v>188525.01526717556</v>
      </c>
    </row>
    <row r="555" spans="1:18">
      <c r="A555" s="90" t="s">
        <v>37</v>
      </c>
      <c r="B555" s="90" t="s">
        <v>1227</v>
      </c>
      <c r="C555" s="90" t="str">
        <f t="shared" si="8"/>
        <v>HydaburgPublic Assembly</v>
      </c>
      <c r="D555" s="90">
        <v>4</v>
      </c>
      <c r="E555" s="90">
        <v>13539.128089887639</v>
      </c>
      <c r="F555" s="90">
        <v>9363.8017084064668</v>
      </c>
      <c r="G555" s="90">
        <v>0</v>
      </c>
      <c r="H555" s="90">
        <v>62778.574818911176</v>
      </c>
      <c r="I555" s="90">
        <v>0</v>
      </c>
      <c r="J555" s="90">
        <v>0</v>
      </c>
      <c r="K555" s="90">
        <v>0</v>
      </c>
      <c r="L555" s="90">
        <v>6929.2132642207853</v>
      </c>
      <c r="M555" s="90">
        <v>0</v>
      </c>
      <c r="N555" s="90">
        <v>46456.145365994264</v>
      </c>
      <c r="O555" s="90">
        <v>0</v>
      </c>
      <c r="P555" s="90">
        <v>0</v>
      </c>
      <c r="Q555" s="90">
        <v>0</v>
      </c>
      <c r="R555" s="90">
        <v>94773.896629213472</v>
      </c>
    </row>
    <row r="556" spans="1:18">
      <c r="A556" s="90" t="s">
        <v>37</v>
      </c>
      <c r="B556" s="90" t="s">
        <v>1475</v>
      </c>
      <c r="C556" s="90" t="str">
        <f t="shared" si="8"/>
        <v>HydaburgPublic Safety</v>
      </c>
      <c r="D556" s="90">
        <v>1</v>
      </c>
      <c r="E556" s="90">
        <v>1940</v>
      </c>
      <c r="F556" s="90">
        <v>1373.252988041892</v>
      </c>
      <c r="G556" s="90">
        <v>0</v>
      </c>
      <c r="H556" s="90">
        <v>16043.958930213599</v>
      </c>
      <c r="I556" s="90">
        <v>0</v>
      </c>
      <c r="J556" s="90">
        <v>0</v>
      </c>
      <c r="K556" s="90">
        <v>0</v>
      </c>
      <c r="L556" s="90">
        <v>1016.207211151</v>
      </c>
      <c r="M556" s="90">
        <v>0</v>
      </c>
      <c r="N556" s="90">
        <v>11872.529608358063</v>
      </c>
      <c r="O556" s="90">
        <v>0</v>
      </c>
      <c r="P556" s="90">
        <v>0</v>
      </c>
      <c r="Q556" s="90">
        <v>0</v>
      </c>
      <c r="R556" s="90">
        <v>13580</v>
      </c>
    </row>
    <row r="557" spans="1:18">
      <c r="A557" s="90" t="s">
        <v>37</v>
      </c>
      <c r="B557" s="90" t="s">
        <v>1442</v>
      </c>
      <c r="C557" s="90" t="str">
        <f t="shared" si="8"/>
        <v>HydaburgResidential - Multi-Family</v>
      </c>
      <c r="D557" s="90">
        <v>1</v>
      </c>
      <c r="E557" s="90">
        <v>5023.2142857142853</v>
      </c>
      <c r="F557" s="90">
        <v>5139.1357214418613</v>
      </c>
      <c r="G557" s="90">
        <v>0</v>
      </c>
      <c r="H557" s="90">
        <v>20761.369111082939</v>
      </c>
      <c r="I557" s="90">
        <v>0</v>
      </c>
      <c r="J557" s="90">
        <v>0</v>
      </c>
      <c r="K557" s="90">
        <v>0</v>
      </c>
      <c r="L557" s="90">
        <v>3802.9604338669774</v>
      </c>
      <c r="M557" s="90">
        <v>0</v>
      </c>
      <c r="N557" s="90">
        <v>15363.413142201374</v>
      </c>
      <c r="O557" s="90">
        <v>0</v>
      </c>
      <c r="P557" s="90">
        <v>0</v>
      </c>
      <c r="Q557" s="90">
        <v>0</v>
      </c>
      <c r="R557" s="90">
        <v>35162.5</v>
      </c>
    </row>
    <row r="558" spans="1:18">
      <c r="A558" s="90" t="s">
        <v>37</v>
      </c>
      <c r="B558" s="90" t="s">
        <v>951</v>
      </c>
      <c r="C558" s="90" t="str">
        <f t="shared" si="8"/>
        <v>HydaburgWarehousing</v>
      </c>
      <c r="D558" s="90">
        <v>2</v>
      </c>
      <c r="E558" s="90">
        <v>5453.1323529411766</v>
      </c>
      <c r="F558" s="90">
        <v>9517.3163091871447</v>
      </c>
      <c r="G558" s="90">
        <v>0</v>
      </c>
      <c r="H558" s="90">
        <v>249855.52818632594</v>
      </c>
      <c r="I558" s="90">
        <v>0</v>
      </c>
      <c r="J558" s="90">
        <v>0</v>
      </c>
      <c r="K558" s="90">
        <v>0</v>
      </c>
      <c r="L558" s="90">
        <v>7042.8140687984869</v>
      </c>
      <c r="M558" s="90">
        <v>0</v>
      </c>
      <c r="N558" s="90">
        <v>184893.09085788121</v>
      </c>
      <c r="O558" s="90">
        <v>0</v>
      </c>
      <c r="P558" s="90">
        <v>0</v>
      </c>
      <c r="Q558" s="90">
        <v>0</v>
      </c>
      <c r="R558" s="90">
        <v>38171.926470588238</v>
      </c>
    </row>
    <row r="559" spans="1:18">
      <c r="A559" s="90" t="s">
        <v>1021</v>
      </c>
      <c r="B559" s="90" t="s">
        <v>951</v>
      </c>
      <c r="C559" s="90" t="str">
        <f t="shared" si="8"/>
        <v>HyderWarehousing</v>
      </c>
      <c r="D559" s="90">
        <v>1</v>
      </c>
      <c r="E559" s="90">
        <v>1900</v>
      </c>
      <c r="F559" s="90">
        <v>2381.7077727056426</v>
      </c>
      <c r="G559" s="90">
        <v>0</v>
      </c>
      <c r="H559" s="90">
        <v>22543.782693956713</v>
      </c>
      <c r="I559" s="90">
        <v>0</v>
      </c>
      <c r="J559" s="90">
        <v>0</v>
      </c>
      <c r="K559" s="90">
        <v>0</v>
      </c>
      <c r="L559" s="90">
        <v>1762.4637518021755</v>
      </c>
      <c r="M559" s="90">
        <v>0</v>
      </c>
      <c r="N559" s="90">
        <v>16682.399193527966</v>
      </c>
      <c r="O559" s="90">
        <v>0</v>
      </c>
      <c r="P559" s="90">
        <v>0</v>
      </c>
      <c r="Q559" s="90">
        <v>0</v>
      </c>
      <c r="R559" s="90">
        <v>13300</v>
      </c>
    </row>
    <row r="560" spans="1:18">
      <c r="A560" s="90" t="s">
        <v>154</v>
      </c>
      <c r="B560" s="90" t="s">
        <v>1447</v>
      </c>
      <c r="C560" s="90" t="str">
        <f t="shared" si="8"/>
        <v>IgiugigAccomodation Services</v>
      </c>
      <c r="D560" s="90">
        <v>3</v>
      </c>
      <c r="E560" s="90">
        <v>14312.444444444445</v>
      </c>
      <c r="F560" s="90">
        <v>8965.4941620000827</v>
      </c>
      <c r="G560" s="90">
        <v>0</v>
      </c>
      <c r="H560" s="90">
        <v>105011.7321080479</v>
      </c>
      <c r="I560" s="90">
        <v>0</v>
      </c>
      <c r="J560" s="90">
        <v>0</v>
      </c>
      <c r="K560" s="90">
        <v>0</v>
      </c>
      <c r="L560" s="90">
        <v>6634.4656798800625</v>
      </c>
      <c r="M560" s="90">
        <v>0</v>
      </c>
      <c r="N560" s="90">
        <v>77708.681759955449</v>
      </c>
      <c r="O560" s="90">
        <v>0</v>
      </c>
      <c r="P560" s="90">
        <v>0</v>
      </c>
      <c r="Q560" s="90">
        <v>0</v>
      </c>
      <c r="R560" s="90">
        <v>100187.11111111109</v>
      </c>
    </row>
    <row r="561" spans="1:18">
      <c r="A561" s="90" t="s">
        <v>154</v>
      </c>
      <c r="B561" s="90" t="s">
        <v>1439</v>
      </c>
      <c r="C561" s="90" t="str">
        <f t="shared" si="8"/>
        <v>IgiugigEducation - K - 12</v>
      </c>
      <c r="D561" s="90">
        <v>3</v>
      </c>
      <c r="E561" s="90">
        <v>20852.415555555555</v>
      </c>
      <c r="F561" s="90">
        <v>13328.395228975261</v>
      </c>
      <c r="G561" s="90">
        <v>0</v>
      </c>
      <c r="H561" s="90">
        <v>99671.921963230925</v>
      </c>
      <c r="I561" s="90">
        <v>0</v>
      </c>
      <c r="J561" s="90">
        <v>0</v>
      </c>
      <c r="K561" s="90">
        <v>0</v>
      </c>
      <c r="L561" s="90">
        <v>9863.0124694416936</v>
      </c>
      <c r="M561" s="90">
        <v>0</v>
      </c>
      <c r="N561" s="90">
        <v>73757.222252790874</v>
      </c>
      <c r="O561" s="90">
        <v>0</v>
      </c>
      <c r="P561" s="90">
        <v>0</v>
      </c>
      <c r="Q561" s="90">
        <v>0</v>
      </c>
      <c r="R561" s="90">
        <v>145966.90888888889</v>
      </c>
    </row>
    <row r="562" spans="1:18">
      <c r="A562" s="90" t="s">
        <v>154</v>
      </c>
      <c r="B562" s="90" t="s">
        <v>1440</v>
      </c>
      <c r="C562" s="90" t="str">
        <f t="shared" si="8"/>
        <v>IgiugigHealth Care - Hospitals</v>
      </c>
      <c r="D562" s="90">
        <v>2</v>
      </c>
      <c r="E562" s="90">
        <v>2600</v>
      </c>
      <c r="F562" s="90">
        <v>3266.6706702475722</v>
      </c>
      <c r="G562" s="90">
        <v>0</v>
      </c>
      <c r="H562" s="90">
        <v>19558.321380826994</v>
      </c>
      <c r="I562" s="90">
        <v>0</v>
      </c>
      <c r="J562" s="90">
        <v>0</v>
      </c>
      <c r="K562" s="90">
        <v>0</v>
      </c>
      <c r="L562" s="90">
        <v>2417.3362959832034</v>
      </c>
      <c r="M562" s="90">
        <v>0</v>
      </c>
      <c r="N562" s="90">
        <v>14473.157821811974</v>
      </c>
      <c r="O562" s="90">
        <v>0</v>
      </c>
      <c r="P562" s="90">
        <v>0</v>
      </c>
      <c r="Q562" s="90">
        <v>0</v>
      </c>
      <c r="R562" s="90">
        <v>18200</v>
      </c>
    </row>
    <row r="563" spans="1:18">
      <c r="A563" s="90" t="s">
        <v>154</v>
      </c>
      <c r="B563" s="90" t="s">
        <v>665</v>
      </c>
      <c r="C563" s="90" t="str">
        <f t="shared" si="8"/>
        <v>IgiugigOffice</v>
      </c>
      <c r="D563" s="90">
        <v>2</v>
      </c>
      <c r="E563" s="90">
        <v>4066.517006802721</v>
      </c>
      <c r="F563" s="90">
        <v>5411.1649445925304</v>
      </c>
      <c r="G563" s="90">
        <v>0</v>
      </c>
      <c r="H563" s="90">
        <v>32597.323289905435</v>
      </c>
      <c r="I563" s="90">
        <v>0</v>
      </c>
      <c r="J563" s="90">
        <v>0</v>
      </c>
      <c r="K563" s="90">
        <v>0</v>
      </c>
      <c r="L563" s="90">
        <v>4004.2620589984726</v>
      </c>
      <c r="M563" s="90">
        <v>0</v>
      </c>
      <c r="N563" s="90">
        <v>24122.01923453002</v>
      </c>
      <c r="O563" s="90">
        <v>0</v>
      </c>
      <c r="P563" s="90">
        <v>0</v>
      </c>
      <c r="Q563" s="90">
        <v>0</v>
      </c>
      <c r="R563" s="90">
        <v>28465.619047619046</v>
      </c>
    </row>
    <row r="564" spans="1:18">
      <c r="A564" s="90" t="s">
        <v>154</v>
      </c>
      <c r="B564" s="90" t="s">
        <v>643</v>
      </c>
      <c r="C564" s="90" t="str">
        <f t="shared" si="8"/>
        <v>IgiugigOther</v>
      </c>
      <c r="D564" s="90">
        <v>6</v>
      </c>
      <c r="E564" s="90">
        <v>12983.522727272726</v>
      </c>
      <c r="F564" s="90">
        <v>11042.363983863785</v>
      </c>
      <c r="G564" s="90">
        <v>0</v>
      </c>
      <c r="H564" s="90">
        <v>99126.932432322952</v>
      </c>
      <c r="I564" s="90">
        <v>0</v>
      </c>
      <c r="J564" s="90">
        <v>0</v>
      </c>
      <c r="K564" s="90">
        <v>0</v>
      </c>
      <c r="L564" s="90">
        <v>8171.3493480592006</v>
      </c>
      <c r="M564" s="90">
        <v>0</v>
      </c>
      <c r="N564" s="90">
        <v>73353.929999918983</v>
      </c>
      <c r="O564" s="90">
        <v>0</v>
      </c>
      <c r="P564" s="90">
        <v>0</v>
      </c>
      <c r="Q564" s="90">
        <v>0</v>
      </c>
      <c r="R564" s="90">
        <v>90884.659090909088</v>
      </c>
    </row>
    <row r="565" spans="1:18">
      <c r="A565" s="90" t="s">
        <v>154</v>
      </c>
      <c r="B565" s="90" t="s">
        <v>1227</v>
      </c>
      <c r="C565" s="90" t="str">
        <f t="shared" si="8"/>
        <v>IgiugigPublic Assembly</v>
      </c>
      <c r="D565" s="90">
        <v>2</v>
      </c>
      <c r="E565" s="90">
        <v>5266.7211538461543</v>
      </c>
      <c r="F565" s="90">
        <v>2613.3809414995876</v>
      </c>
      <c r="G565" s="90">
        <v>1329.0296462222882</v>
      </c>
      <c r="H565" s="90">
        <v>18453.515613395884</v>
      </c>
      <c r="I565" s="90">
        <v>0</v>
      </c>
      <c r="J565" s="90">
        <v>0</v>
      </c>
      <c r="K565" s="90">
        <v>0</v>
      </c>
      <c r="L565" s="90">
        <v>1933.9018967096945</v>
      </c>
      <c r="M565" s="90">
        <v>983.4819382044933</v>
      </c>
      <c r="N565" s="90">
        <v>13655.601553912955</v>
      </c>
      <c r="O565" s="90">
        <v>0</v>
      </c>
      <c r="P565" s="90">
        <v>0</v>
      </c>
      <c r="Q565" s="90">
        <v>0</v>
      </c>
      <c r="R565" s="90">
        <v>36867.048076923078</v>
      </c>
    </row>
    <row r="566" spans="1:18">
      <c r="A566" s="90" t="s">
        <v>154</v>
      </c>
      <c r="B566" s="90" t="s">
        <v>1442</v>
      </c>
      <c r="C566" s="90" t="str">
        <f t="shared" si="8"/>
        <v>IgiugigResidential - Multi-Family</v>
      </c>
      <c r="D566" s="90">
        <v>1</v>
      </c>
      <c r="E566" s="90">
        <v>2751</v>
      </c>
      <c r="F566" s="90">
        <v>2078.4427930376196</v>
      </c>
      <c r="G566" s="90">
        <v>0</v>
      </c>
      <c r="H566" s="90">
        <v>14404.176521930009</v>
      </c>
      <c r="I566" s="90">
        <v>0</v>
      </c>
      <c r="J566" s="90">
        <v>0</v>
      </c>
      <c r="K566" s="90">
        <v>0</v>
      </c>
      <c r="L566" s="90">
        <v>1538.0476668478384</v>
      </c>
      <c r="M566" s="90">
        <v>0</v>
      </c>
      <c r="N566" s="90">
        <v>10659.090626228206</v>
      </c>
      <c r="O566" s="90">
        <v>0</v>
      </c>
      <c r="P566" s="90">
        <v>0</v>
      </c>
      <c r="Q566" s="90">
        <v>0</v>
      </c>
      <c r="R566" s="90">
        <v>19257</v>
      </c>
    </row>
    <row r="567" spans="1:18">
      <c r="A567" s="90" t="s">
        <v>154</v>
      </c>
      <c r="B567" s="90" t="s">
        <v>951</v>
      </c>
      <c r="C567" s="90" t="str">
        <f t="shared" si="8"/>
        <v>IgiugigWarehousing</v>
      </c>
      <c r="D567" s="90">
        <v>2</v>
      </c>
      <c r="E567" s="90">
        <v>2887.9572649572647</v>
      </c>
      <c r="F567" s="90">
        <v>3620.1422448370777</v>
      </c>
      <c r="G567" s="90">
        <v>0</v>
      </c>
      <c r="H567" s="90">
        <v>34266.042637173763</v>
      </c>
      <c r="I567" s="90">
        <v>0</v>
      </c>
      <c r="J567" s="90">
        <v>0</v>
      </c>
      <c r="K567" s="90">
        <v>0</v>
      </c>
      <c r="L567" s="90">
        <v>2678.9052611794373</v>
      </c>
      <c r="M567" s="90">
        <v>0</v>
      </c>
      <c r="N567" s="90">
        <v>25356.871551508586</v>
      </c>
      <c r="O567" s="90">
        <v>0</v>
      </c>
      <c r="P567" s="90">
        <v>0</v>
      </c>
      <c r="Q567" s="90">
        <v>0</v>
      </c>
      <c r="R567" s="90">
        <v>20215.700854700852</v>
      </c>
    </row>
    <row r="568" spans="1:18">
      <c r="A568" s="90" t="s">
        <v>1022</v>
      </c>
      <c r="B568" s="90" t="s">
        <v>1447</v>
      </c>
      <c r="C568" s="90" t="str">
        <f t="shared" si="8"/>
        <v>IliamnaAccomodation Services</v>
      </c>
      <c r="D568" s="90">
        <v>5</v>
      </c>
      <c r="E568" s="90">
        <v>23854.074074074073</v>
      </c>
      <c r="F568" s="90">
        <v>14942.49027000014</v>
      </c>
      <c r="G568" s="90">
        <v>0</v>
      </c>
      <c r="H568" s="90">
        <v>175019.55351341315</v>
      </c>
      <c r="I568" s="90">
        <v>0</v>
      </c>
      <c r="J568" s="90">
        <v>0</v>
      </c>
      <c r="K568" s="90">
        <v>0</v>
      </c>
      <c r="L568" s="90">
        <v>11057.442799800103</v>
      </c>
      <c r="M568" s="90">
        <v>0</v>
      </c>
      <c r="N568" s="90">
        <v>129514.46959992574</v>
      </c>
      <c r="O568" s="90">
        <v>0</v>
      </c>
      <c r="P568" s="90">
        <v>0</v>
      </c>
      <c r="Q568" s="90">
        <v>0</v>
      </c>
      <c r="R568" s="90">
        <v>166978.51851851851</v>
      </c>
    </row>
    <row r="569" spans="1:18">
      <c r="A569" s="90" t="s">
        <v>1022</v>
      </c>
      <c r="B569" s="90" t="s">
        <v>1469</v>
      </c>
      <c r="C569" s="90" t="str">
        <f t="shared" si="8"/>
        <v>IliamnaFood Service and Drinking Places</v>
      </c>
      <c r="D569" s="90">
        <v>1</v>
      </c>
      <c r="E569" s="90">
        <v>2640.5384615384614</v>
      </c>
      <c r="F569" s="90">
        <v>1059.7361025641026</v>
      </c>
      <c r="G569" s="90">
        <v>0</v>
      </c>
      <c r="H569" s="90">
        <v>7071.0110453841353</v>
      </c>
      <c r="I569" s="90">
        <v>0</v>
      </c>
      <c r="J569" s="90">
        <v>0</v>
      </c>
      <c r="K569" s="90">
        <v>0</v>
      </c>
      <c r="L569" s="90">
        <v>784.2047158974359</v>
      </c>
      <c r="M569" s="90">
        <v>0</v>
      </c>
      <c r="N569" s="90">
        <v>5232.5481735842604</v>
      </c>
      <c r="O569" s="90">
        <v>0</v>
      </c>
      <c r="P569" s="90">
        <v>0</v>
      </c>
      <c r="Q569" s="90">
        <v>0</v>
      </c>
      <c r="R569" s="90">
        <v>18483.76923076923</v>
      </c>
    </row>
    <row r="570" spans="1:18">
      <c r="A570" s="90" t="s">
        <v>1022</v>
      </c>
      <c r="B570" s="90" t="s">
        <v>1440</v>
      </c>
      <c r="C570" s="90" t="str">
        <f t="shared" si="8"/>
        <v>IliamnaHealth Care - Hospitals</v>
      </c>
      <c r="D570" s="90">
        <v>1</v>
      </c>
      <c r="E570" s="90">
        <v>900</v>
      </c>
      <c r="F570" s="90">
        <v>1200</v>
      </c>
      <c r="G570" s="90">
        <v>0</v>
      </c>
      <c r="H570" s="90">
        <v>14000</v>
      </c>
      <c r="I570" s="90">
        <v>0</v>
      </c>
      <c r="J570" s="90">
        <v>0</v>
      </c>
      <c r="K570" s="90">
        <v>0</v>
      </c>
      <c r="L570" s="90">
        <v>888</v>
      </c>
      <c r="M570" s="90">
        <v>0</v>
      </c>
      <c r="N570" s="90">
        <v>10360</v>
      </c>
      <c r="O570" s="90">
        <v>0</v>
      </c>
      <c r="P570" s="90">
        <v>0</v>
      </c>
      <c r="Q570" s="90">
        <v>0</v>
      </c>
      <c r="R570" s="90">
        <v>6300</v>
      </c>
    </row>
    <row r="571" spans="1:18">
      <c r="A571" s="90" t="s">
        <v>1022</v>
      </c>
      <c r="B571" s="90" t="s">
        <v>665</v>
      </c>
      <c r="C571" s="90" t="str">
        <f t="shared" si="8"/>
        <v>IliamnaOffice</v>
      </c>
      <c r="D571" s="90">
        <v>5</v>
      </c>
      <c r="E571" s="90">
        <v>15028.258503401361</v>
      </c>
      <c r="F571" s="90">
        <v>15112.028750718844</v>
      </c>
      <c r="G571" s="90">
        <v>0</v>
      </c>
      <c r="H571" s="90">
        <v>100504.4566596378</v>
      </c>
      <c r="I571" s="90">
        <v>0</v>
      </c>
      <c r="J571" s="90">
        <v>0</v>
      </c>
      <c r="K571" s="90">
        <v>0</v>
      </c>
      <c r="L571" s="90">
        <v>11182.901275531945</v>
      </c>
      <c r="M571" s="90">
        <v>0</v>
      </c>
      <c r="N571" s="90">
        <v>74373.297928131971</v>
      </c>
      <c r="O571" s="90">
        <v>0</v>
      </c>
      <c r="P571" s="90">
        <v>0</v>
      </c>
      <c r="Q571" s="90">
        <v>0</v>
      </c>
      <c r="R571" s="90">
        <v>105197.80952380953</v>
      </c>
    </row>
    <row r="572" spans="1:18">
      <c r="A572" s="90" t="s">
        <v>1022</v>
      </c>
      <c r="B572" s="90" t="s">
        <v>643</v>
      </c>
      <c r="C572" s="90" t="str">
        <f t="shared" si="8"/>
        <v>IliamnaOther</v>
      </c>
      <c r="D572" s="90">
        <v>11</v>
      </c>
      <c r="E572" s="90">
        <v>31306.36363636364</v>
      </c>
      <c r="F572" s="90">
        <v>29308.450346474605</v>
      </c>
      <c r="G572" s="90">
        <v>0</v>
      </c>
      <c r="H572" s="90">
        <v>203374.37297056263</v>
      </c>
      <c r="I572" s="90">
        <v>0</v>
      </c>
      <c r="J572" s="90">
        <v>0</v>
      </c>
      <c r="K572" s="90">
        <v>0</v>
      </c>
      <c r="L572" s="90">
        <v>21688.253256391206</v>
      </c>
      <c r="M572" s="90">
        <v>0</v>
      </c>
      <c r="N572" s="90">
        <v>150497.03599821634</v>
      </c>
      <c r="O572" s="90">
        <v>0</v>
      </c>
      <c r="P572" s="90">
        <v>0</v>
      </c>
      <c r="Q572" s="90">
        <v>0</v>
      </c>
      <c r="R572" s="90">
        <v>219144.54545454544</v>
      </c>
    </row>
    <row r="573" spans="1:18">
      <c r="A573" s="90" t="s">
        <v>1022</v>
      </c>
      <c r="B573" s="90" t="s">
        <v>1227</v>
      </c>
      <c r="C573" s="90" t="str">
        <f t="shared" si="8"/>
        <v>IliamnaPublic Assembly</v>
      </c>
      <c r="D573" s="90">
        <v>2</v>
      </c>
      <c r="E573" s="90">
        <v>7136.7211538461543</v>
      </c>
      <c r="F573" s="90">
        <v>2757.1809414995873</v>
      </c>
      <c r="G573" s="90">
        <v>0</v>
      </c>
      <c r="H573" s="90">
        <v>14799.515613395884</v>
      </c>
      <c r="I573" s="90">
        <v>0</v>
      </c>
      <c r="J573" s="90">
        <v>0</v>
      </c>
      <c r="K573" s="90">
        <v>0</v>
      </c>
      <c r="L573" s="90">
        <v>2040.3138967096945</v>
      </c>
      <c r="M573" s="90">
        <v>0</v>
      </c>
      <c r="N573" s="90">
        <v>10951.641553912954</v>
      </c>
      <c r="O573" s="90">
        <v>0</v>
      </c>
      <c r="P573" s="90">
        <v>0</v>
      </c>
      <c r="Q573" s="90">
        <v>0</v>
      </c>
      <c r="R573" s="90">
        <v>49957.048076923078</v>
      </c>
    </row>
    <row r="574" spans="1:18">
      <c r="A574" s="90" t="s">
        <v>1022</v>
      </c>
      <c r="B574" s="90" t="s">
        <v>1475</v>
      </c>
      <c r="C574" s="90" t="str">
        <f t="shared" si="8"/>
        <v>IliamnaPublic Safety</v>
      </c>
      <c r="D574" s="90">
        <v>1</v>
      </c>
      <c r="E574" s="90">
        <v>2595.4749999999999</v>
      </c>
      <c r="F574" s="90">
        <v>2523.774623927618</v>
      </c>
      <c r="G574" s="90">
        <v>0</v>
      </c>
      <c r="H574" s="90">
        <v>20946.642306328533</v>
      </c>
      <c r="I574" s="90">
        <v>0</v>
      </c>
      <c r="J574" s="90">
        <v>0</v>
      </c>
      <c r="K574" s="90">
        <v>0</v>
      </c>
      <c r="L574" s="90">
        <v>1867.5932217064374</v>
      </c>
      <c r="M574" s="90">
        <v>0</v>
      </c>
      <c r="N574" s="90">
        <v>15500.515306683114</v>
      </c>
      <c r="O574" s="90">
        <v>0</v>
      </c>
      <c r="P574" s="90">
        <v>0</v>
      </c>
      <c r="Q574" s="90">
        <v>0</v>
      </c>
      <c r="R574" s="90">
        <v>18168.325000000001</v>
      </c>
    </row>
    <row r="575" spans="1:18">
      <c r="A575" s="90" t="s">
        <v>1022</v>
      </c>
      <c r="B575" s="90" t="s">
        <v>1485</v>
      </c>
      <c r="C575" s="90" t="str">
        <f t="shared" si="8"/>
        <v>IliamnaRetail - Other</v>
      </c>
      <c r="D575" s="90">
        <v>1</v>
      </c>
      <c r="E575" s="90">
        <v>5000</v>
      </c>
      <c r="F575" s="90">
        <v>3000</v>
      </c>
      <c r="G575" s="90">
        <v>0</v>
      </c>
      <c r="H575" s="90">
        <v>40000</v>
      </c>
      <c r="I575" s="90">
        <v>0</v>
      </c>
      <c r="J575" s="90">
        <v>0</v>
      </c>
      <c r="K575" s="90">
        <v>0</v>
      </c>
      <c r="L575" s="90">
        <v>2220</v>
      </c>
      <c r="M575" s="90">
        <v>0</v>
      </c>
      <c r="N575" s="90">
        <v>29600</v>
      </c>
      <c r="O575" s="90">
        <v>0</v>
      </c>
      <c r="P575" s="90">
        <v>0</v>
      </c>
      <c r="Q575" s="90">
        <v>0</v>
      </c>
      <c r="R575" s="90">
        <v>35000</v>
      </c>
    </row>
    <row r="576" spans="1:18">
      <c r="A576" s="90" t="s">
        <v>1022</v>
      </c>
      <c r="B576" s="90" t="s">
        <v>951</v>
      </c>
      <c r="C576" s="90" t="str">
        <f t="shared" si="8"/>
        <v>IliamnaWarehousing</v>
      </c>
      <c r="D576" s="90">
        <v>4</v>
      </c>
      <c r="E576" s="90">
        <v>5967.9145299145293</v>
      </c>
      <c r="F576" s="90">
        <v>8571.7021950938888</v>
      </c>
      <c r="G576" s="90">
        <v>0</v>
      </c>
      <c r="H576" s="90">
        <v>70810.193841315791</v>
      </c>
      <c r="I576" s="90">
        <v>0</v>
      </c>
      <c r="J576" s="90">
        <v>0</v>
      </c>
      <c r="K576" s="90">
        <v>0</v>
      </c>
      <c r="L576" s="90">
        <v>6343.0596243694781</v>
      </c>
      <c r="M576" s="90">
        <v>0</v>
      </c>
      <c r="N576" s="90">
        <v>52399.543442573675</v>
      </c>
      <c r="O576" s="90">
        <v>0</v>
      </c>
      <c r="P576" s="90">
        <v>0</v>
      </c>
      <c r="Q576" s="90">
        <v>0</v>
      </c>
      <c r="R576" s="90">
        <v>41775.401709401704</v>
      </c>
    </row>
    <row r="577" spans="1:18">
      <c r="A577" s="90" t="s">
        <v>1024</v>
      </c>
      <c r="B577" s="90" t="s">
        <v>643</v>
      </c>
      <c r="C577" s="90" t="str">
        <f t="shared" si="8"/>
        <v>Ivanof BayOther</v>
      </c>
      <c r="D577" s="90">
        <v>1</v>
      </c>
      <c r="E577" s="90">
        <v>2163.9204545454545</v>
      </c>
      <c r="F577" s="90">
        <v>1871.5127967727569</v>
      </c>
      <c r="G577" s="90">
        <v>0</v>
      </c>
      <c r="H577" s="90">
        <v>15748.986486464588</v>
      </c>
      <c r="I577" s="90">
        <v>0</v>
      </c>
      <c r="J577" s="90">
        <v>0</v>
      </c>
      <c r="K577" s="90">
        <v>0</v>
      </c>
      <c r="L577" s="90">
        <v>1384.9194696118402</v>
      </c>
      <c r="M577" s="90">
        <v>0</v>
      </c>
      <c r="N577" s="90">
        <v>11654.249999983795</v>
      </c>
      <c r="O577" s="90">
        <v>0</v>
      </c>
      <c r="P577" s="90">
        <v>0</v>
      </c>
      <c r="Q577" s="90">
        <v>0</v>
      </c>
      <c r="R577" s="90">
        <v>15147.443181818182</v>
      </c>
    </row>
    <row r="578" spans="1:18">
      <c r="A578" s="90" t="s">
        <v>294</v>
      </c>
      <c r="B578" s="90" t="s">
        <v>1439</v>
      </c>
      <c r="C578" s="90" t="str">
        <f t="shared" si="8"/>
        <v>JuneauEducation - K - 12</v>
      </c>
      <c r="D578" s="90">
        <v>1</v>
      </c>
      <c r="E578" s="90">
        <v>989909</v>
      </c>
      <c r="F578" s="90">
        <v>1308242.0203285108</v>
      </c>
      <c r="G578" s="90">
        <v>0</v>
      </c>
      <c r="H578" s="90">
        <v>8621611.1819389686</v>
      </c>
      <c r="I578" s="90">
        <v>0</v>
      </c>
      <c r="J578" s="90">
        <v>0</v>
      </c>
      <c r="K578" s="90">
        <v>0</v>
      </c>
      <c r="L578" s="90">
        <v>968099.09504309797</v>
      </c>
      <c r="M578" s="90">
        <v>0</v>
      </c>
      <c r="N578" s="90">
        <v>6379992.2746348362</v>
      </c>
      <c r="O578" s="90">
        <v>0</v>
      </c>
      <c r="P578" s="90">
        <v>0</v>
      </c>
      <c r="Q578" s="90">
        <v>0</v>
      </c>
      <c r="R578" s="90">
        <v>6929363</v>
      </c>
    </row>
    <row r="579" spans="1:18">
      <c r="A579" s="90" t="s">
        <v>294</v>
      </c>
      <c r="B579" s="90" t="s">
        <v>1440</v>
      </c>
      <c r="C579" s="90" t="str">
        <f t="shared" ref="C579:C642" si="9">CONCATENATE(A579,B579)</f>
        <v>JuneauHealth Care - Hospitals</v>
      </c>
      <c r="D579" s="90">
        <v>4</v>
      </c>
      <c r="E579" s="90">
        <v>116927</v>
      </c>
      <c r="F579" s="90">
        <v>189401.15439796355</v>
      </c>
      <c r="G579" s="90">
        <v>0</v>
      </c>
      <c r="H579" s="90">
        <v>5420446.7835820001</v>
      </c>
      <c r="I579" s="90">
        <v>0</v>
      </c>
      <c r="J579" s="90">
        <v>0</v>
      </c>
      <c r="K579" s="90">
        <v>0</v>
      </c>
      <c r="L579" s="90">
        <v>140156.85425449305</v>
      </c>
      <c r="M579" s="90">
        <v>0</v>
      </c>
      <c r="N579" s="90">
        <v>4011130.6198506802</v>
      </c>
      <c r="O579" s="90">
        <v>0</v>
      </c>
      <c r="P579" s="90">
        <v>0</v>
      </c>
      <c r="Q579" s="90">
        <v>0</v>
      </c>
      <c r="R579" s="90">
        <v>818489</v>
      </c>
    </row>
    <row r="580" spans="1:18">
      <c r="A580" s="90" t="s">
        <v>294</v>
      </c>
      <c r="B580" s="90" t="s">
        <v>1444</v>
      </c>
      <c r="C580" s="90" t="str">
        <f t="shared" si="9"/>
        <v>JuneauHealth Care - Nursing/Residential Care</v>
      </c>
      <c r="D580" s="90">
        <v>3</v>
      </c>
      <c r="E580" s="90">
        <v>72347</v>
      </c>
      <c r="F580" s="90">
        <v>41440.818370257395</v>
      </c>
      <c r="G580" s="90">
        <v>0</v>
      </c>
      <c r="H580" s="90">
        <v>1257863.0706657502</v>
      </c>
      <c r="I580" s="90">
        <v>0</v>
      </c>
      <c r="J580" s="90">
        <v>0</v>
      </c>
      <c r="K580" s="90">
        <v>0</v>
      </c>
      <c r="L580" s="90">
        <v>30666.205593990475</v>
      </c>
      <c r="M580" s="90">
        <v>0</v>
      </c>
      <c r="N580" s="90">
        <v>930818.67229265498</v>
      </c>
      <c r="O580" s="90">
        <v>0</v>
      </c>
      <c r="P580" s="90">
        <v>0</v>
      </c>
      <c r="Q580" s="90">
        <v>0</v>
      </c>
      <c r="R580" s="90">
        <v>506429</v>
      </c>
    </row>
    <row r="581" spans="1:18">
      <c r="A581" s="90" t="s">
        <v>294</v>
      </c>
      <c r="B581" s="90" t="s">
        <v>665</v>
      </c>
      <c r="C581" s="90" t="str">
        <f t="shared" si="9"/>
        <v>JuneauOffice</v>
      </c>
      <c r="D581" s="90">
        <v>11</v>
      </c>
      <c r="E581" s="90">
        <v>139852.00002711863</v>
      </c>
      <c r="F581" s="90">
        <v>293896.82656934304</v>
      </c>
      <c r="G581" s="90">
        <v>0</v>
      </c>
      <c r="H581" s="90">
        <v>9454719.7583786659</v>
      </c>
      <c r="I581" s="90">
        <v>0</v>
      </c>
      <c r="J581" s="90">
        <v>32.606557377049178</v>
      </c>
      <c r="K581" s="90">
        <v>0</v>
      </c>
      <c r="L581" s="90">
        <v>217483.65166131384</v>
      </c>
      <c r="M581" s="90">
        <v>0</v>
      </c>
      <c r="N581" s="90">
        <v>6996492.6212002132</v>
      </c>
      <c r="O581" s="90">
        <v>0</v>
      </c>
      <c r="P581" s="90">
        <v>24.128852459016393</v>
      </c>
      <c r="Q581" s="90">
        <v>0</v>
      </c>
      <c r="R581" s="90">
        <v>978964.00018983055</v>
      </c>
    </row>
    <row r="582" spans="1:18">
      <c r="A582" s="90" t="s">
        <v>294</v>
      </c>
      <c r="B582" s="90" t="s">
        <v>643</v>
      </c>
      <c r="C582" s="90" t="str">
        <f t="shared" si="9"/>
        <v>JuneauOther</v>
      </c>
      <c r="D582" s="90">
        <v>20</v>
      </c>
      <c r="E582" s="90">
        <v>349482.1103896104</v>
      </c>
      <c r="F582" s="90">
        <v>258490.88077897803</v>
      </c>
      <c r="G582" s="90">
        <v>0</v>
      </c>
      <c r="H582" s="90">
        <v>6022486.7673040247</v>
      </c>
      <c r="I582" s="90">
        <v>0</v>
      </c>
      <c r="J582" s="90">
        <v>0</v>
      </c>
      <c r="K582" s="90">
        <v>0</v>
      </c>
      <c r="L582" s="90">
        <v>191283.25177644371</v>
      </c>
      <c r="M582" s="90">
        <v>0</v>
      </c>
      <c r="N582" s="90">
        <v>4456640.2078049779</v>
      </c>
      <c r="O582" s="90">
        <v>0</v>
      </c>
      <c r="P582" s="90">
        <v>0</v>
      </c>
      <c r="Q582" s="90">
        <v>0</v>
      </c>
      <c r="R582" s="90">
        <v>2446374.7727272725</v>
      </c>
    </row>
    <row r="583" spans="1:18">
      <c r="A583" s="90" t="s">
        <v>294</v>
      </c>
      <c r="B583" s="90" t="s">
        <v>1227</v>
      </c>
      <c r="C583" s="90" t="str">
        <f t="shared" si="9"/>
        <v>JuneauPublic Assembly</v>
      </c>
      <c r="D583" s="90">
        <v>3</v>
      </c>
      <c r="E583" s="90">
        <v>49360</v>
      </c>
      <c r="F583" s="90">
        <v>18513.240875912408</v>
      </c>
      <c r="G583" s="90">
        <v>0</v>
      </c>
      <c r="H583" s="90">
        <v>1545617.4104314998</v>
      </c>
      <c r="I583" s="90">
        <v>0</v>
      </c>
      <c r="J583" s="90">
        <v>0</v>
      </c>
      <c r="K583" s="90">
        <v>0</v>
      </c>
      <c r="L583" s="90">
        <v>13699.798248175182</v>
      </c>
      <c r="M583" s="90">
        <v>0</v>
      </c>
      <c r="N583" s="90">
        <v>1143756.8837193099</v>
      </c>
      <c r="O583" s="90">
        <v>0</v>
      </c>
      <c r="P583" s="90">
        <v>0</v>
      </c>
      <c r="Q583" s="90">
        <v>0</v>
      </c>
      <c r="R583" s="90">
        <v>345520</v>
      </c>
    </row>
    <row r="584" spans="1:18">
      <c r="A584" s="90" t="s">
        <v>294</v>
      </c>
      <c r="B584" s="90" t="s">
        <v>1475</v>
      </c>
      <c r="C584" s="90" t="str">
        <f t="shared" si="9"/>
        <v>JuneauPublic Safety</v>
      </c>
      <c r="D584" s="90">
        <v>12</v>
      </c>
      <c r="E584" s="90">
        <v>241695.66666666666</v>
      </c>
      <c r="F584" s="90">
        <v>175932.17450097535</v>
      </c>
      <c r="G584" s="90">
        <v>0</v>
      </c>
      <c r="H584" s="90">
        <v>3521022.5712981205</v>
      </c>
      <c r="I584" s="90">
        <v>0</v>
      </c>
      <c r="J584" s="90">
        <v>225.86311475409835</v>
      </c>
      <c r="K584" s="90">
        <v>0</v>
      </c>
      <c r="L584" s="90">
        <v>130189.80913072175</v>
      </c>
      <c r="M584" s="90">
        <v>0</v>
      </c>
      <c r="N584" s="90">
        <v>2605556.7027606093</v>
      </c>
      <c r="O584" s="90">
        <v>0</v>
      </c>
      <c r="P584" s="90">
        <v>167.13870491803277</v>
      </c>
      <c r="Q584" s="90">
        <v>0</v>
      </c>
      <c r="R584" s="90">
        <v>1691869.6666666667</v>
      </c>
    </row>
    <row r="585" spans="1:18">
      <c r="A585" s="90" t="s">
        <v>294</v>
      </c>
      <c r="B585" s="90" t="s">
        <v>951</v>
      </c>
      <c r="C585" s="90" t="str">
        <f t="shared" si="9"/>
        <v>JuneauWarehousing</v>
      </c>
      <c r="D585" s="90">
        <v>4</v>
      </c>
      <c r="E585" s="90">
        <v>47800</v>
      </c>
      <c r="F585" s="90">
        <v>30660.470819455695</v>
      </c>
      <c r="G585" s="90">
        <v>0</v>
      </c>
      <c r="H585" s="90">
        <v>415964.74364899995</v>
      </c>
      <c r="I585" s="90">
        <v>0</v>
      </c>
      <c r="J585" s="90">
        <v>0</v>
      </c>
      <c r="K585" s="90">
        <v>0</v>
      </c>
      <c r="L585" s="90">
        <v>22688.748406397215</v>
      </c>
      <c r="M585" s="90">
        <v>0</v>
      </c>
      <c r="N585" s="90">
        <v>307813.91030026</v>
      </c>
      <c r="O585" s="90">
        <v>0</v>
      </c>
      <c r="P585" s="90">
        <v>0</v>
      </c>
      <c r="Q585" s="90">
        <v>0</v>
      </c>
      <c r="R585" s="90">
        <v>334600</v>
      </c>
    </row>
    <row r="586" spans="1:18">
      <c r="A586" s="90" t="s">
        <v>15</v>
      </c>
      <c r="B586" s="90" t="s">
        <v>1447</v>
      </c>
      <c r="C586" s="90" t="str">
        <f t="shared" si="9"/>
        <v>KakeAccomodation Services</v>
      </c>
      <c r="D586" s="90">
        <v>2</v>
      </c>
      <c r="E586" s="90">
        <v>11960.0625</v>
      </c>
      <c r="F586" s="90">
        <v>12331.144176906635</v>
      </c>
      <c r="G586" s="90">
        <v>0</v>
      </c>
      <c r="H586" s="90">
        <v>260720.42254268713</v>
      </c>
      <c r="I586" s="90">
        <v>0</v>
      </c>
      <c r="J586" s="90">
        <v>0</v>
      </c>
      <c r="K586" s="90">
        <v>0</v>
      </c>
      <c r="L586" s="90">
        <v>9125.0466909109091</v>
      </c>
      <c r="M586" s="90">
        <v>0</v>
      </c>
      <c r="N586" s="90">
        <v>192933.11268158848</v>
      </c>
      <c r="O586" s="90">
        <v>0</v>
      </c>
      <c r="P586" s="90">
        <v>0</v>
      </c>
      <c r="Q586" s="90">
        <v>0</v>
      </c>
      <c r="R586" s="90">
        <v>83720.4375</v>
      </c>
    </row>
    <row r="587" spans="1:18">
      <c r="A587" s="90" t="s">
        <v>15</v>
      </c>
      <c r="B587" s="90" t="s">
        <v>1439</v>
      </c>
      <c r="C587" s="90" t="str">
        <f t="shared" si="9"/>
        <v>KakeEducation - K - 12</v>
      </c>
      <c r="D587" s="90">
        <v>2</v>
      </c>
      <c r="E587" s="90">
        <v>104128.22395721925</v>
      </c>
      <c r="F587" s="90">
        <v>40157.443899092723</v>
      </c>
      <c r="G587" s="90">
        <v>0</v>
      </c>
      <c r="H587" s="90">
        <v>351362.09388300159</v>
      </c>
      <c r="I587" s="90">
        <v>0</v>
      </c>
      <c r="J587" s="90">
        <v>0</v>
      </c>
      <c r="K587" s="90">
        <v>0</v>
      </c>
      <c r="L587" s="90">
        <v>29716.508485328617</v>
      </c>
      <c r="M587" s="90">
        <v>0</v>
      </c>
      <c r="N587" s="90">
        <v>260007.94947342115</v>
      </c>
      <c r="O587" s="90">
        <v>0</v>
      </c>
      <c r="P587" s="90">
        <v>0</v>
      </c>
      <c r="Q587" s="90">
        <v>0</v>
      </c>
      <c r="R587" s="90">
        <v>728897.56770053483</v>
      </c>
    </row>
    <row r="588" spans="1:18">
      <c r="A588" s="90" t="s">
        <v>15</v>
      </c>
      <c r="B588" s="90" t="s">
        <v>1440</v>
      </c>
      <c r="C588" s="90" t="str">
        <f t="shared" si="9"/>
        <v>KakeHealth Care - Hospitals</v>
      </c>
      <c r="D588" s="90">
        <v>1</v>
      </c>
      <c r="E588" s="90">
        <v>3905.5925000000002</v>
      </c>
      <c r="F588" s="90">
        <v>2468.6293072959174</v>
      </c>
      <c r="G588" s="90">
        <v>0</v>
      </c>
      <c r="H588" s="90">
        <v>34430.972059887106</v>
      </c>
      <c r="I588" s="90">
        <v>0</v>
      </c>
      <c r="J588" s="90">
        <v>0</v>
      </c>
      <c r="K588" s="90">
        <v>0</v>
      </c>
      <c r="L588" s="90">
        <v>1826.7856873989788</v>
      </c>
      <c r="M588" s="90">
        <v>0</v>
      </c>
      <c r="N588" s="90">
        <v>25478.919324316459</v>
      </c>
      <c r="O588" s="90">
        <v>0</v>
      </c>
      <c r="P588" s="90">
        <v>0</v>
      </c>
      <c r="Q588" s="90">
        <v>0</v>
      </c>
      <c r="R588" s="90">
        <v>27339.147500000003</v>
      </c>
    </row>
    <row r="589" spans="1:18">
      <c r="A589" s="90" t="s">
        <v>15</v>
      </c>
      <c r="B589" s="90" t="s">
        <v>665</v>
      </c>
      <c r="C589" s="90" t="str">
        <f t="shared" si="9"/>
        <v>KakeOffice</v>
      </c>
      <c r="D589" s="90">
        <v>5</v>
      </c>
      <c r="E589" s="90">
        <v>14455.507194244603</v>
      </c>
      <c r="F589" s="90">
        <v>12171.595164833219</v>
      </c>
      <c r="G589" s="90">
        <v>0</v>
      </c>
      <c r="H589" s="90">
        <v>78842.754308118485</v>
      </c>
      <c r="I589" s="90">
        <v>0</v>
      </c>
      <c r="J589" s="90">
        <v>0</v>
      </c>
      <c r="K589" s="90">
        <v>0</v>
      </c>
      <c r="L589" s="90">
        <v>9006.9804219765829</v>
      </c>
      <c r="M589" s="90">
        <v>0</v>
      </c>
      <c r="N589" s="90">
        <v>58343.638188007688</v>
      </c>
      <c r="O589" s="90">
        <v>0</v>
      </c>
      <c r="P589" s="90">
        <v>0</v>
      </c>
      <c r="Q589" s="90">
        <v>0</v>
      </c>
      <c r="R589" s="90">
        <v>101188.55035971222</v>
      </c>
    </row>
    <row r="590" spans="1:18">
      <c r="A590" s="90" t="s">
        <v>15</v>
      </c>
      <c r="B590" s="90" t="s">
        <v>643</v>
      </c>
      <c r="C590" s="90" t="str">
        <f t="shared" si="9"/>
        <v>KakeOther</v>
      </c>
      <c r="D590" s="90">
        <v>12</v>
      </c>
      <c r="E590" s="90">
        <v>51385.59923664121</v>
      </c>
      <c r="F590" s="90">
        <v>52802.299157351685</v>
      </c>
      <c r="G590" s="90">
        <v>0</v>
      </c>
      <c r="H590" s="90">
        <v>372837.26580271381</v>
      </c>
      <c r="I590" s="90">
        <v>0</v>
      </c>
      <c r="J590" s="90">
        <v>0</v>
      </c>
      <c r="K590" s="90">
        <v>0</v>
      </c>
      <c r="L590" s="90">
        <v>39073.701376440229</v>
      </c>
      <c r="M590" s="90">
        <v>0</v>
      </c>
      <c r="N590" s="90">
        <v>275899.57669400825</v>
      </c>
      <c r="O590" s="90">
        <v>0</v>
      </c>
      <c r="P590" s="90">
        <v>0</v>
      </c>
      <c r="Q590" s="90">
        <v>0</v>
      </c>
      <c r="R590" s="90">
        <v>359699.19465648849</v>
      </c>
    </row>
    <row r="591" spans="1:18">
      <c r="A591" s="90" t="s">
        <v>15</v>
      </c>
      <c r="B591" s="90" t="s">
        <v>1227</v>
      </c>
      <c r="C591" s="90" t="str">
        <f t="shared" si="9"/>
        <v>KakePublic Assembly</v>
      </c>
      <c r="D591" s="90">
        <v>8</v>
      </c>
      <c r="E591" s="90">
        <v>39159.384269662922</v>
      </c>
      <c r="F591" s="90">
        <v>18517.041512907937</v>
      </c>
      <c r="G591" s="90">
        <v>0</v>
      </c>
      <c r="H591" s="90">
        <v>148727.15695668969</v>
      </c>
      <c r="I591" s="90">
        <v>0</v>
      </c>
      <c r="J591" s="90">
        <v>1976.3085245901641</v>
      </c>
      <c r="K591" s="90">
        <v>0</v>
      </c>
      <c r="L591" s="90">
        <v>13702.610719551873</v>
      </c>
      <c r="M591" s="90">
        <v>0</v>
      </c>
      <c r="N591" s="90">
        <v>110058.09614795036</v>
      </c>
      <c r="O591" s="90">
        <v>0</v>
      </c>
      <c r="P591" s="90">
        <v>5014.4683081967214</v>
      </c>
      <c r="Q591" s="90">
        <v>0</v>
      </c>
      <c r="R591" s="90">
        <v>274115.68988764042</v>
      </c>
    </row>
    <row r="592" spans="1:18">
      <c r="A592" s="90" t="s">
        <v>15</v>
      </c>
      <c r="B592" s="90" t="s">
        <v>1475</v>
      </c>
      <c r="C592" s="90" t="str">
        <f t="shared" si="9"/>
        <v>KakePublic Safety</v>
      </c>
      <c r="D592" s="90">
        <v>3</v>
      </c>
      <c r="E592" s="90">
        <v>6994.8178787878787</v>
      </c>
      <c r="F592" s="90">
        <v>4165.5535057651323</v>
      </c>
      <c r="G592" s="90">
        <v>0</v>
      </c>
      <c r="H592" s="90">
        <v>54801.010817444039</v>
      </c>
      <c r="I592" s="90">
        <v>0</v>
      </c>
      <c r="J592" s="90">
        <v>0</v>
      </c>
      <c r="K592" s="90">
        <v>0</v>
      </c>
      <c r="L592" s="90">
        <v>3082.5095942661974</v>
      </c>
      <c r="M592" s="90">
        <v>0</v>
      </c>
      <c r="N592" s="90">
        <v>40552.748004908593</v>
      </c>
      <c r="O592" s="90">
        <v>0</v>
      </c>
      <c r="P592" s="90">
        <v>0</v>
      </c>
      <c r="Q592" s="90">
        <v>0</v>
      </c>
      <c r="R592" s="90">
        <v>48963.725151515151</v>
      </c>
    </row>
    <row r="593" spans="1:18">
      <c r="A593" s="90" t="s">
        <v>15</v>
      </c>
      <c r="B593" s="90" t="s">
        <v>1442</v>
      </c>
      <c r="C593" s="90" t="str">
        <f t="shared" si="9"/>
        <v>KakeResidential - Multi-Family</v>
      </c>
      <c r="D593" s="90">
        <v>1</v>
      </c>
      <c r="E593" s="90">
        <v>5023.2142857142853</v>
      </c>
      <c r="F593" s="90">
        <v>5139.1357214418613</v>
      </c>
      <c r="G593" s="90">
        <v>0</v>
      </c>
      <c r="H593" s="90">
        <v>20761.369111082939</v>
      </c>
      <c r="I593" s="90">
        <v>0</v>
      </c>
      <c r="J593" s="90">
        <v>0</v>
      </c>
      <c r="K593" s="90">
        <v>0</v>
      </c>
      <c r="L593" s="90">
        <v>3802.9604338669774</v>
      </c>
      <c r="M593" s="90">
        <v>0</v>
      </c>
      <c r="N593" s="90">
        <v>15363.413142201374</v>
      </c>
      <c r="O593" s="90">
        <v>0</v>
      </c>
      <c r="P593" s="90">
        <v>0</v>
      </c>
      <c r="Q593" s="90">
        <v>0</v>
      </c>
      <c r="R593" s="90">
        <v>35162.5</v>
      </c>
    </row>
    <row r="594" spans="1:18">
      <c r="A594" s="90" t="s">
        <v>208</v>
      </c>
      <c r="B594" s="90" t="s">
        <v>1447</v>
      </c>
      <c r="C594" s="90" t="str">
        <f t="shared" si="9"/>
        <v>KaktovikAccomodation Services</v>
      </c>
      <c r="D594" s="90">
        <v>2</v>
      </c>
      <c r="E594" s="90">
        <v>13060.814814814814</v>
      </c>
      <c r="F594" s="90">
        <v>10288.498054000029</v>
      </c>
      <c r="G594" s="90">
        <v>0</v>
      </c>
      <c r="H594" s="90">
        <v>95828.409449549799</v>
      </c>
      <c r="I594" s="90">
        <v>0</v>
      </c>
      <c r="J594" s="90">
        <v>0</v>
      </c>
      <c r="K594" s="90">
        <v>0</v>
      </c>
      <c r="L594" s="90">
        <v>7613.4885599600202</v>
      </c>
      <c r="M594" s="90">
        <v>0</v>
      </c>
      <c r="N594" s="90">
        <v>70913.022992666854</v>
      </c>
      <c r="O594" s="90">
        <v>0</v>
      </c>
      <c r="P594" s="90">
        <v>0</v>
      </c>
      <c r="Q594" s="90">
        <v>0</v>
      </c>
      <c r="R594" s="90">
        <v>91425.703703703708</v>
      </c>
    </row>
    <row r="595" spans="1:18">
      <c r="A595" s="90" t="s">
        <v>208</v>
      </c>
      <c r="B595" s="90" t="s">
        <v>1439</v>
      </c>
      <c r="C595" s="90" t="str">
        <f t="shared" si="9"/>
        <v>KaktovikEducation - K - 12</v>
      </c>
      <c r="D595" s="90">
        <v>7</v>
      </c>
      <c r="E595" s="90">
        <v>72062</v>
      </c>
      <c r="F595" s="90">
        <v>41791.277350922523</v>
      </c>
      <c r="G595" s="90">
        <v>0</v>
      </c>
      <c r="H595" s="90">
        <v>1408271.4464331323</v>
      </c>
      <c r="I595" s="90">
        <v>0</v>
      </c>
      <c r="J595" s="90">
        <v>0</v>
      </c>
      <c r="K595" s="90">
        <v>0</v>
      </c>
      <c r="L595" s="90">
        <v>30925.545239682673</v>
      </c>
      <c r="M595" s="90">
        <v>0</v>
      </c>
      <c r="N595" s="90">
        <v>1042120.8703605178</v>
      </c>
      <c r="O595" s="90">
        <v>0</v>
      </c>
      <c r="P595" s="90">
        <v>0</v>
      </c>
      <c r="Q595" s="90">
        <v>0</v>
      </c>
      <c r="R595" s="90">
        <v>504434</v>
      </c>
    </row>
    <row r="596" spans="1:18">
      <c r="A596" s="90" t="s">
        <v>208</v>
      </c>
      <c r="B596" s="90" t="s">
        <v>1440</v>
      </c>
      <c r="C596" s="90" t="str">
        <f t="shared" si="9"/>
        <v>KaktovikHealth Care - Hospitals</v>
      </c>
      <c r="D596" s="90">
        <v>1</v>
      </c>
      <c r="E596" s="90">
        <v>6430</v>
      </c>
      <c r="F596" s="90">
        <v>4481.5385542653539</v>
      </c>
      <c r="G596" s="90">
        <v>0</v>
      </c>
      <c r="H596" s="90">
        <v>92880.835919999998</v>
      </c>
      <c r="I596" s="90">
        <v>0</v>
      </c>
      <c r="J596" s="90">
        <v>0</v>
      </c>
      <c r="K596" s="90">
        <v>0</v>
      </c>
      <c r="L596" s="90">
        <v>3316.3385301563617</v>
      </c>
      <c r="M596" s="90">
        <v>0</v>
      </c>
      <c r="N596" s="90">
        <v>68731.818580799998</v>
      </c>
      <c r="O596" s="90">
        <v>0</v>
      </c>
      <c r="P596" s="90">
        <v>0</v>
      </c>
      <c r="Q596" s="90">
        <v>0</v>
      </c>
      <c r="R596" s="90">
        <v>45010</v>
      </c>
    </row>
    <row r="597" spans="1:18">
      <c r="A597" s="90" t="s">
        <v>208</v>
      </c>
      <c r="B597" s="90" t="s">
        <v>665</v>
      </c>
      <c r="C597" s="90" t="str">
        <f t="shared" si="9"/>
        <v>KaktovikOffice</v>
      </c>
      <c r="D597" s="90">
        <v>4</v>
      </c>
      <c r="E597" s="90">
        <v>4484</v>
      </c>
      <c r="F597" s="90">
        <v>4127.1073678913908</v>
      </c>
      <c r="G597" s="90">
        <v>0</v>
      </c>
      <c r="H597" s="90">
        <v>35943.879587229014</v>
      </c>
      <c r="I597" s="90">
        <v>0</v>
      </c>
      <c r="J597" s="90">
        <v>0</v>
      </c>
      <c r="K597" s="90">
        <v>0</v>
      </c>
      <c r="L597" s="90">
        <v>3054.0594522396291</v>
      </c>
      <c r="M597" s="90">
        <v>0</v>
      </c>
      <c r="N597" s="90">
        <v>26598.470894549471</v>
      </c>
      <c r="O597" s="90">
        <v>0</v>
      </c>
      <c r="P597" s="90">
        <v>0</v>
      </c>
      <c r="Q597" s="90">
        <v>0</v>
      </c>
      <c r="R597" s="90">
        <v>31388</v>
      </c>
    </row>
    <row r="598" spans="1:18">
      <c r="A598" s="90" t="s">
        <v>208</v>
      </c>
      <c r="B598" s="90" t="s">
        <v>643</v>
      </c>
      <c r="C598" s="90" t="str">
        <f t="shared" si="9"/>
        <v>KaktovikOther</v>
      </c>
      <c r="D598" s="90">
        <v>4</v>
      </c>
      <c r="E598" s="90">
        <v>22287</v>
      </c>
      <c r="F598" s="90">
        <v>11499.20601184147</v>
      </c>
      <c r="G598" s="90">
        <v>0</v>
      </c>
      <c r="H598" s="90">
        <v>292719.10132591322</v>
      </c>
      <c r="I598" s="90">
        <v>0</v>
      </c>
      <c r="J598" s="90">
        <v>0</v>
      </c>
      <c r="K598" s="90">
        <v>0</v>
      </c>
      <c r="L598" s="90">
        <v>8509.4124487626868</v>
      </c>
      <c r="M598" s="90">
        <v>0</v>
      </c>
      <c r="N598" s="90">
        <v>216612.13498117577</v>
      </c>
      <c r="O598" s="90">
        <v>0</v>
      </c>
      <c r="P598" s="90">
        <v>0</v>
      </c>
      <c r="Q598" s="90">
        <v>0</v>
      </c>
      <c r="R598" s="90">
        <v>156009</v>
      </c>
    </row>
    <row r="599" spans="1:18">
      <c r="A599" s="90" t="s">
        <v>208</v>
      </c>
      <c r="B599" s="90" t="s">
        <v>1227</v>
      </c>
      <c r="C599" s="90" t="str">
        <f t="shared" si="9"/>
        <v>KaktovikPublic Assembly</v>
      </c>
      <c r="D599" s="90">
        <v>2</v>
      </c>
      <c r="E599" s="90">
        <v>16996</v>
      </c>
      <c r="F599" s="90">
        <v>10604.783036241319</v>
      </c>
      <c r="G599" s="90">
        <v>0</v>
      </c>
      <c r="H599" s="90">
        <v>87058.286029514667</v>
      </c>
      <c r="I599" s="90">
        <v>0</v>
      </c>
      <c r="J599" s="90">
        <v>0</v>
      </c>
      <c r="K599" s="90">
        <v>0</v>
      </c>
      <c r="L599" s="90">
        <v>7847.539446818575</v>
      </c>
      <c r="M599" s="90">
        <v>0</v>
      </c>
      <c r="N599" s="90">
        <v>64423.131661840853</v>
      </c>
      <c r="O599" s="90">
        <v>0</v>
      </c>
      <c r="P599" s="90">
        <v>0</v>
      </c>
      <c r="Q599" s="90">
        <v>0</v>
      </c>
      <c r="R599" s="90">
        <v>118972</v>
      </c>
    </row>
    <row r="600" spans="1:18">
      <c r="A600" s="90" t="s">
        <v>208</v>
      </c>
      <c r="B600" s="90" t="s">
        <v>1475</v>
      </c>
      <c r="C600" s="90" t="str">
        <f t="shared" si="9"/>
        <v>KaktovikPublic Safety</v>
      </c>
      <c r="D600" s="90">
        <v>4</v>
      </c>
      <c r="E600" s="90">
        <v>14027</v>
      </c>
      <c r="F600" s="90">
        <v>16163.594180167842</v>
      </c>
      <c r="G600" s="90">
        <v>0</v>
      </c>
      <c r="H600" s="90">
        <v>152687.9651508333</v>
      </c>
      <c r="I600" s="90">
        <v>0</v>
      </c>
      <c r="J600" s="90">
        <v>0</v>
      </c>
      <c r="K600" s="90">
        <v>0</v>
      </c>
      <c r="L600" s="90">
        <v>11961.059693324203</v>
      </c>
      <c r="M600" s="90">
        <v>0</v>
      </c>
      <c r="N600" s="90">
        <v>112989.09421161664</v>
      </c>
      <c r="O600" s="90">
        <v>0</v>
      </c>
      <c r="P600" s="90">
        <v>0</v>
      </c>
      <c r="Q600" s="90">
        <v>0</v>
      </c>
      <c r="R600" s="90">
        <v>98189</v>
      </c>
    </row>
    <row r="601" spans="1:18">
      <c r="A601" s="90" t="s">
        <v>208</v>
      </c>
      <c r="B601" s="90" t="s">
        <v>1485</v>
      </c>
      <c r="C601" s="90" t="str">
        <f t="shared" si="9"/>
        <v>KaktovikRetail - Other</v>
      </c>
      <c r="D601" s="90">
        <v>1</v>
      </c>
      <c r="E601" s="90">
        <v>896</v>
      </c>
      <c r="F601" s="90">
        <v>1800</v>
      </c>
      <c r="G601" s="90">
        <v>0</v>
      </c>
      <c r="H601" s="90">
        <v>21105.493996779391</v>
      </c>
      <c r="I601" s="90">
        <v>0</v>
      </c>
      <c r="J601" s="90">
        <v>0</v>
      </c>
      <c r="K601" s="90">
        <v>0</v>
      </c>
      <c r="L601" s="90">
        <v>1332</v>
      </c>
      <c r="M601" s="90">
        <v>0</v>
      </c>
      <c r="N601" s="90">
        <v>15618.065557616748</v>
      </c>
      <c r="O601" s="90">
        <v>0</v>
      </c>
      <c r="P601" s="90">
        <v>0</v>
      </c>
      <c r="Q601" s="90">
        <v>0</v>
      </c>
      <c r="R601" s="90">
        <v>6272</v>
      </c>
    </row>
    <row r="602" spans="1:18">
      <c r="A602" s="90" t="s">
        <v>208</v>
      </c>
      <c r="B602" s="90" t="s">
        <v>951</v>
      </c>
      <c r="C602" s="90" t="str">
        <f t="shared" si="9"/>
        <v>KaktovikWarehousing</v>
      </c>
      <c r="D602" s="90">
        <v>4</v>
      </c>
      <c r="E602" s="90">
        <v>22480</v>
      </c>
      <c r="F602" s="90">
        <v>20017.03999446848</v>
      </c>
      <c r="G602" s="90">
        <v>0</v>
      </c>
      <c r="H602" s="90">
        <v>498797.16915205988</v>
      </c>
      <c r="I602" s="90">
        <v>0</v>
      </c>
      <c r="J602" s="90">
        <v>0</v>
      </c>
      <c r="K602" s="90">
        <v>0</v>
      </c>
      <c r="L602" s="90">
        <v>14812.609595906675</v>
      </c>
      <c r="M602" s="90">
        <v>0</v>
      </c>
      <c r="N602" s="90">
        <v>369109.90517252433</v>
      </c>
      <c r="O602" s="90">
        <v>0</v>
      </c>
      <c r="P602" s="90">
        <v>0</v>
      </c>
      <c r="Q602" s="90">
        <v>0</v>
      </c>
      <c r="R602" s="90">
        <v>157360</v>
      </c>
    </row>
    <row r="603" spans="1:18">
      <c r="A603" s="90" t="s">
        <v>82</v>
      </c>
      <c r="B603" s="90" t="s">
        <v>1439</v>
      </c>
      <c r="C603" s="90" t="str">
        <f t="shared" si="9"/>
        <v>KaltagEducation - K - 12</v>
      </c>
      <c r="D603" s="90">
        <v>1</v>
      </c>
      <c r="E603" s="90">
        <v>24733</v>
      </c>
      <c r="F603" s="90">
        <v>18000</v>
      </c>
      <c r="G603" s="90">
        <v>0</v>
      </c>
      <c r="H603" s="90">
        <v>262036</v>
      </c>
      <c r="I603" s="90">
        <v>0</v>
      </c>
      <c r="J603" s="90">
        <v>0</v>
      </c>
      <c r="K603" s="90">
        <v>0</v>
      </c>
      <c r="L603" s="90">
        <v>13320</v>
      </c>
      <c r="M603" s="90">
        <v>0</v>
      </c>
      <c r="N603" s="90">
        <v>193906.63999999998</v>
      </c>
      <c r="O603" s="90">
        <v>0</v>
      </c>
      <c r="P603" s="90">
        <v>0</v>
      </c>
      <c r="Q603" s="90">
        <v>0</v>
      </c>
      <c r="R603" s="90">
        <v>173131</v>
      </c>
    </row>
    <row r="604" spans="1:18">
      <c r="A604" s="90" t="s">
        <v>82</v>
      </c>
      <c r="B604" s="90" t="s">
        <v>1440</v>
      </c>
      <c r="C604" s="90" t="str">
        <f t="shared" si="9"/>
        <v>KaltagHealth Care - Hospitals</v>
      </c>
      <c r="D604" s="90">
        <v>1</v>
      </c>
      <c r="E604" s="90">
        <v>1125</v>
      </c>
      <c r="F604" s="90">
        <v>457.34306569343067</v>
      </c>
      <c r="G604" s="90">
        <v>0</v>
      </c>
      <c r="H604" s="90">
        <v>7316.7325166666651</v>
      </c>
      <c r="I604" s="90">
        <v>0</v>
      </c>
      <c r="J604" s="90">
        <v>0</v>
      </c>
      <c r="K604" s="90">
        <v>0</v>
      </c>
      <c r="L604" s="90">
        <v>338.43386861313871</v>
      </c>
      <c r="M604" s="90">
        <v>0</v>
      </c>
      <c r="N604" s="90">
        <v>5414.3820623333322</v>
      </c>
      <c r="O604" s="90">
        <v>0</v>
      </c>
      <c r="P604" s="90">
        <v>0</v>
      </c>
      <c r="Q604" s="90">
        <v>0</v>
      </c>
      <c r="R604" s="90">
        <v>7875</v>
      </c>
    </row>
    <row r="605" spans="1:18">
      <c r="A605" s="90" t="s">
        <v>82</v>
      </c>
      <c r="B605" s="90" t="s">
        <v>665</v>
      </c>
      <c r="C605" s="90" t="str">
        <f t="shared" si="9"/>
        <v>KaltagOffice</v>
      </c>
      <c r="D605" s="90">
        <v>3</v>
      </c>
      <c r="E605" s="90">
        <v>8209.2585034013609</v>
      </c>
      <c r="F605" s="90">
        <v>5528.9693336101336</v>
      </c>
      <c r="G605" s="90">
        <v>0</v>
      </c>
      <c r="H605" s="90">
        <v>33961.368475619383</v>
      </c>
      <c r="I605" s="90">
        <v>0</v>
      </c>
      <c r="J605" s="90">
        <v>0</v>
      </c>
      <c r="K605" s="90">
        <v>0</v>
      </c>
      <c r="L605" s="90">
        <v>4091.437306871499</v>
      </c>
      <c r="M605" s="90">
        <v>0</v>
      </c>
      <c r="N605" s="90">
        <v>25131.412671958344</v>
      </c>
      <c r="O605" s="90">
        <v>0</v>
      </c>
      <c r="P605" s="90">
        <v>0</v>
      </c>
      <c r="Q605" s="90">
        <v>0</v>
      </c>
      <c r="R605" s="90">
        <v>57464.809523809527</v>
      </c>
    </row>
    <row r="606" spans="1:18">
      <c r="A606" s="90" t="s">
        <v>82</v>
      </c>
      <c r="B606" s="90" t="s">
        <v>643</v>
      </c>
      <c r="C606" s="90" t="str">
        <f t="shared" si="9"/>
        <v>KaltagOther</v>
      </c>
      <c r="D606" s="90">
        <v>7</v>
      </c>
      <c r="E606" s="90">
        <v>11600</v>
      </c>
      <c r="F606" s="90">
        <v>10032.507616886598</v>
      </c>
      <c r="G606" s="90">
        <v>0</v>
      </c>
      <c r="H606" s="90">
        <v>84424.657504965464</v>
      </c>
      <c r="I606" s="90">
        <v>0</v>
      </c>
      <c r="J606" s="90">
        <v>0</v>
      </c>
      <c r="K606" s="90">
        <v>0</v>
      </c>
      <c r="L606" s="90">
        <v>7424.0556364960821</v>
      </c>
      <c r="M606" s="90">
        <v>0</v>
      </c>
      <c r="N606" s="90">
        <v>62474.246553674442</v>
      </c>
      <c r="O606" s="90">
        <v>0</v>
      </c>
      <c r="P606" s="90">
        <v>0</v>
      </c>
      <c r="Q606" s="90">
        <v>0</v>
      </c>
      <c r="R606" s="90">
        <v>81200</v>
      </c>
    </row>
    <row r="607" spans="1:18">
      <c r="A607" s="90" t="s">
        <v>82</v>
      </c>
      <c r="B607" s="90" t="s">
        <v>1227</v>
      </c>
      <c r="C607" s="90" t="str">
        <f t="shared" si="9"/>
        <v>KaltagPublic Assembly</v>
      </c>
      <c r="D607" s="90">
        <v>3</v>
      </c>
      <c r="E607" s="90">
        <v>7284</v>
      </c>
      <c r="F607" s="90">
        <v>4544.9070155319941</v>
      </c>
      <c r="G607" s="90">
        <v>0</v>
      </c>
      <c r="H607" s="90">
        <v>27400.482067903664</v>
      </c>
      <c r="I607" s="90">
        <v>0</v>
      </c>
      <c r="J607" s="90">
        <v>0</v>
      </c>
      <c r="K607" s="90">
        <v>0</v>
      </c>
      <c r="L607" s="90">
        <v>3363.2311914936754</v>
      </c>
      <c r="M607" s="90">
        <v>0</v>
      </c>
      <c r="N607" s="90">
        <v>20276.356730248714</v>
      </c>
      <c r="O607" s="90">
        <v>0</v>
      </c>
      <c r="P607" s="90">
        <v>0</v>
      </c>
      <c r="Q607" s="90">
        <v>0</v>
      </c>
      <c r="R607" s="90">
        <v>50988</v>
      </c>
    </row>
    <row r="608" spans="1:18">
      <c r="A608" s="90" t="s">
        <v>82</v>
      </c>
      <c r="B608" s="90" t="s">
        <v>951</v>
      </c>
      <c r="C608" s="90" t="str">
        <f t="shared" si="9"/>
        <v>KaltagWarehousing</v>
      </c>
      <c r="D608" s="90">
        <v>1</v>
      </c>
      <c r="E608" s="90">
        <v>900</v>
      </c>
      <c r="F608" s="90">
        <v>1128.1773660184624</v>
      </c>
      <c r="G608" s="90">
        <v>0</v>
      </c>
      <c r="H608" s="90">
        <v>10678.633907663707</v>
      </c>
      <c r="I608" s="90">
        <v>0</v>
      </c>
      <c r="J608" s="90">
        <v>0</v>
      </c>
      <c r="K608" s="90">
        <v>0</v>
      </c>
      <c r="L608" s="90">
        <v>834.85125085366212</v>
      </c>
      <c r="M608" s="90">
        <v>0</v>
      </c>
      <c r="N608" s="90">
        <v>7902.1890916711427</v>
      </c>
      <c r="O608" s="90">
        <v>0</v>
      </c>
      <c r="P608" s="90">
        <v>0</v>
      </c>
      <c r="Q608" s="90">
        <v>0</v>
      </c>
      <c r="R608" s="90">
        <v>6300</v>
      </c>
    </row>
    <row r="609" spans="1:18">
      <c r="A609" s="90" t="s">
        <v>112</v>
      </c>
      <c r="B609" s="90" t="s">
        <v>1447</v>
      </c>
      <c r="C609" s="90" t="str">
        <f t="shared" si="9"/>
        <v>KarlukAccomodation Services</v>
      </c>
      <c r="D609" s="90">
        <v>3</v>
      </c>
      <c r="E609" s="90">
        <v>14312.444444444445</v>
      </c>
      <c r="F609" s="90">
        <v>8965.4941620000827</v>
      </c>
      <c r="G609" s="90">
        <v>0</v>
      </c>
      <c r="H609" s="90">
        <v>105011.7321080479</v>
      </c>
      <c r="I609" s="90">
        <v>0</v>
      </c>
      <c r="J609" s="90">
        <v>0</v>
      </c>
      <c r="K609" s="90">
        <v>0</v>
      </c>
      <c r="L609" s="90">
        <v>6634.4656798800625</v>
      </c>
      <c r="M609" s="90">
        <v>0</v>
      </c>
      <c r="N609" s="90">
        <v>77708.681759955449</v>
      </c>
      <c r="O609" s="90">
        <v>0</v>
      </c>
      <c r="P609" s="90">
        <v>0</v>
      </c>
      <c r="Q609" s="90">
        <v>0</v>
      </c>
      <c r="R609" s="90">
        <v>100187.11111111109</v>
      </c>
    </row>
    <row r="610" spans="1:18">
      <c r="A610" s="90" t="s">
        <v>112</v>
      </c>
      <c r="B610" s="90" t="s">
        <v>1439</v>
      </c>
      <c r="C610" s="90" t="str">
        <f t="shared" si="9"/>
        <v>KarlukEducation - K - 12</v>
      </c>
      <c r="D610" s="90">
        <v>2</v>
      </c>
      <c r="E610" s="90">
        <v>18190.415555555555</v>
      </c>
      <c r="F610" s="90">
        <v>15150.66834530895</v>
      </c>
      <c r="G610" s="90">
        <v>0</v>
      </c>
      <c r="H610" s="90">
        <v>126995.29856887559</v>
      </c>
      <c r="I610" s="90">
        <v>0</v>
      </c>
      <c r="J610" s="90">
        <v>0</v>
      </c>
      <c r="K610" s="90">
        <v>0</v>
      </c>
      <c r="L610" s="90">
        <v>11211.494575528621</v>
      </c>
      <c r="M610" s="90">
        <v>0</v>
      </c>
      <c r="N610" s="90">
        <v>93976.520940967923</v>
      </c>
      <c r="O610" s="90">
        <v>0</v>
      </c>
      <c r="P610" s="90">
        <v>0</v>
      </c>
      <c r="Q610" s="90">
        <v>0</v>
      </c>
      <c r="R610" s="90">
        <v>127332.90888888889</v>
      </c>
    </row>
    <row r="611" spans="1:18">
      <c r="A611" s="90" t="s">
        <v>112</v>
      </c>
      <c r="B611" s="90" t="s">
        <v>665</v>
      </c>
      <c r="C611" s="90" t="str">
        <f t="shared" si="9"/>
        <v>KarlukOffice</v>
      </c>
      <c r="D611" s="90">
        <v>1</v>
      </c>
      <c r="E611" s="90">
        <v>2033.2585034013605</v>
      </c>
      <c r="F611" s="90">
        <v>2705.5824722962652</v>
      </c>
      <c r="G611" s="90">
        <v>0</v>
      </c>
      <c r="H611" s="90">
        <v>16298.661644952717</v>
      </c>
      <c r="I611" s="90">
        <v>0</v>
      </c>
      <c r="J611" s="90">
        <v>0</v>
      </c>
      <c r="K611" s="90">
        <v>0</v>
      </c>
      <c r="L611" s="90">
        <v>2002.1310294992363</v>
      </c>
      <c r="M611" s="90">
        <v>0</v>
      </c>
      <c r="N611" s="90">
        <v>12061.00961726501</v>
      </c>
      <c r="O611" s="90">
        <v>0</v>
      </c>
      <c r="P611" s="90">
        <v>0</v>
      </c>
      <c r="Q611" s="90">
        <v>0</v>
      </c>
      <c r="R611" s="90">
        <v>14232.809523809523</v>
      </c>
    </row>
    <row r="612" spans="1:18">
      <c r="A612" s="90" t="s">
        <v>112</v>
      </c>
      <c r="B612" s="90" t="s">
        <v>643</v>
      </c>
      <c r="C612" s="90" t="str">
        <f t="shared" si="9"/>
        <v>KarlukOther</v>
      </c>
      <c r="D612" s="90">
        <v>3</v>
      </c>
      <c r="E612" s="90">
        <v>6491.761363636364</v>
      </c>
      <c r="F612" s="90">
        <v>5614.538390318271</v>
      </c>
      <c r="G612" s="90">
        <v>0</v>
      </c>
      <c r="H612" s="90">
        <v>47246.959459393765</v>
      </c>
      <c r="I612" s="90">
        <v>0</v>
      </c>
      <c r="J612" s="90">
        <v>0</v>
      </c>
      <c r="K612" s="90">
        <v>0</v>
      </c>
      <c r="L612" s="90">
        <v>4154.7584088355206</v>
      </c>
      <c r="M612" s="90">
        <v>0</v>
      </c>
      <c r="N612" s="90">
        <v>34962.749999951382</v>
      </c>
      <c r="O612" s="90">
        <v>0</v>
      </c>
      <c r="P612" s="90">
        <v>0</v>
      </c>
      <c r="Q612" s="90">
        <v>0</v>
      </c>
      <c r="R612" s="90">
        <v>45442.329545454544</v>
      </c>
    </row>
    <row r="613" spans="1:18">
      <c r="A613" s="90" t="s">
        <v>112</v>
      </c>
      <c r="B613" s="90" t="s">
        <v>1227</v>
      </c>
      <c r="C613" s="90" t="str">
        <f t="shared" si="9"/>
        <v>KarlukPublic Assembly</v>
      </c>
      <c r="D613" s="90">
        <v>3</v>
      </c>
      <c r="E613" s="90">
        <v>9410.163461538461</v>
      </c>
      <c r="F613" s="90">
        <v>5871.5428244987615</v>
      </c>
      <c r="G613" s="90">
        <v>0</v>
      </c>
      <c r="H613" s="90">
        <v>35398.546840187657</v>
      </c>
      <c r="I613" s="90">
        <v>0</v>
      </c>
      <c r="J613" s="90">
        <v>0</v>
      </c>
      <c r="K613" s="90">
        <v>0</v>
      </c>
      <c r="L613" s="90">
        <v>4344.9416901290833</v>
      </c>
      <c r="M613" s="90">
        <v>0</v>
      </c>
      <c r="N613" s="90">
        <v>26194.924661738864</v>
      </c>
      <c r="O613" s="90">
        <v>0</v>
      </c>
      <c r="P613" s="90">
        <v>0</v>
      </c>
      <c r="Q613" s="90">
        <v>0</v>
      </c>
      <c r="R613" s="90">
        <v>65871.144230769234</v>
      </c>
    </row>
    <row r="614" spans="1:18">
      <c r="A614" s="90" t="s">
        <v>112</v>
      </c>
      <c r="B614" s="90" t="s">
        <v>951</v>
      </c>
      <c r="C614" s="90" t="str">
        <f t="shared" si="9"/>
        <v>KarlukWarehousing</v>
      </c>
      <c r="D614" s="90">
        <v>1</v>
      </c>
      <c r="E614" s="90">
        <v>336</v>
      </c>
      <c r="F614" s="90">
        <v>421.1862166468926</v>
      </c>
      <c r="G614" s="90">
        <v>0</v>
      </c>
      <c r="H614" s="90">
        <v>3986.6899921944505</v>
      </c>
      <c r="I614" s="90">
        <v>0</v>
      </c>
      <c r="J614" s="90">
        <v>0</v>
      </c>
      <c r="K614" s="90">
        <v>0</v>
      </c>
      <c r="L614" s="90">
        <v>311.67780031870052</v>
      </c>
      <c r="M614" s="90">
        <v>0</v>
      </c>
      <c r="N614" s="90">
        <v>2950.1505942238932</v>
      </c>
      <c r="O614" s="90">
        <v>0</v>
      </c>
      <c r="P614" s="90">
        <v>0</v>
      </c>
      <c r="Q614" s="90">
        <v>0</v>
      </c>
      <c r="R614" s="90">
        <v>2352</v>
      </c>
    </row>
    <row r="615" spans="1:18">
      <c r="A615" s="90" t="s">
        <v>1028</v>
      </c>
      <c r="B615" s="90" t="s">
        <v>1439</v>
      </c>
      <c r="C615" s="90" t="str">
        <f t="shared" si="9"/>
        <v>KasaanEducation - K - 12</v>
      </c>
      <c r="D615" s="90">
        <v>1</v>
      </c>
      <c r="E615" s="90">
        <v>2320</v>
      </c>
      <c r="F615" s="90">
        <v>741.41605839416059</v>
      </c>
      <c r="G615" s="90">
        <v>0</v>
      </c>
      <c r="H615" s="90">
        <v>6756.7058141999996</v>
      </c>
      <c r="I615" s="90">
        <v>0</v>
      </c>
      <c r="J615" s="90">
        <v>125.15901639344261</v>
      </c>
      <c r="K615" s="90">
        <v>16.963766524418979</v>
      </c>
      <c r="L615" s="90">
        <v>548.64788321167885</v>
      </c>
      <c r="M615" s="90">
        <v>0</v>
      </c>
      <c r="N615" s="90">
        <v>4999.962302508</v>
      </c>
      <c r="O615" s="90">
        <v>0</v>
      </c>
      <c r="P615" s="90">
        <v>92.617672131147529</v>
      </c>
      <c r="Q615" s="90">
        <v>12.553187228070044</v>
      </c>
      <c r="R615" s="90">
        <v>16240</v>
      </c>
    </row>
    <row r="616" spans="1:18">
      <c r="A616" s="90" t="s">
        <v>1028</v>
      </c>
      <c r="B616" s="90" t="s">
        <v>1469</v>
      </c>
      <c r="C616" s="90" t="str">
        <f t="shared" si="9"/>
        <v>KasaanFood Service and Drinking Places</v>
      </c>
      <c r="D616" s="90">
        <v>1</v>
      </c>
      <c r="E616" s="90">
        <v>2835</v>
      </c>
      <c r="F616" s="90">
        <v>1137.78</v>
      </c>
      <c r="G616" s="90">
        <v>0</v>
      </c>
      <c r="H616" s="90">
        <v>6132</v>
      </c>
      <c r="I616" s="90">
        <v>0</v>
      </c>
      <c r="J616" s="90">
        <v>0</v>
      </c>
      <c r="K616" s="90">
        <v>0</v>
      </c>
      <c r="L616" s="90">
        <v>841.95719999999994</v>
      </c>
      <c r="M616" s="90">
        <v>0</v>
      </c>
      <c r="N616" s="90">
        <v>4537.68</v>
      </c>
      <c r="O616" s="90">
        <v>0</v>
      </c>
      <c r="P616" s="90">
        <v>0</v>
      </c>
      <c r="Q616" s="90">
        <v>0</v>
      </c>
      <c r="R616" s="90">
        <v>19845</v>
      </c>
    </row>
    <row r="617" spans="1:18">
      <c r="A617" s="90" t="s">
        <v>1028</v>
      </c>
      <c r="B617" s="90" t="s">
        <v>665</v>
      </c>
      <c r="C617" s="90" t="str">
        <f t="shared" si="9"/>
        <v>KasaanOffice</v>
      </c>
      <c r="D617" s="90">
        <v>3</v>
      </c>
      <c r="E617" s="90">
        <v>7834</v>
      </c>
      <c r="F617" s="90">
        <v>7681.0286919778628</v>
      </c>
      <c r="G617" s="90">
        <v>0</v>
      </c>
      <c r="H617" s="90">
        <v>19842</v>
      </c>
      <c r="I617" s="90">
        <v>0</v>
      </c>
      <c r="J617" s="90">
        <v>0</v>
      </c>
      <c r="K617" s="90">
        <v>0</v>
      </c>
      <c r="L617" s="90">
        <v>5683.9612320636188</v>
      </c>
      <c r="M617" s="90">
        <v>0</v>
      </c>
      <c r="N617" s="90">
        <v>14683.08</v>
      </c>
      <c r="O617" s="90">
        <v>0</v>
      </c>
      <c r="P617" s="90">
        <v>0</v>
      </c>
      <c r="Q617" s="90">
        <v>0</v>
      </c>
      <c r="R617" s="90">
        <v>54838</v>
      </c>
    </row>
    <row r="618" spans="1:18">
      <c r="A618" s="90" t="s">
        <v>1028</v>
      </c>
      <c r="B618" s="90" t="s">
        <v>1227</v>
      </c>
      <c r="C618" s="90" t="str">
        <f t="shared" si="9"/>
        <v>KasaanPublic Assembly</v>
      </c>
      <c r="D618" s="90">
        <v>1</v>
      </c>
      <c r="E618" s="90">
        <v>840</v>
      </c>
      <c r="F618" s="90">
        <v>524.12436752428266</v>
      </c>
      <c r="G618" s="90">
        <v>0</v>
      </c>
      <c r="H618" s="90">
        <v>8700</v>
      </c>
      <c r="I618" s="90">
        <v>0</v>
      </c>
      <c r="J618" s="90">
        <v>0</v>
      </c>
      <c r="K618" s="90">
        <v>0</v>
      </c>
      <c r="L618" s="90">
        <v>387.85203196796914</v>
      </c>
      <c r="M618" s="90">
        <v>0</v>
      </c>
      <c r="N618" s="90">
        <v>6438</v>
      </c>
      <c r="O618" s="90">
        <v>0</v>
      </c>
      <c r="P618" s="90">
        <v>0</v>
      </c>
      <c r="Q618" s="90">
        <v>0</v>
      </c>
      <c r="R618" s="90">
        <v>5880</v>
      </c>
    </row>
    <row r="619" spans="1:18">
      <c r="A619" s="90" t="s">
        <v>1028</v>
      </c>
      <c r="B619" s="90" t="s">
        <v>1475</v>
      </c>
      <c r="C619" s="90" t="str">
        <f t="shared" si="9"/>
        <v>KasaanPublic Safety</v>
      </c>
      <c r="D619" s="90">
        <v>1</v>
      </c>
      <c r="E619" s="90">
        <v>450</v>
      </c>
      <c r="F619" s="90">
        <v>437.56868425526278</v>
      </c>
      <c r="G619" s="90">
        <v>0</v>
      </c>
      <c r="H619" s="90">
        <v>840</v>
      </c>
      <c r="I619" s="90">
        <v>0</v>
      </c>
      <c r="J619" s="90">
        <v>0</v>
      </c>
      <c r="K619" s="90">
        <v>0</v>
      </c>
      <c r="L619" s="90">
        <v>323.80082634889447</v>
      </c>
      <c r="M619" s="90">
        <v>0</v>
      </c>
      <c r="N619" s="90">
        <v>621.6</v>
      </c>
      <c r="O619" s="90">
        <v>0</v>
      </c>
      <c r="P619" s="90">
        <v>0</v>
      </c>
      <c r="Q619" s="90">
        <v>0</v>
      </c>
      <c r="R619" s="90">
        <v>3150</v>
      </c>
    </row>
    <row r="620" spans="1:18">
      <c r="A620" s="90" t="s">
        <v>1028</v>
      </c>
      <c r="B620" s="90" t="s">
        <v>951</v>
      </c>
      <c r="C620" s="90" t="str">
        <f t="shared" si="9"/>
        <v>KasaanWarehousing</v>
      </c>
      <c r="D620" s="90">
        <v>2</v>
      </c>
      <c r="E620" s="90">
        <v>3900</v>
      </c>
      <c r="F620" s="90">
        <v>4888.7685860800038</v>
      </c>
      <c r="G620" s="90">
        <v>0</v>
      </c>
      <c r="H620" s="90">
        <v>9240</v>
      </c>
      <c r="I620" s="90">
        <v>0</v>
      </c>
      <c r="J620" s="90">
        <v>0</v>
      </c>
      <c r="K620" s="90">
        <v>0</v>
      </c>
      <c r="L620" s="90">
        <v>3617.6887536992026</v>
      </c>
      <c r="M620" s="90">
        <v>0</v>
      </c>
      <c r="N620" s="90">
        <v>6837.6</v>
      </c>
      <c r="O620" s="90">
        <v>0</v>
      </c>
      <c r="P620" s="90">
        <v>0</v>
      </c>
      <c r="Q620" s="90">
        <v>0</v>
      </c>
      <c r="R620" s="90">
        <v>27300</v>
      </c>
    </row>
    <row r="621" spans="1:18">
      <c r="A621" s="90" t="s">
        <v>83</v>
      </c>
      <c r="B621" s="90" t="s">
        <v>1439</v>
      </c>
      <c r="C621" s="90" t="str">
        <f t="shared" si="9"/>
        <v>KasiglukEducation - K - 12</v>
      </c>
      <c r="D621" s="90">
        <v>2</v>
      </c>
      <c r="E621" s="90">
        <v>46760</v>
      </c>
      <c r="F621" s="90">
        <v>34351.350245663802</v>
      </c>
      <c r="G621" s="90">
        <v>0</v>
      </c>
      <c r="H621" s="90">
        <v>331094.55221816053</v>
      </c>
      <c r="I621" s="90">
        <v>0</v>
      </c>
      <c r="J621" s="90">
        <v>0</v>
      </c>
      <c r="K621" s="90">
        <v>0</v>
      </c>
      <c r="L621" s="90">
        <v>25419.999181791212</v>
      </c>
      <c r="M621" s="90">
        <v>0</v>
      </c>
      <c r="N621" s="90">
        <v>245009.96864143881</v>
      </c>
      <c r="O621" s="90">
        <v>0</v>
      </c>
      <c r="P621" s="90">
        <v>0</v>
      </c>
      <c r="Q621" s="90">
        <v>0</v>
      </c>
      <c r="R621" s="90">
        <v>327320</v>
      </c>
    </row>
    <row r="622" spans="1:18">
      <c r="A622" s="90" t="s">
        <v>83</v>
      </c>
      <c r="B622" s="90" t="s">
        <v>665</v>
      </c>
      <c r="C622" s="90" t="str">
        <f t="shared" si="9"/>
        <v>KasiglukOffice</v>
      </c>
      <c r="D622" s="90">
        <v>1</v>
      </c>
      <c r="E622" s="90">
        <v>1000</v>
      </c>
      <c r="F622" s="90">
        <v>660</v>
      </c>
      <c r="G622" s="90">
        <v>0</v>
      </c>
      <c r="H622" s="90">
        <v>5673.6583672526358</v>
      </c>
      <c r="I622" s="90">
        <v>0</v>
      </c>
      <c r="J622" s="90">
        <v>0</v>
      </c>
      <c r="K622" s="90">
        <v>0</v>
      </c>
      <c r="L622" s="90">
        <v>488.4</v>
      </c>
      <c r="M622" s="90">
        <v>0</v>
      </c>
      <c r="N622" s="90">
        <v>4198.5071917669502</v>
      </c>
      <c r="O622" s="90">
        <v>0</v>
      </c>
      <c r="P622" s="90">
        <v>0</v>
      </c>
      <c r="Q622" s="90">
        <v>0</v>
      </c>
      <c r="R622" s="90">
        <v>7000</v>
      </c>
    </row>
    <row r="623" spans="1:18">
      <c r="A623" s="90" t="s">
        <v>83</v>
      </c>
      <c r="B623" s="90" t="s">
        <v>643</v>
      </c>
      <c r="C623" s="90" t="str">
        <f t="shared" si="9"/>
        <v>KasiglukOther</v>
      </c>
      <c r="D623" s="90">
        <v>3</v>
      </c>
      <c r="E623" s="90">
        <v>10081.381679389313</v>
      </c>
      <c r="F623" s="90">
        <v>10714.64145893282</v>
      </c>
      <c r="G623" s="90">
        <v>0</v>
      </c>
      <c r="H623" s="90">
        <v>74834.532285986381</v>
      </c>
      <c r="I623" s="90">
        <v>0</v>
      </c>
      <c r="J623" s="90">
        <v>0</v>
      </c>
      <c r="K623" s="90">
        <v>0</v>
      </c>
      <c r="L623" s="90">
        <v>7928.8346796102851</v>
      </c>
      <c r="M623" s="90">
        <v>0</v>
      </c>
      <c r="N623" s="90">
        <v>55377.553891629927</v>
      </c>
      <c r="O623" s="90">
        <v>0</v>
      </c>
      <c r="P623" s="90">
        <v>0</v>
      </c>
      <c r="Q623" s="90">
        <v>0</v>
      </c>
      <c r="R623" s="90">
        <v>70569.671755725198</v>
      </c>
    </row>
    <row r="624" spans="1:18">
      <c r="A624" s="90" t="s">
        <v>83</v>
      </c>
      <c r="B624" s="90" t="s">
        <v>1227</v>
      </c>
      <c r="C624" s="90" t="str">
        <f t="shared" si="9"/>
        <v>KasiglukPublic Assembly</v>
      </c>
      <c r="D624" s="90">
        <v>1</v>
      </c>
      <c r="E624" s="90">
        <v>4104</v>
      </c>
      <c r="F624" s="90">
        <v>550</v>
      </c>
      <c r="G624" s="90">
        <v>2838.369055685554</v>
      </c>
      <c r="H624" s="90">
        <v>19029.531986571936</v>
      </c>
      <c r="I624" s="90">
        <v>0</v>
      </c>
      <c r="J624" s="90">
        <v>0</v>
      </c>
      <c r="K624" s="90">
        <v>0</v>
      </c>
      <c r="L624" s="90">
        <v>407</v>
      </c>
      <c r="M624" s="90">
        <v>2100.3931012073099</v>
      </c>
      <c r="N624" s="90">
        <v>14081.853670063232</v>
      </c>
      <c r="O624" s="90">
        <v>0</v>
      </c>
      <c r="P624" s="90">
        <v>0</v>
      </c>
      <c r="Q624" s="90">
        <v>0</v>
      </c>
      <c r="R624" s="90">
        <v>28728</v>
      </c>
    </row>
    <row r="625" spans="1:18">
      <c r="A625" s="90" t="s">
        <v>83</v>
      </c>
      <c r="B625" s="90" t="s">
        <v>1475</v>
      </c>
      <c r="C625" s="90" t="str">
        <f t="shared" si="9"/>
        <v>KasiglukPublic Safety</v>
      </c>
      <c r="D625" s="90">
        <v>1</v>
      </c>
      <c r="E625" s="90">
        <v>900</v>
      </c>
      <c r="F625" s="90">
        <v>1310</v>
      </c>
      <c r="G625" s="90">
        <v>0</v>
      </c>
      <c r="H625" s="90">
        <v>7443.0737305114635</v>
      </c>
      <c r="I625" s="90">
        <v>0</v>
      </c>
      <c r="J625" s="90">
        <v>0</v>
      </c>
      <c r="K625" s="90">
        <v>0</v>
      </c>
      <c r="L625" s="90">
        <v>969.4</v>
      </c>
      <c r="M625" s="90">
        <v>0</v>
      </c>
      <c r="N625" s="90">
        <v>5507.8745605784825</v>
      </c>
      <c r="O625" s="90">
        <v>0</v>
      </c>
      <c r="P625" s="90">
        <v>0</v>
      </c>
      <c r="Q625" s="90">
        <v>0</v>
      </c>
      <c r="R625" s="90">
        <v>6300</v>
      </c>
    </row>
    <row r="626" spans="1:18">
      <c r="A626" s="90" t="s">
        <v>83</v>
      </c>
      <c r="B626" s="90" t="s">
        <v>951</v>
      </c>
      <c r="C626" s="90" t="str">
        <f t="shared" si="9"/>
        <v>KasiglukWarehousing</v>
      </c>
      <c r="D626" s="90">
        <v>2</v>
      </c>
      <c r="E626" s="90">
        <v>5453.1323529411766</v>
      </c>
      <c r="F626" s="90">
        <v>9517.3163091871447</v>
      </c>
      <c r="G626" s="90">
        <v>0</v>
      </c>
      <c r="H626" s="90">
        <v>249855.52818632594</v>
      </c>
      <c r="I626" s="90">
        <v>0</v>
      </c>
      <c r="J626" s="90">
        <v>0</v>
      </c>
      <c r="K626" s="90">
        <v>0</v>
      </c>
      <c r="L626" s="90">
        <v>7042.8140687984869</v>
      </c>
      <c r="M626" s="90">
        <v>0</v>
      </c>
      <c r="N626" s="90">
        <v>184893.09085788121</v>
      </c>
      <c r="O626" s="90">
        <v>0</v>
      </c>
      <c r="P626" s="90">
        <v>0</v>
      </c>
      <c r="Q626" s="90">
        <v>0</v>
      </c>
      <c r="R626" s="90">
        <v>38171.926470588238</v>
      </c>
    </row>
    <row r="627" spans="1:18">
      <c r="A627" s="90" t="s">
        <v>1030</v>
      </c>
      <c r="B627" s="90" t="s">
        <v>1447</v>
      </c>
      <c r="C627" s="90" t="str">
        <f t="shared" si="9"/>
        <v>Kenny LakeAccomodation Services</v>
      </c>
      <c r="D627" s="90">
        <v>1</v>
      </c>
      <c r="E627" s="90">
        <v>1750</v>
      </c>
      <c r="F627" s="90">
        <v>3070</v>
      </c>
      <c r="G627" s="90">
        <v>0</v>
      </c>
      <c r="H627" s="90">
        <v>66713</v>
      </c>
      <c r="I627" s="90">
        <v>0</v>
      </c>
      <c r="J627" s="90">
        <v>0</v>
      </c>
      <c r="K627" s="90">
        <v>0</v>
      </c>
      <c r="L627" s="90">
        <v>2271.8000000000002</v>
      </c>
      <c r="M627" s="90">
        <v>0</v>
      </c>
      <c r="N627" s="90">
        <v>49367.62</v>
      </c>
      <c r="O627" s="90">
        <v>0</v>
      </c>
      <c r="P627" s="90">
        <v>0</v>
      </c>
      <c r="Q627" s="90">
        <v>0</v>
      </c>
      <c r="R627" s="90">
        <v>12250</v>
      </c>
    </row>
    <row r="628" spans="1:18">
      <c r="A628" s="90" t="s">
        <v>1030</v>
      </c>
      <c r="B628" s="90" t="s">
        <v>1439</v>
      </c>
      <c r="C628" s="90" t="str">
        <f t="shared" si="9"/>
        <v>Kenny LakeEducation - K - 12</v>
      </c>
      <c r="D628" s="90">
        <v>3</v>
      </c>
      <c r="E628" s="90">
        <v>71220</v>
      </c>
      <c r="F628" s="90">
        <v>77290.80326202586</v>
      </c>
      <c r="G628" s="90">
        <v>0</v>
      </c>
      <c r="H628" s="90">
        <v>473674.49789636233</v>
      </c>
      <c r="I628" s="90">
        <v>0</v>
      </c>
      <c r="J628" s="90">
        <v>0</v>
      </c>
      <c r="K628" s="90">
        <v>216.50772298628345</v>
      </c>
      <c r="L628" s="90">
        <v>57195.194413899138</v>
      </c>
      <c r="M628" s="90">
        <v>0</v>
      </c>
      <c r="N628" s="90">
        <v>350519.12844330812</v>
      </c>
      <c r="O628" s="90">
        <v>0</v>
      </c>
      <c r="P628" s="90">
        <v>0</v>
      </c>
      <c r="Q628" s="90">
        <v>160.21571500984976</v>
      </c>
      <c r="R628" s="90">
        <v>498540</v>
      </c>
    </row>
    <row r="629" spans="1:18">
      <c r="A629" s="90" t="s">
        <v>1030</v>
      </c>
      <c r="B629" s="90" t="s">
        <v>1469</v>
      </c>
      <c r="C629" s="90" t="str">
        <f t="shared" si="9"/>
        <v>Kenny LakeFood Service and Drinking Places</v>
      </c>
      <c r="D629" s="90">
        <v>1</v>
      </c>
      <c r="E629" s="90">
        <v>1600</v>
      </c>
      <c r="F629" s="90">
        <v>1198.8797790762728</v>
      </c>
      <c r="G629" s="90">
        <v>0</v>
      </c>
      <c r="H629" s="90">
        <v>11675.359030972415</v>
      </c>
      <c r="I629" s="90">
        <v>0</v>
      </c>
      <c r="J629" s="90">
        <v>0</v>
      </c>
      <c r="K629" s="90">
        <v>0</v>
      </c>
      <c r="L629" s="90">
        <v>887.17103651644186</v>
      </c>
      <c r="M629" s="90">
        <v>0</v>
      </c>
      <c r="N629" s="90">
        <v>8639.7656829195876</v>
      </c>
      <c r="O629" s="90">
        <v>0</v>
      </c>
      <c r="P629" s="90">
        <v>0</v>
      </c>
      <c r="Q629" s="90">
        <v>0</v>
      </c>
      <c r="R629" s="90">
        <v>11200</v>
      </c>
    </row>
    <row r="630" spans="1:18">
      <c r="A630" s="90" t="s">
        <v>1030</v>
      </c>
      <c r="B630" s="90" t="s">
        <v>643</v>
      </c>
      <c r="C630" s="90" t="str">
        <f t="shared" si="9"/>
        <v>Kenny LakeOther</v>
      </c>
      <c r="D630" s="90">
        <v>5</v>
      </c>
      <c r="E630" s="90">
        <v>10760</v>
      </c>
      <c r="F630" s="90">
        <v>21071.561312370235</v>
      </c>
      <c r="G630" s="90">
        <v>0</v>
      </c>
      <c r="H630" s="90">
        <v>44624.182288587661</v>
      </c>
      <c r="I630" s="90">
        <v>0</v>
      </c>
      <c r="J630" s="90">
        <v>0</v>
      </c>
      <c r="K630" s="90">
        <v>0</v>
      </c>
      <c r="L630" s="90">
        <v>15592.955371153974</v>
      </c>
      <c r="M630" s="90">
        <v>0</v>
      </c>
      <c r="N630" s="90">
        <v>33021.894893554869</v>
      </c>
      <c r="O630" s="90">
        <v>0</v>
      </c>
      <c r="P630" s="90">
        <v>0</v>
      </c>
      <c r="Q630" s="90">
        <v>0</v>
      </c>
      <c r="R630" s="90">
        <v>75320</v>
      </c>
    </row>
    <row r="631" spans="1:18">
      <c r="A631" s="90" t="s">
        <v>1030</v>
      </c>
      <c r="B631" s="90" t="s">
        <v>1227</v>
      </c>
      <c r="C631" s="90" t="str">
        <f t="shared" si="9"/>
        <v>Kenny LakePublic Assembly</v>
      </c>
      <c r="D631" s="90">
        <v>7</v>
      </c>
      <c r="E631" s="90">
        <v>23508</v>
      </c>
      <c r="F631" s="90">
        <v>16490.122583600445</v>
      </c>
      <c r="G631" s="90">
        <v>0</v>
      </c>
      <c r="H631" s="90">
        <v>105925.66909204707</v>
      </c>
      <c r="I631" s="90">
        <v>0</v>
      </c>
      <c r="J631" s="90">
        <v>0</v>
      </c>
      <c r="K631" s="90">
        <v>0</v>
      </c>
      <c r="L631" s="90">
        <v>12202.690711864328</v>
      </c>
      <c r="M631" s="90">
        <v>0</v>
      </c>
      <c r="N631" s="90">
        <v>78384.995128114824</v>
      </c>
      <c r="O631" s="90">
        <v>0</v>
      </c>
      <c r="P631" s="90">
        <v>0</v>
      </c>
      <c r="Q631" s="90">
        <v>0</v>
      </c>
      <c r="R631" s="90">
        <v>164556</v>
      </c>
    </row>
    <row r="632" spans="1:18">
      <c r="A632" s="90" t="s">
        <v>1030</v>
      </c>
      <c r="B632" s="90" t="s">
        <v>1475</v>
      </c>
      <c r="C632" s="90" t="str">
        <f t="shared" si="9"/>
        <v>Kenny LakePublic Safety</v>
      </c>
      <c r="D632" s="90">
        <v>1</v>
      </c>
      <c r="E632" s="90">
        <v>2400</v>
      </c>
      <c r="F632" s="90">
        <v>1373</v>
      </c>
      <c r="G632" s="90">
        <v>0</v>
      </c>
      <c r="H632" s="90">
        <v>9669</v>
      </c>
      <c r="I632" s="90">
        <v>0</v>
      </c>
      <c r="J632" s="90">
        <v>0</v>
      </c>
      <c r="K632" s="90">
        <v>0</v>
      </c>
      <c r="L632" s="90">
        <v>1016.02</v>
      </c>
      <c r="M632" s="90">
        <v>0</v>
      </c>
      <c r="N632" s="90">
        <v>7155.0599999999995</v>
      </c>
      <c r="O632" s="90">
        <v>0</v>
      </c>
      <c r="P632" s="90">
        <v>0</v>
      </c>
      <c r="Q632" s="90">
        <v>0</v>
      </c>
      <c r="R632" s="90">
        <v>16800</v>
      </c>
    </row>
    <row r="633" spans="1:18">
      <c r="A633" s="90" t="s">
        <v>1030</v>
      </c>
      <c r="B633" s="90" t="s">
        <v>1485</v>
      </c>
      <c r="C633" s="90" t="str">
        <f t="shared" si="9"/>
        <v>Kenny LakeRetail - Other</v>
      </c>
      <c r="D633" s="90">
        <v>3</v>
      </c>
      <c r="E633" s="90">
        <v>5100</v>
      </c>
      <c r="F633" s="90">
        <v>8925.7766011330568</v>
      </c>
      <c r="G633" s="90">
        <v>0</v>
      </c>
      <c r="H633" s="90">
        <v>132174.72265445552</v>
      </c>
      <c r="I633" s="90">
        <v>0</v>
      </c>
      <c r="J633" s="90">
        <v>0</v>
      </c>
      <c r="K633" s="90">
        <v>0</v>
      </c>
      <c r="L633" s="90">
        <v>6605.0746848384615</v>
      </c>
      <c r="M633" s="90">
        <v>0</v>
      </c>
      <c r="N633" s="90">
        <v>97809.294764297068</v>
      </c>
      <c r="O633" s="90">
        <v>0</v>
      </c>
      <c r="P633" s="90">
        <v>0</v>
      </c>
      <c r="Q633" s="90">
        <v>0</v>
      </c>
      <c r="R633" s="90">
        <v>35700</v>
      </c>
    </row>
    <row r="634" spans="1:18">
      <c r="A634" s="90" t="s">
        <v>1030</v>
      </c>
      <c r="B634" s="90" t="s">
        <v>951</v>
      </c>
      <c r="C634" s="90" t="str">
        <f t="shared" si="9"/>
        <v>Kenny LakeWarehousing</v>
      </c>
      <c r="D634" s="90">
        <v>2</v>
      </c>
      <c r="E634" s="90">
        <v>4160</v>
      </c>
      <c r="F634" s="90">
        <v>3414.4817351703869</v>
      </c>
      <c r="G634" s="90">
        <v>0</v>
      </c>
      <c r="H634" s="90">
        <v>190605.86282937191</v>
      </c>
      <c r="I634" s="90">
        <v>0</v>
      </c>
      <c r="J634" s="90">
        <v>0</v>
      </c>
      <c r="K634" s="90">
        <v>0</v>
      </c>
      <c r="L634" s="90">
        <v>2526.7164840260866</v>
      </c>
      <c r="M634" s="90">
        <v>0</v>
      </c>
      <c r="N634" s="90">
        <v>141048.33849373521</v>
      </c>
      <c r="O634" s="90">
        <v>0</v>
      </c>
      <c r="P634" s="90">
        <v>0</v>
      </c>
      <c r="Q634" s="90">
        <v>0</v>
      </c>
      <c r="R634" s="90">
        <v>29120</v>
      </c>
    </row>
    <row r="635" spans="1:18">
      <c r="A635" s="90" t="s">
        <v>296</v>
      </c>
      <c r="B635" s="90" t="s">
        <v>1447</v>
      </c>
      <c r="C635" s="90" t="str">
        <f t="shared" si="9"/>
        <v>KetchikanAccomodation Services</v>
      </c>
      <c r="D635" s="90">
        <v>4</v>
      </c>
      <c r="E635" s="90">
        <v>20663.333333333336</v>
      </c>
      <c r="F635" s="90">
        <v>17124.109725907594</v>
      </c>
      <c r="G635" s="90">
        <v>0</v>
      </c>
      <c r="H635" s="90">
        <v>301027.00698380364</v>
      </c>
      <c r="I635" s="90">
        <v>0</v>
      </c>
      <c r="J635" s="90">
        <v>0</v>
      </c>
      <c r="K635" s="90">
        <v>0</v>
      </c>
      <c r="L635" s="90">
        <v>12671.84119717162</v>
      </c>
      <c r="M635" s="90">
        <v>0</v>
      </c>
      <c r="N635" s="90">
        <v>222759.98516801465</v>
      </c>
      <c r="O635" s="90">
        <v>0</v>
      </c>
      <c r="P635" s="90">
        <v>0</v>
      </c>
      <c r="Q635" s="90">
        <v>0</v>
      </c>
      <c r="R635" s="90">
        <v>144643.33333333334</v>
      </c>
    </row>
    <row r="636" spans="1:18">
      <c r="A636" s="90" t="s">
        <v>296</v>
      </c>
      <c r="B636" s="90" t="s">
        <v>1439</v>
      </c>
      <c r="C636" s="90" t="str">
        <f t="shared" si="9"/>
        <v>KetchikanEducation - K - 12</v>
      </c>
      <c r="D636" s="90">
        <v>6</v>
      </c>
      <c r="E636" s="90">
        <v>271774</v>
      </c>
      <c r="F636" s="90">
        <v>101413.03065693431</v>
      </c>
      <c r="G636" s="90">
        <v>0</v>
      </c>
      <c r="H636" s="90">
        <v>2809383.2842219998</v>
      </c>
      <c r="I636" s="90">
        <v>0</v>
      </c>
      <c r="J636" s="90">
        <v>0</v>
      </c>
      <c r="K636" s="90">
        <v>0</v>
      </c>
      <c r="L636" s="90">
        <v>75045.642686131396</v>
      </c>
      <c r="M636" s="90">
        <v>0</v>
      </c>
      <c r="N636" s="90">
        <v>2078943.6303242799</v>
      </c>
      <c r="O636" s="90">
        <v>0</v>
      </c>
      <c r="P636" s="90">
        <v>0</v>
      </c>
      <c r="Q636" s="90">
        <v>0</v>
      </c>
      <c r="R636" s="90">
        <v>1902418</v>
      </c>
    </row>
    <row r="637" spans="1:18">
      <c r="A637" s="90" t="s">
        <v>296</v>
      </c>
      <c r="B637" s="90" t="s">
        <v>1450</v>
      </c>
      <c r="C637" s="90" t="str">
        <f t="shared" si="9"/>
        <v>KetchikanEducation - University</v>
      </c>
      <c r="D637" s="90">
        <v>3</v>
      </c>
      <c r="E637" s="90">
        <v>39806</v>
      </c>
      <c r="F637" s="90">
        <v>57698.827664233577</v>
      </c>
      <c r="G637" s="90">
        <v>0</v>
      </c>
      <c r="H637" s="90">
        <v>482171.67283933319</v>
      </c>
      <c r="I637" s="90">
        <v>0</v>
      </c>
      <c r="J637" s="90">
        <v>0</v>
      </c>
      <c r="K637" s="90">
        <v>0</v>
      </c>
      <c r="L637" s="90">
        <v>42697.132471532852</v>
      </c>
      <c r="M637" s="90">
        <v>0</v>
      </c>
      <c r="N637" s="90">
        <v>356807.03790110664</v>
      </c>
      <c r="O637" s="90">
        <v>0</v>
      </c>
      <c r="P637" s="90">
        <v>0</v>
      </c>
      <c r="Q637" s="90">
        <v>0</v>
      </c>
      <c r="R637" s="90">
        <v>278642</v>
      </c>
    </row>
    <row r="638" spans="1:18">
      <c r="A638" s="90" t="s">
        <v>296</v>
      </c>
      <c r="B638" s="90" t="s">
        <v>1444</v>
      </c>
      <c r="C638" s="90" t="str">
        <f t="shared" si="9"/>
        <v>KetchikanHealth Care - Nursing/Residential Care</v>
      </c>
      <c r="D638" s="90">
        <v>3</v>
      </c>
      <c r="E638" s="90">
        <v>45354</v>
      </c>
      <c r="F638" s="90">
        <v>20357.771350364965</v>
      </c>
      <c r="G638" s="90">
        <v>0</v>
      </c>
      <c r="H638" s="90">
        <v>754186.78762000008</v>
      </c>
      <c r="I638" s="90">
        <v>0</v>
      </c>
      <c r="J638" s="90">
        <v>0</v>
      </c>
      <c r="K638" s="90">
        <v>0</v>
      </c>
      <c r="L638" s="90">
        <v>15064.750799270074</v>
      </c>
      <c r="M638" s="90">
        <v>0</v>
      </c>
      <c r="N638" s="90">
        <v>558098.22283879993</v>
      </c>
      <c r="O638" s="90">
        <v>0</v>
      </c>
      <c r="P638" s="90">
        <v>0</v>
      </c>
      <c r="Q638" s="90">
        <v>0</v>
      </c>
      <c r="R638" s="90">
        <v>317478</v>
      </c>
    </row>
    <row r="639" spans="1:18">
      <c r="A639" s="90" t="s">
        <v>296</v>
      </c>
      <c r="B639" s="90" t="s">
        <v>665</v>
      </c>
      <c r="C639" s="90" t="str">
        <f t="shared" si="9"/>
        <v>KetchikanOffice</v>
      </c>
      <c r="D639" s="90">
        <v>10</v>
      </c>
      <c r="E639" s="90">
        <v>257290.00000338984</v>
      </c>
      <c r="F639" s="90">
        <v>115792.57165775001</v>
      </c>
      <c r="G639" s="90">
        <v>0</v>
      </c>
      <c r="H639" s="90">
        <v>3473792.38587524</v>
      </c>
      <c r="I639" s="90">
        <v>0</v>
      </c>
      <c r="J639" s="90">
        <v>0</v>
      </c>
      <c r="K639" s="90">
        <v>0</v>
      </c>
      <c r="L639" s="90">
        <v>85686.503026735023</v>
      </c>
      <c r="M639" s="90">
        <v>0</v>
      </c>
      <c r="N639" s="90">
        <v>2570606.3655476775</v>
      </c>
      <c r="O639" s="90">
        <v>0</v>
      </c>
      <c r="P639" s="90">
        <v>0</v>
      </c>
      <c r="Q639" s="90">
        <v>0</v>
      </c>
      <c r="R639" s="90">
        <v>1801030.0000237287</v>
      </c>
    </row>
    <row r="640" spans="1:18">
      <c r="A640" s="90" t="s">
        <v>296</v>
      </c>
      <c r="B640" s="90" t="s">
        <v>643</v>
      </c>
      <c r="C640" s="90" t="str">
        <f t="shared" si="9"/>
        <v>KetchikanOther</v>
      </c>
      <c r="D640" s="90">
        <v>223</v>
      </c>
      <c r="E640" s="90">
        <v>1303123.8084415561</v>
      </c>
      <c r="F640" s="90">
        <v>749815.33316556946</v>
      </c>
      <c r="G640" s="90">
        <v>0</v>
      </c>
      <c r="H640" s="90">
        <v>11913263.78648049</v>
      </c>
      <c r="I640" s="90">
        <v>0</v>
      </c>
      <c r="J640" s="90">
        <v>0</v>
      </c>
      <c r="K640" s="90">
        <v>31.672575473668026</v>
      </c>
      <c r="L640" s="90">
        <v>554863.34654251987</v>
      </c>
      <c r="M640" s="90">
        <v>0</v>
      </c>
      <c r="N640" s="90">
        <v>8815815.2019955609</v>
      </c>
      <c r="O640" s="90">
        <v>0</v>
      </c>
      <c r="P640" s="90">
        <v>0</v>
      </c>
      <c r="Q640" s="90">
        <v>23.437705850514337</v>
      </c>
      <c r="R640" s="90">
        <v>9121866.6590909213</v>
      </c>
    </row>
    <row r="641" spans="1:18">
      <c r="A641" s="90" t="s">
        <v>296</v>
      </c>
      <c r="B641" s="90" t="s">
        <v>1227</v>
      </c>
      <c r="C641" s="90" t="str">
        <f t="shared" si="9"/>
        <v>KetchikanPublic Assembly</v>
      </c>
      <c r="D641" s="90">
        <v>6</v>
      </c>
      <c r="E641" s="90">
        <v>51207.75</v>
      </c>
      <c r="F641" s="90">
        <v>57679.414659326409</v>
      </c>
      <c r="G641" s="90">
        <v>0</v>
      </c>
      <c r="H641" s="90">
        <v>767237.49393231235</v>
      </c>
      <c r="I641" s="90">
        <v>0</v>
      </c>
      <c r="J641" s="90">
        <v>0</v>
      </c>
      <c r="K641" s="90">
        <v>0</v>
      </c>
      <c r="L641" s="90">
        <v>42682.766847901534</v>
      </c>
      <c r="M641" s="90">
        <v>0</v>
      </c>
      <c r="N641" s="90">
        <v>567755.7455099111</v>
      </c>
      <c r="O641" s="90">
        <v>0</v>
      </c>
      <c r="P641" s="90">
        <v>0</v>
      </c>
      <c r="Q641" s="90">
        <v>0</v>
      </c>
      <c r="R641" s="90">
        <v>358454.25</v>
      </c>
    </row>
    <row r="642" spans="1:18">
      <c r="A642" s="90" t="s">
        <v>296</v>
      </c>
      <c r="B642" s="90" t="s">
        <v>1475</v>
      </c>
      <c r="C642" s="90" t="str">
        <f t="shared" si="9"/>
        <v>KetchikanPublic Safety</v>
      </c>
      <c r="D642" s="90">
        <v>2</v>
      </c>
      <c r="E642" s="90">
        <v>24792</v>
      </c>
      <c r="F642" s="90">
        <v>23141.050437956204</v>
      </c>
      <c r="G642" s="90">
        <v>0</v>
      </c>
      <c r="H642" s="90">
        <v>433312.77477987495</v>
      </c>
      <c r="I642" s="90">
        <v>0</v>
      </c>
      <c r="J642" s="90">
        <v>0</v>
      </c>
      <c r="K642" s="90">
        <v>0</v>
      </c>
      <c r="L642" s="90">
        <v>17124.377324087593</v>
      </c>
      <c r="M642" s="90">
        <v>0</v>
      </c>
      <c r="N642" s="90">
        <v>320651.45333710744</v>
      </c>
      <c r="O642" s="90">
        <v>0</v>
      </c>
      <c r="P642" s="90">
        <v>0</v>
      </c>
      <c r="Q642" s="90">
        <v>0</v>
      </c>
      <c r="R642" s="90">
        <v>173544</v>
      </c>
    </row>
    <row r="643" spans="1:18">
      <c r="A643" s="90" t="s">
        <v>296</v>
      </c>
      <c r="B643" s="90" t="s">
        <v>1485</v>
      </c>
      <c r="C643" s="90" t="str">
        <f t="shared" ref="C643:C706" si="10">CONCATENATE(A643,B643)</f>
        <v>KetchikanRetail - Other</v>
      </c>
      <c r="D643" s="90">
        <v>3</v>
      </c>
      <c r="E643" s="90">
        <v>72507</v>
      </c>
      <c r="F643" s="90">
        <v>24345.391249513403</v>
      </c>
      <c r="G643" s="90">
        <v>0</v>
      </c>
      <c r="H643" s="90">
        <v>311699.93855928222</v>
      </c>
      <c r="I643" s="90">
        <v>0</v>
      </c>
      <c r="J643" s="90">
        <v>0</v>
      </c>
      <c r="K643" s="90">
        <v>0</v>
      </c>
      <c r="L643" s="90">
        <v>18015.589524639916</v>
      </c>
      <c r="M643" s="90">
        <v>0</v>
      </c>
      <c r="N643" s="90">
        <v>230657.95453386885</v>
      </c>
      <c r="O643" s="90">
        <v>0</v>
      </c>
      <c r="P643" s="90">
        <v>0</v>
      </c>
      <c r="Q643" s="90">
        <v>0</v>
      </c>
      <c r="R643" s="90">
        <v>507549</v>
      </c>
    </row>
    <row r="644" spans="1:18">
      <c r="A644" s="90" t="s">
        <v>296</v>
      </c>
      <c r="B644" s="90" t="s">
        <v>951</v>
      </c>
      <c r="C644" s="90" t="str">
        <f t="shared" si="10"/>
        <v>KetchikanWarehousing</v>
      </c>
      <c r="D644" s="90">
        <v>1</v>
      </c>
      <c r="E644" s="90">
        <v>1942</v>
      </c>
      <c r="F644" s="90">
        <v>2911.8579882791332</v>
      </c>
      <c r="G644" s="90">
        <v>0</v>
      </c>
      <c r="H644" s="90">
        <v>56011.033704019384</v>
      </c>
      <c r="I644" s="90">
        <v>0</v>
      </c>
      <c r="J644" s="90">
        <v>0</v>
      </c>
      <c r="K644" s="90">
        <v>0</v>
      </c>
      <c r="L644" s="90">
        <v>2154.7749113265586</v>
      </c>
      <c r="M644" s="90">
        <v>0</v>
      </c>
      <c r="N644" s="90">
        <v>41448.16494097434</v>
      </c>
      <c r="O644" s="90">
        <v>0</v>
      </c>
      <c r="P644" s="90">
        <v>0</v>
      </c>
      <c r="Q644" s="90">
        <v>0</v>
      </c>
      <c r="R644" s="90">
        <v>13594</v>
      </c>
    </row>
    <row r="645" spans="1:18">
      <c r="A645" s="90" t="s">
        <v>46</v>
      </c>
      <c r="B645" s="90" t="s">
        <v>1439</v>
      </c>
      <c r="C645" s="90" t="str">
        <f t="shared" si="10"/>
        <v>KianaEducation - K - 12</v>
      </c>
      <c r="D645" s="90">
        <v>2</v>
      </c>
      <c r="E645" s="90">
        <v>39140</v>
      </c>
      <c r="F645" s="90">
        <v>62078.271382484665</v>
      </c>
      <c r="G645" s="90">
        <v>0</v>
      </c>
      <c r="H645" s="90">
        <v>323408.36202363507</v>
      </c>
      <c r="I645" s="90">
        <v>0</v>
      </c>
      <c r="J645" s="90">
        <v>0</v>
      </c>
      <c r="K645" s="90">
        <v>0</v>
      </c>
      <c r="L645" s="90">
        <v>45937.92082303865</v>
      </c>
      <c r="M645" s="90">
        <v>0</v>
      </c>
      <c r="N645" s="90">
        <v>239322.18789748996</v>
      </c>
      <c r="O645" s="90">
        <v>0</v>
      </c>
      <c r="P645" s="90">
        <v>0</v>
      </c>
      <c r="Q645" s="90">
        <v>0</v>
      </c>
      <c r="R645" s="90">
        <v>273980</v>
      </c>
    </row>
    <row r="646" spans="1:18">
      <c r="A646" s="90" t="s">
        <v>46</v>
      </c>
      <c r="B646" s="90" t="s">
        <v>1440</v>
      </c>
      <c r="C646" s="90" t="str">
        <f t="shared" si="10"/>
        <v>KianaHealth Care - Hospitals</v>
      </c>
      <c r="D646" s="90">
        <v>1</v>
      </c>
      <c r="E646" s="90">
        <v>5000</v>
      </c>
      <c r="F646" s="90">
        <v>4000</v>
      </c>
      <c r="G646" s="90">
        <v>0</v>
      </c>
      <c r="H646" s="90">
        <v>51600</v>
      </c>
      <c r="I646" s="90">
        <v>0</v>
      </c>
      <c r="J646" s="90">
        <v>0</v>
      </c>
      <c r="K646" s="90">
        <v>0</v>
      </c>
      <c r="L646" s="90">
        <v>2960</v>
      </c>
      <c r="M646" s="90">
        <v>0</v>
      </c>
      <c r="N646" s="90">
        <v>38184</v>
      </c>
      <c r="O646" s="90">
        <v>0</v>
      </c>
      <c r="P646" s="90">
        <v>0</v>
      </c>
      <c r="Q646" s="90">
        <v>0</v>
      </c>
      <c r="R646" s="90">
        <v>35000</v>
      </c>
    </row>
    <row r="647" spans="1:18">
      <c r="A647" s="90" t="s">
        <v>46</v>
      </c>
      <c r="B647" s="90" t="s">
        <v>665</v>
      </c>
      <c r="C647" s="90" t="str">
        <f t="shared" si="10"/>
        <v>KianaOffice</v>
      </c>
      <c r="D647" s="90">
        <v>2</v>
      </c>
      <c r="E647" s="90">
        <v>3168</v>
      </c>
      <c r="F647" s="90">
        <v>1772</v>
      </c>
      <c r="G647" s="90">
        <v>0</v>
      </c>
      <c r="H647" s="90">
        <v>15650.793691175086</v>
      </c>
      <c r="I647" s="90">
        <v>0</v>
      </c>
      <c r="J647" s="90">
        <v>0</v>
      </c>
      <c r="K647" s="90">
        <v>0</v>
      </c>
      <c r="L647" s="90">
        <v>1311.28</v>
      </c>
      <c r="M647" s="90">
        <v>0</v>
      </c>
      <c r="N647" s="90">
        <v>11581.587331469564</v>
      </c>
      <c r="O647" s="90">
        <v>0</v>
      </c>
      <c r="P647" s="90">
        <v>0</v>
      </c>
      <c r="Q647" s="90">
        <v>0</v>
      </c>
      <c r="R647" s="90">
        <v>22176</v>
      </c>
    </row>
    <row r="648" spans="1:18">
      <c r="A648" s="90" t="s">
        <v>46</v>
      </c>
      <c r="B648" s="90" t="s">
        <v>643</v>
      </c>
      <c r="C648" s="90" t="str">
        <f t="shared" si="10"/>
        <v>KianaOther</v>
      </c>
      <c r="D648" s="90">
        <v>4</v>
      </c>
      <c r="E648" s="90">
        <v>5384</v>
      </c>
      <c r="F648" s="90">
        <v>5346.5518053235155</v>
      </c>
      <c r="G648" s="90">
        <v>0</v>
      </c>
      <c r="H648" s="90">
        <v>39965.664890108324</v>
      </c>
      <c r="I648" s="90">
        <v>0</v>
      </c>
      <c r="J648" s="90">
        <v>0</v>
      </c>
      <c r="K648" s="90">
        <v>0</v>
      </c>
      <c r="L648" s="90">
        <v>3956.4483359394012</v>
      </c>
      <c r="M648" s="90">
        <v>0</v>
      </c>
      <c r="N648" s="90">
        <v>29574.59201868016</v>
      </c>
      <c r="O648" s="90">
        <v>0</v>
      </c>
      <c r="P648" s="90">
        <v>0</v>
      </c>
      <c r="Q648" s="90">
        <v>0</v>
      </c>
      <c r="R648" s="90">
        <v>37688</v>
      </c>
    </row>
    <row r="649" spans="1:18">
      <c r="A649" s="90" t="s">
        <v>46</v>
      </c>
      <c r="B649" s="90" t="s">
        <v>1227</v>
      </c>
      <c r="C649" s="90" t="str">
        <f t="shared" si="10"/>
        <v>KianaPublic Assembly</v>
      </c>
      <c r="D649" s="90">
        <v>2</v>
      </c>
      <c r="E649" s="90">
        <v>7426.5640449438197</v>
      </c>
      <c r="F649" s="90">
        <v>5136.2888828546493</v>
      </c>
      <c r="G649" s="90">
        <v>0</v>
      </c>
      <c r="H649" s="90">
        <v>34435.681784498905</v>
      </c>
      <c r="I649" s="90">
        <v>0</v>
      </c>
      <c r="J649" s="90">
        <v>0</v>
      </c>
      <c r="K649" s="90">
        <v>0</v>
      </c>
      <c r="L649" s="90">
        <v>3800.8537733124404</v>
      </c>
      <c r="M649" s="90">
        <v>0</v>
      </c>
      <c r="N649" s="90">
        <v>25482.404520529188</v>
      </c>
      <c r="O649" s="90">
        <v>0</v>
      </c>
      <c r="P649" s="90">
        <v>0</v>
      </c>
      <c r="Q649" s="90">
        <v>0</v>
      </c>
      <c r="R649" s="90">
        <v>51985.948314606736</v>
      </c>
    </row>
    <row r="650" spans="1:18">
      <c r="A650" s="90" t="s">
        <v>46</v>
      </c>
      <c r="B650" s="90" t="s">
        <v>1485</v>
      </c>
      <c r="C650" s="90" t="str">
        <f t="shared" si="10"/>
        <v>KianaRetail - Other</v>
      </c>
      <c r="D650" s="90">
        <v>1</v>
      </c>
      <c r="E650" s="90">
        <v>6276.3658536585363</v>
      </c>
      <c r="F650" s="90">
        <v>10425.351575516059</v>
      </c>
      <c r="G650" s="90">
        <v>0</v>
      </c>
      <c r="H650" s="90">
        <v>153131.89915167599</v>
      </c>
      <c r="I650" s="90">
        <v>0</v>
      </c>
      <c r="J650" s="90">
        <v>0</v>
      </c>
      <c r="K650" s="90">
        <v>0</v>
      </c>
      <c r="L650" s="90">
        <v>7714.760165881883</v>
      </c>
      <c r="M650" s="90">
        <v>0</v>
      </c>
      <c r="N650" s="90">
        <v>113317.60537224023</v>
      </c>
      <c r="O650" s="90">
        <v>0</v>
      </c>
      <c r="P650" s="90">
        <v>0</v>
      </c>
      <c r="Q650" s="90">
        <v>0</v>
      </c>
      <c r="R650" s="90">
        <v>43934.560975609755</v>
      </c>
    </row>
    <row r="651" spans="1:18">
      <c r="A651" s="90" t="s">
        <v>162</v>
      </c>
      <c r="B651" s="90" t="s">
        <v>1447</v>
      </c>
      <c r="C651" s="90" t="str">
        <f t="shared" si="10"/>
        <v>King CoveAccomodation Services</v>
      </c>
      <c r="D651" s="90">
        <v>1</v>
      </c>
      <c r="E651" s="90">
        <v>8768</v>
      </c>
      <c r="F651" s="90">
        <v>9040.0424030490958</v>
      </c>
      <c r="G651" s="90">
        <v>0</v>
      </c>
      <c r="H651" s="90">
        <v>191135.84605885469</v>
      </c>
      <c r="I651" s="90">
        <v>0</v>
      </c>
      <c r="J651" s="90">
        <v>0</v>
      </c>
      <c r="K651" s="90">
        <v>0</v>
      </c>
      <c r="L651" s="90">
        <v>6689.6313782563311</v>
      </c>
      <c r="M651" s="90">
        <v>0</v>
      </c>
      <c r="N651" s="90">
        <v>141440.52608355245</v>
      </c>
      <c r="O651" s="90">
        <v>0</v>
      </c>
      <c r="P651" s="90">
        <v>0</v>
      </c>
      <c r="Q651" s="90">
        <v>0</v>
      </c>
      <c r="R651" s="90">
        <v>61376</v>
      </c>
    </row>
    <row r="652" spans="1:18">
      <c r="A652" s="90" t="s">
        <v>162</v>
      </c>
      <c r="B652" s="90" t="s">
        <v>1439</v>
      </c>
      <c r="C652" s="90" t="str">
        <f t="shared" si="10"/>
        <v>King CoveEducation - K - 12</v>
      </c>
      <c r="D652" s="90">
        <v>2</v>
      </c>
      <c r="E652" s="90">
        <v>64771.223957219248</v>
      </c>
      <c r="F652" s="90">
        <v>47582.955517424482</v>
      </c>
      <c r="G652" s="90">
        <v>0</v>
      </c>
      <c r="H652" s="90">
        <v>458627.01866419381</v>
      </c>
      <c r="I652" s="90">
        <v>0</v>
      </c>
      <c r="J652" s="90">
        <v>0</v>
      </c>
      <c r="K652" s="90">
        <v>0</v>
      </c>
      <c r="L652" s="90">
        <v>35211.387082894114</v>
      </c>
      <c r="M652" s="90">
        <v>0</v>
      </c>
      <c r="N652" s="90">
        <v>339383.9938115034</v>
      </c>
      <c r="O652" s="90">
        <v>0</v>
      </c>
      <c r="P652" s="90">
        <v>0</v>
      </c>
      <c r="Q652" s="90">
        <v>0</v>
      </c>
      <c r="R652" s="90">
        <v>453398.56770053477</v>
      </c>
    </row>
    <row r="653" spans="1:18">
      <c r="A653" s="90" t="s">
        <v>162</v>
      </c>
      <c r="B653" s="90" t="s">
        <v>1469</v>
      </c>
      <c r="C653" s="90" t="str">
        <f t="shared" si="10"/>
        <v>King CoveFood Service and Drinking Places</v>
      </c>
      <c r="D653" s="90">
        <v>2</v>
      </c>
      <c r="E653" s="90">
        <v>6140</v>
      </c>
      <c r="F653" s="90">
        <v>4600.7011522051971</v>
      </c>
      <c r="G653" s="90">
        <v>0</v>
      </c>
      <c r="H653" s="90">
        <v>44804.190281356641</v>
      </c>
      <c r="I653" s="90">
        <v>0</v>
      </c>
      <c r="J653" s="90">
        <v>0</v>
      </c>
      <c r="K653" s="90">
        <v>0</v>
      </c>
      <c r="L653" s="90">
        <v>3404.5188526318461</v>
      </c>
      <c r="M653" s="90">
        <v>0</v>
      </c>
      <c r="N653" s="90">
        <v>33155.100808203919</v>
      </c>
      <c r="O653" s="90">
        <v>0</v>
      </c>
      <c r="P653" s="90">
        <v>0</v>
      </c>
      <c r="Q653" s="90">
        <v>0</v>
      </c>
      <c r="R653" s="90">
        <v>42980</v>
      </c>
    </row>
    <row r="654" spans="1:18">
      <c r="A654" s="90" t="s">
        <v>162</v>
      </c>
      <c r="B654" s="90" t="s">
        <v>1444</v>
      </c>
      <c r="C654" s="90" t="str">
        <f t="shared" si="10"/>
        <v>King CoveHealth Care - Nursing/Residential Care</v>
      </c>
      <c r="D654" s="90">
        <v>1</v>
      </c>
      <c r="E654" s="90">
        <v>10400</v>
      </c>
      <c r="F654" s="90">
        <v>7351.972705315442</v>
      </c>
      <c r="G654" s="90">
        <v>0</v>
      </c>
      <c r="H654" s="90">
        <v>59388.293115527726</v>
      </c>
      <c r="I654" s="90">
        <v>0</v>
      </c>
      <c r="J654" s="90">
        <v>0</v>
      </c>
      <c r="K654" s="90">
        <v>0</v>
      </c>
      <c r="L654" s="90">
        <v>5440.4598019334271</v>
      </c>
      <c r="M654" s="90">
        <v>0</v>
      </c>
      <c r="N654" s="90">
        <v>43947.33690549052</v>
      </c>
      <c r="O654" s="90">
        <v>0</v>
      </c>
      <c r="P654" s="90">
        <v>0</v>
      </c>
      <c r="Q654" s="90">
        <v>0</v>
      </c>
      <c r="R654" s="90">
        <v>72800</v>
      </c>
    </row>
    <row r="655" spans="1:18">
      <c r="A655" s="90" t="s">
        <v>162</v>
      </c>
      <c r="B655" s="90" t="s">
        <v>665</v>
      </c>
      <c r="C655" s="90" t="str">
        <f t="shared" si="10"/>
        <v>King CoveOffice</v>
      </c>
      <c r="D655" s="90">
        <v>6</v>
      </c>
      <c r="E655" s="90">
        <v>14408</v>
      </c>
      <c r="F655" s="90">
        <v>11993.947856323144</v>
      </c>
      <c r="G655" s="90">
        <v>0</v>
      </c>
      <c r="H655" s="90">
        <v>81746.069755375967</v>
      </c>
      <c r="I655" s="90">
        <v>0</v>
      </c>
      <c r="J655" s="90">
        <v>0</v>
      </c>
      <c r="K655" s="90">
        <v>0</v>
      </c>
      <c r="L655" s="90">
        <v>8875.5214136791274</v>
      </c>
      <c r="M655" s="90">
        <v>0</v>
      </c>
      <c r="N655" s="90">
        <v>60492.091618978229</v>
      </c>
      <c r="O655" s="90">
        <v>0</v>
      </c>
      <c r="P655" s="90">
        <v>0</v>
      </c>
      <c r="Q655" s="90">
        <v>0</v>
      </c>
      <c r="R655" s="90">
        <v>100856</v>
      </c>
    </row>
    <row r="656" spans="1:18">
      <c r="A656" s="90" t="s">
        <v>162</v>
      </c>
      <c r="B656" s="90" t="s">
        <v>643</v>
      </c>
      <c r="C656" s="90" t="str">
        <f t="shared" si="10"/>
        <v>King CoveOther</v>
      </c>
      <c r="D656" s="90">
        <v>8</v>
      </c>
      <c r="E656" s="90">
        <v>109811</v>
      </c>
      <c r="F656" s="90">
        <v>117489.22998117768</v>
      </c>
      <c r="G656" s="90">
        <v>0</v>
      </c>
      <c r="H656" s="90">
        <v>802030.13687850488</v>
      </c>
      <c r="I656" s="90">
        <v>0</v>
      </c>
      <c r="J656" s="90">
        <v>0</v>
      </c>
      <c r="K656" s="90">
        <v>0</v>
      </c>
      <c r="L656" s="90">
        <v>86942.030186071483</v>
      </c>
      <c r="M656" s="90">
        <v>0</v>
      </c>
      <c r="N656" s="90">
        <v>593502.30129009369</v>
      </c>
      <c r="O656" s="90">
        <v>0</v>
      </c>
      <c r="P656" s="90">
        <v>0</v>
      </c>
      <c r="Q656" s="90">
        <v>0</v>
      </c>
      <c r="R656" s="90">
        <v>768677</v>
      </c>
    </row>
    <row r="657" spans="1:18">
      <c r="A657" s="90" t="s">
        <v>162</v>
      </c>
      <c r="B657" s="90" t="s">
        <v>1227</v>
      </c>
      <c r="C657" s="90" t="str">
        <f t="shared" si="10"/>
        <v>King CovePublic Assembly</v>
      </c>
      <c r="D657" s="90">
        <v>5</v>
      </c>
      <c r="E657" s="90">
        <v>22891</v>
      </c>
      <c r="F657" s="90">
        <v>15831.653521856244</v>
      </c>
      <c r="G657" s="90">
        <v>0</v>
      </c>
      <c r="H657" s="90">
        <v>106141.57327110579</v>
      </c>
      <c r="I657" s="90">
        <v>0</v>
      </c>
      <c r="J657" s="90">
        <v>0</v>
      </c>
      <c r="K657" s="90">
        <v>0</v>
      </c>
      <c r="L657" s="90">
        <v>11715.423606173619</v>
      </c>
      <c r="M657" s="90">
        <v>0</v>
      </c>
      <c r="N657" s="90">
        <v>78544.764220618294</v>
      </c>
      <c r="O657" s="90">
        <v>0</v>
      </c>
      <c r="P657" s="90">
        <v>0</v>
      </c>
      <c r="Q657" s="90">
        <v>0</v>
      </c>
      <c r="R657" s="90">
        <v>160237</v>
      </c>
    </row>
    <row r="658" spans="1:18">
      <c r="A658" s="90" t="s">
        <v>162</v>
      </c>
      <c r="B658" s="90" t="s">
        <v>1475</v>
      </c>
      <c r="C658" s="90" t="str">
        <f t="shared" si="10"/>
        <v>King CovePublic Safety</v>
      </c>
      <c r="D658" s="90">
        <v>1</v>
      </c>
      <c r="E658" s="90">
        <v>3180</v>
      </c>
      <c r="F658" s="90">
        <v>2251.0023206047508</v>
      </c>
      <c r="G658" s="90">
        <v>0</v>
      </c>
      <c r="H658" s="90">
        <v>26298.860514473839</v>
      </c>
      <c r="I658" s="90">
        <v>0</v>
      </c>
      <c r="J658" s="90">
        <v>0</v>
      </c>
      <c r="K658" s="90">
        <v>0</v>
      </c>
      <c r="L658" s="90">
        <v>1665.7417172475157</v>
      </c>
      <c r="M658" s="90">
        <v>0</v>
      </c>
      <c r="N658" s="90">
        <v>19461.15678071064</v>
      </c>
      <c r="O658" s="90">
        <v>0</v>
      </c>
      <c r="P658" s="90">
        <v>0</v>
      </c>
      <c r="Q658" s="90">
        <v>0</v>
      </c>
      <c r="R658" s="90">
        <v>22260</v>
      </c>
    </row>
    <row r="659" spans="1:18">
      <c r="A659" s="90" t="s">
        <v>162</v>
      </c>
      <c r="B659" s="90" t="s">
        <v>1442</v>
      </c>
      <c r="C659" s="90" t="str">
        <f t="shared" si="10"/>
        <v>King CoveResidential - Multi-Family</v>
      </c>
      <c r="D659" s="90">
        <v>1</v>
      </c>
      <c r="E659" s="90">
        <v>4290</v>
      </c>
      <c r="F659" s="90">
        <v>4389.0009446114218</v>
      </c>
      <c r="G659" s="90">
        <v>0</v>
      </c>
      <c r="H659" s="90">
        <v>17730.932510652561</v>
      </c>
      <c r="I659" s="90">
        <v>0</v>
      </c>
      <c r="J659" s="90">
        <v>0</v>
      </c>
      <c r="K659" s="90">
        <v>0</v>
      </c>
      <c r="L659" s="90">
        <v>3247.8606990124522</v>
      </c>
      <c r="M659" s="90">
        <v>0</v>
      </c>
      <c r="N659" s="90">
        <v>13120.890057882894</v>
      </c>
      <c r="O659" s="90">
        <v>0</v>
      </c>
      <c r="P659" s="90">
        <v>0</v>
      </c>
      <c r="Q659" s="90">
        <v>0</v>
      </c>
      <c r="R659" s="90">
        <v>30030</v>
      </c>
    </row>
    <row r="660" spans="1:18">
      <c r="A660" s="90" t="s">
        <v>162</v>
      </c>
      <c r="B660" s="90" t="s">
        <v>1485</v>
      </c>
      <c r="C660" s="90" t="str">
        <f t="shared" si="10"/>
        <v>King CoveRetail - Other</v>
      </c>
      <c r="D660" s="90">
        <v>2</v>
      </c>
      <c r="E660" s="90">
        <v>25560</v>
      </c>
      <c r="F660" s="90">
        <v>42456.413868044692</v>
      </c>
      <c r="G660" s="90">
        <v>0</v>
      </c>
      <c r="H660" s="90">
        <v>623617.46169326804</v>
      </c>
      <c r="I660" s="90">
        <v>0</v>
      </c>
      <c r="J660" s="90">
        <v>0</v>
      </c>
      <c r="K660" s="90">
        <v>0</v>
      </c>
      <c r="L660" s="90">
        <v>31417.746262353074</v>
      </c>
      <c r="M660" s="90">
        <v>0</v>
      </c>
      <c r="N660" s="90">
        <v>461476.92165301839</v>
      </c>
      <c r="O660" s="90">
        <v>0</v>
      </c>
      <c r="P660" s="90">
        <v>0</v>
      </c>
      <c r="Q660" s="90">
        <v>0</v>
      </c>
      <c r="R660" s="90">
        <v>178920</v>
      </c>
    </row>
    <row r="661" spans="1:18">
      <c r="A661" s="90" t="s">
        <v>162</v>
      </c>
      <c r="B661" s="90" t="s">
        <v>951</v>
      </c>
      <c r="C661" s="90" t="str">
        <f t="shared" si="10"/>
        <v>King CoveWarehousing</v>
      </c>
      <c r="D661" s="90">
        <v>1</v>
      </c>
      <c r="E661" s="90">
        <v>17920</v>
      </c>
      <c r="F661" s="90">
        <v>31275.659056513894</v>
      </c>
      <c r="G661" s="90">
        <v>0</v>
      </c>
      <c r="H661" s="90">
        <v>821071.40911114053</v>
      </c>
      <c r="I661" s="90">
        <v>0</v>
      </c>
      <c r="J661" s="90">
        <v>0</v>
      </c>
      <c r="K661" s="90">
        <v>0</v>
      </c>
      <c r="L661" s="90">
        <v>23143.987701820282</v>
      </c>
      <c r="M661" s="90">
        <v>0</v>
      </c>
      <c r="N661" s="90">
        <v>607592.84274224401</v>
      </c>
      <c r="O661" s="90">
        <v>0</v>
      </c>
      <c r="P661" s="90">
        <v>0</v>
      </c>
      <c r="Q661" s="90">
        <v>0</v>
      </c>
      <c r="R661" s="90">
        <v>125440</v>
      </c>
    </row>
    <row r="662" spans="1:18">
      <c r="A662" s="90" t="s">
        <v>1031</v>
      </c>
      <c r="B662" s="90" t="s">
        <v>1439</v>
      </c>
      <c r="C662" s="90" t="str">
        <f t="shared" si="10"/>
        <v>King SalmonEducation - K - 12</v>
      </c>
      <c r="D662" s="90">
        <v>3</v>
      </c>
      <c r="E662" s="90">
        <v>35768.223957219248</v>
      </c>
      <c r="F662" s="90">
        <v>26276.449718130483</v>
      </c>
      <c r="G662" s="90">
        <v>0</v>
      </c>
      <c r="H662" s="90">
        <v>253264.84377147967</v>
      </c>
      <c r="I662" s="90">
        <v>0</v>
      </c>
      <c r="J662" s="90">
        <v>0</v>
      </c>
      <c r="K662" s="90">
        <v>0</v>
      </c>
      <c r="L662" s="90">
        <v>19444.572791416558</v>
      </c>
      <c r="M662" s="90">
        <v>0</v>
      </c>
      <c r="N662" s="90">
        <v>187415.98439089497</v>
      </c>
      <c r="O662" s="90">
        <v>0</v>
      </c>
      <c r="P662" s="90">
        <v>0</v>
      </c>
      <c r="Q662" s="90">
        <v>0</v>
      </c>
      <c r="R662" s="90">
        <v>250377.56770053477</v>
      </c>
    </row>
    <row r="663" spans="1:18">
      <c r="A663" s="90" t="s">
        <v>1031</v>
      </c>
      <c r="B663" s="90" t="s">
        <v>1469</v>
      </c>
      <c r="C663" s="90" t="str">
        <f t="shared" si="10"/>
        <v>King SalmonFood Service and Drinking Places</v>
      </c>
      <c r="D663" s="90">
        <v>1</v>
      </c>
      <c r="E663" s="90">
        <v>4750</v>
      </c>
      <c r="F663" s="90">
        <v>3559.1743441326848</v>
      </c>
      <c r="G663" s="90">
        <v>0</v>
      </c>
      <c r="H663" s="90">
        <v>34661.222123199354</v>
      </c>
      <c r="I663" s="90">
        <v>0</v>
      </c>
      <c r="J663" s="90">
        <v>0</v>
      </c>
      <c r="K663" s="90">
        <v>0</v>
      </c>
      <c r="L663" s="90">
        <v>2633.7890146581867</v>
      </c>
      <c r="M663" s="90">
        <v>0</v>
      </c>
      <c r="N663" s="90">
        <v>25649.30437116752</v>
      </c>
      <c r="O663" s="90">
        <v>0</v>
      </c>
      <c r="P663" s="90">
        <v>0</v>
      </c>
      <c r="Q663" s="90">
        <v>0</v>
      </c>
      <c r="R663" s="90">
        <v>33250</v>
      </c>
    </row>
    <row r="664" spans="1:18">
      <c r="A664" s="90" t="s">
        <v>1031</v>
      </c>
      <c r="B664" s="90" t="s">
        <v>1440</v>
      </c>
      <c r="C664" s="90" t="str">
        <f t="shared" si="10"/>
        <v>King SalmonHealth Care - Hospitals</v>
      </c>
      <c r="D664" s="90">
        <v>2</v>
      </c>
      <c r="E664" s="90">
        <v>5003.5925000000007</v>
      </c>
      <c r="F664" s="90">
        <v>3162.6481992850117</v>
      </c>
      <c r="G664" s="90">
        <v>0</v>
      </c>
      <c r="H664" s="90">
        <v>44110.734431859106</v>
      </c>
      <c r="I664" s="90">
        <v>0</v>
      </c>
      <c r="J664" s="90">
        <v>0</v>
      </c>
      <c r="K664" s="90">
        <v>0</v>
      </c>
      <c r="L664" s="90">
        <v>2340.3596674709088</v>
      </c>
      <c r="M664" s="90">
        <v>0</v>
      </c>
      <c r="N664" s="90">
        <v>32641.943479575737</v>
      </c>
      <c r="O664" s="90">
        <v>0</v>
      </c>
      <c r="P664" s="90">
        <v>0</v>
      </c>
      <c r="Q664" s="90">
        <v>0</v>
      </c>
      <c r="R664" s="90">
        <v>35025.147500000006</v>
      </c>
    </row>
    <row r="665" spans="1:18">
      <c r="A665" s="90" t="s">
        <v>1031</v>
      </c>
      <c r="B665" s="90" t="s">
        <v>665</v>
      </c>
      <c r="C665" s="90" t="str">
        <f t="shared" si="10"/>
        <v>King SalmonOffice</v>
      </c>
      <c r="D665" s="90">
        <v>3</v>
      </c>
      <c r="E665" s="90">
        <v>17770.338129496402</v>
      </c>
      <c r="F665" s="90">
        <v>7776.2512095262528</v>
      </c>
      <c r="G665" s="90">
        <v>0</v>
      </c>
      <c r="H665" s="90">
        <v>89063.100789960852</v>
      </c>
      <c r="I665" s="90">
        <v>0</v>
      </c>
      <c r="J665" s="90">
        <v>0</v>
      </c>
      <c r="K665" s="90">
        <v>0</v>
      </c>
      <c r="L665" s="90">
        <v>5754.4258950494268</v>
      </c>
      <c r="M665" s="90">
        <v>0</v>
      </c>
      <c r="N665" s="90">
        <v>65906.694584571043</v>
      </c>
      <c r="O665" s="90">
        <v>0</v>
      </c>
      <c r="P665" s="90">
        <v>0</v>
      </c>
      <c r="Q665" s="90">
        <v>0</v>
      </c>
      <c r="R665" s="90">
        <v>124392.36690647481</v>
      </c>
    </row>
    <row r="666" spans="1:18">
      <c r="A666" s="90" t="s">
        <v>1031</v>
      </c>
      <c r="B666" s="90" t="s">
        <v>643</v>
      </c>
      <c r="C666" s="90" t="str">
        <f t="shared" si="10"/>
        <v>King SalmonOther</v>
      </c>
      <c r="D666" s="90">
        <v>16</v>
      </c>
      <c r="E666" s="90">
        <v>75941.362595419821</v>
      </c>
      <c r="F666" s="90">
        <v>78198.565871504761</v>
      </c>
      <c r="G666" s="90">
        <v>0</v>
      </c>
      <c r="H666" s="90">
        <v>525861.42857051885</v>
      </c>
      <c r="I666" s="90">
        <v>0</v>
      </c>
      <c r="J666" s="90">
        <v>0</v>
      </c>
      <c r="K666" s="90">
        <v>0</v>
      </c>
      <c r="L666" s="90">
        <v>57866.938744913532</v>
      </c>
      <c r="M666" s="90">
        <v>0</v>
      </c>
      <c r="N666" s="90">
        <v>389137.45714218402</v>
      </c>
      <c r="O666" s="90">
        <v>0</v>
      </c>
      <c r="P666" s="90">
        <v>0</v>
      </c>
      <c r="Q666" s="90">
        <v>0</v>
      </c>
      <c r="R666" s="90">
        <v>531589.53816793882</v>
      </c>
    </row>
    <row r="667" spans="1:18">
      <c r="A667" s="90" t="s">
        <v>1031</v>
      </c>
      <c r="B667" s="90" t="s">
        <v>1227</v>
      </c>
      <c r="C667" s="90" t="str">
        <f t="shared" si="10"/>
        <v>King SalmonPublic Assembly</v>
      </c>
      <c r="D667" s="90">
        <v>2</v>
      </c>
      <c r="E667" s="90">
        <v>4626.5640449438197</v>
      </c>
      <c r="F667" s="90">
        <v>3199.7797805350701</v>
      </c>
      <c r="G667" s="90">
        <v>0</v>
      </c>
      <c r="H667" s="90">
        <v>21452.57029268569</v>
      </c>
      <c r="I667" s="90">
        <v>0</v>
      </c>
      <c r="J667" s="90">
        <v>0</v>
      </c>
      <c r="K667" s="90">
        <v>0</v>
      </c>
      <c r="L667" s="90">
        <v>2367.8370375959516</v>
      </c>
      <c r="M667" s="90">
        <v>0</v>
      </c>
      <c r="N667" s="90">
        <v>15874.90201658741</v>
      </c>
      <c r="O667" s="90">
        <v>0</v>
      </c>
      <c r="P667" s="90">
        <v>0</v>
      </c>
      <c r="Q667" s="90">
        <v>0</v>
      </c>
      <c r="R667" s="90">
        <v>32385.94831460674</v>
      </c>
    </row>
    <row r="668" spans="1:18">
      <c r="A668" s="90" t="s">
        <v>1031</v>
      </c>
      <c r="B668" s="90" t="s">
        <v>1475</v>
      </c>
      <c r="C668" s="90" t="str">
        <f t="shared" si="10"/>
        <v>King SalmonPublic Safety</v>
      </c>
      <c r="D668" s="90">
        <v>3</v>
      </c>
      <c r="E668" s="90">
        <v>8092.2268181818181</v>
      </c>
      <c r="F668" s="90">
        <v>5728.1828133922236</v>
      </c>
      <c r="G668" s="90">
        <v>0</v>
      </c>
      <c r="H668" s="90">
        <v>66923.378724166061</v>
      </c>
      <c r="I668" s="90">
        <v>0</v>
      </c>
      <c r="J668" s="90">
        <v>0</v>
      </c>
      <c r="K668" s="90">
        <v>0</v>
      </c>
      <c r="L668" s="90">
        <v>4238.8552819102451</v>
      </c>
      <c r="M668" s="90">
        <v>0</v>
      </c>
      <c r="N668" s="90">
        <v>49523.300255882888</v>
      </c>
      <c r="O668" s="90">
        <v>0</v>
      </c>
      <c r="P668" s="90">
        <v>0</v>
      </c>
      <c r="Q668" s="90">
        <v>0</v>
      </c>
      <c r="R668" s="90">
        <v>56645.587727272723</v>
      </c>
    </row>
    <row r="669" spans="1:18">
      <c r="A669" s="90" t="s">
        <v>1031</v>
      </c>
      <c r="B669" s="90" t="s">
        <v>1485</v>
      </c>
      <c r="C669" s="90" t="str">
        <f t="shared" si="10"/>
        <v>King SalmonRetail - Other</v>
      </c>
      <c r="D669" s="90">
        <v>1</v>
      </c>
      <c r="E669" s="90">
        <v>7718</v>
      </c>
      <c r="F669" s="90">
        <v>12819.976613206924</v>
      </c>
      <c r="G669" s="90">
        <v>0</v>
      </c>
      <c r="H669" s="90">
        <v>188305.14747060419</v>
      </c>
      <c r="I669" s="90">
        <v>0</v>
      </c>
      <c r="J669" s="90">
        <v>0</v>
      </c>
      <c r="K669" s="90">
        <v>0</v>
      </c>
      <c r="L669" s="90">
        <v>9486.7826937731224</v>
      </c>
      <c r="M669" s="90">
        <v>0</v>
      </c>
      <c r="N669" s="90">
        <v>139345.80912824711</v>
      </c>
      <c r="O669" s="90">
        <v>0</v>
      </c>
      <c r="P669" s="90">
        <v>0</v>
      </c>
      <c r="Q669" s="90">
        <v>0</v>
      </c>
      <c r="R669" s="90">
        <v>54026</v>
      </c>
    </row>
    <row r="670" spans="1:18">
      <c r="A670" s="90" t="s">
        <v>1031</v>
      </c>
      <c r="B670" s="90" t="s">
        <v>951</v>
      </c>
      <c r="C670" s="90" t="str">
        <f t="shared" si="10"/>
        <v>King SalmonWarehousing</v>
      </c>
      <c r="D670" s="90">
        <v>5</v>
      </c>
      <c r="E670" s="90">
        <v>10968.698529411766</v>
      </c>
      <c r="F670" s="90">
        <v>19143.597963145519</v>
      </c>
      <c r="G670" s="90">
        <v>0</v>
      </c>
      <c r="H670" s="90">
        <v>502571.69406581542</v>
      </c>
      <c r="I670" s="90">
        <v>0</v>
      </c>
      <c r="J670" s="90">
        <v>0</v>
      </c>
      <c r="K670" s="90">
        <v>0</v>
      </c>
      <c r="L670" s="90">
        <v>14166.262492727685</v>
      </c>
      <c r="M670" s="90">
        <v>0</v>
      </c>
      <c r="N670" s="90">
        <v>371903.05360870343</v>
      </c>
      <c r="O670" s="90">
        <v>0</v>
      </c>
      <c r="P670" s="90">
        <v>0</v>
      </c>
      <c r="Q670" s="90">
        <v>0</v>
      </c>
      <c r="R670" s="90">
        <v>76780.88970588235</v>
      </c>
    </row>
    <row r="671" spans="1:18">
      <c r="A671" s="90" t="s">
        <v>257</v>
      </c>
      <c r="B671" s="90" t="s">
        <v>1447</v>
      </c>
      <c r="C671" s="90" t="str">
        <f t="shared" si="10"/>
        <v>KipnukAccomodation Services</v>
      </c>
      <c r="D671" s="90">
        <v>1</v>
      </c>
      <c r="E671" s="90">
        <v>7260.0625</v>
      </c>
      <c r="F671" s="90">
        <v>7485.3185274619782</v>
      </c>
      <c r="G671" s="90">
        <v>0</v>
      </c>
      <c r="H671" s="90">
        <v>158263.93571825544</v>
      </c>
      <c r="I671" s="90">
        <v>0</v>
      </c>
      <c r="J671" s="90">
        <v>0</v>
      </c>
      <c r="K671" s="90">
        <v>0</v>
      </c>
      <c r="L671" s="90">
        <v>5539.1357103218634</v>
      </c>
      <c r="M671" s="90">
        <v>0</v>
      </c>
      <c r="N671" s="90">
        <v>117115.31243150902</v>
      </c>
      <c r="O671" s="90">
        <v>0</v>
      </c>
      <c r="P671" s="90">
        <v>0</v>
      </c>
      <c r="Q671" s="90">
        <v>0</v>
      </c>
      <c r="R671" s="90">
        <v>50820.4375</v>
      </c>
    </row>
    <row r="672" spans="1:18">
      <c r="A672" s="90" t="s">
        <v>257</v>
      </c>
      <c r="B672" s="90" t="s">
        <v>1439</v>
      </c>
      <c r="C672" s="90" t="str">
        <f t="shared" si="10"/>
        <v>KipnukEducation - K - 12</v>
      </c>
      <c r="D672" s="90">
        <v>3</v>
      </c>
      <c r="E672" s="90">
        <v>50348.223957219248</v>
      </c>
      <c r="F672" s="90">
        <v>36987.371159143702</v>
      </c>
      <c r="G672" s="90">
        <v>0</v>
      </c>
      <c r="H672" s="90">
        <v>356501.76788056397</v>
      </c>
      <c r="I672" s="90">
        <v>0</v>
      </c>
      <c r="J672" s="90">
        <v>0</v>
      </c>
      <c r="K672" s="90">
        <v>0</v>
      </c>
      <c r="L672" s="90">
        <v>27370.654657766339</v>
      </c>
      <c r="M672" s="90">
        <v>0</v>
      </c>
      <c r="N672" s="90">
        <v>263811.30823161732</v>
      </c>
      <c r="O672" s="90">
        <v>0</v>
      </c>
      <c r="P672" s="90">
        <v>0</v>
      </c>
      <c r="Q672" s="90">
        <v>0</v>
      </c>
      <c r="R672" s="90">
        <v>352437.56770053477</v>
      </c>
    </row>
    <row r="673" spans="1:18">
      <c r="A673" s="90" t="s">
        <v>257</v>
      </c>
      <c r="B673" s="90" t="s">
        <v>1440</v>
      </c>
      <c r="C673" s="90" t="str">
        <f t="shared" si="10"/>
        <v>KipnukHealth Care - Hospitals</v>
      </c>
      <c r="D673" s="90">
        <v>2</v>
      </c>
      <c r="E673" s="90">
        <v>6084</v>
      </c>
      <c r="F673" s="90">
        <v>2948.6415795674884</v>
      </c>
      <c r="G673" s="90">
        <v>0</v>
      </c>
      <c r="H673" s="90">
        <v>55391.600719772672</v>
      </c>
      <c r="I673" s="90">
        <v>0</v>
      </c>
      <c r="J673" s="90">
        <v>0</v>
      </c>
      <c r="K673" s="90">
        <v>0</v>
      </c>
      <c r="L673" s="90">
        <v>2181.9947688799411</v>
      </c>
      <c r="M673" s="90">
        <v>0</v>
      </c>
      <c r="N673" s="90">
        <v>40989.784532631777</v>
      </c>
      <c r="O673" s="90">
        <v>0</v>
      </c>
      <c r="P673" s="90">
        <v>0</v>
      </c>
      <c r="Q673" s="90">
        <v>0</v>
      </c>
      <c r="R673" s="90">
        <v>42588</v>
      </c>
    </row>
    <row r="674" spans="1:18">
      <c r="A674" s="90" t="s">
        <v>257</v>
      </c>
      <c r="B674" s="90" t="s">
        <v>665</v>
      </c>
      <c r="C674" s="90" t="str">
        <f t="shared" si="10"/>
        <v>KipnukOffice</v>
      </c>
      <c r="D674" s="90">
        <v>6</v>
      </c>
      <c r="E674" s="90">
        <v>21540.676258992804</v>
      </c>
      <c r="F674" s="90">
        <v>17931.548295412107</v>
      </c>
      <c r="G674" s="90">
        <v>0</v>
      </c>
      <c r="H674" s="90">
        <v>215797.17115509365</v>
      </c>
      <c r="I674" s="90">
        <v>0</v>
      </c>
      <c r="J674" s="90">
        <v>0</v>
      </c>
      <c r="K674" s="90">
        <v>0</v>
      </c>
      <c r="L674" s="90">
        <v>13269.345738604958</v>
      </c>
      <c r="M674" s="90">
        <v>0</v>
      </c>
      <c r="N674" s="90">
        <v>159689.90665476932</v>
      </c>
      <c r="O674" s="90">
        <v>0</v>
      </c>
      <c r="P674" s="90">
        <v>0</v>
      </c>
      <c r="Q674" s="90">
        <v>0</v>
      </c>
      <c r="R674" s="90">
        <v>150784.73381294962</v>
      </c>
    </row>
    <row r="675" spans="1:18">
      <c r="A675" s="90" t="s">
        <v>257</v>
      </c>
      <c r="B675" s="90" t="s">
        <v>643</v>
      </c>
      <c r="C675" s="90" t="str">
        <f t="shared" si="10"/>
        <v>KipnukOther</v>
      </c>
      <c r="D675" s="90">
        <v>10</v>
      </c>
      <c r="E675" s="90">
        <v>44886.908396946557</v>
      </c>
      <c r="F675" s="90">
        <v>47706.469705090778</v>
      </c>
      <c r="G675" s="90">
        <v>0</v>
      </c>
      <c r="H675" s="90">
        <v>333197.46265701257</v>
      </c>
      <c r="I675" s="90">
        <v>0</v>
      </c>
      <c r="J675" s="90">
        <v>0</v>
      </c>
      <c r="K675" s="90">
        <v>0</v>
      </c>
      <c r="L675" s="90">
        <v>35302.787581767159</v>
      </c>
      <c r="M675" s="90">
        <v>0</v>
      </c>
      <c r="N675" s="90">
        <v>246566.12236618935</v>
      </c>
      <c r="O675" s="90">
        <v>0</v>
      </c>
      <c r="P675" s="90">
        <v>0</v>
      </c>
      <c r="Q675" s="90">
        <v>0</v>
      </c>
      <c r="R675" s="90">
        <v>314208.3587786259</v>
      </c>
    </row>
    <row r="676" spans="1:18">
      <c r="A676" s="90" t="s">
        <v>257</v>
      </c>
      <c r="B676" s="90" t="s">
        <v>1227</v>
      </c>
      <c r="C676" s="90" t="str">
        <f t="shared" si="10"/>
        <v>KipnukPublic Assembly</v>
      </c>
      <c r="D676" s="90">
        <v>2</v>
      </c>
      <c r="E676" s="90">
        <v>6853.1280898876403</v>
      </c>
      <c r="F676" s="90">
        <v>4739.6946162247868</v>
      </c>
      <c r="G676" s="90">
        <v>0</v>
      </c>
      <c r="H676" s="90">
        <v>31776.759306674339</v>
      </c>
      <c r="I676" s="90">
        <v>0</v>
      </c>
      <c r="J676" s="90">
        <v>0</v>
      </c>
      <c r="K676" s="90">
        <v>0</v>
      </c>
      <c r="L676" s="90">
        <v>3507.3740160063421</v>
      </c>
      <c r="M676" s="90">
        <v>0</v>
      </c>
      <c r="N676" s="90">
        <v>23514.801886939011</v>
      </c>
      <c r="O676" s="90">
        <v>0</v>
      </c>
      <c r="P676" s="90">
        <v>0</v>
      </c>
      <c r="Q676" s="90">
        <v>0</v>
      </c>
      <c r="R676" s="90">
        <v>47971.896629213479</v>
      </c>
    </row>
    <row r="677" spans="1:18">
      <c r="A677" s="90" t="s">
        <v>257</v>
      </c>
      <c r="B677" s="90" t="s">
        <v>1475</v>
      </c>
      <c r="C677" s="90" t="str">
        <f t="shared" si="10"/>
        <v>KipnukPublic Safety</v>
      </c>
      <c r="D677" s="90">
        <v>2</v>
      </c>
      <c r="E677" s="90">
        <v>3594.4089393939394</v>
      </c>
      <c r="F677" s="90">
        <v>2544.3468125088739</v>
      </c>
      <c r="G677" s="90">
        <v>0</v>
      </c>
      <c r="H677" s="90">
        <v>44434.792908055359</v>
      </c>
      <c r="I677" s="90">
        <v>0</v>
      </c>
      <c r="J677" s="90">
        <v>0</v>
      </c>
      <c r="K677" s="90">
        <v>0</v>
      </c>
      <c r="L677" s="90">
        <v>1882.8166412565663</v>
      </c>
      <c r="M677" s="90">
        <v>0</v>
      </c>
      <c r="N677" s="90">
        <v>32881.746751960964</v>
      </c>
      <c r="O677" s="90">
        <v>0</v>
      </c>
      <c r="P677" s="90">
        <v>0</v>
      </c>
      <c r="Q677" s="90">
        <v>0</v>
      </c>
      <c r="R677" s="90">
        <v>25160.862575757576</v>
      </c>
    </row>
    <row r="678" spans="1:18">
      <c r="A678" s="90" t="s">
        <v>257</v>
      </c>
      <c r="B678" s="90" t="s">
        <v>1485</v>
      </c>
      <c r="C678" s="90" t="str">
        <f t="shared" si="10"/>
        <v>KipnukRetail - Other</v>
      </c>
      <c r="D678" s="90">
        <v>3</v>
      </c>
      <c r="E678" s="90">
        <v>13752.731707317073</v>
      </c>
      <c r="F678" s="90">
        <v>21050.703151032118</v>
      </c>
      <c r="G678" s="90">
        <v>0</v>
      </c>
      <c r="H678" s="90">
        <v>335541.61340632231</v>
      </c>
      <c r="I678" s="90">
        <v>0</v>
      </c>
      <c r="J678" s="90">
        <v>0</v>
      </c>
      <c r="K678" s="90">
        <v>0</v>
      </c>
      <c r="L678" s="90">
        <v>15577.520331763766</v>
      </c>
      <c r="M678" s="90">
        <v>0</v>
      </c>
      <c r="N678" s="90">
        <v>248300.79392067849</v>
      </c>
      <c r="O678" s="90">
        <v>0</v>
      </c>
      <c r="P678" s="90">
        <v>0</v>
      </c>
      <c r="Q678" s="90">
        <v>0</v>
      </c>
      <c r="R678" s="90">
        <v>96269.121951219509</v>
      </c>
    </row>
    <row r="679" spans="1:18">
      <c r="A679" s="90" t="s">
        <v>257</v>
      </c>
      <c r="B679" s="90" t="s">
        <v>951</v>
      </c>
      <c r="C679" s="90" t="str">
        <f t="shared" si="10"/>
        <v>KipnukWarehousing</v>
      </c>
      <c r="D679" s="90">
        <v>3</v>
      </c>
      <c r="E679" s="90">
        <v>7213.1323529411766</v>
      </c>
      <c r="F679" s="90">
        <v>12589.032823666188</v>
      </c>
      <c r="G679" s="90">
        <v>0</v>
      </c>
      <c r="H679" s="90">
        <v>330496.47015259869</v>
      </c>
      <c r="I679" s="90">
        <v>0</v>
      </c>
      <c r="J679" s="90">
        <v>0</v>
      </c>
      <c r="K679" s="90">
        <v>0</v>
      </c>
      <c r="L679" s="90">
        <v>9315.8842895129783</v>
      </c>
      <c r="M679" s="90">
        <v>0</v>
      </c>
      <c r="N679" s="90">
        <v>244567.38791292303</v>
      </c>
      <c r="O679" s="90">
        <v>0</v>
      </c>
      <c r="P679" s="90">
        <v>0</v>
      </c>
      <c r="Q679" s="90">
        <v>0</v>
      </c>
      <c r="R679" s="90">
        <v>50491.926470588238</v>
      </c>
    </row>
    <row r="680" spans="1:18">
      <c r="A680" s="90" t="s">
        <v>84</v>
      </c>
      <c r="B680" s="90" t="s">
        <v>1439</v>
      </c>
      <c r="C680" s="90" t="str">
        <f t="shared" si="10"/>
        <v>KivalinaEducation - K - 12</v>
      </c>
      <c r="D680" s="90">
        <v>1</v>
      </c>
      <c r="E680" s="90">
        <v>14400</v>
      </c>
      <c r="F680" s="90">
        <v>55000</v>
      </c>
      <c r="G680" s="90">
        <v>0</v>
      </c>
      <c r="H680" s="90">
        <v>345335</v>
      </c>
      <c r="I680" s="90">
        <v>0</v>
      </c>
      <c r="J680" s="90">
        <v>0</v>
      </c>
      <c r="K680" s="90">
        <v>0</v>
      </c>
      <c r="L680" s="90">
        <v>40700</v>
      </c>
      <c r="M680" s="90">
        <v>0</v>
      </c>
      <c r="N680" s="90">
        <v>255547.9</v>
      </c>
      <c r="O680" s="90">
        <v>0</v>
      </c>
      <c r="P680" s="90">
        <v>0</v>
      </c>
      <c r="Q680" s="90">
        <v>0</v>
      </c>
      <c r="R680" s="90">
        <v>100800</v>
      </c>
    </row>
    <row r="681" spans="1:18">
      <c r="A681" s="90" t="s">
        <v>84</v>
      </c>
      <c r="B681" s="90" t="s">
        <v>1440</v>
      </c>
      <c r="C681" s="90" t="str">
        <f t="shared" si="10"/>
        <v>KivalinaHealth Care - Hospitals</v>
      </c>
      <c r="D681" s="90">
        <v>1</v>
      </c>
      <c r="E681" s="90">
        <v>14500</v>
      </c>
      <c r="F681" s="90">
        <v>9165.0946574151803</v>
      </c>
      <c r="G681" s="90">
        <v>0</v>
      </c>
      <c r="H681" s="90">
        <v>127829.2845114699</v>
      </c>
      <c r="I681" s="90">
        <v>0</v>
      </c>
      <c r="J681" s="90">
        <v>0</v>
      </c>
      <c r="K681" s="90">
        <v>0</v>
      </c>
      <c r="L681" s="90">
        <v>6782.1700464872338</v>
      </c>
      <c r="M681" s="90">
        <v>0</v>
      </c>
      <c r="N681" s="90">
        <v>94593.670538487728</v>
      </c>
      <c r="O681" s="90">
        <v>0</v>
      </c>
      <c r="P681" s="90">
        <v>0</v>
      </c>
      <c r="Q681" s="90">
        <v>0</v>
      </c>
      <c r="R681" s="90">
        <v>101500</v>
      </c>
    </row>
    <row r="682" spans="1:18">
      <c r="A682" s="90" t="s">
        <v>84</v>
      </c>
      <c r="B682" s="90" t="s">
        <v>665</v>
      </c>
      <c r="C682" s="90" t="str">
        <f t="shared" si="10"/>
        <v>KivalinaOffice</v>
      </c>
      <c r="D682" s="90">
        <v>2</v>
      </c>
      <c r="E682" s="90">
        <v>4005.1690647482014</v>
      </c>
      <c r="F682" s="90">
        <v>5041.7606412594769</v>
      </c>
      <c r="G682" s="90">
        <v>0</v>
      </c>
      <c r="H682" s="90">
        <v>27169.463605147095</v>
      </c>
      <c r="I682" s="90">
        <v>0</v>
      </c>
      <c r="J682" s="90">
        <v>0</v>
      </c>
      <c r="K682" s="90">
        <v>0</v>
      </c>
      <c r="L682" s="90">
        <v>3730.9028745320129</v>
      </c>
      <c r="M682" s="90">
        <v>0</v>
      </c>
      <c r="N682" s="90">
        <v>20105.403067808853</v>
      </c>
      <c r="O682" s="90">
        <v>0</v>
      </c>
      <c r="P682" s="90">
        <v>0</v>
      </c>
      <c r="Q682" s="90">
        <v>0</v>
      </c>
      <c r="R682" s="90">
        <v>28036.183453237409</v>
      </c>
    </row>
    <row r="683" spans="1:18">
      <c r="A683" s="90" t="s">
        <v>84</v>
      </c>
      <c r="B683" s="90" t="s">
        <v>643</v>
      </c>
      <c r="C683" s="90" t="str">
        <f t="shared" si="10"/>
        <v>KivalinaOther</v>
      </c>
      <c r="D683" s="90">
        <v>6</v>
      </c>
      <c r="E683" s="90">
        <v>12033.381679389313</v>
      </c>
      <c r="F683" s="90">
        <v>11530.7796341298</v>
      </c>
      <c r="G683" s="90">
        <v>0</v>
      </c>
      <c r="H683" s="90">
        <v>77492.253335700138</v>
      </c>
      <c r="I683" s="90">
        <v>0</v>
      </c>
      <c r="J683" s="90">
        <v>0</v>
      </c>
      <c r="K683" s="90">
        <v>0</v>
      </c>
      <c r="L683" s="90">
        <v>8532.7769292560533</v>
      </c>
      <c r="M683" s="90">
        <v>0</v>
      </c>
      <c r="N683" s="90">
        <v>57344.267468418097</v>
      </c>
      <c r="O683" s="90">
        <v>0</v>
      </c>
      <c r="P683" s="90">
        <v>0</v>
      </c>
      <c r="Q683" s="90">
        <v>0</v>
      </c>
      <c r="R683" s="90">
        <v>84233.671755725198</v>
      </c>
    </row>
    <row r="684" spans="1:18">
      <c r="A684" s="90" t="s">
        <v>84</v>
      </c>
      <c r="B684" s="90" t="s">
        <v>1227</v>
      </c>
      <c r="C684" s="90" t="str">
        <f t="shared" si="10"/>
        <v>KivalinaPublic Assembly</v>
      </c>
      <c r="D684" s="90">
        <v>2</v>
      </c>
      <c r="E684" s="90">
        <v>6853.1280898876403</v>
      </c>
      <c r="F684" s="90">
        <v>4739.6946162247868</v>
      </c>
      <c r="G684" s="90">
        <v>0</v>
      </c>
      <c r="H684" s="90">
        <v>31776.759306674339</v>
      </c>
      <c r="I684" s="90">
        <v>0</v>
      </c>
      <c r="J684" s="90">
        <v>0</v>
      </c>
      <c r="K684" s="90">
        <v>0</v>
      </c>
      <c r="L684" s="90">
        <v>3507.3740160063421</v>
      </c>
      <c r="M684" s="90">
        <v>0</v>
      </c>
      <c r="N684" s="90">
        <v>23514.801886939011</v>
      </c>
      <c r="O684" s="90">
        <v>0</v>
      </c>
      <c r="P684" s="90">
        <v>0</v>
      </c>
      <c r="Q684" s="90">
        <v>0</v>
      </c>
      <c r="R684" s="90">
        <v>47971.896629213479</v>
      </c>
    </row>
    <row r="685" spans="1:18">
      <c r="A685" s="90" t="s">
        <v>84</v>
      </c>
      <c r="B685" s="90" t="s">
        <v>1475</v>
      </c>
      <c r="C685" s="90" t="str">
        <f t="shared" si="10"/>
        <v>KivalinaPublic Safety</v>
      </c>
      <c r="D685" s="90">
        <v>1</v>
      </c>
      <c r="E685" s="90">
        <v>2697.4089393939394</v>
      </c>
      <c r="F685" s="90">
        <v>1909.3942711307411</v>
      </c>
      <c r="G685" s="90">
        <v>0</v>
      </c>
      <c r="H685" s="90">
        <v>22307.792908055355</v>
      </c>
      <c r="I685" s="90">
        <v>0</v>
      </c>
      <c r="J685" s="90">
        <v>0</v>
      </c>
      <c r="K685" s="90">
        <v>0</v>
      </c>
      <c r="L685" s="90">
        <v>1412.9517606367483</v>
      </c>
      <c r="M685" s="90">
        <v>0</v>
      </c>
      <c r="N685" s="90">
        <v>16507.766751960964</v>
      </c>
      <c r="O685" s="90">
        <v>0</v>
      </c>
      <c r="P685" s="90">
        <v>0</v>
      </c>
      <c r="Q685" s="90">
        <v>0</v>
      </c>
      <c r="R685" s="90">
        <v>18881.862575757576</v>
      </c>
    </row>
    <row r="686" spans="1:18">
      <c r="A686" s="90" t="s">
        <v>84</v>
      </c>
      <c r="B686" s="90" t="s">
        <v>1485</v>
      </c>
      <c r="C686" s="90" t="str">
        <f t="shared" si="10"/>
        <v>KivalinaRetail - Other</v>
      </c>
      <c r="D686" s="90">
        <v>1</v>
      </c>
      <c r="E686" s="90">
        <v>6276.3658536585363</v>
      </c>
      <c r="F686" s="90">
        <v>10425.351575516059</v>
      </c>
      <c r="G686" s="90">
        <v>0</v>
      </c>
      <c r="H686" s="90">
        <v>153131.89915167599</v>
      </c>
      <c r="I686" s="90">
        <v>0</v>
      </c>
      <c r="J686" s="90">
        <v>0</v>
      </c>
      <c r="K686" s="90">
        <v>0</v>
      </c>
      <c r="L686" s="90">
        <v>7714.760165881883</v>
      </c>
      <c r="M686" s="90">
        <v>0</v>
      </c>
      <c r="N686" s="90">
        <v>113317.60537224023</v>
      </c>
      <c r="O686" s="90">
        <v>0</v>
      </c>
      <c r="P686" s="90">
        <v>0</v>
      </c>
      <c r="Q686" s="90">
        <v>0</v>
      </c>
      <c r="R686" s="90">
        <v>43934.560975609755</v>
      </c>
    </row>
    <row r="687" spans="1:18">
      <c r="A687" s="90" t="s">
        <v>84</v>
      </c>
      <c r="B687" s="90" t="s">
        <v>951</v>
      </c>
      <c r="C687" s="90" t="str">
        <f t="shared" si="10"/>
        <v>KivalinaWarehousing</v>
      </c>
      <c r="D687" s="90">
        <v>1</v>
      </c>
      <c r="E687" s="90">
        <v>1200</v>
      </c>
      <c r="F687" s="90">
        <v>2094.3521689629838</v>
      </c>
      <c r="G687" s="90">
        <v>0</v>
      </c>
      <c r="H687" s="90">
        <v>54982.460431549589</v>
      </c>
      <c r="I687" s="90">
        <v>0</v>
      </c>
      <c r="J687" s="90">
        <v>0</v>
      </c>
      <c r="K687" s="90">
        <v>0</v>
      </c>
      <c r="L687" s="90">
        <v>1549.820605032608</v>
      </c>
      <c r="M687" s="90">
        <v>0</v>
      </c>
      <c r="N687" s="90">
        <v>40687.020719346692</v>
      </c>
      <c r="O687" s="90">
        <v>0</v>
      </c>
      <c r="P687" s="90">
        <v>0</v>
      </c>
      <c r="Q687" s="90">
        <v>0</v>
      </c>
      <c r="R687" s="90">
        <v>8400</v>
      </c>
    </row>
    <row r="688" spans="1:18">
      <c r="A688" s="90" t="s">
        <v>62</v>
      </c>
      <c r="B688" s="90" t="s">
        <v>1439</v>
      </c>
      <c r="C688" s="90" t="str">
        <f t="shared" si="10"/>
        <v>KlawockEducation - K - 12</v>
      </c>
      <c r="D688" s="90">
        <v>1</v>
      </c>
      <c r="E688" s="90">
        <v>48850</v>
      </c>
      <c r="F688" s="90">
        <v>35886.729245095739</v>
      </c>
      <c r="G688" s="90">
        <v>0</v>
      </c>
      <c r="H688" s="90">
        <v>345893.26081815962</v>
      </c>
      <c r="I688" s="90">
        <v>0</v>
      </c>
      <c r="J688" s="90">
        <v>0</v>
      </c>
      <c r="K688" s="90">
        <v>0</v>
      </c>
      <c r="L688" s="90">
        <v>26556.179641370847</v>
      </c>
      <c r="M688" s="90">
        <v>0</v>
      </c>
      <c r="N688" s="90">
        <v>255961.01300543812</v>
      </c>
      <c r="O688" s="90">
        <v>0</v>
      </c>
      <c r="P688" s="90">
        <v>0</v>
      </c>
      <c r="Q688" s="90">
        <v>0</v>
      </c>
      <c r="R688" s="90">
        <v>341950</v>
      </c>
    </row>
    <row r="689" spans="1:18">
      <c r="A689" s="90" t="s">
        <v>62</v>
      </c>
      <c r="B689" s="90" t="s">
        <v>1440</v>
      </c>
      <c r="C689" s="90" t="str">
        <f t="shared" si="10"/>
        <v>KlawockHealth Care - Hospitals</v>
      </c>
      <c r="D689" s="90">
        <v>1</v>
      </c>
      <c r="E689" s="90">
        <v>3905.5925000000002</v>
      </c>
      <c r="F689" s="90">
        <v>2468.6293072959174</v>
      </c>
      <c r="G689" s="90">
        <v>0</v>
      </c>
      <c r="H689" s="90">
        <v>34430.972059887106</v>
      </c>
      <c r="I689" s="90">
        <v>0</v>
      </c>
      <c r="J689" s="90">
        <v>0</v>
      </c>
      <c r="K689" s="90">
        <v>0</v>
      </c>
      <c r="L689" s="90">
        <v>1826.7856873989788</v>
      </c>
      <c r="M689" s="90">
        <v>0</v>
      </c>
      <c r="N689" s="90">
        <v>25478.919324316459</v>
      </c>
      <c r="O689" s="90">
        <v>0</v>
      </c>
      <c r="P689" s="90">
        <v>0</v>
      </c>
      <c r="Q689" s="90">
        <v>0</v>
      </c>
      <c r="R689" s="90">
        <v>27339.147500000003</v>
      </c>
    </row>
    <row r="690" spans="1:18">
      <c r="A690" s="90" t="s">
        <v>62</v>
      </c>
      <c r="B690" s="90" t="s">
        <v>665</v>
      </c>
      <c r="C690" s="90" t="str">
        <f t="shared" si="10"/>
        <v>KlawockOffice</v>
      </c>
      <c r="D690" s="90">
        <v>2</v>
      </c>
      <c r="E690" s="90">
        <v>6200</v>
      </c>
      <c r="F690" s="90">
        <v>5161.1935528320028</v>
      </c>
      <c r="G690" s="90">
        <v>0</v>
      </c>
      <c r="H690" s="90">
        <v>35176.681876966344</v>
      </c>
      <c r="I690" s="90">
        <v>0</v>
      </c>
      <c r="J690" s="90">
        <v>0</v>
      </c>
      <c r="K690" s="90">
        <v>0</v>
      </c>
      <c r="L690" s="90">
        <v>3819.2832290956821</v>
      </c>
      <c r="M690" s="90">
        <v>0</v>
      </c>
      <c r="N690" s="90">
        <v>26030.744588955095</v>
      </c>
      <c r="O690" s="90">
        <v>0</v>
      </c>
      <c r="P690" s="90">
        <v>0</v>
      </c>
      <c r="Q690" s="90">
        <v>0</v>
      </c>
      <c r="R690" s="90">
        <v>43400</v>
      </c>
    </row>
    <row r="691" spans="1:18">
      <c r="A691" s="90" t="s">
        <v>62</v>
      </c>
      <c r="B691" s="90" t="s">
        <v>643</v>
      </c>
      <c r="C691" s="90" t="str">
        <f t="shared" si="10"/>
        <v>KlawockOther</v>
      </c>
      <c r="D691" s="90">
        <v>3</v>
      </c>
      <c r="E691" s="90">
        <v>13777.381679389313</v>
      </c>
      <c r="F691" s="90">
        <v>12191.053065105745</v>
      </c>
      <c r="G691" s="90">
        <v>0</v>
      </c>
      <c r="H691" s="90">
        <v>102270.10016002806</v>
      </c>
      <c r="I691" s="90">
        <v>0</v>
      </c>
      <c r="J691" s="90">
        <v>0</v>
      </c>
      <c r="K691" s="90">
        <v>0</v>
      </c>
      <c r="L691" s="90">
        <v>9021.3792681782506</v>
      </c>
      <c r="M691" s="90">
        <v>0</v>
      </c>
      <c r="N691" s="90">
        <v>75679.874118420761</v>
      </c>
      <c r="O691" s="90">
        <v>0</v>
      </c>
      <c r="P691" s="90">
        <v>0</v>
      </c>
      <c r="Q691" s="90">
        <v>0</v>
      </c>
      <c r="R691" s="90">
        <v>96441.671755725198</v>
      </c>
    </row>
    <row r="692" spans="1:18">
      <c r="A692" s="90" t="s">
        <v>62</v>
      </c>
      <c r="B692" s="90" t="s">
        <v>1227</v>
      </c>
      <c r="C692" s="90" t="str">
        <f t="shared" si="10"/>
        <v>KlawockPublic Assembly</v>
      </c>
      <c r="D692" s="90">
        <v>2</v>
      </c>
      <c r="E692" s="90">
        <v>6853.1280898876403</v>
      </c>
      <c r="F692" s="90">
        <v>4739.6946162247868</v>
      </c>
      <c r="G692" s="90">
        <v>0</v>
      </c>
      <c r="H692" s="90">
        <v>31776.759306674339</v>
      </c>
      <c r="I692" s="90">
        <v>0</v>
      </c>
      <c r="J692" s="90">
        <v>0</v>
      </c>
      <c r="K692" s="90">
        <v>0</v>
      </c>
      <c r="L692" s="90">
        <v>3507.3740160063421</v>
      </c>
      <c r="M692" s="90">
        <v>0</v>
      </c>
      <c r="N692" s="90">
        <v>23514.801886939011</v>
      </c>
      <c r="O692" s="90">
        <v>0</v>
      </c>
      <c r="P692" s="90">
        <v>0</v>
      </c>
      <c r="Q692" s="90">
        <v>0</v>
      </c>
      <c r="R692" s="90">
        <v>47971.896629213479</v>
      </c>
    </row>
    <row r="693" spans="1:18">
      <c r="A693" s="90" t="s">
        <v>62</v>
      </c>
      <c r="B693" s="90" t="s">
        <v>1475</v>
      </c>
      <c r="C693" s="90" t="str">
        <f t="shared" si="10"/>
        <v>KlawockPublic Safety</v>
      </c>
      <c r="D693" s="90">
        <v>4</v>
      </c>
      <c r="E693" s="90">
        <v>12697.408939393939</v>
      </c>
      <c r="F693" s="90">
        <v>11078.623649700474</v>
      </c>
      <c r="G693" s="90">
        <v>0</v>
      </c>
      <c r="H693" s="90">
        <v>105008.61213596052</v>
      </c>
      <c r="I693" s="90">
        <v>0</v>
      </c>
      <c r="J693" s="90">
        <v>0</v>
      </c>
      <c r="K693" s="90">
        <v>0</v>
      </c>
      <c r="L693" s="90">
        <v>8198.1815007783516</v>
      </c>
      <c r="M693" s="90">
        <v>0</v>
      </c>
      <c r="N693" s="90">
        <v>77706.372980610773</v>
      </c>
      <c r="O693" s="90">
        <v>0</v>
      </c>
      <c r="P693" s="90">
        <v>0</v>
      </c>
      <c r="Q693" s="90">
        <v>0</v>
      </c>
      <c r="R693" s="90">
        <v>88881.862575757579</v>
      </c>
    </row>
    <row r="694" spans="1:18">
      <c r="A694" s="90" t="s">
        <v>62</v>
      </c>
      <c r="B694" s="90" t="s">
        <v>951</v>
      </c>
      <c r="C694" s="90" t="str">
        <f t="shared" si="10"/>
        <v>KlawockWarehousing</v>
      </c>
      <c r="D694" s="90">
        <v>1</v>
      </c>
      <c r="E694" s="90">
        <v>572</v>
      </c>
      <c r="F694" s="90">
        <v>7656.4335766423355</v>
      </c>
      <c r="G694" s="90">
        <v>0</v>
      </c>
      <c r="H694" s="90">
        <v>261605.35442699998</v>
      </c>
      <c r="I694" s="90">
        <v>0</v>
      </c>
      <c r="J694" s="90">
        <v>0</v>
      </c>
      <c r="K694" s="90">
        <v>0</v>
      </c>
      <c r="L694" s="90">
        <v>5665.7608467153286</v>
      </c>
      <c r="M694" s="90">
        <v>0</v>
      </c>
      <c r="N694" s="90">
        <v>193587.96227597998</v>
      </c>
      <c r="O694" s="90">
        <v>0</v>
      </c>
      <c r="P694" s="90">
        <v>0</v>
      </c>
      <c r="Q694" s="90">
        <v>0</v>
      </c>
      <c r="R694" s="90">
        <v>4004</v>
      </c>
    </row>
    <row r="695" spans="1:18">
      <c r="A695" s="90" t="s">
        <v>159</v>
      </c>
      <c r="B695" s="90" t="s">
        <v>1439</v>
      </c>
      <c r="C695" s="90" t="str">
        <f t="shared" si="10"/>
        <v>KlukwanEducation - K - 12</v>
      </c>
      <c r="D695" s="90">
        <v>4</v>
      </c>
      <c r="E695" s="90">
        <v>44036.831111111111</v>
      </c>
      <c r="F695" s="90">
        <v>36651.762297317684</v>
      </c>
      <c r="G695" s="90">
        <v>0</v>
      </c>
      <c r="H695" s="90">
        <v>286169.55387165921</v>
      </c>
      <c r="I695" s="90">
        <v>0</v>
      </c>
      <c r="J695" s="90">
        <v>0</v>
      </c>
      <c r="K695" s="90">
        <v>0</v>
      </c>
      <c r="L695" s="90">
        <v>27122.304100015084</v>
      </c>
      <c r="M695" s="90">
        <v>0</v>
      </c>
      <c r="N695" s="90">
        <v>211765.46986502782</v>
      </c>
      <c r="O695" s="90">
        <v>0</v>
      </c>
      <c r="P695" s="90">
        <v>0</v>
      </c>
      <c r="Q695" s="90">
        <v>0</v>
      </c>
      <c r="R695" s="90">
        <v>308257.81777777779</v>
      </c>
    </row>
    <row r="696" spans="1:18">
      <c r="A696" s="90" t="s">
        <v>159</v>
      </c>
      <c r="B696" s="90" t="s">
        <v>1440</v>
      </c>
      <c r="C696" s="90" t="str">
        <f t="shared" si="10"/>
        <v>KlukwanHealth Care - Hospitals</v>
      </c>
      <c r="D696" s="90">
        <v>2</v>
      </c>
      <c r="E696" s="90">
        <v>4656.9250000000002</v>
      </c>
      <c r="F696" s="90">
        <v>1955.7844308921353</v>
      </c>
      <c r="G696" s="90">
        <v>0</v>
      </c>
      <c r="H696" s="90">
        <v>31045.023201803702</v>
      </c>
      <c r="I696" s="90">
        <v>0</v>
      </c>
      <c r="J696" s="90">
        <v>0</v>
      </c>
      <c r="K696" s="90">
        <v>0</v>
      </c>
      <c r="L696" s="90">
        <v>1447.2804788601802</v>
      </c>
      <c r="M696" s="90">
        <v>0</v>
      </c>
      <c r="N696" s="90">
        <v>22973.317169334739</v>
      </c>
      <c r="O696" s="90">
        <v>0</v>
      </c>
      <c r="P696" s="90">
        <v>0</v>
      </c>
      <c r="Q696" s="90">
        <v>0</v>
      </c>
      <c r="R696" s="90">
        <v>32598.475000000002</v>
      </c>
    </row>
    <row r="697" spans="1:18">
      <c r="A697" s="90" t="s">
        <v>159</v>
      </c>
      <c r="B697" s="90" t="s">
        <v>665</v>
      </c>
      <c r="C697" s="90" t="str">
        <f t="shared" si="10"/>
        <v>KlukwanOffice</v>
      </c>
      <c r="D697" s="90">
        <v>2</v>
      </c>
      <c r="E697" s="90">
        <v>4066.517006802721</v>
      </c>
      <c r="F697" s="90">
        <v>5411.1649445925304</v>
      </c>
      <c r="G697" s="90">
        <v>0</v>
      </c>
      <c r="H697" s="90">
        <v>32597.323289905435</v>
      </c>
      <c r="I697" s="90">
        <v>0</v>
      </c>
      <c r="J697" s="90">
        <v>0</v>
      </c>
      <c r="K697" s="90">
        <v>0</v>
      </c>
      <c r="L697" s="90">
        <v>4004.2620589984726</v>
      </c>
      <c r="M697" s="90">
        <v>0</v>
      </c>
      <c r="N697" s="90">
        <v>24122.01923453002</v>
      </c>
      <c r="O697" s="90">
        <v>0</v>
      </c>
      <c r="P697" s="90">
        <v>0</v>
      </c>
      <c r="Q697" s="90">
        <v>0</v>
      </c>
      <c r="R697" s="90">
        <v>28465.619047619046</v>
      </c>
    </row>
    <row r="698" spans="1:18">
      <c r="A698" s="90" t="s">
        <v>159</v>
      </c>
      <c r="B698" s="90" t="s">
        <v>643</v>
      </c>
      <c r="C698" s="90" t="str">
        <f t="shared" si="10"/>
        <v>KlukwanOther</v>
      </c>
      <c r="D698" s="90">
        <v>3</v>
      </c>
      <c r="E698" s="90">
        <v>6491.761363636364</v>
      </c>
      <c r="F698" s="90">
        <v>5614.538390318271</v>
      </c>
      <c r="G698" s="90">
        <v>0</v>
      </c>
      <c r="H698" s="90">
        <v>47246.959459393765</v>
      </c>
      <c r="I698" s="90">
        <v>0</v>
      </c>
      <c r="J698" s="90">
        <v>0</v>
      </c>
      <c r="K698" s="90">
        <v>0</v>
      </c>
      <c r="L698" s="90">
        <v>4154.7584088355206</v>
      </c>
      <c r="M698" s="90">
        <v>0</v>
      </c>
      <c r="N698" s="90">
        <v>34962.749999951382</v>
      </c>
      <c r="O698" s="90">
        <v>0</v>
      </c>
      <c r="P698" s="90">
        <v>0</v>
      </c>
      <c r="Q698" s="90">
        <v>0</v>
      </c>
      <c r="R698" s="90">
        <v>45442.329545454544</v>
      </c>
    </row>
    <row r="699" spans="1:18">
      <c r="A699" s="90" t="s">
        <v>159</v>
      </c>
      <c r="B699" s="90" t="s">
        <v>1227</v>
      </c>
      <c r="C699" s="90" t="str">
        <f t="shared" si="10"/>
        <v>KlukwanPublic Assembly</v>
      </c>
      <c r="D699" s="90">
        <v>3</v>
      </c>
      <c r="E699" s="90">
        <v>9410.163461538461</v>
      </c>
      <c r="F699" s="90">
        <v>5871.5428244987615</v>
      </c>
      <c r="G699" s="90">
        <v>0</v>
      </c>
      <c r="H699" s="90">
        <v>35398.546840187657</v>
      </c>
      <c r="I699" s="90">
        <v>0</v>
      </c>
      <c r="J699" s="90">
        <v>0</v>
      </c>
      <c r="K699" s="90">
        <v>0</v>
      </c>
      <c r="L699" s="90">
        <v>4344.9416901290833</v>
      </c>
      <c r="M699" s="90">
        <v>0</v>
      </c>
      <c r="N699" s="90">
        <v>26194.924661738864</v>
      </c>
      <c r="O699" s="90">
        <v>0</v>
      </c>
      <c r="P699" s="90">
        <v>0</v>
      </c>
      <c r="Q699" s="90">
        <v>0</v>
      </c>
      <c r="R699" s="90">
        <v>65871.144230769234</v>
      </c>
    </row>
    <row r="700" spans="1:18">
      <c r="A700" s="90" t="s">
        <v>159</v>
      </c>
      <c r="B700" s="90" t="s">
        <v>1475</v>
      </c>
      <c r="C700" s="90" t="str">
        <f t="shared" si="10"/>
        <v>KlukwanPublic Safety</v>
      </c>
      <c r="D700" s="90">
        <v>1</v>
      </c>
      <c r="E700" s="90">
        <v>2595.4749999999999</v>
      </c>
      <c r="F700" s="90">
        <v>2523.774623927618</v>
      </c>
      <c r="G700" s="90">
        <v>0</v>
      </c>
      <c r="H700" s="90">
        <v>20946.642306328533</v>
      </c>
      <c r="I700" s="90">
        <v>0</v>
      </c>
      <c r="J700" s="90">
        <v>0</v>
      </c>
      <c r="K700" s="90">
        <v>0</v>
      </c>
      <c r="L700" s="90">
        <v>1867.5932217064374</v>
      </c>
      <c r="M700" s="90">
        <v>0</v>
      </c>
      <c r="N700" s="90">
        <v>15500.515306683114</v>
      </c>
      <c r="O700" s="90">
        <v>0</v>
      </c>
      <c r="P700" s="90">
        <v>0</v>
      </c>
      <c r="Q700" s="90">
        <v>0</v>
      </c>
      <c r="R700" s="90">
        <v>18168.325000000001</v>
      </c>
    </row>
    <row r="701" spans="1:18">
      <c r="A701" s="90" t="s">
        <v>43</v>
      </c>
      <c r="B701" s="90" t="s">
        <v>1447</v>
      </c>
      <c r="C701" s="90" t="str">
        <f t="shared" si="10"/>
        <v>KobukAccomodation Services</v>
      </c>
      <c r="D701" s="90">
        <v>1</v>
      </c>
      <c r="E701" s="90">
        <v>4770.8148148148148</v>
      </c>
      <c r="F701" s="90">
        <v>2988.4980540000279</v>
      </c>
      <c r="G701" s="90">
        <v>0</v>
      </c>
      <c r="H701" s="90">
        <v>35003.910702682631</v>
      </c>
      <c r="I701" s="90">
        <v>0</v>
      </c>
      <c r="J701" s="90">
        <v>0</v>
      </c>
      <c r="K701" s="90">
        <v>0</v>
      </c>
      <c r="L701" s="90">
        <v>2211.4885599600207</v>
      </c>
      <c r="M701" s="90">
        <v>0</v>
      </c>
      <c r="N701" s="90">
        <v>25902.893919985148</v>
      </c>
      <c r="O701" s="90">
        <v>0</v>
      </c>
      <c r="P701" s="90">
        <v>0</v>
      </c>
      <c r="Q701" s="90">
        <v>0</v>
      </c>
      <c r="R701" s="90">
        <v>33395.703703703701</v>
      </c>
    </row>
    <row r="702" spans="1:18">
      <c r="A702" s="90" t="s">
        <v>43</v>
      </c>
      <c r="B702" s="90" t="s">
        <v>1439</v>
      </c>
      <c r="C702" s="90" t="str">
        <f t="shared" si="10"/>
        <v>KobukEducation - K - 12</v>
      </c>
      <c r="D702" s="90">
        <v>3</v>
      </c>
      <c r="E702" s="90">
        <v>7583</v>
      </c>
      <c r="F702" s="90">
        <v>13800.651679053768</v>
      </c>
      <c r="G702" s="90">
        <v>0</v>
      </c>
      <c r="H702" s="90">
        <v>103242.63104967246</v>
      </c>
      <c r="I702" s="90">
        <v>0</v>
      </c>
      <c r="J702" s="90">
        <v>0</v>
      </c>
      <c r="K702" s="90">
        <v>0</v>
      </c>
      <c r="L702" s="90">
        <v>10212.482242499789</v>
      </c>
      <c r="M702" s="90">
        <v>0</v>
      </c>
      <c r="N702" s="90">
        <v>76399.546976757614</v>
      </c>
      <c r="O702" s="90">
        <v>0</v>
      </c>
      <c r="P702" s="90">
        <v>0</v>
      </c>
      <c r="Q702" s="90">
        <v>0</v>
      </c>
      <c r="R702" s="90">
        <v>53081</v>
      </c>
    </row>
    <row r="703" spans="1:18">
      <c r="A703" s="90" t="s">
        <v>43</v>
      </c>
      <c r="B703" s="90" t="s">
        <v>1440</v>
      </c>
      <c r="C703" s="90" t="str">
        <f t="shared" si="10"/>
        <v>KobukHealth Care - Hospitals</v>
      </c>
      <c r="D703" s="90">
        <v>1</v>
      </c>
      <c r="E703" s="90">
        <v>5000</v>
      </c>
      <c r="F703" s="90">
        <v>4000</v>
      </c>
      <c r="G703" s="90">
        <v>0</v>
      </c>
      <c r="H703" s="90">
        <v>51600</v>
      </c>
      <c r="I703" s="90">
        <v>0</v>
      </c>
      <c r="J703" s="90">
        <v>0</v>
      </c>
      <c r="K703" s="90">
        <v>0</v>
      </c>
      <c r="L703" s="90">
        <v>2960</v>
      </c>
      <c r="M703" s="90">
        <v>0</v>
      </c>
      <c r="N703" s="90">
        <v>38184</v>
      </c>
      <c r="O703" s="90">
        <v>0</v>
      </c>
      <c r="P703" s="90">
        <v>0</v>
      </c>
      <c r="Q703" s="90">
        <v>0</v>
      </c>
      <c r="R703" s="90">
        <v>35000</v>
      </c>
    </row>
    <row r="704" spans="1:18">
      <c r="A704" s="90" t="s">
        <v>43</v>
      </c>
      <c r="B704" s="90" t="s">
        <v>665</v>
      </c>
      <c r="C704" s="90" t="str">
        <f t="shared" si="10"/>
        <v>KobukOffice</v>
      </c>
      <c r="D704" s="90">
        <v>2</v>
      </c>
      <c r="E704" s="90">
        <v>2953.2585034013605</v>
      </c>
      <c r="F704" s="90">
        <v>3105.5824722962652</v>
      </c>
      <c r="G704" s="90">
        <v>0</v>
      </c>
      <c r="H704" s="90">
        <v>68298.661644952721</v>
      </c>
      <c r="I704" s="90">
        <v>0</v>
      </c>
      <c r="J704" s="90">
        <v>0</v>
      </c>
      <c r="K704" s="90">
        <v>0</v>
      </c>
      <c r="L704" s="90">
        <v>2298.1310294992363</v>
      </c>
      <c r="M704" s="90">
        <v>0</v>
      </c>
      <c r="N704" s="90">
        <v>50541.009617265008</v>
      </c>
      <c r="O704" s="90">
        <v>0</v>
      </c>
      <c r="P704" s="90">
        <v>0</v>
      </c>
      <c r="Q704" s="90">
        <v>0</v>
      </c>
      <c r="R704" s="90">
        <v>20672.809523809523</v>
      </c>
    </row>
    <row r="705" spans="1:18">
      <c r="A705" s="90" t="s">
        <v>43</v>
      </c>
      <c r="B705" s="90" t="s">
        <v>643</v>
      </c>
      <c r="C705" s="90" t="str">
        <f t="shared" si="10"/>
        <v>KobukOther</v>
      </c>
      <c r="D705" s="90">
        <v>5</v>
      </c>
      <c r="E705" s="90">
        <v>3168</v>
      </c>
      <c r="F705" s="90">
        <v>1973.673382093963</v>
      </c>
      <c r="G705" s="90">
        <v>0</v>
      </c>
      <c r="H705" s="90">
        <v>14585.244412724111</v>
      </c>
      <c r="I705" s="90">
        <v>0</v>
      </c>
      <c r="J705" s="90">
        <v>0</v>
      </c>
      <c r="K705" s="90">
        <v>0</v>
      </c>
      <c r="L705" s="90">
        <v>1460.5183027495325</v>
      </c>
      <c r="M705" s="90">
        <v>0</v>
      </c>
      <c r="N705" s="90">
        <v>10793.080865415841</v>
      </c>
      <c r="O705" s="90">
        <v>0</v>
      </c>
      <c r="P705" s="90">
        <v>0</v>
      </c>
      <c r="Q705" s="90">
        <v>0</v>
      </c>
      <c r="R705" s="90">
        <v>22176</v>
      </c>
    </row>
    <row r="706" spans="1:18">
      <c r="A706" s="90" t="s">
        <v>43</v>
      </c>
      <c r="B706" s="90" t="s">
        <v>1485</v>
      </c>
      <c r="C706" s="90" t="str">
        <f t="shared" si="10"/>
        <v>KobukRetail - Other</v>
      </c>
      <c r="D706" s="90">
        <v>2</v>
      </c>
      <c r="E706" s="90">
        <v>1500</v>
      </c>
      <c r="F706" s="90">
        <v>1060</v>
      </c>
      <c r="G706" s="90">
        <v>0</v>
      </c>
      <c r="H706" s="90">
        <v>35332.858253536921</v>
      </c>
      <c r="I706" s="90">
        <v>0</v>
      </c>
      <c r="J706" s="90">
        <v>0</v>
      </c>
      <c r="K706" s="90">
        <v>0</v>
      </c>
      <c r="L706" s="90">
        <v>784.4</v>
      </c>
      <c r="M706" s="90">
        <v>0</v>
      </c>
      <c r="N706" s="90">
        <v>26146.315107617324</v>
      </c>
      <c r="O706" s="90">
        <v>0</v>
      </c>
      <c r="P706" s="90">
        <v>0</v>
      </c>
      <c r="Q706" s="90">
        <v>0</v>
      </c>
      <c r="R706" s="90">
        <v>10500</v>
      </c>
    </row>
    <row r="707" spans="1:18">
      <c r="A707" s="90" t="s">
        <v>549</v>
      </c>
      <c r="B707" s="90" t="s">
        <v>1439</v>
      </c>
      <c r="C707" s="90" t="str">
        <f t="shared" ref="C707:C770" si="11">CONCATENATE(A707,B707)</f>
        <v>KodiakEducation - K - 12</v>
      </c>
      <c r="D707" s="90">
        <v>9</v>
      </c>
      <c r="E707" s="90">
        <v>477199</v>
      </c>
      <c r="F707" s="90">
        <v>301587.45628856891</v>
      </c>
      <c r="G707" s="90">
        <v>0</v>
      </c>
      <c r="H707" s="90">
        <v>3501694.0315200449</v>
      </c>
      <c r="I707" s="90">
        <v>0</v>
      </c>
      <c r="J707" s="90">
        <v>0</v>
      </c>
      <c r="K707" s="90">
        <v>0</v>
      </c>
      <c r="L707" s="90">
        <v>223174.71765354104</v>
      </c>
      <c r="M707" s="90">
        <v>0</v>
      </c>
      <c r="N707" s="90">
        <v>2591253.5833248333</v>
      </c>
      <c r="O707" s="90">
        <v>0</v>
      </c>
      <c r="P707" s="90">
        <v>0</v>
      </c>
      <c r="Q707" s="90">
        <v>0</v>
      </c>
      <c r="R707" s="90">
        <v>3340393</v>
      </c>
    </row>
    <row r="708" spans="1:18">
      <c r="A708" s="90" t="s">
        <v>549</v>
      </c>
      <c r="B708" s="90" t="s">
        <v>1450</v>
      </c>
      <c r="C708" s="90" t="str">
        <f t="shared" si="11"/>
        <v>KodiakEducation - University</v>
      </c>
      <c r="D708" s="90">
        <v>6</v>
      </c>
      <c r="E708" s="90">
        <v>108883</v>
      </c>
      <c r="F708" s="90">
        <v>111582.57875442051</v>
      </c>
      <c r="G708" s="90">
        <v>0</v>
      </c>
      <c r="H708" s="90">
        <v>1456869.5042660241</v>
      </c>
      <c r="I708" s="90">
        <v>0</v>
      </c>
      <c r="J708" s="90">
        <v>0</v>
      </c>
      <c r="K708" s="90">
        <v>0</v>
      </c>
      <c r="L708" s="90">
        <v>82571.108278271175</v>
      </c>
      <c r="M708" s="90">
        <v>0</v>
      </c>
      <c r="N708" s="90">
        <v>1078083.4331568577</v>
      </c>
      <c r="O708" s="90">
        <v>0</v>
      </c>
      <c r="P708" s="90">
        <v>0</v>
      </c>
      <c r="Q708" s="90">
        <v>0</v>
      </c>
      <c r="R708" s="90">
        <v>762181</v>
      </c>
    </row>
    <row r="709" spans="1:18">
      <c r="A709" s="90" t="s">
        <v>549</v>
      </c>
      <c r="B709" s="90" t="s">
        <v>1469</v>
      </c>
      <c r="C709" s="90" t="str">
        <f t="shared" si="11"/>
        <v>KodiakFood Service and Drinking Places</v>
      </c>
      <c r="D709" s="90">
        <v>5</v>
      </c>
      <c r="E709" s="90">
        <v>38478</v>
      </c>
      <c r="F709" s="90">
        <v>39865.416944641038</v>
      </c>
      <c r="G709" s="90">
        <v>0</v>
      </c>
      <c r="H709" s="90">
        <v>416324.88015487086</v>
      </c>
      <c r="I709" s="90">
        <v>0</v>
      </c>
      <c r="J709" s="90">
        <v>0</v>
      </c>
      <c r="K709" s="90">
        <v>0</v>
      </c>
      <c r="L709" s="90">
        <v>29500.408539034368</v>
      </c>
      <c r="M709" s="90">
        <v>0</v>
      </c>
      <c r="N709" s="90">
        <v>308080.4113146044</v>
      </c>
      <c r="O709" s="90">
        <v>0</v>
      </c>
      <c r="P709" s="90">
        <v>0</v>
      </c>
      <c r="Q709" s="90">
        <v>0</v>
      </c>
      <c r="R709" s="90">
        <v>269346</v>
      </c>
    </row>
    <row r="710" spans="1:18">
      <c r="A710" s="90" t="s">
        <v>549</v>
      </c>
      <c r="B710" s="90" t="s">
        <v>665</v>
      </c>
      <c r="C710" s="90" t="str">
        <f t="shared" si="11"/>
        <v>KodiakOffice</v>
      </c>
      <c r="D710" s="90">
        <v>15</v>
      </c>
      <c r="E710" s="90">
        <v>136386.00020000001</v>
      </c>
      <c r="F710" s="90">
        <v>89937.739689053429</v>
      </c>
      <c r="G710" s="90">
        <v>0</v>
      </c>
      <c r="H710" s="90">
        <v>1746187.3713947935</v>
      </c>
      <c r="I710" s="90">
        <v>0</v>
      </c>
      <c r="J710" s="90">
        <v>0</v>
      </c>
      <c r="K710" s="90">
        <v>0</v>
      </c>
      <c r="L710" s="90">
        <v>66553.927369899553</v>
      </c>
      <c r="M710" s="90">
        <v>0</v>
      </c>
      <c r="N710" s="90">
        <v>1292178.6548321473</v>
      </c>
      <c r="O710" s="90">
        <v>0</v>
      </c>
      <c r="P710" s="90">
        <v>0</v>
      </c>
      <c r="Q710" s="90">
        <v>0</v>
      </c>
      <c r="R710" s="90">
        <v>954702.00139999995</v>
      </c>
    </row>
    <row r="711" spans="1:18">
      <c r="A711" s="90" t="s">
        <v>549</v>
      </c>
      <c r="B711" s="90" t="s">
        <v>643</v>
      </c>
      <c r="C711" s="90" t="str">
        <f t="shared" si="11"/>
        <v>KodiakOther</v>
      </c>
      <c r="D711" s="90">
        <v>22</v>
      </c>
      <c r="E711" s="90">
        <v>102139</v>
      </c>
      <c r="F711" s="90">
        <v>88829.031383919122</v>
      </c>
      <c r="G711" s="90">
        <v>0</v>
      </c>
      <c r="H711" s="90">
        <v>1317658.6925098044</v>
      </c>
      <c r="I711" s="90">
        <v>0</v>
      </c>
      <c r="J711" s="90">
        <v>0</v>
      </c>
      <c r="K711" s="90">
        <v>0</v>
      </c>
      <c r="L711" s="90">
        <v>65733.483224100157</v>
      </c>
      <c r="M711" s="90">
        <v>0</v>
      </c>
      <c r="N711" s="90">
        <v>975067.43245725543</v>
      </c>
      <c r="O711" s="90">
        <v>0</v>
      </c>
      <c r="P711" s="90">
        <v>0</v>
      </c>
      <c r="Q711" s="90">
        <v>0</v>
      </c>
      <c r="R711" s="90">
        <v>714973</v>
      </c>
    </row>
    <row r="712" spans="1:18">
      <c r="A712" s="90" t="s">
        <v>549</v>
      </c>
      <c r="B712" s="90" t="s">
        <v>1227</v>
      </c>
      <c r="C712" s="90" t="str">
        <f t="shared" si="11"/>
        <v>KodiakPublic Assembly</v>
      </c>
      <c r="D712" s="90">
        <v>4</v>
      </c>
      <c r="E712" s="90">
        <v>45088</v>
      </c>
      <c r="F712" s="90">
        <v>44062.238944489189</v>
      </c>
      <c r="G712" s="90">
        <v>0</v>
      </c>
      <c r="H712" s="90">
        <v>590883.44284454186</v>
      </c>
      <c r="I712" s="90">
        <v>0</v>
      </c>
      <c r="J712" s="90">
        <v>0</v>
      </c>
      <c r="K712" s="90">
        <v>0</v>
      </c>
      <c r="L712" s="90">
        <v>32606.056818921999</v>
      </c>
      <c r="M712" s="90">
        <v>0</v>
      </c>
      <c r="N712" s="90">
        <v>437253.74770496099</v>
      </c>
      <c r="O712" s="90">
        <v>0</v>
      </c>
      <c r="P712" s="90">
        <v>0</v>
      </c>
      <c r="Q712" s="90">
        <v>0</v>
      </c>
      <c r="R712" s="90">
        <v>315616</v>
      </c>
    </row>
    <row r="713" spans="1:18">
      <c r="A713" s="90" t="s">
        <v>549</v>
      </c>
      <c r="B713" s="90" t="s">
        <v>1475</v>
      </c>
      <c r="C713" s="90" t="str">
        <f t="shared" si="11"/>
        <v>KodiakPublic Safety</v>
      </c>
      <c r="D713" s="90">
        <v>11</v>
      </c>
      <c r="E713" s="90">
        <v>116814.66666666666</v>
      </c>
      <c r="F713" s="90">
        <v>52383.355404631526</v>
      </c>
      <c r="G713" s="90">
        <v>0</v>
      </c>
      <c r="H713" s="90">
        <v>1375291.0673003928</v>
      </c>
      <c r="I713" s="90">
        <v>0</v>
      </c>
      <c r="J713" s="90">
        <v>0</v>
      </c>
      <c r="K713" s="90">
        <v>0</v>
      </c>
      <c r="L713" s="90">
        <v>38763.682999427328</v>
      </c>
      <c r="M713" s="90">
        <v>0</v>
      </c>
      <c r="N713" s="90">
        <v>1017715.3898022908</v>
      </c>
      <c r="O713" s="90">
        <v>0</v>
      </c>
      <c r="P713" s="90">
        <v>0</v>
      </c>
      <c r="Q713" s="90">
        <v>0</v>
      </c>
      <c r="R713" s="90">
        <v>817702.66666666663</v>
      </c>
    </row>
    <row r="714" spans="1:18">
      <c r="A714" s="90" t="s">
        <v>549</v>
      </c>
      <c r="B714" s="90" t="s">
        <v>1442</v>
      </c>
      <c r="C714" s="90" t="str">
        <f t="shared" si="11"/>
        <v>KodiakResidential - Multi-Family</v>
      </c>
      <c r="D714" s="90">
        <v>1</v>
      </c>
      <c r="E714" s="90">
        <v>3240</v>
      </c>
      <c r="F714" s="90">
        <v>1979.2882254188105</v>
      </c>
      <c r="G714" s="90">
        <v>0</v>
      </c>
      <c r="H714" s="90">
        <v>2297.3540093333331</v>
      </c>
      <c r="I714" s="90">
        <v>0</v>
      </c>
      <c r="J714" s="90">
        <v>0</v>
      </c>
      <c r="K714" s="90">
        <v>0</v>
      </c>
      <c r="L714" s="90">
        <v>1464.6732868099198</v>
      </c>
      <c r="M714" s="90">
        <v>0</v>
      </c>
      <c r="N714" s="90">
        <v>1700.0419669066664</v>
      </c>
      <c r="O714" s="90">
        <v>0</v>
      </c>
      <c r="P714" s="90">
        <v>0</v>
      </c>
      <c r="Q714" s="90">
        <v>0</v>
      </c>
      <c r="R714" s="90">
        <v>22680</v>
      </c>
    </row>
    <row r="715" spans="1:18">
      <c r="A715" s="90" t="s">
        <v>549</v>
      </c>
      <c r="B715" s="90" t="s">
        <v>951</v>
      </c>
      <c r="C715" s="90" t="str">
        <f t="shared" si="11"/>
        <v>KodiakWarehousing</v>
      </c>
      <c r="D715" s="90">
        <v>6</v>
      </c>
      <c r="E715" s="90">
        <v>44532</v>
      </c>
      <c r="F715" s="90">
        <v>52534.240626642415</v>
      </c>
      <c r="G715" s="90">
        <v>0</v>
      </c>
      <c r="H715" s="90">
        <v>1284388.9561830026</v>
      </c>
      <c r="I715" s="90">
        <v>0</v>
      </c>
      <c r="J715" s="90">
        <v>0</v>
      </c>
      <c r="K715" s="90">
        <v>0</v>
      </c>
      <c r="L715" s="90">
        <v>38875.338063715382</v>
      </c>
      <c r="M715" s="90">
        <v>0</v>
      </c>
      <c r="N715" s="90">
        <v>950447.82757542201</v>
      </c>
      <c r="O715" s="90">
        <v>0</v>
      </c>
      <c r="P715" s="90">
        <v>0</v>
      </c>
      <c r="Q715" s="90">
        <v>0</v>
      </c>
      <c r="R715" s="90">
        <v>311724</v>
      </c>
    </row>
    <row r="716" spans="1:18">
      <c r="A716" s="90" t="s">
        <v>44</v>
      </c>
      <c r="B716" s="90" t="s">
        <v>1439</v>
      </c>
      <c r="C716" s="90" t="str">
        <f t="shared" si="11"/>
        <v>KokhanokEducation - K - 12</v>
      </c>
      <c r="D716" s="90">
        <v>3</v>
      </c>
      <c r="E716" s="90">
        <v>24129</v>
      </c>
      <c r="F716" s="90">
        <v>6227.9361031667759</v>
      </c>
      <c r="G716" s="90">
        <v>18549.086034697015</v>
      </c>
      <c r="H716" s="90">
        <v>86623.247518488381</v>
      </c>
      <c r="I716" s="90">
        <v>0</v>
      </c>
      <c r="J716" s="90">
        <v>0</v>
      </c>
      <c r="K716" s="90">
        <v>0</v>
      </c>
      <c r="L716" s="90">
        <v>4608.6727163434143</v>
      </c>
      <c r="M716" s="90">
        <v>13726.323665675791</v>
      </c>
      <c r="N716" s="90">
        <v>64101.203163681399</v>
      </c>
      <c r="O716" s="90">
        <v>0</v>
      </c>
      <c r="P716" s="90">
        <v>0</v>
      </c>
      <c r="Q716" s="90">
        <v>0</v>
      </c>
      <c r="R716" s="90">
        <v>168903</v>
      </c>
    </row>
    <row r="717" spans="1:18">
      <c r="A717" s="90" t="s">
        <v>44</v>
      </c>
      <c r="B717" s="90" t="s">
        <v>1440</v>
      </c>
      <c r="C717" s="90" t="str">
        <f t="shared" si="11"/>
        <v>KokhanokHealth Care - Hospitals</v>
      </c>
      <c r="D717" s="90">
        <v>2</v>
      </c>
      <c r="E717" s="90">
        <v>4839.9250000000002</v>
      </c>
      <c r="F717" s="90">
        <v>3373.2986760890735</v>
      </c>
      <c r="G717" s="90">
        <v>0</v>
      </c>
      <c r="H717" s="90">
        <v>36408.003311191947</v>
      </c>
      <c r="I717" s="90">
        <v>0</v>
      </c>
      <c r="J717" s="90">
        <v>0</v>
      </c>
      <c r="K717" s="90">
        <v>0</v>
      </c>
      <c r="L717" s="90">
        <v>2496.2410203059144</v>
      </c>
      <c r="M717" s="90">
        <v>0</v>
      </c>
      <c r="N717" s="90">
        <v>26941.922450282043</v>
      </c>
      <c r="O717" s="90">
        <v>0</v>
      </c>
      <c r="P717" s="90">
        <v>0</v>
      </c>
      <c r="Q717" s="90">
        <v>0</v>
      </c>
      <c r="R717" s="90">
        <v>33879.475000000006</v>
      </c>
    </row>
    <row r="718" spans="1:18">
      <c r="A718" s="90" t="s">
        <v>44</v>
      </c>
      <c r="B718" s="90" t="s">
        <v>665</v>
      </c>
      <c r="C718" s="90" t="str">
        <f t="shared" si="11"/>
        <v>KokhanokOffice</v>
      </c>
      <c r="D718" s="90">
        <v>2</v>
      </c>
      <c r="E718" s="90">
        <v>1932</v>
      </c>
      <c r="F718" s="90">
        <v>1009.9734455985708</v>
      </c>
      <c r="G718" s="90">
        <v>0</v>
      </c>
      <c r="H718" s="90">
        <v>15486.970419831949</v>
      </c>
      <c r="I718" s="90">
        <v>0</v>
      </c>
      <c r="J718" s="90">
        <v>0</v>
      </c>
      <c r="K718" s="90">
        <v>13.462486950990041</v>
      </c>
      <c r="L718" s="90">
        <v>747.38034974294237</v>
      </c>
      <c r="M718" s="90">
        <v>0</v>
      </c>
      <c r="N718" s="90">
        <v>11460.358110675643</v>
      </c>
      <c r="O718" s="90">
        <v>0</v>
      </c>
      <c r="P718" s="90">
        <v>0</v>
      </c>
      <c r="Q718" s="90">
        <v>9.9622403437326295</v>
      </c>
      <c r="R718" s="90">
        <v>13524</v>
      </c>
    </row>
    <row r="719" spans="1:18">
      <c r="A719" s="90" t="s">
        <v>44</v>
      </c>
      <c r="B719" s="90" t="s">
        <v>643</v>
      </c>
      <c r="C719" s="90" t="str">
        <f t="shared" si="11"/>
        <v>KokhanokOther</v>
      </c>
      <c r="D719" s="90">
        <v>2</v>
      </c>
      <c r="E719" s="90">
        <v>4327.840909090909</v>
      </c>
      <c r="F719" s="90">
        <v>3743.0255935455139</v>
      </c>
      <c r="G719" s="90">
        <v>0</v>
      </c>
      <c r="H719" s="90">
        <v>31497.972972929176</v>
      </c>
      <c r="I719" s="90">
        <v>0</v>
      </c>
      <c r="J719" s="90">
        <v>0</v>
      </c>
      <c r="K719" s="90">
        <v>0</v>
      </c>
      <c r="L719" s="90">
        <v>2769.8389392236804</v>
      </c>
      <c r="M719" s="90">
        <v>0</v>
      </c>
      <c r="N719" s="90">
        <v>23308.499999967589</v>
      </c>
      <c r="O719" s="90">
        <v>0</v>
      </c>
      <c r="P719" s="90">
        <v>0</v>
      </c>
      <c r="Q719" s="90">
        <v>0</v>
      </c>
      <c r="R719" s="90">
        <v>30294.886363636364</v>
      </c>
    </row>
    <row r="720" spans="1:18">
      <c r="A720" s="90" t="s">
        <v>44</v>
      </c>
      <c r="B720" s="90" t="s">
        <v>1227</v>
      </c>
      <c r="C720" s="90" t="str">
        <f t="shared" si="11"/>
        <v>KokhanokPublic Assembly</v>
      </c>
      <c r="D720" s="90">
        <v>1</v>
      </c>
      <c r="E720" s="90">
        <v>1679</v>
      </c>
      <c r="F720" s="90">
        <v>1047.6247774681792</v>
      </c>
      <c r="G720" s="90">
        <v>0</v>
      </c>
      <c r="H720" s="90">
        <v>6315.9540626043727</v>
      </c>
      <c r="I720" s="90">
        <v>0</v>
      </c>
      <c r="J720" s="90">
        <v>0</v>
      </c>
      <c r="K720" s="90">
        <v>0</v>
      </c>
      <c r="L720" s="90">
        <v>775.24233532645258</v>
      </c>
      <c r="M720" s="90">
        <v>0</v>
      </c>
      <c r="N720" s="90">
        <v>4673.806006327236</v>
      </c>
      <c r="O720" s="90">
        <v>0</v>
      </c>
      <c r="P720" s="90">
        <v>0</v>
      </c>
      <c r="Q720" s="90">
        <v>0</v>
      </c>
      <c r="R720" s="90">
        <v>11753</v>
      </c>
    </row>
    <row r="721" spans="1:18">
      <c r="A721" s="90" t="s">
        <v>44</v>
      </c>
      <c r="B721" s="90" t="s">
        <v>1442</v>
      </c>
      <c r="C721" s="90" t="str">
        <f t="shared" si="11"/>
        <v>KokhanokResidential - Multi-Family</v>
      </c>
      <c r="D721" s="90">
        <v>3</v>
      </c>
      <c r="E721" s="90">
        <v>4601</v>
      </c>
      <c r="F721" s="90">
        <v>3476.1596840298389</v>
      </c>
      <c r="G721" s="90">
        <v>0</v>
      </c>
      <c r="H721" s="90">
        <v>24090.736523954914</v>
      </c>
      <c r="I721" s="90">
        <v>0</v>
      </c>
      <c r="J721" s="90">
        <v>0</v>
      </c>
      <c r="K721" s="90">
        <v>0</v>
      </c>
      <c r="L721" s="90">
        <v>2572.3581661820808</v>
      </c>
      <c r="M721" s="90">
        <v>0</v>
      </c>
      <c r="N721" s="90">
        <v>17827.145027726634</v>
      </c>
      <c r="O721" s="90">
        <v>0</v>
      </c>
      <c r="P721" s="90">
        <v>0</v>
      </c>
      <c r="Q721" s="90">
        <v>0</v>
      </c>
      <c r="R721" s="90">
        <v>32207</v>
      </c>
    </row>
    <row r="722" spans="1:18">
      <c r="A722" s="90" t="s">
        <v>44</v>
      </c>
      <c r="B722" s="90" t="s">
        <v>1485</v>
      </c>
      <c r="C722" s="90" t="str">
        <f t="shared" si="11"/>
        <v>KokhanokRetail - Other</v>
      </c>
      <c r="D722" s="90">
        <v>1</v>
      </c>
      <c r="E722" s="90">
        <v>2105.2800000000002</v>
      </c>
      <c r="F722" s="90">
        <v>2225.7819714285715</v>
      </c>
      <c r="G722" s="90">
        <v>0</v>
      </c>
      <c r="H722" s="90">
        <v>49590.373216004155</v>
      </c>
      <c r="I722" s="90">
        <v>0</v>
      </c>
      <c r="J722" s="90">
        <v>0</v>
      </c>
      <c r="K722" s="90">
        <v>0</v>
      </c>
      <c r="L722" s="90">
        <v>1647.078658857143</v>
      </c>
      <c r="M722" s="90">
        <v>0</v>
      </c>
      <c r="N722" s="90">
        <v>36696.876179843071</v>
      </c>
      <c r="O722" s="90">
        <v>0</v>
      </c>
      <c r="P722" s="90">
        <v>0</v>
      </c>
      <c r="Q722" s="90">
        <v>0</v>
      </c>
      <c r="R722" s="90">
        <v>14736.960000000001</v>
      </c>
    </row>
    <row r="723" spans="1:18">
      <c r="A723" s="90" t="s">
        <v>167</v>
      </c>
      <c r="B723" s="90" t="s">
        <v>1439</v>
      </c>
      <c r="C723" s="90" t="str">
        <f t="shared" si="11"/>
        <v>KoliganekEducation - K - 12</v>
      </c>
      <c r="D723" s="90">
        <v>2</v>
      </c>
      <c r="E723" s="90">
        <v>15373.415555555555</v>
      </c>
      <c r="F723" s="90">
        <v>37009.996812462232</v>
      </c>
      <c r="G723" s="90">
        <v>3988.7317090150573</v>
      </c>
      <c r="H723" s="90">
        <v>226916.69821962557</v>
      </c>
      <c r="I723" s="90">
        <v>0</v>
      </c>
      <c r="J723" s="90">
        <v>0</v>
      </c>
      <c r="K723" s="90">
        <v>0</v>
      </c>
      <c r="L723" s="90">
        <v>27387.397641222051</v>
      </c>
      <c r="M723" s="90">
        <v>2951.6614646711423</v>
      </c>
      <c r="N723" s="90">
        <v>167918.35668252292</v>
      </c>
      <c r="O723" s="90">
        <v>0</v>
      </c>
      <c r="P723" s="90">
        <v>0</v>
      </c>
      <c r="Q723" s="90">
        <v>0</v>
      </c>
      <c r="R723" s="90">
        <v>107613.90888888889</v>
      </c>
    </row>
    <row r="724" spans="1:18">
      <c r="A724" s="90" t="s">
        <v>167</v>
      </c>
      <c r="B724" s="90" t="s">
        <v>1440</v>
      </c>
      <c r="C724" s="90" t="str">
        <f t="shared" si="11"/>
        <v>KoliganekHealth Care - Hospitals</v>
      </c>
      <c r="D724" s="90">
        <v>2</v>
      </c>
      <c r="E724" s="90">
        <v>3180</v>
      </c>
      <c r="F724" s="90">
        <v>892.12587083353856</v>
      </c>
      <c r="G724" s="90">
        <v>1324.2493395185338</v>
      </c>
      <c r="H724" s="90">
        <v>33628.712064407133</v>
      </c>
      <c r="I724" s="90">
        <v>0</v>
      </c>
      <c r="J724" s="90">
        <v>0</v>
      </c>
      <c r="K724" s="90">
        <v>0</v>
      </c>
      <c r="L724" s="90">
        <v>660.17314441681856</v>
      </c>
      <c r="M724" s="90">
        <v>979.94451124371506</v>
      </c>
      <c r="N724" s="90">
        <v>24885.246927661279</v>
      </c>
      <c r="O724" s="90">
        <v>0</v>
      </c>
      <c r="P724" s="90">
        <v>0</v>
      </c>
      <c r="Q724" s="90">
        <v>0</v>
      </c>
      <c r="R724" s="90">
        <v>22260</v>
      </c>
    </row>
    <row r="725" spans="1:18">
      <c r="A725" s="90" t="s">
        <v>167</v>
      </c>
      <c r="B725" s="90" t="s">
        <v>665</v>
      </c>
      <c r="C725" s="90" t="str">
        <f t="shared" si="11"/>
        <v>KoliganekOffice</v>
      </c>
      <c r="D725" s="90">
        <v>1</v>
      </c>
      <c r="E725" s="90">
        <v>1300</v>
      </c>
      <c r="F725" s="90">
        <v>1060</v>
      </c>
      <c r="G725" s="90">
        <v>1729.862291539054</v>
      </c>
      <c r="H725" s="90">
        <v>3600</v>
      </c>
      <c r="I725" s="90">
        <v>0</v>
      </c>
      <c r="J725" s="90">
        <v>0</v>
      </c>
      <c r="K725" s="90">
        <v>0</v>
      </c>
      <c r="L725" s="90">
        <v>784.4</v>
      </c>
      <c r="M725" s="90">
        <v>1280.0980957388999</v>
      </c>
      <c r="N725" s="90">
        <v>2664</v>
      </c>
      <c r="O725" s="90">
        <v>0</v>
      </c>
      <c r="P725" s="90">
        <v>0</v>
      </c>
      <c r="Q725" s="90">
        <v>0</v>
      </c>
      <c r="R725" s="90">
        <v>9100</v>
      </c>
    </row>
    <row r="726" spans="1:18">
      <c r="A726" s="90" t="s">
        <v>167</v>
      </c>
      <c r="B726" s="90" t="s">
        <v>643</v>
      </c>
      <c r="C726" s="90" t="str">
        <f t="shared" si="11"/>
        <v>KoliganekOther</v>
      </c>
      <c r="D726" s="90">
        <v>5</v>
      </c>
      <c r="E726" s="90">
        <v>8365.761363636364</v>
      </c>
      <c r="F726" s="90">
        <v>8207.4966262265061</v>
      </c>
      <c r="G726" s="90">
        <v>0</v>
      </c>
      <c r="H726" s="90">
        <v>60885.908439075254</v>
      </c>
      <c r="I726" s="90">
        <v>0</v>
      </c>
      <c r="J726" s="90">
        <v>0</v>
      </c>
      <c r="K726" s="90">
        <v>0</v>
      </c>
      <c r="L726" s="90">
        <v>6073.5475034076144</v>
      </c>
      <c r="M726" s="90">
        <v>0</v>
      </c>
      <c r="N726" s="90">
        <v>45055.572244915689</v>
      </c>
      <c r="O726" s="90">
        <v>0</v>
      </c>
      <c r="P726" s="90">
        <v>0</v>
      </c>
      <c r="Q726" s="90">
        <v>0</v>
      </c>
      <c r="R726" s="90">
        <v>58560.329545454551</v>
      </c>
    </row>
    <row r="727" spans="1:18">
      <c r="A727" s="90" t="s">
        <v>167</v>
      </c>
      <c r="B727" s="90" t="s">
        <v>1227</v>
      </c>
      <c r="C727" s="90" t="str">
        <f t="shared" si="11"/>
        <v>KoliganekPublic Assembly</v>
      </c>
      <c r="D727" s="90">
        <v>7</v>
      </c>
      <c r="E727" s="90">
        <v>18063.60576923077</v>
      </c>
      <c r="F727" s="90">
        <v>12945.904707497937</v>
      </c>
      <c r="G727" s="90">
        <v>0</v>
      </c>
      <c r="H727" s="90">
        <v>69497.578066979419</v>
      </c>
      <c r="I727" s="90">
        <v>0</v>
      </c>
      <c r="J727" s="90">
        <v>0</v>
      </c>
      <c r="K727" s="90">
        <v>0</v>
      </c>
      <c r="L727" s="90">
        <v>9579.9694835484715</v>
      </c>
      <c r="M727" s="90">
        <v>0</v>
      </c>
      <c r="N727" s="90">
        <v>51428.207769564768</v>
      </c>
      <c r="O727" s="90">
        <v>0</v>
      </c>
      <c r="P727" s="90">
        <v>0</v>
      </c>
      <c r="Q727" s="90">
        <v>0</v>
      </c>
      <c r="R727" s="90">
        <v>126445.24038461539</v>
      </c>
    </row>
    <row r="728" spans="1:18">
      <c r="A728" s="90" t="s">
        <v>167</v>
      </c>
      <c r="B728" s="90" t="s">
        <v>1475</v>
      </c>
      <c r="C728" s="90" t="str">
        <f t="shared" si="11"/>
        <v>KoliganekPublic Safety</v>
      </c>
      <c r="D728" s="90">
        <v>2</v>
      </c>
      <c r="E728" s="90">
        <v>3175.4749999999999</v>
      </c>
      <c r="F728" s="90">
        <v>3793.774623927618</v>
      </c>
      <c r="G728" s="90">
        <v>0</v>
      </c>
      <c r="H728" s="90">
        <v>22746.642306328533</v>
      </c>
      <c r="I728" s="90">
        <v>0</v>
      </c>
      <c r="J728" s="90">
        <v>0</v>
      </c>
      <c r="K728" s="90">
        <v>0</v>
      </c>
      <c r="L728" s="90">
        <v>2807.3932217064375</v>
      </c>
      <c r="M728" s="90">
        <v>0</v>
      </c>
      <c r="N728" s="90">
        <v>16832.515306683112</v>
      </c>
      <c r="O728" s="90">
        <v>0</v>
      </c>
      <c r="P728" s="90">
        <v>0</v>
      </c>
      <c r="Q728" s="90">
        <v>0</v>
      </c>
      <c r="R728" s="90">
        <v>22228.325000000001</v>
      </c>
    </row>
    <row r="729" spans="1:18">
      <c r="A729" s="90" t="s">
        <v>167</v>
      </c>
      <c r="B729" s="90" t="s">
        <v>1485</v>
      </c>
      <c r="C729" s="90" t="str">
        <f t="shared" si="11"/>
        <v>KoliganekRetail - Other</v>
      </c>
      <c r="D729" s="90">
        <v>1</v>
      </c>
      <c r="E729" s="90">
        <v>1920</v>
      </c>
      <c r="F729" s="90">
        <v>2029.896918767507</v>
      </c>
      <c r="G729" s="90">
        <v>0</v>
      </c>
      <c r="H729" s="90">
        <v>45226.058564527266</v>
      </c>
      <c r="I729" s="90">
        <v>0</v>
      </c>
      <c r="J729" s="90">
        <v>0</v>
      </c>
      <c r="K729" s="90">
        <v>0</v>
      </c>
      <c r="L729" s="90">
        <v>1502.1237198879551</v>
      </c>
      <c r="M729" s="90">
        <v>0</v>
      </c>
      <c r="N729" s="90">
        <v>33467.283337750174</v>
      </c>
      <c r="O729" s="90">
        <v>0</v>
      </c>
      <c r="P729" s="90">
        <v>0</v>
      </c>
      <c r="Q729" s="90">
        <v>0</v>
      </c>
      <c r="R729" s="90">
        <v>13440</v>
      </c>
    </row>
    <row r="730" spans="1:18">
      <c r="A730" s="90" t="s">
        <v>167</v>
      </c>
      <c r="B730" s="90" t="s">
        <v>951</v>
      </c>
      <c r="C730" s="90" t="str">
        <f t="shared" si="11"/>
        <v>KoliganekWarehousing</v>
      </c>
      <c r="D730" s="90">
        <v>3</v>
      </c>
      <c r="E730" s="90">
        <v>2610.9572649572647</v>
      </c>
      <c r="F730" s="90">
        <v>3272.914322184728</v>
      </c>
      <c r="G730" s="90">
        <v>0</v>
      </c>
      <c r="H730" s="90">
        <v>30979.396423370603</v>
      </c>
      <c r="I730" s="90">
        <v>0</v>
      </c>
      <c r="J730" s="90">
        <v>0</v>
      </c>
      <c r="K730" s="90">
        <v>0</v>
      </c>
      <c r="L730" s="90">
        <v>2421.9565984166989</v>
      </c>
      <c r="M730" s="90">
        <v>0</v>
      </c>
      <c r="N730" s="90">
        <v>22924.753353294247</v>
      </c>
      <c r="O730" s="90">
        <v>0</v>
      </c>
      <c r="P730" s="90">
        <v>0</v>
      </c>
      <c r="Q730" s="90">
        <v>0</v>
      </c>
      <c r="R730" s="90">
        <v>18276.700854700852</v>
      </c>
    </row>
    <row r="731" spans="1:18">
      <c r="A731" s="90" t="s">
        <v>38</v>
      </c>
      <c r="B731" s="90" t="s">
        <v>1439</v>
      </c>
      <c r="C731" s="90" t="str">
        <f t="shared" si="11"/>
        <v>KongiganakEducation - K - 12</v>
      </c>
      <c r="D731" s="90">
        <v>2</v>
      </c>
      <c r="E731" s="90">
        <v>39069.223957219248</v>
      </c>
      <c r="F731" s="90">
        <v>28701.466979912693</v>
      </c>
      <c r="G731" s="90">
        <v>0</v>
      </c>
      <c r="H731" s="90">
        <v>276638.30649329635</v>
      </c>
      <c r="I731" s="90">
        <v>0</v>
      </c>
      <c r="J731" s="90">
        <v>0</v>
      </c>
      <c r="K731" s="90">
        <v>0</v>
      </c>
      <c r="L731" s="90">
        <v>21239.085565135392</v>
      </c>
      <c r="M731" s="90">
        <v>0</v>
      </c>
      <c r="N731" s="90">
        <v>204712.3468050393</v>
      </c>
      <c r="O731" s="90">
        <v>0</v>
      </c>
      <c r="P731" s="90">
        <v>0</v>
      </c>
      <c r="Q731" s="90">
        <v>0</v>
      </c>
      <c r="R731" s="90">
        <v>273484.56770053477</v>
      </c>
    </row>
    <row r="732" spans="1:18">
      <c r="A732" s="90" t="s">
        <v>38</v>
      </c>
      <c r="B732" s="90" t="s">
        <v>1440</v>
      </c>
      <c r="C732" s="90" t="str">
        <f t="shared" si="11"/>
        <v>KongiganakHealth Care - Hospitals</v>
      </c>
      <c r="D732" s="90">
        <v>1</v>
      </c>
      <c r="E732" s="90">
        <v>1350</v>
      </c>
      <c r="F732" s="90">
        <v>578.10218978102193</v>
      </c>
      <c r="G732" s="90">
        <v>0</v>
      </c>
      <c r="H732" s="90">
        <v>11901.347178654094</v>
      </c>
      <c r="I732" s="90">
        <v>0</v>
      </c>
      <c r="J732" s="90">
        <v>0</v>
      </c>
      <c r="K732" s="90">
        <v>0</v>
      </c>
      <c r="L732" s="90">
        <v>427.79562043795625</v>
      </c>
      <c r="M732" s="90">
        <v>0</v>
      </c>
      <c r="N732" s="90">
        <v>8806.9969122040293</v>
      </c>
      <c r="O732" s="90">
        <v>0</v>
      </c>
      <c r="P732" s="90">
        <v>0</v>
      </c>
      <c r="Q732" s="90">
        <v>0</v>
      </c>
      <c r="R732" s="90">
        <v>9450</v>
      </c>
    </row>
    <row r="733" spans="1:18">
      <c r="A733" s="90" t="s">
        <v>38</v>
      </c>
      <c r="B733" s="90" t="s">
        <v>665</v>
      </c>
      <c r="C733" s="90" t="str">
        <f t="shared" si="11"/>
        <v>KongiganakOffice</v>
      </c>
      <c r="D733" s="90">
        <v>3</v>
      </c>
      <c r="E733" s="90">
        <v>7426.338129496402</v>
      </c>
      <c r="F733" s="90">
        <v>6303.5212825189537</v>
      </c>
      <c r="G733" s="90">
        <v>0</v>
      </c>
      <c r="H733" s="90">
        <v>42134.505466464558</v>
      </c>
      <c r="I733" s="90">
        <v>0</v>
      </c>
      <c r="J733" s="90">
        <v>0</v>
      </c>
      <c r="K733" s="90">
        <v>0</v>
      </c>
      <c r="L733" s="90">
        <v>4664.6057490640251</v>
      </c>
      <c r="M733" s="90">
        <v>0</v>
      </c>
      <c r="N733" s="90">
        <v>31179.534045183776</v>
      </c>
      <c r="O733" s="90">
        <v>0</v>
      </c>
      <c r="P733" s="90">
        <v>0</v>
      </c>
      <c r="Q733" s="90">
        <v>0</v>
      </c>
      <c r="R733" s="90">
        <v>51984.366906474817</v>
      </c>
    </row>
    <row r="734" spans="1:18">
      <c r="A734" s="90" t="s">
        <v>38</v>
      </c>
      <c r="B734" s="90" t="s">
        <v>643</v>
      </c>
      <c r="C734" s="90" t="str">
        <f t="shared" si="11"/>
        <v>KongiganakOther</v>
      </c>
      <c r="D734" s="90">
        <v>9</v>
      </c>
      <c r="E734" s="90">
        <v>40398.217557251905</v>
      </c>
      <c r="F734" s="90">
        <v>42935.822734581699</v>
      </c>
      <c r="G734" s="90">
        <v>0</v>
      </c>
      <c r="H734" s="90">
        <v>299877.71639131132</v>
      </c>
      <c r="I734" s="90">
        <v>0</v>
      </c>
      <c r="J734" s="90">
        <v>0</v>
      </c>
      <c r="K734" s="90">
        <v>0</v>
      </c>
      <c r="L734" s="90">
        <v>31772.508823590444</v>
      </c>
      <c r="M734" s="90">
        <v>0</v>
      </c>
      <c r="N734" s="90">
        <v>221909.51012957041</v>
      </c>
      <c r="O734" s="90">
        <v>0</v>
      </c>
      <c r="P734" s="90">
        <v>0</v>
      </c>
      <c r="Q734" s="90">
        <v>0</v>
      </c>
      <c r="R734" s="90">
        <v>282787.52290076332</v>
      </c>
    </row>
    <row r="735" spans="1:18">
      <c r="A735" s="90" t="s">
        <v>38</v>
      </c>
      <c r="B735" s="90" t="s">
        <v>1227</v>
      </c>
      <c r="C735" s="90" t="str">
        <f t="shared" si="11"/>
        <v>KongiganakPublic Assembly</v>
      </c>
      <c r="D735" s="90">
        <v>5</v>
      </c>
      <c r="E735" s="90">
        <v>17132.8202247191</v>
      </c>
      <c r="F735" s="90">
        <v>11849.236540561968</v>
      </c>
      <c r="G735" s="90">
        <v>0</v>
      </c>
      <c r="H735" s="90">
        <v>79441.89826668585</v>
      </c>
      <c r="I735" s="90">
        <v>0</v>
      </c>
      <c r="J735" s="90">
        <v>0</v>
      </c>
      <c r="K735" s="90">
        <v>0</v>
      </c>
      <c r="L735" s="90">
        <v>8768.4350400158546</v>
      </c>
      <c r="M735" s="90">
        <v>0</v>
      </c>
      <c r="N735" s="90">
        <v>58787.004717347525</v>
      </c>
      <c r="O735" s="90">
        <v>0</v>
      </c>
      <c r="P735" s="90">
        <v>0</v>
      </c>
      <c r="Q735" s="90">
        <v>0</v>
      </c>
      <c r="R735" s="90">
        <v>119929.74157303369</v>
      </c>
    </row>
    <row r="736" spans="1:18">
      <c r="A736" s="90" t="s">
        <v>38</v>
      </c>
      <c r="B736" s="90" t="s">
        <v>1475</v>
      </c>
      <c r="C736" s="90" t="str">
        <f t="shared" si="11"/>
        <v>KongiganakPublic Safety</v>
      </c>
      <c r="D736" s="90">
        <v>3</v>
      </c>
      <c r="E736" s="90">
        <v>8092.2268181818181</v>
      </c>
      <c r="F736" s="90">
        <v>5728.1828133922236</v>
      </c>
      <c r="G736" s="90">
        <v>0</v>
      </c>
      <c r="H736" s="90">
        <v>66923.378724166061</v>
      </c>
      <c r="I736" s="90">
        <v>0</v>
      </c>
      <c r="J736" s="90">
        <v>0</v>
      </c>
      <c r="K736" s="90">
        <v>0</v>
      </c>
      <c r="L736" s="90">
        <v>4238.8552819102451</v>
      </c>
      <c r="M736" s="90">
        <v>0</v>
      </c>
      <c r="N736" s="90">
        <v>49523.300255882888</v>
      </c>
      <c r="O736" s="90">
        <v>0</v>
      </c>
      <c r="P736" s="90">
        <v>0</v>
      </c>
      <c r="Q736" s="90">
        <v>0</v>
      </c>
      <c r="R736" s="90">
        <v>56645.587727272723</v>
      </c>
    </row>
    <row r="737" spans="1:18">
      <c r="A737" s="90" t="s">
        <v>38</v>
      </c>
      <c r="B737" s="90" t="s">
        <v>1485</v>
      </c>
      <c r="C737" s="90" t="str">
        <f t="shared" si="11"/>
        <v>KongiganakRetail - Other</v>
      </c>
      <c r="D737" s="90">
        <v>2</v>
      </c>
      <c r="E737" s="90">
        <v>12552.731707317073</v>
      </c>
      <c r="F737" s="90">
        <v>20850.703151032118</v>
      </c>
      <c r="G737" s="90">
        <v>0</v>
      </c>
      <c r="H737" s="90">
        <v>306263.79830335197</v>
      </c>
      <c r="I737" s="90">
        <v>0</v>
      </c>
      <c r="J737" s="90">
        <v>0</v>
      </c>
      <c r="K737" s="90">
        <v>0</v>
      </c>
      <c r="L737" s="90">
        <v>15429.520331763766</v>
      </c>
      <c r="M737" s="90">
        <v>0</v>
      </c>
      <c r="N737" s="90">
        <v>226635.21074448046</v>
      </c>
      <c r="O737" s="90">
        <v>0</v>
      </c>
      <c r="P737" s="90">
        <v>0</v>
      </c>
      <c r="Q737" s="90">
        <v>0</v>
      </c>
      <c r="R737" s="90">
        <v>87869.121951219509</v>
      </c>
    </row>
    <row r="738" spans="1:18">
      <c r="A738" s="90" t="s">
        <v>38</v>
      </c>
      <c r="B738" s="90" t="s">
        <v>951</v>
      </c>
      <c r="C738" s="90" t="str">
        <f t="shared" si="11"/>
        <v>KongiganakWarehousing</v>
      </c>
      <c r="D738" s="90">
        <v>4</v>
      </c>
      <c r="E738" s="90">
        <v>9479.6985294117658</v>
      </c>
      <c r="F738" s="90">
        <v>16544.855980157285</v>
      </c>
      <c r="G738" s="90">
        <v>0</v>
      </c>
      <c r="H738" s="90">
        <v>434347.6244136676</v>
      </c>
      <c r="I738" s="90">
        <v>0</v>
      </c>
      <c r="J738" s="90">
        <v>0</v>
      </c>
      <c r="K738" s="90">
        <v>0</v>
      </c>
      <c r="L738" s="90">
        <v>12243.193425316389</v>
      </c>
      <c r="M738" s="90">
        <v>0</v>
      </c>
      <c r="N738" s="90">
        <v>321417.24206611409</v>
      </c>
      <c r="O738" s="90">
        <v>0</v>
      </c>
      <c r="P738" s="90">
        <v>0</v>
      </c>
      <c r="Q738" s="90">
        <v>0</v>
      </c>
      <c r="R738" s="90">
        <v>66357.88970588235</v>
      </c>
    </row>
    <row r="739" spans="1:18">
      <c r="A739" s="90" t="s">
        <v>1477</v>
      </c>
      <c r="B739" s="90" t="s">
        <v>1440</v>
      </c>
      <c r="C739" s="90" t="str">
        <f t="shared" si="11"/>
        <v>KongiginakHealth Care - Hospitals</v>
      </c>
      <c r="D739" s="90">
        <v>1</v>
      </c>
      <c r="E739" s="90">
        <v>1350</v>
      </c>
      <c r="F739" s="90">
        <v>599</v>
      </c>
      <c r="G739" s="90">
        <v>0</v>
      </c>
      <c r="H739" s="90">
        <v>8012</v>
      </c>
      <c r="I739" s="90">
        <v>0</v>
      </c>
      <c r="J739" s="90">
        <v>0</v>
      </c>
      <c r="K739" s="90">
        <v>0</v>
      </c>
      <c r="L739" s="90">
        <v>443.26</v>
      </c>
      <c r="M739" s="90">
        <v>0</v>
      </c>
      <c r="N739" s="90">
        <v>5928.88</v>
      </c>
      <c r="O739" s="90">
        <v>0</v>
      </c>
      <c r="P739" s="90">
        <v>0</v>
      </c>
      <c r="Q739" s="90">
        <v>0</v>
      </c>
      <c r="R739" s="90">
        <v>9450</v>
      </c>
    </row>
    <row r="740" spans="1:18">
      <c r="A740" s="90" t="s">
        <v>169</v>
      </c>
      <c r="B740" s="90" t="s">
        <v>1447</v>
      </c>
      <c r="C740" s="90" t="str">
        <f t="shared" si="11"/>
        <v>KotlikAccomodation Services</v>
      </c>
      <c r="D740" s="90">
        <v>1</v>
      </c>
      <c r="E740" s="90">
        <v>7260.0625</v>
      </c>
      <c r="F740" s="90">
        <v>7485.3185274619782</v>
      </c>
      <c r="G740" s="90">
        <v>0</v>
      </c>
      <c r="H740" s="90">
        <v>158263.93571825544</v>
      </c>
      <c r="I740" s="90">
        <v>0</v>
      </c>
      <c r="J740" s="90">
        <v>0</v>
      </c>
      <c r="K740" s="90">
        <v>0</v>
      </c>
      <c r="L740" s="90">
        <v>5539.1357103218634</v>
      </c>
      <c r="M740" s="90">
        <v>0</v>
      </c>
      <c r="N740" s="90">
        <v>117115.31243150902</v>
      </c>
      <c r="O740" s="90">
        <v>0</v>
      </c>
      <c r="P740" s="90">
        <v>0</v>
      </c>
      <c r="Q740" s="90">
        <v>0</v>
      </c>
      <c r="R740" s="90">
        <v>50820.4375</v>
      </c>
    </row>
    <row r="741" spans="1:18">
      <c r="A741" s="90" t="s">
        <v>169</v>
      </c>
      <c r="B741" s="90" t="s">
        <v>1439</v>
      </c>
      <c r="C741" s="90" t="str">
        <f t="shared" si="11"/>
        <v>KotlikEducation - K - 12</v>
      </c>
      <c r="D741" s="90">
        <v>1</v>
      </c>
      <c r="E741" s="90">
        <v>40047</v>
      </c>
      <c r="F741" s="90">
        <v>11549.158377737225</v>
      </c>
      <c r="G741" s="90">
        <v>29419.771669976439</v>
      </c>
      <c r="H741" s="90">
        <v>212651.91385000001</v>
      </c>
      <c r="I741" s="90">
        <v>0</v>
      </c>
      <c r="J741" s="90">
        <v>0</v>
      </c>
      <c r="K741" s="90">
        <v>0</v>
      </c>
      <c r="L741" s="90">
        <v>8546.3771995255465</v>
      </c>
      <c r="M741" s="90">
        <v>21770.631035782564</v>
      </c>
      <c r="N741" s="90">
        <v>157362.416249</v>
      </c>
      <c r="O741" s="90">
        <v>0</v>
      </c>
      <c r="P741" s="90">
        <v>0</v>
      </c>
      <c r="Q741" s="90">
        <v>0</v>
      </c>
      <c r="R741" s="90">
        <v>280329</v>
      </c>
    </row>
    <row r="742" spans="1:18">
      <c r="A742" s="90" t="s">
        <v>169</v>
      </c>
      <c r="B742" s="90" t="s">
        <v>1440</v>
      </c>
      <c r="C742" s="90" t="str">
        <f t="shared" si="11"/>
        <v>KotlikHealth Care - Hospitals</v>
      </c>
      <c r="D742" s="90">
        <v>1</v>
      </c>
      <c r="E742" s="90">
        <v>3905.5925000000002</v>
      </c>
      <c r="F742" s="90">
        <v>2468.6293072959174</v>
      </c>
      <c r="G742" s="90">
        <v>0</v>
      </c>
      <c r="H742" s="90">
        <v>34430.972059887106</v>
      </c>
      <c r="I742" s="90">
        <v>0</v>
      </c>
      <c r="J742" s="90">
        <v>0</v>
      </c>
      <c r="K742" s="90">
        <v>0</v>
      </c>
      <c r="L742" s="90">
        <v>1826.7856873989788</v>
      </c>
      <c r="M742" s="90">
        <v>0</v>
      </c>
      <c r="N742" s="90">
        <v>25478.919324316459</v>
      </c>
      <c r="O742" s="90">
        <v>0</v>
      </c>
      <c r="P742" s="90">
        <v>0</v>
      </c>
      <c r="Q742" s="90">
        <v>0</v>
      </c>
      <c r="R742" s="90">
        <v>27339.147500000003</v>
      </c>
    </row>
    <row r="743" spans="1:18">
      <c r="A743" s="90" t="s">
        <v>169</v>
      </c>
      <c r="B743" s="90" t="s">
        <v>665</v>
      </c>
      <c r="C743" s="90" t="str">
        <f t="shared" si="11"/>
        <v>KotlikOffice</v>
      </c>
      <c r="D743" s="90">
        <v>4</v>
      </c>
      <c r="E743" s="90">
        <v>11056.338129496402</v>
      </c>
      <c r="F743" s="90">
        <v>9203.8550115947546</v>
      </c>
      <c r="G743" s="90">
        <v>0</v>
      </c>
      <c r="H743" s="90">
        <v>62729.885339591623</v>
      </c>
      <c r="I743" s="90">
        <v>0</v>
      </c>
      <c r="J743" s="90">
        <v>0</v>
      </c>
      <c r="K743" s="90">
        <v>0</v>
      </c>
      <c r="L743" s="90">
        <v>6810.8527085801188</v>
      </c>
      <c r="M743" s="90">
        <v>0</v>
      </c>
      <c r="N743" s="90">
        <v>46420.115151297803</v>
      </c>
      <c r="O743" s="90">
        <v>0</v>
      </c>
      <c r="P743" s="90">
        <v>0</v>
      </c>
      <c r="Q743" s="90">
        <v>0</v>
      </c>
      <c r="R743" s="90">
        <v>77394.36690647481</v>
      </c>
    </row>
    <row r="744" spans="1:18">
      <c r="A744" s="90" t="s">
        <v>169</v>
      </c>
      <c r="B744" s="90" t="s">
        <v>643</v>
      </c>
      <c r="C744" s="90" t="str">
        <f t="shared" si="11"/>
        <v>KotlikOther</v>
      </c>
      <c r="D744" s="90">
        <v>13</v>
      </c>
      <c r="E744" s="90">
        <v>51671.59923664121</v>
      </c>
      <c r="F744" s="90">
        <v>53542.650544183991</v>
      </c>
      <c r="G744" s="90">
        <v>0</v>
      </c>
      <c r="H744" s="90">
        <v>378751.4247687863</v>
      </c>
      <c r="I744" s="90">
        <v>0</v>
      </c>
      <c r="J744" s="90">
        <v>0</v>
      </c>
      <c r="K744" s="90">
        <v>0</v>
      </c>
      <c r="L744" s="90">
        <v>39621.561402696141</v>
      </c>
      <c r="M744" s="90">
        <v>0</v>
      </c>
      <c r="N744" s="90">
        <v>280276.05432890193</v>
      </c>
      <c r="O744" s="90">
        <v>0</v>
      </c>
      <c r="P744" s="90">
        <v>0</v>
      </c>
      <c r="Q744" s="90">
        <v>0</v>
      </c>
      <c r="R744" s="90">
        <v>361701.19465648849</v>
      </c>
    </row>
    <row r="745" spans="1:18">
      <c r="A745" s="90" t="s">
        <v>169</v>
      </c>
      <c r="B745" s="90" t="s">
        <v>1227</v>
      </c>
      <c r="C745" s="90" t="str">
        <f t="shared" si="11"/>
        <v>KotlikPublic Assembly</v>
      </c>
      <c r="D745" s="90">
        <v>4</v>
      </c>
      <c r="E745" s="90">
        <v>13986.56404494382</v>
      </c>
      <c r="F745" s="90">
        <v>9981.7861067569211</v>
      </c>
      <c r="G745" s="90">
        <v>0</v>
      </c>
      <c r="H745" s="90">
        <v>64853.25727960415</v>
      </c>
      <c r="I745" s="90">
        <v>0</v>
      </c>
      <c r="J745" s="90">
        <v>0</v>
      </c>
      <c r="K745" s="90">
        <v>0</v>
      </c>
      <c r="L745" s="90">
        <v>7386.5217190001204</v>
      </c>
      <c r="M745" s="90">
        <v>0</v>
      </c>
      <c r="N745" s="90">
        <v>47991.41038690706</v>
      </c>
      <c r="O745" s="90">
        <v>0</v>
      </c>
      <c r="P745" s="90">
        <v>0</v>
      </c>
      <c r="Q745" s="90">
        <v>0</v>
      </c>
      <c r="R745" s="90">
        <v>97905.948314606736</v>
      </c>
    </row>
    <row r="746" spans="1:18">
      <c r="A746" s="90" t="s">
        <v>169</v>
      </c>
      <c r="B746" s="90" t="s">
        <v>1475</v>
      </c>
      <c r="C746" s="90" t="str">
        <f t="shared" si="11"/>
        <v>KotlikPublic Safety</v>
      </c>
      <c r="D746" s="90">
        <v>2</v>
      </c>
      <c r="E746" s="90">
        <v>5394.8178787878787</v>
      </c>
      <c r="F746" s="90">
        <v>3818.7885422614822</v>
      </c>
      <c r="G746" s="90">
        <v>0</v>
      </c>
      <c r="H746" s="90">
        <v>44615.58581611071</v>
      </c>
      <c r="I746" s="90">
        <v>0</v>
      </c>
      <c r="J746" s="90">
        <v>0</v>
      </c>
      <c r="K746" s="90">
        <v>0</v>
      </c>
      <c r="L746" s="90">
        <v>2825.9035212734966</v>
      </c>
      <c r="M746" s="90">
        <v>0</v>
      </c>
      <c r="N746" s="90">
        <v>33015.533503921928</v>
      </c>
      <c r="O746" s="90">
        <v>0</v>
      </c>
      <c r="P746" s="90">
        <v>0</v>
      </c>
      <c r="Q746" s="90">
        <v>0</v>
      </c>
      <c r="R746" s="90">
        <v>37763.725151515151</v>
      </c>
    </row>
    <row r="747" spans="1:18">
      <c r="A747" s="90" t="s">
        <v>169</v>
      </c>
      <c r="B747" s="90" t="s">
        <v>1485</v>
      </c>
      <c r="C747" s="90" t="str">
        <f t="shared" si="11"/>
        <v>KotlikRetail - Other</v>
      </c>
      <c r="D747" s="90">
        <v>2</v>
      </c>
      <c r="E747" s="90">
        <v>8591</v>
      </c>
      <c r="F747" s="90">
        <v>14270.07243898169</v>
      </c>
      <c r="G747" s="90">
        <v>0</v>
      </c>
      <c r="H747" s="90">
        <v>180357.86169563874</v>
      </c>
      <c r="I747" s="90">
        <v>0</v>
      </c>
      <c r="J747" s="90">
        <v>0</v>
      </c>
      <c r="K747" s="90">
        <v>0</v>
      </c>
      <c r="L747" s="90">
        <v>10559.853604846448</v>
      </c>
      <c r="M747" s="90">
        <v>0</v>
      </c>
      <c r="N747" s="90">
        <v>133464.81765477266</v>
      </c>
      <c r="O747" s="90">
        <v>0</v>
      </c>
      <c r="P747" s="90">
        <v>0</v>
      </c>
      <c r="Q747" s="90">
        <v>0</v>
      </c>
      <c r="R747" s="90">
        <v>60137</v>
      </c>
    </row>
    <row r="748" spans="1:18">
      <c r="A748" s="90" t="s">
        <v>33</v>
      </c>
      <c r="B748" s="90" t="s">
        <v>1439</v>
      </c>
      <c r="C748" s="90" t="str">
        <f t="shared" si="11"/>
        <v>KotzebueEducation - K - 12</v>
      </c>
      <c r="D748" s="90">
        <v>1</v>
      </c>
      <c r="E748" s="90">
        <v>229186</v>
      </c>
      <c r="F748" s="90">
        <v>302887.1903084123</v>
      </c>
      <c r="G748" s="90">
        <v>0</v>
      </c>
      <c r="H748" s="90">
        <v>1996095.1767726773</v>
      </c>
      <c r="I748" s="90">
        <v>0</v>
      </c>
      <c r="J748" s="90">
        <v>0</v>
      </c>
      <c r="K748" s="90">
        <v>0</v>
      </c>
      <c r="L748" s="90">
        <v>224136.5208282251</v>
      </c>
      <c r="M748" s="90">
        <v>0</v>
      </c>
      <c r="N748" s="90">
        <v>1477110.4308117812</v>
      </c>
      <c r="O748" s="90">
        <v>0</v>
      </c>
      <c r="P748" s="90">
        <v>0</v>
      </c>
      <c r="Q748" s="90">
        <v>0</v>
      </c>
      <c r="R748" s="90">
        <v>1604302</v>
      </c>
    </row>
    <row r="749" spans="1:18">
      <c r="A749" s="90" t="s">
        <v>33</v>
      </c>
      <c r="B749" s="90" t="s">
        <v>643</v>
      </c>
      <c r="C749" s="90" t="str">
        <f t="shared" si="11"/>
        <v>KotzebueOther</v>
      </c>
      <c r="D749" s="90">
        <v>1</v>
      </c>
      <c r="E749" s="90">
        <v>16221</v>
      </c>
      <c r="F749" s="90">
        <v>15166.655474452553</v>
      </c>
      <c r="G749" s="90">
        <v>0</v>
      </c>
      <c r="H749" s="90">
        <v>199801.79819999996</v>
      </c>
      <c r="I749" s="90">
        <v>0</v>
      </c>
      <c r="J749" s="90">
        <v>0</v>
      </c>
      <c r="K749" s="90">
        <v>0</v>
      </c>
      <c r="L749" s="90">
        <v>11223.325051094889</v>
      </c>
      <c r="M749" s="90">
        <v>0</v>
      </c>
      <c r="N749" s="90">
        <v>147853.33066799998</v>
      </c>
      <c r="O749" s="90">
        <v>0</v>
      </c>
      <c r="P749" s="90">
        <v>0</v>
      </c>
      <c r="Q749" s="90">
        <v>0</v>
      </c>
      <c r="R749" s="90">
        <v>113547</v>
      </c>
    </row>
    <row r="750" spans="1:18">
      <c r="A750" s="90" t="s">
        <v>33</v>
      </c>
      <c r="B750" s="90" t="s">
        <v>1475</v>
      </c>
      <c r="C750" s="90" t="str">
        <f t="shared" si="11"/>
        <v>KotzebuePublic Safety</v>
      </c>
      <c r="D750" s="90">
        <v>1</v>
      </c>
      <c r="E750" s="90">
        <v>12843.666666666666</v>
      </c>
      <c r="F750" s="90">
        <v>360.35036496350364</v>
      </c>
      <c r="G750" s="90">
        <v>0</v>
      </c>
      <c r="H750" s="90">
        <v>7184.0646559999986</v>
      </c>
      <c r="I750" s="90">
        <v>0</v>
      </c>
      <c r="J750" s="90">
        <v>0</v>
      </c>
      <c r="K750" s="90">
        <v>0</v>
      </c>
      <c r="L750" s="90">
        <v>266.65927007299268</v>
      </c>
      <c r="M750" s="90">
        <v>0</v>
      </c>
      <c r="N750" s="90">
        <v>5316.2078454399989</v>
      </c>
      <c r="O750" s="90">
        <v>0</v>
      </c>
      <c r="P750" s="90">
        <v>0</v>
      </c>
      <c r="Q750" s="90">
        <v>0</v>
      </c>
      <c r="R750" s="90">
        <v>89905.666666666657</v>
      </c>
    </row>
    <row r="751" spans="1:18">
      <c r="A751" s="90" t="s">
        <v>33</v>
      </c>
      <c r="B751" s="90" t="s">
        <v>1442</v>
      </c>
      <c r="C751" s="90" t="str">
        <f t="shared" si="11"/>
        <v>KotzebueResidential - Multi-Family</v>
      </c>
      <c r="D751" s="90">
        <v>1</v>
      </c>
      <c r="E751" s="90">
        <v>11325</v>
      </c>
      <c r="F751" s="90">
        <v>5652.5868613138691</v>
      </c>
      <c r="G751" s="90">
        <v>0</v>
      </c>
      <c r="H751" s="90">
        <v>72749.654740999991</v>
      </c>
      <c r="I751" s="90">
        <v>0</v>
      </c>
      <c r="J751" s="90">
        <v>0</v>
      </c>
      <c r="K751" s="90">
        <v>0</v>
      </c>
      <c r="L751" s="90">
        <v>4182.9142773722633</v>
      </c>
      <c r="M751" s="90">
        <v>0</v>
      </c>
      <c r="N751" s="90">
        <v>53834.744508339994</v>
      </c>
      <c r="O751" s="90">
        <v>0</v>
      </c>
      <c r="P751" s="90">
        <v>0</v>
      </c>
      <c r="Q751" s="90">
        <v>0</v>
      </c>
      <c r="R751" s="90">
        <v>79275</v>
      </c>
    </row>
    <row r="752" spans="1:18">
      <c r="A752" s="90" t="s">
        <v>33</v>
      </c>
      <c r="B752" s="90" t="s">
        <v>951</v>
      </c>
      <c r="C752" s="90" t="str">
        <f t="shared" si="11"/>
        <v>KotzebueWarehousing</v>
      </c>
      <c r="D752" s="90">
        <v>2</v>
      </c>
      <c r="E752" s="90">
        <v>8414</v>
      </c>
      <c r="F752" s="90">
        <v>11188.564523287765</v>
      </c>
      <c r="G752" s="90">
        <v>0</v>
      </c>
      <c r="H752" s="90">
        <v>19623.176606999998</v>
      </c>
      <c r="I752" s="90">
        <v>0</v>
      </c>
      <c r="J752" s="90">
        <v>0</v>
      </c>
      <c r="K752" s="90">
        <v>0</v>
      </c>
      <c r="L752" s="90">
        <v>8279.5377472329455</v>
      </c>
      <c r="M752" s="90">
        <v>0</v>
      </c>
      <c r="N752" s="90">
        <v>14521.150689179998</v>
      </c>
      <c r="O752" s="90">
        <v>0</v>
      </c>
      <c r="P752" s="90">
        <v>0</v>
      </c>
      <c r="Q752" s="90">
        <v>0</v>
      </c>
      <c r="R752" s="90">
        <v>58898</v>
      </c>
    </row>
    <row r="753" spans="1:18">
      <c r="A753" s="90" t="s">
        <v>85</v>
      </c>
      <c r="B753" s="90" t="s">
        <v>1439</v>
      </c>
      <c r="C753" s="90" t="str">
        <f t="shared" si="11"/>
        <v>KoyukEducation - K - 12</v>
      </c>
      <c r="D753" s="90">
        <v>2</v>
      </c>
      <c r="E753" s="90">
        <v>28963</v>
      </c>
      <c r="F753" s="90">
        <v>41354.672099338881</v>
      </c>
      <c r="G753" s="90">
        <v>0</v>
      </c>
      <c r="H753" s="90">
        <v>247519.24506181787</v>
      </c>
      <c r="I753" s="90">
        <v>0</v>
      </c>
      <c r="J753" s="90">
        <v>0</v>
      </c>
      <c r="K753" s="90">
        <v>0</v>
      </c>
      <c r="L753" s="90">
        <v>30602.45735351077</v>
      </c>
      <c r="M753" s="90">
        <v>0</v>
      </c>
      <c r="N753" s="90">
        <v>183164.24134574522</v>
      </c>
      <c r="O753" s="90">
        <v>0</v>
      </c>
      <c r="P753" s="90">
        <v>0</v>
      </c>
      <c r="Q753" s="90">
        <v>0</v>
      </c>
      <c r="R753" s="90">
        <v>202741</v>
      </c>
    </row>
    <row r="754" spans="1:18">
      <c r="A754" s="90" t="s">
        <v>85</v>
      </c>
      <c r="B754" s="90" t="s">
        <v>1440</v>
      </c>
      <c r="C754" s="90" t="str">
        <f t="shared" si="11"/>
        <v>KoyukHealth Care - Hospitals</v>
      </c>
      <c r="D754" s="90">
        <v>1</v>
      </c>
      <c r="E754" s="90">
        <v>3720</v>
      </c>
      <c r="F754" s="90">
        <v>2351.3208362472051</v>
      </c>
      <c r="G754" s="90">
        <v>0</v>
      </c>
      <c r="H754" s="90">
        <v>19638</v>
      </c>
      <c r="I754" s="90">
        <v>0</v>
      </c>
      <c r="J754" s="90">
        <v>0</v>
      </c>
      <c r="K754" s="90">
        <v>0</v>
      </c>
      <c r="L754" s="90">
        <v>1739.9774188229317</v>
      </c>
      <c r="M754" s="90">
        <v>0</v>
      </c>
      <c r="N754" s="90">
        <v>14532.119999999999</v>
      </c>
      <c r="O754" s="90">
        <v>0</v>
      </c>
      <c r="P754" s="90">
        <v>0</v>
      </c>
      <c r="Q754" s="90">
        <v>0</v>
      </c>
      <c r="R754" s="90">
        <v>26040</v>
      </c>
    </row>
    <row r="755" spans="1:18">
      <c r="A755" s="90" t="s">
        <v>85</v>
      </c>
      <c r="B755" s="90" t="s">
        <v>665</v>
      </c>
      <c r="C755" s="90" t="str">
        <f t="shared" si="11"/>
        <v>KoyukOffice</v>
      </c>
      <c r="D755" s="90">
        <v>4</v>
      </c>
      <c r="E755" s="90">
        <v>10170.338129496402</v>
      </c>
      <c r="F755" s="90">
        <v>6213.5212825189537</v>
      </c>
      <c r="G755" s="90">
        <v>0</v>
      </c>
      <c r="H755" s="90">
        <v>51787.317250997352</v>
      </c>
      <c r="I755" s="90">
        <v>0</v>
      </c>
      <c r="J755" s="90">
        <v>0</v>
      </c>
      <c r="K755" s="90">
        <v>0</v>
      </c>
      <c r="L755" s="90">
        <v>4598.0057490640256</v>
      </c>
      <c r="M755" s="90">
        <v>0</v>
      </c>
      <c r="N755" s="90">
        <v>38322.614765738042</v>
      </c>
      <c r="O755" s="90">
        <v>0</v>
      </c>
      <c r="P755" s="90">
        <v>0</v>
      </c>
      <c r="Q755" s="90">
        <v>0</v>
      </c>
      <c r="R755" s="90">
        <v>71192.36690647481</v>
      </c>
    </row>
    <row r="756" spans="1:18">
      <c r="A756" s="90" t="s">
        <v>85</v>
      </c>
      <c r="B756" s="90" t="s">
        <v>643</v>
      </c>
      <c r="C756" s="90" t="str">
        <f t="shared" si="11"/>
        <v>KoyukOther</v>
      </c>
      <c r="D756" s="90">
        <v>12</v>
      </c>
      <c r="E756" s="90">
        <v>42978.217557251905</v>
      </c>
      <c r="F756" s="90">
        <v>45677.884868838795</v>
      </c>
      <c r="G756" s="90">
        <v>0</v>
      </c>
      <c r="H756" s="90">
        <v>316354.19359118334</v>
      </c>
      <c r="I756" s="90">
        <v>0</v>
      </c>
      <c r="J756" s="90">
        <v>0</v>
      </c>
      <c r="K756" s="90">
        <v>0</v>
      </c>
      <c r="L756" s="90">
        <v>33801.634802940702</v>
      </c>
      <c r="M756" s="90">
        <v>0</v>
      </c>
      <c r="N756" s="90">
        <v>234102.10325747571</v>
      </c>
      <c r="O756" s="90">
        <v>0</v>
      </c>
      <c r="P756" s="90">
        <v>0</v>
      </c>
      <c r="Q756" s="90">
        <v>0</v>
      </c>
      <c r="R756" s="90">
        <v>300847.52290076332</v>
      </c>
    </row>
    <row r="757" spans="1:18">
      <c r="A757" s="90" t="s">
        <v>85</v>
      </c>
      <c r="B757" s="90" t="s">
        <v>1227</v>
      </c>
      <c r="C757" s="90" t="str">
        <f t="shared" si="11"/>
        <v>KoyukPublic Assembly</v>
      </c>
      <c r="D757" s="90">
        <v>3</v>
      </c>
      <c r="E757" s="90">
        <v>8053.1280898876403</v>
      </c>
      <c r="F757" s="90">
        <v>5569.6270886474631</v>
      </c>
      <c r="G757" s="90">
        <v>0</v>
      </c>
      <c r="H757" s="90">
        <v>37340.949946022862</v>
      </c>
      <c r="I757" s="90">
        <v>0</v>
      </c>
      <c r="J757" s="90">
        <v>0</v>
      </c>
      <c r="K757" s="90">
        <v>0</v>
      </c>
      <c r="L757" s="90">
        <v>4121.5240455991225</v>
      </c>
      <c r="M757" s="90">
        <v>0</v>
      </c>
      <c r="N757" s="90">
        <v>27632.302960056913</v>
      </c>
      <c r="O757" s="90">
        <v>0</v>
      </c>
      <c r="P757" s="90">
        <v>0</v>
      </c>
      <c r="Q757" s="90">
        <v>0</v>
      </c>
      <c r="R757" s="90">
        <v>56371.896629213479</v>
      </c>
    </row>
    <row r="758" spans="1:18">
      <c r="A758" s="90" t="s">
        <v>85</v>
      </c>
      <c r="B758" s="90" t="s">
        <v>1475</v>
      </c>
      <c r="C758" s="90" t="str">
        <f t="shared" si="11"/>
        <v>KoyukPublic Safety</v>
      </c>
      <c r="D758" s="90">
        <v>2</v>
      </c>
      <c r="E758" s="90">
        <v>3417.4089393939394</v>
      </c>
      <c r="F758" s="90">
        <v>2419.0551739091752</v>
      </c>
      <c r="G758" s="90">
        <v>0</v>
      </c>
      <c r="H758" s="90">
        <v>28262.251892464526</v>
      </c>
      <c r="I758" s="90">
        <v>0</v>
      </c>
      <c r="J758" s="90">
        <v>0</v>
      </c>
      <c r="K758" s="90">
        <v>0</v>
      </c>
      <c r="L758" s="90">
        <v>1790.1008286927895</v>
      </c>
      <c r="M758" s="90">
        <v>0</v>
      </c>
      <c r="N758" s="90">
        <v>20914.066400423751</v>
      </c>
      <c r="O758" s="90">
        <v>0</v>
      </c>
      <c r="P758" s="90">
        <v>0</v>
      </c>
      <c r="Q758" s="90">
        <v>0</v>
      </c>
      <c r="R758" s="90">
        <v>23921.862575757576</v>
      </c>
    </row>
    <row r="759" spans="1:18">
      <c r="A759" s="90" t="s">
        <v>85</v>
      </c>
      <c r="B759" s="90" t="s">
        <v>1485</v>
      </c>
      <c r="C759" s="90" t="str">
        <f t="shared" si="11"/>
        <v>KoyukRetail - Other</v>
      </c>
      <c r="D759" s="90">
        <v>1</v>
      </c>
      <c r="E759" s="90">
        <v>3304</v>
      </c>
      <c r="F759" s="90">
        <v>500</v>
      </c>
      <c r="G759" s="90">
        <v>0</v>
      </c>
      <c r="H759" s="90">
        <v>79800</v>
      </c>
      <c r="I759" s="90">
        <v>0</v>
      </c>
      <c r="J759" s="90">
        <v>0</v>
      </c>
      <c r="K759" s="90">
        <v>0</v>
      </c>
      <c r="L759" s="90">
        <v>370</v>
      </c>
      <c r="M759" s="90">
        <v>0</v>
      </c>
      <c r="N759" s="90">
        <v>59052</v>
      </c>
      <c r="O759" s="90">
        <v>0</v>
      </c>
      <c r="P759" s="90">
        <v>0</v>
      </c>
      <c r="Q759" s="90">
        <v>0</v>
      </c>
      <c r="R759" s="90">
        <v>23128</v>
      </c>
    </row>
    <row r="760" spans="1:18">
      <c r="A760" s="90" t="s">
        <v>258</v>
      </c>
      <c r="B760" s="90" t="s">
        <v>1439</v>
      </c>
      <c r="C760" s="90" t="str">
        <f t="shared" si="11"/>
        <v>KoyukukEducation - K - 12</v>
      </c>
      <c r="D760" s="90">
        <v>1</v>
      </c>
      <c r="E760" s="90">
        <v>13896</v>
      </c>
      <c r="F760" s="90">
        <v>9500</v>
      </c>
      <c r="G760" s="90">
        <v>11780.534713809402</v>
      </c>
      <c r="H760" s="90">
        <v>43333.2</v>
      </c>
      <c r="I760" s="90">
        <v>0</v>
      </c>
      <c r="J760" s="90">
        <v>0</v>
      </c>
      <c r="K760" s="90">
        <v>0</v>
      </c>
      <c r="L760" s="90">
        <v>7030</v>
      </c>
      <c r="M760" s="90">
        <v>8717.5956882189566</v>
      </c>
      <c r="N760" s="90">
        <v>32066.567999999996</v>
      </c>
      <c r="O760" s="90">
        <v>0</v>
      </c>
      <c r="P760" s="90">
        <v>0</v>
      </c>
      <c r="Q760" s="90">
        <v>0</v>
      </c>
      <c r="R760" s="90">
        <v>97272</v>
      </c>
    </row>
    <row r="761" spans="1:18">
      <c r="A761" s="90" t="s">
        <v>258</v>
      </c>
      <c r="B761" s="90" t="s">
        <v>1440</v>
      </c>
      <c r="C761" s="90" t="str">
        <f t="shared" si="11"/>
        <v>KoyukukHealth Care - Hospitals</v>
      </c>
      <c r="D761" s="90">
        <v>1</v>
      </c>
      <c r="E761" s="90">
        <v>1407</v>
      </c>
      <c r="F761" s="90">
        <v>0</v>
      </c>
      <c r="G761" s="90">
        <v>0</v>
      </c>
      <c r="H761" s="90">
        <v>10584.06083954753</v>
      </c>
      <c r="I761" s="90">
        <v>0</v>
      </c>
      <c r="J761" s="90">
        <v>0</v>
      </c>
      <c r="K761" s="90">
        <v>8.4580328045051196</v>
      </c>
      <c r="L761" s="90">
        <v>0</v>
      </c>
      <c r="M761" s="90">
        <v>0</v>
      </c>
      <c r="N761" s="90">
        <v>7832.205021265172</v>
      </c>
      <c r="O761" s="90">
        <v>0</v>
      </c>
      <c r="P761" s="90">
        <v>0</v>
      </c>
      <c r="Q761" s="90">
        <v>6.2589442753337883</v>
      </c>
      <c r="R761" s="90">
        <v>9849</v>
      </c>
    </row>
    <row r="762" spans="1:18">
      <c r="A762" s="90" t="s">
        <v>258</v>
      </c>
      <c r="B762" s="90" t="s">
        <v>665</v>
      </c>
      <c r="C762" s="90" t="str">
        <f t="shared" si="11"/>
        <v>KoyukukOffice</v>
      </c>
      <c r="D762" s="90">
        <v>2</v>
      </c>
      <c r="E762" s="90">
        <v>4083.2585034013605</v>
      </c>
      <c r="F762" s="90">
        <v>2705.5824722962652</v>
      </c>
      <c r="G762" s="90">
        <v>0</v>
      </c>
      <c r="H762" s="90">
        <v>32731.523632869641</v>
      </c>
      <c r="I762" s="90">
        <v>0</v>
      </c>
      <c r="J762" s="90">
        <v>0</v>
      </c>
      <c r="K762" s="90">
        <v>23.527790494057619</v>
      </c>
      <c r="L762" s="90">
        <v>2002.1310294992363</v>
      </c>
      <c r="M762" s="90">
        <v>0</v>
      </c>
      <c r="N762" s="90">
        <v>24221.327488323535</v>
      </c>
      <c r="O762" s="90">
        <v>0</v>
      </c>
      <c r="P762" s="90">
        <v>0</v>
      </c>
      <c r="Q762" s="90">
        <v>17.410564965602639</v>
      </c>
      <c r="R762" s="90">
        <v>28582.809523809523</v>
      </c>
    </row>
    <row r="763" spans="1:18">
      <c r="A763" s="90" t="s">
        <v>258</v>
      </c>
      <c r="B763" s="90" t="s">
        <v>643</v>
      </c>
      <c r="C763" s="90" t="str">
        <f t="shared" si="11"/>
        <v>KoyukukOther</v>
      </c>
      <c r="D763" s="90">
        <v>7</v>
      </c>
      <c r="E763" s="90">
        <v>10059.761363636364</v>
      </c>
      <c r="F763" s="90">
        <v>8700.3993538571831</v>
      </c>
      <c r="G763" s="90">
        <v>0</v>
      </c>
      <c r="H763" s="90">
        <v>73214.819629886595</v>
      </c>
      <c r="I763" s="90">
        <v>0</v>
      </c>
      <c r="J763" s="90">
        <v>0</v>
      </c>
      <c r="K763" s="90">
        <v>0</v>
      </c>
      <c r="L763" s="90">
        <v>6438.2955218543157</v>
      </c>
      <c r="M763" s="90">
        <v>0</v>
      </c>
      <c r="N763" s="90">
        <v>54178.966526116077</v>
      </c>
      <c r="O763" s="90">
        <v>0</v>
      </c>
      <c r="P763" s="90">
        <v>0</v>
      </c>
      <c r="Q763" s="90">
        <v>0</v>
      </c>
      <c r="R763" s="90">
        <v>70418.329545454544</v>
      </c>
    </row>
    <row r="764" spans="1:18">
      <c r="A764" s="90" t="s">
        <v>258</v>
      </c>
      <c r="B764" s="90" t="s">
        <v>1227</v>
      </c>
      <c r="C764" s="90" t="str">
        <f t="shared" si="11"/>
        <v>KoyukukPublic Assembly</v>
      </c>
      <c r="D764" s="90">
        <v>2</v>
      </c>
      <c r="E764" s="90">
        <v>4797.7211538461543</v>
      </c>
      <c r="F764" s="90">
        <v>2993.5744825208176</v>
      </c>
      <c r="G764" s="90">
        <v>0</v>
      </c>
      <c r="H764" s="90">
        <v>18047.758435305273</v>
      </c>
      <c r="I764" s="90">
        <v>0</v>
      </c>
      <c r="J764" s="90">
        <v>0</v>
      </c>
      <c r="K764" s="90">
        <v>0</v>
      </c>
      <c r="L764" s="90">
        <v>2215.2451170654049</v>
      </c>
      <c r="M764" s="90">
        <v>0</v>
      </c>
      <c r="N764" s="90">
        <v>13355.341242125902</v>
      </c>
      <c r="O764" s="90">
        <v>0</v>
      </c>
      <c r="P764" s="90">
        <v>0</v>
      </c>
      <c r="Q764" s="90">
        <v>0</v>
      </c>
      <c r="R764" s="90">
        <v>33584.048076923078</v>
      </c>
    </row>
    <row r="765" spans="1:18">
      <c r="A765" s="90" t="s">
        <v>258</v>
      </c>
      <c r="B765" s="90" t="s">
        <v>1475</v>
      </c>
      <c r="C765" s="90" t="str">
        <f t="shared" si="11"/>
        <v>KoyukukPublic Safety</v>
      </c>
      <c r="D765" s="90">
        <v>1</v>
      </c>
      <c r="E765" s="90">
        <v>2595.4749999999999</v>
      </c>
      <c r="F765" s="90">
        <v>2523.774623927618</v>
      </c>
      <c r="G765" s="90">
        <v>0</v>
      </c>
      <c r="H765" s="90">
        <v>20946.642306328533</v>
      </c>
      <c r="I765" s="90">
        <v>0</v>
      </c>
      <c r="J765" s="90">
        <v>0</v>
      </c>
      <c r="K765" s="90">
        <v>0</v>
      </c>
      <c r="L765" s="90">
        <v>1867.5932217064374</v>
      </c>
      <c r="M765" s="90">
        <v>0</v>
      </c>
      <c r="N765" s="90">
        <v>15500.515306683114</v>
      </c>
      <c r="O765" s="90">
        <v>0</v>
      </c>
      <c r="P765" s="90">
        <v>0</v>
      </c>
      <c r="Q765" s="90">
        <v>0</v>
      </c>
      <c r="R765" s="90">
        <v>18168.325000000001</v>
      </c>
    </row>
    <row r="766" spans="1:18">
      <c r="A766" s="90" t="s">
        <v>258</v>
      </c>
      <c r="B766" s="90" t="s">
        <v>951</v>
      </c>
      <c r="C766" s="90" t="str">
        <f t="shared" si="11"/>
        <v>KoyukukWarehousing</v>
      </c>
      <c r="D766" s="90">
        <v>3</v>
      </c>
      <c r="E766" s="90">
        <v>3759.9145299145298</v>
      </c>
      <c r="F766" s="90">
        <v>4713.167189792799</v>
      </c>
      <c r="G766" s="90">
        <v>0</v>
      </c>
      <c r="H766" s="90">
        <v>44611.945321180829</v>
      </c>
      <c r="I766" s="90">
        <v>0</v>
      </c>
      <c r="J766" s="90">
        <v>0</v>
      </c>
      <c r="K766" s="90">
        <v>0</v>
      </c>
      <c r="L766" s="90">
        <v>3487.7437204466714</v>
      </c>
      <c r="M766" s="90">
        <v>0</v>
      </c>
      <c r="N766" s="90">
        <v>33012.839537673812</v>
      </c>
      <c r="O766" s="90">
        <v>0</v>
      </c>
      <c r="P766" s="90">
        <v>0</v>
      </c>
      <c r="Q766" s="90">
        <v>0</v>
      </c>
      <c r="R766" s="90">
        <v>26319.401709401707</v>
      </c>
    </row>
    <row r="767" spans="1:18">
      <c r="A767" s="90" t="s">
        <v>173</v>
      </c>
      <c r="B767" s="90" t="s">
        <v>1439</v>
      </c>
      <c r="C767" s="90" t="str">
        <f t="shared" si="11"/>
        <v>KwethlukEducation - K - 12</v>
      </c>
      <c r="D767" s="90">
        <v>1</v>
      </c>
      <c r="E767" s="90">
        <v>34786</v>
      </c>
      <c r="F767" s="90">
        <v>0</v>
      </c>
      <c r="G767" s="90">
        <v>25554.877451789158</v>
      </c>
      <c r="H767" s="90">
        <v>246309.98916725689</v>
      </c>
      <c r="I767" s="90">
        <v>0</v>
      </c>
      <c r="J767" s="90">
        <v>0</v>
      </c>
      <c r="K767" s="90">
        <v>0</v>
      </c>
      <c r="L767" s="90">
        <v>0</v>
      </c>
      <c r="M767" s="90">
        <v>18910.609314323978</v>
      </c>
      <c r="N767" s="90">
        <v>182269.3919837701</v>
      </c>
      <c r="O767" s="90">
        <v>0</v>
      </c>
      <c r="P767" s="90">
        <v>0</v>
      </c>
      <c r="Q767" s="90">
        <v>0</v>
      </c>
      <c r="R767" s="90">
        <v>243502</v>
      </c>
    </row>
    <row r="768" spans="1:18">
      <c r="A768" s="90" t="s">
        <v>173</v>
      </c>
      <c r="B768" s="90" t="s">
        <v>1440</v>
      </c>
      <c r="C768" s="90" t="str">
        <f t="shared" si="11"/>
        <v>KwethlukHealth Care - Hospitals</v>
      </c>
      <c r="D768" s="90">
        <v>1</v>
      </c>
      <c r="E768" s="90">
        <v>3905.5925000000002</v>
      </c>
      <c r="F768" s="90">
        <v>2468.6293072959174</v>
      </c>
      <c r="G768" s="90">
        <v>0</v>
      </c>
      <c r="H768" s="90">
        <v>34430.972059887106</v>
      </c>
      <c r="I768" s="90">
        <v>0</v>
      </c>
      <c r="J768" s="90">
        <v>0</v>
      </c>
      <c r="K768" s="90">
        <v>0</v>
      </c>
      <c r="L768" s="90">
        <v>1826.7856873989788</v>
      </c>
      <c r="M768" s="90">
        <v>0</v>
      </c>
      <c r="N768" s="90">
        <v>25478.919324316459</v>
      </c>
      <c r="O768" s="90">
        <v>0</v>
      </c>
      <c r="P768" s="90">
        <v>0</v>
      </c>
      <c r="Q768" s="90">
        <v>0</v>
      </c>
      <c r="R768" s="90">
        <v>27339.147500000003</v>
      </c>
    </row>
    <row r="769" spans="1:18">
      <c r="A769" s="90" t="s">
        <v>173</v>
      </c>
      <c r="B769" s="90" t="s">
        <v>665</v>
      </c>
      <c r="C769" s="90" t="str">
        <f t="shared" si="11"/>
        <v>KwethlukOffice</v>
      </c>
      <c r="D769" s="90">
        <v>1</v>
      </c>
      <c r="E769" s="90">
        <v>1800</v>
      </c>
      <c r="F769" s="90">
        <v>1498.4110314673558</v>
      </c>
      <c r="G769" s="90">
        <v>0</v>
      </c>
      <c r="H769" s="90">
        <v>10212.585061054744</v>
      </c>
      <c r="I769" s="90">
        <v>0</v>
      </c>
      <c r="J769" s="90">
        <v>0</v>
      </c>
      <c r="K769" s="90">
        <v>0</v>
      </c>
      <c r="L769" s="90">
        <v>1108.8241632858433</v>
      </c>
      <c r="M769" s="90">
        <v>0</v>
      </c>
      <c r="N769" s="90">
        <v>7557.3129451805107</v>
      </c>
      <c r="O769" s="90">
        <v>0</v>
      </c>
      <c r="P769" s="90">
        <v>0</v>
      </c>
      <c r="Q769" s="90">
        <v>0</v>
      </c>
      <c r="R769" s="90">
        <v>12600</v>
      </c>
    </row>
    <row r="770" spans="1:18">
      <c r="A770" s="90" t="s">
        <v>173</v>
      </c>
      <c r="B770" s="90" t="s">
        <v>643</v>
      </c>
      <c r="C770" s="90" t="str">
        <f t="shared" si="11"/>
        <v>KwethlukOther</v>
      </c>
      <c r="D770" s="90">
        <v>10</v>
      </c>
      <c r="E770" s="90">
        <v>46909.526717557252</v>
      </c>
      <c r="F770" s="90">
        <v>49856.138351990485</v>
      </c>
      <c r="G770" s="90">
        <v>0</v>
      </c>
      <c r="H770" s="90">
        <v>348211.44594121026</v>
      </c>
      <c r="I770" s="90">
        <v>0</v>
      </c>
      <c r="J770" s="90">
        <v>0</v>
      </c>
      <c r="K770" s="90">
        <v>0</v>
      </c>
      <c r="L770" s="90">
        <v>36893.542380472951</v>
      </c>
      <c r="M770" s="90">
        <v>0</v>
      </c>
      <c r="N770" s="90">
        <v>257676.46999649564</v>
      </c>
      <c r="O770" s="90">
        <v>0</v>
      </c>
      <c r="P770" s="90">
        <v>0</v>
      </c>
      <c r="Q770" s="90">
        <v>0</v>
      </c>
      <c r="R770" s="90">
        <v>328366.68702290073</v>
      </c>
    </row>
    <row r="771" spans="1:18">
      <c r="A771" s="90" t="s">
        <v>173</v>
      </c>
      <c r="B771" s="90" t="s">
        <v>1227</v>
      </c>
      <c r="C771" s="90" t="str">
        <f t="shared" ref="C771:C834" si="12">CONCATENATE(A771,B771)</f>
        <v>KwethlukPublic Assembly</v>
      </c>
      <c r="D771" s="90">
        <v>1</v>
      </c>
      <c r="E771" s="90">
        <v>1600</v>
      </c>
      <c r="F771" s="90">
        <v>900</v>
      </c>
      <c r="G771" s="90">
        <v>0</v>
      </c>
      <c r="H771" s="90">
        <v>4287</v>
      </c>
      <c r="I771" s="90">
        <v>0</v>
      </c>
      <c r="J771" s="90">
        <v>0</v>
      </c>
      <c r="K771" s="90">
        <v>0</v>
      </c>
      <c r="L771" s="90">
        <v>666</v>
      </c>
      <c r="M771" s="90">
        <v>0</v>
      </c>
      <c r="N771" s="90">
        <v>3172.38</v>
      </c>
      <c r="O771" s="90">
        <v>0</v>
      </c>
      <c r="P771" s="90">
        <v>0</v>
      </c>
      <c r="Q771" s="90">
        <v>0</v>
      </c>
      <c r="R771" s="90">
        <v>11200</v>
      </c>
    </row>
    <row r="772" spans="1:18">
      <c r="A772" s="90" t="s">
        <v>173</v>
      </c>
      <c r="B772" s="90" t="s">
        <v>1475</v>
      </c>
      <c r="C772" s="90" t="str">
        <f t="shared" si="12"/>
        <v>KwethlukPublic Safety</v>
      </c>
      <c r="D772" s="90">
        <v>2</v>
      </c>
      <c r="E772" s="90">
        <v>6300</v>
      </c>
      <c r="F772" s="90">
        <v>4459.5328993112989</v>
      </c>
      <c r="G772" s="90">
        <v>0</v>
      </c>
      <c r="H772" s="90">
        <v>52101.516113580248</v>
      </c>
      <c r="I772" s="90">
        <v>0</v>
      </c>
      <c r="J772" s="90">
        <v>0</v>
      </c>
      <c r="K772" s="90">
        <v>0</v>
      </c>
      <c r="L772" s="90">
        <v>3300.0543454903609</v>
      </c>
      <c r="M772" s="90">
        <v>0</v>
      </c>
      <c r="N772" s="90">
        <v>38555.121924049381</v>
      </c>
      <c r="O772" s="90">
        <v>0</v>
      </c>
      <c r="P772" s="90">
        <v>0</v>
      </c>
      <c r="Q772" s="90">
        <v>0</v>
      </c>
      <c r="R772" s="90">
        <v>44100</v>
      </c>
    </row>
    <row r="773" spans="1:18">
      <c r="A773" s="90" t="s">
        <v>173</v>
      </c>
      <c r="B773" s="90" t="s">
        <v>1485</v>
      </c>
      <c r="C773" s="90" t="str">
        <f t="shared" si="12"/>
        <v>KwethlukRetail - Other</v>
      </c>
      <c r="D773" s="90">
        <v>2</v>
      </c>
      <c r="E773" s="90">
        <v>69000</v>
      </c>
      <c r="F773" s="90">
        <v>12305.245279351466</v>
      </c>
      <c r="G773" s="90">
        <v>0</v>
      </c>
      <c r="H773" s="90">
        <v>167413.89626237639</v>
      </c>
      <c r="I773" s="90">
        <v>0</v>
      </c>
      <c r="J773" s="90">
        <v>0</v>
      </c>
      <c r="K773" s="90">
        <v>0</v>
      </c>
      <c r="L773" s="90">
        <v>9105.8815067200849</v>
      </c>
      <c r="M773" s="90">
        <v>0</v>
      </c>
      <c r="N773" s="90">
        <v>123886.28323415853</v>
      </c>
      <c r="O773" s="90">
        <v>0</v>
      </c>
      <c r="P773" s="90">
        <v>0</v>
      </c>
      <c r="Q773" s="90">
        <v>0</v>
      </c>
      <c r="R773" s="90">
        <v>483000</v>
      </c>
    </row>
    <row r="774" spans="1:18">
      <c r="A774" s="90" t="s">
        <v>173</v>
      </c>
      <c r="B774" s="90" t="s">
        <v>951</v>
      </c>
      <c r="C774" s="90" t="str">
        <f t="shared" si="12"/>
        <v>KwethlukWarehousing</v>
      </c>
      <c r="D774" s="90">
        <v>3</v>
      </c>
      <c r="E774" s="90">
        <v>8179.6985294117649</v>
      </c>
      <c r="F774" s="90">
        <v>14275.974463780716</v>
      </c>
      <c r="G774" s="90">
        <v>0</v>
      </c>
      <c r="H774" s="90">
        <v>127162.76409316297</v>
      </c>
      <c r="I774" s="90">
        <v>0</v>
      </c>
      <c r="J774" s="90">
        <v>0</v>
      </c>
      <c r="K774" s="90">
        <v>0</v>
      </c>
      <c r="L774" s="90">
        <v>10564.221103197731</v>
      </c>
      <c r="M774" s="90">
        <v>0</v>
      </c>
      <c r="N774" s="90">
        <v>94100.445428940613</v>
      </c>
      <c r="O774" s="90">
        <v>0</v>
      </c>
      <c r="P774" s="90">
        <v>0</v>
      </c>
      <c r="Q774" s="90">
        <v>0</v>
      </c>
      <c r="R774" s="90">
        <v>57257.889705882357</v>
      </c>
    </row>
    <row r="775" spans="1:18">
      <c r="A775" s="90" t="s">
        <v>1033</v>
      </c>
      <c r="B775" s="90" t="s">
        <v>1439</v>
      </c>
      <c r="C775" s="90" t="str">
        <f t="shared" si="12"/>
        <v>KwigillingokEducation - K - 12</v>
      </c>
      <c r="D775" s="90">
        <v>1</v>
      </c>
      <c r="E775" s="90">
        <v>17220</v>
      </c>
      <c r="F775" s="90">
        <v>12650.347545558825</v>
      </c>
      <c r="G775" s="90">
        <v>0</v>
      </c>
      <c r="H775" s="90">
        <v>121930.02970908307</v>
      </c>
      <c r="I775" s="90">
        <v>0</v>
      </c>
      <c r="J775" s="90">
        <v>0</v>
      </c>
      <c r="K775" s="90">
        <v>0</v>
      </c>
      <c r="L775" s="90">
        <v>9361.257183713531</v>
      </c>
      <c r="M775" s="90">
        <v>0</v>
      </c>
      <c r="N775" s="90">
        <v>90228.221984721473</v>
      </c>
      <c r="O775" s="90">
        <v>0</v>
      </c>
      <c r="P775" s="90">
        <v>0</v>
      </c>
      <c r="Q775" s="90">
        <v>0</v>
      </c>
      <c r="R775" s="90">
        <v>120540</v>
      </c>
    </row>
    <row r="776" spans="1:18">
      <c r="A776" s="90" t="s">
        <v>1033</v>
      </c>
      <c r="B776" s="90" t="s">
        <v>665</v>
      </c>
      <c r="C776" s="90" t="str">
        <f t="shared" si="12"/>
        <v>KwigillingokOffice</v>
      </c>
      <c r="D776" s="90">
        <v>2</v>
      </c>
      <c r="E776" s="90">
        <v>5770.3381294964029</v>
      </c>
      <c r="F776" s="90">
        <v>4803.5212825189537</v>
      </c>
      <c r="G776" s="90">
        <v>0</v>
      </c>
      <c r="H776" s="90">
        <v>32738.92721029419</v>
      </c>
      <c r="I776" s="90">
        <v>0</v>
      </c>
      <c r="J776" s="90">
        <v>0</v>
      </c>
      <c r="K776" s="90">
        <v>0</v>
      </c>
      <c r="L776" s="90">
        <v>3554.6057490640255</v>
      </c>
      <c r="M776" s="90">
        <v>0</v>
      </c>
      <c r="N776" s="90">
        <v>24226.806135617702</v>
      </c>
      <c r="O776" s="90">
        <v>0</v>
      </c>
      <c r="P776" s="90">
        <v>0</v>
      </c>
      <c r="Q776" s="90">
        <v>0</v>
      </c>
      <c r="R776" s="90">
        <v>40392.366906474817</v>
      </c>
    </row>
    <row r="777" spans="1:18">
      <c r="A777" s="90" t="s">
        <v>1033</v>
      </c>
      <c r="B777" s="90" t="s">
        <v>643</v>
      </c>
      <c r="C777" s="90" t="str">
        <f t="shared" si="12"/>
        <v>KwigillingokOther</v>
      </c>
      <c r="D777" s="90">
        <v>5</v>
      </c>
      <c r="E777" s="90">
        <v>22443.454198473282</v>
      </c>
      <c r="F777" s="90">
        <v>23853.234852545385</v>
      </c>
      <c r="G777" s="90">
        <v>0</v>
      </c>
      <c r="H777" s="90">
        <v>166598.73132850628</v>
      </c>
      <c r="I777" s="90">
        <v>0</v>
      </c>
      <c r="J777" s="90">
        <v>0</v>
      </c>
      <c r="K777" s="90">
        <v>0</v>
      </c>
      <c r="L777" s="90">
        <v>17651.393790883583</v>
      </c>
      <c r="M777" s="90">
        <v>0</v>
      </c>
      <c r="N777" s="90">
        <v>123283.06118309466</v>
      </c>
      <c r="O777" s="90">
        <v>0</v>
      </c>
      <c r="P777" s="90">
        <v>0</v>
      </c>
      <c r="Q777" s="90">
        <v>0</v>
      </c>
      <c r="R777" s="90">
        <v>157104.17938931298</v>
      </c>
    </row>
    <row r="778" spans="1:18">
      <c r="A778" s="90" t="s">
        <v>1033</v>
      </c>
      <c r="B778" s="90" t="s">
        <v>1227</v>
      </c>
      <c r="C778" s="90" t="str">
        <f t="shared" si="12"/>
        <v>KwigillingokPublic Assembly</v>
      </c>
      <c r="D778" s="90">
        <v>4</v>
      </c>
      <c r="E778" s="90">
        <v>13706.256179775281</v>
      </c>
      <c r="F778" s="90">
        <v>9479.3892324495737</v>
      </c>
      <c r="G778" s="90">
        <v>0</v>
      </c>
      <c r="H778" s="90">
        <v>63553.518613348679</v>
      </c>
      <c r="I778" s="90">
        <v>0</v>
      </c>
      <c r="J778" s="90">
        <v>0</v>
      </c>
      <c r="K778" s="90">
        <v>0</v>
      </c>
      <c r="L778" s="90">
        <v>7014.7480320126842</v>
      </c>
      <c r="M778" s="90">
        <v>0</v>
      </c>
      <c r="N778" s="90">
        <v>47029.603773878021</v>
      </c>
      <c r="O778" s="90">
        <v>0</v>
      </c>
      <c r="P778" s="90">
        <v>0</v>
      </c>
      <c r="Q778" s="90">
        <v>0</v>
      </c>
      <c r="R778" s="90">
        <v>95943.793258426958</v>
      </c>
    </row>
    <row r="779" spans="1:18">
      <c r="A779" s="90" t="s">
        <v>1033</v>
      </c>
      <c r="B779" s="90" t="s">
        <v>1475</v>
      </c>
      <c r="C779" s="90" t="str">
        <f t="shared" si="12"/>
        <v>KwigillingokPublic Safety</v>
      </c>
      <c r="D779" s="90">
        <v>2</v>
      </c>
      <c r="E779" s="90">
        <v>5394.8178787878787</v>
      </c>
      <c r="F779" s="90">
        <v>3818.7885422614822</v>
      </c>
      <c r="G779" s="90">
        <v>0</v>
      </c>
      <c r="H779" s="90">
        <v>44615.58581611071</v>
      </c>
      <c r="I779" s="90">
        <v>0</v>
      </c>
      <c r="J779" s="90">
        <v>0</v>
      </c>
      <c r="K779" s="90">
        <v>0</v>
      </c>
      <c r="L779" s="90">
        <v>2825.9035212734966</v>
      </c>
      <c r="M779" s="90">
        <v>0</v>
      </c>
      <c r="N779" s="90">
        <v>33015.533503921928</v>
      </c>
      <c r="O779" s="90">
        <v>0</v>
      </c>
      <c r="P779" s="90">
        <v>0</v>
      </c>
      <c r="Q779" s="90">
        <v>0</v>
      </c>
      <c r="R779" s="90">
        <v>37763.725151515151</v>
      </c>
    </row>
    <row r="780" spans="1:18">
      <c r="A780" s="90" t="s">
        <v>1033</v>
      </c>
      <c r="B780" s="90" t="s">
        <v>1485</v>
      </c>
      <c r="C780" s="90" t="str">
        <f t="shared" si="12"/>
        <v>KwigillingokRetail - Other</v>
      </c>
      <c r="D780" s="90">
        <v>2</v>
      </c>
      <c r="E780" s="90">
        <v>12552.731707317073</v>
      </c>
      <c r="F780" s="90">
        <v>20850.703151032118</v>
      </c>
      <c r="G780" s="90">
        <v>0</v>
      </c>
      <c r="H780" s="90">
        <v>306263.79830335197</v>
      </c>
      <c r="I780" s="90">
        <v>0</v>
      </c>
      <c r="J780" s="90">
        <v>0</v>
      </c>
      <c r="K780" s="90">
        <v>0</v>
      </c>
      <c r="L780" s="90">
        <v>15429.520331763766</v>
      </c>
      <c r="M780" s="90">
        <v>0</v>
      </c>
      <c r="N780" s="90">
        <v>226635.21074448046</v>
      </c>
      <c r="O780" s="90">
        <v>0</v>
      </c>
      <c r="P780" s="90">
        <v>0</v>
      </c>
      <c r="Q780" s="90">
        <v>0</v>
      </c>
      <c r="R780" s="90">
        <v>87869.121951219509</v>
      </c>
    </row>
    <row r="781" spans="1:18">
      <c r="A781" s="90" t="s">
        <v>1033</v>
      </c>
      <c r="B781" s="90" t="s">
        <v>951</v>
      </c>
      <c r="C781" s="90" t="str">
        <f t="shared" si="12"/>
        <v>KwigillingokWarehousing</v>
      </c>
      <c r="D781" s="90">
        <v>3</v>
      </c>
      <c r="E781" s="90">
        <v>5789.1323529411766</v>
      </c>
      <c r="F781" s="90">
        <v>10103.73491649678</v>
      </c>
      <c r="G781" s="90">
        <v>0</v>
      </c>
      <c r="H781" s="90">
        <v>265250.61710715981</v>
      </c>
      <c r="I781" s="90">
        <v>0</v>
      </c>
      <c r="J781" s="90">
        <v>0</v>
      </c>
      <c r="K781" s="90">
        <v>0</v>
      </c>
      <c r="L781" s="90">
        <v>7476.7638382076175</v>
      </c>
      <c r="M781" s="90">
        <v>0</v>
      </c>
      <c r="N781" s="90">
        <v>196285.45665929827</v>
      </c>
      <c r="O781" s="90">
        <v>0</v>
      </c>
      <c r="P781" s="90">
        <v>0</v>
      </c>
      <c r="Q781" s="90">
        <v>0</v>
      </c>
      <c r="R781" s="90">
        <v>40523.926470588238</v>
      </c>
    </row>
    <row r="782" spans="1:18">
      <c r="A782" s="90" t="s">
        <v>1366</v>
      </c>
      <c r="B782" s="90" t="s">
        <v>1447</v>
      </c>
      <c r="C782" s="90" t="str">
        <f t="shared" si="12"/>
        <v>Lake LouiseAccomodation Services</v>
      </c>
      <c r="D782" s="90">
        <v>3</v>
      </c>
      <c r="E782" s="90">
        <v>12841.62962962963</v>
      </c>
      <c r="F782" s="90">
        <v>8044.1573710143903</v>
      </c>
      <c r="G782" s="90">
        <v>0</v>
      </c>
      <c r="H782" s="90">
        <v>94220.227420402865</v>
      </c>
      <c r="I782" s="90">
        <v>0</v>
      </c>
      <c r="J782" s="90">
        <v>0</v>
      </c>
      <c r="K782" s="90">
        <v>0</v>
      </c>
      <c r="L782" s="90">
        <v>5952.6764545506485</v>
      </c>
      <c r="M782" s="90">
        <v>0</v>
      </c>
      <c r="N782" s="90">
        <v>69722.968291098121</v>
      </c>
      <c r="O782" s="90">
        <v>0</v>
      </c>
      <c r="P782" s="90">
        <v>0</v>
      </c>
      <c r="Q782" s="90">
        <v>0</v>
      </c>
      <c r="R782" s="90">
        <v>89891.407407407401</v>
      </c>
    </row>
    <row r="783" spans="1:18" s="46" customFormat="1">
      <c r="A783" s="90" t="s">
        <v>1366</v>
      </c>
      <c r="B783" s="90" t="s">
        <v>643</v>
      </c>
      <c r="C783" s="90" t="str">
        <f t="shared" si="12"/>
        <v>Lake LouiseOther</v>
      </c>
      <c r="D783" s="90">
        <v>1</v>
      </c>
      <c r="E783" s="90">
        <v>2163.9204545454545</v>
      </c>
      <c r="F783" s="90">
        <v>1871.5127967727569</v>
      </c>
      <c r="G783" s="90">
        <v>0</v>
      </c>
      <c r="H783" s="90">
        <v>15748.986486464588</v>
      </c>
      <c r="I783" s="90">
        <v>0</v>
      </c>
      <c r="J783" s="90">
        <v>0</v>
      </c>
      <c r="K783" s="90">
        <v>0</v>
      </c>
      <c r="L783" s="90">
        <v>1384.9194696118402</v>
      </c>
      <c r="M783" s="90">
        <v>0</v>
      </c>
      <c r="N783" s="90">
        <v>11654.249999983795</v>
      </c>
      <c r="O783" s="90">
        <v>0</v>
      </c>
      <c r="P783" s="90">
        <v>0</v>
      </c>
      <c r="Q783" s="90">
        <v>0</v>
      </c>
      <c r="R783" s="90">
        <v>15147.443181818182</v>
      </c>
    </row>
    <row r="784" spans="1:18" s="46" customFormat="1">
      <c r="A784" s="90" t="s">
        <v>1366</v>
      </c>
      <c r="B784" s="90" t="s">
        <v>1227</v>
      </c>
      <c r="C784" s="90" t="str">
        <f t="shared" si="12"/>
        <v>Lake LouisePublic Assembly</v>
      </c>
      <c r="D784" s="90">
        <v>1</v>
      </c>
      <c r="E784" s="90">
        <v>3136.7211538461538</v>
      </c>
      <c r="F784" s="90">
        <v>1957.1809414995873</v>
      </c>
      <c r="G784" s="90">
        <v>0</v>
      </c>
      <c r="H784" s="90">
        <v>11799.515613395884</v>
      </c>
      <c r="I784" s="90">
        <v>0</v>
      </c>
      <c r="J784" s="90">
        <v>0</v>
      </c>
      <c r="K784" s="90">
        <v>0</v>
      </c>
      <c r="L784" s="90">
        <v>1448.3138967096945</v>
      </c>
      <c r="M784" s="90">
        <v>0</v>
      </c>
      <c r="N784" s="90">
        <v>8731.6415539129539</v>
      </c>
      <c r="O784" s="90">
        <v>0</v>
      </c>
      <c r="P784" s="90">
        <v>0</v>
      </c>
      <c r="Q784" s="90">
        <v>0</v>
      </c>
      <c r="R784" s="90">
        <v>21957.048076923078</v>
      </c>
    </row>
    <row r="785" spans="1:18" s="46" customFormat="1">
      <c r="A785" s="90" t="s">
        <v>1366</v>
      </c>
      <c r="B785" s="90" t="s">
        <v>1475</v>
      </c>
      <c r="C785" s="90" t="str">
        <f t="shared" si="12"/>
        <v>Lake LouisePublic Safety</v>
      </c>
      <c r="D785" s="90">
        <v>1</v>
      </c>
      <c r="E785" s="90">
        <v>2595.4749999999999</v>
      </c>
      <c r="F785" s="90">
        <v>2523.774623927618</v>
      </c>
      <c r="G785" s="90">
        <v>0</v>
      </c>
      <c r="H785" s="90">
        <v>20946.642306328533</v>
      </c>
      <c r="I785" s="90">
        <v>0</v>
      </c>
      <c r="J785" s="90">
        <v>0</v>
      </c>
      <c r="K785" s="90">
        <v>0</v>
      </c>
      <c r="L785" s="90">
        <v>1867.5932217064374</v>
      </c>
      <c r="M785" s="90">
        <v>0</v>
      </c>
      <c r="N785" s="90">
        <v>15500.515306683114</v>
      </c>
      <c r="O785" s="90">
        <v>0</v>
      </c>
      <c r="P785" s="90">
        <v>0</v>
      </c>
      <c r="Q785" s="90">
        <v>0</v>
      </c>
      <c r="R785" s="90">
        <v>18168.325000000001</v>
      </c>
    </row>
    <row r="786" spans="1:18" s="46" customFormat="1">
      <c r="A786" s="90" t="s">
        <v>1366</v>
      </c>
      <c r="B786" s="90" t="s">
        <v>1485</v>
      </c>
      <c r="C786" s="90" t="str">
        <f t="shared" si="12"/>
        <v>Lake LouiseRetail - Other</v>
      </c>
      <c r="D786" s="90">
        <v>1</v>
      </c>
      <c r="E786" s="90">
        <v>2105.2800000000002</v>
      </c>
      <c r="F786" s="90">
        <v>2225.7819714285715</v>
      </c>
      <c r="G786" s="90">
        <v>0</v>
      </c>
      <c r="H786" s="90">
        <v>49590.373216004155</v>
      </c>
      <c r="I786" s="90">
        <v>0</v>
      </c>
      <c r="J786" s="90">
        <v>0</v>
      </c>
      <c r="K786" s="90">
        <v>0</v>
      </c>
      <c r="L786" s="90">
        <v>1647.078658857143</v>
      </c>
      <c r="M786" s="90">
        <v>0</v>
      </c>
      <c r="N786" s="90">
        <v>36696.876179843071</v>
      </c>
      <c r="O786" s="90">
        <v>0</v>
      </c>
      <c r="P786" s="90">
        <v>0</v>
      </c>
      <c r="Q786" s="90">
        <v>0</v>
      </c>
      <c r="R786" s="90">
        <v>14736.960000000001</v>
      </c>
    </row>
    <row r="787" spans="1:18" s="46" customFormat="1">
      <c r="A787" s="90" t="s">
        <v>177</v>
      </c>
      <c r="B787" s="90" t="s">
        <v>1447</v>
      </c>
      <c r="C787" s="90" t="str">
        <f t="shared" si="12"/>
        <v>Larsen BayAccomodation Services</v>
      </c>
      <c r="D787" s="90">
        <v>4</v>
      </c>
      <c r="E787" s="90">
        <v>19083.259259259259</v>
      </c>
      <c r="F787" s="90">
        <v>11953.992216000112</v>
      </c>
      <c r="G787" s="90">
        <v>0</v>
      </c>
      <c r="H787" s="90">
        <v>140015.64281073053</v>
      </c>
      <c r="I787" s="90">
        <v>0</v>
      </c>
      <c r="J787" s="90">
        <v>0</v>
      </c>
      <c r="K787" s="90">
        <v>0</v>
      </c>
      <c r="L787" s="90">
        <v>8845.9542398400827</v>
      </c>
      <c r="M787" s="90">
        <v>0</v>
      </c>
      <c r="N787" s="90">
        <v>103611.57567994059</v>
      </c>
      <c r="O787" s="90">
        <v>0</v>
      </c>
      <c r="P787" s="90">
        <v>0</v>
      </c>
      <c r="Q787" s="90">
        <v>0</v>
      </c>
      <c r="R787" s="90">
        <v>133582.8148148148</v>
      </c>
    </row>
    <row r="788" spans="1:18" s="46" customFormat="1">
      <c r="A788" s="90" t="s">
        <v>177</v>
      </c>
      <c r="B788" s="90" t="s">
        <v>1439</v>
      </c>
      <c r="C788" s="90" t="str">
        <f t="shared" si="12"/>
        <v>Larsen BayEducation - K - 12</v>
      </c>
      <c r="D788" s="90">
        <v>1</v>
      </c>
      <c r="E788" s="90">
        <v>20018</v>
      </c>
      <c r="F788" s="90">
        <v>15819.608759124087</v>
      </c>
      <c r="G788" s="90">
        <v>0</v>
      </c>
      <c r="H788" s="90">
        <v>72367.651261142848</v>
      </c>
      <c r="I788" s="90">
        <v>0</v>
      </c>
      <c r="J788" s="90">
        <v>0</v>
      </c>
      <c r="K788" s="90">
        <v>0</v>
      </c>
      <c r="L788" s="90">
        <v>11706.510481751824</v>
      </c>
      <c r="M788" s="90">
        <v>0</v>
      </c>
      <c r="N788" s="90">
        <v>53552.061933245706</v>
      </c>
      <c r="O788" s="90">
        <v>0</v>
      </c>
      <c r="P788" s="90">
        <v>0</v>
      </c>
      <c r="Q788" s="90">
        <v>0</v>
      </c>
      <c r="R788" s="90">
        <v>140126</v>
      </c>
    </row>
    <row r="789" spans="1:18" s="46" customFormat="1">
      <c r="A789" s="90" t="s">
        <v>177</v>
      </c>
      <c r="B789" s="90" t="s">
        <v>1440</v>
      </c>
      <c r="C789" s="90" t="str">
        <f t="shared" si="12"/>
        <v>Larsen BayHealth Care - Hospitals</v>
      </c>
      <c r="D789" s="90">
        <v>1</v>
      </c>
      <c r="E789" s="90">
        <v>2464</v>
      </c>
      <c r="F789" s="90">
        <v>1717.3423013545616</v>
      </c>
      <c r="G789" s="90">
        <v>0</v>
      </c>
      <c r="H789" s="90">
        <v>18535.270723983733</v>
      </c>
      <c r="I789" s="90">
        <v>0</v>
      </c>
      <c r="J789" s="90">
        <v>0</v>
      </c>
      <c r="K789" s="90">
        <v>0</v>
      </c>
      <c r="L789" s="90">
        <v>1270.8333030023755</v>
      </c>
      <c r="M789" s="90">
        <v>0</v>
      </c>
      <c r="N789" s="90">
        <v>13716.100335747962</v>
      </c>
      <c r="O789" s="90">
        <v>0</v>
      </c>
      <c r="P789" s="90">
        <v>0</v>
      </c>
      <c r="Q789" s="90">
        <v>0</v>
      </c>
      <c r="R789" s="90">
        <v>17248</v>
      </c>
    </row>
    <row r="790" spans="1:18">
      <c r="A790" s="90" t="s">
        <v>177</v>
      </c>
      <c r="B790" s="90" t="s">
        <v>665</v>
      </c>
      <c r="C790" s="90" t="str">
        <f t="shared" si="12"/>
        <v>Larsen BayOffice</v>
      </c>
      <c r="D790" s="90">
        <v>3</v>
      </c>
      <c r="E790" s="90">
        <v>46919</v>
      </c>
      <c r="F790" s="90">
        <v>62433.391428246832</v>
      </c>
      <c r="G790" s="90">
        <v>0</v>
      </c>
      <c r="H790" s="90">
        <v>376104.12273710937</v>
      </c>
      <c r="I790" s="90">
        <v>0</v>
      </c>
      <c r="J790" s="90">
        <v>0</v>
      </c>
      <c r="K790" s="90">
        <v>0</v>
      </c>
      <c r="L790" s="90">
        <v>46200.709656902654</v>
      </c>
      <c r="M790" s="90">
        <v>0</v>
      </c>
      <c r="N790" s="90">
        <v>278317.05082546093</v>
      </c>
      <c r="O790" s="90">
        <v>0</v>
      </c>
      <c r="P790" s="90">
        <v>0</v>
      </c>
      <c r="Q790" s="90">
        <v>0</v>
      </c>
      <c r="R790" s="90">
        <v>328433</v>
      </c>
    </row>
    <row r="791" spans="1:18">
      <c r="A791" s="90" t="s">
        <v>177</v>
      </c>
      <c r="B791" s="90" t="s">
        <v>643</v>
      </c>
      <c r="C791" s="90" t="str">
        <f t="shared" si="12"/>
        <v>Larsen BayOther</v>
      </c>
      <c r="D791" s="90">
        <v>12</v>
      </c>
      <c r="E791" s="90">
        <v>20897.44318181818</v>
      </c>
      <c r="F791" s="90">
        <v>18073.599818538431</v>
      </c>
      <c r="G791" s="90">
        <v>0</v>
      </c>
      <c r="H791" s="90">
        <v>152091.3347719376</v>
      </c>
      <c r="I791" s="90">
        <v>0</v>
      </c>
      <c r="J791" s="90">
        <v>0</v>
      </c>
      <c r="K791" s="90">
        <v>0</v>
      </c>
      <c r="L791" s="90">
        <v>13374.463865718439</v>
      </c>
      <c r="M791" s="90">
        <v>0</v>
      </c>
      <c r="N791" s="90">
        <v>112547.5877312338</v>
      </c>
      <c r="O791" s="90">
        <v>0</v>
      </c>
      <c r="P791" s="90">
        <v>0</v>
      </c>
      <c r="Q791" s="90">
        <v>0</v>
      </c>
      <c r="R791" s="90">
        <v>146282.10227272726</v>
      </c>
    </row>
    <row r="792" spans="1:18">
      <c r="A792" s="90" t="s">
        <v>177</v>
      </c>
      <c r="B792" s="90" t="s">
        <v>1227</v>
      </c>
      <c r="C792" s="90" t="str">
        <f t="shared" si="12"/>
        <v>Larsen BayPublic Assembly</v>
      </c>
      <c r="D792" s="90">
        <v>3</v>
      </c>
      <c r="E792" s="90">
        <v>5824.7211538461543</v>
      </c>
      <c r="F792" s="90">
        <v>3634.3789175772918</v>
      </c>
      <c r="G792" s="90">
        <v>0</v>
      </c>
      <c r="H792" s="90">
        <v>21911.060890513545</v>
      </c>
      <c r="I792" s="90">
        <v>0</v>
      </c>
      <c r="J792" s="90">
        <v>0</v>
      </c>
      <c r="K792" s="90">
        <v>0</v>
      </c>
      <c r="L792" s="90">
        <v>2689.440399007196</v>
      </c>
      <c r="M792" s="90">
        <v>0</v>
      </c>
      <c r="N792" s="90">
        <v>16214.185058980023</v>
      </c>
      <c r="O792" s="90">
        <v>0</v>
      </c>
      <c r="P792" s="90">
        <v>0</v>
      </c>
      <c r="Q792" s="90">
        <v>0</v>
      </c>
      <c r="R792" s="90">
        <v>40773.048076923078</v>
      </c>
    </row>
    <row r="793" spans="1:18">
      <c r="A793" s="90" t="s">
        <v>177</v>
      </c>
      <c r="B793" s="90" t="s">
        <v>1475</v>
      </c>
      <c r="C793" s="90" t="str">
        <f t="shared" si="12"/>
        <v>Larsen BayPublic Safety</v>
      </c>
      <c r="D793" s="90">
        <v>2</v>
      </c>
      <c r="E793" s="90">
        <v>4145.4750000000004</v>
      </c>
      <c r="F793" s="90">
        <v>4030.9556474735232</v>
      </c>
      <c r="G793" s="90">
        <v>0</v>
      </c>
      <c r="H793" s="90">
        <v>78153.157160328527</v>
      </c>
      <c r="I793" s="90">
        <v>0</v>
      </c>
      <c r="J793" s="90">
        <v>0</v>
      </c>
      <c r="K793" s="90">
        <v>0</v>
      </c>
      <c r="L793" s="90">
        <v>2982.9071791304073</v>
      </c>
      <c r="M793" s="90">
        <v>0</v>
      </c>
      <c r="N793" s="90">
        <v>57833.336298643109</v>
      </c>
      <c r="O793" s="90">
        <v>0</v>
      </c>
      <c r="P793" s="90">
        <v>0</v>
      </c>
      <c r="Q793" s="90">
        <v>0</v>
      </c>
      <c r="R793" s="90">
        <v>29018.325000000001</v>
      </c>
    </row>
    <row r="794" spans="1:18">
      <c r="A794" s="90" t="s">
        <v>177</v>
      </c>
      <c r="B794" s="90" t="s">
        <v>951</v>
      </c>
      <c r="C794" s="90" t="str">
        <f t="shared" si="12"/>
        <v>Larsen BayWarehousing</v>
      </c>
      <c r="D794" s="90">
        <v>2</v>
      </c>
      <c r="E794" s="90">
        <v>1680</v>
      </c>
      <c r="F794" s="90">
        <v>2105.9310832344631</v>
      </c>
      <c r="G794" s="90">
        <v>0</v>
      </c>
      <c r="H794" s="90">
        <v>19933.449960972252</v>
      </c>
      <c r="I794" s="90">
        <v>0</v>
      </c>
      <c r="J794" s="90">
        <v>0</v>
      </c>
      <c r="K794" s="90">
        <v>0</v>
      </c>
      <c r="L794" s="90">
        <v>1558.3890015935026</v>
      </c>
      <c r="M794" s="90">
        <v>0</v>
      </c>
      <c r="N794" s="90">
        <v>14750.752971119466</v>
      </c>
      <c r="O794" s="90">
        <v>0</v>
      </c>
      <c r="P794" s="90">
        <v>0</v>
      </c>
      <c r="Q794" s="90">
        <v>0</v>
      </c>
      <c r="R794" s="90">
        <v>11760</v>
      </c>
    </row>
    <row r="795" spans="1:18">
      <c r="A795" s="90" t="s">
        <v>179</v>
      </c>
      <c r="B795" s="90" t="s">
        <v>1447</v>
      </c>
      <c r="C795" s="90" t="str">
        <f t="shared" si="12"/>
        <v>LevelockAccomodation Services</v>
      </c>
      <c r="D795" s="90">
        <v>1</v>
      </c>
      <c r="E795" s="90">
        <v>4770.8148148148148</v>
      </c>
      <c r="F795" s="90">
        <v>2988.4980540000279</v>
      </c>
      <c r="G795" s="90">
        <v>0</v>
      </c>
      <c r="H795" s="90">
        <v>35003.910702682631</v>
      </c>
      <c r="I795" s="90">
        <v>0</v>
      </c>
      <c r="J795" s="90">
        <v>0</v>
      </c>
      <c r="K795" s="90">
        <v>0</v>
      </c>
      <c r="L795" s="90">
        <v>2211.4885599600207</v>
      </c>
      <c r="M795" s="90">
        <v>0</v>
      </c>
      <c r="N795" s="90">
        <v>25902.893919985148</v>
      </c>
      <c r="O795" s="90">
        <v>0</v>
      </c>
      <c r="P795" s="90">
        <v>0</v>
      </c>
      <c r="Q795" s="90">
        <v>0</v>
      </c>
      <c r="R795" s="90">
        <v>33395.703703703701</v>
      </c>
    </row>
    <row r="796" spans="1:18">
      <c r="A796" s="90" t="s">
        <v>179</v>
      </c>
      <c r="B796" s="90" t="s">
        <v>1439</v>
      </c>
      <c r="C796" s="90" t="str">
        <f t="shared" si="12"/>
        <v>LevelockEducation - K - 12</v>
      </c>
      <c r="D796" s="90">
        <v>1</v>
      </c>
      <c r="E796" s="90">
        <v>22942</v>
      </c>
      <c r="F796" s="90">
        <v>7671.67299270073</v>
      </c>
      <c r="G796" s="90">
        <v>19449.411874223897</v>
      </c>
      <c r="H796" s="90">
        <v>50059.450530999995</v>
      </c>
      <c r="I796" s="90">
        <v>0</v>
      </c>
      <c r="J796" s="90">
        <v>0</v>
      </c>
      <c r="K796" s="90">
        <v>0</v>
      </c>
      <c r="L796" s="90">
        <v>5677.03801459854</v>
      </c>
      <c r="M796" s="90">
        <v>14392.564786925685</v>
      </c>
      <c r="N796" s="90">
        <v>37043.993392939992</v>
      </c>
      <c r="O796" s="90">
        <v>0</v>
      </c>
      <c r="P796" s="90">
        <v>0</v>
      </c>
      <c r="Q796" s="90">
        <v>0</v>
      </c>
      <c r="R796" s="90">
        <v>160594</v>
      </c>
    </row>
    <row r="797" spans="1:18">
      <c r="A797" s="90" t="s">
        <v>179</v>
      </c>
      <c r="B797" s="90" t="s">
        <v>1440</v>
      </c>
      <c r="C797" s="90" t="str">
        <f t="shared" si="12"/>
        <v>LevelockHealth Care - Hospitals</v>
      </c>
      <c r="D797" s="90">
        <v>1</v>
      </c>
      <c r="E797" s="90">
        <v>1679</v>
      </c>
      <c r="F797" s="90">
        <v>1170.2182321324306</v>
      </c>
      <c r="G797" s="90">
        <v>0</v>
      </c>
      <c r="H797" s="90">
        <v>12630.162153234045</v>
      </c>
      <c r="I797" s="90">
        <v>0</v>
      </c>
      <c r="J797" s="90">
        <v>0</v>
      </c>
      <c r="K797" s="90">
        <v>0</v>
      </c>
      <c r="L797" s="90">
        <v>865.96149177799862</v>
      </c>
      <c r="M797" s="90">
        <v>0</v>
      </c>
      <c r="N797" s="90">
        <v>9346.3199933931937</v>
      </c>
      <c r="O797" s="90">
        <v>0</v>
      </c>
      <c r="P797" s="90">
        <v>0</v>
      </c>
      <c r="Q797" s="90">
        <v>0</v>
      </c>
      <c r="R797" s="90">
        <v>11753</v>
      </c>
    </row>
    <row r="798" spans="1:18">
      <c r="A798" s="90" t="s">
        <v>179</v>
      </c>
      <c r="B798" s="90" t="s">
        <v>665</v>
      </c>
      <c r="C798" s="90" t="str">
        <f t="shared" si="12"/>
        <v>LevelockOffice</v>
      </c>
      <c r="D798" s="90">
        <v>2</v>
      </c>
      <c r="E798" s="90">
        <v>4066.517006802721</v>
      </c>
      <c r="F798" s="90">
        <v>5411.1649445925304</v>
      </c>
      <c r="G798" s="90">
        <v>0</v>
      </c>
      <c r="H798" s="90">
        <v>32597.323289905435</v>
      </c>
      <c r="I798" s="90">
        <v>0</v>
      </c>
      <c r="J798" s="90">
        <v>0</v>
      </c>
      <c r="K798" s="90">
        <v>0</v>
      </c>
      <c r="L798" s="90">
        <v>4004.2620589984726</v>
      </c>
      <c r="M798" s="90">
        <v>0</v>
      </c>
      <c r="N798" s="90">
        <v>24122.01923453002</v>
      </c>
      <c r="O798" s="90">
        <v>0</v>
      </c>
      <c r="P798" s="90">
        <v>0</v>
      </c>
      <c r="Q798" s="90">
        <v>0</v>
      </c>
      <c r="R798" s="90">
        <v>28465.619047619046</v>
      </c>
    </row>
    <row r="799" spans="1:18">
      <c r="A799" s="90" t="s">
        <v>179</v>
      </c>
      <c r="B799" s="90" t="s">
        <v>643</v>
      </c>
      <c r="C799" s="90" t="str">
        <f t="shared" si="12"/>
        <v>LevelockOther</v>
      </c>
      <c r="D799" s="90">
        <v>5</v>
      </c>
      <c r="E799" s="90">
        <v>8891.761363636364</v>
      </c>
      <c r="F799" s="90">
        <v>7471.3621080480443</v>
      </c>
      <c r="G799" s="90">
        <v>0</v>
      </c>
      <c r="H799" s="90">
        <v>64714.12997766248</v>
      </c>
      <c r="I799" s="90">
        <v>0</v>
      </c>
      <c r="J799" s="90">
        <v>0</v>
      </c>
      <c r="K799" s="90">
        <v>0</v>
      </c>
      <c r="L799" s="90">
        <v>5528.8079599555531</v>
      </c>
      <c r="M799" s="90">
        <v>0</v>
      </c>
      <c r="N799" s="90">
        <v>47888.45618347024</v>
      </c>
      <c r="O799" s="90">
        <v>0</v>
      </c>
      <c r="P799" s="90">
        <v>0</v>
      </c>
      <c r="Q799" s="90">
        <v>0</v>
      </c>
      <c r="R799" s="90">
        <v>62242.329545454551</v>
      </c>
    </row>
    <row r="800" spans="1:18">
      <c r="A800" s="90" t="s">
        <v>179</v>
      </c>
      <c r="B800" s="90" t="s">
        <v>1227</v>
      </c>
      <c r="C800" s="90" t="str">
        <f t="shared" si="12"/>
        <v>LevelockPublic Assembly</v>
      </c>
      <c r="D800" s="90">
        <v>4</v>
      </c>
      <c r="E800" s="90">
        <v>10753.442307692309</v>
      </c>
      <c r="F800" s="90">
        <v>6709.6918431286831</v>
      </c>
      <c r="G800" s="90">
        <v>0</v>
      </c>
      <c r="H800" s="90">
        <v>40451.606688654538</v>
      </c>
      <c r="I800" s="90">
        <v>0</v>
      </c>
      <c r="J800" s="90">
        <v>0</v>
      </c>
      <c r="K800" s="90">
        <v>0</v>
      </c>
      <c r="L800" s="90">
        <v>4965.1719639152243</v>
      </c>
      <c r="M800" s="90">
        <v>0</v>
      </c>
      <c r="N800" s="90">
        <v>29934.188949604359</v>
      </c>
      <c r="O800" s="90">
        <v>0</v>
      </c>
      <c r="P800" s="90">
        <v>0</v>
      </c>
      <c r="Q800" s="90">
        <v>0</v>
      </c>
      <c r="R800" s="90">
        <v>75274.096153846156</v>
      </c>
    </row>
    <row r="801" spans="1:18">
      <c r="A801" s="90" t="s">
        <v>179</v>
      </c>
      <c r="B801" s="90" t="s">
        <v>1485</v>
      </c>
      <c r="C801" s="90" t="str">
        <f t="shared" si="12"/>
        <v>LevelockRetail - Other</v>
      </c>
      <c r="D801" s="90">
        <v>1</v>
      </c>
      <c r="E801" s="90">
        <v>2105.2800000000002</v>
      </c>
      <c r="F801" s="90">
        <v>2225.7819714285715</v>
      </c>
      <c r="G801" s="90">
        <v>0</v>
      </c>
      <c r="H801" s="90">
        <v>49590.373216004155</v>
      </c>
      <c r="I801" s="90">
        <v>0</v>
      </c>
      <c r="J801" s="90">
        <v>0</v>
      </c>
      <c r="K801" s="90">
        <v>0</v>
      </c>
      <c r="L801" s="90">
        <v>1647.078658857143</v>
      </c>
      <c r="M801" s="90">
        <v>0</v>
      </c>
      <c r="N801" s="90">
        <v>36696.876179843071</v>
      </c>
      <c r="O801" s="90">
        <v>0</v>
      </c>
      <c r="P801" s="90">
        <v>0</v>
      </c>
      <c r="Q801" s="90">
        <v>0</v>
      </c>
      <c r="R801" s="90">
        <v>14736.960000000001</v>
      </c>
    </row>
    <row r="802" spans="1:18">
      <c r="A802" s="90" t="s">
        <v>179</v>
      </c>
      <c r="B802" s="90" t="s">
        <v>951</v>
      </c>
      <c r="C802" s="90" t="str">
        <f t="shared" si="12"/>
        <v>LevelockWarehousing</v>
      </c>
      <c r="D802" s="90">
        <v>6</v>
      </c>
      <c r="E802" s="90">
        <v>8575.8290598290587</v>
      </c>
      <c r="F802" s="90">
        <v>10750.062489047261</v>
      </c>
      <c r="G802" s="90">
        <v>0</v>
      </c>
      <c r="H802" s="90">
        <v>101753.48776068707</v>
      </c>
      <c r="I802" s="90">
        <v>0</v>
      </c>
      <c r="J802" s="90">
        <v>0</v>
      </c>
      <c r="K802" s="90">
        <v>0</v>
      </c>
      <c r="L802" s="90">
        <v>7955.0462418949719</v>
      </c>
      <c r="M802" s="90">
        <v>0</v>
      </c>
      <c r="N802" s="90">
        <v>75297.580942908433</v>
      </c>
      <c r="O802" s="90">
        <v>0</v>
      </c>
      <c r="P802" s="90">
        <v>0</v>
      </c>
      <c r="Q802" s="90">
        <v>0</v>
      </c>
      <c r="R802" s="90">
        <v>60030.803418803407</v>
      </c>
    </row>
    <row r="803" spans="1:18">
      <c r="A803" s="90" t="s">
        <v>181</v>
      </c>
      <c r="B803" s="90" t="s">
        <v>1439</v>
      </c>
      <c r="C803" s="90" t="str">
        <f t="shared" si="12"/>
        <v>Lime VillageEducation - K - 12</v>
      </c>
      <c r="D803" s="90">
        <v>1</v>
      </c>
      <c r="E803" s="90">
        <v>2245</v>
      </c>
      <c r="F803" s="90">
        <v>1903.2311767776416</v>
      </c>
      <c r="G803" s="90">
        <v>0</v>
      </c>
      <c r="H803" s="90">
        <v>14588.939127360951</v>
      </c>
      <c r="I803" s="90">
        <v>0</v>
      </c>
      <c r="J803" s="90">
        <v>0</v>
      </c>
      <c r="K803" s="90">
        <v>0</v>
      </c>
      <c r="L803" s="90">
        <v>1408.3910708154549</v>
      </c>
      <c r="M803" s="90">
        <v>0</v>
      </c>
      <c r="N803" s="90">
        <v>10795.814954247104</v>
      </c>
      <c r="O803" s="90">
        <v>0</v>
      </c>
      <c r="P803" s="90">
        <v>0</v>
      </c>
      <c r="Q803" s="90">
        <v>0</v>
      </c>
      <c r="R803" s="90">
        <v>15715</v>
      </c>
    </row>
    <row r="804" spans="1:18">
      <c r="A804" s="90" t="s">
        <v>181</v>
      </c>
      <c r="B804" s="90" t="s">
        <v>1440</v>
      </c>
      <c r="C804" s="90" t="str">
        <f t="shared" si="12"/>
        <v>Lime VillageHealth Care - Hospitals</v>
      </c>
      <c r="D804" s="90">
        <v>1</v>
      </c>
      <c r="E804" s="90">
        <v>760</v>
      </c>
      <c r="F804" s="90">
        <v>500</v>
      </c>
      <c r="G804" s="90">
        <v>0</v>
      </c>
      <c r="H804" s="90">
        <v>1700</v>
      </c>
      <c r="I804" s="90">
        <v>0</v>
      </c>
      <c r="J804" s="90">
        <v>0</v>
      </c>
      <c r="K804" s="90">
        <v>0</v>
      </c>
      <c r="L804" s="90">
        <v>370</v>
      </c>
      <c r="M804" s="90">
        <v>0</v>
      </c>
      <c r="N804" s="90">
        <v>1258</v>
      </c>
      <c r="O804" s="90">
        <v>0</v>
      </c>
      <c r="P804" s="90">
        <v>0</v>
      </c>
      <c r="Q804" s="90">
        <v>0</v>
      </c>
      <c r="R804" s="90">
        <v>5320</v>
      </c>
    </row>
    <row r="805" spans="1:18">
      <c r="A805" s="90" t="s">
        <v>181</v>
      </c>
      <c r="B805" s="90" t="s">
        <v>643</v>
      </c>
      <c r="C805" s="90" t="str">
        <f t="shared" si="12"/>
        <v>Lime VillageOther</v>
      </c>
      <c r="D805" s="90">
        <v>4</v>
      </c>
      <c r="E805" s="90">
        <v>5911.840909090909</v>
      </c>
      <c r="F805" s="90">
        <v>5220.0036998019086</v>
      </c>
      <c r="G805" s="90">
        <v>0</v>
      </c>
      <c r="H805" s="90">
        <v>39062.139243957856</v>
      </c>
      <c r="I805" s="90">
        <v>0</v>
      </c>
      <c r="J805" s="90">
        <v>0</v>
      </c>
      <c r="K805" s="90">
        <v>0</v>
      </c>
      <c r="L805" s="90">
        <v>3862.802737853413</v>
      </c>
      <c r="M805" s="90">
        <v>0</v>
      </c>
      <c r="N805" s="90">
        <v>28905.983040528808</v>
      </c>
      <c r="O805" s="90">
        <v>0</v>
      </c>
      <c r="P805" s="90">
        <v>0</v>
      </c>
      <c r="Q805" s="90">
        <v>0</v>
      </c>
      <c r="R805" s="90">
        <v>41382.886363636368</v>
      </c>
    </row>
    <row r="806" spans="1:18">
      <c r="A806" s="90" t="s">
        <v>181</v>
      </c>
      <c r="B806" s="90" t="s">
        <v>1227</v>
      </c>
      <c r="C806" s="90" t="str">
        <f t="shared" si="12"/>
        <v>Lime VillagePublic Assembly</v>
      </c>
      <c r="D806" s="90">
        <v>2</v>
      </c>
      <c r="E806" s="90">
        <v>4136.7211538461543</v>
      </c>
      <c r="F806" s="90">
        <v>2581.1385218856381</v>
      </c>
      <c r="G806" s="90">
        <v>0</v>
      </c>
      <c r="H806" s="90">
        <v>15561.251207561681</v>
      </c>
      <c r="I806" s="90">
        <v>0</v>
      </c>
      <c r="J806" s="90">
        <v>0</v>
      </c>
      <c r="K806" s="90">
        <v>0</v>
      </c>
      <c r="L806" s="90">
        <v>1910.042506195372</v>
      </c>
      <c r="M806" s="90">
        <v>0</v>
      </c>
      <c r="N806" s="90">
        <v>11515.325893595644</v>
      </c>
      <c r="O806" s="90">
        <v>0</v>
      </c>
      <c r="P806" s="90">
        <v>0</v>
      </c>
      <c r="Q806" s="90">
        <v>0</v>
      </c>
      <c r="R806" s="90">
        <v>28957.048076923078</v>
      </c>
    </row>
    <row r="807" spans="1:18">
      <c r="A807" s="90" t="s">
        <v>181</v>
      </c>
      <c r="B807" s="90" t="s">
        <v>951</v>
      </c>
      <c r="C807" s="90" t="str">
        <f t="shared" si="12"/>
        <v>Lime VillageWarehousing</v>
      </c>
      <c r="D807" s="90">
        <v>2</v>
      </c>
      <c r="E807" s="90">
        <v>2583.9572649572647</v>
      </c>
      <c r="F807" s="90">
        <v>3239.0690012041746</v>
      </c>
      <c r="G807" s="90">
        <v>0</v>
      </c>
      <c r="H807" s="90">
        <v>30659.037406140691</v>
      </c>
      <c r="I807" s="90">
        <v>0</v>
      </c>
      <c r="J807" s="90">
        <v>0</v>
      </c>
      <c r="K807" s="90">
        <v>0</v>
      </c>
      <c r="L807" s="90">
        <v>2396.9110608910892</v>
      </c>
      <c r="M807" s="90">
        <v>0</v>
      </c>
      <c r="N807" s="90">
        <v>22687.68768054411</v>
      </c>
      <c r="O807" s="90">
        <v>0</v>
      </c>
      <c r="P807" s="90">
        <v>0</v>
      </c>
      <c r="Q807" s="90">
        <v>0</v>
      </c>
      <c r="R807" s="90">
        <v>18087.700854700852</v>
      </c>
    </row>
    <row r="808" spans="1:18">
      <c r="A808" s="90" t="s">
        <v>86</v>
      </c>
      <c r="B808" s="90" t="s">
        <v>1439</v>
      </c>
      <c r="C808" s="90" t="str">
        <f t="shared" si="12"/>
        <v>Lower KalskagEducation - K - 12</v>
      </c>
      <c r="D808" s="90">
        <v>6</v>
      </c>
      <c r="E808" s="90">
        <v>28109</v>
      </c>
      <c r="F808" s="90">
        <v>17358.449979509733</v>
      </c>
      <c r="G808" s="90">
        <v>0</v>
      </c>
      <c r="H808" s="90">
        <v>172270.89979774831</v>
      </c>
      <c r="I808" s="90">
        <v>0</v>
      </c>
      <c r="J808" s="90">
        <v>0</v>
      </c>
      <c r="K808" s="90">
        <v>0</v>
      </c>
      <c r="L808" s="90">
        <v>12845.252984837201</v>
      </c>
      <c r="M808" s="90">
        <v>0</v>
      </c>
      <c r="N808" s="90">
        <v>127480.46585033374</v>
      </c>
      <c r="O808" s="90">
        <v>0</v>
      </c>
      <c r="P808" s="90">
        <v>0</v>
      </c>
      <c r="Q808" s="90">
        <v>0</v>
      </c>
      <c r="R808" s="90">
        <v>196763</v>
      </c>
    </row>
    <row r="809" spans="1:18">
      <c r="A809" s="90" t="s">
        <v>86</v>
      </c>
      <c r="B809" s="90" t="s">
        <v>1469</v>
      </c>
      <c r="C809" s="90" t="str">
        <f t="shared" si="12"/>
        <v>Lower KalskagFood Service and Drinking Places</v>
      </c>
      <c r="D809" s="90">
        <v>1</v>
      </c>
      <c r="E809" s="90">
        <v>2200</v>
      </c>
      <c r="F809" s="90">
        <v>1648.4596962298751</v>
      </c>
      <c r="G809" s="90">
        <v>0</v>
      </c>
      <c r="H809" s="90">
        <v>16053.61866758707</v>
      </c>
      <c r="I809" s="90">
        <v>0</v>
      </c>
      <c r="J809" s="90">
        <v>0</v>
      </c>
      <c r="K809" s="90">
        <v>0</v>
      </c>
      <c r="L809" s="90">
        <v>1219.8601752101076</v>
      </c>
      <c r="M809" s="90">
        <v>0</v>
      </c>
      <c r="N809" s="90">
        <v>11879.677814014432</v>
      </c>
      <c r="O809" s="90">
        <v>0</v>
      </c>
      <c r="P809" s="90">
        <v>0</v>
      </c>
      <c r="Q809" s="90">
        <v>0</v>
      </c>
      <c r="R809" s="90">
        <v>15400</v>
      </c>
    </row>
    <row r="810" spans="1:18">
      <c r="A810" s="90" t="s">
        <v>86</v>
      </c>
      <c r="B810" s="90" t="s">
        <v>1440</v>
      </c>
      <c r="C810" s="90" t="str">
        <f t="shared" si="12"/>
        <v>Lower KalskagHealth Care - Hospitals</v>
      </c>
      <c r="D810" s="90">
        <v>1</v>
      </c>
      <c r="E810" s="90">
        <v>1030</v>
      </c>
      <c r="F810" s="90">
        <v>848</v>
      </c>
      <c r="G810" s="90">
        <v>0</v>
      </c>
      <c r="H810" s="90">
        <v>14094</v>
      </c>
      <c r="I810" s="90">
        <v>0</v>
      </c>
      <c r="J810" s="90">
        <v>0</v>
      </c>
      <c r="K810" s="90">
        <v>0</v>
      </c>
      <c r="L810" s="90">
        <v>627.52</v>
      </c>
      <c r="M810" s="90">
        <v>0</v>
      </c>
      <c r="N810" s="90">
        <v>10429.56</v>
      </c>
      <c r="O810" s="90">
        <v>0</v>
      </c>
      <c r="P810" s="90">
        <v>0</v>
      </c>
      <c r="Q810" s="90">
        <v>0</v>
      </c>
      <c r="R810" s="90">
        <v>7210</v>
      </c>
    </row>
    <row r="811" spans="1:18">
      <c r="A811" s="90" t="s">
        <v>86</v>
      </c>
      <c r="B811" s="90" t="s">
        <v>665</v>
      </c>
      <c r="C811" s="90" t="str">
        <f t="shared" si="12"/>
        <v>Lower KalskagOffice</v>
      </c>
      <c r="D811" s="90">
        <v>5</v>
      </c>
      <c r="E811" s="90">
        <v>11430.507194244603</v>
      </c>
      <c r="F811" s="90">
        <v>9462.2819237784315</v>
      </c>
      <c r="G811" s="90">
        <v>0</v>
      </c>
      <c r="H811" s="90">
        <v>75491.390815441293</v>
      </c>
      <c r="I811" s="90">
        <v>0</v>
      </c>
      <c r="J811" s="90">
        <v>0</v>
      </c>
      <c r="K811" s="90">
        <v>0</v>
      </c>
      <c r="L811" s="90">
        <v>7002.0886235960379</v>
      </c>
      <c r="M811" s="90">
        <v>0</v>
      </c>
      <c r="N811" s="90">
        <v>55863.629203426557</v>
      </c>
      <c r="O811" s="90">
        <v>0</v>
      </c>
      <c r="P811" s="90">
        <v>0</v>
      </c>
      <c r="Q811" s="90">
        <v>0</v>
      </c>
      <c r="R811" s="90">
        <v>80013.55035971223</v>
      </c>
    </row>
    <row r="812" spans="1:18">
      <c r="A812" s="90" t="s">
        <v>86</v>
      </c>
      <c r="B812" s="90" t="s">
        <v>643</v>
      </c>
      <c r="C812" s="90" t="str">
        <f t="shared" si="12"/>
        <v>Lower KalskagOther</v>
      </c>
      <c r="D812" s="90">
        <v>6</v>
      </c>
      <c r="E812" s="90">
        <v>24123.454198473282</v>
      </c>
      <c r="F812" s="90">
        <v>25638.763684154659</v>
      </c>
      <c r="G812" s="90">
        <v>0</v>
      </c>
      <c r="H812" s="90">
        <v>179069.44399852524</v>
      </c>
      <c r="I812" s="90">
        <v>0</v>
      </c>
      <c r="J812" s="90">
        <v>0</v>
      </c>
      <c r="K812" s="90">
        <v>0</v>
      </c>
      <c r="L812" s="90">
        <v>18972.685126274446</v>
      </c>
      <c r="M812" s="90">
        <v>0</v>
      </c>
      <c r="N812" s="90">
        <v>132511.38855890869</v>
      </c>
      <c r="O812" s="90">
        <v>0</v>
      </c>
      <c r="P812" s="90">
        <v>0</v>
      </c>
      <c r="Q812" s="90">
        <v>0</v>
      </c>
      <c r="R812" s="90">
        <v>168864.17938931298</v>
      </c>
    </row>
    <row r="813" spans="1:18">
      <c r="A813" s="90" t="s">
        <v>86</v>
      </c>
      <c r="B813" s="90" t="s">
        <v>1227</v>
      </c>
      <c r="C813" s="90" t="str">
        <f t="shared" si="12"/>
        <v>Lower KalskagPublic Assembly</v>
      </c>
      <c r="D813" s="90">
        <v>2</v>
      </c>
      <c r="E813" s="90">
        <v>4801.5640449438197</v>
      </c>
      <c r="F813" s="90">
        <v>3320.8115994300438</v>
      </c>
      <c r="G813" s="90">
        <v>0</v>
      </c>
      <c r="H813" s="90">
        <v>22264.014760924016</v>
      </c>
      <c r="I813" s="90">
        <v>0</v>
      </c>
      <c r="J813" s="90">
        <v>0</v>
      </c>
      <c r="K813" s="90">
        <v>0</v>
      </c>
      <c r="L813" s="90">
        <v>2457.4005835782323</v>
      </c>
      <c r="M813" s="90">
        <v>0</v>
      </c>
      <c r="N813" s="90">
        <v>16475.37092308377</v>
      </c>
      <c r="O813" s="90">
        <v>0</v>
      </c>
      <c r="P813" s="90">
        <v>0</v>
      </c>
      <c r="Q813" s="90">
        <v>0</v>
      </c>
      <c r="R813" s="90">
        <v>33610.948314606736</v>
      </c>
    </row>
    <row r="814" spans="1:18">
      <c r="A814" s="90" t="s">
        <v>86</v>
      </c>
      <c r="B814" s="90" t="s">
        <v>1475</v>
      </c>
      <c r="C814" s="90" t="str">
        <f t="shared" si="12"/>
        <v>Lower KalskagPublic Safety</v>
      </c>
      <c r="D814" s="90">
        <v>1</v>
      </c>
      <c r="E814" s="90">
        <v>2697.4089393939394</v>
      </c>
      <c r="F814" s="90">
        <v>1909.3942711307411</v>
      </c>
      <c r="G814" s="90">
        <v>0</v>
      </c>
      <c r="H814" s="90">
        <v>22307.792908055355</v>
      </c>
      <c r="I814" s="90">
        <v>0</v>
      </c>
      <c r="J814" s="90">
        <v>0</v>
      </c>
      <c r="K814" s="90">
        <v>0</v>
      </c>
      <c r="L814" s="90">
        <v>1412.9517606367483</v>
      </c>
      <c r="M814" s="90">
        <v>0</v>
      </c>
      <c r="N814" s="90">
        <v>16507.766751960964</v>
      </c>
      <c r="O814" s="90">
        <v>0</v>
      </c>
      <c r="P814" s="90">
        <v>0</v>
      </c>
      <c r="Q814" s="90">
        <v>0</v>
      </c>
      <c r="R814" s="90">
        <v>18881.862575757576</v>
      </c>
    </row>
    <row r="815" spans="1:18">
      <c r="A815" s="90" t="s">
        <v>86</v>
      </c>
      <c r="B815" s="90" t="s">
        <v>951</v>
      </c>
      <c r="C815" s="90" t="str">
        <f t="shared" si="12"/>
        <v>Lower KalskagWarehousing</v>
      </c>
      <c r="D815" s="90">
        <v>1</v>
      </c>
      <c r="E815" s="90">
        <v>1128</v>
      </c>
      <c r="F815" s="90">
        <v>1968.6910388252049</v>
      </c>
      <c r="G815" s="90">
        <v>0</v>
      </c>
      <c r="H815" s="90">
        <v>51683.512805656617</v>
      </c>
      <c r="I815" s="90">
        <v>0</v>
      </c>
      <c r="J815" s="90">
        <v>0</v>
      </c>
      <c r="K815" s="90">
        <v>0</v>
      </c>
      <c r="L815" s="90">
        <v>1456.8313687306515</v>
      </c>
      <c r="M815" s="90">
        <v>0</v>
      </c>
      <c r="N815" s="90">
        <v>38245.799476185894</v>
      </c>
      <c r="O815" s="90">
        <v>0</v>
      </c>
      <c r="P815" s="90">
        <v>0</v>
      </c>
      <c r="Q815" s="90">
        <v>0</v>
      </c>
      <c r="R815" s="90">
        <v>7896</v>
      </c>
    </row>
    <row r="816" spans="1:18">
      <c r="A816" s="90" t="s">
        <v>1034</v>
      </c>
      <c r="B816" s="90" t="s">
        <v>1439</v>
      </c>
      <c r="C816" s="90" t="str">
        <f t="shared" si="12"/>
        <v>Manley Hot SpringsEducation - K - 12</v>
      </c>
      <c r="D816" s="90">
        <v>1</v>
      </c>
      <c r="E816" s="90">
        <v>28730</v>
      </c>
      <c r="F816" s="90">
        <v>11000</v>
      </c>
      <c r="G816" s="90">
        <v>0</v>
      </c>
      <c r="H816" s="90">
        <v>49251</v>
      </c>
      <c r="I816" s="90">
        <v>0</v>
      </c>
      <c r="J816" s="90">
        <v>0</v>
      </c>
      <c r="K816" s="90">
        <v>0</v>
      </c>
      <c r="L816" s="90">
        <v>8140</v>
      </c>
      <c r="M816" s="90">
        <v>0</v>
      </c>
      <c r="N816" s="90">
        <v>36445.74</v>
      </c>
      <c r="O816" s="90">
        <v>0</v>
      </c>
      <c r="P816" s="90">
        <v>0</v>
      </c>
      <c r="Q816" s="90">
        <v>0</v>
      </c>
      <c r="R816" s="90">
        <v>201110</v>
      </c>
    </row>
    <row r="817" spans="1:18">
      <c r="A817" s="90" t="s">
        <v>1034</v>
      </c>
      <c r="B817" s="90" t="s">
        <v>1440</v>
      </c>
      <c r="C817" s="90" t="str">
        <f t="shared" si="12"/>
        <v>Manley Hot SpringsHealth Care - Hospitals</v>
      </c>
      <c r="D817" s="90">
        <v>1</v>
      </c>
      <c r="E817" s="90">
        <v>1400</v>
      </c>
      <c r="F817" s="90">
        <v>900</v>
      </c>
      <c r="G817" s="90">
        <v>0</v>
      </c>
      <c r="H817" s="90">
        <v>10531.403820445303</v>
      </c>
      <c r="I817" s="90">
        <v>0</v>
      </c>
      <c r="J817" s="90">
        <v>0</v>
      </c>
      <c r="K817" s="90">
        <v>0</v>
      </c>
      <c r="L817" s="90">
        <v>666</v>
      </c>
      <c r="M817" s="90">
        <v>0</v>
      </c>
      <c r="N817" s="90">
        <v>7793.238827129524</v>
      </c>
      <c r="O817" s="90">
        <v>0</v>
      </c>
      <c r="P817" s="90">
        <v>0</v>
      </c>
      <c r="Q817" s="90">
        <v>0</v>
      </c>
      <c r="R817" s="90">
        <v>9800</v>
      </c>
    </row>
    <row r="818" spans="1:18">
      <c r="A818" s="90" t="s">
        <v>1034</v>
      </c>
      <c r="B818" s="90" t="s">
        <v>665</v>
      </c>
      <c r="C818" s="90" t="str">
        <f t="shared" si="12"/>
        <v>Manley Hot SpringsOffice</v>
      </c>
      <c r="D818" s="90">
        <v>1</v>
      </c>
      <c r="E818" s="90">
        <v>820</v>
      </c>
      <c r="F818" s="90">
        <v>1091.1439069707881</v>
      </c>
      <c r="G818" s="90">
        <v>0</v>
      </c>
      <c r="H818" s="90">
        <v>6573.1447951667697</v>
      </c>
      <c r="I818" s="90">
        <v>0</v>
      </c>
      <c r="J818" s="90">
        <v>0</v>
      </c>
      <c r="K818" s="90">
        <v>0</v>
      </c>
      <c r="L818" s="90">
        <v>807.4464911583832</v>
      </c>
      <c r="M818" s="90">
        <v>0</v>
      </c>
      <c r="N818" s="90">
        <v>4864.1271484234094</v>
      </c>
      <c r="O818" s="90">
        <v>0</v>
      </c>
      <c r="P818" s="90">
        <v>0</v>
      </c>
      <c r="Q818" s="90">
        <v>0</v>
      </c>
      <c r="R818" s="90">
        <v>5740</v>
      </c>
    </row>
    <row r="819" spans="1:18">
      <c r="A819" s="90" t="s">
        <v>1034</v>
      </c>
      <c r="B819" s="90" t="s">
        <v>643</v>
      </c>
      <c r="C819" s="90" t="str">
        <f t="shared" si="12"/>
        <v>Manley Hot SpringsOther</v>
      </c>
      <c r="D819" s="90">
        <v>4</v>
      </c>
      <c r="E819" s="90">
        <v>4860</v>
      </c>
      <c r="F819" s="90">
        <v>3073.532050370316</v>
      </c>
      <c r="G819" s="90">
        <v>0</v>
      </c>
      <c r="H819" s="90">
        <v>35371.020299494157</v>
      </c>
      <c r="I819" s="90">
        <v>0</v>
      </c>
      <c r="J819" s="90">
        <v>0</v>
      </c>
      <c r="K819" s="90">
        <v>0</v>
      </c>
      <c r="L819" s="90">
        <v>2274.4137172740338</v>
      </c>
      <c r="M819" s="90">
        <v>0</v>
      </c>
      <c r="N819" s="90">
        <v>26174.555021625674</v>
      </c>
      <c r="O819" s="90">
        <v>0</v>
      </c>
      <c r="P819" s="90">
        <v>0</v>
      </c>
      <c r="Q819" s="90">
        <v>0</v>
      </c>
      <c r="R819" s="90">
        <v>34020</v>
      </c>
    </row>
    <row r="820" spans="1:18">
      <c r="A820" s="90" t="s">
        <v>1034</v>
      </c>
      <c r="B820" s="90" t="s">
        <v>1227</v>
      </c>
      <c r="C820" s="90" t="str">
        <f t="shared" si="12"/>
        <v>Manley Hot SpringsPublic Assembly</v>
      </c>
      <c r="D820" s="90">
        <v>1</v>
      </c>
      <c r="E820" s="90">
        <v>1200</v>
      </c>
      <c r="F820" s="90">
        <v>748.74909646326091</v>
      </c>
      <c r="G820" s="90">
        <v>0</v>
      </c>
      <c r="H820" s="90">
        <v>4514.0827129989566</v>
      </c>
      <c r="I820" s="90">
        <v>0</v>
      </c>
      <c r="J820" s="90">
        <v>0</v>
      </c>
      <c r="K820" s="90">
        <v>0</v>
      </c>
      <c r="L820" s="90">
        <v>554.07433138281306</v>
      </c>
      <c r="M820" s="90">
        <v>0</v>
      </c>
      <c r="N820" s="90">
        <v>3340.421207619228</v>
      </c>
      <c r="O820" s="90">
        <v>0</v>
      </c>
      <c r="P820" s="90">
        <v>0</v>
      </c>
      <c r="Q820" s="90">
        <v>0</v>
      </c>
      <c r="R820" s="90">
        <v>8400</v>
      </c>
    </row>
    <row r="821" spans="1:18">
      <c r="A821" s="90" t="s">
        <v>1034</v>
      </c>
      <c r="B821" s="90" t="s">
        <v>1442</v>
      </c>
      <c r="C821" s="90" t="str">
        <f t="shared" si="12"/>
        <v>Manley Hot SpringsResidential - Multi-Family</v>
      </c>
      <c r="D821" s="90">
        <v>1</v>
      </c>
      <c r="E821" s="90">
        <v>3300</v>
      </c>
      <c r="F821" s="90">
        <v>3626.2423357664234</v>
      </c>
      <c r="G821" s="90">
        <v>0</v>
      </c>
      <c r="H821" s="90">
        <v>17278.728652260641</v>
      </c>
      <c r="I821" s="90">
        <v>0</v>
      </c>
      <c r="J821" s="90">
        <v>0</v>
      </c>
      <c r="K821" s="90">
        <v>0</v>
      </c>
      <c r="L821" s="90">
        <v>2683.4193284671533</v>
      </c>
      <c r="M821" s="90">
        <v>0</v>
      </c>
      <c r="N821" s="90">
        <v>12786.259202672874</v>
      </c>
      <c r="O821" s="90">
        <v>0</v>
      </c>
      <c r="P821" s="90">
        <v>0</v>
      </c>
      <c r="Q821" s="90">
        <v>0</v>
      </c>
      <c r="R821" s="90">
        <v>23100</v>
      </c>
    </row>
    <row r="822" spans="1:18">
      <c r="A822" s="90" t="s">
        <v>1034</v>
      </c>
      <c r="B822" s="90" t="s">
        <v>951</v>
      </c>
      <c r="C822" s="90" t="str">
        <f t="shared" si="12"/>
        <v>Manley Hot SpringsWarehousing</v>
      </c>
      <c r="D822" s="90">
        <v>2</v>
      </c>
      <c r="E822" s="90">
        <v>2071.9572649572647</v>
      </c>
      <c r="F822" s="90">
        <v>2597.2614329803382</v>
      </c>
      <c r="G822" s="90">
        <v>0</v>
      </c>
      <c r="H822" s="90">
        <v>39092.579706606281</v>
      </c>
      <c r="I822" s="90">
        <v>0</v>
      </c>
      <c r="J822" s="90">
        <v>0</v>
      </c>
      <c r="K822" s="90">
        <v>0</v>
      </c>
      <c r="L822" s="90">
        <v>1921.9734604054502</v>
      </c>
      <c r="M822" s="90">
        <v>0</v>
      </c>
      <c r="N822" s="90">
        <v>28928.508982888648</v>
      </c>
      <c r="O822" s="90">
        <v>0</v>
      </c>
      <c r="P822" s="90">
        <v>0</v>
      </c>
      <c r="Q822" s="90">
        <v>0</v>
      </c>
      <c r="R822" s="90">
        <v>14503.700854700854</v>
      </c>
    </row>
    <row r="823" spans="1:18">
      <c r="A823" s="90" t="s">
        <v>185</v>
      </c>
      <c r="B823" s="90" t="s">
        <v>1439</v>
      </c>
      <c r="C823" s="90" t="str">
        <f t="shared" si="12"/>
        <v>ManokotakEducation - K - 12</v>
      </c>
      <c r="D823" s="90">
        <v>1</v>
      </c>
      <c r="E823" s="90">
        <v>37696</v>
      </c>
      <c r="F823" s="90">
        <v>24975</v>
      </c>
      <c r="G823" s="90">
        <v>0</v>
      </c>
      <c r="H823" s="90">
        <v>314291.82904049999</v>
      </c>
      <c r="I823" s="90">
        <v>0</v>
      </c>
      <c r="J823" s="90">
        <v>0</v>
      </c>
      <c r="K823" s="90">
        <v>0</v>
      </c>
      <c r="L823" s="90">
        <v>18481.5</v>
      </c>
      <c r="M823" s="90">
        <v>0</v>
      </c>
      <c r="N823" s="90">
        <v>232575.95348996998</v>
      </c>
      <c r="O823" s="90">
        <v>0</v>
      </c>
      <c r="P823" s="90">
        <v>0</v>
      </c>
      <c r="Q823" s="90">
        <v>0</v>
      </c>
      <c r="R823" s="90">
        <v>263872</v>
      </c>
    </row>
    <row r="824" spans="1:18">
      <c r="A824" s="90" t="s">
        <v>185</v>
      </c>
      <c r="B824" s="90" t="s">
        <v>1440</v>
      </c>
      <c r="C824" s="90" t="str">
        <f t="shared" si="12"/>
        <v>ManokotakHealth Care - Hospitals</v>
      </c>
      <c r="D824" s="90">
        <v>2</v>
      </c>
      <c r="E824" s="90">
        <v>6488.5925000000007</v>
      </c>
      <c r="F824" s="90">
        <v>4101.2803073030491</v>
      </c>
      <c r="G824" s="90">
        <v>0</v>
      </c>
      <c r="H824" s="90">
        <v>57202.216328378607</v>
      </c>
      <c r="I824" s="90">
        <v>0</v>
      </c>
      <c r="J824" s="90">
        <v>0</v>
      </c>
      <c r="K824" s="90">
        <v>0</v>
      </c>
      <c r="L824" s="90">
        <v>3034.9474274042564</v>
      </c>
      <c r="M824" s="90">
        <v>0</v>
      </c>
      <c r="N824" s="90">
        <v>42329.640083000166</v>
      </c>
      <c r="O824" s="90">
        <v>0</v>
      </c>
      <c r="P824" s="90">
        <v>0</v>
      </c>
      <c r="Q824" s="90">
        <v>0</v>
      </c>
      <c r="R824" s="90">
        <v>45420.147500000006</v>
      </c>
    </row>
    <row r="825" spans="1:18">
      <c r="A825" s="90" t="s">
        <v>185</v>
      </c>
      <c r="B825" s="90" t="s">
        <v>665</v>
      </c>
      <c r="C825" s="90" t="str">
        <f t="shared" si="12"/>
        <v>ManokotakOffice</v>
      </c>
      <c r="D825" s="90">
        <v>3</v>
      </c>
      <c r="E825" s="90">
        <v>7700.338129496402</v>
      </c>
      <c r="F825" s="90">
        <v>5403.5212825189537</v>
      </c>
      <c r="G825" s="90">
        <v>0</v>
      </c>
      <c r="H825" s="90">
        <v>36338.92721029419</v>
      </c>
      <c r="I825" s="90">
        <v>0</v>
      </c>
      <c r="J825" s="90">
        <v>0</v>
      </c>
      <c r="K825" s="90">
        <v>0</v>
      </c>
      <c r="L825" s="90">
        <v>3998.6057490640251</v>
      </c>
      <c r="M825" s="90">
        <v>0</v>
      </c>
      <c r="N825" s="90">
        <v>26890.806135617702</v>
      </c>
      <c r="O825" s="90">
        <v>0</v>
      </c>
      <c r="P825" s="90">
        <v>0</v>
      </c>
      <c r="Q825" s="90">
        <v>0</v>
      </c>
      <c r="R825" s="90">
        <v>53902.36690647481</v>
      </c>
    </row>
    <row r="826" spans="1:18">
      <c r="A826" s="90" t="s">
        <v>185</v>
      </c>
      <c r="B826" s="90" t="s">
        <v>643</v>
      </c>
      <c r="C826" s="90" t="str">
        <f t="shared" si="12"/>
        <v>ManokotakOther</v>
      </c>
      <c r="D826" s="90">
        <v>18</v>
      </c>
      <c r="E826" s="90">
        <v>73330.362595419821</v>
      </c>
      <c r="F826" s="90">
        <v>77990.298534590387</v>
      </c>
      <c r="G826" s="90">
        <v>0</v>
      </c>
      <c r="H826" s="90">
        <v>539326.80161414435</v>
      </c>
      <c r="I826" s="90">
        <v>0</v>
      </c>
      <c r="J826" s="90">
        <v>0</v>
      </c>
      <c r="K826" s="90">
        <v>0</v>
      </c>
      <c r="L826" s="90">
        <v>57712.820915596894</v>
      </c>
      <c r="M826" s="90">
        <v>0</v>
      </c>
      <c r="N826" s="90">
        <v>399101.83319446689</v>
      </c>
      <c r="O826" s="90">
        <v>0</v>
      </c>
      <c r="P826" s="90">
        <v>0</v>
      </c>
      <c r="Q826" s="90">
        <v>0</v>
      </c>
      <c r="R826" s="90">
        <v>513312.53816793882</v>
      </c>
    </row>
    <row r="827" spans="1:18">
      <c r="A827" s="90" t="s">
        <v>185</v>
      </c>
      <c r="B827" s="90" t="s">
        <v>1227</v>
      </c>
      <c r="C827" s="90" t="str">
        <f t="shared" si="12"/>
        <v>ManokotakPublic Assembly</v>
      </c>
      <c r="D827" s="90">
        <v>3</v>
      </c>
      <c r="E827" s="90">
        <v>7813.1280898876394</v>
      </c>
      <c r="F827" s="90">
        <v>5403.6405941629282</v>
      </c>
      <c r="G827" s="90">
        <v>0</v>
      </c>
      <c r="H827" s="90">
        <v>47076.759306674343</v>
      </c>
      <c r="I827" s="90">
        <v>0</v>
      </c>
      <c r="J827" s="90">
        <v>0</v>
      </c>
      <c r="K827" s="90">
        <v>0</v>
      </c>
      <c r="L827" s="90">
        <v>3998.6940396805667</v>
      </c>
      <c r="M827" s="90">
        <v>0</v>
      </c>
      <c r="N827" s="90">
        <v>34836.801886939007</v>
      </c>
      <c r="O827" s="90">
        <v>0</v>
      </c>
      <c r="P827" s="90">
        <v>0</v>
      </c>
      <c r="Q827" s="90">
        <v>0</v>
      </c>
      <c r="R827" s="90">
        <v>54691.896629213479</v>
      </c>
    </row>
    <row r="828" spans="1:18">
      <c r="A828" s="90" t="s">
        <v>185</v>
      </c>
      <c r="B828" s="90" t="s">
        <v>1475</v>
      </c>
      <c r="C828" s="90" t="str">
        <f t="shared" si="12"/>
        <v>ManokotakPublic Safety</v>
      </c>
      <c r="D828" s="90">
        <v>1</v>
      </c>
      <c r="E828" s="90">
        <v>1400</v>
      </c>
      <c r="F828" s="90">
        <v>500</v>
      </c>
      <c r="G828" s="90">
        <v>0</v>
      </c>
      <c r="H828" s="90">
        <v>12200</v>
      </c>
      <c r="I828" s="90">
        <v>0</v>
      </c>
      <c r="J828" s="90">
        <v>0</v>
      </c>
      <c r="K828" s="90">
        <v>0</v>
      </c>
      <c r="L828" s="90">
        <v>370</v>
      </c>
      <c r="M828" s="90">
        <v>0</v>
      </c>
      <c r="N828" s="90">
        <v>9028</v>
      </c>
      <c r="O828" s="90">
        <v>0</v>
      </c>
      <c r="P828" s="90">
        <v>0</v>
      </c>
      <c r="Q828" s="90">
        <v>0</v>
      </c>
      <c r="R828" s="90">
        <v>9800</v>
      </c>
    </row>
    <row r="829" spans="1:18">
      <c r="A829" s="90" t="s">
        <v>185</v>
      </c>
      <c r="B829" s="90" t="s">
        <v>951</v>
      </c>
      <c r="C829" s="90" t="str">
        <f t="shared" si="12"/>
        <v>ManokotakWarehousing</v>
      </c>
      <c r="D829" s="90">
        <v>1</v>
      </c>
      <c r="E829" s="90">
        <v>2726.5661764705883</v>
      </c>
      <c r="F829" s="90">
        <v>4758.6581545935724</v>
      </c>
      <c r="G829" s="90">
        <v>0</v>
      </c>
      <c r="H829" s="90">
        <v>124927.76409316297</v>
      </c>
      <c r="I829" s="90">
        <v>0</v>
      </c>
      <c r="J829" s="90">
        <v>0</v>
      </c>
      <c r="K829" s="90">
        <v>0</v>
      </c>
      <c r="L829" s="90">
        <v>3521.4070343992435</v>
      </c>
      <c r="M829" s="90">
        <v>0</v>
      </c>
      <c r="N829" s="90">
        <v>92446.545428940604</v>
      </c>
      <c r="O829" s="90">
        <v>0</v>
      </c>
      <c r="P829" s="90">
        <v>0</v>
      </c>
      <c r="Q829" s="90">
        <v>0</v>
      </c>
      <c r="R829" s="90">
        <v>19085.963235294119</v>
      </c>
    </row>
    <row r="830" spans="1:18">
      <c r="A830" s="90" t="s">
        <v>87</v>
      </c>
      <c r="B830" s="90" t="s">
        <v>1439</v>
      </c>
      <c r="C830" s="90" t="str">
        <f t="shared" si="12"/>
        <v>MarshallEducation - K - 12</v>
      </c>
      <c r="D830" s="90">
        <v>1</v>
      </c>
      <c r="E830" s="90">
        <v>41487</v>
      </c>
      <c r="F830" s="90">
        <v>30477.640454274038</v>
      </c>
      <c r="G830" s="90">
        <v>0</v>
      </c>
      <c r="H830" s="90">
        <v>293757.9060708902</v>
      </c>
      <c r="I830" s="90">
        <v>0</v>
      </c>
      <c r="J830" s="90">
        <v>0</v>
      </c>
      <c r="K830" s="90">
        <v>0</v>
      </c>
      <c r="L830" s="90">
        <v>22553.453936162787</v>
      </c>
      <c r="M830" s="90">
        <v>0</v>
      </c>
      <c r="N830" s="90">
        <v>217380.85049245873</v>
      </c>
      <c r="O830" s="90">
        <v>0</v>
      </c>
      <c r="P830" s="90">
        <v>0</v>
      </c>
      <c r="Q830" s="90">
        <v>0</v>
      </c>
      <c r="R830" s="90">
        <v>290409</v>
      </c>
    </row>
    <row r="831" spans="1:18">
      <c r="A831" s="90" t="s">
        <v>87</v>
      </c>
      <c r="B831" s="90" t="s">
        <v>1440</v>
      </c>
      <c r="C831" s="90" t="str">
        <f t="shared" si="12"/>
        <v>MarshallHealth Care - Hospitals</v>
      </c>
      <c r="D831" s="90">
        <v>1</v>
      </c>
      <c r="E831" s="90">
        <v>2422</v>
      </c>
      <c r="F831" s="90">
        <v>1314</v>
      </c>
      <c r="G831" s="90">
        <v>0</v>
      </c>
      <c r="H831" s="90">
        <v>18239</v>
      </c>
      <c r="I831" s="90">
        <v>0</v>
      </c>
      <c r="J831" s="90">
        <v>0</v>
      </c>
      <c r="K831" s="90">
        <v>0</v>
      </c>
      <c r="L831" s="90">
        <v>972.36</v>
      </c>
      <c r="M831" s="90">
        <v>0</v>
      </c>
      <c r="N831" s="90">
        <v>13496.86</v>
      </c>
      <c r="O831" s="90">
        <v>0</v>
      </c>
      <c r="P831" s="90">
        <v>0</v>
      </c>
      <c r="Q831" s="90">
        <v>0</v>
      </c>
      <c r="R831" s="90">
        <v>16954</v>
      </c>
    </row>
    <row r="832" spans="1:18">
      <c r="A832" s="90" t="s">
        <v>87</v>
      </c>
      <c r="B832" s="90" t="s">
        <v>665</v>
      </c>
      <c r="C832" s="90" t="str">
        <f t="shared" si="12"/>
        <v>MarshallOffice</v>
      </c>
      <c r="D832" s="90">
        <v>2</v>
      </c>
      <c r="E832" s="90">
        <v>3365.1690647482014</v>
      </c>
      <c r="F832" s="90">
        <v>2801.7606412594769</v>
      </c>
      <c r="G832" s="90">
        <v>0</v>
      </c>
      <c r="H832" s="90">
        <v>17867.463605147095</v>
      </c>
      <c r="I832" s="90">
        <v>0</v>
      </c>
      <c r="J832" s="90">
        <v>0</v>
      </c>
      <c r="K832" s="90">
        <v>0</v>
      </c>
      <c r="L832" s="90">
        <v>2073.3028745320125</v>
      </c>
      <c r="M832" s="90">
        <v>0</v>
      </c>
      <c r="N832" s="90">
        <v>13221.923067808852</v>
      </c>
      <c r="O832" s="90">
        <v>0</v>
      </c>
      <c r="P832" s="90">
        <v>0</v>
      </c>
      <c r="Q832" s="90">
        <v>0</v>
      </c>
      <c r="R832" s="90">
        <v>23556.183453237409</v>
      </c>
    </row>
    <row r="833" spans="1:18">
      <c r="A833" s="90" t="s">
        <v>87</v>
      </c>
      <c r="B833" s="90" t="s">
        <v>643</v>
      </c>
      <c r="C833" s="90" t="str">
        <f t="shared" si="12"/>
        <v>MarshallOther</v>
      </c>
      <c r="D833" s="90">
        <v>1</v>
      </c>
      <c r="E833" s="90">
        <v>96</v>
      </c>
      <c r="F833" s="90">
        <v>102.03021894910134</v>
      </c>
      <c r="G833" s="90">
        <v>0</v>
      </c>
      <c r="H833" s="90">
        <v>712.61215257251092</v>
      </c>
      <c r="I833" s="90">
        <v>0</v>
      </c>
      <c r="J833" s="90">
        <v>0</v>
      </c>
      <c r="K833" s="90">
        <v>0</v>
      </c>
      <c r="L833" s="90">
        <v>75.502362022334992</v>
      </c>
      <c r="M833" s="90">
        <v>0</v>
      </c>
      <c r="N833" s="90">
        <v>527.33299290365812</v>
      </c>
      <c r="O833" s="90">
        <v>0</v>
      </c>
      <c r="P833" s="90">
        <v>0</v>
      </c>
      <c r="Q833" s="90">
        <v>0</v>
      </c>
      <c r="R833" s="90">
        <v>672</v>
      </c>
    </row>
    <row r="834" spans="1:18">
      <c r="A834" s="90" t="s">
        <v>87</v>
      </c>
      <c r="B834" s="90" t="s">
        <v>1485</v>
      </c>
      <c r="C834" s="90" t="str">
        <f t="shared" si="12"/>
        <v>MarshallRetail - Other</v>
      </c>
      <c r="D834" s="90">
        <v>2</v>
      </c>
      <c r="E834" s="90">
        <v>3904</v>
      </c>
      <c r="F834" s="90">
        <v>5315.1284204821432</v>
      </c>
      <c r="G834" s="90">
        <v>0</v>
      </c>
      <c r="H834" s="90">
        <v>82398.239719287216</v>
      </c>
      <c r="I834" s="90">
        <v>0</v>
      </c>
      <c r="J834" s="90">
        <v>0</v>
      </c>
      <c r="K834" s="90">
        <v>0</v>
      </c>
      <c r="L834" s="90">
        <v>3933.1950311567857</v>
      </c>
      <c r="M834" s="90">
        <v>0</v>
      </c>
      <c r="N834" s="90">
        <v>60974.697392272545</v>
      </c>
      <c r="O834" s="90">
        <v>0</v>
      </c>
      <c r="P834" s="90">
        <v>0</v>
      </c>
      <c r="Q834" s="90">
        <v>0</v>
      </c>
      <c r="R834" s="90">
        <v>27328</v>
      </c>
    </row>
    <row r="835" spans="1:18">
      <c r="A835" s="90" t="s">
        <v>87</v>
      </c>
      <c r="B835" s="90" t="s">
        <v>951</v>
      </c>
      <c r="C835" s="90" t="str">
        <f t="shared" ref="C835:C898" si="13">CONCATENATE(A835,B835)</f>
        <v>MarshallWarehousing</v>
      </c>
      <c r="D835" s="90">
        <v>1</v>
      </c>
      <c r="E835" s="90">
        <v>2000</v>
      </c>
      <c r="F835" s="90">
        <v>963.50364963503648</v>
      </c>
      <c r="G835" s="90">
        <v>0</v>
      </c>
      <c r="H835" s="90">
        <v>4511.5406034999996</v>
      </c>
      <c r="I835" s="90">
        <v>0</v>
      </c>
      <c r="J835" s="90">
        <v>0</v>
      </c>
      <c r="K835" s="90">
        <v>0</v>
      </c>
      <c r="L835" s="90">
        <v>712.99270072992704</v>
      </c>
      <c r="M835" s="90">
        <v>0</v>
      </c>
      <c r="N835" s="90">
        <v>3338.5400465899997</v>
      </c>
      <c r="O835" s="90">
        <v>0</v>
      </c>
      <c r="P835" s="90">
        <v>0</v>
      </c>
      <c r="Q835" s="90">
        <v>0</v>
      </c>
      <c r="R835" s="90">
        <v>14000</v>
      </c>
    </row>
    <row r="836" spans="1:18">
      <c r="A836" s="90" t="s">
        <v>1035</v>
      </c>
      <c r="B836" s="90" t="s">
        <v>1447</v>
      </c>
      <c r="C836" s="90" t="str">
        <f t="shared" si="13"/>
        <v>McCarthyAccomodation Services</v>
      </c>
      <c r="D836" s="90">
        <v>2</v>
      </c>
      <c r="E836" s="90">
        <v>31000</v>
      </c>
      <c r="F836" s="90">
        <v>25022.600063099806</v>
      </c>
      <c r="G836" s="90">
        <v>0</v>
      </c>
      <c r="H836" s="90">
        <v>227449.87468671679</v>
      </c>
      <c r="I836" s="90">
        <v>0</v>
      </c>
      <c r="J836" s="90">
        <v>0</v>
      </c>
      <c r="K836" s="90">
        <v>0</v>
      </c>
      <c r="L836" s="90">
        <v>18516.724046693857</v>
      </c>
      <c r="M836" s="90">
        <v>0</v>
      </c>
      <c r="N836" s="90">
        <v>168312.90726817041</v>
      </c>
      <c r="O836" s="90">
        <v>0</v>
      </c>
      <c r="P836" s="90">
        <v>0</v>
      </c>
      <c r="Q836" s="90">
        <v>0</v>
      </c>
      <c r="R836" s="90">
        <v>217000</v>
      </c>
    </row>
    <row r="837" spans="1:18">
      <c r="A837" s="90" t="s">
        <v>1035</v>
      </c>
      <c r="B837" s="90" t="s">
        <v>643</v>
      </c>
      <c r="C837" s="90" t="str">
        <f t="shared" si="13"/>
        <v>McCarthyOther</v>
      </c>
      <c r="D837" s="90">
        <v>4</v>
      </c>
      <c r="E837" s="90">
        <v>6867.8409090909081</v>
      </c>
      <c r="F837" s="90">
        <v>5939.7988131051652</v>
      </c>
      <c r="G837" s="90">
        <v>0</v>
      </c>
      <c r="H837" s="90">
        <v>49984.061771430235</v>
      </c>
      <c r="I837" s="90">
        <v>0</v>
      </c>
      <c r="J837" s="90">
        <v>0</v>
      </c>
      <c r="K837" s="90">
        <v>0</v>
      </c>
      <c r="L837" s="90">
        <v>4395.4511216978226</v>
      </c>
      <c r="M837" s="90">
        <v>0</v>
      </c>
      <c r="N837" s="90">
        <v>36988.205710858376</v>
      </c>
      <c r="O837" s="90">
        <v>0</v>
      </c>
      <c r="P837" s="90">
        <v>0</v>
      </c>
      <c r="Q837" s="90">
        <v>0</v>
      </c>
      <c r="R837" s="90">
        <v>48074.886363636368</v>
      </c>
    </row>
    <row r="838" spans="1:18">
      <c r="A838" s="90" t="s">
        <v>1035</v>
      </c>
      <c r="B838" s="90" t="s">
        <v>1227</v>
      </c>
      <c r="C838" s="90" t="str">
        <f t="shared" si="13"/>
        <v>McCarthyPublic Assembly</v>
      </c>
      <c r="D838" s="90">
        <v>1</v>
      </c>
      <c r="E838" s="90">
        <v>3136.7211538461538</v>
      </c>
      <c r="F838" s="90">
        <v>1957.1809414995873</v>
      </c>
      <c r="G838" s="90">
        <v>0</v>
      </c>
      <c r="H838" s="90">
        <v>11799.515613395884</v>
      </c>
      <c r="I838" s="90">
        <v>0</v>
      </c>
      <c r="J838" s="90">
        <v>0</v>
      </c>
      <c r="K838" s="90">
        <v>0</v>
      </c>
      <c r="L838" s="90">
        <v>1448.3138967096945</v>
      </c>
      <c r="M838" s="90">
        <v>0</v>
      </c>
      <c r="N838" s="90">
        <v>8731.6415539129539</v>
      </c>
      <c r="O838" s="90">
        <v>0</v>
      </c>
      <c r="P838" s="90">
        <v>0</v>
      </c>
      <c r="Q838" s="90">
        <v>0</v>
      </c>
      <c r="R838" s="90">
        <v>21957.048076923078</v>
      </c>
    </row>
    <row r="839" spans="1:18">
      <c r="A839" s="90" t="s">
        <v>16</v>
      </c>
      <c r="B839" s="90" t="s">
        <v>1447</v>
      </c>
      <c r="C839" s="90" t="str">
        <f t="shared" si="13"/>
        <v>McGrathAccomodation Services</v>
      </c>
      <c r="D839" s="90">
        <v>1</v>
      </c>
      <c r="E839" s="90">
        <v>7260.0625</v>
      </c>
      <c r="F839" s="90">
        <v>0</v>
      </c>
      <c r="G839" s="90">
        <v>7485.3185274619782</v>
      </c>
      <c r="H839" s="90">
        <v>158263.93571825544</v>
      </c>
      <c r="I839" s="90">
        <v>0</v>
      </c>
      <c r="J839" s="90">
        <v>0</v>
      </c>
      <c r="K839" s="90">
        <v>0</v>
      </c>
      <c r="L839" s="90">
        <v>0</v>
      </c>
      <c r="M839" s="90">
        <v>5539.1357103218634</v>
      </c>
      <c r="N839" s="90">
        <v>117115.31243150902</v>
      </c>
      <c r="O839" s="90">
        <v>0</v>
      </c>
      <c r="P839" s="90">
        <v>0</v>
      </c>
      <c r="Q839" s="90">
        <v>0</v>
      </c>
      <c r="R839" s="90">
        <v>50820.4375</v>
      </c>
    </row>
    <row r="840" spans="1:18">
      <c r="A840" s="90" t="s">
        <v>16</v>
      </c>
      <c r="B840" s="90" t="s">
        <v>1439</v>
      </c>
      <c r="C840" s="90" t="str">
        <f t="shared" si="13"/>
        <v>McGrathEducation - K - 12</v>
      </c>
      <c r="D840" s="90">
        <v>6</v>
      </c>
      <c r="E840" s="90">
        <v>77368.223957219248</v>
      </c>
      <c r="F840" s="90">
        <v>31755.065043603296</v>
      </c>
      <c r="G840" s="90">
        <v>32335.438739613186</v>
      </c>
      <c r="H840" s="90">
        <v>393373.64769663633</v>
      </c>
      <c r="I840" s="90">
        <v>0</v>
      </c>
      <c r="J840" s="90">
        <v>0</v>
      </c>
      <c r="K840" s="90">
        <v>0</v>
      </c>
      <c r="L840" s="90">
        <v>23498.748132266439</v>
      </c>
      <c r="M840" s="90">
        <v>23928.224667313756</v>
      </c>
      <c r="N840" s="90">
        <v>291096.49929551088</v>
      </c>
      <c r="O840" s="90">
        <v>0</v>
      </c>
      <c r="P840" s="90">
        <v>0</v>
      </c>
      <c r="Q840" s="90">
        <v>0</v>
      </c>
      <c r="R840" s="90">
        <v>541577.56770053483</v>
      </c>
    </row>
    <row r="841" spans="1:18">
      <c r="A841" s="90" t="s">
        <v>16</v>
      </c>
      <c r="B841" s="90" t="s">
        <v>1440</v>
      </c>
      <c r="C841" s="90" t="str">
        <f t="shared" si="13"/>
        <v>McGrathHealth Care - Hospitals</v>
      </c>
      <c r="D841" s="90">
        <v>1</v>
      </c>
      <c r="E841" s="90">
        <v>6100</v>
      </c>
      <c r="F841" s="90">
        <v>3855.6605110505243</v>
      </c>
      <c r="G841" s="90">
        <v>0</v>
      </c>
      <c r="H841" s="90">
        <v>53776.457622066649</v>
      </c>
      <c r="I841" s="90">
        <v>0</v>
      </c>
      <c r="J841" s="90">
        <v>0</v>
      </c>
      <c r="K841" s="90">
        <v>0</v>
      </c>
      <c r="L841" s="90">
        <v>2853.188778177388</v>
      </c>
      <c r="M841" s="90">
        <v>0</v>
      </c>
      <c r="N841" s="90">
        <v>39794.578640329317</v>
      </c>
      <c r="O841" s="90">
        <v>0</v>
      </c>
      <c r="P841" s="90">
        <v>0</v>
      </c>
      <c r="Q841" s="90">
        <v>0</v>
      </c>
      <c r="R841" s="90">
        <v>42700</v>
      </c>
    </row>
    <row r="842" spans="1:18">
      <c r="A842" s="90" t="s">
        <v>16</v>
      </c>
      <c r="B842" s="90" t="s">
        <v>665</v>
      </c>
      <c r="C842" s="90" t="str">
        <f t="shared" si="13"/>
        <v>McGrathOffice</v>
      </c>
      <c r="D842" s="90">
        <v>2</v>
      </c>
      <c r="E842" s="90">
        <v>20300</v>
      </c>
      <c r="F842" s="90">
        <v>10170.583941605839</v>
      </c>
      <c r="G842" s="90">
        <v>0</v>
      </c>
      <c r="H842" s="90">
        <v>149174.342557</v>
      </c>
      <c r="I842" s="90">
        <v>0</v>
      </c>
      <c r="J842" s="90">
        <v>0</v>
      </c>
      <c r="K842" s="90">
        <v>0</v>
      </c>
      <c r="L842" s="90">
        <v>7526.232116788321</v>
      </c>
      <c r="M842" s="90">
        <v>0</v>
      </c>
      <c r="N842" s="90">
        <v>110389.01349218001</v>
      </c>
      <c r="O842" s="90">
        <v>0</v>
      </c>
      <c r="P842" s="90">
        <v>0</v>
      </c>
      <c r="Q842" s="90">
        <v>0</v>
      </c>
      <c r="R842" s="90">
        <v>142100</v>
      </c>
    </row>
    <row r="843" spans="1:18">
      <c r="A843" s="90" t="s">
        <v>16</v>
      </c>
      <c r="B843" s="90" t="s">
        <v>643</v>
      </c>
      <c r="C843" s="90" t="str">
        <f t="shared" si="13"/>
        <v>McGrathOther</v>
      </c>
      <c r="D843" s="90">
        <v>5</v>
      </c>
      <c r="E843" s="90">
        <v>21780.690839694656</v>
      </c>
      <c r="F843" s="90">
        <v>23147.614101544663</v>
      </c>
      <c r="G843" s="90">
        <v>0</v>
      </c>
      <c r="H843" s="90">
        <v>143852.64114568391</v>
      </c>
      <c r="I843" s="90">
        <v>0</v>
      </c>
      <c r="J843" s="90">
        <v>0</v>
      </c>
      <c r="K843" s="90">
        <v>0</v>
      </c>
      <c r="L843" s="90">
        <v>17129.234435143051</v>
      </c>
      <c r="M843" s="90">
        <v>0</v>
      </c>
      <c r="N843" s="90">
        <v>106450.95444780609</v>
      </c>
      <c r="O843" s="90">
        <v>0</v>
      </c>
      <c r="P843" s="90">
        <v>0</v>
      </c>
      <c r="Q843" s="90">
        <v>0</v>
      </c>
      <c r="R843" s="90">
        <v>152464.83587786258</v>
      </c>
    </row>
    <row r="844" spans="1:18">
      <c r="A844" s="90" t="s">
        <v>16</v>
      </c>
      <c r="B844" s="90" t="s">
        <v>1227</v>
      </c>
      <c r="C844" s="90" t="str">
        <f t="shared" si="13"/>
        <v>McGrathPublic Assembly</v>
      </c>
      <c r="D844" s="90">
        <v>1</v>
      </c>
      <c r="E844" s="90">
        <v>2000</v>
      </c>
      <c r="F844" s="90">
        <v>1482.4948905109488</v>
      </c>
      <c r="G844" s="90">
        <v>0</v>
      </c>
      <c r="H844" s="90">
        <v>2816.6920166666669</v>
      </c>
      <c r="I844" s="90">
        <v>0</v>
      </c>
      <c r="J844" s="90">
        <v>0</v>
      </c>
      <c r="K844" s="90">
        <v>0</v>
      </c>
      <c r="L844" s="90">
        <v>1097.0462189781022</v>
      </c>
      <c r="M844" s="90">
        <v>0</v>
      </c>
      <c r="N844" s="90">
        <v>2084.3520923333335</v>
      </c>
      <c r="O844" s="90">
        <v>0</v>
      </c>
      <c r="P844" s="90">
        <v>0</v>
      </c>
      <c r="Q844" s="90">
        <v>0</v>
      </c>
      <c r="R844" s="90">
        <v>14000</v>
      </c>
    </row>
    <row r="845" spans="1:18">
      <c r="A845" s="90" t="s">
        <v>16</v>
      </c>
      <c r="B845" s="90" t="s">
        <v>1475</v>
      </c>
      <c r="C845" s="90" t="str">
        <f t="shared" si="13"/>
        <v>McGrathPublic Safety</v>
      </c>
      <c r="D845" s="90">
        <v>1</v>
      </c>
      <c r="E845" s="90">
        <v>2697.4089393939394</v>
      </c>
      <c r="F845" s="90">
        <v>1909.3942711307411</v>
      </c>
      <c r="G845" s="90">
        <v>0</v>
      </c>
      <c r="H845" s="90">
        <v>22307.792908055355</v>
      </c>
      <c r="I845" s="90">
        <v>0</v>
      </c>
      <c r="J845" s="90">
        <v>0</v>
      </c>
      <c r="K845" s="90">
        <v>0</v>
      </c>
      <c r="L845" s="90">
        <v>1412.9517606367483</v>
      </c>
      <c r="M845" s="90">
        <v>0</v>
      </c>
      <c r="N845" s="90">
        <v>16507.766751960964</v>
      </c>
      <c r="O845" s="90">
        <v>0</v>
      </c>
      <c r="P845" s="90">
        <v>0</v>
      </c>
      <c r="Q845" s="90">
        <v>0</v>
      </c>
      <c r="R845" s="90">
        <v>18881.862575757576</v>
      </c>
    </row>
    <row r="846" spans="1:18">
      <c r="A846" s="90" t="s">
        <v>16</v>
      </c>
      <c r="B846" s="90" t="s">
        <v>1442</v>
      </c>
      <c r="C846" s="90" t="str">
        <f t="shared" si="13"/>
        <v>McGrathResidential - Multi-Family</v>
      </c>
      <c r="D846" s="90">
        <v>1</v>
      </c>
      <c r="E846" s="90">
        <v>5023.2142857142853</v>
      </c>
      <c r="F846" s="90">
        <v>359.96496350364964</v>
      </c>
      <c r="G846" s="90">
        <v>0</v>
      </c>
      <c r="H846" s="90">
        <v>10971.098738999999</v>
      </c>
      <c r="I846" s="90">
        <v>0</v>
      </c>
      <c r="J846" s="90">
        <v>0</v>
      </c>
      <c r="K846" s="90">
        <v>0</v>
      </c>
      <c r="L846" s="90">
        <v>266.37407299270075</v>
      </c>
      <c r="M846" s="90">
        <v>0</v>
      </c>
      <c r="N846" s="90">
        <v>8118.613066859999</v>
      </c>
      <c r="O846" s="90">
        <v>0</v>
      </c>
      <c r="P846" s="90">
        <v>0</v>
      </c>
      <c r="Q846" s="90">
        <v>0</v>
      </c>
      <c r="R846" s="90">
        <v>35162.5</v>
      </c>
    </row>
    <row r="847" spans="1:18">
      <c r="A847" s="90" t="s">
        <v>16</v>
      </c>
      <c r="B847" s="90" t="s">
        <v>1485</v>
      </c>
      <c r="C847" s="90" t="str">
        <f t="shared" si="13"/>
        <v>McGrathRetail - Other</v>
      </c>
      <c r="D847" s="90">
        <v>1</v>
      </c>
      <c r="E847" s="90">
        <v>5363</v>
      </c>
      <c r="F847" s="90">
        <v>0</v>
      </c>
      <c r="G847" s="90">
        <v>8908.2060866323827</v>
      </c>
      <c r="H847" s="90">
        <v>130847.43533102491</v>
      </c>
      <c r="I847" s="90">
        <v>0</v>
      </c>
      <c r="J847" s="90">
        <v>0</v>
      </c>
      <c r="K847" s="90">
        <v>0</v>
      </c>
      <c r="L847" s="90">
        <v>0</v>
      </c>
      <c r="M847" s="90">
        <v>6592.0725041079631</v>
      </c>
      <c r="N847" s="90">
        <v>96827.102144958437</v>
      </c>
      <c r="O847" s="90">
        <v>0</v>
      </c>
      <c r="P847" s="90">
        <v>0</v>
      </c>
      <c r="Q847" s="90">
        <v>0</v>
      </c>
      <c r="R847" s="90">
        <v>37541</v>
      </c>
    </row>
    <row r="848" spans="1:18">
      <c r="A848" s="90" t="s">
        <v>16</v>
      </c>
      <c r="B848" s="90" t="s">
        <v>951</v>
      </c>
      <c r="C848" s="90" t="str">
        <f t="shared" si="13"/>
        <v>McGrathWarehousing</v>
      </c>
      <c r="D848" s="90">
        <v>4</v>
      </c>
      <c r="E848" s="90">
        <v>8426.5661764705874</v>
      </c>
      <c r="F848" s="90">
        <v>8423.1209500556433</v>
      </c>
      <c r="G848" s="90">
        <v>0</v>
      </c>
      <c r="H848" s="90">
        <v>131364.26202112297</v>
      </c>
      <c r="I848" s="90">
        <v>0</v>
      </c>
      <c r="J848" s="90">
        <v>0</v>
      </c>
      <c r="K848" s="90">
        <v>0</v>
      </c>
      <c r="L848" s="90">
        <v>6233.1095030411761</v>
      </c>
      <c r="M848" s="90">
        <v>0</v>
      </c>
      <c r="N848" s="90">
        <v>97209.553895631005</v>
      </c>
      <c r="O848" s="90">
        <v>0</v>
      </c>
      <c r="P848" s="90">
        <v>0</v>
      </c>
      <c r="Q848" s="90">
        <v>0</v>
      </c>
      <c r="R848" s="90">
        <v>58985.963235294119</v>
      </c>
    </row>
    <row r="849" spans="1:18">
      <c r="A849" s="90" t="s">
        <v>28</v>
      </c>
      <c r="B849" s="90" t="s">
        <v>1439</v>
      </c>
      <c r="C849" s="90" t="str">
        <f t="shared" si="13"/>
        <v>MekoryukEducation - K - 12</v>
      </c>
      <c r="D849" s="90">
        <v>1</v>
      </c>
      <c r="E849" s="90">
        <v>17040</v>
      </c>
      <c r="F849" s="90">
        <v>14445.906125742098</v>
      </c>
      <c r="G849" s="90">
        <v>0</v>
      </c>
      <c r="H849" s="90">
        <v>110732.97226290895</v>
      </c>
      <c r="I849" s="90">
        <v>0</v>
      </c>
      <c r="J849" s="90">
        <v>0</v>
      </c>
      <c r="K849" s="90">
        <v>0</v>
      </c>
      <c r="L849" s="90">
        <v>10689.970533049152</v>
      </c>
      <c r="M849" s="90">
        <v>0</v>
      </c>
      <c r="N849" s="90">
        <v>81942.399474552629</v>
      </c>
      <c r="O849" s="90">
        <v>0</v>
      </c>
      <c r="P849" s="90">
        <v>0</v>
      </c>
      <c r="Q849" s="90">
        <v>0</v>
      </c>
      <c r="R849" s="90">
        <v>119280</v>
      </c>
    </row>
    <row r="850" spans="1:18">
      <c r="A850" s="90" t="s">
        <v>28</v>
      </c>
      <c r="B850" s="90" t="s">
        <v>1440</v>
      </c>
      <c r="C850" s="90" t="str">
        <f t="shared" si="13"/>
        <v>MekoryukHealth Care - Hospitals</v>
      </c>
      <c r="D850" s="90">
        <v>1</v>
      </c>
      <c r="E850" s="90">
        <v>2256.9250000000002</v>
      </c>
      <c r="F850" s="90">
        <v>1573.0165476804564</v>
      </c>
      <c r="G850" s="90">
        <v>0</v>
      </c>
      <c r="H850" s="90">
        <v>16977.563262470368</v>
      </c>
      <c r="I850" s="90">
        <v>0</v>
      </c>
      <c r="J850" s="90">
        <v>0</v>
      </c>
      <c r="K850" s="90">
        <v>0</v>
      </c>
      <c r="L850" s="90">
        <v>1164.0322452835378</v>
      </c>
      <c r="M850" s="90">
        <v>0</v>
      </c>
      <c r="N850" s="90">
        <v>12563.396814228072</v>
      </c>
      <c r="O850" s="90">
        <v>0</v>
      </c>
      <c r="P850" s="90">
        <v>0</v>
      </c>
      <c r="Q850" s="90">
        <v>0</v>
      </c>
      <c r="R850" s="90">
        <v>15798.475000000002</v>
      </c>
    </row>
    <row r="851" spans="1:18">
      <c r="A851" s="90" t="s">
        <v>28</v>
      </c>
      <c r="B851" s="90" t="s">
        <v>665</v>
      </c>
      <c r="C851" s="90" t="str">
        <f t="shared" si="13"/>
        <v>MekoryukOffice</v>
      </c>
      <c r="D851" s="90">
        <v>4</v>
      </c>
      <c r="E851" s="90">
        <v>7947.775510204081</v>
      </c>
      <c r="F851" s="90">
        <v>10575.81319747662</v>
      </c>
      <c r="G851" s="90">
        <v>0</v>
      </c>
      <c r="H851" s="90">
        <v>63709.608814697407</v>
      </c>
      <c r="I851" s="90">
        <v>0</v>
      </c>
      <c r="J851" s="90">
        <v>0</v>
      </c>
      <c r="K851" s="90">
        <v>0</v>
      </c>
      <c r="L851" s="90">
        <v>7826.1017661326987</v>
      </c>
      <c r="M851" s="90">
        <v>0</v>
      </c>
      <c r="N851" s="90">
        <v>47145.110522876079</v>
      </c>
      <c r="O851" s="90">
        <v>0</v>
      </c>
      <c r="P851" s="90">
        <v>0</v>
      </c>
      <c r="Q851" s="90">
        <v>0</v>
      </c>
      <c r="R851" s="90">
        <v>55634.428571428565</v>
      </c>
    </row>
    <row r="852" spans="1:18">
      <c r="A852" s="90" t="s">
        <v>28</v>
      </c>
      <c r="B852" s="90" t="s">
        <v>643</v>
      </c>
      <c r="C852" s="90" t="str">
        <f t="shared" si="13"/>
        <v>MekoryukOther</v>
      </c>
      <c r="D852" s="90">
        <v>14</v>
      </c>
      <c r="E852" s="90">
        <v>30530.965909090915</v>
      </c>
      <c r="F852" s="90">
        <v>26405.357589125826</v>
      </c>
      <c r="G852" s="90">
        <v>0</v>
      </c>
      <c r="H852" s="90">
        <v>222203.9948423084</v>
      </c>
      <c r="I852" s="90">
        <v>0</v>
      </c>
      <c r="J852" s="90">
        <v>0</v>
      </c>
      <c r="K852" s="90">
        <v>0</v>
      </c>
      <c r="L852" s="90">
        <v>19539.964615953108</v>
      </c>
      <c r="M852" s="90">
        <v>0</v>
      </c>
      <c r="N852" s="90">
        <v>164430.95618330815</v>
      </c>
      <c r="O852" s="90">
        <v>0</v>
      </c>
      <c r="P852" s="90">
        <v>0</v>
      </c>
      <c r="Q852" s="90">
        <v>0</v>
      </c>
      <c r="R852" s="90">
        <v>213716.76136363632</v>
      </c>
    </row>
    <row r="853" spans="1:18">
      <c r="A853" s="90" t="s">
        <v>28</v>
      </c>
      <c r="B853" s="90" t="s">
        <v>1227</v>
      </c>
      <c r="C853" s="90" t="str">
        <f t="shared" si="13"/>
        <v>MekoryukPublic Assembly</v>
      </c>
      <c r="D853" s="90">
        <v>2</v>
      </c>
      <c r="E853" s="90">
        <v>6273.4423076923076</v>
      </c>
      <c r="F853" s="90">
        <v>3914.3618829991747</v>
      </c>
      <c r="G853" s="90">
        <v>0</v>
      </c>
      <c r="H853" s="90">
        <v>23599.031226791769</v>
      </c>
      <c r="I853" s="90">
        <v>0</v>
      </c>
      <c r="J853" s="90">
        <v>0</v>
      </c>
      <c r="K853" s="90">
        <v>0</v>
      </c>
      <c r="L853" s="90">
        <v>2896.627793419389</v>
      </c>
      <c r="M853" s="90">
        <v>0</v>
      </c>
      <c r="N853" s="90">
        <v>17463.283107825908</v>
      </c>
      <c r="O853" s="90">
        <v>0</v>
      </c>
      <c r="P853" s="90">
        <v>0</v>
      </c>
      <c r="Q853" s="90">
        <v>0</v>
      </c>
      <c r="R853" s="90">
        <v>43914.096153846156</v>
      </c>
    </row>
    <row r="854" spans="1:18">
      <c r="A854" s="90" t="s">
        <v>28</v>
      </c>
      <c r="B854" s="90" t="s">
        <v>1475</v>
      </c>
      <c r="C854" s="90" t="str">
        <f t="shared" si="13"/>
        <v>MekoryukPublic Safety</v>
      </c>
      <c r="D854" s="90">
        <v>2</v>
      </c>
      <c r="E854" s="90">
        <v>5190.95</v>
      </c>
      <c r="F854" s="90">
        <v>5047.549247855236</v>
      </c>
      <c r="G854" s="90">
        <v>0</v>
      </c>
      <c r="H854" s="90">
        <v>41893.284612657066</v>
      </c>
      <c r="I854" s="90">
        <v>0</v>
      </c>
      <c r="J854" s="90">
        <v>0</v>
      </c>
      <c r="K854" s="90">
        <v>0</v>
      </c>
      <c r="L854" s="90">
        <v>3735.1864434128747</v>
      </c>
      <c r="M854" s="90">
        <v>0</v>
      </c>
      <c r="N854" s="90">
        <v>31001.030613366227</v>
      </c>
      <c r="O854" s="90">
        <v>0</v>
      </c>
      <c r="P854" s="90">
        <v>0</v>
      </c>
      <c r="Q854" s="90">
        <v>0</v>
      </c>
      <c r="R854" s="90">
        <v>36336.65</v>
      </c>
    </row>
    <row r="855" spans="1:18">
      <c r="A855" s="90" t="s">
        <v>28</v>
      </c>
      <c r="B855" s="90" t="s">
        <v>1485</v>
      </c>
      <c r="C855" s="90" t="str">
        <f t="shared" si="13"/>
        <v>MekoryukRetail - Other</v>
      </c>
      <c r="D855" s="90">
        <v>2</v>
      </c>
      <c r="E855" s="90">
        <v>4210.5600000000004</v>
      </c>
      <c r="F855" s="90">
        <v>4451.563942857143</v>
      </c>
      <c r="G855" s="90">
        <v>0</v>
      </c>
      <c r="H855" s="90">
        <v>99180.746432008309</v>
      </c>
      <c r="I855" s="90">
        <v>0</v>
      </c>
      <c r="J855" s="90">
        <v>0</v>
      </c>
      <c r="K855" s="90">
        <v>0</v>
      </c>
      <c r="L855" s="90">
        <v>3294.1573177142859</v>
      </c>
      <c r="M855" s="90">
        <v>0</v>
      </c>
      <c r="N855" s="90">
        <v>73393.752359686143</v>
      </c>
      <c r="O855" s="90">
        <v>0</v>
      </c>
      <c r="P855" s="90">
        <v>0</v>
      </c>
      <c r="Q855" s="90">
        <v>0</v>
      </c>
      <c r="R855" s="90">
        <v>29473.920000000002</v>
      </c>
    </row>
    <row r="856" spans="1:18">
      <c r="A856" s="90" t="s">
        <v>28</v>
      </c>
      <c r="B856" s="90" t="s">
        <v>951</v>
      </c>
      <c r="C856" s="90" t="str">
        <f t="shared" si="13"/>
        <v>MekoryukWarehousing</v>
      </c>
      <c r="D856" s="90">
        <v>5</v>
      </c>
      <c r="E856" s="90">
        <v>8919.7863247863243</v>
      </c>
      <c r="F856" s="90">
        <v>11181.223379272151</v>
      </c>
      <c r="G856" s="90">
        <v>0</v>
      </c>
      <c r="H856" s="90">
        <v>105834.59188553142</v>
      </c>
      <c r="I856" s="90">
        <v>0</v>
      </c>
      <c r="J856" s="90">
        <v>0</v>
      </c>
      <c r="K856" s="90">
        <v>0</v>
      </c>
      <c r="L856" s="90">
        <v>8274.1053006613911</v>
      </c>
      <c r="M856" s="90">
        <v>0</v>
      </c>
      <c r="N856" s="90">
        <v>78317.597995293254</v>
      </c>
      <c r="O856" s="90">
        <v>0</v>
      </c>
      <c r="P856" s="90">
        <v>0</v>
      </c>
      <c r="Q856" s="90">
        <v>0</v>
      </c>
      <c r="R856" s="90">
        <v>62438.504273504266</v>
      </c>
    </row>
    <row r="857" spans="1:18">
      <c r="A857" s="90" t="s">
        <v>1037</v>
      </c>
      <c r="B857" s="90" t="s">
        <v>1439</v>
      </c>
      <c r="C857" s="90" t="str">
        <f t="shared" si="13"/>
        <v>Mentasta LakeEducation - K - 12</v>
      </c>
      <c r="D857" s="90">
        <v>3</v>
      </c>
      <c r="E857" s="90">
        <v>35863.415555555555</v>
      </c>
      <c r="F857" s="90">
        <v>21215.434038739608</v>
      </c>
      <c r="G857" s="90">
        <v>0</v>
      </c>
      <c r="H857" s="90">
        <v>188508.27718802559</v>
      </c>
      <c r="I857" s="90">
        <v>0</v>
      </c>
      <c r="J857" s="90">
        <v>567.16514754098364</v>
      </c>
      <c r="K857" s="90">
        <v>184.22504206152422</v>
      </c>
      <c r="L857" s="90">
        <v>15699.421188667307</v>
      </c>
      <c r="M857" s="90">
        <v>0</v>
      </c>
      <c r="N857" s="90">
        <v>139496.12511913892</v>
      </c>
      <c r="O857" s="90">
        <v>0</v>
      </c>
      <c r="P857" s="90">
        <v>419.70220918032788</v>
      </c>
      <c r="Q857" s="90">
        <v>136.32653112552794</v>
      </c>
      <c r="R857" s="90">
        <v>251043.90888888889</v>
      </c>
    </row>
    <row r="858" spans="1:18">
      <c r="A858" s="90" t="s">
        <v>1037</v>
      </c>
      <c r="B858" s="90" t="s">
        <v>1440</v>
      </c>
      <c r="C858" s="90" t="str">
        <f t="shared" si="13"/>
        <v>Mentasta LakeHealth Care - Hospitals</v>
      </c>
      <c r="D858" s="90">
        <v>1</v>
      </c>
      <c r="E858" s="90">
        <v>2256.9250000000002</v>
      </c>
      <c r="F858" s="90">
        <v>1573.0165476804564</v>
      </c>
      <c r="G858" s="90">
        <v>0</v>
      </c>
      <c r="H858" s="90">
        <v>16977.563262470368</v>
      </c>
      <c r="I858" s="90">
        <v>0</v>
      </c>
      <c r="J858" s="90">
        <v>0</v>
      </c>
      <c r="K858" s="90">
        <v>0</v>
      </c>
      <c r="L858" s="90">
        <v>1164.0322452835378</v>
      </c>
      <c r="M858" s="90">
        <v>0</v>
      </c>
      <c r="N858" s="90">
        <v>12563.396814228072</v>
      </c>
      <c r="O858" s="90">
        <v>0</v>
      </c>
      <c r="P858" s="90">
        <v>0</v>
      </c>
      <c r="Q858" s="90">
        <v>0</v>
      </c>
      <c r="R858" s="90">
        <v>15798.475000000002</v>
      </c>
    </row>
    <row r="859" spans="1:18">
      <c r="A859" s="90" t="s">
        <v>1037</v>
      </c>
      <c r="B859" s="90" t="s">
        <v>665</v>
      </c>
      <c r="C859" s="90" t="str">
        <f t="shared" si="13"/>
        <v>Mentasta LakeOffice</v>
      </c>
      <c r="D859" s="90">
        <v>1</v>
      </c>
      <c r="E859" s="90">
        <v>2033.2585034013605</v>
      </c>
      <c r="F859" s="90">
        <v>2705.5824722962652</v>
      </c>
      <c r="G859" s="90">
        <v>0</v>
      </c>
      <c r="H859" s="90">
        <v>16298.661644952717</v>
      </c>
      <c r="I859" s="90">
        <v>0</v>
      </c>
      <c r="J859" s="90">
        <v>0</v>
      </c>
      <c r="K859" s="90">
        <v>0</v>
      </c>
      <c r="L859" s="90">
        <v>2002.1310294992363</v>
      </c>
      <c r="M859" s="90">
        <v>0</v>
      </c>
      <c r="N859" s="90">
        <v>12061.00961726501</v>
      </c>
      <c r="O859" s="90">
        <v>0</v>
      </c>
      <c r="P859" s="90">
        <v>0</v>
      </c>
      <c r="Q859" s="90">
        <v>0</v>
      </c>
      <c r="R859" s="90">
        <v>14232.809523809523</v>
      </c>
    </row>
    <row r="860" spans="1:18">
      <c r="A860" s="90" t="s">
        <v>1037</v>
      </c>
      <c r="B860" s="90" t="s">
        <v>643</v>
      </c>
      <c r="C860" s="90" t="str">
        <f t="shared" si="13"/>
        <v>Mentasta LakeOther</v>
      </c>
      <c r="D860" s="90">
        <v>3</v>
      </c>
      <c r="E860" s="90">
        <v>6491.761363636364</v>
      </c>
      <c r="F860" s="90">
        <v>5614.538390318271</v>
      </c>
      <c r="G860" s="90">
        <v>0</v>
      </c>
      <c r="H860" s="90">
        <v>47246.959459393765</v>
      </c>
      <c r="I860" s="90">
        <v>0</v>
      </c>
      <c r="J860" s="90">
        <v>0</v>
      </c>
      <c r="K860" s="90">
        <v>0</v>
      </c>
      <c r="L860" s="90">
        <v>4154.7584088355206</v>
      </c>
      <c r="M860" s="90">
        <v>0</v>
      </c>
      <c r="N860" s="90">
        <v>34962.749999951382</v>
      </c>
      <c r="O860" s="90">
        <v>0</v>
      </c>
      <c r="P860" s="90">
        <v>0</v>
      </c>
      <c r="Q860" s="90">
        <v>0</v>
      </c>
      <c r="R860" s="90">
        <v>45442.329545454544</v>
      </c>
    </row>
    <row r="861" spans="1:18">
      <c r="A861" s="90" t="s">
        <v>1037</v>
      </c>
      <c r="B861" s="90" t="s">
        <v>1227</v>
      </c>
      <c r="C861" s="90" t="str">
        <f t="shared" si="13"/>
        <v>Mentasta LakePublic Assembly</v>
      </c>
      <c r="D861" s="90">
        <v>2</v>
      </c>
      <c r="E861" s="90">
        <v>6273.4423076923076</v>
      </c>
      <c r="F861" s="90">
        <v>3914.3618829991747</v>
      </c>
      <c r="G861" s="90">
        <v>0</v>
      </c>
      <c r="H861" s="90">
        <v>23599.031226791769</v>
      </c>
      <c r="I861" s="90">
        <v>0</v>
      </c>
      <c r="J861" s="90">
        <v>0</v>
      </c>
      <c r="K861" s="90">
        <v>0</v>
      </c>
      <c r="L861" s="90">
        <v>2896.627793419389</v>
      </c>
      <c r="M861" s="90">
        <v>0</v>
      </c>
      <c r="N861" s="90">
        <v>17463.283107825908</v>
      </c>
      <c r="O861" s="90">
        <v>0</v>
      </c>
      <c r="P861" s="90">
        <v>0</v>
      </c>
      <c r="Q861" s="90">
        <v>0</v>
      </c>
      <c r="R861" s="90">
        <v>43914.096153846156</v>
      </c>
    </row>
    <row r="862" spans="1:18">
      <c r="A862" s="90" t="s">
        <v>867</v>
      </c>
      <c r="B862" s="90" t="s">
        <v>1447</v>
      </c>
      <c r="C862" s="90" t="str">
        <f t="shared" si="13"/>
        <v>MetlakatlaAccomodation Services</v>
      </c>
      <c r="D862" s="90">
        <v>1</v>
      </c>
      <c r="E862" s="90">
        <v>7259.666666666667</v>
      </c>
      <c r="F862" s="90">
        <v>6016.2281935883448</v>
      </c>
      <c r="G862" s="90">
        <v>0</v>
      </c>
      <c r="H862" s="90">
        <v>105760.07719148668</v>
      </c>
      <c r="I862" s="90">
        <v>0</v>
      </c>
      <c r="J862" s="90">
        <v>0</v>
      </c>
      <c r="K862" s="90">
        <v>0</v>
      </c>
      <c r="L862" s="90">
        <v>4452.0088632553752</v>
      </c>
      <c r="M862" s="90">
        <v>0</v>
      </c>
      <c r="N862" s="90">
        <v>78262.457121700136</v>
      </c>
      <c r="O862" s="90">
        <v>0</v>
      </c>
      <c r="P862" s="90">
        <v>0</v>
      </c>
      <c r="Q862" s="90">
        <v>0</v>
      </c>
      <c r="R862" s="90">
        <v>50817.666666666672</v>
      </c>
    </row>
    <row r="863" spans="1:18">
      <c r="A863" s="90" t="s">
        <v>867</v>
      </c>
      <c r="B863" s="90" t="s">
        <v>1439</v>
      </c>
      <c r="C863" s="90" t="str">
        <f t="shared" si="13"/>
        <v>MetlakatlaEducation - K - 12</v>
      </c>
      <c r="D863" s="90">
        <v>4</v>
      </c>
      <c r="E863" s="90">
        <v>77899</v>
      </c>
      <c r="F863" s="90">
        <v>4534.0061996212089</v>
      </c>
      <c r="G863" s="90">
        <v>0</v>
      </c>
      <c r="H863" s="90">
        <v>780959.02856799995</v>
      </c>
      <c r="I863" s="90">
        <v>0</v>
      </c>
      <c r="J863" s="90">
        <v>0</v>
      </c>
      <c r="K863" s="90">
        <v>0</v>
      </c>
      <c r="L863" s="90">
        <v>3355.1645877196947</v>
      </c>
      <c r="M863" s="90">
        <v>0</v>
      </c>
      <c r="N863" s="90">
        <v>577909.68114031991</v>
      </c>
      <c r="O863" s="90">
        <v>0</v>
      </c>
      <c r="P863" s="90">
        <v>0</v>
      </c>
      <c r="Q863" s="90">
        <v>0</v>
      </c>
      <c r="R863" s="90">
        <v>545293</v>
      </c>
    </row>
    <row r="864" spans="1:18">
      <c r="A864" s="90" t="s">
        <v>867</v>
      </c>
      <c r="B864" s="90" t="s">
        <v>1440</v>
      </c>
      <c r="C864" s="90" t="str">
        <f t="shared" si="13"/>
        <v>MetlakatlaHealth Care - Hospitals</v>
      </c>
      <c r="D864" s="90">
        <v>2</v>
      </c>
      <c r="E864" s="90">
        <v>57788.25</v>
      </c>
      <c r="F864" s="90">
        <v>37415.43721247623</v>
      </c>
      <c r="G864" s="90">
        <v>0</v>
      </c>
      <c r="H864" s="90">
        <v>317515.53827752377</v>
      </c>
      <c r="I864" s="90">
        <v>0</v>
      </c>
      <c r="J864" s="90">
        <v>0</v>
      </c>
      <c r="K864" s="90">
        <v>0</v>
      </c>
      <c r="L864" s="90">
        <v>27687.423537232411</v>
      </c>
      <c r="M864" s="90">
        <v>0</v>
      </c>
      <c r="N864" s="90">
        <v>234961.49832536757</v>
      </c>
      <c r="O864" s="90">
        <v>0</v>
      </c>
      <c r="P864" s="90">
        <v>0</v>
      </c>
      <c r="Q864" s="90">
        <v>0</v>
      </c>
      <c r="R864" s="90">
        <v>404517.75</v>
      </c>
    </row>
    <row r="865" spans="1:18">
      <c r="A865" s="90" t="s">
        <v>867</v>
      </c>
      <c r="B865" s="90" t="s">
        <v>1444</v>
      </c>
      <c r="C865" s="90" t="str">
        <f t="shared" si="13"/>
        <v>MetlakatlaHealth Care - Nursing/Residential Care</v>
      </c>
      <c r="D865" s="90">
        <v>2</v>
      </c>
      <c r="E865" s="90">
        <v>41630</v>
      </c>
      <c r="F865" s="90">
        <v>35584.635386438742</v>
      </c>
      <c r="G865" s="90">
        <v>0</v>
      </c>
      <c r="H865" s="90">
        <v>810747.20559720404</v>
      </c>
      <c r="I865" s="90">
        <v>0</v>
      </c>
      <c r="J865" s="90">
        <v>0</v>
      </c>
      <c r="K865" s="90">
        <v>0</v>
      </c>
      <c r="L865" s="90">
        <v>26332.63018596467</v>
      </c>
      <c r="M865" s="90">
        <v>0</v>
      </c>
      <c r="N865" s="90">
        <v>599952.93214193103</v>
      </c>
      <c r="O865" s="90">
        <v>0</v>
      </c>
      <c r="P865" s="90">
        <v>0</v>
      </c>
      <c r="Q865" s="90">
        <v>0</v>
      </c>
      <c r="R865" s="90">
        <v>291410</v>
      </c>
    </row>
    <row r="866" spans="1:18">
      <c r="A866" s="90" t="s">
        <v>867</v>
      </c>
      <c r="B866" s="90" t="s">
        <v>665</v>
      </c>
      <c r="C866" s="90" t="str">
        <f t="shared" si="13"/>
        <v>MetlakatlaOffice</v>
      </c>
      <c r="D866" s="90">
        <v>9</v>
      </c>
      <c r="E866" s="90">
        <v>121374.00003050845</v>
      </c>
      <c r="F866" s="90">
        <v>54726.211554635091</v>
      </c>
      <c r="G866" s="90">
        <v>0</v>
      </c>
      <c r="H866" s="90">
        <v>1713469.5245240778</v>
      </c>
      <c r="I866" s="90">
        <v>0</v>
      </c>
      <c r="J866" s="90">
        <v>0</v>
      </c>
      <c r="K866" s="90">
        <v>0</v>
      </c>
      <c r="L866" s="90">
        <v>40497.39655042997</v>
      </c>
      <c r="M866" s="90">
        <v>0</v>
      </c>
      <c r="N866" s="90">
        <v>1267967.4481478173</v>
      </c>
      <c r="O866" s="90">
        <v>0</v>
      </c>
      <c r="P866" s="90">
        <v>0</v>
      </c>
      <c r="Q866" s="90">
        <v>0</v>
      </c>
      <c r="R866" s="90">
        <v>849618.00021355937</v>
      </c>
    </row>
    <row r="867" spans="1:18">
      <c r="A867" s="90" t="s">
        <v>867</v>
      </c>
      <c r="B867" s="90" t="s">
        <v>643</v>
      </c>
      <c r="C867" s="90" t="str">
        <f t="shared" si="13"/>
        <v>MetlakatlaOther</v>
      </c>
      <c r="D867" s="90">
        <v>11</v>
      </c>
      <c r="E867" s="90">
        <v>69542.607142857145</v>
      </c>
      <c r="F867" s="90">
        <v>40394.00929975052</v>
      </c>
      <c r="G867" s="90">
        <v>0</v>
      </c>
      <c r="H867" s="90">
        <v>639793.12434540095</v>
      </c>
      <c r="I867" s="90">
        <v>0</v>
      </c>
      <c r="J867" s="90">
        <v>0</v>
      </c>
      <c r="K867" s="90">
        <v>0</v>
      </c>
      <c r="L867" s="90">
        <v>29891.566881815394</v>
      </c>
      <c r="M867" s="90">
        <v>0</v>
      </c>
      <c r="N867" s="90">
        <v>473446.91201559681</v>
      </c>
      <c r="O867" s="90">
        <v>0</v>
      </c>
      <c r="P867" s="90">
        <v>0</v>
      </c>
      <c r="Q867" s="90">
        <v>0</v>
      </c>
      <c r="R867" s="90">
        <v>486798.24999999994</v>
      </c>
    </row>
    <row r="868" spans="1:18">
      <c r="A868" s="90" t="s">
        <v>867</v>
      </c>
      <c r="B868" s="90" t="s">
        <v>1227</v>
      </c>
      <c r="C868" s="90" t="str">
        <f t="shared" si="13"/>
        <v>MetlakatlaPublic Assembly</v>
      </c>
      <c r="D868" s="90">
        <v>10</v>
      </c>
      <c r="E868" s="90">
        <v>120717.5</v>
      </c>
      <c r="F868" s="90">
        <v>135973.84652005279</v>
      </c>
      <c r="G868" s="90">
        <v>0</v>
      </c>
      <c r="H868" s="90">
        <v>1808690.9144372467</v>
      </c>
      <c r="I868" s="90">
        <v>0</v>
      </c>
      <c r="J868" s="90">
        <v>0</v>
      </c>
      <c r="K868" s="90">
        <v>0</v>
      </c>
      <c r="L868" s="90">
        <v>100620.64642483908</v>
      </c>
      <c r="M868" s="90">
        <v>0</v>
      </c>
      <c r="N868" s="90">
        <v>1338431.2766835627</v>
      </c>
      <c r="O868" s="90">
        <v>0</v>
      </c>
      <c r="P868" s="90">
        <v>0</v>
      </c>
      <c r="Q868" s="90">
        <v>0</v>
      </c>
      <c r="R868" s="90">
        <v>845022.5</v>
      </c>
    </row>
    <row r="869" spans="1:18">
      <c r="A869" s="90" t="s">
        <v>867</v>
      </c>
      <c r="B869" s="90" t="s">
        <v>1475</v>
      </c>
      <c r="C869" s="90" t="str">
        <f t="shared" si="13"/>
        <v>MetlakatlaPublic Safety</v>
      </c>
      <c r="D869" s="90">
        <v>2</v>
      </c>
      <c r="E869" s="90">
        <v>25687.333333333332</v>
      </c>
      <c r="F869" s="90">
        <v>13610.670105273097</v>
      </c>
      <c r="G869" s="90">
        <v>0</v>
      </c>
      <c r="H869" s="90">
        <v>503872.25052295462</v>
      </c>
      <c r="I869" s="90">
        <v>0</v>
      </c>
      <c r="J869" s="90">
        <v>0</v>
      </c>
      <c r="K869" s="90">
        <v>0</v>
      </c>
      <c r="L869" s="90">
        <v>10071.895877902092</v>
      </c>
      <c r="M869" s="90">
        <v>0</v>
      </c>
      <c r="N869" s="90">
        <v>372865.46538698644</v>
      </c>
      <c r="O869" s="90">
        <v>0</v>
      </c>
      <c r="P869" s="90">
        <v>0</v>
      </c>
      <c r="Q869" s="90">
        <v>0</v>
      </c>
      <c r="R869" s="90">
        <v>179811.33333333331</v>
      </c>
    </row>
    <row r="870" spans="1:18">
      <c r="A870" s="90" t="s">
        <v>867</v>
      </c>
      <c r="B870" s="90" t="s">
        <v>951</v>
      </c>
      <c r="C870" s="90" t="str">
        <f t="shared" si="13"/>
        <v>MetlakatlaWarehousing</v>
      </c>
      <c r="D870" s="90">
        <v>3</v>
      </c>
      <c r="E870" s="90">
        <v>18277.741935483871</v>
      </c>
      <c r="F870" s="90">
        <v>27405.864501824515</v>
      </c>
      <c r="G870" s="90">
        <v>0</v>
      </c>
      <c r="H870" s="90">
        <v>527165.40658174851</v>
      </c>
      <c r="I870" s="90">
        <v>0</v>
      </c>
      <c r="J870" s="90">
        <v>0</v>
      </c>
      <c r="K870" s="90">
        <v>0</v>
      </c>
      <c r="L870" s="90">
        <v>20280.339731350145</v>
      </c>
      <c r="M870" s="90">
        <v>0</v>
      </c>
      <c r="N870" s="90">
        <v>390102.4008704939</v>
      </c>
      <c r="O870" s="90">
        <v>0</v>
      </c>
      <c r="P870" s="90">
        <v>0</v>
      </c>
      <c r="Q870" s="90">
        <v>0</v>
      </c>
      <c r="R870" s="90">
        <v>127944.19354838712</v>
      </c>
    </row>
    <row r="871" spans="1:18">
      <c r="A871" s="90" t="s">
        <v>88</v>
      </c>
      <c r="B871" s="90" t="s">
        <v>1447</v>
      </c>
      <c r="C871" s="90" t="str">
        <f t="shared" si="13"/>
        <v>MintoAccomodation Services</v>
      </c>
      <c r="D871" s="90">
        <v>1</v>
      </c>
      <c r="E871" s="90">
        <v>10000</v>
      </c>
      <c r="F871" s="90">
        <v>6264.1250394373783</v>
      </c>
      <c r="G871" s="90">
        <v>0</v>
      </c>
      <c r="H871" s="90">
        <v>73370.92731829574</v>
      </c>
      <c r="I871" s="90">
        <v>0</v>
      </c>
      <c r="J871" s="90">
        <v>0</v>
      </c>
      <c r="K871" s="90">
        <v>0</v>
      </c>
      <c r="L871" s="90">
        <v>4635.4525291836599</v>
      </c>
      <c r="M871" s="90">
        <v>0</v>
      </c>
      <c r="N871" s="90">
        <v>54294.486215538847</v>
      </c>
      <c r="O871" s="90">
        <v>0</v>
      </c>
      <c r="P871" s="90">
        <v>0</v>
      </c>
      <c r="Q871" s="90">
        <v>0</v>
      </c>
      <c r="R871" s="90">
        <v>70000</v>
      </c>
    </row>
    <row r="872" spans="1:18">
      <c r="A872" s="90" t="s">
        <v>88</v>
      </c>
      <c r="B872" s="90" t="s">
        <v>1439</v>
      </c>
      <c r="C872" s="90" t="str">
        <f t="shared" si="13"/>
        <v>MintoEducation - K - 12</v>
      </c>
      <c r="D872" s="90">
        <v>1</v>
      </c>
      <c r="E872" s="90">
        <v>20000</v>
      </c>
      <c r="F872" s="90">
        <v>17000</v>
      </c>
      <c r="G872" s="90">
        <v>0</v>
      </c>
      <c r="H872" s="90">
        <v>74665.333333333343</v>
      </c>
      <c r="I872" s="90">
        <v>0</v>
      </c>
      <c r="J872" s="90">
        <v>0</v>
      </c>
      <c r="K872" s="90">
        <v>0</v>
      </c>
      <c r="L872" s="90">
        <v>12580</v>
      </c>
      <c r="M872" s="90">
        <v>0</v>
      </c>
      <c r="N872" s="90">
        <v>55252.346666666672</v>
      </c>
      <c r="O872" s="90">
        <v>0</v>
      </c>
      <c r="P872" s="90">
        <v>0</v>
      </c>
      <c r="Q872" s="90">
        <v>0</v>
      </c>
      <c r="R872" s="90">
        <v>140000</v>
      </c>
    </row>
    <row r="873" spans="1:18">
      <c r="A873" s="90" t="s">
        <v>88</v>
      </c>
      <c r="B873" s="90" t="s">
        <v>1440</v>
      </c>
      <c r="C873" s="90" t="str">
        <f t="shared" si="13"/>
        <v>MintoHealth Care - Hospitals</v>
      </c>
      <c r="D873" s="90">
        <v>1</v>
      </c>
      <c r="E873" s="90">
        <v>2076</v>
      </c>
      <c r="F873" s="90">
        <v>705.28467153284669</v>
      </c>
      <c r="G873" s="90">
        <v>0</v>
      </c>
      <c r="H873" s="90">
        <v>15466.139193999999</v>
      </c>
      <c r="I873" s="90">
        <v>0</v>
      </c>
      <c r="J873" s="90">
        <v>0</v>
      </c>
      <c r="K873" s="90">
        <v>0</v>
      </c>
      <c r="L873" s="90">
        <v>521.91065693430653</v>
      </c>
      <c r="M873" s="90">
        <v>0</v>
      </c>
      <c r="N873" s="90">
        <v>11444.94300356</v>
      </c>
      <c r="O873" s="90">
        <v>0</v>
      </c>
      <c r="P873" s="90">
        <v>0</v>
      </c>
      <c r="Q873" s="90">
        <v>0</v>
      </c>
      <c r="R873" s="90">
        <v>14532</v>
      </c>
    </row>
    <row r="874" spans="1:18">
      <c r="A874" s="90" t="s">
        <v>88</v>
      </c>
      <c r="B874" s="90" t="s">
        <v>643</v>
      </c>
      <c r="C874" s="90" t="str">
        <f t="shared" si="13"/>
        <v>MintoOther</v>
      </c>
      <c r="D874" s="90">
        <v>5</v>
      </c>
      <c r="E874" s="90">
        <v>7893.840909090909</v>
      </c>
      <c r="F874" s="90">
        <v>6827.1568143918594</v>
      </c>
      <c r="G874" s="90">
        <v>0</v>
      </c>
      <c r="H874" s="90">
        <v>57451.277167990113</v>
      </c>
      <c r="I874" s="90">
        <v>0</v>
      </c>
      <c r="J874" s="90">
        <v>0</v>
      </c>
      <c r="K874" s="90">
        <v>0</v>
      </c>
      <c r="L874" s="90">
        <v>5052.096042649976</v>
      </c>
      <c r="M874" s="90">
        <v>0</v>
      </c>
      <c r="N874" s="90">
        <v>42513.94510431269</v>
      </c>
      <c r="O874" s="90">
        <v>0</v>
      </c>
      <c r="P874" s="90">
        <v>0</v>
      </c>
      <c r="Q874" s="90">
        <v>0</v>
      </c>
      <c r="R874" s="90">
        <v>55256.886363636368</v>
      </c>
    </row>
    <row r="875" spans="1:18">
      <c r="A875" s="90" t="s">
        <v>88</v>
      </c>
      <c r="B875" s="90" t="s">
        <v>1227</v>
      </c>
      <c r="C875" s="90" t="str">
        <f t="shared" si="13"/>
        <v>MintoPublic Assembly</v>
      </c>
      <c r="D875" s="90">
        <v>4</v>
      </c>
      <c r="E875" s="90">
        <v>10273.442307692309</v>
      </c>
      <c r="F875" s="90">
        <v>6410.1922045433785</v>
      </c>
      <c r="G875" s="90">
        <v>0</v>
      </c>
      <c r="H875" s="90">
        <v>38645.973603454957</v>
      </c>
      <c r="I875" s="90">
        <v>0</v>
      </c>
      <c r="J875" s="90">
        <v>0</v>
      </c>
      <c r="K875" s="90">
        <v>0</v>
      </c>
      <c r="L875" s="90">
        <v>4743.5422313620993</v>
      </c>
      <c r="M875" s="90">
        <v>0</v>
      </c>
      <c r="N875" s="90">
        <v>28598.020466556663</v>
      </c>
      <c r="O875" s="90">
        <v>0</v>
      </c>
      <c r="P875" s="90">
        <v>0</v>
      </c>
      <c r="Q875" s="90">
        <v>0</v>
      </c>
      <c r="R875" s="90">
        <v>71914.096153846156</v>
      </c>
    </row>
    <row r="876" spans="1:18">
      <c r="A876" s="90" t="s">
        <v>88</v>
      </c>
      <c r="B876" s="90" t="s">
        <v>1485</v>
      </c>
      <c r="C876" s="90" t="str">
        <f t="shared" si="13"/>
        <v>MintoRetail - Other</v>
      </c>
      <c r="D876" s="90">
        <v>1</v>
      </c>
      <c r="E876" s="90">
        <v>1716</v>
      </c>
      <c r="F876" s="90">
        <v>1814.2203711484594</v>
      </c>
      <c r="G876" s="90">
        <v>0</v>
      </c>
      <c r="H876" s="90">
        <v>40420.789842046244</v>
      </c>
      <c r="I876" s="90">
        <v>0</v>
      </c>
      <c r="J876" s="90">
        <v>0</v>
      </c>
      <c r="K876" s="90">
        <v>0</v>
      </c>
      <c r="L876" s="90">
        <v>1342.5230746498601</v>
      </c>
      <c r="M876" s="90">
        <v>0</v>
      </c>
      <c r="N876" s="90">
        <v>29911.38448311422</v>
      </c>
      <c r="O876" s="90">
        <v>0</v>
      </c>
      <c r="P876" s="90">
        <v>0</v>
      </c>
      <c r="Q876" s="90">
        <v>0</v>
      </c>
      <c r="R876" s="90">
        <v>12012</v>
      </c>
    </row>
    <row r="877" spans="1:18">
      <c r="A877" s="90" t="s">
        <v>88</v>
      </c>
      <c r="B877" s="90" t="s">
        <v>951</v>
      </c>
      <c r="C877" s="90" t="str">
        <f t="shared" si="13"/>
        <v>MintoWarehousing</v>
      </c>
      <c r="D877" s="90">
        <v>2</v>
      </c>
      <c r="E877" s="90">
        <v>2320</v>
      </c>
      <c r="F877" s="90">
        <v>2908.1905435142585</v>
      </c>
      <c r="G877" s="90">
        <v>0</v>
      </c>
      <c r="H877" s="90">
        <v>27527.145184199777</v>
      </c>
      <c r="I877" s="90">
        <v>0</v>
      </c>
      <c r="J877" s="90">
        <v>0</v>
      </c>
      <c r="K877" s="90">
        <v>0</v>
      </c>
      <c r="L877" s="90">
        <v>2152.0610022005512</v>
      </c>
      <c r="M877" s="90">
        <v>0</v>
      </c>
      <c r="N877" s="90">
        <v>20370.087436307836</v>
      </c>
      <c r="O877" s="90">
        <v>0</v>
      </c>
      <c r="P877" s="90">
        <v>0</v>
      </c>
      <c r="Q877" s="90">
        <v>0</v>
      </c>
      <c r="R877" s="90">
        <v>16240</v>
      </c>
    </row>
    <row r="878" spans="1:18">
      <c r="A878" s="90" t="s">
        <v>1040</v>
      </c>
      <c r="B878" s="90" t="s">
        <v>1439</v>
      </c>
      <c r="C878" s="90" t="str">
        <f t="shared" si="13"/>
        <v>Moose PassEducation - K - 12</v>
      </c>
      <c r="D878" s="90">
        <v>1</v>
      </c>
      <c r="E878" s="90">
        <v>8989</v>
      </c>
      <c r="F878" s="90">
        <v>7620.5545871065569</v>
      </c>
      <c r="G878" s="90">
        <v>0</v>
      </c>
      <c r="H878" s="90">
        <v>58414.242234230551</v>
      </c>
      <c r="I878" s="90">
        <v>0</v>
      </c>
      <c r="J878" s="90">
        <v>0</v>
      </c>
      <c r="K878" s="90">
        <v>0</v>
      </c>
      <c r="L878" s="90">
        <v>5639.2103944588516</v>
      </c>
      <c r="M878" s="90">
        <v>0</v>
      </c>
      <c r="N878" s="90">
        <v>43226.539253330608</v>
      </c>
      <c r="O878" s="90">
        <v>0</v>
      </c>
      <c r="P878" s="90">
        <v>0</v>
      </c>
      <c r="Q878" s="90">
        <v>0</v>
      </c>
      <c r="R878" s="90">
        <v>62923</v>
      </c>
    </row>
    <row r="879" spans="1:18">
      <c r="A879" s="90" t="s">
        <v>1459</v>
      </c>
      <c r="B879" s="90" t="s">
        <v>1439</v>
      </c>
      <c r="C879" s="90" t="str">
        <f t="shared" si="13"/>
        <v>MOSQUITO LAKEEducation - K - 12</v>
      </c>
      <c r="D879" s="90">
        <v>1</v>
      </c>
      <c r="E879" s="90">
        <v>6392</v>
      </c>
      <c r="F879" s="90">
        <v>3411.8145985401457</v>
      </c>
      <c r="G879" s="90">
        <v>0</v>
      </c>
      <c r="H879" s="90">
        <v>34580.311220000003</v>
      </c>
      <c r="I879" s="90">
        <v>0</v>
      </c>
      <c r="J879" s="90">
        <v>0</v>
      </c>
      <c r="K879" s="90">
        <v>0</v>
      </c>
      <c r="L879" s="90">
        <v>2524.7428029197076</v>
      </c>
      <c r="M879" s="90">
        <v>0</v>
      </c>
      <c r="N879" s="90">
        <v>25589.430302800003</v>
      </c>
      <c r="O879" s="90">
        <v>0</v>
      </c>
      <c r="P879" s="90">
        <v>0</v>
      </c>
      <c r="Q879" s="90">
        <v>0</v>
      </c>
      <c r="R879" s="90">
        <v>44744</v>
      </c>
    </row>
    <row r="880" spans="1:18">
      <c r="A880" s="90" t="s">
        <v>89</v>
      </c>
      <c r="B880" s="90" t="s">
        <v>1439</v>
      </c>
      <c r="C880" s="90" t="str">
        <f t="shared" si="13"/>
        <v>Mountain VillageEducation - K - 12</v>
      </c>
      <c r="D880" s="90">
        <v>4</v>
      </c>
      <c r="E880" s="90">
        <v>107356.4479144385</v>
      </c>
      <c r="F880" s="90">
        <v>71389.236174157326</v>
      </c>
      <c r="G880" s="90">
        <v>0</v>
      </c>
      <c r="H880" s="90">
        <v>665968.41538501007</v>
      </c>
      <c r="I880" s="90">
        <v>0</v>
      </c>
      <c r="J880" s="90">
        <v>0</v>
      </c>
      <c r="K880" s="90">
        <v>0</v>
      </c>
      <c r="L880" s="90">
        <v>52828.034768876423</v>
      </c>
      <c r="M880" s="90">
        <v>0</v>
      </c>
      <c r="N880" s="90">
        <v>492816.62738490739</v>
      </c>
      <c r="O880" s="90">
        <v>0</v>
      </c>
      <c r="P880" s="90">
        <v>0</v>
      </c>
      <c r="Q880" s="90">
        <v>0</v>
      </c>
      <c r="R880" s="90">
        <v>751495.13540106965</v>
      </c>
    </row>
    <row r="881" spans="1:18">
      <c r="A881" s="90" t="s">
        <v>89</v>
      </c>
      <c r="B881" s="90" t="s">
        <v>1440</v>
      </c>
      <c r="C881" s="90" t="str">
        <f t="shared" si="13"/>
        <v>Mountain VillageHealth Care - Hospitals</v>
      </c>
      <c r="D881" s="90">
        <v>1</v>
      </c>
      <c r="E881" s="90">
        <v>1932</v>
      </c>
      <c r="F881" s="90">
        <v>1221.169853663871</v>
      </c>
      <c r="G881" s="90">
        <v>0</v>
      </c>
      <c r="H881" s="90">
        <v>17032.15018456275</v>
      </c>
      <c r="I881" s="90">
        <v>0</v>
      </c>
      <c r="J881" s="90">
        <v>0</v>
      </c>
      <c r="K881" s="90">
        <v>0</v>
      </c>
      <c r="L881" s="90">
        <v>903.66569171126457</v>
      </c>
      <c r="M881" s="90">
        <v>0</v>
      </c>
      <c r="N881" s="90">
        <v>12603.791136576434</v>
      </c>
      <c r="O881" s="90">
        <v>0</v>
      </c>
      <c r="P881" s="90">
        <v>0</v>
      </c>
      <c r="Q881" s="90">
        <v>0</v>
      </c>
      <c r="R881" s="90">
        <v>13524</v>
      </c>
    </row>
    <row r="882" spans="1:18">
      <c r="A882" s="90" t="s">
        <v>89</v>
      </c>
      <c r="B882" s="90" t="s">
        <v>665</v>
      </c>
      <c r="C882" s="90" t="str">
        <f t="shared" si="13"/>
        <v>Mountain VillageOffice</v>
      </c>
      <c r="D882" s="90">
        <v>2</v>
      </c>
      <c r="E882" s="90">
        <v>8880</v>
      </c>
      <c r="F882" s="90">
        <v>8437.1225418383801</v>
      </c>
      <c r="G882" s="90">
        <v>0</v>
      </c>
      <c r="H882" s="90">
        <v>39436.855514499999</v>
      </c>
      <c r="I882" s="90">
        <v>0</v>
      </c>
      <c r="J882" s="90">
        <v>0</v>
      </c>
      <c r="K882" s="90">
        <v>0</v>
      </c>
      <c r="L882" s="90">
        <v>6243.4706809604004</v>
      </c>
      <c r="M882" s="90">
        <v>0</v>
      </c>
      <c r="N882" s="90">
        <v>29183.273080729999</v>
      </c>
      <c r="O882" s="90">
        <v>0</v>
      </c>
      <c r="P882" s="90">
        <v>0</v>
      </c>
      <c r="Q882" s="90">
        <v>0</v>
      </c>
      <c r="R882" s="90">
        <v>62160</v>
      </c>
    </row>
    <row r="883" spans="1:18">
      <c r="A883" s="90" t="s">
        <v>89</v>
      </c>
      <c r="B883" s="90" t="s">
        <v>643</v>
      </c>
      <c r="C883" s="90" t="str">
        <f t="shared" si="13"/>
        <v>Mountain VillageOther</v>
      </c>
      <c r="D883" s="90">
        <v>1</v>
      </c>
      <c r="E883" s="90">
        <v>1100</v>
      </c>
      <c r="F883" s="90">
        <v>963.50364963503648</v>
      </c>
      <c r="G883" s="90">
        <v>0</v>
      </c>
      <c r="H883" s="90">
        <v>9015.5811395000001</v>
      </c>
      <c r="I883" s="90">
        <v>0</v>
      </c>
      <c r="J883" s="90">
        <v>0</v>
      </c>
      <c r="K883" s="90">
        <v>0</v>
      </c>
      <c r="L883" s="90">
        <v>712.99270072992704</v>
      </c>
      <c r="M883" s="90">
        <v>0</v>
      </c>
      <c r="N883" s="90">
        <v>6671.53004323</v>
      </c>
      <c r="O883" s="90">
        <v>0</v>
      </c>
      <c r="P883" s="90">
        <v>0</v>
      </c>
      <c r="Q883" s="90">
        <v>0</v>
      </c>
      <c r="R883" s="90">
        <v>7700</v>
      </c>
    </row>
    <row r="884" spans="1:18">
      <c r="A884" s="90" t="s">
        <v>89</v>
      </c>
      <c r="B884" s="90" t="s">
        <v>1227</v>
      </c>
      <c r="C884" s="90" t="str">
        <f t="shared" si="13"/>
        <v>Mountain VillagePublic Assembly</v>
      </c>
      <c r="D884" s="90">
        <v>2</v>
      </c>
      <c r="E884" s="90">
        <v>7800</v>
      </c>
      <c r="F884" s="90">
        <v>7851.4580074290679</v>
      </c>
      <c r="G884" s="90">
        <v>0</v>
      </c>
      <c r="H884" s="90">
        <v>29201.256281813214</v>
      </c>
      <c r="I884" s="90">
        <v>0</v>
      </c>
      <c r="J884" s="90">
        <v>0</v>
      </c>
      <c r="K884" s="90">
        <v>0</v>
      </c>
      <c r="L884" s="90">
        <v>5810.0789254975098</v>
      </c>
      <c r="M884" s="90">
        <v>0</v>
      </c>
      <c r="N884" s="90">
        <v>21608.929648541776</v>
      </c>
      <c r="O884" s="90">
        <v>0</v>
      </c>
      <c r="P884" s="90">
        <v>0</v>
      </c>
      <c r="Q884" s="90">
        <v>0</v>
      </c>
      <c r="R884" s="90">
        <v>54600</v>
      </c>
    </row>
    <row r="885" spans="1:18">
      <c r="A885" s="90" t="s">
        <v>89</v>
      </c>
      <c r="B885" s="90" t="s">
        <v>1475</v>
      </c>
      <c r="C885" s="90" t="str">
        <f t="shared" si="13"/>
        <v>Mountain VillagePublic Safety</v>
      </c>
      <c r="D885" s="90">
        <v>2</v>
      </c>
      <c r="E885" s="90">
        <v>1368</v>
      </c>
      <c r="F885" s="90">
        <v>968.35571527902482</v>
      </c>
      <c r="G885" s="90">
        <v>0</v>
      </c>
      <c r="H885" s="90">
        <v>7125.0686206743085</v>
      </c>
      <c r="I885" s="90">
        <v>0</v>
      </c>
      <c r="J885" s="90">
        <v>0</v>
      </c>
      <c r="K885" s="90">
        <v>0</v>
      </c>
      <c r="L885" s="90">
        <v>716.58322930647842</v>
      </c>
      <c r="M885" s="90">
        <v>0</v>
      </c>
      <c r="N885" s="90">
        <v>5272.5507792989883</v>
      </c>
      <c r="O885" s="90">
        <v>0</v>
      </c>
      <c r="P885" s="90">
        <v>0</v>
      </c>
      <c r="Q885" s="90">
        <v>0</v>
      </c>
      <c r="R885" s="90">
        <v>9576</v>
      </c>
    </row>
    <row r="886" spans="1:18">
      <c r="A886" s="90" t="s">
        <v>89</v>
      </c>
      <c r="B886" s="90" t="s">
        <v>1485</v>
      </c>
      <c r="C886" s="90" t="str">
        <f t="shared" si="13"/>
        <v>Mountain VillageRetail - Other</v>
      </c>
      <c r="D886" s="90">
        <v>1</v>
      </c>
      <c r="E886" s="90">
        <v>4587</v>
      </c>
      <c r="F886" s="90">
        <v>7619.2320192770349</v>
      </c>
      <c r="G886" s="90">
        <v>0</v>
      </c>
      <c r="H886" s="90">
        <v>111914.44823110409</v>
      </c>
      <c r="I886" s="90">
        <v>0</v>
      </c>
      <c r="J886" s="90">
        <v>0</v>
      </c>
      <c r="K886" s="90">
        <v>0</v>
      </c>
      <c r="L886" s="90">
        <v>5638.2316942650059</v>
      </c>
      <c r="M886" s="90">
        <v>0</v>
      </c>
      <c r="N886" s="90">
        <v>82816.691691017026</v>
      </c>
      <c r="O886" s="90">
        <v>0</v>
      </c>
      <c r="P886" s="90">
        <v>0</v>
      </c>
      <c r="Q886" s="90">
        <v>0</v>
      </c>
      <c r="R886" s="90">
        <v>32109</v>
      </c>
    </row>
    <row r="887" spans="1:18">
      <c r="A887" s="90" t="s">
        <v>89</v>
      </c>
      <c r="B887" s="90" t="s">
        <v>951</v>
      </c>
      <c r="C887" s="90" t="str">
        <f t="shared" si="13"/>
        <v>Mountain VillageWarehousing</v>
      </c>
      <c r="D887" s="90">
        <v>1</v>
      </c>
      <c r="E887" s="90">
        <v>2800</v>
      </c>
      <c r="F887" s="90">
        <v>4886.8217275802954</v>
      </c>
      <c r="G887" s="90">
        <v>0</v>
      </c>
      <c r="H887" s="90">
        <v>16170.145529999998</v>
      </c>
      <c r="I887" s="90">
        <v>0</v>
      </c>
      <c r="J887" s="90">
        <v>0</v>
      </c>
      <c r="K887" s="90">
        <v>0</v>
      </c>
      <c r="L887" s="90">
        <v>3616.2480784094187</v>
      </c>
      <c r="M887" s="90">
        <v>0</v>
      </c>
      <c r="N887" s="90">
        <v>11965.907692199999</v>
      </c>
      <c r="O887" s="90">
        <v>0</v>
      </c>
      <c r="P887" s="90">
        <v>0</v>
      </c>
      <c r="Q887" s="90">
        <v>0</v>
      </c>
      <c r="R887" s="90">
        <v>19600</v>
      </c>
    </row>
    <row r="888" spans="1:18">
      <c r="A888" s="90" t="s">
        <v>1175</v>
      </c>
      <c r="B888" s="90" t="s">
        <v>643</v>
      </c>
      <c r="C888" s="90" t="str">
        <f t="shared" si="13"/>
        <v>Mud BayOther</v>
      </c>
      <c r="D888" s="90">
        <v>1</v>
      </c>
      <c r="E888" s="90">
        <v>2163.9204545454545</v>
      </c>
      <c r="F888" s="90">
        <v>1871.5127967727569</v>
      </c>
      <c r="G888" s="90">
        <v>0</v>
      </c>
      <c r="H888" s="90">
        <v>15748.986486464588</v>
      </c>
      <c r="I888" s="90">
        <v>0</v>
      </c>
      <c r="J888" s="90">
        <v>0</v>
      </c>
      <c r="K888" s="90">
        <v>0</v>
      </c>
      <c r="L888" s="90">
        <v>1384.9194696118402</v>
      </c>
      <c r="M888" s="90">
        <v>0</v>
      </c>
      <c r="N888" s="90">
        <v>11654.249999983795</v>
      </c>
      <c r="O888" s="90">
        <v>0</v>
      </c>
      <c r="P888" s="90">
        <v>0</v>
      </c>
      <c r="Q888" s="90">
        <v>0</v>
      </c>
      <c r="R888" s="90">
        <v>15147.443181818182</v>
      </c>
    </row>
    <row r="889" spans="1:18">
      <c r="A889" s="90" t="s">
        <v>1041</v>
      </c>
      <c r="B889" s="90" t="s">
        <v>1439</v>
      </c>
      <c r="C889" s="90" t="str">
        <f t="shared" si="13"/>
        <v>NaknekEducation - K - 12</v>
      </c>
      <c r="D889" s="90">
        <v>1</v>
      </c>
      <c r="E889" s="90">
        <v>90200</v>
      </c>
      <c r="F889" s="90">
        <v>0</v>
      </c>
      <c r="G889" s="90">
        <v>66263.725238641462</v>
      </c>
      <c r="H889" s="90">
        <v>638681.10799995891</v>
      </c>
      <c r="I889" s="90">
        <v>0</v>
      </c>
      <c r="J889" s="90">
        <v>0</v>
      </c>
      <c r="K889" s="90">
        <v>0</v>
      </c>
      <c r="L889" s="90">
        <v>0</v>
      </c>
      <c r="M889" s="90">
        <v>49035.156676594685</v>
      </c>
      <c r="N889" s="90">
        <v>472624.01991996961</v>
      </c>
      <c r="O889" s="90">
        <v>0</v>
      </c>
      <c r="P889" s="90">
        <v>0</v>
      </c>
      <c r="Q889" s="90">
        <v>0</v>
      </c>
      <c r="R889" s="90">
        <v>631400</v>
      </c>
    </row>
    <row r="890" spans="1:18">
      <c r="A890" s="90" t="s">
        <v>1041</v>
      </c>
      <c r="B890" s="90" t="s">
        <v>1440</v>
      </c>
      <c r="C890" s="90" t="str">
        <f t="shared" si="13"/>
        <v>NaknekHealth Care - Hospitals</v>
      </c>
      <c r="D890" s="90">
        <v>3</v>
      </c>
      <c r="E890" s="90">
        <v>8909.1850000000013</v>
      </c>
      <c r="F890" s="90">
        <v>5631.2775065809292</v>
      </c>
      <c r="G890" s="90">
        <v>0</v>
      </c>
      <c r="H890" s="90">
        <v>78541.706491746212</v>
      </c>
      <c r="I890" s="90">
        <v>0</v>
      </c>
      <c r="J890" s="90">
        <v>0</v>
      </c>
      <c r="K890" s="90">
        <v>0</v>
      </c>
      <c r="L890" s="90">
        <v>4167.1453548698873</v>
      </c>
      <c r="M890" s="90">
        <v>0</v>
      </c>
      <c r="N890" s="90">
        <v>58120.862803892196</v>
      </c>
      <c r="O890" s="90">
        <v>0</v>
      </c>
      <c r="P890" s="90">
        <v>0</v>
      </c>
      <c r="Q890" s="90">
        <v>0</v>
      </c>
      <c r="R890" s="90">
        <v>62364.295000000013</v>
      </c>
    </row>
    <row r="891" spans="1:18">
      <c r="A891" s="90" t="s">
        <v>1041</v>
      </c>
      <c r="B891" s="90" t="s">
        <v>665</v>
      </c>
      <c r="C891" s="90" t="str">
        <f t="shared" si="13"/>
        <v>NaknekOffice</v>
      </c>
      <c r="D891" s="90">
        <v>3</v>
      </c>
      <c r="E891" s="90">
        <v>8682.338129496402</v>
      </c>
      <c r="F891" s="90">
        <v>7227.6173512039204</v>
      </c>
      <c r="G891" s="90">
        <v>0</v>
      </c>
      <c r="H891" s="90">
        <v>49260.620375733866</v>
      </c>
      <c r="I891" s="90">
        <v>0</v>
      </c>
      <c r="J891" s="90">
        <v>0</v>
      </c>
      <c r="K891" s="90">
        <v>0</v>
      </c>
      <c r="L891" s="90">
        <v>5348.436839890901</v>
      </c>
      <c r="M891" s="90">
        <v>0</v>
      </c>
      <c r="N891" s="90">
        <v>36452.85907804306</v>
      </c>
      <c r="O891" s="90">
        <v>0</v>
      </c>
      <c r="P891" s="90">
        <v>0</v>
      </c>
      <c r="Q891" s="90">
        <v>0</v>
      </c>
      <c r="R891" s="90">
        <v>60776.36690647481</v>
      </c>
    </row>
    <row r="892" spans="1:18">
      <c r="A892" s="90" t="s">
        <v>1041</v>
      </c>
      <c r="B892" s="90" t="s">
        <v>643</v>
      </c>
      <c r="C892" s="90" t="str">
        <f t="shared" si="13"/>
        <v>NaknekOther</v>
      </c>
      <c r="D892" s="90">
        <v>21</v>
      </c>
      <c r="E892" s="90">
        <v>100011.43511450378</v>
      </c>
      <c r="F892" s="90">
        <v>101522.98451018536</v>
      </c>
      <c r="G892" s="90">
        <v>4770.6469705090767</v>
      </c>
      <c r="H892" s="90">
        <v>742389.20894596423</v>
      </c>
      <c r="I892" s="90">
        <v>0</v>
      </c>
      <c r="J892" s="90">
        <v>0</v>
      </c>
      <c r="K892" s="90">
        <v>0</v>
      </c>
      <c r="L892" s="90">
        <v>75127.008537537185</v>
      </c>
      <c r="M892" s="90">
        <v>3530.2787581767166</v>
      </c>
      <c r="N892" s="90">
        <v>549368.01462001354</v>
      </c>
      <c r="O892" s="90">
        <v>0</v>
      </c>
      <c r="P892" s="90">
        <v>0</v>
      </c>
      <c r="Q892" s="90">
        <v>0</v>
      </c>
      <c r="R892" s="90">
        <v>700080.04580152687</v>
      </c>
    </row>
    <row r="893" spans="1:18">
      <c r="A893" s="90" t="s">
        <v>1041</v>
      </c>
      <c r="B893" s="90" t="s">
        <v>1227</v>
      </c>
      <c r="C893" s="90" t="str">
        <f t="shared" si="13"/>
        <v>NaknekPublic Assembly</v>
      </c>
      <c r="D893" s="90">
        <v>8</v>
      </c>
      <c r="E893" s="90">
        <v>27412.512359550565</v>
      </c>
      <c r="F893" s="90">
        <v>18958.778464899147</v>
      </c>
      <c r="G893" s="90">
        <v>0</v>
      </c>
      <c r="H893" s="90">
        <v>127107.03722669734</v>
      </c>
      <c r="I893" s="90">
        <v>0</v>
      </c>
      <c r="J893" s="90">
        <v>0</v>
      </c>
      <c r="K893" s="90">
        <v>0</v>
      </c>
      <c r="L893" s="90">
        <v>14029.496064025368</v>
      </c>
      <c r="M893" s="90">
        <v>0</v>
      </c>
      <c r="N893" s="90">
        <v>94059.207547756043</v>
      </c>
      <c r="O893" s="90">
        <v>0</v>
      </c>
      <c r="P893" s="90">
        <v>0</v>
      </c>
      <c r="Q893" s="90">
        <v>0</v>
      </c>
      <c r="R893" s="90">
        <v>191887.58651685392</v>
      </c>
    </row>
    <row r="894" spans="1:18">
      <c r="A894" s="90" t="s">
        <v>1041</v>
      </c>
      <c r="B894" s="90" t="s">
        <v>1475</v>
      </c>
      <c r="C894" s="90" t="str">
        <f t="shared" si="13"/>
        <v>NaknekPublic Safety</v>
      </c>
      <c r="D894" s="90">
        <v>1</v>
      </c>
      <c r="E894" s="90">
        <v>2697.4089393939394</v>
      </c>
      <c r="F894" s="90">
        <v>1909.3942711307411</v>
      </c>
      <c r="G894" s="90">
        <v>0</v>
      </c>
      <c r="H894" s="90">
        <v>22307.792908055355</v>
      </c>
      <c r="I894" s="90">
        <v>0</v>
      </c>
      <c r="J894" s="90">
        <v>0</v>
      </c>
      <c r="K894" s="90">
        <v>0</v>
      </c>
      <c r="L894" s="90">
        <v>1412.9517606367483</v>
      </c>
      <c r="M894" s="90">
        <v>0</v>
      </c>
      <c r="N894" s="90">
        <v>16507.766751960964</v>
      </c>
      <c r="O894" s="90">
        <v>0</v>
      </c>
      <c r="P894" s="90">
        <v>0</v>
      </c>
      <c r="Q894" s="90">
        <v>0</v>
      </c>
      <c r="R894" s="90">
        <v>18881.862575757576</v>
      </c>
    </row>
    <row r="895" spans="1:18">
      <c r="A895" s="90" t="s">
        <v>1041</v>
      </c>
      <c r="B895" s="90" t="s">
        <v>951</v>
      </c>
      <c r="C895" s="90" t="str">
        <f t="shared" si="13"/>
        <v>NaknekWarehousing</v>
      </c>
      <c r="D895" s="90">
        <v>1</v>
      </c>
      <c r="E895" s="90">
        <v>2240</v>
      </c>
      <c r="F895" s="90">
        <v>1838.3649635036497</v>
      </c>
      <c r="G895" s="90">
        <v>0</v>
      </c>
      <c r="H895" s="90">
        <v>2024.0182159999999</v>
      </c>
      <c r="I895" s="90">
        <v>0</v>
      </c>
      <c r="J895" s="90">
        <v>0</v>
      </c>
      <c r="K895" s="90">
        <v>0</v>
      </c>
      <c r="L895" s="90">
        <v>1360.3900729927009</v>
      </c>
      <c r="M895" s="90">
        <v>0</v>
      </c>
      <c r="N895" s="90">
        <v>1497.7734798399999</v>
      </c>
      <c r="O895" s="90">
        <v>0</v>
      </c>
      <c r="P895" s="90">
        <v>0</v>
      </c>
      <c r="Q895" s="90">
        <v>0</v>
      </c>
      <c r="R895" s="90">
        <v>15680</v>
      </c>
    </row>
    <row r="896" spans="1:18">
      <c r="A896" s="90" t="s">
        <v>1008</v>
      </c>
      <c r="B896" s="90" t="s">
        <v>1439</v>
      </c>
      <c r="C896" s="90" t="str">
        <f t="shared" si="13"/>
        <v>NanwalekEducation - K - 12</v>
      </c>
      <c r="D896" s="90">
        <v>1</v>
      </c>
      <c r="E896" s="90">
        <v>14832</v>
      </c>
      <c r="F896" s="90">
        <v>12574.042233392418</v>
      </c>
      <c r="G896" s="90">
        <v>0</v>
      </c>
      <c r="H896" s="90">
        <v>96384.474448560184</v>
      </c>
      <c r="I896" s="90">
        <v>0</v>
      </c>
      <c r="J896" s="90">
        <v>0</v>
      </c>
      <c r="K896" s="90">
        <v>0</v>
      </c>
      <c r="L896" s="90">
        <v>9304.791252710389</v>
      </c>
      <c r="M896" s="90">
        <v>0</v>
      </c>
      <c r="N896" s="90">
        <v>71324.511091934532</v>
      </c>
      <c r="O896" s="90">
        <v>0</v>
      </c>
      <c r="P896" s="90">
        <v>0</v>
      </c>
      <c r="Q896" s="90">
        <v>0</v>
      </c>
      <c r="R896" s="90">
        <v>103824</v>
      </c>
    </row>
    <row r="897" spans="1:18">
      <c r="A897" s="90" t="s">
        <v>1008</v>
      </c>
      <c r="B897" s="90" t="s">
        <v>1440</v>
      </c>
      <c r="C897" s="90" t="str">
        <f t="shared" si="13"/>
        <v>NanwalekHealth Care - Hospitals</v>
      </c>
      <c r="D897" s="90">
        <v>2</v>
      </c>
      <c r="E897" s="90">
        <v>8000</v>
      </c>
      <c r="F897" s="90">
        <v>5575.7866927096156</v>
      </c>
      <c r="G897" s="90">
        <v>0</v>
      </c>
      <c r="H897" s="90">
        <v>60179.450402544593</v>
      </c>
      <c r="I897" s="90">
        <v>0</v>
      </c>
      <c r="J897" s="90">
        <v>0</v>
      </c>
      <c r="K897" s="90">
        <v>0</v>
      </c>
      <c r="L897" s="90">
        <v>4126.0821526051159</v>
      </c>
      <c r="M897" s="90">
        <v>0</v>
      </c>
      <c r="N897" s="90">
        <v>44532.793297882992</v>
      </c>
      <c r="O897" s="90">
        <v>0</v>
      </c>
      <c r="P897" s="90">
        <v>0</v>
      </c>
      <c r="Q897" s="90">
        <v>0</v>
      </c>
      <c r="R897" s="90">
        <v>56000</v>
      </c>
    </row>
    <row r="898" spans="1:18">
      <c r="A898" s="90" t="s">
        <v>1008</v>
      </c>
      <c r="B898" s="90" t="s">
        <v>665</v>
      </c>
      <c r="C898" s="90" t="str">
        <f t="shared" si="13"/>
        <v>NanwalekOffice</v>
      </c>
      <c r="D898" s="90">
        <v>3</v>
      </c>
      <c r="E898" s="90">
        <v>7105.517006802721</v>
      </c>
      <c r="F898" s="90">
        <v>9455.0507168903659</v>
      </c>
      <c r="G898" s="90">
        <v>0</v>
      </c>
      <c r="H898" s="90">
        <v>56958.039183212524</v>
      </c>
      <c r="I898" s="90">
        <v>0</v>
      </c>
      <c r="J898" s="90">
        <v>0</v>
      </c>
      <c r="K898" s="90">
        <v>0</v>
      </c>
      <c r="L898" s="90">
        <v>6996.7375304988709</v>
      </c>
      <c r="M898" s="90">
        <v>0</v>
      </c>
      <c r="N898" s="90">
        <v>42148.948995577266</v>
      </c>
      <c r="O898" s="90">
        <v>0</v>
      </c>
      <c r="P898" s="90">
        <v>0</v>
      </c>
      <c r="Q898" s="90">
        <v>0</v>
      </c>
      <c r="R898" s="90">
        <v>49738.619047619046</v>
      </c>
    </row>
    <row r="899" spans="1:18">
      <c r="A899" s="90" t="s">
        <v>1008</v>
      </c>
      <c r="B899" s="90" t="s">
        <v>1227</v>
      </c>
      <c r="C899" s="90" t="str">
        <f t="shared" ref="C899:C962" si="14">CONCATENATE(A899,B899)</f>
        <v>NanwalekPublic Assembly</v>
      </c>
      <c r="D899" s="90">
        <v>1</v>
      </c>
      <c r="E899" s="90">
        <v>1600</v>
      </c>
      <c r="F899" s="90">
        <v>998.33212861768118</v>
      </c>
      <c r="G899" s="90">
        <v>0</v>
      </c>
      <c r="H899" s="90">
        <v>6018.7769506652749</v>
      </c>
      <c r="I899" s="90">
        <v>0</v>
      </c>
      <c r="J899" s="90">
        <v>0</v>
      </c>
      <c r="K899" s="90">
        <v>0</v>
      </c>
      <c r="L899" s="90">
        <v>738.76577517708404</v>
      </c>
      <c r="M899" s="90">
        <v>0</v>
      </c>
      <c r="N899" s="90">
        <v>4453.8949434923034</v>
      </c>
      <c r="O899" s="90">
        <v>0</v>
      </c>
      <c r="P899" s="90">
        <v>0</v>
      </c>
      <c r="Q899" s="90">
        <v>0</v>
      </c>
      <c r="R899" s="90">
        <v>11200</v>
      </c>
    </row>
    <row r="900" spans="1:18">
      <c r="A900" s="90" t="s">
        <v>196</v>
      </c>
      <c r="B900" s="90" t="s">
        <v>1439</v>
      </c>
      <c r="C900" s="90" t="str">
        <f t="shared" si="14"/>
        <v>NapakiakEducation - K - 12</v>
      </c>
      <c r="D900" s="90">
        <v>1</v>
      </c>
      <c r="E900" s="90">
        <v>25167</v>
      </c>
      <c r="F900" s="90">
        <v>18488.460898901216</v>
      </c>
      <c r="G900" s="90">
        <v>0</v>
      </c>
      <c r="H900" s="90">
        <v>178200.52599817037</v>
      </c>
      <c r="I900" s="90">
        <v>0</v>
      </c>
      <c r="J900" s="90">
        <v>0</v>
      </c>
      <c r="K900" s="90">
        <v>0</v>
      </c>
      <c r="L900" s="90">
        <v>13681.461065186899</v>
      </c>
      <c r="M900" s="90">
        <v>0</v>
      </c>
      <c r="N900" s="90">
        <v>131868.38923864608</v>
      </c>
      <c r="O900" s="90">
        <v>0</v>
      </c>
      <c r="P900" s="90">
        <v>0</v>
      </c>
      <c r="Q900" s="90">
        <v>0</v>
      </c>
      <c r="R900" s="90">
        <v>176169</v>
      </c>
    </row>
    <row r="901" spans="1:18">
      <c r="A901" s="90" t="s">
        <v>196</v>
      </c>
      <c r="B901" s="90" t="s">
        <v>643</v>
      </c>
      <c r="C901" s="90" t="str">
        <f t="shared" si="14"/>
        <v>NapakiakOther</v>
      </c>
      <c r="D901" s="90">
        <v>1</v>
      </c>
      <c r="E901" s="90">
        <v>1200</v>
      </c>
      <c r="F901" s="90">
        <v>1275.3777368637668</v>
      </c>
      <c r="G901" s="90">
        <v>0</v>
      </c>
      <c r="H901" s="90">
        <v>8907.6519071563871</v>
      </c>
      <c r="I901" s="90">
        <v>0</v>
      </c>
      <c r="J901" s="90">
        <v>0</v>
      </c>
      <c r="K901" s="90">
        <v>0</v>
      </c>
      <c r="L901" s="90">
        <v>943.7795252791874</v>
      </c>
      <c r="M901" s="90">
        <v>0</v>
      </c>
      <c r="N901" s="90">
        <v>6591.6624112957261</v>
      </c>
      <c r="O901" s="90">
        <v>0</v>
      </c>
      <c r="P901" s="90">
        <v>0</v>
      </c>
      <c r="Q901" s="90">
        <v>0</v>
      </c>
      <c r="R901" s="90">
        <v>8400</v>
      </c>
    </row>
    <row r="902" spans="1:18">
      <c r="A902" s="90" t="s">
        <v>196</v>
      </c>
      <c r="B902" s="90" t="s">
        <v>951</v>
      </c>
      <c r="C902" s="90" t="str">
        <f t="shared" si="14"/>
        <v>NapakiakWarehousing</v>
      </c>
      <c r="D902" s="90">
        <v>1</v>
      </c>
      <c r="E902" s="90">
        <v>1104</v>
      </c>
      <c r="F902" s="90">
        <v>1926.8039954459452</v>
      </c>
      <c r="G902" s="90">
        <v>0</v>
      </c>
      <c r="H902" s="90">
        <v>50583.863597025622</v>
      </c>
      <c r="I902" s="90">
        <v>0</v>
      </c>
      <c r="J902" s="90">
        <v>0</v>
      </c>
      <c r="K902" s="90">
        <v>0</v>
      </c>
      <c r="L902" s="90">
        <v>1425.8349566299994</v>
      </c>
      <c r="M902" s="90">
        <v>0</v>
      </c>
      <c r="N902" s="90">
        <v>37432.059061798958</v>
      </c>
      <c r="O902" s="90">
        <v>0</v>
      </c>
      <c r="P902" s="90">
        <v>0</v>
      </c>
      <c r="Q902" s="90">
        <v>0</v>
      </c>
      <c r="R902" s="90">
        <v>7728</v>
      </c>
    </row>
    <row r="903" spans="1:18">
      <c r="A903" s="90" t="s">
        <v>39</v>
      </c>
      <c r="B903" s="90" t="s">
        <v>1439</v>
      </c>
      <c r="C903" s="90" t="str">
        <f t="shared" si="14"/>
        <v>NapaskiakEducation - K - 12</v>
      </c>
      <c r="D903" s="90">
        <v>1</v>
      </c>
      <c r="E903" s="90">
        <v>22170</v>
      </c>
      <c r="F903" s="90">
        <v>16286.771491581832</v>
      </c>
      <c r="G903" s="90">
        <v>0</v>
      </c>
      <c r="H903" s="90">
        <v>156979.60270908082</v>
      </c>
      <c r="I903" s="90">
        <v>0</v>
      </c>
      <c r="J903" s="90">
        <v>0</v>
      </c>
      <c r="K903" s="90">
        <v>0</v>
      </c>
      <c r="L903" s="90">
        <v>12052.210903770556</v>
      </c>
      <c r="M903" s="90">
        <v>0</v>
      </c>
      <c r="N903" s="90">
        <v>116164.9060047198</v>
      </c>
      <c r="O903" s="90">
        <v>0</v>
      </c>
      <c r="P903" s="90">
        <v>0</v>
      </c>
      <c r="Q903" s="90">
        <v>0</v>
      </c>
      <c r="R903" s="90">
        <v>155190</v>
      </c>
    </row>
    <row r="904" spans="1:18">
      <c r="A904" s="90" t="s">
        <v>39</v>
      </c>
      <c r="B904" s="90" t="s">
        <v>1440</v>
      </c>
      <c r="C904" s="90" t="str">
        <f t="shared" si="14"/>
        <v>NapaskiakHealth Care - Hospitals</v>
      </c>
      <c r="D904" s="90">
        <v>1</v>
      </c>
      <c r="E904" s="90">
        <v>2295</v>
      </c>
      <c r="F904" s="90">
        <v>1117.6642335766423</v>
      </c>
      <c r="G904" s="90">
        <v>0</v>
      </c>
      <c r="H904" s="90">
        <v>16456.148689999998</v>
      </c>
      <c r="I904" s="90">
        <v>0</v>
      </c>
      <c r="J904" s="90">
        <v>0</v>
      </c>
      <c r="K904" s="90">
        <v>0</v>
      </c>
      <c r="L904" s="90">
        <v>827.07153284671529</v>
      </c>
      <c r="M904" s="90">
        <v>0</v>
      </c>
      <c r="N904" s="90">
        <v>12177.550030599998</v>
      </c>
      <c r="O904" s="90">
        <v>0</v>
      </c>
      <c r="P904" s="90">
        <v>0</v>
      </c>
      <c r="Q904" s="90">
        <v>0</v>
      </c>
      <c r="R904" s="90">
        <v>16065</v>
      </c>
    </row>
    <row r="905" spans="1:18">
      <c r="A905" s="90" t="s">
        <v>39</v>
      </c>
      <c r="B905" s="90" t="s">
        <v>1444</v>
      </c>
      <c r="C905" s="90" t="str">
        <f t="shared" si="14"/>
        <v>NapaskiakHealth Care - Nursing/Residential Care</v>
      </c>
      <c r="D905" s="90">
        <v>1</v>
      </c>
      <c r="E905" s="90">
        <v>520</v>
      </c>
      <c r="F905" s="90">
        <v>626.27737226277372</v>
      </c>
      <c r="G905" s="90">
        <v>0</v>
      </c>
      <c r="H905" s="90">
        <v>2969.4146557763861</v>
      </c>
      <c r="I905" s="90">
        <v>0</v>
      </c>
      <c r="J905" s="90">
        <v>0</v>
      </c>
      <c r="K905" s="90">
        <v>0</v>
      </c>
      <c r="L905" s="90">
        <v>463.44525547445255</v>
      </c>
      <c r="M905" s="90">
        <v>0</v>
      </c>
      <c r="N905" s="90">
        <v>2197.3668452745255</v>
      </c>
      <c r="O905" s="90">
        <v>0</v>
      </c>
      <c r="P905" s="90">
        <v>0</v>
      </c>
      <c r="Q905" s="90">
        <v>0</v>
      </c>
      <c r="R905" s="90">
        <v>3640</v>
      </c>
    </row>
    <row r="906" spans="1:18">
      <c r="A906" s="90" t="s">
        <v>39</v>
      </c>
      <c r="B906" s="90" t="s">
        <v>665</v>
      </c>
      <c r="C906" s="90" t="str">
        <f t="shared" si="14"/>
        <v>NapaskiakOffice</v>
      </c>
      <c r="D906" s="90">
        <v>3</v>
      </c>
      <c r="E906" s="90">
        <v>2252</v>
      </c>
      <c r="F906" s="90">
        <v>1912.9905430480831</v>
      </c>
      <c r="G906" s="90">
        <v>0</v>
      </c>
      <c r="H906" s="90">
        <v>11307.346695180509</v>
      </c>
      <c r="I906" s="90">
        <v>0</v>
      </c>
      <c r="J906" s="90">
        <v>0</v>
      </c>
      <c r="K906" s="90">
        <v>0</v>
      </c>
      <c r="L906" s="90">
        <v>1415.6130018555814</v>
      </c>
      <c r="M906" s="90">
        <v>0</v>
      </c>
      <c r="N906" s="90">
        <v>8367.4365544335778</v>
      </c>
      <c r="O906" s="90">
        <v>0</v>
      </c>
      <c r="P906" s="90">
        <v>0</v>
      </c>
      <c r="Q906" s="90">
        <v>0</v>
      </c>
      <c r="R906" s="90">
        <v>15764</v>
      </c>
    </row>
    <row r="907" spans="1:18">
      <c r="A907" s="90" t="s">
        <v>39</v>
      </c>
      <c r="B907" s="90" t="s">
        <v>643</v>
      </c>
      <c r="C907" s="90" t="str">
        <f t="shared" si="14"/>
        <v>NapaskiakOther</v>
      </c>
      <c r="D907" s="90">
        <v>2</v>
      </c>
      <c r="E907" s="90">
        <v>2024</v>
      </c>
      <c r="F907" s="90">
        <v>1983.3475179146653</v>
      </c>
      <c r="G907" s="90">
        <v>0</v>
      </c>
      <c r="H907" s="90">
        <v>12913.039754583875</v>
      </c>
      <c r="I907" s="90">
        <v>0</v>
      </c>
      <c r="J907" s="90">
        <v>0</v>
      </c>
      <c r="K907" s="90">
        <v>0</v>
      </c>
      <c r="L907" s="90">
        <v>1467.6771632568523</v>
      </c>
      <c r="M907" s="90">
        <v>0</v>
      </c>
      <c r="N907" s="90">
        <v>9555.6494183920677</v>
      </c>
      <c r="O907" s="90">
        <v>0</v>
      </c>
      <c r="P907" s="90">
        <v>0</v>
      </c>
      <c r="Q907" s="90">
        <v>0</v>
      </c>
      <c r="R907" s="90">
        <v>14168</v>
      </c>
    </row>
    <row r="908" spans="1:18">
      <c r="A908" s="90" t="s">
        <v>39</v>
      </c>
      <c r="B908" s="90" t="s">
        <v>1227</v>
      </c>
      <c r="C908" s="90" t="str">
        <f t="shared" si="14"/>
        <v>NapaskiakPublic Assembly</v>
      </c>
      <c r="D908" s="90">
        <v>1</v>
      </c>
      <c r="E908" s="90">
        <v>920</v>
      </c>
      <c r="F908" s="90">
        <v>636.28156219071877</v>
      </c>
      <c r="G908" s="90">
        <v>0</v>
      </c>
      <c r="H908" s="90">
        <v>4265.8794901671981</v>
      </c>
      <c r="I908" s="90">
        <v>0</v>
      </c>
      <c r="J908" s="90">
        <v>0</v>
      </c>
      <c r="K908" s="90">
        <v>0</v>
      </c>
      <c r="L908" s="90">
        <v>470.84835602113191</v>
      </c>
      <c r="M908" s="90">
        <v>0</v>
      </c>
      <c r="N908" s="90">
        <v>3156.7508227237267</v>
      </c>
      <c r="O908" s="90">
        <v>0</v>
      </c>
      <c r="P908" s="90">
        <v>0</v>
      </c>
      <c r="Q908" s="90">
        <v>0</v>
      </c>
      <c r="R908" s="90">
        <v>6440</v>
      </c>
    </row>
    <row r="909" spans="1:18">
      <c r="A909" s="90" t="s">
        <v>39</v>
      </c>
      <c r="B909" s="90" t="s">
        <v>1475</v>
      </c>
      <c r="C909" s="90" t="str">
        <f t="shared" si="14"/>
        <v>NapaskiakPublic Safety</v>
      </c>
      <c r="D909" s="90">
        <v>1</v>
      </c>
      <c r="E909" s="90">
        <v>1200</v>
      </c>
      <c r="F909" s="90">
        <v>849.4348379640569</v>
      </c>
      <c r="G909" s="90">
        <v>0</v>
      </c>
      <c r="H909" s="90">
        <v>9924.0983073486186</v>
      </c>
      <c r="I909" s="90">
        <v>0</v>
      </c>
      <c r="J909" s="90">
        <v>0</v>
      </c>
      <c r="K909" s="90">
        <v>0</v>
      </c>
      <c r="L909" s="90">
        <v>628.58178009340213</v>
      </c>
      <c r="M909" s="90">
        <v>0</v>
      </c>
      <c r="N909" s="90">
        <v>7343.8327474379776</v>
      </c>
      <c r="O909" s="90">
        <v>0</v>
      </c>
      <c r="P909" s="90">
        <v>0</v>
      </c>
      <c r="Q909" s="90">
        <v>0</v>
      </c>
      <c r="R909" s="90">
        <v>8400</v>
      </c>
    </row>
    <row r="910" spans="1:18">
      <c r="A910" s="90" t="s">
        <v>1176</v>
      </c>
      <c r="B910" s="90" t="s">
        <v>1439</v>
      </c>
      <c r="C910" s="90" t="str">
        <f t="shared" si="14"/>
        <v>Naukati BayEducation - K - 12</v>
      </c>
      <c r="D910" s="90">
        <v>2</v>
      </c>
      <c r="E910" s="90">
        <v>21782</v>
      </c>
      <c r="F910" s="90">
        <v>15543.091551189706</v>
      </c>
      <c r="G910" s="90">
        <v>0</v>
      </c>
      <c r="H910" s="90">
        <v>130932.45587890304</v>
      </c>
      <c r="I910" s="90">
        <v>0</v>
      </c>
      <c r="J910" s="90">
        <v>0</v>
      </c>
      <c r="K910" s="90">
        <v>0</v>
      </c>
      <c r="L910" s="90">
        <v>11501.887747880381</v>
      </c>
      <c r="M910" s="90">
        <v>0</v>
      </c>
      <c r="N910" s="90">
        <v>96890.017350388254</v>
      </c>
      <c r="O910" s="90">
        <v>0</v>
      </c>
      <c r="P910" s="90">
        <v>0</v>
      </c>
      <c r="Q910" s="90">
        <v>0</v>
      </c>
      <c r="R910" s="90">
        <v>152474</v>
      </c>
    </row>
    <row r="911" spans="1:18">
      <c r="A911" s="90" t="s">
        <v>1176</v>
      </c>
      <c r="B911" s="90" t="s">
        <v>643</v>
      </c>
      <c r="C911" s="90" t="str">
        <f t="shared" si="14"/>
        <v>Naukati BayOther</v>
      </c>
      <c r="D911" s="90">
        <v>3</v>
      </c>
      <c r="E911" s="90">
        <v>1950</v>
      </c>
      <c r="F911" s="90">
        <v>1686.4991252524883</v>
      </c>
      <c r="G911" s="90">
        <v>0</v>
      </c>
      <c r="H911" s="90">
        <v>14192.076046093334</v>
      </c>
      <c r="I911" s="90">
        <v>0</v>
      </c>
      <c r="J911" s="90">
        <v>0</v>
      </c>
      <c r="K911" s="90">
        <v>0</v>
      </c>
      <c r="L911" s="90">
        <v>1248.0093526868413</v>
      </c>
      <c r="M911" s="90">
        <v>0</v>
      </c>
      <c r="N911" s="90">
        <v>10502.136274109067</v>
      </c>
      <c r="O911" s="90">
        <v>0</v>
      </c>
      <c r="P911" s="90">
        <v>0</v>
      </c>
      <c r="Q911" s="90">
        <v>0</v>
      </c>
      <c r="R911" s="90">
        <v>13650</v>
      </c>
    </row>
    <row r="912" spans="1:18">
      <c r="A912" s="90" t="s">
        <v>1176</v>
      </c>
      <c r="B912" s="90" t="s">
        <v>1227</v>
      </c>
      <c r="C912" s="90" t="str">
        <f t="shared" si="14"/>
        <v>Naukati BayPublic Assembly</v>
      </c>
      <c r="D912" s="90">
        <v>2</v>
      </c>
      <c r="E912" s="90">
        <v>2811</v>
      </c>
      <c r="F912" s="90">
        <v>1440</v>
      </c>
      <c r="G912" s="90">
        <v>0</v>
      </c>
      <c r="H912" s="90">
        <v>10204.694237666319</v>
      </c>
      <c r="I912" s="90">
        <v>0</v>
      </c>
      <c r="J912" s="90">
        <v>0</v>
      </c>
      <c r="K912" s="90">
        <v>0</v>
      </c>
      <c r="L912" s="90">
        <v>1065.5999999999999</v>
      </c>
      <c r="M912" s="90">
        <v>0</v>
      </c>
      <c r="N912" s="90">
        <v>7551.4737358730763</v>
      </c>
      <c r="O912" s="90">
        <v>0</v>
      </c>
      <c r="P912" s="90">
        <v>0</v>
      </c>
      <c r="Q912" s="90">
        <v>0</v>
      </c>
      <c r="R912" s="90">
        <v>19677</v>
      </c>
    </row>
    <row r="913" spans="1:18">
      <c r="A913" s="90" t="s">
        <v>1176</v>
      </c>
      <c r="B913" s="90" t="s">
        <v>1475</v>
      </c>
      <c r="C913" s="90" t="str">
        <f t="shared" si="14"/>
        <v>Naukati BayPublic Safety</v>
      </c>
      <c r="D913" s="90">
        <v>1</v>
      </c>
      <c r="E913" s="90">
        <v>684</v>
      </c>
      <c r="F913" s="90">
        <v>665.10440006799945</v>
      </c>
      <c r="G913" s="90">
        <v>0</v>
      </c>
      <c r="H913" s="90">
        <v>5520.1854525775507</v>
      </c>
      <c r="I913" s="90">
        <v>0</v>
      </c>
      <c r="J913" s="90">
        <v>0</v>
      </c>
      <c r="K913" s="90">
        <v>0</v>
      </c>
      <c r="L913" s="90">
        <v>492.17725605031961</v>
      </c>
      <c r="M913" s="90">
        <v>0</v>
      </c>
      <c r="N913" s="90">
        <v>4084.9372349073874</v>
      </c>
      <c r="O913" s="90">
        <v>0</v>
      </c>
      <c r="P913" s="90">
        <v>0</v>
      </c>
      <c r="Q913" s="90">
        <v>0</v>
      </c>
      <c r="R913" s="90">
        <v>4788</v>
      </c>
    </row>
    <row r="914" spans="1:18">
      <c r="A914" s="90" t="s">
        <v>1176</v>
      </c>
      <c r="B914" s="90" t="s">
        <v>1485</v>
      </c>
      <c r="C914" s="90" t="str">
        <f t="shared" si="14"/>
        <v>Naukati BayRetail - Other</v>
      </c>
      <c r="D914" s="90">
        <v>1</v>
      </c>
      <c r="E914" s="90">
        <v>1134</v>
      </c>
      <c r="F914" s="90">
        <v>1198.9078676470588</v>
      </c>
      <c r="G914" s="90">
        <v>0</v>
      </c>
      <c r="H914" s="90">
        <v>26711.640839673917</v>
      </c>
      <c r="I914" s="90">
        <v>0</v>
      </c>
      <c r="J914" s="90">
        <v>0</v>
      </c>
      <c r="K914" s="90">
        <v>0</v>
      </c>
      <c r="L914" s="90">
        <v>887.1918220588235</v>
      </c>
      <c r="M914" s="90">
        <v>0</v>
      </c>
      <c r="N914" s="90">
        <v>19766.614221358697</v>
      </c>
      <c r="O914" s="90">
        <v>0</v>
      </c>
      <c r="P914" s="90">
        <v>0</v>
      </c>
      <c r="Q914" s="90">
        <v>0</v>
      </c>
      <c r="R914" s="90">
        <v>7938</v>
      </c>
    </row>
    <row r="915" spans="1:18">
      <c r="A915" s="90" t="s">
        <v>1176</v>
      </c>
      <c r="B915" s="90" t="s">
        <v>951</v>
      </c>
      <c r="C915" s="90" t="str">
        <f t="shared" si="14"/>
        <v>Naukati BayWarehousing</v>
      </c>
      <c r="D915" s="90">
        <v>1</v>
      </c>
      <c r="E915" s="90">
        <v>1783.9572649572649</v>
      </c>
      <c r="F915" s="90">
        <v>2236.2446758544302</v>
      </c>
      <c r="G915" s="90">
        <v>0</v>
      </c>
      <c r="H915" s="90">
        <v>21166.918377106285</v>
      </c>
      <c r="I915" s="90">
        <v>0</v>
      </c>
      <c r="J915" s="90">
        <v>0</v>
      </c>
      <c r="K915" s="90">
        <v>0</v>
      </c>
      <c r="L915" s="90">
        <v>1654.8210601322783</v>
      </c>
      <c r="M915" s="90">
        <v>0</v>
      </c>
      <c r="N915" s="90">
        <v>15663.519599058651</v>
      </c>
      <c r="O915" s="90">
        <v>0</v>
      </c>
      <c r="P915" s="90">
        <v>0</v>
      </c>
      <c r="Q915" s="90">
        <v>0</v>
      </c>
      <c r="R915" s="90">
        <v>12487.700854700854</v>
      </c>
    </row>
    <row r="916" spans="1:18">
      <c r="A916" s="90" t="s">
        <v>1358</v>
      </c>
      <c r="B916" s="90" t="s">
        <v>1439</v>
      </c>
      <c r="C916" s="90" t="str">
        <f t="shared" si="14"/>
        <v>NelchinaEducation - K - 12</v>
      </c>
      <c r="D916" s="90">
        <v>1</v>
      </c>
      <c r="E916" s="90">
        <v>2200</v>
      </c>
      <c r="F916" s="90">
        <v>1865.0817767976889</v>
      </c>
      <c r="G916" s="90">
        <v>0</v>
      </c>
      <c r="H916" s="90">
        <v>14296.510503427213</v>
      </c>
      <c r="I916" s="90">
        <v>0</v>
      </c>
      <c r="J916" s="90">
        <v>0</v>
      </c>
      <c r="K916" s="90">
        <v>0</v>
      </c>
      <c r="L916" s="90">
        <v>1380.1605148302897</v>
      </c>
      <c r="M916" s="90">
        <v>0</v>
      </c>
      <c r="N916" s="90">
        <v>10579.417772536137</v>
      </c>
      <c r="O916" s="90">
        <v>0</v>
      </c>
      <c r="P916" s="90">
        <v>0</v>
      </c>
      <c r="Q916" s="90">
        <v>0</v>
      </c>
      <c r="R916" s="90">
        <v>15400</v>
      </c>
    </row>
    <row r="917" spans="1:18">
      <c r="A917" s="90" t="s">
        <v>1358</v>
      </c>
      <c r="B917" s="90" t="s">
        <v>643</v>
      </c>
      <c r="C917" s="90" t="str">
        <f t="shared" si="14"/>
        <v>NelchinaOther</v>
      </c>
      <c r="D917" s="90">
        <v>1</v>
      </c>
      <c r="E917" s="90">
        <v>3780</v>
      </c>
      <c r="F917" s="90">
        <v>3474.9529927007293</v>
      </c>
      <c r="G917" s="90">
        <v>0</v>
      </c>
      <c r="H917" s="90">
        <v>28096.252864000002</v>
      </c>
      <c r="I917" s="90">
        <v>0</v>
      </c>
      <c r="J917" s="90">
        <v>0</v>
      </c>
      <c r="K917" s="90">
        <v>0</v>
      </c>
      <c r="L917" s="90">
        <v>2571.4652145985397</v>
      </c>
      <c r="M917" s="90">
        <v>0</v>
      </c>
      <c r="N917" s="90">
        <v>20791.227119360003</v>
      </c>
      <c r="O917" s="90">
        <v>0</v>
      </c>
      <c r="P917" s="90">
        <v>0</v>
      </c>
      <c r="Q917" s="90">
        <v>0</v>
      </c>
      <c r="R917" s="90">
        <v>26460</v>
      </c>
    </row>
    <row r="918" spans="1:18">
      <c r="A918" s="90" t="s">
        <v>1358</v>
      </c>
      <c r="B918" s="90" t="s">
        <v>951</v>
      </c>
      <c r="C918" s="90" t="str">
        <f t="shared" si="14"/>
        <v>NelchinaWarehousing</v>
      </c>
      <c r="D918" s="90">
        <v>1</v>
      </c>
      <c r="E918" s="90">
        <v>480</v>
      </c>
      <c r="F918" s="90">
        <v>601.69459520984663</v>
      </c>
      <c r="G918" s="90">
        <v>0</v>
      </c>
      <c r="H918" s="90">
        <v>5695.271417420643</v>
      </c>
      <c r="I918" s="90">
        <v>0</v>
      </c>
      <c r="J918" s="90">
        <v>0</v>
      </c>
      <c r="K918" s="90">
        <v>0</v>
      </c>
      <c r="L918" s="90">
        <v>445.25400045528647</v>
      </c>
      <c r="M918" s="90">
        <v>0</v>
      </c>
      <c r="N918" s="90">
        <v>4214.5008488912754</v>
      </c>
      <c r="O918" s="90">
        <v>0</v>
      </c>
      <c r="P918" s="90">
        <v>0</v>
      </c>
      <c r="Q918" s="90">
        <v>0</v>
      </c>
      <c r="R918" s="90">
        <v>3360</v>
      </c>
    </row>
    <row r="919" spans="1:18">
      <c r="A919" s="90" t="s">
        <v>201</v>
      </c>
      <c r="B919" s="90" t="s">
        <v>1439</v>
      </c>
      <c r="C919" s="90" t="str">
        <f t="shared" si="14"/>
        <v>Nelson LagoonEducation - K - 12</v>
      </c>
      <c r="D919" s="90">
        <v>1</v>
      </c>
      <c r="E919" s="90">
        <v>5776</v>
      </c>
      <c r="F919" s="90">
        <v>6310</v>
      </c>
      <c r="G919" s="90">
        <v>0</v>
      </c>
      <c r="H919" s="90">
        <v>48080</v>
      </c>
      <c r="I919" s="90">
        <v>0</v>
      </c>
      <c r="J919" s="90">
        <v>0</v>
      </c>
      <c r="K919" s="90">
        <v>0</v>
      </c>
      <c r="L919" s="90">
        <v>4669.3999999999996</v>
      </c>
      <c r="M919" s="90">
        <v>0</v>
      </c>
      <c r="N919" s="90">
        <v>35579.199999999997</v>
      </c>
      <c r="O919" s="90">
        <v>0</v>
      </c>
      <c r="P919" s="90">
        <v>0</v>
      </c>
      <c r="Q919" s="90">
        <v>0</v>
      </c>
      <c r="R919" s="90">
        <v>40432</v>
      </c>
    </row>
    <row r="920" spans="1:18">
      <c r="A920" s="90" t="s">
        <v>201</v>
      </c>
      <c r="B920" s="90" t="s">
        <v>1440</v>
      </c>
      <c r="C920" s="90" t="str">
        <f t="shared" si="14"/>
        <v>Nelson LagoonHealth Care - Hospitals</v>
      </c>
      <c r="D920" s="90">
        <v>1</v>
      </c>
      <c r="E920" s="90">
        <v>2256.9250000000002</v>
      </c>
      <c r="F920" s="90">
        <v>1573.0165476804564</v>
      </c>
      <c r="G920" s="90">
        <v>0</v>
      </c>
      <c r="H920" s="90">
        <v>16977.563262470368</v>
      </c>
      <c r="I920" s="90">
        <v>0</v>
      </c>
      <c r="J920" s="90">
        <v>0</v>
      </c>
      <c r="K920" s="90">
        <v>0</v>
      </c>
      <c r="L920" s="90">
        <v>1164.0322452835378</v>
      </c>
      <c r="M920" s="90">
        <v>0</v>
      </c>
      <c r="N920" s="90">
        <v>12563.396814228072</v>
      </c>
      <c r="O920" s="90">
        <v>0</v>
      </c>
      <c r="P920" s="90">
        <v>0</v>
      </c>
      <c r="Q920" s="90">
        <v>0</v>
      </c>
      <c r="R920" s="90">
        <v>15798.475000000002</v>
      </c>
    </row>
    <row r="921" spans="1:18">
      <c r="A921" s="90" t="s">
        <v>201</v>
      </c>
      <c r="B921" s="90" t="s">
        <v>665</v>
      </c>
      <c r="C921" s="90" t="str">
        <f t="shared" si="14"/>
        <v>Nelson LagoonOffice</v>
      </c>
      <c r="D921" s="90">
        <v>2</v>
      </c>
      <c r="E921" s="90">
        <v>2693.2585034013605</v>
      </c>
      <c r="F921" s="90">
        <v>3365.5824722962652</v>
      </c>
      <c r="G921" s="90">
        <v>0</v>
      </c>
      <c r="H921" s="90">
        <v>21998.661644952717</v>
      </c>
      <c r="I921" s="90">
        <v>0</v>
      </c>
      <c r="J921" s="90">
        <v>0</v>
      </c>
      <c r="K921" s="90">
        <v>0</v>
      </c>
      <c r="L921" s="90">
        <v>2490.5310294992364</v>
      </c>
      <c r="M921" s="90">
        <v>0</v>
      </c>
      <c r="N921" s="90">
        <v>16279.00961726501</v>
      </c>
      <c r="O921" s="90">
        <v>0</v>
      </c>
      <c r="P921" s="90">
        <v>0</v>
      </c>
      <c r="Q921" s="90">
        <v>0</v>
      </c>
      <c r="R921" s="90">
        <v>18852.809523809523</v>
      </c>
    </row>
    <row r="922" spans="1:18">
      <c r="A922" s="90" t="s">
        <v>201</v>
      </c>
      <c r="B922" s="90" t="s">
        <v>643</v>
      </c>
      <c r="C922" s="90" t="str">
        <f t="shared" si="14"/>
        <v>Nelson LagoonOther</v>
      </c>
      <c r="D922" s="90">
        <v>1</v>
      </c>
      <c r="E922" s="90">
        <v>1104</v>
      </c>
      <c r="F922" s="90">
        <v>135.85401459854015</v>
      </c>
      <c r="G922" s="90">
        <v>0</v>
      </c>
      <c r="H922" s="90">
        <v>8034.8984384036112</v>
      </c>
      <c r="I922" s="90">
        <v>0</v>
      </c>
      <c r="J922" s="90">
        <v>0</v>
      </c>
      <c r="K922" s="90">
        <v>0</v>
      </c>
      <c r="L922" s="90">
        <v>100.5319708029197</v>
      </c>
      <c r="M922" s="90">
        <v>0</v>
      </c>
      <c r="N922" s="90">
        <v>5945.824844418672</v>
      </c>
      <c r="O922" s="90">
        <v>0</v>
      </c>
      <c r="P922" s="90">
        <v>0</v>
      </c>
      <c r="Q922" s="90">
        <v>0</v>
      </c>
      <c r="R922" s="90">
        <v>7728</v>
      </c>
    </row>
    <row r="923" spans="1:18">
      <c r="A923" s="90" t="s">
        <v>201</v>
      </c>
      <c r="B923" s="90" t="s">
        <v>1227</v>
      </c>
      <c r="C923" s="90" t="str">
        <f t="shared" si="14"/>
        <v>Nelson LagoonPublic Assembly</v>
      </c>
      <c r="D923" s="90">
        <v>1</v>
      </c>
      <c r="E923" s="90">
        <v>3136.7211538461538</v>
      </c>
      <c r="F923" s="90">
        <v>1957.1809414995873</v>
      </c>
      <c r="G923" s="90">
        <v>0</v>
      </c>
      <c r="H923" s="90">
        <v>11799.515613395884</v>
      </c>
      <c r="I923" s="90">
        <v>0</v>
      </c>
      <c r="J923" s="90">
        <v>0</v>
      </c>
      <c r="K923" s="90">
        <v>0</v>
      </c>
      <c r="L923" s="90">
        <v>1448.3138967096945</v>
      </c>
      <c r="M923" s="90">
        <v>0</v>
      </c>
      <c r="N923" s="90">
        <v>8731.6415539129539</v>
      </c>
      <c r="O923" s="90">
        <v>0</v>
      </c>
      <c r="P923" s="90">
        <v>0</v>
      </c>
      <c r="Q923" s="90">
        <v>0</v>
      </c>
      <c r="R923" s="90">
        <v>21957.048076923078</v>
      </c>
    </row>
    <row r="924" spans="1:18">
      <c r="A924" s="90" t="s">
        <v>201</v>
      </c>
      <c r="B924" s="90" t="s">
        <v>1475</v>
      </c>
      <c r="C924" s="90" t="str">
        <f t="shared" si="14"/>
        <v>Nelson LagoonPublic Safety</v>
      </c>
      <c r="D924" s="90">
        <v>1</v>
      </c>
      <c r="E924" s="90">
        <v>2595.4749999999999</v>
      </c>
      <c r="F924" s="90">
        <v>2523.774623927618</v>
      </c>
      <c r="G924" s="90">
        <v>0</v>
      </c>
      <c r="H924" s="90">
        <v>20946.642306328533</v>
      </c>
      <c r="I924" s="90">
        <v>0</v>
      </c>
      <c r="J924" s="90">
        <v>0</v>
      </c>
      <c r="K924" s="90">
        <v>0</v>
      </c>
      <c r="L924" s="90">
        <v>1867.5932217064374</v>
      </c>
      <c r="M924" s="90">
        <v>0</v>
      </c>
      <c r="N924" s="90">
        <v>15500.515306683114</v>
      </c>
      <c r="O924" s="90">
        <v>0</v>
      </c>
      <c r="P924" s="90">
        <v>0</v>
      </c>
      <c r="Q924" s="90">
        <v>0</v>
      </c>
      <c r="R924" s="90">
        <v>18168.325000000001</v>
      </c>
    </row>
    <row r="925" spans="1:18">
      <c r="A925" s="90" t="s">
        <v>201</v>
      </c>
      <c r="B925" s="90" t="s">
        <v>951</v>
      </c>
      <c r="C925" s="90" t="str">
        <f t="shared" si="14"/>
        <v>Nelson LagoonWarehousing</v>
      </c>
      <c r="D925" s="90">
        <v>1</v>
      </c>
      <c r="E925" s="90">
        <v>6500</v>
      </c>
      <c r="F925" s="90">
        <v>8147.9476434666731</v>
      </c>
      <c r="G925" s="90">
        <v>0</v>
      </c>
      <c r="H925" s="90">
        <v>77123.467110904545</v>
      </c>
      <c r="I925" s="90">
        <v>0</v>
      </c>
      <c r="J925" s="90">
        <v>0</v>
      </c>
      <c r="K925" s="90">
        <v>0</v>
      </c>
      <c r="L925" s="90">
        <v>6029.481256165338</v>
      </c>
      <c r="M925" s="90">
        <v>0</v>
      </c>
      <c r="N925" s="90">
        <v>57071.365662069365</v>
      </c>
      <c r="O925" s="90">
        <v>0</v>
      </c>
      <c r="P925" s="90">
        <v>0</v>
      </c>
      <c r="Q925" s="90">
        <v>0</v>
      </c>
      <c r="R925" s="90">
        <v>45500</v>
      </c>
    </row>
    <row r="926" spans="1:18">
      <c r="A926" s="90" t="s">
        <v>1043</v>
      </c>
      <c r="B926" s="90" t="s">
        <v>1447</v>
      </c>
      <c r="C926" s="90" t="str">
        <f t="shared" si="14"/>
        <v>NenanaAccomodation Services</v>
      </c>
      <c r="D926" s="90">
        <v>1</v>
      </c>
      <c r="E926" s="90">
        <v>7260.0625</v>
      </c>
      <c r="F926" s="90">
        <v>7485.3185274619782</v>
      </c>
      <c r="G926" s="90">
        <v>0</v>
      </c>
      <c r="H926" s="90">
        <v>158263.93571825544</v>
      </c>
      <c r="I926" s="90">
        <v>0</v>
      </c>
      <c r="J926" s="90">
        <v>0</v>
      </c>
      <c r="K926" s="90">
        <v>0</v>
      </c>
      <c r="L926" s="90">
        <v>5539.1357103218634</v>
      </c>
      <c r="M926" s="90">
        <v>0</v>
      </c>
      <c r="N926" s="90">
        <v>117115.31243150902</v>
      </c>
      <c r="O926" s="90">
        <v>0</v>
      </c>
      <c r="P926" s="90">
        <v>0</v>
      </c>
      <c r="Q926" s="90">
        <v>0</v>
      </c>
      <c r="R926" s="90">
        <v>50820.4375</v>
      </c>
    </row>
    <row r="927" spans="1:18">
      <c r="A927" s="90" t="s">
        <v>1043</v>
      </c>
      <c r="B927" s="90" t="s">
        <v>1439</v>
      </c>
      <c r="C927" s="90" t="str">
        <f t="shared" si="14"/>
        <v>NenanaEducation - K - 12</v>
      </c>
      <c r="D927" s="90">
        <v>2</v>
      </c>
      <c r="E927" s="90">
        <v>179407</v>
      </c>
      <c r="F927" s="90">
        <v>131797.96179477772</v>
      </c>
      <c r="G927" s="90">
        <v>0</v>
      </c>
      <c r="H927" s="90">
        <v>1270331.0592344638</v>
      </c>
      <c r="I927" s="90">
        <v>0</v>
      </c>
      <c r="J927" s="90">
        <v>0</v>
      </c>
      <c r="K927" s="90">
        <v>0</v>
      </c>
      <c r="L927" s="90">
        <v>97530.491728135501</v>
      </c>
      <c r="M927" s="90">
        <v>0</v>
      </c>
      <c r="N927" s="90">
        <v>940044.98383350321</v>
      </c>
      <c r="O927" s="90">
        <v>0</v>
      </c>
      <c r="P927" s="90">
        <v>0</v>
      </c>
      <c r="Q927" s="90">
        <v>0</v>
      </c>
      <c r="R927" s="90">
        <v>1255849</v>
      </c>
    </row>
    <row r="928" spans="1:18">
      <c r="A928" s="90" t="s">
        <v>1043</v>
      </c>
      <c r="B928" s="90" t="s">
        <v>1469</v>
      </c>
      <c r="C928" s="90" t="str">
        <f t="shared" si="14"/>
        <v>NenanaFood Service and Drinking Places</v>
      </c>
      <c r="D928" s="90">
        <v>1</v>
      </c>
      <c r="E928" s="90">
        <v>4750</v>
      </c>
      <c r="F928" s="90">
        <v>3559.1743441326848</v>
      </c>
      <c r="G928" s="90">
        <v>0</v>
      </c>
      <c r="H928" s="90">
        <v>34661.222123199354</v>
      </c>
      <c r="I928" s="90">
        <v>0</v>
      </c>
      <c r="J928" s="90">
        <v>0</v>
      </c>
      <c r="K928" s="90">
        <v>0</v>
      </c>
      <c r="L928" s="90">
        <v>2633.7890146581867</v>
      </c>
      <c r="M928" s="90">
        <v>0</v>
      </c>
      <c r="N928" s="90">
        <v>25649.30437116752</v>
      </c>
      <c r="O928" s="90">
        <v>0</v>
      </c>
      <c r="P928" s="90">
        <v>0</v>
      </c>
      <c r="Q928" s="90">
        <v>0</v>
      </c>
      <c r="R928" s="90">
        <v>33250</v>
      </c>
    </row>
    <row r="929" spans="1:18">
      <c r="A929" s="90" t="s">
        <v>1043</v>
      </c>
      <c r="B929" s="90" t="s">
        <v>1440</v>
      </c>
      <c r="C929" s="90" t="str">
        <f t="shared" si="14"/>
        <v>NenanaHealth Care - Hospitals</v>
      </c>
      <c r="D929" s="90">
        <v>3</v>
      </c>
      <c r="E929" s="90">
        <v>11061.185000000001</v>
      </c>
      <c r="F929" s="90">
        <v>4522.8746615441478</v>
      </c>
      <c r="G929" s="90">
        <v>0</v>
      </c>
      <c r="H929" s="90">
        <v>97513.335475793327</v>
      </c>
      <c r="I929" s="90">
        <v>0</v>
      </c>
      <c r="J929" s="90">
        <v>0</v>
      </c>
      <c r="K929" s="90">
        <v>21.29192777542729</v>
      </c>
      <c r="L929" s="90">
        <v>3346.9272495426694</v>
      </c>
      <c r="M929" s="90">
        <v>0</v>
      </c>
      <c r="N929" s="90">
        <v>72159.868252087064</v>
      </c>
      <c r="O929" s="90">
        <v>0</v>
      </c>
      <c r="P929" s="90">
        <v>0</v>
      </c>
      <c r="Q929" s="90">
        <v>15.756026553816195</v>
      </c>
      <c r="R929" s="90">
        <v>77428.295000000013</v>
      </c>
    </row>
    <row r="930" spans="1:18">
      <c r="A930" s="90" t="s">
        <v>1043</v>
      </c>
      <c r="B930" s="90" t="s">
        <v>665</v>
      </c>
      <c r="C930" s="90" t="str">
        <f t="shared" si="14"/>
        <v>NenanaOffice</v>
      </c>
      <c r="D930" s="90">
        <v>6</v>
      </c>
      <c r="E930" s="90">
        <v>15084.338129496402</v>
      </c>
      <c r="F930" s="90">
        <v>10611.732825387415</v>
      </c>
      <c r="G930" s="90">
        <v>0</v>
      </c>
      <c r="H930" s="90">
        <v>95991.626059721006</v>
      </c>
      <c r="I930" s="90">
        <v>0</v>
      </c>
      <c r="J930" s="90">
        <v>0</v>
      </c>
      <c r="K930" s="90">
        <v>38.771385439217831</v>
      </c>
      <c r="L930" s="90">
        <v>7852.6822907866872</v>
      </c>
      <c r="M930" s="90">
        <v>0</v>
      </c>
      <c r="N930" s="90">
        <v>71033.803284193549</v>
      </c>
      <c r="O930" s="90">
        <v>0</v>
      </c>
      <c r="P930" s="90">
        <v>0</v>
      </c>
      <c r="Q930" s="90">
        <v>28.690825225021193</v>
      </c>
      <c r="R930" s="90">
        <v>105590.36690647481</v>
      </c>
    </row>
    <row r="931" spans="1:18">
      <c r="A931" s="90" t="s">
        <v>1043</v>
      </c>
      <c r="B931" s="90" t="s">
        <v>643</v>
      </c>
      <c r="C931" s="90" t="str">
        <f t="shared" si="14"/>
        <v>NenanaOther</v>
      </c>
      <c r="D931" s="90">
        <v>10</v>
      </c>
      <c r="E931" s="90">
        <v>66475.072519083958</v>
      </c>
      <c r="F931" s="90">
        <v>70650.689622703401</v>
      </c>
      <c r="G931" s="90">
        <v>0</v>
      </c>
      <c r="H931" s="90">
        <v>493447.33875248116</v>
      </c>
      <c r="I931" s="90">
        <v>0</v>
      </c>
      <c r="J931" s="90">
        <v>0</v>
      </c>
      <c r="K931" s="90">
        <v>0</v>
      </c>
      <c r="L931" s="90">
        <v>52281.510320800524</v>
      </c>
      <c r="M931" s="90">
        <v>0</v>
      </c>
      <c r="N931" s="90">
        <v>365151.03067683609</v>
      </c>
      <c r="O931" s="90">
        <v>0</v>
      </c>
      <c r="P931" s="90">
        <v>0</v>
      </c>
      <c r="Q931" s="90">
        <v>0</v>
      </c>
      <c r="R931" s="90">
        <v>465325.50763358775</v>
      </c>
    </row>
    <row r="932" spans="1:18">
      <c r="A932" s="90" t="s">
        <v>1043</v>
      </c>
      <c r="B932" s="90" t="s">
        <v>1227</v>
      </c>
      <c r="C932" s="90" t="str">
        <f t="shared" si="14"/>
        <v>NenanaPublic Assembly</v>
      </c>
      <c r="D932" s="90">
        <v>5</v>
      </c>
      <c r="E932" s="90">
        <v>16209.692134831459</v>
      </c>
      <c r="F932" s="90">
        <v>8840.9442507801814</v>
      </c>
      <c r="G932" s="90">
        <v>0</v>
      </c>
      <c r="H932" s="90">
        <v>75161.514369458775</v>
      </c>
      <c r="I932" s="90">
        <v>0</v>
      </c>
      <c r="J932" s="90">
        <v>0</v>
      </c>
      <c r="K932" s="90">
        <v>20.439933032469394</v>
      </c>
      <c r="L932" s="90">
        <v>6542.2987455773336</v>
      </c>
      <c r="M932" s="90">
        <v>0</v>
      </c>
      <c r="N932" s="90">
        <v>55619.520633399487</v>
      </c>
      <c r="O932" s="90">
        <v>0</v>
      </c>
      <c r="P932" s="90">
        <v>0</v>
      </c>
      <c r="Q932" s="90">
        <v>15.125550444027352</v>
      </c>
      <c r="R932" s="90">
        <v>113467.84494382021</v>
      </c>
    </row>
    <row r="933" spans="1:18">
      <c r="A933" s="90" t="s">
        <v>1043</v>
      </c>
      <c r="B933" s="90" t="s">
        <v>1475</v>
      </c>
      <c r="C933" s="90" t="str">
        <f t="shared" si="14"/>
        <v>NenanaPublic Safety</v>
      </c>
      <c r="D933" s="90">
        <v>1</v>
      </c>
      <c r="E933" s="90">
        <v>5848</v>
      </c>
      <c r="F933" s="90">
        <v>4139.5791103448373</v>
      </c>
      <c r="G933" s="90">
        <v>0</v>
      </c>
      <c r="H933" s="90">
        <v>48363.43908447893</v>
      </c>
      <c r="I933" s="90">
        <v>0</v>
      </c>
      <c r="J933" s="90">
        <v>0</v>
      </c>
      <c r="K933" s="90">
        <v>0</v>
      </c>
      <c r="L933" s="90">
        <v>3063.2885416551794</v>
      </c>
      <c r="M933" s="90">
        <v>0</v>
      </c>
      <c r="N933" s="90">
        <v>35788.944922514405</v>
      </c>
      <c r="O933" s="90">
        <v>0</v>
      </c>
      <c r="P933" s="90">
        <v>0</v>
      </c>
      <c r="Q933" s="90">
        <v>0</v>
      </c>
      <c r="R933" s="90">
        <v>40936</v>
      </c>
    </row>
    <row r="934" spans="1:18">
      <c r="A934" s="90" t="s">
        <v>1043</v>
      </c>
      <c r="B934" s="90" t="s">
        <v>1485</v>
      </c>
      <c r="C934" s="90" t="str">
        <f t="shared" si="14"/>
        <v>NenanaRetail - Other</v>
      </c>
      <c r="D934" s="90">
        <v>1</v>
      </c>
      <c r="E934" s="90">
        <v>6276.3658536585363</v>
      </c>
      <c r="F934" s="90">
        <v>10425.351575516059</v>
      </c>
      <c r="G934" s="90">
        <v>0</v>
      </c>
      <c r="H934" s="90">
        <v>153131.89915167599</v>
      </c>
      <c r="I934" s="90">
        <v>0</v>
      </c>
      <c r="J934" s="90">
        <v>0</v>
      </c>
      <c r="K934" s="90">
        <v>0</v>
      </c>
      <c r="L934" s="90">
        <v>7714.760165881883</v>
      </c>
      <c r="M934" s="90">
        <v>0</v>
      </c>
      <c r="N934" s="90">
        <v>113317.60537224023</v>
      </c>
      <c r="O934" s="90">
        <v>0</v>
      </c>
      <c r="P934" s="90">
        <v>0</v>
      </c>
      <c r="Q934" s="90">
        <v>0</v>
      </c>
      <c r="R934" s="90">
        <v>43934.560975609755</v>
      </c>
    </row>
    <row r="935" spans="1:18">
      <c r="A935" s="90" t="s">
        <v>1043</v>
      </c>
      <c r="B935" s="90" t="s">
        <v>951</v>
      </c>
      <c r="C935" s="90" t="str">
        <f t="shared" si="14"/>
        <v>NenanaWarehousing</v>
      </c>
      <c r="D935" s="90">
        <v>2</v>
      </c>
      <c r="E935" s="90">
        <v>2671</v>
      </c>
      <c r="F935" s="90">
        <v>4661.6788694167753</v>
      </c>
      <c r="G935" s="90">
        <v>0</v>
      </c>
      <c r="H935" s="90">
        <v>122381.79317722413</v>
      </c>
      <c r="I935" s="90">
        <v>0</v>
      </c>
      <c r="J935" s="90">
        <v>0</v>
      </c>
      <c r="K935" s="90">
        <v>0</v>
      </c>
      <c r="L935" s="90">
        <v>3449.6423633684135</v>
      </c>
      <c r="M935" s="90">
        <v>0</v>
      </c>
      <c r="N935" s="90">
        <v>90562.526951145846</v>
      </c>
      <c r="O935" s="90">
        <v>0</v>
      </c>
      <c r="P935" s="90">
        <v>0</v>
      </c>
      <c r="Q935" s="90">
        <v>0</v>
      </c>
      <c r="R935" s="90">
        <v>18697</v>
      </c>
    </row>
    <row r="936" spans="1:18">
      <c r="A936" s="90" t="s">
        <v>90</v>
      </c>
      <c r="B936" s="90" t="s">
        <v>1439</v>
      </c>
      <c r="C936" s="90" t="str">
        <f t="shared" si="14"/>
        <v>New StuyahokEducation - K - 12</v>
      </c>
      <c r="D936" s="90">
        <v>7</v>
      </c>
      <c r="E936" s="90">
        <v>156379.11978609624</v>
      </c>
      <c r="F936" s="90">
        <v>114880.96481781022</v>
      </c>
      <c r="G936" s="90">
        <v>0</v>
      </c>
      <c r="H936" s="90">
        <v>1107277.0453774086</v>
      </c>
      <c r="I936" s="90">
        <v>0</v>
      </c>
      <c r="J936" s="90">
        <v>0</v>
      </c>
      <c r="K936" s="90">
        <v>0</v>
      </c>
      <c r="L936" s="90">
        <v>85011.91396517957</v>
      </c>
      <c r="M936" s="90">
        <v>0</v>
      </c>
      <c r="N936" s="90">
        <v>819385.01357928244</v>
      </c>
      <c r="O936" s="90">
        <v>0</v>
      </c>
      <c r="P936" s="90">
        <v>0</v>
      </c>
      <c r="Q936" s="90">
        <v>0</v>
      </c>
      <c r="R936" s="90">
        <v>1094653.8385026739</v>
      </c>
    </row>
    <row r="937" spans="1:18">
      <c r="A937" s="90" t="s">
        <v>90</v>
      </c>
      <c r="B937" s="90" t="s">
        <v>1440</v>
      </c>
      <c r="C937" s="90" t="str">
        <f t="shared" si="14"/>
        <v>New StuyahokHealth Care - Hospitals</v>
      </c>
      <c r="D937" s="90">
        <v>1</v>
      </c>
      <c r="E937" s="90">
        <v>3905.5925000000002</v>
      </c>
      <c r="F937" s="90">
        <v>2468.6293072959174</v>
      </c>
      <c r="G937" s="90">
        <v>0</v>
      </c>
      <c r="H937" s="90">
        <v>34430.972059887106</v>
      </c>
      <c r="I937" s="90">
        <v>0</v>
      </c>
      <c r="J937" s="90">
        <v>0</v>
      </c>
      <c r="K937" s="90">
        <v>0</v>
      </c>
      <c r="L937" s="90">
        <v>1826.7856873989788</v>
      </c>
      <c r="M937" s="90">
        <v>0</v>
      </c>
      <c r="N937" s="90">
        <v>25478.919324316459</v>
      </c>
      <c r="O937" s="90">
        <v>0</v>
      </c>
      <c r="P937" s="90">
        <v>0</v>
      </c>
      <c r="Q937" s="90">
        <v>0</v>
      </c>
      <c r="R937" s="90">
        <v>27339.147500000003</v>
      </c>
    </row>
    <row r="938" spans="1:18">
      <c r="A938" s="90" t="s">
        <v>90</v>
      </c>
      <c r="B938" s="90" t="s">
        <v>665</v>
      </c>
      <c r="C938" s="90" t="str">
        <f t="shared" si="14"/>
        <v>New StuyahokOffice</v>
      </c>
      <c r="D938" s="90">
        <v>3</v>
      </c>
      <c r="E938" s="90">
        <v>3050</v>
      </c>
      <c r="F938" s="90">
        <v>2538.9742477641307</v>
      </c>
      <c r="G938" s="90">
        <v>0</v>
      </c>
      <c r="H938" s="90">
        <v>17304.65802012054</v>
      </c>
      <c r="I938" s="90">
        <v>0</v>
      </c>
      <c r="J938" s="90">
        <v>0</v>
      </c>
      <c r="K938" s="90">
        <v>0</v>
      </c>
      <c r="L938" s="90">
        <v>1878.8409433454565</v>
      </c>
      <c r="M938" s="90">
        <v>0</v>
      </c>
      <c r="N938" s="90">
        <v>12805.446934889198</v>
      </c>
      <c r="O938" s="90">
        <v>0</v>
      </c>
      <c r="P938" s="90">
        <v>0</v>
      </c>
      <c r="Q938" s="90">
        <v>0</v>
      </c>
      <c r="R938" s="90">
        <v>21350</v>
      </c>
    </row>
    <row r="939" spans="1:18">
      <c r="A939" s="90" t="s">
        <v>90</v>
      </c>
      <c r="B939" s="90" t="s">
        <v>643</v>
      </c>
      <c r="C939" s="90" t="str">
        <f t="shared" si="14"/>
        <v>New StuyahokOther</v>
      </c>
      <c r="D939" s="90">
        <v>10</v>
      </c>
      <c r="E939" s="90">
        <v>48676.526717557237</v>
      </c>
      <c r="F939" s="90">
        <v>51734.132069522377</v>
      </c>
      <c r="G939" s="90">
        <v>0</v>
      </c>
      <c r="H939" s="90">
        <v>361327.96337449807</v>
      </c>
      <c r="I939" s="90">
        <v>0</v>
      </c>
      <c r="J939" s="90">
        <v>0</v>
      </c>
      <c r="K939" s="90">
        <v>0</v>
      </c>
      <c r="L939" s="90">
        <v>38283.257731446552</v>
      </c>
      <c r="M939" s="90">
        <v>0</v>
      </c>
      <c r="N939" s="90">
        <v>267382.69289712858</v>
      </c>
      <c r="O939" s="90">
        <v>0</v>
      </c>
      <c r="P939" s="90">
        <v>0</v>
      </c>
      <c r="Q939" s="90">
        <v>0</v>
      </c>
      <c r="R939" s="90">
        <v>340735.68702290073</v>
      </c>
    </row>
    <row r="940" spans="1:18">
      <c r="A940" s="90" t="s">
        <v>90</v>
      </c>
      <c r="B940" s="90" t="s">
        <v>1227</v>
      </c>
      <c r="C940" s="90" t="str">
        <f t="shared" si="14"/>
        <v>New StuyahokPublic Assembly</v>
      </c>
      <c r="D940" s="90">
        <v>3</v>
      </c>
      <c r="E940" s="90">
        <v>10426.56404494382</v>
      </c>
      <c r="F940" s="90">
        <v>7211.1200639113404</v>
      </c>
      <c r="G940" s="90">
        <v>0</v>
      </c>
      <c r="H940" s="90">
        <v>48346.158382870199</v>
      </c>
      <c r="I940" s="90">
        <v>0</v>
      </c>
      <c r="J940" s="90">
        <v>0</v>
      </c>
      <c r="K940" s="90">
        <v>0</v>
      </c>
      <c r="L940" s="90">
        <v>5336.2288472943919</v>
      </c>
      <c r="M940" s="90">
        <v>0</v>
      </c>
      <c r="N940" s="90">
        <v>35776.15720332395</v>
      </c>
      <c r="O940" s="90">
        <v>0</v>
      </c>
      <c r="P940" s="90">
        <v>0</v>
      </c>
      <c r="Q940" s="90">
        <v>0</v>
      </c>
      <c r="R940" s="90">
        <v>72985.948314606736</v>
      </c>
    </row>
    <row r="941" spans="1:18">
      <c r="A941" s="90" t="s">
        <v>90</v>
      </c>
      <c r="B941" s="90" t="s">
        <v>1475</v>
      </c>
      <c r="C941" s="90" t="str">
        <f t="shared" si="14"/>
        <v>New StuyahokPublic Safety</v>
      </c>
      <c r="D941" s="90">
        <v>2</v>
      </c>
      <c r="E941" s="90">
        <v>5394.8178787878787</v>
      </c>
      <c r="F941" s="90">
        <v>3818.7885422614822</v>
      </c>
      <c r="G941" s="90">
        <v>0</v>
      </c>
      <c r="H941" s="90">
        <v>44615.58581611071</v>
      </c>
      <c r="I941" s="90">
        <v>0</v>
      </c>
      <c r="J941" s="90">
        <v>0</v>
      </c>
      <c r="K941" s="90">
        <v>0</v>
      </c>
      <c r="L941" s="90">
        <v>2825.9035212734966</v>
      </c>
      <c r="M941" s="90">
        <v>0</v>
      </c>
      <c r="N941" s="90">
        <v>33015.533503921928</v>
      </c>
      <c r="O941" s="90">
        <v>0</v>
      </c>
      <c r="P941" s="90">
        <v>0</v>
      </c>
      <c r="Q941" s="90">
        <v>0</v>
      </c>
      <c r="R941" s="90">
        <v>37763.725151515151</v>
      </c>
    </row>
    <row r="942" spans="1:18">
      <c r="A942" s="90" t="s">
        <v>90</v>
      </c>
      <c r="B942" s="90" t="s">
        <v>1485</v>
      </c>
      <c r="C942" s="90" t="str">
        <f t="shared" si="14"/>
        <v>New StuyahokRetail - Other</v>
      </c>
      <c r="D942" s="90">
        <v>1</v>
      </c>
      <c r="E942" s="90">
        <v>4000</v>
      </c>
      <c r="F942" s="90">
        <v>2000</v>
      </c>
      <c r="G942" s="90">
        <v>0</v>
      </c>
      <c r="H942" s="90">
        <v>97592.717009901113</v>
      </c>
      <c r="I942" s="90">
        <v>0</v>
      </c>
      <c r="J942" s="90">
        <v>0</v>
      </c>
      <c r="K942" s="90">
        <v>0</v>
      </c>
      <c r="L942" s="90">
        <v>1480</v>
      </c>
      <c r="M942" s="90">
        <v>0</v>
      </c>
      <c r="N942" s="90">
        <v>72218.610587326824</v>
      </c>
      <c r="O942" s="90">
        <v>0</v>
      </c>
      <c r="P942" s="90">
        <v>0</v>
      </c>
      <c r="Q942" s="90">
        <v>0</v>
      </c>
      <c r="R942" s="90">
        <v>28000</v>
      </c>
    </row>
    <row r="943" spans="1:18">
      <c r="A943" s="90" t="s">
        <v>90</v>
      </c>
      <c r="B943" s="90" t="s">
        <v>951</v>
      </c>
      <c r="C943" s="90" t="str">
        <f t="shared" si="14"/>
        <v>New StuyahokWarehousing</v>
      </c>
      <c r="D943" s="90">
        <v>1</v>
      </c>
      <c r="E943" s="90">
        <v>1600</v>
      </c>
      <c r="F943" s="90">
        <v>2792.469558617312</v>
      </c>
      <c r="G943" s="90">
        <v>0</v>
      </c>
      <c r="H943" s="90">
        <v>73309.947242066119</v>
      </c>
      <c r="I943" s="90">
        <v>0</v>
      </c>
      <c r="J943" s="90">
        <v>0</v>
      </c>
      <c r="K943" s="90">
        <v>0</v>
      </c>
      <c r="L943" s="90">
        <v>2066.4274733768107</v>
      </c>
      <c r="M943" s="90">
        <v>0</v>
      </c>
      <c r="N943" s="90">
        <v>54249.360959128928</v>
      </c>
      <c r="O943" s="90">
        <v>0</v>
      </c>
      <c r="P943" s="90">
        <v>0</v>
      </c>
      <c r="Q943" s="90">
        <v>0</v>
      </c>
      <c r="R943" s="90">
        <v>11200</v>
      </c>
    </row>
    <row r="944" spans="1:18">
      <c r="A944" s="90" t="s">
        <v>1044</v>
      </c>
      <c r="B944" s="90" t="s">
        <v>1447</v>
      </c>
      <c r="C944" s="90" t="str">
        <f t="shared" si="14"/>
        <v>NewhalenAccomodation Services</v>
      </c>
      <c r="D944" s="90">
        <v>2</v>
      </c>
      <c r="E944" s="90">
        <v>6200</v>
      </c>
      <c r="F944" s="90">
        <v>3883.7575244511745</v>
      </c>
      <c r="G944" s="90">
        <v>0</v>
      </c>
      <c r="H944" s="90">
        <v>45489.974937343359</v>
      </c>
      <c r="I944" s="90">
        <v>0</v>
      </c>
      <c r="J944" s="90">
        <v>0</v>
      </c>
      <c r="K944" s="90">
        <v>0</v>
      </c>
      <c r="L944" s="90">
        <v>2873.9805680938689</v>
      </c>
      <c r="M944" s="90">
        <v>0</v>
      </c>
      <c r="N944" s="90">
        <v>33662.581453634084</v>
      </c>
      <c r="O944" s="90">
        <v>0</v>
      </c>
      <c r="P944" s="90">
        <v>0</v>
      </c>
      <c r="Q944" s="90">
        <v>0</v>
      </c>
      <c r="R944" s="90">
        <v>43400</v>
      </c>
    </row>
    <row r="945" spans="1:18">
      <c r="A945" s="90" t="s">
        <v>1044</v>
      </c>
      <c r="B945" s="90" t="s">
        <v>1439</v>
      </c>
      <c r="C945" s="90" t="str">
        <f t="shared" si="14"/>
        <v>NewhalenEducation - K - 12</v>
      </c>
      <c r="D945" s="90">
        <v>1</v>
      </c>
      <c r="E945" s="90">
        <v>28692</v>
      </c>
      <c r="F945" s="90">
        <v>11228.8</v>
      </c>
      <c r="G945" s="90">
        <v>0</v>
      </c>
      <c r="H945" s="90">
        <v>120126.29112786667</v>
      </c>
      <c r="I945" s="90">
        <v>0</v>
      </c>
      <c r="J945" s="90">
        <v>0</v>
      </c>
      <c r="K945" s="90">
        <v>0</v>
      </c>
      <c r="L945" s="90">
        <v>8309.3119999999999</v>
      </c>
      <c r="M945" s="90">
        <v>0</v>
      </c>
      <c r="N945" s="90">
        <v>88893.455434621341</v>
      </c>
      <c r="O945" s="90">
        <v>0</v>
      </c>
      <c r="P945" s="90">
        <v>0</v>
      </c>
      <c r="Q945" s="90">
        <v>0</v>
      </c>
      <c r="R945" s="90">
        <v>200844</v>
      </c>
    </row>
    <row r="946" spans="1:18">
      <c r="A946" s="90" t="s">
        <v>1044</v>
      </c>
      <c r="B946" s="90" t="s">
        <v>1440</v>
      </c>
      <c r="C946" s="90" t="str">
        <f t="shared" si="14"/>
        <v>NewhalenHealth Care - Hospitals</v>
      </c>
      <c r="D946" s="90">
        <v>2</v>
      </c>
      <c r="E946" s="90">
        <v>2194</v>
      </c>
      <c r="F946" s="90">
        <v>1529.1595004756123</v>
      </c>
      <c r="G946" s="90">
        <v>0</v>
      </c>
      <c r="H946" s="90">
        <v>16504.214272897851</v>
      </c>
      <c r="I946" s="90">
        <v>0</v>
      </c>
      <c r="J946" s="90">
        <v>0</v>
      </c>
      <c r="K946" s="90">
        <v>0</v>
      </c>
      <c r="L946" s="90">
        <v>1131.578030351953</v>
      </c>
      <c r="M946" s="90">
        <v>0</v>
      </c>
      <c r="N946" s="90">
        <v>12213.118561944411</v>
      </c>
      <c r="O946" s="90">
        <v>0</v>
      </c>
      <c r="P946" s="90">
        <v>0</v>
      </c>
      <c r="Q946" s="90">
        <v>0</v>
      </c>
      <c r="R946" s="90">
        <v>15358</v>
      </c>
    </row>
    <row r="947" spans="1:18">
      <c r="A947" s="90" t="s">
        <v>1044</v>
      </c>
      <c r="B947" s="90" t="s">
        <v>643</v>
      </c>
      <c r="C947" s="90" t="str">
        <f t="shared" si="14"/>
        <v>NewhalenOther</v>
      </c>
      <c r="D947" s="90">
        <v>7</v>
      </c>
      <c r="E947" s="90">
        <v>14751.522727272726</v>
      </c>
      <c r="F947" s="90">
        <v>10886.656524092708</v>
      </c>
      <c r="G947" s="90">
        <v>1871.5127967727569</v>
      </c>
      <c r="H947" s="90">
        <v>107361.40120057882</v>
      </c>
      <c r="I947" s="90">
        <v>0</v>
      </c>
      <c r="J947" s="90">
        <v>0</v>
      </c>
      <c r="K947" s="90">
        <v>0</v>
      </c>
      <c r="L947" s="90">
        <v>8056.1258278286041</v>
      </c>
      <c r="M947" s="90">
        <v>1384.9194696118402</v>
      </c>
      <c r="N947" s="90">
        <v>79447.436888428318</v>
      </c>
      <c r="O947" s="90">
        <v>0</v>
      </c>
      <c r="P947" s="90">
        <v>0</v>
      </c>
      <c r="Q947" s="90">
        <v>0</v>
      </c>
      <c r="R947" s="90">
        <v>103260.65909090909</v>
      </c>
    </row>
    <row r="948" spans="1:18">
      <c r="A948" s="90" t="s">
        <v>1044</v>
      </c>
      <c r="B948" s="90" t="s">
        <v>1227</v>
      </c>
      <c r="C948" s="90" t="str">
        <f t="shared" si="14"/>
        <v>NewhalenPublic Assembly</v>
      </c>
      <c r="D948" s="90">
        <v>5</v>
      </c>
      <c r="E948" s="90">
        <v>11723.163461538463</v>
      </c>
      <c r="F948" s="90">
        <v>5357.57576643211</v>
      </c>
      <c r="G948" s="90">
        <v>1957.1809414995873</v>
      </c>
      <c r="H948" s="90">
        <v>44099.441269493145</v>
      </c>
      <c r="I948" s="90">
        <v>0</v>
      </c>
      <c r="J948" s="90">
        <v>0</v>
      </c>
      <c r="K948" s="90">
        <v>0</v>
      </c>
      <c r="L948" s="90">
        <v>3964.6060671597616</v>
      </c>
      <c r="M948" s="90">
        <v>1448.3138967096945</v>
      </c>
      <c r="N948" s="90">
        <v>32633.586539424919</v>
      </c>
      <c r="O948" s="90">
        <v>0</v>
      </c>
      <c r="P948" s="90">
        <v>0</v>
      </c>
      <c r="Q948" s="90">
        <v>0</v>
      </c>
      <c r="R948" s="90">
        <v>82062.144230769234</v>
      </c>
    </row>
    <row r="949" spans="1:18">
      <c r="A949" s="90" t="s">
        <v>1044</v>
      </c>
      <c r="B949" s="90" t="s">
        <v>1485</v>
      </c>
      <c r="C949" s="90" t="str">
        <f t="shared" si="14"/>
        <v>NewhalenRetail - Other</v>
      </c>
      <c r="D949" s="90">
        <v>1</v>
      </c>
      <c r="E949" s="90">
        <v>2105.2800000000002</v>
      </c>
      <c r="F949" s="90">
        <v>2225.7819714285715</v>
      </c>
      <c r="G949" s="90">
        <v>0</v>
      </c>
      <c r="H949" s="90">
        <v>49590.373216004155</v>
      </c>
      <c r="I949" s="90">
        <v>0</v>
      </c>
      <c r="J949" s="90">
        <v>0</v>
      </c>
      <c r="K949" s="90">
        <v>0</v>
      </c>
      <c r="L949" s="90">
        <v>1647.078658857143</v>
      </c>
      <c r="M949" s="90">
        <v>0</v>
      </c>
      <c r="N949" s="90">
        <v>36696.876179843071</v>
      </c>
      <c r="O949" s="90">
        <v>0</v>
      </c>
      <c r="P949" s="90">
        <v>0</v>
      </c>
      <c r="Q949" s="90">
        <v>0</v>
      </c>
      <c r="R949" s="90">
        <v>14736.960000000001</v>
      </c>
    </row>
    <row r="950" spans="1:18">
      <c r="A950" s="90" t="s">
        <v>250</v>
      </c>
      <c r="B950" s="90" t="s">
        <v>1439</v>
      </c>
      <c r="C950" s="90" t="str">
        <f t="shared" si="14"/>
        <v>NewtokEducation - K - 12</v>
      </c>
      <c r="D950" s="90">
        <v>2</v>
      </c>
      <c r="E950" s="90">
        <v>45158</v>
      </c>
      <c r="F950" s="90">
        <v>33174.471223132714</v>
      </c>
      <c r="G950" s="90">
        <v>0</v>
      </c>
      <c r="H950" s="90">
        <v>319751.23586543399</v>
      </c>
      <c r="I950" s="90">
        <v>0</v>
      </c>
      <c r="J950" s="90">
        <v>0</v>
      </c>
      <c r="K950" s="90">
        <v>0</v>
      </c>
      <c r="L950" s="90">
        <v>24549.108705118211</v>
      </c>
      <c r="M950" s="90">
        <v>0</v>
      </c>
      <c r="N950" s="90">
        <v>236615.91454042116</v>
      </c>
      <c r="O950" s="90">
        <v>0</v>
      </c>
      <c r="P950" s="90">
        <v>0</v>
      </c>
      <c r="Q950" s="90">
        <v>0</v>
      </c>
      <c r="R950" s="90">
        <v>316106</v>
      </c>
    </row>
    <row r="951" spans="1:18">
      <c r="A951" s="90" t="s">
        <v>250</v>
      </c>
      <c r="B951" s="90" t="s">
        <v>1440</v>
      </c>
      <c r="C951" s="90" t="str">
        <f t="shared" si="14"/>
        <v>NewtokHealth Care - Hospitals</v>
      </c>
      <c r="D951" s="90">
        <v>1</v>
      </c>
      <c r="E951" s="90">
        <v>2422</v>
      </c>
      <c r="F951" s="90">
        <v>1946</v>
      </c>
      <c r="G951" s="90">
        <v>0</v>
      </c>
      <c r="H951" s="90">
        <v>16554</v>
      </c>
      <c r="I951" s="90">
        <v>0</v>
      </c>
      <c r="J951" s="90">
        <v>0</v>
      </c>
      <c r="K951" s="90">
        <v>0</v>
      </c>
      <c r="L951" s="90">
        <v>1440.04</v>
      </c>
      <c r="M951" s="90">
        <v>0</v>
      </c>
      <c r="N951" s="90">
        <v>12249.96</v>
      </c>
      <c r="O951" s="90">
        <v>0</v>
      </c>
      <c r="P951" s="90">
        <v>0</v>
      </c>
      <c r="Q951" s="90">
        <v>0</v>
      </c>
      <c r="R951" s="90">
        <v>16954</v>
      </c>
    </row>
    <row r="952" spans="1:18">
      <c r="A952" s="90" t="s">
        <v>250</v>
      </c>
      <c r="B952" s="90" t="s">
        <v>665</v>
      </c>
      <c r="C952" s="90" t="str">
        <f t="shared" si="14"/>
        <v>NewtokOffice</v>
      </c>
      <c r="D952" s="90">
        <v>3</v>
      </c>
      <c r="E952" s="90">
        <v>2777</v>
      </c>
      <c r="F952" s="90">
        <v>2232.7321811858073</v>
      </c>
      <c r="G952" s="90">
        <v>0</v>
      </c>
      <c r="H952" s="90">
        <v>14080.694846785533</v>
      </c>
      <c r="I952" s="90">
        <v>0</v>
      </c>
      <c r="J952" s="90">
        <v>0</v>
      </c>
      <c r="K952" s="90">
        <v>0</v>
      </c>
      <c r="L952" s="90">
        <v>1652.2218140774974</v>
      </c>
      <c r="M952" s="90">
        <v>0</v>
      </c>
      <c r="N952" s="90">
        <v>10419.714186621295</v>
      </c>
      <c r="O952" s="90">
        <v>0</v>
      </c>
      <c r="P952" s="90">
        <v>0</v>
      </c>
      <c r="Q952" s="90">
        <v>0</v>
      </c>
      <c r="R952" s="90">
        <v>19439</v>
      </c>
    </row>
    <row r="953" spans="1:18">
      <c r="A953" s="90" t="s">
        <v>250</v>
      </c>
      <c r="B953" s="90" t="s">
        <v>643</v>
      </c>
      <c r="C953" s="90" t="str">
        <f t="shared" si="14"/>
        <v>NewtokOther</v>
      </c>
      <c r="D953" s="90">
        <v>1</v>
      </c>
      <c r="E953" s="90">
        <v>437</v>
      </c>
      <c r="F953" s="90">
        <v>402</v>
      </c>
      <c r="G953" s="90">
        <v>0</v>
      </c>
      <c r="H953" s="90">
        <v>1626</v>
      </c>
      <c r="I953" s="90">
        <v>0</v>
      </c>
      <c r="J953" s="90">
        <v>0</v>
      </c>
      <c r="K953" s="90">
        <v>0</v>
      </c>
      <c r="L953" s="90">
        <v>297.48</v>
      </c>
      <c r="M953" s="90">
        <v>0</v>
      </c>
      <c r="N953" s="90">
        <v>1203.24</v>
      </c>
      <c r="O953" s="90">
        <v>0</v>
      </c>
      <c r="P953" s="90">
        <v>0</v>
      </c>
      <c r="Q953" s="90">
        <v>0</v>
      </c>
      <c r="R953" s="90">
        <v>3059</v>
      </c>
    </row>
    <row r="954" spans="1:18">
      <c r="A954" s="90" t="s">
        <v>250</v>
      </c>
      <c r="B954" s="90" t="s">
        <v>1227</v>
      </c>
      <c r="C954" s="90" t="str">
        <f t="shared" si="14"/>
        <v>NewtokPublic Assembly</v>
      </c>
      <c r="D954" s="90">
        <v>3</v>
      </c>
      <c r="E954" s="90">
        <v>3869</v>
      </c>
      <c r="F954" s="90">
        <v>2410.1870235824663</v>
      </c>
      <c r="G954" s="90">
        <v>0</v>
      </c>
      <c r="H954" s="90">
        <v>14809.746385255126</v>
      </c>
      <c r="I954" s="90">
        <v>0</v>
      </c>
      <c r="J954" s="90">
        <v>0</v>
      </c>
      <c r="K954" s="90">
        <v>0</v>
      </c>
      <c r="L954" s="90">
        <v>1783.538397451025</v>
      </c>
      <c r="M954" s="90">
        <v>0</v>
      </c>
      <c r="N954" s="90">
        <v>10959.212325088793</v>
      </c>
      <c r="O954" s="90">
        <v>0</v>
      </c>
      <c r="P954" s="90">
        <v>0</v>
      </c>
      <c r="Q954" s="90">
        <v>0</v>
      </c>
      <c r="R954" s="90">
        <v>27083</v>
      </c>
    </row>
    <row r="955" spans="1:18">
      <c r="A955" s="90" t="s">
        <v>250</v>
      </c>
      <c r="B955" s="90" t="s">
        <v>1475</v>
      </c>
      <c r="C955" s="90" t="str">
        <f t="shared" si="14"/>
        <v>NewtokPublic Safety</v>
      </c>
      <c r="D955" s="90">
        <v>1</v>
      </c>
      <c r="E955" s="90">
        <v>437</v>
      </c>
      <c r="F955" s="90">
        <v>174.39416058394161</v>
      </c>
      <c r="G955" s="90">
        <v>0</v>
      </c>
      <c r="H955" s="90">
        <v>1688.0140200000001</v>
      </c>
      <c r="I955" s="90">
        <v>0</v>
      </c>
      <c r="J955" s="90">
        <v>0</v>
      </c>
      <c r="K955" s="90">
        <v>0</v>
      </c>
      <c r="L955" s="90">
        <v>129.05167883211678</v>
      </c>
      <c r="M955" s="90">
        <v>0</v>
      </c>
      <c r="N955" s="90">
        <v>1249.1303748</v>
      </c>
      <c r="O955" s="90">
        <v>0</v>
      </c>
      <c r="P955" s="90">
        <v>0</v>
      </c>
      <c r="Q955" s="90">
        <v>0</v>
      </c>
      <c r="R955" s="90">
        <v>3059</v>
      </c>
    </row>
    <row r="956" spans="1:18">
      <c r="A956" s="90" t="s">
        <v>250</v>
      </c>
      <c r="B956" s="90" t="s">
        <v>1485</v>
      </c>
      <c r="C956" s="90" t="str">
        <f t="shared" si="14"/>
        <v>NewtokRetail - Other</v>
      </c>
      <c r="D956" s="90">
        <v>1</v>
      </c>
      <c r="E956" s="90">
        <v>800</v>
      </c>
      <c r="F956" s="90">
        <v>1328.8392446962346</v>
      </c>
      <c r="G956" s="90">
        <v>0</v>
      </c>
      <c r="H956" s="90">
        <v>19518.543401980223</v>
      </c>
      <c r="I956" s="90">
        <v>0</v>
      </c>
      <c r="J956" s="90">
        <v>0</v>
      </c>
      <c r="K956" s="90">
        <v>0</v>
      </c>
      <c r="L956" s="90">
        <v>983.34104107521352</v>
      </c>
      <c r="M956" s="90">
        <v>0</v>
      </c>
      <c r="N956" s="90">
        <v>14443.722117465366</v>
      </c>
      <c r="O956" s="90">
        <v>0</v>
      </c>
      <c r="P956" s="90">
        <v>0</v>
      </c>
      <c r="Q956" s="90">
        <v>0</v>
      </c>
      <c r="R956" s="90">
        <v>5600</v>
      </c>
    </row>
    <row r="957" spans="1:18">
      <c r="A957" s="90" t="s">
        <v>250</v>
      </c>
      <c r="B957" s="90" t="s">
        <v>951</v>
      </c>
      <c r="C957" s="90" t="str">
        <f t="shared" si="14"/>
        <v>NewtokWarehousing</v>
      </c>
      <c r="D957" s="90">
        <v>1</v>
      </c>
      <c r="E957" s="90">
        <v>1104</v>
      </c>
      <c r="F957" s="90">
        <v>1926.8039954459452</v>
      </c>
      <c r="G957" s="90">
        <v>0</v>
      </c>
      <c r="H957" s="90">
        <v>50583.863597025622</v>
      </c>
      <c r="I957" s="90">
        <v>0</v>
      </c>
      <c r="J957" s="90">
        <v>0</v>
      </c>
      <c r="K957" s="90">
        <v>0</v>
      </c>
      <c r="L957" s="90">
        <v>1425.8349566299994</v>
      </c>
      <c r="M957" s="90">
        <v>0</v>
      </c>
      <c r="N957" s="90">
        <v>37432.059061798958</v>
      </c>
      <c r="O957" s="90">
        <v>0</v>
      </c>
      <c r="P957" s="90">
        <v>0</v>
      </c>
      <c r="Q957" s="90">
        <v>0</v>
      </c>
      <c r="R957" s="90">
        <v>7728</v>
      </c>
    </row>
    <row r="958" spans="1:18">
      <c r="A958" s="90" t="s">
        <v>91</v>
      </c>
      <c r="B958" s="90" t="s">
        <v>1439</v>
      </c>
      <c r="C958" s="90" t="str">
        <f t="shared" si="14"/>
        <v>NightmuteEducation - K - 12</v>
      </c>
      <c r="D958" s="90">
        <v>3</v>
      </c>
      <c r="E958" s="90">
        <v>27763</v>
      </c>
      <c r="F958" s="90">
        <v>22410.955370744934</v>
      </c>
      <c r="G958" s="90">
        <v>0</v>
      </c>
      <c r="H958" s="90">
        <v>174618.63640899785</v>
      </c>
      <c r="I958" s="90">
        <v>0</v>
      </c>
      <c r="J958" s="90">
        <v>0</v>
      </c>
      <c r="K958" s="90">
        <v>0</v>
      </c>
      <c r="L958" s="90">
        <v>16584.106974351253</v>
      </c>
      <c r="M958" s="90">
        <v>0</v>
      </c>
      <c r="N958" s="90">
        <v>129217.79094265841</v>
      </c>
      <c r="O958" s="90">
        <v>0</v>
      </c>
      <c r="P958" s="90">
        <v>0</v>
      </c>
      <c r="Q958" s="90">
        <v>0</v>
      </c>
      <c r="R958" s="90">
        <v>194341</v>
      </c>
    </row>
    <row r="959" spans="1:18">
      <c r="A959" s="90" t="s">
        <v>91</v>
      </c>
      <c r="B959" s="90" t="s">
        <v>1440</v>
      </c>
      <c r="C959" s="90" t="str">
        <f t="shared" si="14"/>
        <v>NightmuteHealth Care - Hospitals</v>
      </c>
      <c r="D959" s="90">
        <v>1</v>
      </c>
      <c r="E959" s="90">
        <v>1740</v>
      </c>
      <c r="F959" s="90">
        <v>930</v>
      </c>
      <c r="G959" s="90">
        <v>0</v>
      </c>
      <c r="H959" s="90">
        <v>14119</v>
      </c>
      <c r="I959" s="90">
        <v>0</v>
      </c>
      <c r="J959" s="90">
        <v>0</v>
      </c>
      <c r="K959" s="90">
        <v>0</v>
      </c>
      <c r="L959" s="90">
        <v>688.2</v>
      </c>
      <c r="M959" s="90">
        <v>0</v>
      </c>
      <c r="N959" s="90">
        <v>10448.06</v>
      </c>
      <c r="O959" s="90">
        <v>0</v>
      </c>
      <c r="P959" s="90">
        <v>0</v>
      </c>
      <c r="Q959" s="90">
        <v>0</v>
      </c>
      <c r="R959" s="90">
        <v>12180</v>
      </c>
    </row>
    <row r="960" spans="1:18">
      <c r="A960" s="90" t="s">
        <v>91</v>
      </c>
      <c r="B960" s="90" t="s">
        <v>665</v>
      </c>
      <c r="C960" s="90" t="str">
        <f t="shared" si="14"/>
        <v>NightmuteOffice</v>
      </c>
      <c r="D960" s="90">
        <v>6</v>
      </c>
      <c r="E960" s="90">
        <v>5549</v>
      </c>
      <c r="F960" s="90">
        <v>5618.6711655517029</v>
      </c>
      <c r="G960" s="90">
        <v>0</v>
      </c>
      <c r="H960" s="90">
        <v>34480.398057572966</v>
      </c>
      <c r="I960" s="90">
        <v>0</v>
      </c>
      <c r="J960" s="90">
        <v>0</v>
      </c>
      <c r="K960" s="90">
        <v>0</v>
      </c>
      <c r="L960" s="90">
        <v>4157.8166625082595</v>
      </c>
      <c r="M960" s="90">
        <v>0</v>
      </c>
      <c r="N960" s="90">
        <v>25515.494562603995</v>
      </c>
      <c r="O960" s="90">
        <v>0</v>
      </c>
      <c r="P960" s="90">
        <v>0</v>
      </c>
      <c r="Q960" s="90">
        <v>0</v>
      </c>
      <c r="R960" s="90">
        <v>38843</v>
      </c>
    </row>
    <row r="961" spans="1:18">
      <c r="A961" s="90" t="s">
        <v>91</v>
      </c>
      <c r="B961" s="90" t="s">
        <v>643</v>
      </c>
      <c r="C961" s="90" t="str">
        <f t="shared" si="14"/>
        <v>NightmuteOther</v>
      </c>
      <c r="D961" s="90">
        <v>3</v>
      </c>
      <c r="E961" s="90">
        <v>3305</v>
      </c>
      <c r="F961" s="90">
        <v>2858.3997994663969</v>
      </c>
      <c r="G961" s="90">
        <v>0</v>
      </c>
      <c r="H961" s="90">
        <v>24053.749401199217</v>
      </c>
      <c r="I961" s="90">
        <v>0</v>
      </c>
      <c r="J961" s="90">
        <v>0</v>
      </c>
      <c r="K961" s="90">
        <v>0</v>
      </c>
      <c r="L961" s="90">
        <v>2115.2158516051336</v>
      </c>
      <c r="M961" s="90">
        <v>0</v>
      </c>
      <c r="N961" s="90">
        <v>17799.77455688742</v>
      </c>
      <c r="O961" s="90">
        <v>0</v>
      </c>
      <c r="P961" s="90">
        <v>0</v>
      </c>
      <c r="Q961" s="90">
        <v>0</v>
      </c>
      <c r="R961" s="90">
        <v>23135</v>
      </c>
    </row>
    <row r="962" spans="1:18">
      <c r="A962" s="90" t="s">
        <v>91</v>
      </c>
      <c r="B962" s="90" t="s">
        <v>1227</v>
      </c>
      <c r="C962" s="90" t="str">
        <f t="shared" si="14"/>
        <v>NightmutePublic Assembly</v>
      </c>
      <c r="D962" s="90">
        <v>4</v>
      </c>
      <c r="E962" s="90">
        <v>6508.7211538461543</v>
      </c>
      <c r="F962" s="90">
        <v>4061.1659025613503</v>
      </c>
      <c r="G962" s="90">
        <v>0</v>
      </c>
      <c r="H962" s="90">
        <v>24484.088036922949</v>
      </c>
      <c r="I962" s="90">
        <v>0</v>
      </c>
      <c r="J962" s="90">
        <v>0</v>
      </c>
      <c r="K962" s="90">
        <v>0</v>
      </c>
      <c r="L962" s="90">
        <v>3005.2627678953991</v>
      </c>
      <c r="M962" s="90">
        <v>0</v>
      </c>
      <c r="N962" s="90">
        <v>18118.225147322984</v>
      </c>
      <c r="O962" s="90">
        <v>0</v>
      </c>
      <c r="P962" s="90">
        <v>0</v>
      </c>
      <c r="Q962" s="90">
        <v>0</v>
      </c>
      <c r="R962" s="90">
        <v>45561.048076923078</v>
      </c>
    </row>
    <row r="963" spans="1:18">
      <c r="A963" s="90" t="s">
        <v>91</v>
      </c>
      <c r="B963" s="90" t="s">
        <v>1475</v>
      </c>
      <c r="C963" s="90" t="str">
        <f t="shared" ref="C963:C1026" si="15">CONCATENATE(A963,B963)</f>
        <v>NightmutePublic Safety</v>
      </c>
      <c r="D963" s="90">
        <v>1</v>
      </c>
      <c r="E963" s="90">
        <v>361</v>
      </c>
      <c r="F963" s="90">
        <v>351.02732225811081</v>
      </c>
      <c r="G963" s="90">
        <v>0</v>
      </c>
      <c r="H963" s="90">
        <v>2913.4312110825958</v>
      </c>
      <c r="I963" s="90">
        <v>0</v>
      </c>
      <c r="J963" s="90">
        <v>0</v>
      </c>
      <c r="K963" s="90">
        <v>0</v>
      </c>
      <c r="L963" s="90">
        <v>259.76021847100202</v>
      </c>
      <c r="M963" s="90">
        <v>0</v>
      </c>
      <c r="N963" s="90">
        <v>2155.9390962011207</v>
      </c>
      <c r="O963" s="90">
        <v>0</v>
      </c>
      <c r="P963" s="90">
        <v>0</v>
      </c>
      <c r="Q963" s="90">
        <v>0</v>
      </c>
      <c r="R963" s="90">
        <v>2527</v>
      </c>
    </row>
    <row r="964" spans="1:18">
      <c r="A964" s="90" t="s">
        <v>91</v>
      </c>
      <c r="B964" s="90" t="s">
        <v>1442</v>
      </c>
      <c r="C964" s="90" t="str">
        <f t="shared" si="15"/>
        <v>NightmuteResidential - Multi-Family</v>
      </c>
      <c r="D964" s="90">
        <v>1</v>
      </c>
      <c r="E964" s="90">
        <v>2751</v>
      </c>
      <c r="F964" s="90">
        <v>2078.4427930376196</v>
      </c>
      <c r="G964" s="90">
        <v>0</v>
      </c>
      <c r="H964" s="90">
        <v>14404.176521930009</v>
      </c>
      <c r="I964" s="90">
        <v>0</v>
      </c>
      <c r="J964" s="90">
        <v>0</v>
      </c>
      <c r="K964" s="90">
        <v>0</v>
      </c>
      <c r="L964" s="90">
        <v>1538.0476668478384</v>
      </c>
      <c r="M964" s="90">
        <v>0</v>
      </c>
      <c r="N964" s="90">
        <v>10659.090626228206</v>
      </c>
      <c r="O964" s="90">
        <v>0</v>
      </c>
      <c r="P964" s="90">
        <v>0</v>
      </c>
      <c r="Q964" s="90">
        <v>0</v>
      </c>
      <c r="R964" s="90">
        <v>19257</v>
      </c>
    </row>
    <row r="965" spans="1:18">
      <c r="A965" s="90" t="s">
        <v>91</v>
      </c>
      <c r="B965" s="90" t="s">
        <v>1485</v>
      </c>
      <c r="C965" s="90" t="str">
        <f t="shared" si="15"/>
        <v>NightmuteRetail - Other</v>
      </c>
      <c r="D965" s="90">
        <v>1</v>
      </c>
      <c r="E965" s="90">
        <v>1901</v>
      </c>
      <c r="F965" s="90">
        <v>2009.8093971755368</v>
      </c>
      <c r="G965" s="90">
        <v>0</v>
      </c>
      <c r="H965" s="90">
        <v>44778.509026649132</v>
      </c>
      <c r="I965" s="90">
        <v>0</v>
      </c>
      <c r="J965" s="90">
        <v>0</v>
      </c>
      <c r="K965" s="90">
        <v>0</v>
      </c>
      <c r="L965" s="90">
        <v>1487.2589539098972</v>
      </c>
      <c r="M965" s="90">
        <v>0</v>
      </c>
      <c r="N965" s="90">
        <v>33136.096679720358</v>
      </c>
      <c r="O965" s="90">
        <v>0</v>
      </c>
      <c r="P965" s="90">
        <v>0</v>
      </c>
      <c r="Q965" s="90">
        <v>0</v>
      </c>
      <c r="R965" s="90">
        <v>13307</v>
      </c>
    </row>
    <row r="966" spans="1:18">
      <c r="A966" s="90" t="s">
        <v>91</v>
      </c>
      <c r="B966" s="90" t="s">
        <v>951</v>
      </c>
      <c r="C966" s="90" t="str">
        <f t="shared" si="15"/>
        <v>NightmuteWarehousing</v>
      </c>
      <c r="D966" s="90">
        <v>1</v>
      </c>
      <c r="E966" s="90">
        <v>1783.9572649572649</v>
      </c>
      <c r="F966" s="90">
        <v>2236.2446758544302</v>
      </c>
      <c r="G966" s="90">
        <v>0</v>
      </c>
      <c r="H966" s="90">
        <v>21166.918377106285</v>
      </c>
      <c r="I966" s="90">
        <v>0</v>
      </c>
      <c r="J966" s="90">
        <v>0</v>
      </c>
      <c r="K966" s="90">
        <v>0</v>
      </c>
      <c r="L966" s="90">
        <v>1654.8210601322783</v>
      </c>
      <c r="M966" s="90">
        <v>0</v>
      </c>
      <c r="N966" s="90">
        <v>15663.519599058651</v>
      </c>
      <c r="O966" s="90">
        <v>0</v>
      </c>
      <c r="P966" s="90">
        <v>0</v>
      </c>
      <c r="Q966" s="90">
        <v>0</v>
      </c>
      <c r="R966" s="90">
        <v>12487.700854700854</v>
      </c>
    </row>
    <row r="967" spans="1:18">
      <c r="A967" s="90" t="s">
        <v>1045</v>
      </c>
      <c r="B967" s="90" t="s">
        <v>1439</v>
      </c>
      <c r="C967" s="90" t="str">
        <f t="shared" si="15"/>
        <v>NikiskiEducation - K - 12</v>
      </c>
      <c r="D967" s="90">
        <v>1</v>
      </c>
      <c r="E967" s="90">
        <v>167504</v>
      </c>
      <c r="F967" s="90">
        <v>221369.61212910165</v>
      </c>
      <c r="G967" s="90">
        <v>0</v>
      </c>
      <c r="H967" s="90">
        <v>1458875.8758830407</v>
      </c>
      <c r="I967" s="90">
        <v>0</v>
      </c>
      <c r="J967" s="90">
        <v>0</v>
      </c>
      <c r="K967" s="90">
        <v>0</v>
      </c>
      <c r="L967" s="90">
        <v>163813.51297553521</v>
      </c>
      <c r="M967" s="90">
        <v>0</v>
      </c>
      <c r="N967" s="90">
        <v>1079568.1481534501</v>
      </c>
      <c r="O967" s="90">
        <v>0</v>
      </c>
      <c r="P967" s="90">
        <v>0</v>
      </c>
      <c r="Q967" s="90">
        <v>0</v>
      </c>
      <c r="R967" s="90">
        <v>1172528</v>
      </c>
    </row>
    <row r="968" spans="1:18">
      <c r="A968" s="90" t="s">
        <v>1046</v>
      </c>
      <c r="B968" s="90" t="s">
        <v>1439</v>
      </c>
      <c r="C968" s="90" t="str">
        <f t="shared" si="15"/>
        <v>NikolaevskEducation - K - 12</v>
      </c>
      <c r="D968" s="90">
        <v>1</v>
      </c>
      <c r="E968" s="90">
        <v>21449</v>
      </c>
      <c r="F968" s="90">
        <v>18183.699559333469</v>
      </c>
      <c r="G968" s="90">
        <v>0</v>
      </c>
      <c r="H968" s="90">
        <v>139384.47899455013</v>
      </c>
      <c r="I968" s="90">
        <v>0</v>
      </c>
      <c r="J968" s="90">
        <v>0</v>
      </c>
      <c r="K968" s="90">
        <v>0</v>
      </c>
      <c r="L968" s="90">
        <v>13455.937673906767</v>
      </c>
      <c r="M968" s="90">
        <v>0</v>
      </c>
      <c r="N968" s="90">
        <v>103144.51445596709</v>
      </c>
      <c r="O968" s="90">
        <v>0</v>
      </c>
      <c r="P968" s="90">
        <v>0</v>
      </c>
      <c r="Q968" s="90">
        <v>0</v>
      </c>
      <c r="R968" s="90">
        <v>150143</v>
      </c>
    </row>
    <row r="969" spans="1:18">
      <c r="A969" s="90" t="s">
        <v>203</v>
      </c>
      <c r="B969" s="90" t="s">
        <v>1439</v>
      </c>
      <c r="C969" s="90" t="str">
        <f t="shared" si="15"/>
        <v>NikolaiEducation - K - 12</v>
      </c>
      <c r="D969" s="90">
        <v>2</v>
      </c>
      <c r="E969" s="90">
        <v>20749</v>
      </c>
      <c r="F969" s="90">
        <v>15478.353650746991</v>
      </c>
      <c r="G969" s="90">
        <v>0</v>
      </c>
      <c r="H969" s="90">
        <v>120809.99236271159</v>
      </c>
      <c r="I969" s="90">
        <v>0</v>
      </c>
      <c r="J969" s="90">
        <v>0</v>
      </c>
      <c r="K969" s="90">
        <v>0</v>
      </c>
      <c r="L969" s="90">
        <v>11453.981701552773</v>
      </c>
      <c r="M969" s="90">
        <v>0</v>
      </c>
      <c r="N969" s="90">
        <v>89399.394348406582</v>
      </c>
      <c r="O969" s="90">
        <v>0</v>
      </c>
      <c r="P969" s="90">
        <v>0</v>
      </c>
      <c r="Q969" s="90">
        <v>0</v>
      </c>
      <c r="R969" s="90">
        <v>145243</v>
      </c>
    </row>
    <row r="970" spans="1:18">
      <c r="A970" s="90" t="s">
        <v>203</v>
      </c>
      <c r="B970" s="90" t="s">
        <v>1440</v>
      </c>
      <c r="C970" s="90" t="str">
        <f t="shared" si="15"/>
        <v>NikolaiHealth Care - Hospitals</v>
      </c>
      <c r="D970" s="90">
        <v>1</v>
      </c>
      <c r="E970" s="90">
        <v>2256.9250000000002</v>
      </c>
      <c r="F970" s="90">
        <v>1573.0165476804564</v>
      </c>
      <c r="G970" s="90">
        <v>0</v>
      </c>
      <c r="H970" s="90">
        <v>16977.563262470368</v>
      </c>
      <c r="I970" s="90">
        <v>0</v>
      </c>
      <c r="J970" s="90">
        <v>0</v>
      </c>
      <c r="K970" s="90">
        <v>0</v>
      </c>
      <c r="L970" s="90">
        <v>1164.0322452835378</v>
      </c>
      <c r="M970" s="90">
        <v>0</v>
      </c>
      <c r="N970" s="90">
        <v>12563.396814228072</v>
      </c>
      <c r="O970" s="90">
        <v>0</v>
      </c>
      <c r="P970" s="90">
        <v>0</v>
      </c>
      <c r="Q970" s="90">
        <v>0</v>
      </c>
      <c r="R970" s="90">
        <v>15798.475000000002</v>
      </c>
    </row>
    <row r="971" spans="1:18">
      <c r="A971" s="90" t="s">
        <v>203</v>
      </c>
      <c r="B971" s="90" t="s">
        <v>665</v>
      </c>
      <c r="C971" s="90" t="str">
        <f t="shared" si="15"/>
        <v>NikolaiOffice</v>
      </c>
      <c r="D971" s="90">
        <v>2</v>
      </c>
      <c r="E971" s="90">
        <v>6083.2585034013609</v>
      </c>
      <c r="F971" s="90">
        <v>8094.7688420910108</v>
      </c>
      <c r="G971" s="90">
        <v>0</v>
      </c>
      <c r="H971" s="90">
        <v>48763.584108886149</v>
      </c>
      <c r="I971" s="90">
        <v>0</v>
      </c>
      <c r="J971" s="90">
        <v>0</v>
      </c>
      <c r="K971" s="90">
        <v>0</v>
      </c>
      <c r="L971" s="90">
        <v>5990.1289431473479</v>
      </c>
      <c r="M971" s="90">
        <v>0</v>
      </c>
      <c r="N971" s="90">
        <v>36085.052240575751</v>
      </c>
      <c r="O971" s="90">
        <v>0</v>
      </c>
      <c r="P971" s="90">
        <v>0</v>
      </c>
      <c r="Q971" s="90">
        <v>0</v>
      </c>
      <c r="R971" s="90">
        <v>42582.809523809527</v>
      </c>
    </row>
    <row r="972" spans="1:18">
      <c r="A972" s="90" t="s">
        <v>203</v>
      </c>
      <c r="B972" s="90" t="s">
        <v>643</v>
      </c>
      <c r="C972" s="90" t="str">
        <f t="shared" si="15"/>
        <v>NikolaiOther</v>
      </c>
      <c r="D972" s="90">
        <v>5</v>
      </c>
      <c r="E972" s="90">
        <v>8043.840909090909</v>
      </c>
      <c r="F972" s="90">
        <v>5804.8480233208147</v>
      </c>
      <c r="G972" s="90">
        <v>0</v>
      </c>
      <c r="H972" s="90">
        <v>36756.051493573359</v>
      </c>
      <c r="I972" s="90">
        <v>0</v>
      </c>
      <c r="J972" s="90">
        <v>0</v>
      </c>
      <c r="K972" s="90">
        <v>0</v>
      </c>
      <c r="L972" s="90">
        <v>4295.5875372574037</v>
      </c>
      <c r="M972" s="90">
        <v>0</v>
      </c>
      <c r="N972" s="90">
        <v>27199.478105244285</v>
      </c>
      <c r="O972" s="90">
        <v>0</v>
      </c>
      <c r="P972" s="90">
        <v>0</v>
      </c>
      <c r="Q972" s="90">
        <v>0</v>
      </c>
      <c r="R972" s="90">
        <v>56306.886363636368</v>
      </c>
    </row>
    <row r="973" spans="1:18">
      <c r="A973" s="90" t="s">
        <v>203</v>
      </c>
      <c r="B973" s="90" t="s">
        <v>1227</v>
      </c>
      <c r="C973" s="90" t="str">
        <f t="shared" si="15"/>
        <v>NikolaiPublic Assembly</v>
      </c>
      <c r="D973" s="90">
        <v>1</v>
      </c>
      <c r="E973" s="90">
        <v>3136.7211538461538</v>
      </c>
      <c r="F973" s="90">
        <v>1957.1809414995873</v>
      </c>
      <c r="G973" s="90">
        <v>0</v>
      </c>
      <c r="H973" s="90">
        <v>11799.515613395884</v>
      </c>
      <c r="I973" s="90">
        <v>0</v>
      </c>
      <c r="J973" s="90">
        <v>0</v>
      </c>
      <c r="K973" s="90">
        <v>0</v>
      </c>
      <c r="L973" s="90">
        <v>1448.3138967096945</v>
      </c>
      <c r="M973" s="90">
        <v>0</v>
      </c>
      <c r="N973" s="90">
        <v>8731.6415539129539</v>
      </c>
      <c r="O973" s="90">
        <v>0</v>
      </c>
      <c r="P973" s="90">
        <v>0</v>
      </c>
      <c r="Q973" s="90">
        <v>0</v>
      </c>
      <c r="R973" s="90">
        <v>21957.048076923078</v>
      </c>
    </row>
    <row r="974" spans="1:18">
      <c r="A974" s="90" t="s">
        <v>35</v>
      </c>
      <c r="B974" s="90" t="s">
        <v>1439</v>
      </c>
      <c r="C974" s="90" t="str">
        <f t="shared" si="15"/>
        <v>NikolskiEducation - K - 12</v>
      </c>
      <c r="D974" s="90">
        <v>1</v>
      </c>
      <c r="E974" s="90">
        <v>3497</v>
      </c>
      <c r="F974" s="90">
        <v>2964.6322606643262</v>
      </c>
      <c r="G974" s="90">
        <v>0</v>
      </c>
      <c r="H974" s="90">
        <v>22724.953286584074</v>
      </c>
      <c r="I974" s="90">
        <v>0</v>
      </c>
      <c r="J974" s="90">
        <v>0</v>
      </c>
      <c r="K974" s="90">
        <v>0</v>
      </c>
      <c r="L974" s="90">
        <v>2193.8278728916011</v>
      </c>
      <c r="M974" s="90">
        <v>0</v>
      </c>
      <c r="N974" s="90">
        <v>16816.465432072215</v>
      </c>
      <c r="O974" s="90">
        <v>0</v>
      </c>
      <c r="P974" s="90">
        <v>0</v>
      </c>
      <c r="Q974" s="90">
        <v>0</v>
      </c>
      <c r="R974" s="90">
        <v>24479</v>
      </c>
    </row>
    <row r="975" spans="1:18">
      <c r="A975" s="90" t="s">
        <v>35</v>
      </c>
      <c r="B975" s="90" t="s">
        <v>665</v>
      </c>
      <c r="C975" s="90" t="str">
        <f t="shared" si="15"/>
        <v>NikolskiOffice</v>
      </c>
      <c r="D975" s="90">
        <v>1</v>
      </c>
      <c r="E975" s="90">
        <v>2400</v>
      </c>
      <c r="F975" s="90">
        <v>3193.5919228413304</v>
      </c>
      <c r="G975" s="90">
        <v>0</v>
      </c>
      <c r="H975" s="90">
        <v>19238.472571219812</v>
      </c>
      <c r="I975" s="90">
        <v>0</v>
      </c>
      <c r="J975" s="90">
        <v>0</v>
      </c>
      <c r="K975" s="90">
        <v>0</v>
      </c>
      <c r="L975" s="90">
        <v>2363.2580229025843</v>
      </c>
      <c r="M975" s="90">
        <v>0</v>
      </c>
      <c r="N975" s="90">
        <v>14236.469702702661</v>
      </c>
      <c r="O975" s="90">
        <v>0</v>
      </c>
      <c r="P975" s="90">
        <v>0</v>
      </c>
      <c r="Q975" s="90">
        <v>0</v>
      </c>
      <c r="R975" s="90">
        <v>16800</v>
      </c>
    </row>
    <row r="976" spans="1:18">
      <c r="A976" s="90" t="s">
        <v>35</v>
      </c>
      <c r="B976" s="90" t="s">
        <v>643</v>
      </c>
      <c r="C976" s="90" t="str">
        <f t="shared" si="15"/>
        <v>NikolskiOther</v>
      </c>
      <c r="D976" s="90">
        <v>1</v>
      </c>
      <c r="E976" s="90">
        <v>2163.9204545454545</v>
      </c>
      <c r="F976" s="90">
        <v>1871.5127967727569</v>
      </c>
      <c r="G976" s="90">
        <v>0</v>
      </c>
      <c r="H976" s="90">
        <v>15748.986486464588</v>
      </c>
      <c r="I976" s="90">
        <v>0</v>
      </c>
      <c r="J976" s="90">
        <v>0</v>
      </c>
      <c r="K976" s="90">
        <v>0</v>
      </c>
      <c r="L976" s="90">
        <v>1384.9194696118402</v>
      </c>
      <c r="M976" s="90">
        <v>0</v>
      </c>
      <c r="N976" s="90">
        <v>11654.249999983795</v>
      </c>
      <c r="O976" s="90">
        <v>0</v>
      </c>
      <c r="P976" s="90">
        <v>0</v>
      </c>
      <c r="Q976" s="90">
        <v>0</v>
      </c>
      <c r="R976" s="90">
        <v>15147.443181818182</v>
      </c>
    </row>
    <row r="977" spans="1:18">
      <c r="A977" s="90" t="s">
        <v>1047</v>
      </c>
      <c r="B977" s="90" t="s">
        <v>1439</v>
      </c>
      <c r="C977" s="90" t="str">
        <f t="shared" si="15"/>
        <v>NinilchikEducation - K - 12</v>
      </c>
      <c r="D977" s="90">
        <v>1</v>
      </c>
      <c r="E977" s="90">
        <v>55277</v>
      </c>
      <c r="F977" s="90">
        <v>40608.203326123992</v>
      </c>
      <c r="G977" s="90">
        <v>0</v>
      </c>
      <c r="H977" s="90">
        <v>391401.05994361121</v>
      </c>
      <c r="I977" s="90">
        <v>0</v>
      </c>
      <c r="J977" s="90">
        <v>0</v>
      </c>
      <c r="K977" s="90">
        <v>0</v>
      </c>
      <c r="L977" s="90">
        <v>30050.070461331754</v>
      </c>
      <c r="M977" s="90">
        <v>0</v>
      </c>
      <c r="N977" s="90">
        <v>289636.78435827227</v>
      </c>
      <c r="O977" s="90">
        <v>0</v>
      </c>
      <c r="P977" s="90">
        <v>0</v>
      </c>
      <c r="Q977" s="90">
        <v>0</v>
      </c>
      <c r="R977" s="90">
        <v>386939</v>
      </c>
    </row>
    <row r="978" spans="1:18">
      <c r="A978" s="90" t="s">
        <v>31</v>
      </c>
      <c r="B978" s="90" t="s">
        <v>1439</v>
      </c>
      <c r="C978" s="90" t="str">
        <f t="shared" si="15"/>
        <v>NoatakEducation - K - 12</v>
      </c>
      <c r="D978" s="90">
        <v>3</v>
      </c>
      <c r="E978" s="90">
        <v>66145</v>
      </c>
      <c r="F978" s="90">
        <v>80172.567083701433</v>
      </c>
      <c r="G978" s="90">
        <v>0</v>
      </c>
      <c r="H978" s="90">
        <v>803856.19190542959</v>
      </c>
      <c r="I978" s="90">
        <v>0</v>
      </c>
      <c r="J978" s="90">
        <v>0</v>
      </c>
      <c r="K978" s="90">
        <v>0</v>
      </c>
      <c r="L978" s="90">
        <v>59327.699641939063</v>
      </c>
      <c r="M978" s="90">
        <v>0</v>
      </c>
      <c r="N978" s="90">
        <v>594853.58201001794</v>
      </c>
      <c r="O978" s="90">
        <v>0</v>
      </c>
      <c r="P978" s="90">
        <v>0</v>
      </c>
      <c r="Q978" s="90">
        <v>0</v>
      </c>
      <c r="R978" s="90">
        <v>463015</v>
      </c>
    </row>
    <row r="979" spans="1:18">
      <c r="A979" s="90" t="s">
        <v>31</v>
      </c>
      <c r="B979" s="90" t="s">
        <v>1440</v>
      </c>
      <c r="C979" s="90" t="str">
        <f t="shared" si="15"/>
        <v>NoatakHealth Care - Hospitals</v>
      </c>
      <c r="D979" s="90">
        <v>1</v>
      </c>
      <c r="E979" s="90">
        <v>5000</v>
      </c>
      <c r="F979" s="90">
        <v>4000</v>
      </c>
      <c r="G979" s="90">
        <v>0</v>
      </c>
      <c r="H979" s="90">
        <v>50400</v>
      </c>
      <c r="I979" s="90">
        <v>0</v>
      </c>
      <c r="J979" s="90">
        <v>0</v>
      </c>
      <c r="K979" s="90">
        <v>0</v>
      </c>
      <c r="L979" s="90">
        <v>2960</v>
      </c>
      <c r="M979" s="90">
        <v>0</v>
      </c>
      <c r="N979" s="90">
        <v>37296</v>
      </c>
      <c r="O979" s="90">
        <v>0</v>
      </c>
      <c r="P979" s="90">
        <v>0</v>
      </c>
      <c r="Q979" s="90">
        <v>0</v>
      </c>
      <c r="R979" s="90">
        <v>35000</v>
      </c>
    </row>
    <row r="980" spans="1:18">
      <c r="A980" s="90" t="s">
        <v>31</v>
      </c>
      <c r="B980" s="90" t="s">
        <v>665</v>
      </c>
      <c r="C980" s="90" t="str">
        <f t="shared" si="15"/>
        <v>NoatakOffice</v>
      </c>
      <c r="D980" s="90">
        <v>2</v>
      </c>
      <c r="E980" s="90">
        <v>4104</v>
      </c>
      <c r="F980" s="90">
        <v>1841.6652664325788</v>
      </c>
      <c r="G980" s="90">
        <v>0</v>
      </c>
      <c r="H980" s="90">
        <v>23284.693939204815</v>
      </c>
      <c r="I980" s="90">
        <v>0</v>
      </c>
      <c r="J980" s="90">
        <v>0</v>
      </c>
      <c r="K980" s="90">
        <v>0</v>
      </c>
      <c r="L980" s="90">
        <v>1362.8322971601083</v>
      </c>
      <c r="M980" s="90">
        <v>0</v>
      </c>
      <c r="N980" s="90">
        <v>17230.673515011564</v>
      </c>
      <c r="O980" s="90">
        <v>0</v>
      </c>
      <c r="P980" s="90">
        <v>0</v>
      </c>
      <c r="Q980" s="90">
        <v>0</v>
      </c>
      <c r="R980" s="90">
        <v>28728</v>
      </c>
    </row>
    <row r="981" spans="1:18">
      <c r="A981" s="90" t="s">
        <v>31</v>
      </c>
      <c r="B981" s="90" t="s">
        <v>643</v>
      </c>
      <c r="C981" s="90" t="str">
        <f t="shared" si="15"/>
        <v>NoatakOther</v>
      </c>
      <c r="D981" s="90">
        <v>3</v>
      </c>
      <c r="E981" s="90">
        <v>3336</v>
      </c>
      <c r="F981" s="90">
        <v>2138.9351455818064</v>
      </c>
      <c r="G981" s="90">
        <v>0</v>
      </c>
      <c r="H981" s="90">
        <v>14746.729255467442</v>
      </c>
      <c r="I981" s="90">
        <v>0</v>
      </c>
      <c r="J981" s="90">
        <v>0</v>
      </c>
      <c r="K981" s="90">
        <v>0</v>
      </c>
      <c r="L981" s="90">
        <v>1582.8120077305368</v>
      </c>
      <c r="M981" s="90">
        <v>0</v>
      </c>
      <c r="N981" s="90">
        <v>10912.579649045907</v>
      </c>
      <c r="O981" s="90">
        <v>0</v>
      </c>
      <c r="P981" s="90">
        <v>0</v>
      </c>
      <c r="Q981" s="90">
        <v>0</v>
      </c>
      <c r="R981" s="90">
        <v>23352</v>
      </c>
    </row>
    <row r="982" spans="1:18">
      <c r="A982" s="90" t="s">
        <v>31</v>
      </c>
      <c r="B982" s="90" t="s">
        <v>1227</v>
      </c>
      <c r="C982" s="90" t="str">
        <f t="shared" si="15"/>
        <v>NoatakPublic Assembly</v>
      </c>
      <c r="D982" s="90">
        <v>1</v>
      </c>
      <c r="E982" s="90">
        <v>4000</v>
      </c>
      <c r="F982" s="90">
        <v>2766.4415747422554</v>
      </c>
      <c r="G982" s="90">
        <v>0</v>
      </c>
      <c r="H982" s="90">
        <v>18547.302131161734</v>
      </c>
      <c r="I982" s="90">
        <v>0</v>
      </c>
      <c r="J982" s="90">
        <v>0</v>
      </c>
      <c r="K982" s="90">
        <v>0</v>
      </c>
      <c r="L982" s="90">
        <v>2047.1667653092691</v>
      </c>
      <c r="M982" s="90">
        <v>0</v>
      </c>
      <c r="N982" s="90">
        <v>13725.003577059682</v>
      </c>
      <c r="O982" s="90">
        <v>0</v>
      </c>
      <c r="P982" s="90">
        <v>0</v>
      </c>
      <c r="Q982" s="90">
        <v>0</v>
      </c>
      <c r="R982" s="90">
        <v>28000</v>
      </c>
    </row>
    <row r="983" spans="1:18">
      <c r="A983" s="90" t="s">
        <v>31</v>
      </c>
      <c r="B983" s="90" t="s">
        <v>1475</v>
      </c>
      <c r="C983" s="90" t="str">
        <f t="shared" si="15"/>
        <v>NoatakPublic Safety</v>
      </c>
      <c r="D983" s="90">
        <v>1</v>
      </c>
      <c r="E983" s="90">
        <v>2697.4089393939394</v>
      </c>
      <c r="F983" s="90">
        <v>1909.3942711307411</v>
      </c>
      <c r="G983" s="90">
        <v>0</v>
      </c>
      <c r="H983" s="90">
        <v>22307.792908055355</v>
      </c>
      <c r="I983" s="90">
        <v>0</v>
      </c>
      <c r="J983" s="90">
        <v>0</v>
      </c>
      <c r="K983" s="90">
        <v>0</v>
      </c>
      <c r="L983" s="90">
        <v>1412.9517606367483</v>
      </c>
      <c r="M983" s="90">
        <v>0</v>
      </c>
      <c r="N983" s="90">
        <v>16507.766751960964</v>
      </c>
      <c r="O983" s="90">
        <v>0</v>
      </c>
      <c r="P983" s="90">
        <v>0</v>
      </c>
      <c r="Q983" s="90">
        <v>0</v>
      </c>
      <c r="R983" s="90">
        <v>18881.862575757576</v>
      </c>
    </row>
    <row r="984" spans="1:18">
      <c r="A984" s="90" t="s">
        <v>31</v>
      </c>
      <c r="B984" s="90" t="s">
        <v>1485</v>
      </c>
      <c r="C984" s="90" t="str">
        <f t="shared" si="15"/>
        <v>NoatakRetail - Other</v>
      </c>
      <c r="D984" s="90">
        <v>1</v>
      </c>
      <c r="E984" s="90">
        <v>4864</v>
      </c>
      <c r="F984" s="90">
        <v>8079.3426077531067</v>
      </c>
      <c r="G984" s="90">
        <v>0</v>
      </c>
      <c r="H984" s="90">
        <v>116439</v>
      </c>
      <c r="I984" s="90">
        <v>0</v>
      </c>
      <c r="J984" s="90">
        <v>0</v>
      </c>
      <c r="K984" s="90">
        <v>0</v>
      </c>
      <c r="L984" s="90">
        <v>5978.7135297372988</v>
      </c>
      <c r="M984" s="90">
        <v>0</v>
      </c>
      <c r="N984" s="90">
        <v>86164.86</v>
      </c>
      <c r="O984" s="90">
        <v>0</v>
      </c>
      <c r="P984" s="90">
        <v>0</v>
      </c>
      <c r="Q984" s="90">
        <v>0</v>
      </c>
      <c r="R984" s="90">
        <v>34048</v>
      </c>
    </row>
    <row r="985" spans="1:18">
      <c r="A985" s="90" t="s">
        <v>31</v>
      </c>
      <c r="B985" s="90" t="s">
        <v>951</v>
      </c>
      <c r="C985" s="90" t="str">
        <f t="shared" si="15"/>
        <v>NoatakWarehousing</v>
      </c>
      <c r="D985" s="90">
        <v>2</v>
      </c>
      <c r="E985" s="90">
        <v>2336</v>
      </c>
      <c r="F985" s="90">
        <v>4077.0055555812751</v>
      </c>
      <c r="G985" s="90">
        <v>0</v>
      </c>
      <c r="H985" s="90">
        <v>107032.52297341655</v>
      </c>
      <c r="I985" s="90">
        <v>0</v>
      </c>
      <c r="J985" s="90">
        <v>0</v>
      </c>
      <c r="K985" s="90">
        <v>0</v>
      </c>
      <c r="L985" s="90">
        <v>3016.9841111301434</v>
      </c>
      <c r="M985" s="90">
        <v>0</v>
      </c>
      <c r="N985" s="90">
        <v>79204.067000328243</v>
      </c>
      <c r="O985" s="90">
        <v>0</v>
      </c>
      <c r="P985" s="90">
        <v>0</v>
      </c>
      <c r="Q985" s="90">
        <v>0</v>
      </c>
      <c r="R985" s="90">
        <v>16352</v>
      </c>
    </row>
    <row r="986" spans="1:18">
      <c r="A986" s="90" t="s">
        <v>21</v>
      </c>
      <c r="B986" s="90" t="s">
        <v>1439</v>
      </c>
      <c r="C986" s="90" t="str">
        <f t="shared" si="15"/>
        <v>NomeEducation - K - 12</v>
      </c>
      <c r="D986" s="90">
        <v>3</v>
      </c>
      <c r="E986" s="90">
        <v>384063.38596491225</v>
      </c>
      <c r="F986" s="90">
        <v>507569.74629884714</v>
      </c>
      <c r="G986" s="90">
        <v>0</v>
      </c>
      <c r="H986" s="90">
        <v>3344999.5737067033</v>
      </c>
      <c r="I986" s="90">
        <v>0</v>
      </c>
      <c r="J986" s="90">
        <v>0</v>
      </c>
      <c r="K986" s="90">
        <v>0</v>
      </c>
      <c r="L986" s="90">
        <v>375601.61226114689</v>
      </c>
      <c r="M986" s="90">
        <v>0</v>
      </c>
      <c r="N986" s="90">
        <v>2475299.6845429605</v>
      </c>
      <c r="O986" s="90">
        <v>0</v>
      </c>
      <c r="P986" s="90">
        <v>0</v>
      </c>
      <c r="Q986" s="90">
        <v>0</v>
      </c>
      <c r="R986" s="90">
        <v>2688443.7017543856</v>
      </c>
    </row>
    <row r="987" spans="1:18">
      <c r="A987" s="90" t="s">
        <v>21</v>
      </c>
      <c r="B987" s="90" t="s">
        <v>1450</v>
      </c>
      <c r="C987" s="90" t="str">
        <f t="shared" si="15"/>
        <v>NomeEducation - University</v>
      </c>
      <c r="D987" s="90">
        <v>1</v>
      </c>
      <c r="E987" s="90">
        <v>20842.909090909092</v>
      </c>
      <c r="F987" s="90">
        <v>22870.22362595173</v>
      </c>
      <c r="G987" s="90">
        <v>0</v>
      </c>
      <c r="H987" s="90">
        <v>248371.01829856823</v>
      </c>
      <c r="I987" s="90">
        <v>0</v>
      </c>
      <c r="J987" s="90">
        <v>0</v>
      </c>
      <c r="K987" s="90">
        <v>0</v>
      </c>
      <c r="L987" s="90">
        <v>16923.96548320428</v>
      </c>
      <c r="M987" s="90">
        <v>0</v>
      </c>
      <c r="N987" s="90">
        <v>183794.55354094048</v>
      </c>
      <c r="O987" s="90">
        <v>0</v>
      </c>
      <c r="P987" s="90">
        <v>0</v>
      </c>
      <c r="Q987" s="90">
        <v>0</v>
      </c>
      <c r="R987" s="90">
        <v>145900.36363636365</v>
      </c>
    </row>
    <row r="988" spans="1:18">
      <c r="A988" s="90" t="s">
        <v>21</v>
      </c>
      <c r="B988" s="90" t="s">
        <v>1469</v>
      </c>
      <c r="C988" s="90" t="str">
        <f t="shared" si="15"/>
        <v>NomeFood Service and Drinking Places</v>
      </c>
      <c r="D988" s="90">
        <v>1</v>
      </c>
      <c r="E988" s="90">
        <v>8223.3529411764703</v>
      </c>
      <c r="F988" s="90">
        <v>9023.208799671007</v>
      </c>
      <c r="G988" s="90">
        <v>0</v>
      </c>
      <c r="H988" s="90">
        <v>97992.201324687645</v>
      </c>
      <c r="I988" s="90">
        <v>0</v>
      </c>
      <c r="J988" s="90">
        <v>0</v>
      </c>
      <c r="K988" s="90">
        <v>0</v>
      </c>
      <c r="L988" s="90">
        <v>6677.1745117565451</v>
      </c>
      <c r="M988" s="90">
        <v>0</v>
      </c>
      <c r="N988" s="90">
        <v>72514.228980268861</v>
      </c>
      <c r="O988" s="90">
        <v>0</v>
      </c>
      <c r="P988" s="90">
        <v>0</v>
      </c>
      <c r="Q988" s="90">
        <v>0</v>
      </c>
      <c r="R988" s="90">
        <v>57563.470588235294</v>
      </c>
    </row>
    <row r="989" spans="1:18">
      <c r="A989" s="90" t="s">
        <v>21</v>
      </c>
      <c r="B989" s="90" t="s">
        <v>1440</v>
      </c>
      <c r="C989" s="90" t="str">
        <f t="shared" si="15"/>
        <v>NomeHealth Care - Hospitals</v>
      </c>
      <c r="D989" s="90">
        <v>2</v>
      </c>
      <c r="E989" s="90">
        <v>19856</v>
      </c>
      <c r="F989" s="90">
        <v>12855.916579770595</v>
      </c>
      <c r="G989" s="90">
        <v>0</v>
      </c>
      <c r="H989" s="90">
        <v>109098.10433848598</v>
      </c>
      <c r="I989" s="90">
        <v>0</v>
      </c>
      <c r="J989" s="90">
        <v>0</v>
      </c>
      <c r="K989" s="90">
        <v>0</v>
      </c>
      <c r="L989" s="90">
        <v>9513.3782690302396</v>
      </c>
      <c r="M989" s="90">
        <v>0</v>
      </c>
      <c r="N989" s="90">
        <v>80732.597210479624</v>
      </c>
      <c r="O989" s="90">
        <v>0</v>
      </c>
      <c r="P989" s="90">
        <v>0</v>
      </c>
      <c r="Q989" s="90">
        <v>0</v>
      </c>
      <c r="R989" s="90">
        <v>138992</v>
      </c>
    </row>
    <row r="990" spans="1:18">
      <c r="A990" s="90" t="s">
        <v>21</v>
      </c>
      <c r="B990" s="90" t="s">
        <v>665</v>
      </c>
      <c r="C990" s="90" t="str">
        <f t="shared" si="15"/>
        <v>NomeOffice</v>
      </c>
      <c r="D990" s="90">
        <v>6</v>
      </c>
      <c r="E990" s="90">
        <v>77464.000006779665</v>
      </c>
      <c r="F990" s="90">
        <v>48468.621129129977</v>
      </c>
      <c r="G990" s="90">
        <v>0</v>
      </c>
      <c r="H990" s="90">
        <v>920961.56950536231</v>
      </c>
      <c r="I990" s="90">
        <v>0</v>
      </c>
      <c r="J990" s="90">
        <v>0</v>
      </c>
      <c r="K990" s="90">
        <v>0</v>
      </c>
      <c r="L990" s="90">
        <v>35866.779635556188</v>
      </c>
      <c r="M990" s="90">
        <v>0</v>
      </c>
      <c r="N990" s="90">
        <v>681511.56143396813</v>
      </c>
      <c r="O990" s="90">
        <v>0</v>
      </c>
      <c r="P990" s="90">
        <v>0</v>
      </c>
      <c r="Q990" s="90">
        <v>0</v>
      </c>
      <c r="R990" s="90">
        <v>542248.00004745764</v>
      </c>
    </row>
    <row r="991" spans="1:18">
      <c r="A991" s="90" t="s">
        <v>21</v>
      </c>
      <c r="B991" s="90" t="s">
        <v>643</v>
      </c>
      <c r="C991" s="90" t="str">
        <f t="shared" si="15"/>
        <v>NomeOther</v>
      </c>
      <c r="D991" s="90">
        <v>129</v>
      </c>
      <c r="E991" s="90">
        <v>729151.55194805178</v>
      </c>
      <c r="F991" s="90">
        <v>477570.24975484458</v>
      </c>
      <c r="G991" s="90">
        <v>0</v>
      </c>
      <c r="H991" s="90">
        <v>6956266.581288008</v>
      </c>
      <c r="I991" s="90">
        <v>0</v>
      </c>
      <c r="J991" s="90">
        <v>0</v>
      </c>
      <c r="K991" s="90">
        <v>0</v>
      </c>
      <c r="L991" s="90">
        <v>353401.98481858469</v>
      </c>
      <c r="M991" s="90">
        <v>0</v>
      </c>
      <c r="N991" s="90">
        <v>5147637.2701531276</v>
      </c>
      <c r="O991" s="90">
        <v>0</v>
      </c>
      <c r="P991" s="90">
        <v>0</v>
      </c>
      <c r="Q991" s="90">
        <v>0</v>
      </c>
      <c r="R991" s="90">
        <v>5104060.8636363642</v>
      </c>
    </row>
    <row r="992" spans="1:18">
      <c r="A992" s="90" t="s">
        <v>21</v>
      </c>
      <c r="B992" s="90" t="s">
        <v>1227</v>
      </c>
      <c r="C992" s="90" t="str">
        <f t="shared" si="15"/>
        <v>NomePublic Assembly</v>
      </c>
      <c r="D992" s="90">
        <v>12</v>
      </c>
      <c r="E992" s="90">
        <v>80095.75</v>
      </c>
      <c r="F992" s="90">
        <v>68466.170085160571</v>
      </c>
      <c r="G992" s="90">
        <v>0</v>
      </c>
      <c r="H992" s="90">
        <v>947452.50008881802</v>
      </c>
      <c r="I992" s="90">
        <v>0</v>
      </c>
      <c r="J992" s="90">
        <v>0</v>
      </c>
      <c r="K992" s="90">
        <v>0</v>
      </c>
      <c r="L992" s="90">
        <v>50664.965863018813</v>
      </c>
      <c r="M992" s="90">
        <v>0</v>
      </c>
      <c r="N992" s="90">
        <v>701114.85006572539</v>
      </c>
      <c r="O992" s="90">
        <v>0</v>
      </c>
      <c r="P992" s="90">
        <v>0</v>
      </c>
      <c r="Q992" s="90">
        <v>0</v>
      </c>
      <c r="R992" s="90">
        <v>560670.25</v>
      </c>
    </row>
    <row r="993" spans="1:18">
      <c r="A993" s="90" t="s">
        <v>21</v>
      </c>
      <c r="B993" s="90" t="s">
        <v>1475</v>
      </c>
      <c r="C993" s="90" t="str">
        <f t="shared" si="15"/>
        <v>NomePublic Safety</v>
      </c>
      <c r="D993" s="90">
        <v>4</v>
      </c>
      <c r="E993" s="90">
        <v>30677.666666666664</v>
      </c>
      <c r="F993" s="90">
        <v>21795.321184023411</v>
      </c>
      <c r="G993" s="90">
        <v>0</v>
      </c>
      <c r="H993" s="90">
        <v>409155.53905147727</v>
      </c>
      <c r="I993" s="90">
        <v>0</v>
      </c>
      <c r="J993" s="90">
        <v>0</v>
      </c>
      <c r="K993" s="90">
        <v>0</v>
      </c>
      <c r="L993" s="90">
        <v>16128.537676177324</v>
      </c>
      <c r="M993" s="90">
        <v>0</v>
      </c>
      <c r="N993" s="90">
        <v>302775.09889809322</v>
      </c>
      <c r="O993" s="90">
        <v>0</v>
      </c>
      <c r="P993" s="90">
        <v>0</v>
      </c>
      <c r="Q993" s="90">
        <v>0</v>
      </c>
      <c r="R993" s="90">
        <v>214743.66666666666</v>
      </c>
    </row>
    <row r="994" spans="1:18">
      <c r="A994" s="90" t="s">
        <v>21</v>
      </c>
      <c r="B994" s="90" t="s">
        <v>1442</v>
      </c>
      <c r="C994" s="90" t="str">
        <f t="shared" si="15"/>
        <v>NomeResidential - Multi-Family</v>
      </c>
      <c r="D994" s="90">
        <v>1</v>
      </c>
      <c r="E994" s="90">
        <v>2880</v>
      </c>
      <c r="F994" s="90">
        <v>1017.0359124087593</v>
      </c>
      <c r="G994" s="90">
        <v>0</v>
      </c>
      <c r="H994" s="90">
        <v>5577.8502001999996</v>
      </c>
      <c r="I994" s="90">
        <v>0</v>
      </c>
      <c r="J994" s="90">
        <v>0</v>
      </c>
      <c r="K994" s="90">
        <v>0</v>
      </c>
      <c r="L994" s="90">
        <v>752.60657518248183</v>
      </c>
      <c r="M994" s="90">
        <v>0</v>
      </c>
      <c r="N994" s="90">
        <v>4127.6091481479998</v>
      </c>
      <c r="O994" s="90">
        <v>0</v>
      </c>
      <c r="P994" s="90">
        <v>0</v>
      </c>
      <c r="Q994" s="90">
        <v>0</v>
      </c>
      <c r="R994" s="90">
        <v>20160</v>
      </c>
    </row>
    <row r="995" spans="1:18">
      <c r="A995" s="90" t="s">
        <v>21</v>
      </c>
      <c r="B995" s="90" t="s">
        <v>1485</v>
      </c>
      <c r="C995" s="90" t="str">
        <f t="shared" si="15"/>
        <v>NomeRetail - Other</v>
      </c>
      <c r="D995" s="90">
        <v>2</v>
      </c>
      <c r="E995" s="90">
        <v>25561</v>
      </c>
      <c r="F995" s="90">
        <v>8582.5168015338113</v>
      </c>
      <c r="G995" s="90">
        <v>0</v>
      </c>
      <c r="H995" s="90">
        <v>109884.04056868733</v>
      </c>
      <c r="I995" s="90">
        <v>0</v>
      </c>
      <c r="J995" s="90">
        <v>0</v>
      </c>
      <c r="K995" s="90">
        <v>0</v>
      </c>
      <c r="L995" s="90">
        <v>6351.06243313502</v>
      </c>
      <c r="M995" s="90">
        <v>0</v>
      </c>
      <c r="N995" s="90">
        <v>81314.190020828624</v>
      </c>
      <c r="O995" s="90">
        <v>0</v>
      </c>
      <c r="P995" s="90">
        <v>0</v>
      </c>
      <c r="Q995" s="90">
        <v>0</v>
      </c>
      <c r="R995" s="90">
        <v>178927</v>
      </c>
    </row>
    <row r="996" spans="1:18">
      <c r="A996" s="90" t="s">
        <v>21</v>
      </c>
      <c r="B996" s="90" t="s">
        <v>951</v>
      </c>
      <c r="C996" s="90" t="str">
        <f t="shared" si="15"/>
        <v>NomeWarehousing</v>
      </c>
      <c r="D996" s="90">
        <v>2</v>
      </c>
      <c r="E996" s="90">
        <v>3072</v>
      </c>
      <c r="F996" s="90">
        <v>4606.1934809441282</v>
      </c>
      <c r="G996" s="90">
        <v>0</v>
      </c>
      <c r="H996" s="90">
        <v>15022.135198</v>
      </c>
      <c r="I996" s="90">
        <v>0</v>
      </c>
      <c r="J996" s="90">
        <v>0</v>
      </c>
      <c r="K996" s="90">
        <v>0</v>
      </c>
      <c r="L996" s="90">
        <v>3408.5831758986546</v>
      </c>
      <c r="M996" s="90">
        <v>0</v>
      </c>
      <c r="N996" s="90">
        <v>11116.380046519998</v>
      </c>
      <c r="O996" s="90">
        <v>0</v>
      </c>
      <c r="P996" s="90">
        <v>0</v>
      </c>
      <c r="Q996" s="90">
        <v>0</v>
      </c>
      <c r="R996" s="90">
        <v>21504</v>
      </c>
    </row>
    <row r="997" spans="1:18">
      <c r="A997" s="90" t="s">
        <v>1048</v>
      </c>
      <c r="B997" s="90" t="s">
        <v>1439</v>
      </c>
      <c r="C997" s="90" t="str">
        <f t="shared" si="15"/>
        <v>NondaltonEducation - K - 12</v>
      </c>
      <c r="D997" s="90">
        <v>2</v>
      </c>
      <c r="E997" s="90">
        <v>32412.415555555555</v>
      </c>
      <c r="F997" s="90">
        <v>21384.986593484129</v>
      </c>
      <c r="G997" s="90">
        <v>0</v>
      </c>
      <c r="H997" s="90">
        <v>131583.70653084223</v>
      </c>
      <c r="I997" s="90">
        <v>0</v>
      </c>
      <c r="J997" s="90">
        <v>0</v>
      </c>
      <c r="K997" s="90">
        <v>0</v>
      </c>
      <c r="L997" s="90">
        <v>15824.890079178258</v>
      </c>
      <c r="M997" s="90">
        <v>0</v>
      </c>
      <c r="N997" s="90">
        <v>97371.942832823261</v>
      </c>
      <c r="O997" s="90">
        <v>0</v>
      </c>
      <c r="P997" s="90">
        <v>0</v>
      </c>
      <c r="Q997" s="90">
        <v>0</v>
      </c>
      <c r="R997" s="90">
        <v>226886.90888888889</v>
      </c>
    </row>
    <row r="998" spans="1:18">
      <c r="A998" s="90" t="s">
        <v>1048</v>
      </c>
      <c r="B998" s="90" t="s">
        <v>1440</v>
      </c>
      <c r="C998" s="90" t="str">
        <f t="shared" si="15"/>
        <v>NondaltonHealth Care - Hospitals</v>
      </c>
      <c r="D998" s="90">
        <v>2</v>
      </c>
      <c r="E998" s="90">
        <v>3883</v>
      </c>
      <c r="F998" s="90">
        <v>2139.9794620674875</v>
      </c>
      <c r="G998" s="90">
        <v>0</v>
      </c>
      <c r="H998" s="90">
        <v>34082.683178753388</v>
      </c>
      <c r="I998" s="90">
        <v>0</v>
      </c>
      <c r="J998" s="90">
        <v>0</v>
      </c>
      <c r="K998" s="90">
        <v>0</v>
      </c>
      <c r="L998" s="90">
        <v>1583.5848019299406</v>
      </c>
      <c r="M998" s="90">
        <v>0</v>
      </c>
      <c r="N998" s="90">
        <v>25221.185552277508</v>
      </c>
      <c r="O998" s="90">
        <v>0</v>
      </c>
      <c r="P998" s="90">
        <v>0</v>
      </c>
      <c r="Q998" s="90">
        <v>0</v>
      </c>
      <c r="R998" s="90">
        <v>27181</v>
      </c>
    </row>
    <row r="999" spans="1:18">
      <c r="A999" s="90" t="s">
        <v>1048</v>
      </c>
      <c r="B999" s="90" t="s">
        <v>665</v>
      </c>
      <c r="C999" s="90" t="str">
        <f t="shared" si="15"/>
        <v>NondaltonOffice</v>
      </c>
      <c r="D999" s="90">
        <v>2</v>
      </c>
      <c r="E999" s="90">
        <v>4066.517006802721</v>
      </c>
      <c r="F999" s="90">
        <v>5411.1649445925304</v>
      </c>
      <c r="G999" s="90">
        <v>0</v>
      </c>
      <c r="H999" s="90">
        <v>32597.323289905435</v>
      </c>
      <c r="I999" s="90">
        <v>0</v>
      </c>
      <c r="J999" s="90">
        <v>0</v>
      </c>
      <c r="K999" s="90">
        <v>0</v>
      </c>
      <c r="L999" s="90">
        <v>4004.2620589984726</v>
      </c>
      <c r="M999" s="90">
        <v>0</v>
      </c>
      <c r="N999" s="90">
        <v>24122.01923453002</v>
      </c>
      <c r="O999" s="90">
        <v>0</v>
      </c>
      <c r="P999" s="90">
        <v>0</v>
      </c>
      <c r="Q999" s="90">
        <v>0</v>
      </c>
      <c r="R999" s="90">
        <v>28465.619047619046</v>
      </c>
    </row>
    <row r="1000" spans="1:18">
      <c r="A1000" s="90" t="s">
        <v>1048</v>
      </c>
      <c r="B1000" s="90" t="s">
        <v>643</v>
      </c>
      <c r="C1000" s="90" t="str">
        <f t="shared" si="15"/>
        <v>NondaltonOther</v>
      </c>
      <c r="D1000" s="90">
        <v>8</v>
      </c>
      <c r="E1000" s="90">
        <v>15287.522727272726</v>
      </c>
      <c r="F1000" s="90">
        <v>11807.178970417564</v>
      </c>
      <c r="G1000" s="90">
        <v>0</v>
      </c>
      <c r="H1000" s="90">
        <v>106373.85196219114</v>
      </c>
      <c r="I1000" s="90">
        <v>0</v>
      </c>
      <c r="J1000" s="90">
        <v>0</v>
      </c>
      <c r="K1000" s="90">
        <v>0</v>
      </c>
      <c r="L1000" s="90">
        <v>8737.3124381089983</v>
      </c>
      <c r="M1000" s="90">
        <v>0</v>
      </c>
      <c r="N1000" s="90">
        <v>78716.650452021422</v>
      </c>
      <c r="O1000" s="90">
        <v>0</v>
      </c>
      <c r="P1000" s="90">
        <v>0</v>
      </c>
      <c r="Q1000" s="90">
        <v>0</v>
      </c>
      <c r="R1000" s="90">
        <v>107012.65909090909</v>
      </c>
    </row>
    <row r="1001" spans="1:18">
      <c r="A1001" s="90" t="s">
        <v>1048</v>
      </c>
      <c r="B1001" s="90" t="s">
        <v>1227</v>
      </c>
      <c r="C1001" s="90" t="str">
        <f t="shared" si="15"/>
        <v>NondaltonPublic Assembly</v>
      </c>
      <c r="D1001" s="90">
        <v>2</v>
      </c>
      <c r="E1001" s="90">
        <v>5136.7211538461543</v>
      </c>
      <c r="F1001" s="90">
        <v>2257.1809414995873</v>
      </c>
      <c r="G1001" s="90">
        <v>0</v>
      </c>
      <c r="H1001" s="90">
        <v>15299.515613395884</v>
      </c>
      <c r="I1001" s="90">
        <v>0</v>
      </c>
      <c r="J1001" s="90">
        <v>0</v>
      </c>
      <c r="K1001" s="90">
        <v>0</v>
      </c>
      <c r="L1001" s="90">
        <v>1670.3138967096945</v>
      </c>
      <c r="M1001" s="90">
        <v>0</v>
      </c>
      <c r="N1001" s="90">
        <v>11321.641553912954</v>
      </c>
      <c r="O1001" s="90">
        <v>0</v>
      </c>
      <c r="P1001" s="90">
        <v>0</v>
      </c>
      <c r="Q1001" s="90">
        <v>0</v>
      </c>
      <c r="R1001" s="90">
        <v>35957.048076923078</v>
      </c>
    </row>
    <row r="1002" spans="1:18">
      <c r="A1002" s="90" t="s">
        <v>92</v>
      </c>
      <c r="B1002" s="90" t="s">
        <v>1439</v>
      </c>
      <c r="C1002" s="90" t="str">
        <f t="shared" si="15"/>
        <v>NoorvikEducation - K - 12</v>
      </c>
      <c r="D1002" s="90">
        <v>1</v>
      </c>
      <c r="E1002" s="90">
        <v>61300</v>
      </c>
      <c r="F1002" s="90">
        <v>70000</v>
      </c>
      <c r="G1002" s="90">
        <v>0</v>
      </c>
      <c r="H1002" s="90">
        <v>402400</v>
      </c>
      <c r="I1002" s="90">
        <v>0</v>
      </c>
      <c r="J1002" s="90">
        <v>0</v>
      </c>
      <c r="K1002" s="90">
        <v>0</v>
      </c>
      <c r="L1002" s="90">
        <v>51800</v>
      </c>
      <c r="M1002" s="90">
        <v>0</v>
      </c>
      <c r="N1002" s="90">
        <v>297776</v>
      </c>
      <c r="O1002" s="90">
        <v>0</v>
      </c>
      <c r="P1002" s="90">
        <v>0</v>
      </c>
      <c r="Q1002" s="90">
        <v>0</v>
      </c>
      <c r="R1002" s="90">
        <v>429100</v>
      </c>
    </row>
    <row r="1003" spans="1:18">
      <c r="A1003" s="90" t="s">
        <v>92</v>
      </c>
      <c r="B1003" s="90" t="s">
        <v>1440</v>
      </c>
      <c r="C1003" s="90" t="str">
        <f t="shared" si="15"/>
        <v>NoorvikHealth Care - Hospitals</v>
      </c>
      <c r="D1003" s="90">
        <v>1</v>
      </c>
      <c r="E1003" s="90">
        <v>7500</v>
      </c>
      <c r="F1003" s="90">
        <v>5000</v>
      </c>
      <c r="G1003" s="90">
        <v>0</v>
      </c>
      <c r="H1003" s="90">
        <v>50400</v>
      </c>
      <c r="I1003" s="90">
        <v>0</v>
      </c>
      <c r="J1003" s="90">
        <v>0</v>
      </c>
      <c r="K1003" s="90">
        <v>0</v>
      </c>
      <c r="L1003" s="90">
        <v>3700</v>
      </c>
      <c r="M1003" s="90">
        <v>0</v>
      </c>
      <c r="N1003" s="90">
        <v>37296</v>
      </c>
      <c r="O1003" s="90">
        <v>0</v>
      </c>
      <c r="P1003" s="90">
        <v>0</v>
      </c>
      <c r="Q1003" s="90">
        <v>0</v>
      </c>
      <c r="R1003" s="90">
        <v>52500</v>
      </c>
    </row>
    <row r="1004" spans="1:18">
      <c r="A1004" s="90" t="s">
        <v>92</v>
      </c>
      <c r="B1004" s="90" t="s">
        <v>665</v>
      </c>
      <c r="C1004" s="90" t="str">
        <f t="shared" si="15"/>
        <v>NoorvikOffice</v>
      </c>
      <c r="D1004" s="90">
        <v>2</v>
      </c>
      <c r="E1004" s="90">
        <v>4289.169064748201</v>
      </c>
      <c r="F1004" s="90">
        <v>3800</v>
      </c>
      <c r="G1004" s="90">
        <v>0</v>
      </c>
      <c r="H1004" s="90">
        <v>15364</v>
      </c>
      <c r="I1004" s="90">
        <v>0</v>
      </c>
      <c r="J1004" s="90">
        <v>0</v>
      </c>
      <c r="K1004" s="90">
        <v>0</v>
      </c>
      <c r="L1004" s="90">
        <v>2812</v>
      </c>
      <c r="M1004" s="90">
        <v>0</v>
      </c>
      <c r="N1004" s="90">
        <v>11369.36</v>
      </c>
      <c r="O1004" s="90">
        <v>0</v>
      </c>
      <c r="P1004" s="90">
        <v>0</v>
      </c>
      <c r="Q1004" s="90">
        <v>0</v>
      </c>
      <c r="R1004" s="90">
        <v>30024.183453237409</v>
      </c>
    </row>
    <row r="1005" spans="1:18">
      <c r="A1005" s="90" t="s">
        <v>92</v>
      </c>
      <c r="B1005" s="90" t="s">
        <v>643</v>
      </c>
      <c r="C1005" s="90" t="str">
        <f t="shared" si="15"/>
        <v>NoorvikOther</v>
      </c>
      <c r="D1005" s="90">
        <v>7</v>
      </c>
      <c r="E1005" s="90">
        <v>11769</v>
      </c>
      <c r="F1005" s="90">
        <v>11249.030156946963</v>
      </c>
      <c r="G1005" s="90">
        <v>0</v>
      </c>
      <c r="H1005" s="90">
        <v>41739.928591639735</v>
      </c>
      <c r="I1005" s="90">
        <v>0</v>
      </c>
      <c r="J1005" s="90">
        <v>0</v>
      </c>
      <c r="K1005" s="90">
        <v>0</v>
      </c>
      <c r="L1005" s="90">
        <v>8324.2823161407541</v>
      </c>
      <c r="M1005" s="90">
        <v>0</v>
      </c>
      <c r="N1005" s="90">
        <v>30887.547157813406</v>
      </c>
      <c r="O1005" s="90">
        <v>0</v>
      </c>
      <c r="P1005" s="90">
        <v>0</v>
      </c>
      <c r="Q1005" s="90">
        <v>0</v>
      </c>
      <c r="R1005" s="90">
        <v>82383</v>
      </c>
    </row>
    <row r="1006" spans="1:18">
      <c r="A1006" s="90" t="s">
        <v>92</v>
      </c>
      <c r="B1006" s="90" t="s">
        <v>1227</v>
      </c>
      <c r="C1006" s="90" t="str">
        <f t="shared" si="15"/>
        <v>NoorvikPublic Assembly</v>
      </c>
      <c r="D1006" s="90">
        <v>2</v>
      </c>
      <c r="E1006" s="90">
        <v>8226.5640449438197</v>
      </c>
      <c r="F1006" s="90">
        <v>5369.8473081123939</v>
      </c>
      <c r="G1006" s="90">
        <v>0</v>
      </c>
      <c r="H1006" s="90">
        <v>41682.379653337171</v>
      </c>
      <c r="I1006" s="90">
        <v>0</v>
      </c>
      <c r="J1006" s="90">
        <v>0</v>
      </c>
      <c r="K1006" s="90">
        <v>0</v>
      </c>
      <c r="L1006" s="90">
        <v>3973.6870080031713</v>
      </c>
      <c r="M1006" s="90">
        <v>0</v>
      </c>
      <c r="N1006" s="90">
        <v>30844.960943469508</v>
      </c>
      <c r="O1006" s="90">
        <v>0</v>
      </c>
      <c r="P1006" s="90">
        <v>0</v>
      </c>
      <c r="Q1006" s="90">
        <v>0</v>
      </c>
      <c r="R1006" s="90">
        <v>57585.948314606736</v>
      </c>
    </row>
    <row r="1007" spans="1:18">
      <c r="A1007" s="90" t="s">
        <v>92</v>
      </c>
      <c r="B1007" s="90" t="s">
        <v>1475</v>
      </c>
      <c r="C1007" s="90" t="str">
        <f t="shared" si="15"/>
        <v>NoorvikPublic Safety</v>
      </c>
      <c r="D1007" s="90">
        <v>1</v>
      </c>
      <c r="E1007" s="90">
        <v>1488</v>
      </c>
      <c r="F1007" s="90">
        <v>1053.2991990754306</v>
      </c>
      <c r="G1007" s="90">
        <v>0</v>
      </c>
      <c r="H1007" s="90">
        <v>28456</v>
      </c>
      <c r="I1007" s="90">
        <v>0</v>
      </c>
      <c r="J1007" s="90">
        <v>0</v>
      </c>
      <c r="K1007" s="90">
        <v>0</v>
      </c>
      <c r="L1007" s="90">
        <v>779.44140731581865</v>
      </c>
      <c r="M1007" s="90">
        <v>0</v>
      </c>
      <c r="N1007" s="90">
        <v>21057.439999999999</v>
      </c>
      <c r="O1007" s="90">
        <v>0</v>
      </c>
      <c r="P1007" s="90">
        <v>0</v>
      </c>
      <c r="Q1007" s="90">
        <v>0</v>
      </c>
      <c r="R1007" s="90">
        <v>10416</v>
      </c>
    </row>
    <row r="1008" spans="1:18">
      <c r="A1008" s="90" t="s">
        <v>92</v>
      </c>
      <c r="B1008" s="90" t="s">
        <v>1485</v>
      </c>
      <c r="C1008" s="90" t="str">
        <f t="shared" si="15"/>
        <v>NoorvikRetail - Other</v>
      </c>
      <c r="D1008" s="90">
        <v>2</v>
      </c>
      <c r="E1008" s="90">
        <v>12552.731707317073</v>
      </c>
      <c r="F1008" s="90">
        <v>11085.351575516059</v>
      </c>
      <c r="G1008" s="90">
        <v>0</v>
      </c>
      <c r="H1008" s="90">
        <v>306263.79830335197</v>
      </c>
      <c r="I1008" s="90">
        <v>0</v>
      </c>
      <c r="J1008" s="90">
        <v>0</v>
      </c>
      <c r="K1008" s="90">
        <v>0</v>
      </c>
      <c r="L1008" s="90">
        <v>8203.1601658818836</v>
      </c>
      <c r="M1008" s="90">
        <v>0</v>
      </c>
      <c r="N1008" s="90">
        <v>226635.21074448046</v>
      </c>
      <c r="O1008" s="90">
        <v>0</v>
      </c>
      <c r="P1008" s="90">
        <v>0</v>
      </c>
      <c r="Q1008" s="90">
        <v>0</v>
      </c>
      <c r="R1008" s="90">
        <v>87869.121951219509</v>
      </c>
    </row>
    <row r="1009" spans="1:18">
      <c r="A1009" s="90" t="s">
        <v>92</v>
      </c>
      <c r="B1009" s="90" t="s">
        <v>951</v>
      </c>
      <c r="C1009" s="90" t="str">
        <f t="shared" si="15"/>
        <v>NoorvikWarehousing</v>
      </c>
      <c r="D1009" s="90">
        <v>2</v>
      </c>
      <c r="E1009" s="90">
        <v>4520</v>
      </c>
      <c r="F1009" s="90">
        <v>7888.7265030939061</v>
      </c>
      <c r="G1009" s="90">
        <v>0</v>
      </c>
      <c r="H1009" s="90">
        <v>207100.60095883679</v>
      </c>
      <c r="I1009" s="90">
        <v>0</v>
      </c>
      <c r="J1009" s="90">
        <v>0</v>
      </c>
      <c r="K1009" s="90">
        <v>0</v>
      </c>
      <c r="L1009" s="90">
        <v>5837.6576122894903</v>
      </c>
      <c r="M1009" s="90">
        <v>0</v>
      </c>
      <c r="N1009" s="90">
        <v>153254.44470953924</v>
      </c>
      <c r="O1009" s="90">
        <v>0</v>
      </c>
      <c r="P1009" s="90">
        <v>0</v>
      </c>
      <c r="Q1009" s="90">
        <v>0</v>
      </c>
      <c r="R1009" s="90">
        <v>31640</v>
      </c>
    </row>
    <row r="1010" spans="1:18">
      <c r="A1010" s="90" t="s">
        <v>1050</v>
      </c>
      <c r="B1010" s="90" t="s">
        <v>1439</v>
      </c>
      <c r="C1010" s="90" t="str">
        <f t="shared" si="15"/>
        <v>NorthwayEducation - K - 12</v>
      </c>
      <c r="D1010" s="90">
        <v>3</v>
      </c>
      <c r="E1010" s="90">
        <v>30574</v>
      </c>
      <c r="F1010" s="90">
        <v>17413.862257715115</v>
      </c>
      <c r="G1010" s="90">
        <v>0</v>
      </c>
      <c r="H1010" s="90">
        <v>174424.12641831566</v>
      </c>
      <c r="I1010" s="90">
        <v>0</v>
      </c>
      <c r="J1010" s="90">
        <v>276.90491803278684</v>
      </c>
      <c r="K1010" s="90">
        <v>0</v>
      </c>
      <c r="L1010" s="90">
        <v>12886.258070709186</v>
      </c>
      <c r="M1010" s="90">
        <v>0</v>
      </c>
      <c r="N1010" s="90">
        <v>129073.85354955359</v>
      </c>
      <c r="O1010" s="90">
        <v>0</v>
      </c>
      <c r="P1010" s="90">
        <v>204.90963934426225</v>
      </c>
      <c r="Q1010" s="90">
        <v>0</v>
      </c>
      <c r="R1010" s="90">
        <v>214018</v>
      </c>
    </row>
    <row r="1011" spans="1:18">
      <c r="A1011" s="90" t="s">
        <v>1050</v>
      </c>
      <c r="B1011" s="90" t="s">
        <v>1440</v>
      </c>
      <c r="C1011" s="90" t="str">
        <f t="shared" si="15"/>
        <v>NorthwayHealth Care - Hospitals</v>
      </c>
      <c r="D1011" s="90">
        <v>1</v>
      </c>
      <c r="E1011" s="90">
        <v>2256.9250000000002</v>
      </c>
      <c r="F1011" s="90">
        <v>1573.0165476804564</v>
      </c>
      <c r="G1011" s="90">
        <v>0</v>
      </c>
      <c r="H1011" s="90">
        <v>16977.563262470368</v>
      </c>
      <c r="I1011" s="90">
        <v>0</v>
      </c>
      <c r="J1011" s="90">
        <v>0</v>
      </c>
      <c r="K1011" s="90">
        <v>0</v>
      </c>
      <c r="L1011" s="90">
        <v>1164.0322452835378</v>
      </c>
      <c r="M1011" s="90">
        <v>0</v>
      </c>
      <c r="N1011" s="90">
        <v>12563.396814228072</v>
      </c>
      <c r="O1011" s="90">
        <v>0</v>
      </c>
      <c r="P1011" s="90">
        <v>0</v>
      </c>
      <c r="Q1011" s="90">
        <v>0</v>
      </c>
      <c r="R1011" s="90">
        <v>15798.475000000002</v>
      </c>
    </row>
    <row r="1012" spans="1:18">
      <c r="A1012" s="90" t="s">
        <v>1050</v>
      </c>
      <c r="B1012" s="90" t="s">
        <v>665</v>
      </c>
      <c r="C1012" s="90" t="str">
        <f t="shared" si="15"/>
        <v>NorthwayOffice</v>
      </c>
      <c r="D1012" s="90">
        <v>2</v>
      </c>
      <c r="E1012" s="90">
        <v>4066.517006802721</v>
      </c>
      <c r="F1012" s="90">
        <v>5411.1649445925304</v>
      </c>
      <c r="G1012" s="90">
        <v>0</v>
      </c>
      <c r="H1012" s="90">
        <v>32597.323289905435</v>
      </c>
      <c r="I1012" s="90">
        <v>0</v>
      </c>
      <c r="J1012" s="90">
        <v>0</v>
      </c>
      <c r="K1012" s="90">
        <v>0</v>
      </c>
      <c r="L1012" s="90">
        <v>4004.2620589984726</v>
      </c>
      <c r="M1012" s="90">
        <v>0</v>
      </c>
      <c r="N1012" s="90">
        <v>24122.01923453002</v>
      </c>
      <c r="O1012" s="90">
        <v>0</v>
      </c>
      <c r="P1012" s="90">
        <v>0</v>
      </c>
      <c r="Q1012" s="90">
        <v>0</v>
      </c>
      <c r="R1012" s="90">
        <v>28465.619047619046</v>
      </c>
    </row>
    <row r="1013" spans="1:18">
      <c r="A1013" s="90" t="s">
        <v>1050</v>
      </c>
      <c r="B1013" s="90" t="s">
        <v>643</v>
      </c>
      <c r="C1013" s="90" t="str">
        <f t="shared" si="15"/>
        <v>NorthwayOther</v>
      </c>
      <c r="D1013" s="90">
        <v>3</v>
      </c>
      <c r="E1013" s="90">
        <v>7852.920454545454</v>
      </c>
      <c r="F1013" s="90">
        <v>6791.7658857786064</v>
      </c>
      <c r="G1013" s="90">
        <v>0</v>
      </c>
      <c r="H1013" s="90">
        <v>57153.458602477396</v>
      </c>
      <c r="I1013" s="90">
        <v>0</v>
      </c>
      <c r="J1013" s="90">
        <v>0</v>
      </c>
      <c r="K1013" s="90">
        <v>0</v>
      </c>
      <c r="L1013" s="90">
        <v>5025.9067554761696</v>
      </c>
      <c r="M1013" s="90">
        <v>0</v>
      </c>
      <c r="N1013" s="90">
        <v>42293.55936583328</v>
      </c>
      <c r="O1013" s="90">
        <v>0</v>
      </c>
      <c r="P1013" s="90">
        <v>0</v>
      </c>
      <c r="Q1013" s="90">
        <v>0</v>
      </c>
      <c r="R1013" s="90">
        <v>54970.443181818184</v>
      </c>
    </row>
    <row r="1014" spans="1:18">
      <c r="A1014" s="90" t="s">
        <v>1050</v>
      </c>
      <c r="B1014" s="90" t="s">
        <v>1227</v>
      </c>
      <c r="C1014" s="90" t="str">
        <f t="shared" si="15"/>
        <v>NorthwayPublic Assembly</v>
      </c>
      <c r="D1014" s="90">
        <v>3</v>
      </c>
      <c r="E1014" s="90">
        <v>9410.163461538461</v>
      </c>
      <c r="F1014" s="90">
        <v>5871.5428244987615</v>
      </c>
      <c r="G1014" s="90">
        <v>0</v>
      </c>
      <c r="H1014" s="90">
        <v>35398.546840187657</v>
      </c>
      <c r="I1014" s="90">
        <v>0</v>
      </c>
      <c r="J1014" s="90">
        <v>0</v>
      </c>
      <c r="K1014" s="90">
        <v>0</v>
      </c>
      <c r="L1014" s="90">
        <v>4344.9416901290833</v>
      </c>
      <c r="M1014" s="90">
        <v>0</v>
      </c>
      <c r="N1014" s="90">
        <v>26194.924661738864</v>
      </c>
      <c r="O1014" s="90">
        <v>0</v>
      </c>
      <c r="P1014" s="90">
        <v>0</v>
      </c>
      <c r="Q1014" s="90">
        <v>0</v>
      </c>
      <c r="R1014" s="90">
        <v>65871.144230769234</v>
      </c>
    </row>
    <row r="1015" spans="1:18">
      <c r="A1015" s="90" t="s">
        <v>1050</v>
      </c>
      <c r="B1015" s="90" t="s">
        <v>1442</v>
      </c>
      <c r="C1015" s="90" t="str">
        <f t="shared" si="15"/>
        <v>NorthwayResidential - Multi-Family</v>
      </c>
      <c r="D1015" s="90">
        <v>1</v>
      </c>
      <c r="E1015" s="90">
        <v>2751</v>
      </c>
      <c r="F1015" s="90">
        <v>819.45985401459859</v>
      </c>
      <c r="G1015" s="90">
        <v>0</v>
      </c>
      <c r="H1015" s="90">
        <v>9393.0845370000006</v>
      </c>
      <c r="I1015" s="90">
        <v>0</v>
      </c>
      <c r="J1015" s="90">
        <v>0</v>
      </c>
      <c r="K1015" s="90">
        <v>0</v>
      </c>
      <c r="L1015" s="90">
        <v>606.40029197080298</v>
      </c>
      <c r="M1015" s="90">
        <v>0</v>
      </c>
      <c r="N1015" s="90">
        <v>6950.8825573800004</v>
      </c>
      <c r="O1015" s="90">
        <v>0</v>
      </c>
      <c r="P1015" s="90">
        <v>0</v>
      </c>
      <c r="Q1015" s="90">
        <v>0</v>
      </c>
      <c r="R1015" s="90">
        <v>19257</v>
      </c>
    </row>
    <row r="1016" spans="1:18">
      <c r="A1016" s="90" t="s">
        <v>1050</v>
      </c>
      <c r="B1016" s="90" t="s">
        <v>1485</v>
      </c>
      <c r="C1016" s="90" t="str">
        <f t="shared" si="15"/>
        <v>NorthwayRetail - Other</v>
      </c>
      <c r="D1016" s="90">
        <v>1</v>
      </c>
      <c r="E1016" s="90">
        <v>2105.2800000000002</v>
      </c>
      <c r="F1016" s="90">
        <v>2225.7819714285715</v>
      </c>
      <c r="G1016" s="90">
        <v>0</v>
      </c>
      <c r="H1016" s="90">
        <v>49590.373216004155</v>
      </c>
      <c r="I1016" s="90">
        <v>0</v>
      </c>
      <c r="J1016" s="90">
        <v>0</v>
      </c>
      <c r="K1016" s="90">
        <v>0</v>
      </c>
      <c r="L1016" s="90">
        <v>1647.078658857143</v>
      </c>
      <c r="M1016" s="90">
        <v>0</v>
      </c>
      <c r="N1016" s="90">
        <v>36696.876179843071</v>
      </c>
      <c r="O1016" s="90">
        <v>0</v>
      </c>
      <c r="P1016" s="90">
        <v>0</v>
      </c>
      <c r="Q1016" s="90">
        <v>0</v>
      </c>
      <c r="R1016" s="90">
        <v>14736.960000000001</v>
      </c>
    </row>
    <row r="1017" spans="1:18">
      <c r="A1017" s="90" t="s">
        <v>1050</v>
      </c>
      <c r="B1017" s="90" t="s">
        <v>951</v>
      </c>
      <c r="C1017" s="90" t="str">
        <f t="shared" si="15"/>
        <v>NorthwayWarehousing</v>
      </c>
      <c r="D1017" s="90">
        <v>3</v>
      </c>
      <c r="E1017" s="90">
        <v>6583.9572649572647</v>
      </c>
      <c r="F1017" s="90">
        <v>8253.1906279528957</v>
      </c>
      <c r="G1017" s="90">
        <v>0</v>
      </c>
      <c r="H1017" s="90">
        <v>78119.632551312723</v>
      </c>
      <c r="I1017" s="90">
        <v>0</v>
      </c>
      <c r="J1017" s="90">
        <v>0</v>
      </c>
      <c r="K1017" s="90">
        <v>0</v>
      </c>
      <c r="L1017" s="90">
        <v>6107.3610646851421</v>
      </c>
      <c r="M1017" s="90">
        <v>0</v>
      </c>
      <c r="N1017" s="90">
        <v>57808.528087971412</v>
      </c>
      <c r="O1017" s="90">
        <v>0</v>
      </c>
      <c r="P1017" s="90">
        <v>0</v>
      </c>
      <c r="Q1017" s="90">
        <v>0</v>
      </c>
      <c r="R1017" s="90">
        <v>46087.700854700852</v>
      </c>
    </row>
    <row r="1018" spans="1:18">
      <c r="A1018" s="90" t="s">
        <v>1182</v>
      </c>
      <c r="B1018" s="90" t="s">
        <v>1469</v>
      </c>
      <c r="C1018" s="90" t="str">
        <f t="shared" si="15"/>
        <v>Northway VillageFood Service and Drinking Places</v>
      </c>
      <c r="D1018" s="90">
        <v>1</v>
      </c>
      <c r="E1018" s="90">
        <v>480</v>
      </c>
      <c r="F1018" s="90">
        <v>192.64</v>
      </c>
      <c r="G1018" s="90">
        <v>0</v>
      </c>
      <c r="H1018" s="90">
        <v>1285.3762030820349</v>
      </c>
      <c r="I1018" s="90">
        <v>0</v>
      </c>
      <c r="J1018" s="90">
        <v>0</v>
      </c>
      <c r="K1018" s="90">
        <v>0</v>
      </c>
      <c r="L1018" s="90">
        <v>142.55359999999999</v>
      </c>
      <c r="M1018" s="90">
        <v>0</v>
      </c>
      <c r="N1018" s="90">
        <v>951.1783902807058</v>
      </c>
      <c r="O1018" s="90">
        <v>0</v>
      </c>
      <c r="P1018" s="90">
        <v>0</v>
      </c>
      <c r="Q1018" s="90">
        <v>0</v>
      </c>
      <c r="R1018" s="90">
        <v>3360</v>
      </c>
    </row>
    <row r="1019" spans="1:18">
      <c r="A1019" s="90" t="s">
        <v>1182</v>
      </c>
      <c r="B1019" s="90" t="s">
        <v>665</v>
      </c>
      <c r="C1019" s="90" t="str">
        <f t="shared" si="15"/>
        <v>Northway VillageOffice</v>
      </c>
      <c r="D1019" s="90">
        <v>1</v>
      </c>
      <c r="E1019" s="90">
        <v>320</v>
      </c>
      <c r="F1019" s="90">
        <v>760</v>
      </c>
      <c r="G1019" s="90">
        <v>0</v>
      </c>
      <c r="H1019" s="90">
        <v>5634</v>
      </c>
      <c r="I1019" s="90">
        <v>0</v>
      </c>
      <c r="J1019" s="90">
        <v>0</v>
      </c>
      <c r="K1019" s="90">
        <v>0</v>
      </c>
      <c r="L1019" s="90">
        <v>562.4</v>
      </c>
      <c r="M1019" s="90">
        <v>0</v>
      </c>
      <c r="N1019" s="90">
        <v>4169.16</v>
      </c>
      <c r="O1019" s="90">
        <v>0</v>
      </c>
      <c r="P1019" s="90">
        <v>0</v>
      </c>
      <c r="Q1019" s="90">
        <v>0</v>
      </c>
      <c r="R1019" s="90">
        <v>2240</v>
      </c>
    </row>
    <row r="1020" spans="1:18">
      <c r="A1020" s="90" t="s">
        <v>1182</v>
      </c>
      <c r="B1020" s="90" t="s">
        <v>1227</v>
      </c>
      <c r="C1020" s="90" t="str">
        <f t="shared" si="15"/>
        <v>Northway VillagePublic Assembly</v>
      </c>
      <c r="D1020" s="90">
        <v>1</v>
      </c>
      <c r="E1020" s="90">
        <v>720</v>
      </c>
      <c r="F1020" s="90">
        <v>449.24945787795656</v>
      </c>
      <c r="G1020" s="90">
        <v>0</v>
      </c>
      <c r="H1020" s="90">
        <v>2708.4496277993735</v>
      </c>
      <c r="I1020" s="90">
        <v>0</v>
      </c>
      <c r="J1020" s="90">
        <v>0</v>
      </c>
      <c r="K1020" s="90">
        <v>0</v>
      </c>
      <c r="L1020" s="90">
        <v>332.44459882968783</v>
      </c>
      <c r="M1020" s="90">
        <v>0</v>
      </c>
      <c r="N1020" s="90">
        <v>2004.2527245715364</v>
      </c>
      <c r="O1020" s="90">
        <v>0</v>
      </c>
      <c r="P1020" s="90">
        <v>0</v>
      </c>
      <c r="Q1020" s="90">
        <v>0</v>
      </c>
      <c r="R1020" s="90">
        <v>5040</v>
      </c>
    </row>
    <row r="1021" spans="1:18">
      <c r="A1021" s="90" t="s">
        <v>209</v>
      </c>
      <c r="B1021" s="90" t="s">
        <v>1447</v>
      </c>
      <c r="C1021" s="90" t="str">
        <f t="shared" si="15"/>
        <v>NuiqsutAccomodation Services</v>
      </c>
      <c r="D1021" s="90">
        <v>1</v>
      </c>
      <c r="E1021" s="90">
        <v>7260.0625</v>
      </c>
      <c r="F1021" s="90">
        <v>7485.3185274619782</v>
      </c>
      <c r="G1021" s="90">
        <v>0</v>
      </c>
      <c r="H1021" s="90">
        <v>158263.93571825544</v>
      </c>
      <c r="I1021" s="90">
        <v>0</v>
      </c>
      <c r="J1021" s="90">
        <v>0</v>
      </c>
      <c r="K1021" s="90">
        <v>0</v>
      </c>
      <c r="L1021" s="90">
        <v>5539.1357103218634</v>
      </c>
      <c r="M1021" s="90">
        <v>0</v>
      </c>
      <c r="N1021" s="90">
        <v>117115.31243150902</v>
      </c>
      <c r="O1021" s="90">
        <v>0</v>
      </c>
      <c r="P1021" s="90">
        <v>0</v>
      </c>
      <c r="Q1021" s="90">
        <v>0</v>
      </c>
      <c r="R1021" s="90">
        <v>50820.4375</v>
      </c>
    </row>
    <row r="1022" spans="1:18">
      <c r="A1022" s="90" t="s">
        <v>209</v>
      </c>
      <c r="B1022" s="90" t="s">
        <v>1439</v>
      </c>
      <c r="C1022" s="90" t="str">
        <f t="shared" si="15"/>
        <v>NuiqsutEducation - K - 12</v>
      </c>
      <c r="D1022" s="90">
        <v>3</v>
      </c>
      <c r="E1022" s="90">
        <v>95729</v>
      </c>
      <c r="F1022" s="90">
        <v>95211.87969001758</v>
      </c>
      <c r="G1022" s="90">
        <v>0</v>
      </c>
      <c r="H1022" s="90">
        <v>736888.8013127218</v>
      </c>
      <c r="I1022" s="90">
        <v>66728.2</v>
      </c>
      <c r="J1022" s="90">
        <v>1203.9344262295083</v>
      </c>
      <c r="K1022" s="90">
        <v>0</v>
      </c>
      <c r="L1022" s="90">
        <v>70456.790970613001</v>
      </c>
      <c r="M1022" s="90">
        <v>0</v>
      </c>
      <c r="N1022" s="90">
        <v>545297.71297141409</v>
      </c>
      <c r="O1022" s="90">
        <v>49378.867999999995</v>
      </c>
      <c r="P1022" s="90">
        <v>890.91147540983616</v>
      </c>
      <c r="Q1022" s="90">
        <v>0</v>
      </c>
      <c r="R1022" s="90">
        <v>670103</v>
      </c>
    </row>
    <row r="1023" spans="1:18">
      <c r="A1023" s="90" t="s">
        <v>209</v>
      </c>
      <c r="B1023" s="90" t="s">
        <v>1440</v>
      </c>
      <c r="C1023" s="90" t="str">
        <f t="shared" si="15"/>
        <v>NuiqsutHealth Care - Hospitals</v>
      </c>
      <c r="D1023" s="90">
        <v>1</v>
      </c>
      <c r="E1023" s="90">
        <v>7080</v>
      </c>
      <c r="F1023" s="90">
        <v>4475.0944947930675</v>
      </c>
      <c r="G1023" s="90">
        <v>0</v>
      </c>
      <c r="H1023" s="90">
        <v>14192</v>
      </c>
      <c r="I1023" s="90">
        <v>0</v>
      </c>
      <c r="J1023" s="90">
        <v>0</v>
      </c>
      <c r="K1023" s="90">
        <v>0</v>
      </c>
      <c r="L1023" s="90">
        <v>3311.5699261468699</v>
      </c>
      <c r="M1023" s="90">
        <v>0</v>
      </c>
      <c r="N1023" s="90">
        <v>10502.08</v>
      </c>
      <c r="O1023" s="90">
        <v>0</v>
      </c>
      <c r="P1023" s="90">
        <v>0</v>
      </c>
      <c r="Q1023" s="90">
        <v>0</v>
      </c>
      <c r="R1023" s="90">
        <v>49560</v>
      </c>
    </row>
    <row r="1024" spans="1:18">
      <c r="A1024" s="90" t="s">
        <v>209</v>
      </c>
      <c r="B1024" s="90" t="s">
        <v>665</v>
      </c>
      <c r="C1024" s="90" t="str">
        <f t="shared" si="15"/>
        <v>NuiqsutOffice</v>
      </c>
      <c r="D1024" s="90">
        <v>4</v>
      </c>
      <c r="E1024" s="90">
        <v>14660.338129496402</v>
      </c>
      <c r="F1024" s="90">
        <v>12204.006876821615</v>
      </c>
      <c r="G1024" s="90">
        <v>0</v>
      </c>
      <c r="H1024" s="90">
        <v>98360.34108234114</v>
      </c>
      <c r="I1024" s="90">
        <v>0</v>
      </c>
      <c r="J1024" s="90">
        <v>0</v>
      </c>
      <c r="K1024" s="90">
        <v>0</v>
      </c>
      <c r="L1024" s="90">
        <v>9030.9650888479955</v>
      </c>
      <c r="M1024" s="90">
        <v>0</v>
      </c>
      <c r="N1024" s="90">
        <v>72786.652400932449</v>
      </c>
      <c r="O1024" s="90">
        <v>0</v>
      </c>
      <c r="P1024" s="90">
        <v>0</v>
      </c>
      <c r="Q1024" s="90">
        <v>0</v>
      </c>
      <c r="R1024" s="90">
        <v>102622.36690647481</v>
      </c>
    </row>
    <row r="1025" spans="1:18">
      <c r="A1025" s="90" t="s">
        <v>209</v>
      </c>
      <c r="B1025" s="90" t="s">
        <v>643</v>
      </c>
      <c r="C1025" s="90" t="str">
        <f t="shared" si="15"/>
        <v>NuiqsutOther</v>
      </c>
      <c r="D1025" s="90">
        <v>9</v>
      </c>
      <c r="E1025" s="90">
        <v>43119.381679389313</v>
      </c>
      <c r="F1025" s="90">
        <v>45827.916184353759</v>
      </c>
      <c r="G1025" s="90">
        <v>0</v>
      </c>
      <c r="H1025" s="90">
        <v>359869.13897218712</v>
      </c>
      <c r="I1025" s="90">
        <v>0</v>
      </c>
      <c r="J1025" s="90">
        <v>0</v>
      </c>
      <c r="K1025" s="90">
        <v>0</v>
      </c>
      <c r="L1025" s="90">
        <v>33912.657976421782</v>
      </c>
      <c r="M1025" s="90">
        <v>0</v>
      </c>
      <c r="N1025" s="90">
        <v>266303.16283941845</v>
      </c>
      <c r="O1025" s="90">
        <v>0</v>
      </c>
      <c r="P1025" s="90">
        <v>0</v>
      </c>
      <c r="Q1025" s="90">
        <v>0</v>
      </c>
      <c r="R1025" s="90">
        <v>301835.67175572517</v>
      </c>
    </row>
    <row r="1026" spans="1:18">
      <c r="A1026" s="90" t="s">
        <v>209</v>
      </c>
      <c r="B1026" s="90" t="s">
        <v>1227</v>
      </c>
      <c r="C1026" s="90" t="str">
        <f t="shared" si="15"/>
        <v>NuiqsutPublic Assembly</v>
      </c>
      <c r="D1026" s="90">
        <v>2</v>
      </c>
      <c r="E1026" s="90">
        <v>13382.56404494382</v>
      </c>
      <c r="F1026" s="90">
        <v>9255.5203876458672</v>
      </c>
      <c r="G1026" s="90">
        <v>0</v>
      </c>
      <c r="H1026" s="90">
        <v>62052.614657798724</v>
      </c>
      <c r="I1026" s="90">
        <v>0</v>
      </c>
      <c r="J1026" s="90">
        <v>0</v>
      </c>
      <c r="K1026" s="90">
        <v>0</v>
      </c>
      <c r="L1026" s="90">
        <v>6849.0850868579419</v>
      </c>
      <c r="M1026" s="90">
        <v>0</v>
      </c>
      <c r="N1026" s="90">
        <v>45918.934846771052</v>
      </c>
      <c r="O1026" s="90">
        <v>0</v>
      </c>
      <c r="P1026" s="90">
        <v>0</v>
      </c>
      <c r="Q1026" s="90">
        <v>0</v>
      </c>
      <c r="R1026" s="90">
        <v>93677.948314606736</v>
      </c>
    </row>
    <row r="1027" spans="1:18">
      <c r="A1027" s="90" t="s">
        <v>209</v>
      </c>
      <c r="B1027" s="90" t="s">
        <v>1475</v>
      </c>
      <c r="C1027" s="90" t="str">
        <f t="shared" ref="C1027:C1090" si="16">CONCATENATE(A1027,B1027)</f>
        <v>NuiqsutPublic Safety</v>
      </c>
      <c r="D1027" s="90">
        <v>3</v>
      </c>
      <c r="E1027" s="90">
        <v>8784</v>
      </c>
      <c r="F1027" s="90">
        <v>6217.8630138968965</v>
      </c>
      <c r="G1027" s="90">
        <v>0</v>
      </c>
      <c r="H1027" s="90">
        <v>65842.122884185781</v>
      </c>
      <c r="I1027" s="90">
        <v>0</v>
      </c>
      <c r="J1027" s="90">
        <v>0</v>
      </c>
      <c r="K1027" s="90">
        <v>0</v>
      </c>
      <c r="L1027" s="90">
        <v>4601.2186302837035</v>
      </c>
      <c r="M1027" s="90">
        <v>0</v>
      </c>
      <c r="N1027" s="90">
        <v>48723.170934297479</v>
      </c>
      <c r="O1027" s="90">
        <v>0</v>
      </c>
      <c r="P1027" s="90">
        <v>0</v>
      </c>
      <c r="Q1027" s="90">
        <v>0</v>
      </c>
      <c r="R1027" s="90">
        <v>61488</v>
      </c>
    </row>
    <row r="1028" spans="1:18">
      <c r="A1028" s="90" t="s">
        <v>209</v>
      </c>
      <c r="B1028" s="90" t="s">
        <v>1442</v>
      </c>
      <c r="C1028" s="90" t="str">
        <f t="shared" si="16"/>
        <v>NuiqsutResidential - Multi-Family</v>
      </c>
      <c r="D1028" s="90">
        <v>2</v>
      </c>
      <c r="E1028" s="90">
        <v>6380</v>
      </c>
      <c r="F1028" s="90">
        <v>6527.2321740374991</v>
      </c>
      <c r="G1028" s="90">
        <v>0</v>
      </c>
      <c r="H1028" s="90">
        <v>53275.979479499991</v>
      </c>
      <c r="I1028" s="90">
        <v>0</v>
      </c>
      <c r="J1028" s="90">
        <v>0</v>
      </c>
      <c r="K1028" s="90">
        <v>0</v>
      </c>
      <c r="L1028" s="90">
        <v>4830.1518087877494</v>
      </c>
      <c r="M1028" s="90">
        <v>0</v>
      </c>
      <c r="N1028" s="90">
        <v>39424.224814829999</v>
      </c>
      <c r="O1028" s="90">
        <v>0</v>
      </c>
      <c r="P1028" s="90">
        <v>0</v>
      </c>
      <c r="Q1028" s="90">
        <v>0</v>
      </c>
      <c r="R1028" s="90">
        <v>44660</v>
      </c>
    </row>
    <row r="1029" spans="1:18">
      <c r="A1029" s="90" t="s">
        <v>209</v>
      </c>
      <c r="B1029" s="90" t="s">
        <v>1485</v>
      </c>
      <c r="C1029" s="90" t="str">
        <f t="shared" si="16"/>
        <v>NuiqsutRetail - Other</v>
      </c>
      <c r="D1029" s="90">
        <v>1</v>
      </c>
      <c r="E1029" s="90">
        <v>6655</v>
      </c>
      <c r="F1029" s="90">
        <v>11054.281466816801</v>
      </c>
      <c r="G1029" s="90">
        <v>0</v>
      </c>
      <c r="H1029" s="90">
        <v>162369.88292522298</v>
      </c>
      <c r="I1029" s="90">
        <v>0</v>
      </c>
      <c r="J1029" s="90">
        <v>0</v>
      </c>
      <c r="K1029" s="90">
        <v>0</v>
      </c>
      <c r="L1029" s="90">
        <v>8180.1682854444325</v>
      </c>
      <c r="M1029" s="90">
        <v>0</v>
      </c>
      <c r="N1029" s="90">
        <v>120153.713364665</v>
      </c>
      <c r="O1029" s="90">
        <v>0</v>
      </c>
      <c r="P1029" s="90">
        <v>0</v>
      </c>
      <c r="Q1029" s="90">
        <v>0</v>
      </c>
      <c r="R1029" s="90">
        <v>46585</v>
      </c>
    </row>
    <row r="1030" spans="1:18">
      <c r="A1030" s="90" t="s">
        <v>209</v>
      </c>
      <c r="B1030" s="90" t="s">
        <v>951</v>
      </c>
      <c r="C1030" s="90" t="str">
        <f t="shared" si="16"/>
        <v>NuiqsutWarehousing</v>
      </c>
      <c r="D1030" s="90">
        <v>1</v>
      </c>
      <c r="E1030" s="90">
        <v>3040</v>
      </c>
      <c r="F1030" s="90">
        <v>5305.6921613728928</v>
      </c>
      <c r="G1030" s="90">
        <v>0</v>
      </c>
      <c r="H1030" s="90">
        <v>139288.89975992561</v>
      </c>
      <c r="I1030" s="90">
        <v>0</v>
      </c>
      <c r="J1030" s="90">
        <v>0</v>
      </c>
      <c r="K1030" s="90">
        <v>0</v>
      </c>
      <c r="L1030" s="90">
        <v>3926.2121994159406</v>
      </c>
      <c r="M1030" s="90">
        <v>0</v>
      </c>
      <c r="N1030" s="90">
        <v>103073.78582234494</v>
      </c>
      <c r="O1030" s="90">
        <v>0</v>
      </c>
      <c r="P1030" s="90">
        <v>0</v>
      </c>
      <c r="Q1030" s="90">
        <v>0</v>
      </c>
      <c r="R1030" s="90">
        <v>21280</v>
      </c>
    </row>
    <row r="1031" spans="1:18">
      <c r="A1031" s="90" t="s">
        <v>93</v>
      </c>
      <c r="B1031" s="90" t="s">
        <v>1439</v>
      </c>
      <c r="C1031" s="90" t="str">
        <f t="shared" si="16"/>
        <v>NulatoEducation - K - 12</v>
      </c>
      <c r="D1031" s="90">
        <v>1</v>
      </c>
      <c r="E1031" s="90">
        <v>24971</v>
      </c>
      <c r="F1031" s="90">
        <v>25000</v>
      </c>
      <c r="G1031" s="90">
        <v>0</v>
      </c>
      <c r="H1031" s="90">
        <v>243770.66666666669</v>
      </c>
      <c r="I1031" s="90">
        <v>0</v>
      </c>
      <c r="J1031" s="90">
        <v>0</v>
      </c>
      <c r="K1031" s="90">
        <v>0</v>
      </c>
      <c r="L1031" s="90">
        <v>18500</v>
      </c>
      <c r="M1031" s="90">
        <v>0</v>
      </c>
      <c r="N1031" s="90">
        <v>180390.29333333333</v>
      </c>
      <c r="O1031" s="90">
        <v>0</v>
      </c>
      <c r="P1031" s="90">
        <v>0</v>
      </c>
      <c r="Q1031" s="90">
        <v>0</v>
      </c>
      <c r="R1031" s="90">
        <v>174797</v>
      </c>
    </row>
    <row r="1032" spans="1:18">
      <c r="A1032" s="90" t="s">
        <v>93</v>
      </c>
      <c r="B1032" s="90" t="s">
        <v>1469</v>
      </c>
      <c r="C1032" s="90" t="str">
        <f t="shared" si="16"/>
        <v>NulatoFood Service and Drinking Places</v>
      </c>
      <c r="D1032" s="90">
        <v>1</v>
      </c>
      <c r="E1032" s="90">
        <v>1536</v>
      </c>
      <c r="F1032" s="90">
        <v>616.44799999999998</v>
      </c>
      <c r="G1032" s="90">
        <v>0</v>
      </c>
      <c r="H1032" s="90">
        <v>4113.2038498625116</v>
      </c>
      <c r="I1032" s="90">
        <v>0</v>
      </c>
      <c r="J1032" s="90">
        <v>0</v>
      </c>
      <c r="K1032" s="90">
        <v>0</v>
      </c>
      <c r="L1032" s="90">
        <v>456.17151999999999</v>
      </c>
      <c r="M1032" s="90">
        <v>0</v>
      </c>
      <c r="N1032" s="90">
        <v>3043.7708488982585</v>
      </c>
      <c r="O1032" s="90">
        <v>0</v>
      </c>
      <c r="P1032" s="90">
        <v>0</v>
      </c>
      <c r="Q1032" s="90">
        <v>0</v>
      </c>
      <c r="R1032" s="90">
        <v>10752</v>
      </c>
    </row>
    <row r="1033" spans="1:18">
      <c r="A1033" s="90" t="s">
        <v>93</v>
      </c>
      <c r="B1033" s="90" t="s">
        <v>1440</v>
      </c>
      <c r="C1033" s="90" t="str">
        <f t="shared" si="16"/>
        <v>NulatoHealth Care - Hospitals</v>
      </c>
      <c r="D1033" s="90">
        <v>1</v>
      </c>
      <c r="E1033" s="90">
        <v>2340</v>
      </c>
      <c r="F1033" s="90">
        <v>1630.9176076175627</v>
      </c>
      <c r="G1033" s="90">
        <v>0</v>
      </c>
      <c r="H1033" s="90">
        <v>10864.09719</v>
      </c>
      <c r="I1033" s="90">
        <v>0</v>
      </c>
      <c r="J1033" s="90">
        <v>0</v>
      </c>
      <c r="K1033" s="90">
        <v>0</v>
      </c>
      <c r="L1033" s="90">
        <v>1206.8790296369964</v>
      </c>
      <c r="M1033" s="90">
        <v>0</v>
      </c>
      <c r="N1033" s="90">
        <v>8039.4319206</v>
      </c>
      <c r="O1033" s="90">
        <v>0</v>
      </c>
      <c r="P1033" s="90">
        <v>0</v>
      </c>
      <c r="Q1033" s="90">
        <v>0</v>
      </c>
      <c r="R1033" s="90">
        <v>16380</v>
      </c>
    </row>
    <row r="1034" spans="1:18">
      <c r="A1034" s="90" t="s">
        <v>93</v>
      </c>
      <c r="B1034" s="90" t="s">
        <v>665</v>
      </c>
      <c r="C1034" s="90" t="str">
        <f t="shared" si="16"/>
        <v>NulatoOffice</v>
      </c>
      <c r="D1034" s="90">
        <v>3</v>
      </c>
      <c r="E1034" s="90">
        <v>6386.5170068027219</v>
      </c>
      <c r="F1034" s="90">
        <v>6409.1649445925304</v>
      </c>
      <c r="G1034" s="90">
        <v>0</v>
      </c>
      <c r="H1034" s="90">
        <v>44071.323289905435</v>
      </c>
      <c r="I1034" s="90">
        <v>0</v>
      </c>
      <c r="J1034" s="90">
        <v>0</v>
      </c>
      <c r="K1034" s="90">
        <v>0</v>
      </c>
      <c r="L1034" s="90">
        <v>4742.7820589984731</v>
      </c>
      <c r="M1034" s="90">
        <v>0</v>
      </c>
      <c r="N1034" s="90">
        <v>32612.779234530019</v>
      </c>
      <c r="O1034" s="90">
        <v>0</v>
      </c>
      <c r="P1034" s="90">
        <v>0</v>
      </c>
      <c r="Q1034" s="90">
        <v>0</v>
      </c>
      <c r="R1034" s="90">
        <v>44705.619047619046</v>
      </c>
    </row>
    <row r="1035" spans="1:18">
      <c r="A1035" s="90" t="s">
        <v>93</v>
      </c>
      <c r="B1035" s="90" t="s">
        <v>643</v>
      </c>
      <c r="C1035" s="90" t="str">
        <f t="shared" si="16"/>
        <v>NulatoOther</v>
      </c>
      <c r="D1035" s="90">
        <v>5</v>
      </c>
      <c r="E1035" s="90">
        <v>11387.761363636362</v>
      </c>
      <c r="F1035" s="90">
        <v>9848.9485017214411</v>
      </c>
      <c r="G1035" s="90">
        <v>0</v>
      </c>
      <c r="H1035" s="90">
        <v>82879.987316661951</v>
      </c>
      <c r="I1035" s="90">
        <v>0</v>
      </c>
      <c r="J1035" s="90">
        <v>0</v>
      </c>
      <c r="K1035" s="90">
        <v>0</v>
      </c>
      <c r="L1035" s="90">
        <v>7288.2218912738672</v>
      </c>
      <c r="M1035" s="90">
        <v>0</v>
      </c>
      <c r="N1035" s="90">
        <v>61331.19061432984</v>
      </c>
      <c r="O1035" s="90">
        <v>0</v>
      </c>
      <c r="P1035" s="90">
        <v>0</v>
      </c>
      <c r="Q1035" s="90">
        <v>0</v>
      </c>
      <c r="R1035" s="90">
        <v>79714.329545454544</v>
      </c>
    </row>
    <row r="1036" spans="1:18">
      <c r="A1036" s="90" t="s">
        <v>93</v>
      </c>
      <c r="B1036" s="90" t="s">
        <v>1227</v>
      </c>
      <c r="C1036" s="90" t="str">
        <f t="shared" si="16"/>
        <v>NulatoPublic Assembly</v>
      </c>
      <c r="D1036" s="90">
        <v>1</v>
      </c>
      <c r="E1036" s="90">
        <v>3136.7211538461538</v>
      </c>
      <c r="F1036" s="90">
        <v>1957.1809414995873</v>
      </c>
      <c r="G1036" s="90">
        <v>0</v>
      </c>
      <c r="H1036" s="90">
        <v>11799.515613395884</v>
      </c>
      <c r="I1036" s="90">
        <v>0</v>
      </c>
      <c r="J1036" s="90">
        <v>0</v>
      </c>
      <c r="K1036" s="90">
        <v>0</v>
      </c>
      <c r="L1036" s="90">
        <v>1448.3138967096945</v>
      </c>
      <c r="M1036" s="90">
        <v>0</v>
      </c>
      <c r="N1036" s="90">
        <v>8731.6415539129539</v>
      </c>
      <c r="O1036" s="90">
        <v>0</v>
      </c>
      <c r="P1036" s="90">
        <v>0</v>
      </c>
      <c r="Q1036" s="90">
        <v>0</v>
      </c>
      <c r="R1036" s="90">
        <v>21957.048076923078</v>
      </c>
    </row>
    <row r="1037" spans="1:18">
      <c r="A1037" s="90" t="s">
        <v>93</v>
      </c>
      <c r="B1037" s="90" t="s">
        <v>1485</v>
      </c>
      <c r="C1037" s="90" t="str">
        <f t="shared" si="16"/>
        <v>NulatoRetail - Other</v>
      </c>
      <c r="D1037" s="90">
        <v>2</v>
      </c>
      <c r="E1037" s="90">
        <v>4210.5600000000004</v>
      </c>
      <c r="F1037" s="90">
        <v>4451.563942857143</v>
      </c>
      <c r="G1037" s="90">
        <v>0</v>
      </c>
      <c r="H1037" s="90">
        <v>99180.746432008309</v>
      </c>
      <c r="I1037" s="90">
        <v>0</v>
      </c>
      <c r="J1037" s="90">
        <v>0</v>
      </c>
      <c r="K1037" s="90">
        <v>0</v>
      </c>
      <c r="L1037" s="90">
        <v>3294.1573177142859</v>
      </c>
      <c r="M1037" s="90">
        <v>0</v>
      </c>
      <c r="N1037" s="90">
        <v>73393.752359686143</v>
      </c>
      <c r="O1037" s="90">
        <v>0</v>
      </c>
      <c r="P1037" s="90">
        <v>0</v>
      </c>
      <c r="Q1037" s="90">
        <v>0</v>
      </c>
      <c r="R1037" s="90">
        <v>29473.920000000002</v>
      </c>
    </row>
    <row r="1038" spans="1:18">
      <c r="A1038" s="90" t="s">
        <v>93</v>
      </c>
      <c r="B1038" s="90" t="s">
        <v>951</v>
      </c>
      <c r="C1038" s="90" t="str">
        <f t="shared" si="16"/>
        <v>NulatoWarehousing</v>
      </c>
      <c r="D1038" s="90">
        <v>1</v>
      </c>
      <c r="E1038" s="90">
        <v>1600</v>
      </c>
      <c r="F1038" s="90">
        <v>2005.6486506994886</v>
      </c>
      <c r="G1038" s="90">
        <v>0</v>
      </c>
      <c r="H1038" s="90">
        <v>18984.238058068811</v>
      </c>
      <c r="I1038" s="90">
        <v>0</v>
      </c>
      <c r="J1038" s="90">
        <v>0</v>
      </c>
      <c r="K1038" s="90">
        <v>0</v>
      </c>
      <c r="L1038" s="90">
        <v>1484.1800015176216</v>
      </c>
      <c r="M1038" s="90">
        <v>0</v>
      </c>
      <c r="N1038" s="90">
        <v>14048.33616297092</v>
      </c>
      <c r="O1038" s="90">
        <v>0</v>
      </c>
      <c r="P1038" s="90">
        <v>0</v>
      </c>
      <c r="Q1038" s="90">
        <v>0</v>
      </c>
      <c r="R1038" s="90">
        <v>11200</v>
      </c>
    </row>
    <row r="1039" spans="1:18">
      <c r="A1039" s="90" t="s">
        <v>214</v>
      </c>
      <c r="B1039" s="90" t="s">
        <v>1447</v>
      </c>
      <c r="C1039" s="90" t="str">
        <f t="shared" si="16"/>
        <v>Nunam IquaAccomodation Services</v>
      </c>
      <c r="D1039" s="90">
        <v>1</v>
      </c>
      <c r="E1039" s="90">
        <v>1050</v>
      </c>
      <c r="F1039" s="90">
        <v>657.73312914092469</v>
      </c>
      <c r="G1039" s="90">
        <v>0</v>
      </c>
      <c r="H1039" s="90">
        <v>7703.9473684210525</v>
      </c>
      <c r="I1039" s="90">
        <v>0</v>
      </c>
      <c r="J1039" s="90">
        <v>0</v>
      </c>
      <c r="K1039" s="90">
        <v>0</v>
      </c>
      <c r="L1039" s="90">
        <v>486.72251556428427</v>
      </c>
      <c r="M1039" s="90">
        <v>0</v>
      </c>
      <c r="N1039" s="90">
        <v>5700.9210526315792</v>
      </c>
      <c r="O1039" s="90">
        <v>0</v>
      </c>
      <c r="P1039" s="90">
        <v>0</v>
      </c>
      <c r="Q1039" s="90">
        <v>0</v>
      </c>
      <c r="R1039" s="90">
        <v>7350</v>
      </c>
    </row>
    <row r="1040" spans="1:18">
      <c r="A1040" s="90" t="s">
        <v>214</v>
      </c>
      <c r="B1040" s="90" t="s">
        <v>1440</v>
      </c>
      <c r="C1040" s="90" t="str">
        <f t="shared" si="16"/>
        <v>Nunam IquaHealth Care - Hospitals</v>
      </c>
      <c r="D1040" s="90">
        <v>1</v>
      </c>
      <c r="E1040" s="90">
        <v>1714</v>
      </c>
      <c r="F1040" s="90">
        <v>1194.6122989130351</v>
      </c>
      <c r="G1040" s="90">
        <v>0</v>
      </c>
      <c r="H1040" s="90">
        <v>12893.447248745179</v>
      </c>
      <c r="I1040" s="90">
        <v>0</v>
      </c>
      <c r="J1040" s="90">
        <v>0</v>
      </c>
      <c r="K1040" s="90">
        <v>0</v>
      </c>
      <c r="L1040" s="90">
        <v>884.01310119564596</v>
      </c>
      <c r="M1040" s="90">
        <v>0</v>
      </c>
      <c r="N1040" s="90">
        <v>9541.1509640714321</v>
      </c>
      <c r="O1040" s="90">
        <v>0</v>
      </c>
      <c r="P1040" s="90">
        <v>0</v>
      </c>
      <c r="Q1040" s="90">
        <v>0</v>
      </c>
      <c r="R1040" s="90">
        <v>11998</v>
      </c>
    </row>
    <row r="1041" spans="1:18" s="46" customFormat="1">
      <c r="A1041" s="90" t="s">
        <v>214</v>
      </c>
      <c r="B1041" s="90" t="s">
        <v>665</v>
      </c>
      <c r="C1041" s="90" t="str">
        <f t="shared" si="16"/>
        <v>Nunam IquaOffice</v>
      </c>
      <c r="D1041" s="90">
        <v>2</v>
      </c>
      <c r="E1041" s="90">
        <v>3510</v>
      </c>
      <c r="F1041" s="90">
        <v>1315.9354744525547</v>
      </c>
      <c r="G1041" s="90">
        <v>0</v>
      </c>
      <c r="H1041" s="90">
        <v>23903.096146999997</v>
      </c>
      <c r="I1041" s="90">
        <v>0</v>
      </c>
      <c r="J1041" s="90">
        <v>0</v>
      </c>
      <c r="K1041" s="90">
        <v>0</v>
      </c>
      <c r="L1041" s="90">
        <v>973.7922510948905</v>
      </c>
      <c r="M1041" s="90">
        <v>0</v>
      </c>
      <c r="N1041" s="90">
        <v>17688.291148779997</v>
      </c>
      <c r="O1041" s="90">
        <v>0</v>
      </c>
      <c r="P1041" s="90">
        <v>0</v>
      </c>
      <c r="Q1041" s="90">
        <v>0</v>
      </c>
      <c r="R1041" s="90">
        <v>24570</v>
      </c>
    </row>
    <row r="1042" spans="1:18" s="46" customFormat="1">
      <c r="A1042" s="90" t="s">
        <v>214</v>
      </c>
      <c r="B1042" s="90" t="s">
        <v>643</v>
      </c>
      <c r="C1042" s="90" t="str">
        <f t="shared" si="16"/>
        <v>Nunam IquaOther</v>
      </c>
      <c r="D1042" s="90">
        <v>1</v>
      </c>
      <c r="E1042" s="90">
        <v>1200</v>
      </c>
      <c r="F1042" s="90">
        <v>1037.8456155399929</v>
      </c>
      <c r="G1042" s="90">
        <v>0</v>
      </c>
      <c r="H1042" s="90">
        <v>8733.5852591343591</v>
      </c>
      <c r="I1042" s="90">
        <v>0</v>
      </c>
      <c r="J1042" s="90">
        <v>0</v>
      </c>
      <c r="K1042" s="90">
        <v>0</v>
      </c>
      <c r="L1042" s="90">
        <v>768.00575549959467</v>
      </c>
      <c r="M1042" s="90">
        <v>0</v>
      </c>
      <c r="N1042" s="90">
        <v>6462.8530917594253</v>
      </c>
      <c r="O1042" s="90">
        <v>0</v>
      </c>
      <c r="P1042" s="90">
        <v>0</v>
      </c>
      <c r="Q1042" s="90">
        <v>0</v>
      </c>
      <c r="R1042" s="90">
        <v>8400</v>
      </c>
    </row>
    <row r="1043" spans="1:18" s="46" customFormat="1">
      <c r="A1043" s="90" t="s">
        <v>94</v>
      </c>
      <c r="B1043" s="90" t="s">
        <v>1439</v>
      </c>
      <c r="C1043" s="90" t="str">
        <f t="shared" si="16"/>
        <v>NunapitchukEducation - K - 12</v>
      </c>
      <c r="D1043" s="90">
        <v>1</v>
      </c>
      <c r="E1043" s="90">
        <v>31458</v>
      </c>
      <c r="F1043" s="90">
        <v>23110.025150301364</v>
      </c>
      <c r="G1043" s="90">
        <v>0</v>
      </c>
      <c r="H1043" s="90">
        <v>222745.34695634933</v>
      </c>
      <c r="I1043" s="90">
        <v>0</v>
      </c>
      <c r="J1043" s="90">
        <v>0</v>
      </c>
      <c r="K1043" s="90">
        <v>0</v>
      </c>
      <c r="L1043" s="90">
        <v>17101.418611223009</v>
      </c>
      <c r="M1043" s="90">
        <v>0</v>
      </c>
      <c r="N1043" s="90">
        <v>164831.55674769849</v>
      </c>
      <c r="O1043" s="90">
        <v>0</v>
      </c>
      <c r="P1043" s="90">
        <v>0</v>
      </c>
      <c r="Q1043" s="90">
        <v>0</v>
      </c>
      <c r="R1043" s="90">
        <v>220206</v>
      </c>
    </row>
    <row r="1044" spans="1:18" s="46" customFormat="1">
      <c r="A1044" s="90" t="s">
        <v>94</v>
      </c>
      <c r="B1044" s="90" t="s">
        <v>665</v>
      </c>
      <c r="C1044" s="90" t="str">
        <f t="shared" si="16"/>
        <v>NunapitchukOffice</v>
      </c>
      <c r="D1044" s="90">
        <v>2</v>
      </c>
      <c r="E1044" s="90">
        <v>3024</v>
      </c>
      <c r="F1044" s="90">
        <v>1006.3410218978102</v>
      </c>
      <c r="G1044" s="90">
        <v>0</v>
      </c>
      <c r="H1044" s="90">
        <v>10990.098763500002</v>
      </c>
      <c r="I1044" s="90">
        <v>0</v>
      </c>
      <c r="J1044" s="90">
        <v>0</v>
      </c>
      <c r="K1044" s="90">
        <v>0</v>
      </c>
      <c r="L1044" s="90">
        <v>744.69235620437951</v>
      </c>
      <c r="M1044" s="90">
        <v>0</v>
      </c>
      <c r="N1044" s="90">
        <v>8132.6730849900014</v>
      </c>
      <c r="O1044" s="90">
        <v>0</v>
      </c>
      <c r="P1044" s="90">
        <v>0</v>
      </c>
      <c r="Q1044" s="90">
        <v>0</v>
      </c>
      <c r="R1044" s="90">
        <v>21168</v>
      </c>
    </row>
    <row r="1045" spans="1:18" s="46" customFormat="1">
      <c r="A1045" s="90" t="s">
        <v>94</v>
      </c>
      <c r="B1045" s="90" t="s">
        <v>1227</v>
      </c>
      <c r="C1045" s="90" t="str">
        <f t="shared" si="16"/>
        <v>NunapitchukPublic Assembly</v>
      </c>
      <c r="D1045" s="90">
        <v>1</v>
      </c>
      <c r="E1045" s="90">
        <v>1200</v>
      </c>
      <c r="F1045" s="90">
        <v>856</v>
      </c>
      <c r="G1045" s="90">
        <v>0</v>
      </c>
      <c r="H1045" s="90">
        <v>2451</v>
      </c>
      <c r="I1045" s="90">
        <v>0</v>
      </c>
      <c r="J1045" s="90">
        <v>0</v>
      </c>
      <c r="K1045" s="90">
        <v>0</v>
      </c>
      <c r="L1045" s="90">
        <v>633.43999999999994</v>
      </c>
      <c r="M1045" s="90">
        <v>0</v>
      </c>
      <c r="N1045" s="90">
        <v>1813.74</v>
      </c>
      <c r="O1045" s="90">
        <v>0</v>
      </c>
      <c r="P1045" s="90">
        <v>0</v>
      </c>
      <c r="Q1045" s="90">
        <v>0</v>
      </c>
      <c r="R1045" s="90">
        <v>8400</v>
      </c>
    </row>
    <row r="1046" spans="1:18" s="46" customFormat="1">
      <c r="A1046" s="90" t="s">
        <v>94</v>
      </c>
      <c r="B1046" s="90" t="s">
        <v>951</v>
      </c>
      <c r="C1046" s="90" t="str">
        <f t="shared" si="16"/>
        <v>NunapitchukWarehousing</v>
      </c>
      <c r="D1046" s="90">
        <v>2</v>
      </c>
      <c r="E1046" s="90">
        <v>5453.1323529411766</v>
      </c>
      <c r="F1046" s="90">
        <v>9517.3163091871447</v>
      </c>
      <c r="G1046" s="90">
        <v>0</v>
      </c>
      <c r="H1046" s="90">
        <v>249855.52818632594</v>
      </c>
      <c r="I1046" s="90">
        <v>0</v>
      </c>
      <c r="J1046" s="90">
        <v>0</v>
      </c>
      <c r="K1046" s="90">
        <v>0</v>
      </c>
      <c r="L1046" s="90">
        <v>7042.8140687984869</v>
      </c>
      <c r="M1046" s="90">
        <v>0</v>
      </c>
      <c r="N1046" s="90">
        <v>184893.09085788121</v>
      </c>
      <c r="O1046" s="90">
        <v>0</v>
      </c>
      <c r="P1046" s="90">
        <v>0</v>
      </c>
      <c r="Q1046" s="90">
        <v>0</v>
      </c>
      <c r="R1046" s="90">
        <v>38171.926470588238</v>
      </c>
    </row>
    <row r="1047" spans="1:18" s="46" customFormat="1">
      <c r="A1047" s="90" t="s">
        <v>29</v>
      </c>
      <c r="B1047" s="90" t="s">
        <v>1447</v>
      </c>
      <c r="C1047" s="90" t="str">
        <f t="shared" si="16"/>
        <v>Old HarborAccomodation Services</v>
      </c>
      <c r="D1047" s="90">
        <v>2</v>
      </c>
      <c r="E1047" s="90">
        <v>9541.6296296296296</v>
      </c>
      <c r="F1047" s="90">
        <v>5976.9961080000558</v>
      </c>
      <c r="G1047" s="90">
        <v>0</v>
      </c>
      <c r="H1047" s="90">
        <v>70007.821405365263</v>
      </c>
      <c r="I1047" s="90">
        <v>0</v>
      </c>
      <c r="J1047" s="90">
        <v>0</v>
      </c>
      <c r="K1047" s="90">
        <v>0</v>
      </c>
      <c r="L1047" s="90">
        <v>4422.9771199200413</v>
      </c>
      <c r="M1047" s="90">
        <v>0</v>
      </c>
      <c r="N1047" s="90">
        <v>51805.787839970297</v>
      </c>
      <c r="O1047" s="90">
        <v>0</v>
      </c>
      <c r="P1047" s="90">
        <v>0</v>
      </c>
      <c r="Q1047" s="90">
        <v>0</v>
      </c>
      <c r="R1047" s="90">
        <v>66791.407407407401</v>
      </c>
    </row>
    <row r="1048" spans="1:18" s="46" customFormat="1">
      <c r="A1048" s="90" t="s">
        <v>29</v>
      </c>
      <c r="B1048" s="90" t="s">
        <v>1439</v>
      </c>
      <c r="C1048" s="90" t="str">
        <f t="shared" si="16"/>
        <v>Old HarborEducation - K - 12</v>
      </c>
      <c r="D1048" s="90">
        <v>4</v>
      </c>
      <c r="E1048" s="90">
        <v>47893.831111111111</v>
      </c>
      <c r="F1048" s="90">
        <v>30585.205303756586</v>
      </c>
      <c r="G1048" s="90">
        <v>0</v>
      </c>
      <c r="H1048" s="90">
        <v>323134.82150541781</v>
      </c>
      <c r="I1048" s="90">
        <v>0</v>
      </c>
      <c r="J1048" s="90">
        <v>0</v>
      </c>
      <c r="K1048" s="90">
        <v>0</v>
      </c>
      <c r="L1048" s="90">
        <v>22633.051924779869</v>
      </c>
      <c r="M1048" s="90">
        <v>0</v>
      </c>
      <c r="N1048" s="90">
        <v>239119.76791400916</v>
      </c>
      <c r="O1048" s="90">
        <v>0</v>
      </c>
      <c r="P1048" s="90">
        <v>0</v>
      </c>
      <c r="Q1048" s="90">
        <v>0</v>
      </c>
      <c r="R1048" s="90">
        <v>335256.81777777779</v>
      </c>
    </row>
    <row r="1049" spans="1:18" s="46" customFormat="1">
      <c r="A1049" s="90" t="s">
        <v>29</v>
      </c>
      <c r="B1049" s="90" t="s">
        <v>1440</v>
      </c>
      <c r="C1049" s="90" t="str">
        <f t="shared" si="16"/>
        <v>Old HarborHealth Care - Hospitals</v>
      </c>
      <c r="D1049" s="90">
        <v>2</v>
      </c>
      <c r="E1049" s="90">
        <v>4513.8500000000004</v>
      </c>
      <c r="F1049" s="90">
        <v>3146.0330953609127</v>
      </c>
      <c r="G1049" s="90">
        <v>0</v>
      </c>
      <c r="H1049" s="90">
        <v>33955.126524940737</v>
      </c>
      <c r="I1049" s="90">
        <v>0</v>
      </c>
      <c r="J1049" s="90">
        <v>0</v>
      </c>
      <c r="K1049" s="90">
        <v>0</v>
      </c>
      <c r="L1049" s="90">
        <v>2328.0644905670756</v>
      </c>
      <c r="M1049" s="90">
        <v>0</v>
      </c>
      <c r="N1049" s="90">
        <v>25126.793628456144</v>
      </c>
      <c r="O1049" s="90">
        <v>0</v>
      </c>
      <c r="P1049" s="90">
        <v>0</v>
      </c>
      <c r="Q1049" s="90">
        <v>0</v>
      </c>
      <c r="R1049" s="90">
        <v>31596.950000000004</v>
      </c>
    </row>
    <row r="1050" spans="1:18">
      <c r="A1050" s="90" t="s">
        <v>29</v>
      </c>
      <c r="B1050" s="90" t="s">
        <v>665</v>
      </c>
      <c r="C1050" s="90" t="str">
        <f t="shared" si="16"/>
        <v>Old HarborOffice</v>
      </c>
      <c r="D1050" s="90">
        <v>3</v>
      </c>
      <c r="E1050" s="90">
        <v>6370.5170068027219</v>
      </c>
      <c r="F1050" s="90">
        <v>8477.013190520207</v>
      </c>
      <c r="G1050" s="90">
        <v>0</v>
      </c>
      <c r="H1050" s="90">
        <v>51066.256958276455</v>
      </c>
      <c r="I1050" s="90">
        <v>0</v>
      </c>
      <c r="J1050" s="90">
        <v>0</v>
      </c>
      <c r="K1050" s="90">
        <v>0</v>
      </c>
      <c r="L1050" s="90">
        <v>6272.989760984954</v>
      </c>
      <c r="M1050" s="90">
        <v>0</v>
      </c>
      <c r="N1050" s="90">
        <v>37789.030149124577</v>
      </c>
      <c r="O1050" s="90">
        <v>0</v>
      </c>
      <c r="P1050" s="90">
        <v>0</v>
      </c>
      <c r="Q1050" s="90">
        <v>0</v>
      </c>
      <c r="R1050" s="90">
        <v>44593.619047619046</v>
      </c>
    </row>
    <row r="1051" spans="1:18">
      <c r="A1051" s="90" t="s">
        <v>29</v>
      </c>
      <c r="B1051" s="90" t="s">
        <v>643</v>
      </c>
      <c r="C1051" s="90" t="str">
        <f t="shared" si="16"/>
        <v>Old HarborOther</v>
      </c>
      <c r="D1051" s="90">
        <v>13</v>
      </c>
      <c r="E1051" s="90">
        <v>46103.204545454544</v>
      </c>
      <c r="F1051" s="90">
        <v>39873.340583202895</v>
      </c>
      <c r="G1051" s="90">
        <v>0</v>
      </c>
      <c r="H1051" s="90">
        <v>335538.55634753162</v>
      </c>
      <c r="I1051" s="90">
        <v>0</v>
      </c>
      <c r="J1051" s="90">
        <v>0</v>
      </c>
      <c r="K1051" s="90">
        <v>0</v>
      </c>
      <c r="L1051" s="90">
        <v>29506.27203157013</v>
      </c>
      <c r="M1051" s="90">
        <v>0</v>
      </c>
      <c r="N1051" s="90">
        <v>248298.5316971734</v>
      </c>
      <c r="O1051" s="90">
        <v>0</v>
      </c>
      <c r="P1051" s="90">
        <v>0</v>
      </c>
      <c r="Q1051" s="90">
        <v>0</v>
      </c>
      <c r="R1051" s="90">
        <v>322722.43181818177</v>
      </c>
    </row>
    <row r="1052" spans="1:18">
      <c r="A1052" s="90" t="s">
        <v>29</v>
      </c>
      <c r="B1052" s="90" t="s">
        <v>1227</v>
      </c>
      <c r="C1052" s="90" t="str">
        <f t="shared" si="16"/>
        <v>Old HarborPublic Assembly</v>
      </c>
      <c r="D1052" s="90">
        <v>5</v>
      </c>
      <c r="E1052" s="90">
        <v>13826.884615384615</v>
      </c>
      <c r="F1052" s="90">
        <v>8627.3894688924956</v>
      </c>
      <c r="G1052" s="90">
        <v>0</v>
      </c>
      <c r="H1052" s="90">
        <v>52013.084014115753</v>
      </c>
      <c r="I1052" s="90">
        <v>0</v>
      </c>
      <c r="J1052" s="90">
        <v>0</v>
      </c>
      <c r="K1052" s="90">
        <v>0</v>
      </c>
      <c r="L1052" s="90">
        <v>6384.2682069804459</v>
      </c>
      <c r="M1052" s="90">
        <v>0</v>
      </c>
      <c r="N1052" s="90">
        <v>38489.68217044566</v>
      </c>
      <c r="O1052" s="90">
        <v>0</v>
      </c>
      <c r="P1052" s="90">
        <v>0</v>
      </c>
      <c r="Q1052" s="90">
        <v>0</v>
      </c>
      <c r="R1052" s="90">
        <v>96788.192307692312</v>
      </c>
    </row>
    <row r="1053" spans="1:18">
      <c r="A1053" s="90" t="s">
        <v>29</v>
      </c>
      <c r="B1053" s="90" t="s">
        <v>951</v>
      </c>
      <c r="C1053" s="90" t="str">
        <f t="shared" si="16"/>
        <v>Old HarborWarehousing</v>
      </c>
      <c r="D1053" s="90">
        <v>2</v>
      </c>
      <c r="E1053" s="90">
        <v>2887.9572649572647</v>
      </c>
      <c r="F1053" s="90">
        <v>3620.1422448370777</v>
      </c>
      <c r="G1053" s="90">
        <v>0</v>
      </c>
      <c r="H1053" s="90">
        <v>34266.042637173763</v>
      </c>
      <c r="I1053" s="90">
        <v>0</v>
      </c>
      <c r="J1053" s="90">
        <v>0</v>
      </c>
      <c r="K1053" s="90">
        <v>0</v>
      </c>
      <c r="L1053" s="90">
        <v>2678.9052611794373</v>
      </c>
      <c r="M1053" s="90">
        <v>0</v>
      </c>
      <c r="N1053" s="90">
        <v>25356.871551508586</v>
      </c>
      <c r="O1053" s="90">
        <v>0</v>
      </c>
      <c r="P1053" s="90">
        <v>0</v>
      </c>
      <c r="Q1053" s="90">
        <v>0</v>
      </c>
      <c r="R1053" s="90">
        <v>20215.700854700852</v>
      </c>
    </row>
    <row r="1054" spans="1:18">
      <c r="A1054" s="90" t="s">
        <v>1052</v>
      </c>
      <c r="B1054" s="90" t="s">
        <v>1439</v>
      </c>
      <c r="C1054" s="90" t="str">
        <f t="shared" si="16"/>
        <v>OscarvilleEducation - K - 12</v>
      </c>
      <c r="D1054" s="90">
        <v>4</v>
      </c>
      <c r="E1054" s="90">
        <v>37773.246666666666</v>
      </c>
      <c r="F1054" s="90">
        <v>32022.815458401834</v>
      </c>
      <c r="G1054" s="90">
        <v>0</v>
      </c>
      <c r="H1054" s="90">
        <v>245466.18987206678</v>
      </c>
      <c r="I1054" s="90">
        <v>0</v>
      </c>
      <c r="J1054" s="90">
        <v>0</v>
      </c>
      <c r="K1054" s="90">
        <v>0</v>
      </c>
      <c r="L1054" s="90">
        <v>23696.883439217359</v>
      </c>
      <c r="M1054" s="90">
        <v>0</v>
      </c>
      <c r="N1054" s="90">
        <v>181644.98050532944</v>
      </c>
      <c r="O1054" s="90">
        <v>0</v>
      </c>
      <c r="P1054" s="90">
        <v>0</v>
      </c>
      <c r="Q1054" s="90">
        <v>0</v>
      </c>
      <c r="R1054" s="90">
        <v>264412.72666666668</v>
      </c>
    </row>
    <row r="1055" spans="1:18">
      <c r="A1055" s="90" t="s">
        <v>1052</v>
      </c>
      <c r="B1055" s="90" t="s">
        <v>1440</v>
      </c>
      <c r="C1055" s="90" t="str">
        <f t="shared" si="16"/>
        <v>OscarvilleHealth Care - Hospitals</v>
      </c>
      <c r="D1055" s="90">
        <v>1</v>
      </c>
      <c r="E1055" s="90">
        <v>520</v>
      </c>
      <c r="F1055" s="90">
        <v>650</v>
      </c>
      <c r="G1055" s="90">
        <v>0</v>
      </c>
      <c r="H1055" s="90">
        <v>3053</v>
      </c>
      <c r="I1055" s="90">
        <v>0</v>
      </c>
      <c r="J1055" s="90">
        <v>0</v>
      </c>
      <c r="K1055" s="90">
        <v>0</v>
      </c>
      <c r="L1055" s="90">
        <v>481</v>
      </c>
      <c r="M1055" s="90">
        <v>0</v>
      </c>
      <c r="N1055" s="90">
        <v>2259.2199999999998</v>
      </c>
      <c r="O1055" s="90">
        <v>0</v>
      </c>
      <c r="P1055" s="90">
        <v>0</v>
      </c>
      <c r="Q1055" s="90">
        <v>0</v>
      </c>
      <c r="R1055" s="90">
        <v>3640</v>
      </c>
    </row>
    <row r="1056" spans="1:18">
      <c r="A1056" s="90" t="s">
        <v>1052</v>
      </c>
      <c r="B1056" s="90" t="s">
        <v>665</v>
      </c>
      <c r="C1056" s="90" t="str">
        <f t="shared" si="16"/>
        <v>OscarvilleOffice</v>
      </c>
      <c r="D1056" s="90">
        <v>1</v>
      </c>
      <c r="E1056" s="90">
        <v>420</v>
      </c>
      <c r="F1056" s="90">
        <v>752</v>
      </c>
      <c r="G1056" s="90">
        <v>0</v>
      </c>
      <c r="H1056" s="90">
        <v>1559</v>
      </c>
      <c r="I1056" s="90">
        <v>0</v>
      </c>
      <c r="J1056" s="90">
        <v>0</v>
      </c>
      <c r="K1056" s="90">
        <v>0</v>
      </c>
      <c r="L1056" s="90">
        <v>556.48</v>
      </c>
      <c r="M1056" s="90">
        <v>0</v>
      </c>
      <c r="N1056" s="90">
        <v>1153.6600000000001</v>
      </c>
      <c r="O1056" s="90">
        <v>0</v>
      </c>
      <c r="P1056" s="90">
        <v>0</v>
      </c>
      <c r="Q1056" s="90">
        <v>0</v>
      </c>
      <c r="R1056" s="90">
        <v>2940</v>
      </c>
    </row>
    <row r="1057" spans="1:18">
      <c r="A1057" s="90" t="s">
        <v>1052</v>
      </c>
      <c r="B1057" s="90" t="s">
        <v>643</v>
      </c>
      <c r="C1057" s="90" t="str">
        <f t="shared" si="16"/>
        <v>OscarvilleOther</v>
      </c>
      <c r="D1057" s="90">
        <v>1</v>
      </c>
      <c r="E1057" s="90">
        <v>2163.9204545454545</v>
      </c>
      <c r="F1057" s="90">
        <v>1871.5127967727569</v>
      </c>
      <c r="G1057" s="90">
        <v>0</v>
      </c>
      <c r="H1057" s="90">
        <v>15748.986486464588</v>
      </c>
      <c r="I1057" s="90">
        <v>0</v>
      </c>
      <c r="J1057" s="90">
        <v>0</v>
      </c>
      <c r="K1057" s="90">
        <v>0</v>
      </c>
      <c r="L1057" s="90">
        <v>1384.9194696118402</v>
      </c>
      <c r="M1057" s="90">
        <v>0</v>
      </c>
      <c r="N1057" s="90">
        <v>11654.249999983795</v>
      </c>
      <c r="O1057" s="90">
        <v>0</v>
      </c>
      <c r="P1057" s="90">
        <v>0</v>
      </c>
      <c r="Q1057" s="90">
        <v>0</v>
      </c>
      <c r="R1057" s="90">
        <v>15147.443181818182</v>
      </c>
    </row>
    <row r="1058" spans="1:18">
      <c r="A1058" s="90" t="s">
        <v>1052</v>
      </c>
      <c r="B1058" s="90" t="s">
        <v>951</v>
      </c>
      <c r="C1058" s="90" t="str">
        <f t="shared" si="16"/>
        <v>OscarvilleWarehousing</v>
      </c>
      <c r="D1058" s="90">
        <v>1</v>
      </c>
      <c r="E1058" s="90">
        <v>1783.9572649572649</v>
      </c>
      <c r="F1058" s="90">
        <v>2236.2446758544302</v>
      </c>
      <c r="G1058" s="90">
        <v>0</v>
      </c>
      <c r="H1058" s="90">
        <v>21166.918377106285</v>
      </c>
      <c r="I1058" s="90">
        <v>0</v>
      </c>
      <c r="J1058" s="90">
        <v>0</v>
      </c>
      <c r="K1058" s="90">
        <v>0</v>
      </c>
      <c r="L1058" s="90">
        <v>1654.8210601322783</v>
      </c>
      <c r="M1058" s="90">
        <v>0</v>
      </c>
      <c r="N1058" s="90">
        <v>15663.519599058651</v>
      </c>
      <c r="O1058" s="90">
        <v>0</v>
      </c>
      <c r="P1058" s="90">
        <v>0</v>
      </c>
      <c r="Q1058" s="90">
        <v>0</v>
      </c>
      <c r="R1058" s="90">
        <v>12487.700854700854</v>
      </c>
    </row>
    <row r="1059" spans="1:18">
      <c r="A1059" s="90" t="s">
        <v>217</v>
      </c>
      <c r="B1059" s="90" t="s">
        <v>1439</v>
      </c>
      <c r="C1059" s="90" t="str">
        <f t="shared" si="16"/>
        <v>OuzinkieEducation - K - 12</v>
      </c>
      <c r="D1059" s="90">
        <v>1</v>
      </c>
      <c r="E1059" s="90">
        <v>16918</v>
      </c>
      <c r="F1059" s="90">
        <v>6175</v>
      </c>
      <c r="G1059" s="90">
        <v>0</v>
      </c>
      <c r="H1059" s="90">
        <v>118999</v>
      </c>
      <c r="I1059" s="90">
        <v>0</v>
      </c>
      <c r="J1059" s="90">
        <v>0</v>
      </c>
      <c r="K1059" s="90">
        <v>0</v>
      </c>
      <c r="L1059" s="90">
        <v>4569.5</v>
      </c>
      <c r="M1059" s="90">
        <v>0</v>
      </c>
      <c r="N1059" s="90">
        <v>88059.26</v>
      </c>
      <c r="O1059" s="90">
        <v>0</v>
      </c>
      <c r="P1059" s="90">
        <v>0</v>
      </c>
      <c r="Q1059" s="90">
        <v>0</v>
      </c>
      <c r="R1059" s="90">
        <v>118426</v>
      </c>
    </row>
    <row r="1060" spans="1:18">
      <c r="A1060" s="90" t="s">
        <v>217</v>
      </c>
      <c r="B1060" s="90" t="s">
        <v>1440</v>
      </c>
      <c r="C1060" s="90" t="str">
        <f t="shared" si="16"/>
        <v>OuzinkieHealth Care - Hospitals</v>
      </c>
      <c r="D1060" s="90">
        <v>2</v>
      </c>
      <c r="E1060" s="90">
        <v>4513.8500000000004</v>
      </c>
      <c r="F1060" s="90">
        <v>3146.0330953609127</v>
      </c>
      <c r="G1060" s="90">
        <v>0</v>
      </c>
      <c r="H1060" s="90">
        <v>33955.126524940737</v>
      </c>
      <c r="I1060" s="90">
        <v>0</v>
      </c>
      <c r="J1060" s="90">
        <v>0</v>
      </c>
      <c r="K1060" s="90">
        <v>0</v>
      </c>
      <c r="L1060" s="90">
        <v>2328.0644905670756</v>
      </c>
      <c r="M1060" s="90">
        <v>0</v>
      </c>
      <c r="N1060" s="90">
        <v>25126.793628456144</v>
      </c>
      <c r="O1060" s="90">
        <v>0</v>
      </c>
      <c r="P1060" s="90">
        <v>0</v>
      </c>
      <c r="Q1060" s="90">
        <v>0</v>
      </c>
      <c r="R1060" s="90">
        <v>31596.950000000004</v>
      </c>
    </row>
    <row r="1061" spans="1:18">
      <c r="A1061" s="90" t="s">
        <v>217</v>
      </c>
      <c r="B1061" s="90" t="s">
        <v>665</v>
      </c>
      <c r="C1061" s="90" t="str">
        <f t="shared" si="16"/>
        <v>OuzinkieOffice</v>
      </c>
      <c r="D1061" s="90">
        <v>5</v>
      </c>
      <c r="E1061" s="90">
        <v>10166.292517006803</v>
      </c>
      <c r="F1061" s="90">
        <v>13527.912361481325</v>
      </c>
      <c r="G1061" s="90">
        <v>0</v>
      </c>
      <c r="H1061" s="90">
        <v>81493.30822476359</v>
      </c>
      <c r="I1061" s="90">
        <v>0</v>
      </c>
      <c r="J1061" s="90">
        <v>0</v>
      </c>
      <c r="K1061" s="90">
        <v>0</v>
      </c>
      <c r="L1061" s="90">
        <v>10010.655147496182</v>
      </c>
      <c r="M1061" s="90">
        <v>0</v>
      </c>
      <c r="N1061" s="90">
        <v>60305.048086325049</v>
      </c>
      <c r="O1061" s="90">
        <v>0</v>
      </c>
      <c r="P1061" s="90">
        <v>0</v>
      </c>
      <c r="Q1061" s="90">
        <v>0</v>
      </c>
      <c r="R1061" s="90">
        <v>71164.047619047618</v>
      </c>
    </row>
    <row r="1062" spans="1:18">
      <c r="A1062" s="90" t="s">
        <v>217</v>
      </c>
      <c r="B1062" s="90" t="s">
        <v>643</v>
      </c>
      <c r="C1062" s="90" t="str">
        <f t="shared" si="16"/>
        <v>OuzinkieOther</v>
      </c>
      <c r="D1062" s="90">
        <v>11</v>
      </c>
      <c r="E1062" s="90">
        <v>23803.125000000004</v>
      </c>
      <c r="F1062" s="90">
        <v>20586.640764500327</v>
      </c>
      <c r="G1062" s="90">
        <v>0</v>
      </c>
      <c r="H1062" s="90">
        <v>173238.8513511105</v>
      </c>
      <c r="I1062" s="90">
        <v>0</v>
      </c>
      <c r="J1062" s="90">
        <v>0</v>
      </c>
      <c r="K1062" s="90">
        <v>0</v>
      </c>
      <c r="L1062" s="90">
        <v>15234.11416573024</v>
      </c>
      <c r="M1062" s="90">
        <v>0</v>
      </c>
      <c r="N1062" s="90">
        <v>128196.74999982171</v>
      </c>
      <c r="O1062" s="90">
        <v>0</v>
      </c>
      <c r="P1062" s="90">
        <v>0</v>
      </c>
      <c r="Q1062" s="90">
        <v>0</v>
      </c>
      <c r="R1062" s="90">
        <v>166621.87499999997</v>
      </c>
    </row>
    <row r="1063" spans="1:18">
      <c r="A1063" s="90" t="s">
        <v>217</v>
      </c>
      <c r="B1063" s="90" t="s">
        <v>1227</v>
      </c>
      <c r="C1063" s="90" t="str">
        <f t="shared" si="16"/>
        <v>OuzinkiePublic Assembly</v>
      </c>
      <c r="D1063" s="90">
        <v>4</v>
      </c>
      <c r="E1063" s="90">
        <v>12546.884615384615</v>
      </c>
      <c r="F1063" s="90">
        <v>7828.7237659983493</v>
      </c>
      <c r="G1063" s="90">
        <v>0</v>
      </c>
      <c r="H1063" s="90">
        <v>47198.062453583538</v>
      </c>
      <c r="I1063" s="90">
        <v>0</v>
      </c>
      <c r="J1063" s="90">
        <v>0</v>
      </c>
      <c r="K1063" s="90">
        <v>0</v>
      </c>
      <c r="L1063" s="90">
        <v>5793.2555868387781</v>
      </c>
      <c r="M1063" s="90">
        <v>0</v>
      </c>
      <c r="N1063" s="90">
        <v>34926.566215651816</v>
      </c>
      <c r="O1063" s="90">
        <v>0</v>
      </c>
      <c r="P1063" s="90">
        <v>0</v>
      </c>
      <c r="Q1063" s="90">
        <v>0</v>
      </c>
      <c r="R1063" s="90">
        <v>87828.192307692312</v>
      </c>
    </row>
    <row r="1064" spans="1:18">
      <c r="A1064" s="90" t="s">
        <v>217</v>
      </c>
      <c r="B1064" s="90" t="s">
        <v>1475</v>
      </c>
      <c r="C1064" s="90" t="str">
        <f t="shared" si="16"/>
        <v>OuzinkiePublic Safety</v>
      </c>
      <c r="D1064" s="90">
        <v>2</v>
      </c>
      <c r="E1064" s="90">
        <v>5190.95</v>
      </c>
      <c r="F1064" s="90">
        <v>5047.549247855236</v>
      </c>
      <c r="G1064" s="90">
        <v>0</v>
      </c>
      <c r="H1064" s="90">
        <v>41893.284612657066</v>
      </c>
      <c r="I1064" s="90">
        <v>0</v>
      </c>
      <c r="J1064" s="90">
        <v>0</v>
      </c>
      <c r="K1064" s="90">
        <v>0</v>
      </c>
      <c r="L1064" s="90">
        <v>3735.1864434128747</v>
      </c>
      <c r="M1064" s="90">
        <v>0</v>
      </c>
      <c r="N1064" s="90">
        <v>31001.030613366227</v>
      </c>
      <c r="O1064" s="90">
        <v>0</v>
      </c>
      <c r="P1064" s="90">
        <v>0</v>
      </c>
      <c r="Q1064" s="90">
        <v>0</v>
      </c>
      <c r="R1064" s="90">
        <v>36336.65</v>
      </c>
    </row>
    <row r="1065" spans="1:18">
      <c r="A1065" s="90" t="s">
        <v>217</v>
      </c>
      <c r="B1065" s="90" t="s">
        <v>951</v>
      </c>
      <c r="C1065" s="90" t="str">
        <f t="shared" si="16"/>
        <v>OuzinkieWarehousing</v>
      </c>
      <c r="D1065" s="90">
        <v>2</v>
      </c>
      <c r="E1065" s="90">
        <v>2503.9572649572647</v>
      </c>
      <c r="F1065" s="90">
        <v>3138.7865686692003</v>
      </c>
      <c r="G1065" s="90">
        <v>0</v>
      </c>
      <c r="H1065" s="90">
        <v>29709.825503237251</v>
      </c>
      <c r="I1065" s="90">
        <v>0</v>
      </c>
      <c r="J1065" s="90">
        <v>0</v>
      </c>
      <c r="K1065" s="90">
        <v>0</v>
      </c>
      <c r="L1065" s="90">
        <v>2322.7020608152079</v>
      </c>
      <c r="M1065" s="90">
        <v>0</v>
      </c>
      <c r="N1065" s="90">
        <v>21985.270872395566</v>
      </c>
      <c r="O1065" s="90">
        <v>0</v>
      </c>
      <c r="P1065" s="90">
        <v>0</v>
      </c>
      <c r="Q1065" s="90">
        <v>0</v>
      </c>
      <c r="R1065" s="90">
        <v>17527.700854700852</v>
      </c>
    </row>
    <row r="1066" spans="1:18">
      <c r="A1066" s="90" t="s">
        <v>1053</v>
      </c>
      <c r="B1066" s="90" t="s">
        <v>643</v>
      </c>
      <c r="C1066" s="90" t="str">
        <f t="shared" si="16"/>
        <v>PaxsonOther</v>
      </c>
      <c r="D1066" s="90">
        <v>1</v>
      </c>
      <c r="E1066" s="90">
        <v>3800</v>
      </c>
      <c r="F1066" s="90">
        <v>4490.1197080291977</v>
      </c>
      <c r="G1066" s="90">
        <v>0</v>
      </c>
      <c r="H1066" s="90">
        <v>55466.2991922</v>
      </c>
      <c r="I1066" s="90">
        <v>0</v>
      </c>
      <c r="J1066" s="90">
        <v>0</v>
      </c>
      <c r="K1066" s="90">
        <v>0</v>
      </c>
      <c r="L1066" s="90">
        <v>3322.6885839416063</v>
      </c>
      <c r="M1066" s="90">
        <v>0</v>
      </c>
      <c r="N1066" s="90">
        <v>41045.061402227999</v>
      </c>
      <c r="O1066" s="90">
        <v>0</v>
      </c>
      <c r="P1066" s="90">
        <v>0</v>
      </c>
      <c r="Q1066" s="90">
        <v>0</v>
      </c>
      <c r="R1066" s="90">
        <v>26600</v>
      </c>
    </row>
    <row r="1067" spans="1:18">
      <c r="A1067" s="90" t="s">
        <v>1053</v>
      </c>
      <c r="B1067" s="90" t="s">
        <v>1442</v>
      </c>
      <c r="C1067" s="90" t="str">
        <f t="shared" si="16"/>
        <v>PaxsonResidential - Multi-Family</v>
      </c>
      <c r="D1067" s="90">
        <v>1</v>
      </c>
      <c r="E1067" s="90">
        <v>1900</v>
      </c>
      <c r="F1067" s="90">
        <v>1435.4930231811984</v>
      </c>
      <c r="G1067" s="90">
        <v>0</v>
      </c>
      <c r="H1067" s="90">
        <v>9948.3589209985512</v>
      </c>
      <c r="I1067" s="90">
        <v>0</v>
      </c>
      <c r="J1067" s="90">
        <v>0</v>
      </c>
      <c r="K1067" s="90">
        <v>0</v>
      </c>
      <c r="L1067" s="90">
        <v>1062.2648371540868</v>
      </c>
      <c r="M1067" s="90">
        <v>0</v>
      </c>
      <c r="N1067" s="90">
        <v>7361.7856015389279</v>
      </c>
      <c r="O1067" s="90">
        <v>0</v>
      </c>
      <c r="P1067" s="90">
        <v>0</v>
      </c>
      <c r="Q1067" s="90">
        <v>0</v>
      </c>
      <c r="R1067" s="90">
        <v>13300</v>
      </c>
    </row>
    <row r="1068" spans="1:18">
      <c r="A1068" s="90" t="s">
        <v>45</v>
      </c>
      <c r="B1068" s="90" t="s">
        <v>1439</v>
      </c>
      <c r="C1068" s="90" t="str">
        <f t="shared" si="16"/>
        <v>Pedro BayEducation - K - 12</v>
      </c>
      <c r="D1068" s="90">
        <v>2</v>
      </c>
      <c r="E1068" s="90">
        <v>18188.415555555555</v>
      </c>
      <c r="F1068" s="90">
        <v>15419.492000677399</v>
      </c>
      <c r="G1068" s="90">
        <v>0</v>
      </c>
      <c r="H1068" s="90">
        <v>118195.85183213587</v>
      </c>
      <c r="I1068" s="90">
        <v>0</v>
      </c>
      <c r="J1068" s="90">
        <v>0</v>
      </c>
      <c r="K1068" s="90">
        <v>0</v>
      </c>
      <c r="L1068" s="90">
        <v>11410.424080501274</v>
      </c>
      <c r="M1068" s="90">
        <v>0</v>
      </c>
      <c r="N1068" s="90">
        <v>87464.930355780554</v>
      </c>
      <c r="O1068" s="90">
        <v>0</v>
      </c>
      <c r="P1068" s="90">
        <v>0</v>
      </c>
      <c r="Q1068" s="90">
        <v>0</v>
      </c>
      <c r="R1068" s="90">
        <v>127318.90888888889</v>
      </c>
    </row>
    <row r="1069" spans="1:18">
      <c r="A1069" s="90" t="s">
        <v>45</v>
      </c>
      <c r="B1069" s="90" t="s">
        <v>1469</v>
      </c>
      <c r="C1069" s="90" t="str">
        <f t="shared" si="16"/>
        <v>Pedro BayFood Service and Drinking Places</v>
      </c>
      <c r="D1069" s="90">
        <v>1</v>
      </c>
      <c r="E1069" s="90">
        <v>2640.5384615384614</v>
      </c>
      <c r="F1069" s="90">
        <v>1059.7361025641026</v>
      </c>
      <c r="G1069" s="90">
        <v>0</v>
      </c>
      <c r="H1069" s="90">
        <v>7071.0110453841353</v>
      </c>
      <c r="I1069" s="90">
        <v>0</v>
      </c>
      <c r="J1069" s="90">
        <v>0</v>
      </c>
      <c r="K1069" s="90">
        <v>0</v>
      </c>
      <c r="L1069" s="90">
        <v>784.2047158974359</v>
      </c>
      <c r="M1069" s="90">
        <v>0</v>
      </c>
      <c r="N1069" s="90">
        <v>5232.5481735842604</v>
      </c>
      <c r="O1069" s="90">
        <v>0</v>
      </c>
      <c r="P1069" s="90">
        <v>0</v>
      </c>
      <c r="Q1069" s="90">
        <v>0</v>
      </c>
      <c r="R1069" s="90">
        <v>18483.76923076923</v>
      </c>
    </row>
    <row r="1070" spans="1:18">
      <c r="A1070" s="90" t="s">
        <v>45</v>
      </c>
      <c r="B1070" s="90" t="s">
        <v>1440</v>
      </c>
      <c r="C1070" s="90" t="str">
        <f t="shared" si="16"/>
        <v>Pedro BayHealth Care - Hospitals</v>
      </c>
      <c r="D1070" s="90">
        <v>1</v>
      </c>
      <c r="E1070" s="90">
        <v>797</v>
      </c>
      <c r="F1070" s="90">
        <v>555.48774926119552</v>
      </c>
      <c r="G1070" s="90">
        <v>0</v>
      </c>
      <c r="H1070" s="90">
        <v>5995.3777463535043</v>
      </c>
      <c r="I1070" s="90">
        <v>0</v>
      </c>
      <c r="J1070" s="90">
        <v>0</v>
      </c>
      <c r="K1070" s="90">
        <v>0</v>
      </c>
      <c r="L1070" s="90">
        <v>411.06093445328469</v>
      </c>
      <c r="M1070" s="90">
        <v>0</v>
      </c>
      <c r="N1070" s="90">
        <v>4436.5795323015927</v>
      </c>
      <c r="O1070" s="90">
        <v>0</v>
      </c>
      <c r="P1070" s="90">
        <v>0</v>
      </c>
      <c r="Q1070" s="90">
        <v>0</v>
      </c>
      <c r="R1070" s="90">
        <v>5579</v>
      </c>
    </row>
    <row r="1071" spans="1:18">
      <c r="A1071" s="90" t="s">
        <v>45</v>
      </c>
      <c r="B1071" s="90" t="s">
        <v>665</v>
      </c>
      <c r="C1071" s="90" t="str">
        <f t="shared" si="16"/>
        <v>Pedro BayOffice</v>
      </c>
      <c r="D1071" s="90">
        <v>2</v>
      </c>
      <c r="E1071" s="90">
        <v>4066.517006802721</v>
      </c>
      <c r="F1071" s="90">
        <v>2705.5824722962652</v>
      </c>
      <c r="G1071" s="90">
        <v>2705.5824722962652</v>
      </c>
      <c r="H1071" s="90">
        <v>32597.323289905435</v>
      </c>
      <c r="I1071" s="90">
        <v>0</v>
      </c>
      <c r="J1071" s="90">
        <v>0</v>
      </c>
      <c r="K1071" s="90">
        <v>0</v>
      </c>
      <c r="L1071" s="90">
        <v>2002.1310294992363</v>
      </c>
      <c r="M1071" s="90">
        <v>2002.1310294992363</v>
      </c>
      <c r="N1071" s="90">
        <v>24122.01923453002</v>
      </c>
      <c r="O1071" s="90">
        <v>0</v>
      </c>
      <c r="P1071" s="90">
        <v>0</v>
      </c>
      <c r="Q1071" s="90">
        <v>0</v>
      </c>
      <c r="R1071" s="90">
        <v>28465.619047619046</v>
      </c>
    </row>
    <row r="1072" spans="1:18">
      <c r="A1072" s="90" t="s">
        <v>45</v>
      </c>
      <c r="B1072" s="90" t="s">
        <v>643</v>
      </c>
      <c r="C1072" s="90" t="str">
        <f t="shared" si="16"/>
        <v>Pedro BayOther</v>
      </c>
      <c r="D1072" s="90">
        <v>4</v>
      </c>
      <c r="E1072" s="90">
        <v>8655.681818181818</v>
      </c>
      <c r="F1072" s="90">
        <v>7486.0511870910277</v>
      </c>
      <c r="G1072" s="90">
        <v>0</v>
      </c>
      <c r="H1072" s="90">
        <v>62995.945945858351</v>
      </c>
      <c r="I1072" s="90">
        <v>0</v>
      </c>
      <c r="J1072" s="90">
        <v>0</v>
      </c>
      <c r="K1072" s="90">
        <v>0</v>
      </c>
      <c r="L1072" s="90">
        <v>5539.6778784473609</v>
      </c>
      <c r="M1072" s="90">
        <v>0</v>
      </c>
      <c r="N1072" s="90">
        <v>46616.999999935178</v>
      </c>
      <c r="O1072" s="90">
        <v>0</v>
      </c>
      <c r="P1072" s="90">
        <v>0</v>
      </c>
      <c r="Q1072" s="90">
        <v>0</v>
      </c>
      <c r="R1072" s="90">
        <v>60589.772727272728</v>
      </c>
    </row>
    <row r="1073" spans="1:18">
      <c r="A1073" s="90" t="s">
        <v>45</v>
      </c>
      <c r="B1073" s="90" t="s">
        <v>1227</v>
      </c>
      <c r="C1073" s="90" t="str">
        <f t="shared" si="16"/>
        <v>Pedro BayPublic Assembly</v>
      </c>
      <c r="D1073" s="90">
        <v>3</v>
      </c>
      <c r="E1073" s="90">
        <v>9410.163461538461</v>
      </c>
      <c r="F1073" s="90">
        <v>5871.5428244987615</v>
      </c>
      <c r="G1073" s="90">
        <v>0</v>
      </c>
      <c r="H1073" s="90">
        <v>35398.546840187657</v>
      </c>
      <c r="I1073" s="90">
        <v>0</v>
      </c>
      <c r="J1073" s="90">
        <v>0</v>
      </c>
      <c r="K1073" s="90">
        <v>0</v>
      </c>
      <c r="L1073" s="90">
        <v>4344.9416901290833</v>
      </c>
      <c r="M1073" s="90">
        <v>0</v>
      </c>
      <c r="N1073" s="90">
        <v>26194.924661738864</v>
      </c>
      <c r="O1073" s="90">
        <v>0</v>
      </c>
      <c r="P1073" s="90">
        <v>0</v>
      </c>
      <c r="Q1073" s="90">
        <v>0</v>
      </c>
      <c r="R1073" s="90">
        <v>65871.144230769234</v>
      </c>
    </row>
    <row r="1074" spans="1:18">
      <c r="A1074" s="90" t="s">
        <v>45</v>
      </c>
      <c r="B1074" s="90" t="s">
        <v>951</v>
      </c>
      <c r="C1074" s="90" t="str">
        <f t="shared" si="16"/>
        <v>Pedro BayWarehousing</v>
      </c>
      <c r="D1074" s="90">
        <v>2</v>
      </c>
      <c r="E1074" s="90">
        <v>1920</v>
      </c>
      <c r="F1074" s="90">
        <v>385.4014598540146</v>
      </c>
      <c r="G1074" s="90">
        <v>752.1182440123082</v>
      </c>
      <c r="H1074" s="90">
        <v>22781.085669682572</v>
      </c>
      <c r="I1074" s="90">
        <v>0</v>
      </c>
      <c r="J1074" s="90">
        <v>0</v>
      </c>
      <c r="K1074" s="90">
        <v>0</v>
      </c>
      <c r="L1074" s="90">
        <v>285.19708029197079</v>
      </c>
      <c r="M1074" s="90">
        <v>556.56750056910801</v>
      </c>
      <c r="N1074" s="90">
        <v>16858.003395565102</v>
      </c>
      <c r="O1074" s="90">
        <v>0</v>
      </c>
      <c r="P1074" s="90">
        <v>0</v>
      </c>
      <c r="Q1074" s="90">
        <v>0</v>
      </c>
      <c r="R1074" s="90">
        <v>13440</v>
      </c>
    </row>
    <row r="1075" spans="1:18">
      <c r="A1075" s="90" t="s">
        <v>1054</v>
      </c>
      <c r="B1075" s="90" t="s">
        <v>1447</v>
      </c>
      <c r="C1075" s="90" t="str">
        <f t="shared" si="16"/>
        <v>PelicanAccomodation Services</v>
      </c>
      <c r="D1075" s="90">
        <v>3</v>
      </c>
      <c r="E1075" s="90">
        <v>10970.814814814814</v>
      </c>
      <c r="F1075" s="90">
        <v>7558.8655689862317</v>
      </c>
      <c r="G1075" s="90">
        <v>0</v>
      </c>
      <c r="H1075" s="90">
        <v>58612.933259073608</v>
      </c>
      <c r="I1075" s="90">
        <v>0</v>
      </c>
      <c r="J1075" s="90">
        <v>0</v>
      </c>
      <c r="K1075" s="90">
        <v>0</v>
      </c>
      <c r="L1075" s="90">
        <v>5593.5605210498106</v>
      </c>
      <c r="M1075" s="90">
        <v>0</v>
      </c>
      <c r="N1075" s="90">
        <v>43373.570611714473</v>
      </c>
      <c r="O1075" s="90">
        <v>0</v>
      </c>
      <c r="P1075" s="90">
        <v>0</v>
      </c>
      <c r="Q1075" s="90">
        <v>0</v>
      </c>
      <c r="R1075" s="90">
        <v>76795.703703703708</v>
      </c>
    </row>
    <row r="1076" spans="1:18">
      <c r="A1076" s="90" t="s">
        <v>1054</v>
      </c>
      <c r="B1076" s="90" t="s">
        <v>1439</v>
      </c>
      <c r="C1076" s="90" t="str">
        <f t="shared" si="16"/>
        <v>PelicanEducation - K - 12</v>
      </c>
      <c r="D1076" s="90">
        <v>3</v>
      </c>
      <c r="E1076" s="90">
        <v>19182</v>
      </c>
      <c r="F1076" s="90">
        <v>3910.2637931970348</v>
      </c>
      <c r="G1076" s="90">
        <v>0</v>
      </c>
      <c r="H1076" s="90">
        <v>39818.889125548099</v>
      </c>
      <c r="I1076" s="90">
        <v>0</v>
      </c>
      <c r="J1076" s="90">
        <v>0</v>
      </c>
      <c r="K1076" s="90">
        <v>0</v>
      </c>
      <c r="L1076" s="90">
        <v>2893.595206965806</v>
      </c>
      <c r="M1076" s="90">
        <v>0</v>
      </c>
      <c r="N1076" s="90">
        <v>29465.977952905596</v>
      </c>
      <c r="O1076" s="90">
        <v>0</v>
      </c>
      <c r="P1076" s="90">
        <v>0</v>
      </c>
      <c r="Q1076" s="90">
        <v>0</v>
      </c>
      <c r="R1076" s="90">
        <v>134274</v>
      </c>
    </row>
    <row r="1077" spans="1:18">
      <c r="A1077" s="90" t="s">
        <v>1054</v>
      </c>
      <c r="B1077" s="90" t="s">
        <v>1469</v>
      </c>
      <c r="C1077" s="90" t="str">
        <f t="shared" si="16"/>
        <v>PelicanFood Service and Drinking Places</v>
      </c>
      <c r="D1077" s="90">
        <v>1</v>
      </c>
      <c r="E1077" s="90">
        <v>7000</v>
      </c>
      <c r="F1077" s="90">
        <v>2809.333333333333</v>
      </c>
      <c r="G1077" s="90">
        <v>0</v>
      </c>
      <c r="H1077" s="90">
        <v>18745.069628279674</v>
      </c>
      <c r="I1077" s="90">
        <v>0</v>
      </c>
      <c r="J1077" s="90">
        <v>0</v>
      </c>
      <c r="K1077" s="90">
        <v>0</v>
      </c>
      <c r="L1077" s="90">
        <v>2078.9066666666663</v>
      </c>
      <c r="M1077" s="90">
        <v>0</v>
      </c>
      <c r="N1077" s="90">
        <v>13871.351524926959</v>
      </c>
      <c r="O1077" s="90">
        <v>0</v>
      </c>
      <c r="P1077" s="90">
        <v>0</v>
      </c>
      <c r="Q1077" s="90">
        <v>0</v>
      </c>
      <c r="R1077" s="90">
        <v>49000</v>
      </c>
    </row>
    <row r="1078" spans="1:18">
      <c r="A1078" s="90" t="s">
        <v>1054</v>
      </c>
      <c r="B1078" s="90" t="s">
        <v>643</v>
      </c>
      <c r="C1078" s="90" t="str">
        <f t="shared" si="16"/>
        <v>PelicanOther</v>
      </c>
      <c r="D1078" s="90">
        <v>4</v>
      </c>
      <c r="E1078" s="90">
        <v>7741.761363636364</v>
      </c>
      <c r="F1078" s="90">
        <v>6695.6275731724299</v>
      </c>
      <c r="G1078" s="90">
        <v>0</v>
      </c>
      <c r="H1078" s="90">
        <v>56344.444104325383</v>
      </c>
      <c r="I1078" s="90">
        <v>0</v>
      </c>
      <c r="J1078" s="90">
        <v>0</v>
      </c>
      <c r="K1078" s="90">
        <v>0</v>
      </c>
      <c r="L1078" s="90">
        <v>4954.7644041475978</v>
      </c>
      <c r="M1078" s="90">
        <v>0</v>
      </c>
      <c r="N1078" s="90">
        <v>41694.888637200784</v>
      </c>
      <c r="O1078" s="90">
        <v>0</v>
      </c>
      <c r="P1078" s="90">
        <v>0</v>
      </c>
      <c r="Q1078" s="90">
        <v>0</v>
      </c>
      <c r="R1078" s="90">
        <v>54192.329545454551</v>
      </c>
    </row>
    <row r="1079" spans="1:18">
      <c r="A1079" s="90" t="s">
        <v>1055</v>
      </c>
      <c r="B1079" s="90" t="s">
        <v>1439</v>
      </c>
      <c r="C1079" s="90" t="str">
        <f t="shared" si="16"/>
        <v>PerryvilleEducation - K - 12</v>
      </c>
      <c r="D1079" s="90">
        <v>2</v>
      </c>
      <c r="E1079" s="90">
        <v>33872.415555555555</v>
      </c>
      <c r="F1079" s="90">
        <v>18611.066009542526</v>
      </c>
      <c r="G1079" s="90">
        <v>0</v>
      </c>
      <c r="H1079" s="90">
        <v>121650.4337988589</v>
      </c>
      <c r="I1079" s="90">
        <v>0</v>
      </c>
      <c r="J1079" s="90">
        <v>0</v>
      </c>
      <c r="K1079" s="90">
        <v>0</v>
      </c>
      <c r="L1079" s="90">
        <v>13772.188847061469</v>
      </c>
      <c r="M1079" s="90">
        <v>0</v>
      </c>
      <c r="N1079" s="90">
        <v>90021.321011155582</v>
      </c>
      <c r="O1079" s="90">
        <v>0</v>
      </c>
      <c r="P1079" s="90">
        <v>0</v>
      </c>
      <c r="Q1079" s="90">
        <v>0</v>
      </c>
      <c r="R1079" s="90">
        <v>237106.90888888889</v>
      </c>
    </row>
    <row r="1080" spans="1:18">
      <c r="A1080" s="90" t="s">
        <v>1055</v>
      </c>
      <c r="B1080" s="90" t="s">
        <v>1440</v>
      </c>
      <c r="C1080" s="90" t="str">
        <f t="shared" si="16"/>
        <v>PerryvilleHealth Care - Hospitals</v>
      </c>
      <c r="D1080" s="90">
        <v>1</v>
      </c>
      <c r="E1080" s="90">
        <v>4413</v>
      </c>
      <c r="F1080" s="90">
        <v>3075.7433343659418</v>
      </c>
      <c r="G1080" s="90">
        <v>0</v>
      </c>
      <c r="H1080" s="90">
        <v>33196.489328303658</v>
      </c>
      <c r="I1080" s="90">
        <v>0</v>
      </c>
      <c r="J1080" s="90">
        <v>0</v>
      </c>
      <c r="K1080" s="90">
        <v>0</v>
      </c>
      <c r="L1080" s="90">
        <v>2276.0500674307968</v>
      </c>
      <c r="M1080" s="90">
        <v>0</v>
      </c>
      <c r="N1080" s="90">
        <v>24565.402102944707</v>
      </c>
      <c r="O1080" s="90">
        <v>0</v>
      </c>
      <c r="P1080" s="90">
        <v>0</v>
      </c>
      <c r="Q1080" s="90">
        <v>0</v>
      </c>
      <c r="R1080" s="90">
        <v>30891</v>
      </c>
    </row>
    <row r="1081" spans="1:18">
      <c r="A1081" s="90" t="s">
        <v>1055</v>
      </c>
      <c r="B1081" s="90" t="s">
        <v>665</v>
      </c>
      <c r="C1081" s="90" t="str">
        <f t="shared" si="16"/>
        <v>PerryvilleOffice</v>
      </c>
      <c r="D1081" s="90">
        <v>3</v>
      </c>
      <c r="E1081" s="90">
        <v>14066.517006802722</v>
      </c>
      <c r="F1081" s="90">
        <v>18717.797956431408</v>
      </c>
      <c r="G1081" s="90">
        <v>0</v>
      </c>
      <c r="H1081" s="90">
        <v>112757.62566998799</v>
      </c>
      <c r="I1081" s="90">
        <v>0</v>
      </c>
      <c r="J1081" s="90">
        <v>0</v>
      </c>
      <c r="K1081" s="90">
        <v>0</v>
      </c>
      <c r="L1081" s="90">
        <v>13851.170487759242</v>
      </c>
      <c r="M1081" s="90">
        <v>0</v>
      </c>
      <c r="N1081" s="90">
        <v>83440.642995791117</v>
      </c>
      <c r="O1081" s="90">
        <v>0</v>
      </c>
      <c r="P1081" s="90">
        <v>0</v>
      </c>
      <c r="Q1081" s="90">
        <v>0</v>
      </c>
      <c r="R1081" s="90">
        <v>98465.619047619053</v>
      </c>
    </row>
    <row r="1082" spans="1:18">
      <c r="A1082" s="90" t="s">
        <v>1055</v>
      </c>
      <c r="B1082" s="90" t="s">
        <v>643</v>
      </c>
      <c r="C1082" s="90" t="str">
        <f t="shared" si="16"/>
        <v>PerryvilleOther</v>
      </c>
      <c r="D1082" s="90">
        <v>13</v>
      </c>
      <c r="E1082" s="90">
        <v>26767.04545454546</v>
      </c>
      <c r="F1082" s="90">
        <v>23150.050638299745</v>
      </c>
      <c r="G1082" s="90">
        <v>0</v>
      </c>
      <c r="H1082" s="90">
        <v>194810.22801033131</v>
      </c>
      <c r="I1082" s="90">
        <v>0</v>
      </c>
      <c r="J1082" s="90">
        <v>0</v>
      </c>
      <c r="K1082" s="90">
        <v>0</v>
      </c>
      <c r="L1082" s="90">
        <v>17131.037472341806</v>
      </c>
      <c r="M1082" s="90">
        <v>0</v>
      </c>
      <c r="N1082" s="90">
        <v>144159.56872764512</v>
      </c>
      <c r="O1082" s="90">
        <v>0</v>
      </c>
      <c r="P1082" s="90">
        <v>0</v>
      </c>
      <c r="Q1082" s="90">
        <v>0</v>
      </c>
      <c r="R1082" s="90">
        <v>187369.31818181815</v>
      </c>
    </row>
    <row r="1083" spans="1:18">
      <c r="A1083" s="90" t="s">
        <v>1055</v>
      </c>
      <c r="B1083" s="90" t="s">
        <v>1227</v>
      </c>
      <c r="C1083" s="90" t="str">
        <f t="shared" si="16"/>
        <v>PerryvillePublic Assembly</v>
      </c>
      <c r="D1083" s="90">
        <v>1</v>
      </c>
      <c r="E1083" s="90">
        <v>3136.7211538461538</v>
      </c>
      <c r="F1083" s="90">
        <v>1957.1809414995873</v>
      </c>
      <c r="G1083" s="90">
        <v>0</v>
      </c>
      <c r="H1083" s="90">
        <v>11799.515613395884</v>
      </c>
      <c r="I1083" s="90">
        <v>0</v>
      </c>
      <c r="J1083" s="90">
        <v>0</v>
      </c>
      <c r="K1083" s="90">
        <v>0</v>
      </c>
      <c r="L1083" s="90">
        <v>1448.3138967096945</v>
      </c>
      <c r="M1083" s="90">
        <v>0</v>
      </c>
      <c r="N1083" s="90">
        <v>8731.6415539129539</v>
      </c>
      <c r="O1083" s="90">
        <v>0</v>
      </c>
      <c r="P1083" s="90">
        <v>0</v>
      </c>
      <c r="Q1083" s="90">
        <v>0</v>
      </c>
      <c r="R1083" s="90">
        <v>21957.048076923078</v>
      </c>
    </row>
    <row r="1084" spans="1:18">
      <c r="A1084" s="90" t="s">
        <v>1055</v>
      </c>
      <c r="B1084" s="90" t="s">
        <v>1475</v>
      </c>
      <c r="C1084" s="90" t="str">
        <f t="shared" si="16"/>
        <v>PerryvillePublic Safety</v>
      </c>
      <c r="D1084" s="90">
        <v>1</v>
      </c>
      <c r="E1084" s="90">
        <v>2595.4749999999999</v>
      </c>
      <c r="F1084" s="90">
        <v>2523.774623927618</v>
      </c>
      <c r="G1084" s="90">
        <v>0</v>
      </c>
      <c r="H1084" s="90">
        <v>20946.642306328533</v>
      </c>
      <c r="I1084" s="90">
        <v>0</v>
      </c>
      <c r="J1084" s="90">
        <v>0</v>
      </c>
      <c r="K1084" s="90">
        <v>0</v>
      </c>
      <c r="L1084" s="90">
        <v>1867.5932217064374</v>
      </c>
      <c r="M1084" s="90">
        <v>0</v>
      </c>
      <c r="N1084" s="90">
        <v>15500.515306683114</v>
      </c>
      <c r="O1084" s="90">
        <v>0</v>
      </c>
      <c r="P1084" s="90">
        <v>0</v>
      </c>
      <c r="Q1084" s="90">
        <v>0</v>
      </c>
      <c r="R1084" s="90">
        <v>18168.325000000001</v>
      </c>
    </row>
    <row r="1085" spans="1:18">
      <c r="A1085" s="90" t="s">
        <v>1055</v>
      </c>
      <c r="B1085" s="90" t="s">
        <v>1485</v>
      </c>
      <c r="C1085" s="90" t="str">
        <f t="shared" si="16"/>
        <v>PerryvilleRetail - Other</v>
      </c>
      <c r="D1085" s="90">
        <v>1</v>
      </c>
      <c r="E1085" s="90">
        <v>2105.2800000000002</v>
      </c>
      <c r="F1085" s="90">
        <v>2225.7819714285715</v>
      </c>
      <c r="G1085" s="90">
        <v>0</v>
      </c>
      <c r="H1085" s="90">
        <v>49590.373216004155</v>
      </c>
      <c r="I1085" s="90">
        <v>0</v>
      </c>
      <c r="J1085" s="90">
        <v>0</v>
      </c>
      <c r="K1085" s="90">
        <v>0</v>
      </c>
      <c r="L1085" s="90">
        <v>1647.078658857143</v>
      </c>
      <c r="M1085" s="90">
        <v>0</v>
      </c>
      <c r="N1085" s="90">
        <v>36696.876179843071</v>
      </c>
      <c r="O1085" s="90">
        <v>0</v>
      </c>
      <c r="P1085" s="90">
        <v>0</v>
      </c>
      <c r="Q1085" s="90">
        <v>0</v>
      </c>
      <c r="R1085" s="90">
        <v>14736.960000000001</v>
      </c>
    </row>
    <row r="1086" spans="1:18">
      <c r="A1086" s="90" t="s">
        <v>1055</v>
      </c>
      <c r="B1086" s="90" t="s">
        <v>951</v>
      </c>
      <c r="C1086" s="90" t="str">
        <f t="shared" si="16"/>
        <v>PerryvilleWarehousing</v>
      </c>
      <c r="D1086" s="90">
        <v>3</v>
      </c>
      <c r="E1086" s="90">
        <v>4367.9145299145293</v>
      </c>
      <c r="F1086" s="90">
        <v>5475.3136770586043</v>
      </c>
      <c r="G1086" s="90">
        <v>0</v>
      </c>
      <c r="H1086" s="90">
        <v>51825.955783246973</v>
      </c>
      <c r="I1086" s="90">
        <v>0</v>
      </c>
      <c r="J1086" s="90">
        <v>0</v>
      </c>
      <c r="K1086" s="90">
        <v>0</v>
      </c>
      <c r="L1086" s="90">
        <v>4051.7321210233677</v>
      </c>
      <c r="M1086" s="90">
        <v>0</v>
      </c>
      <c r="N1086" s="90">
        <v>38351.207279602764</v>
      </c>
      <c r="O1086" s="90">
        <v>0</v>
      </c>
      <c r="P1086" s="90">
        <v>0</v>
      </c>
      <c r="Q1086" s="90">
        <v>0</v>
      </c>
      <c r="R1086" s="90">
        <v>30575.401709401704</v>
      </c>
    </row>
    <row r="1087" spans="1:18">
      <c r="A1087" s="90" t="s">
        <v>550</v>
      </c>
      <c r="B1087" s="90" t="s">
        <v>1439</v>
      </c>
      <c r="C1087" s="90" t="str">
        <f t="shared" si="16"/>
        <v>PetersburgEducation - K - 12</v>
      </c>
      <c r="D1087" s="90">
        <v>2</v>
      </c>
      <c r="E1087" s="90">
        <v>98284</v>
      </c>
      <c r="F1087" s="90">
        <v>136162.93284671532</v>
      </c>
      <c r="G1087" s="90">
        <v>0</v>
      </c>
      <c r="H1087" s="90">
        <v>1053216.2202270166</v>
      </c>
      <c r="I1087" s="90">
        <v>0</v>
      </c>
      <c r="J1087" s="90">
        <v>0</v>
      </c>
      <c r="K1087" s="90">
        <v>0</v>
      </c>
      <c r="L1087" s="90">
        <v>100760.57030656934</v>
      </c>
      <c r="M1087" s="90">
        <v>0</v>
      </c>
      <c r="N1087" s="90">
        <v>779380.00296799233</v>
      </c>
      <c r="O1087" s="90">
        <v>0</v>
      </c>
      <c r="P1087" s="90">
        <v>0</v>
      </c>
      <c r="Q1087" s="90">
        <v>0</v>
      </c>
      <c r="R1087" s="90">
        <v>687988</v>
      </c>
    </row>
    <row r="1088" spans="1:18">
      <c r="A1088" s="90" t="s">
        <v>550</v>
      </c>
      <c r="B1088" s="90" t="s">
        <v>643</v>
      </c>
      <c r="C1088" s="90" t="str">
        <f t="shared" si="16"/>
        <v>PetersburgOther</v>
      </c>
      <c r="D1088" s="90">
        <v>2</v>
      </c>
      <c r="E1088" s="90">
        <v>8000</v>
      </c>
      <c r="F1088" s="90">
        <v>9568.6270072992702</v>
      </c>
      <c r="G1088" s="90">
        <v>0</v>
      </c>
      <c r="H1088" s="90">
        <v>178769.9922487833</v>
      </c>
      <c r="I1088" s="90">
        <v>0</v>
      </c>
      <c r="J1088" s="90">
        <v>0</v>
      </c>
      <c r="K1088" s="90">
        <v>0</v>
      </c>
      <c r="L1088" s="90">
        <v>7080.7839854014592</v>
      </c>
      <c r="M1088" s="90">
        <v>0</v>
      </c>
      <c r="N1088" s="90">
        <v>132289.79426409962</v>
      </c>
      <c r="O1088" s="90">
        <v>0</v>
      </c>
      <c r="P1088" s="90">
        <v>0</v>
      </c>
      <c r="Q1088" s="90">
        <v>0</v>
      </c>
      <c r="R1088" s="90">
        <v>56000</v>
      </c>
    </row>
    <row r="1089" spans="1:18">
      <c r="A1089" s="90" t="s">
        <v>550</v>
      </c>
      <c r="B1089" s="90" t="s">
        <v>1227</v>
      </c>
      <c r="C1089" s="90" t="str">
        <f t="shared" si="16"/>
        <v>PetersburgPublic Assembly</v>
      </c>
      <c r="D1089" s="90">
        <v>1</v>
      </c>
      <c r="E1089" s="90">
        <v>19200</v>
      </c>
      <c r="F1089" s="90">
        <v>24667.235036496353</v>
      </c>
      <c r="G1089" s="90">
        <v>0</v>
      </c>
      <c r="H1089" s="90">
        <v>923594.84226704994</v>
      </c>
      <c r="I1089" s="90">
        <v>0</v>
      </c>
      <c r="J1089" s="90">
        <v>0</v>
      </c>
      <c r="K1089" s="90">
        <v>0</v>
      </c>
      <c r="L1089" s="90">
        <v>18253.753927007299</v>
      </c>
      <c r="M1089" s="90">
        <v>0</v>
      </c>
      <c r="N1089" s="90">
        <v>683460.18327761698</v>
      </c>
      <c r="O1089" s="90">
        <v>0</v>
      </c>
      <c r="P1089" s="90">
        <v>0</v>
      </c>
      <c r="Q1089" s="90">
        <v>0</v>
      </c>
      <c r="R1089" s="90">
        <v>134400</v>
      </c>
    </row>
    <row r="1090" spans="1:18">
      <c r="A1090" s="90" t="s">
        <v>220</v>
      </c>
      <c r="B1090" s="90" t="s">
        <v>1439</v>
      </c>
      <c r="C1090" s="90" t="str">
        <f t="shared" si="16"/>
        <v>Pilot PointEducation - K - 12</v>
      </c>
      <c r="D1090" s="90">
        <v>1</v>
      </c>
      <c r="E1090" s="90">
        <v>10957</v>
      </c>
      <c r="F1090" s="90">
        <v>1083.3313868613138</v>
      </c>
      <c r="G1090" s="90">
        <v>0</v>
      </c>
      <c r="H1090" s="90">
        <v>30506.941226666666</v>
      </c>
      <c r="I1090" s="90">
        <v>0</v>
      </c>
      <c r="J1090" s="90">
        <v>0</v>
      </c>
      <c r="K1090" s="90">
        <v>0</v>
      </c>
      <c r="L1090" s="90">
        <v>801.6652262773722</v>
      </c>
      <c r="M1090" s="90">
        <v>0</v>
      </c>
      <c r="N1090" s="90">
        <v>22575.136507733332</v>
      </c>
      <c r="O1090" s="90">
        <v>0</v>
      </c>
      <c r="P1090" s="90">
        <v>0</v>
      </c>
      <c r="Q1090" s="90">
        <v>0</v>
      </c>
      <c r="R1090" s="90">
        <v>76699</v>
      </c>
    </row>
    <row r="1091" spans="1:18">
      <c r="A1091" s="90" t="s">
        <v>220</v>
      </c>
      <c r="B1091" s="90" t="s">
        <v>1440</v>
      </c>
      <c r="C1091" s="90" t="str">
        <f t="shared" ref="C1091:C1154" si="17">CONCATENATE(A1091,B1091)</f>
        <v>Pilot PointHealth Care - Hospitals</v>
      </c>
      <c r="D1091" s="90">
        <v>1</v>
      </c>
      <c r="E1091" s="90">
        <v>2540</v>
      </c>
      <c r="F1091" s="90">
        <v>1770.3122749353031</v>
      </c>
      <c r="G1091" s="90">
        <v>0</v>
      </c>
      <c r="H1091" s="90">
        <v>19106.975502807905</v>
      </c>
      <c r="I1091" s="90">
        <v>0</v>
      </c>
      <c r="J1091" s="90">
        <v>0</v>
      </c>
      <c r="K1091" s="90">
        <v>0</v>
      </c>
      <c r="L1091" s="90">
        <v>1310.0310834521242</v>
      </c>
      <c r="M1091" s="90">
        <v>0</v>
      </c>
      <c r="N1091" s="90">
        <v>14139.16187207785</v>
      </c>
      <c r="O1091" s="90">
        <v>0</v>
      </c>
      <c r="P1091" s="90">
        <v>0</v>
      </c>
      <c r="Q1091" s="90">
        <v>0</v>
      </c>
      <c r="R1091" s="90">
        <v>17780</v>
      </c>
    </row>
    <row r="1092" spans="1:18">
      <c r="A1092" s="90" t="s">
        <v>220</v>
      </c>
      <c r="B1092" s="90" t="s">
        <v>665</v>
      </c>
      <c r="C1092" s="90" t="str">
        <f t="shared" si="17"/>
        <v>Pilot PointOffice</v>
      </c>
      <c r="D1092" s="90">
        <v>4</v>
      </c>
      <c r="E1092" s="90">
        <v>9499.7755102040828</v>
      </c>
      <c r="F1092" s="90">
        <v>12641.002640914012</v>
      </c>
      <c r="G1092" s="90">
        <v>0</v>
      </c>
      <c r="H1092" s="90">
        <v>76150.487744086233</v>
      </c>
      <c r="I1092" s="90">
        <v>0</v>
      </c>
      <c r="J1092" s="90">
        <v>0</v>
      </c>
      <c r="K1092" s="90">
        <v>0</v>
      </c>
      <c r="L1092" s="90">
        <v>9354.3419542763695</v>
      </c>
      <c r="M1092" s="90">
        <v>0</v>
      </c>
      <c r="N1092" s="90">
        <v>56351.3609306238</v>
      </c>
      <c r="O1092" s="90">
        <v>0</v>
      </c>
      <c r="P1092" s="90">
        <v>0</v>
      </c>
      <c r="Q1092" s="90">
        <v>0</v>
      </c>
      <c r="R1092" s="90">
        <v>66498.42857142858</v>
      </c>
    </row>
    <row r="1093" spans="1:18">
      <c r="A1093" s="90" t="s">
        <v>220</v>
      </c>
      <c r="B1093" s="90" t="s">
        <v>643</v>
      </c>
      <c r="C1093" s="90" t="str">
        <f t="shared" si="17"/>
        <v>Pilot PointOther</v>
      </c>
      <c r="D1093" s="90">
        <v>9</v>
      </c>
      <c r="E1093" s="90">
        <v>19475.284090909092</v>
      </c>
      <c r="F1093" s="90">
        <v>16843.615170954814</v>
      </c>
      <c r="G1093" s="90">
        <v>0</v>
      </c>
      <c r="H1093" s="90">
        <v>141740.87837818131</v>
      </c>
      <c r="I1093" s="90">
        <v>0</v>
      </c>
      <c r="J1093" s="90">
        <v>0</v>
      </c>
      <c r="K1093" s="90">
        <v>0</v>
      </c>
      <c r="L1093" s="90">
        <v>12464.275226506561</v>
      </c>
      <c r="M1093" s="90">
        <v>0</v>
      </c>
      <c r="N1093" s="90">
        <v>104888.24999985413</v>
      </c>
      <c r="O1093" s="90">
        <v>0</v>
      </c>
      <c r="P1093" s="90">
        <v>0</v>
      </c>
      <c r="Q1093" s="90">
        <v>0</v>
      </c>
      <c r="R1093" s="90">
        <v>136326.98863636362</v>
      </c>
    </row>
    <row r="1094" spans="1:18">
      <c r="A1094" s="90" t="s">
        <v>220</v>
      </c>
      <c r="B1094" s="90" t="s">
        <v>1227</v>
      </c>
      <c r="C1094" s="90" t="str">
        <f t="shared" si="17"/>
        <v>Pilot PointPublic Assembly</v>
      </c>
      <c r="D1094" s="90">
        <v>2</v>
      </c>
      <c r="E1094" s="90">
        <v>6273.4423076923076</v>
      </c>
      <c r="F1094" s="90">
        <v>3914.3618829991747</v>
      </c>
      <c r="G1094" s="90">
        <v>0</v>
      </c>
      <c r="H1094" s="90">
        <v>23599.031226791769</v>
      </c>
      <c r="I1094" s="90">
        <v>0</v>
      </c>
      <c r="J1094" s="90">
        <v>0</v>
      </c>
      <c r="K1094" s="90">
        <v>0</v>
      </c>
      <c r="L1094" s="90">
        <v>2896.627793419389</v>
      </c>
      <c r="M1094" s="90">
        <v>0</v>
      </c>
      <c r="N1094" s="90">
        <v>17463.283107825908</v>
      </c>
      <c r="O1094" s="90">
        <v>0</v>
      </c>
      <c r="P1094" s="90">
        <v>0</v>
      </c>
      <c r="Q1094" s="90">
        <v>0</v>
      </c>
      <c r="R1094" s="90">
        <v>43914.096153846156</v>
      </c>
    </row>
    <row r="1095" spans="1:18">
      <c r="A1095" s="90" t="s">
        <v>220</v>
      </c>
      <c r="B1095" s="90" t="s">
        <v>1475</v>
      </c>
      <c r="C1095" s="90" t="str">
        <f t="shared" si="17"/>
        <v>Pilot PointPublic Safety</v>
      </c>
      <c r="D1095" s="90">
        <v>1</v>
      </c>
      <c r="E1095" s="90">
        <v>2595.4749999999999</v>
      </c>
      <c r="F1095" s="90">
        <v>2523.774623927618</v>
      </c>
      <c r="G1095" s="90">
        <v>0</v>
      </c>
      <c r="H1095" s="90">
        <v>20946.642306328533</v>
      </c>
      <c r="I1095" s="90">
        <v>0</v>
      </c>
      <c r="J1095" s="90">
        <v>0</v>
      </c>
      <c r="K1095" s="90">
        <v>0</v>
      </c>
      <c r="L1095" s="90">
        <v>1867.5932217064374</v>
      </c>
      <c r="M1095" s="90">
        <v>0</v>
      </c>
      <c r="N1095" s="90">
        <v>15500.515306683114</v>
      </c>
      <c r="O1095" s="90">
        <v>0</v>
      </c>
      <c r="P1095" s="90">
        <v>0</v>
      </c>
      <c r="Q1095" s="90">
        <v>0</v>
      </c>
      <c r="R1095" s="90">
        <v>18168.325000000001</v>
      </c>
    </row>
    <row r="1096" spans="1:18">
      <c r="A1096" s="90" t="s">
        <v>220</v>
      </c>
      <c r="B1096" s="90" t="s">
        <v>1485</v>
      </c>
      <c r="C1096" s="90" t="str">
        <f t="shared" si="17"/>
        <v>Pilot PointRetail - Other</v>
      </c>
      <c r="D1096" s="90">
        <v>1</v>
      </c>
      <c r="E1096" s="90">
        <v>2105.2800000000002</v>
      </c>
      <c r="F1096" s="90">
        <v>2225.7819714285715</v>
      </c>
      <c r="G1096" s="90">
        <v>0</v>
      </c>
      <c r="H1096" s="90">
        <v>49590.373216004155</v>
      </c>
      <c r="I1096" s="90">
        <v>0</v>
      </c>
      <c r="J1096" s="90">
        <v>0</v>
      </c>
      <c r="K1096" s="90">
        <v>0</v>
      </c>
      <c r="L1096" s="90">
        <v>1647.078658857143</v>
      </c>
      <c r="M1096" s="90">
        <v>0</v>
      </c>
      <c r="N1096" s="90">
        <v>36696.876179843071</v>
      </c>
      <c r="O1096" s="90">
        <v>0</v>
      </c>
      <c r="P1096" s="90">
        <v>0</v>
      </c>
      <c r="Q1096" s="90">
        <v>0</v>
      </c>
      <c r="R1096" s="90">
        <v>14736.960000000001</v>
      </c>
    </row>
    <row r="1097" spans="1:18">
      <c r="A1097" s="90" t="s">
        <v>220</v>
      </c>
      <c r="B1097" s="90" t="s">
        <v>951</v>
      </c>
      <c r="C1097" s="90" t="str">
        <f t="shared" si="17"/>
        <v>Pilot PointWarehousing</v>
      </c>
      <c r="D1097" s="90">
        <v>3</v>
      </c>
      <c r="E1097" s="90">
        <v>3212</v>
      </c>
      <c r="F1097" s="90">
        <v>4026.3396662792234</v>
      </c>
      <c r="G1097" s="90">
        <v>0</v>
      </c>
      <c r="H1097" s="90">
        <v>38110.857901573137</v>
      </c>
      <c r="I1097" s="90">
        <v>0</v>
      </c>
      <c r="J1097" s="90">
        <v>0</v>
      </c>
      <c r="K1097" s="90">
        <v>0</v>
      </c>
      <c r="L1097" s="90">
        <v>2979.4913530466256</v>
      </c>
      <c r="M1097" s="90">
        <v>0</v>
      </c>
      <c r="N1097" s="90">
        <v>28202.034847164119</v>
      </c>
      <c r="O1097" s="90">
        <v>0</v>
      </c>
      <c r="P1097" s="90">
        <v>0</v>
      </c>
      <c r="Q1097" s="90">
        <v>0</v>
      </c>
      <c r="R1097" s="90">
        <v>22484</v>
      </c>
    </row>
    <row r="1098" spans="1:18">
      <c r="A1098" s="90" t="s">
        <v>95</v>
      </c>
      <c r="B1098" s="90" t="s">
        <v>1439</v>
      </c>
      <c r="C1098" s="90" t="str">
        <f t="shared" si="17"/>
        <v>Pilot StationEducation - K - 12</v>
      </c>
      <c r="D1098" s="90">
        <v>1</v>
      </c>
      <c r="E1098" s="90">
        <v>48855</v>
      </c>
      <c r="F1098" s="90">
        <v>35890.402400596773</v>
      </c>
      <c r="G1098" s="90">
        <v>0</v>
      </c>
      <c r="H1098" s="90">
        <v>345928.66442725051</v>
      </c>
      <c r="I1098" s="90">
        <v>0</v>
      </c>
      <c r="J1098" s="90">
        <v>0</v>
      </c>
      <c r="K1098" s="90">
        <v>0</v>
      </c>
      <c r="L1098" s="90">
        <v>26558.897776441612</v>
      </c>
      <c r="M1098" s="90">
        <v>0</v>
      </c>
      <c r="N1098" s="90">
        <v>255987.21167616537</v>
      </c>
      <c r="O1098" s="90">
        <v>0</v>
      </c>
      <c r="P1098" s="90">
        <v>0</v>
      </c>
      <c r="Q1098" s="90">
        <v>0</v>
      </c>
      <c r="R1098" s="90">
        <v>341985</v>
      </c>
    </row>
    <row r="1099" spans="1:18">
      <c r="A1099" s="90" t="s">
        <v>95</v>
      </c>
      <c r="B1099" s="90" t="s">
        <v>1440</v>
      </c>
      <c r="C1099" s="90" t="str">
        <f t="shared" si="17"/>
        <v>Pilot StationHealth Care - Hospitals</v>
      </c>
      <c r="D1099" s="90">
        <v>1</v>
      </c>
      <c r="E1099" s="90">
        <v>2295</v>
      </c>
      <c r="F1099" s="90">
        <v>2094</v>
      </c>
      <c r="G1099" s="90">
        <v>0</v>
      </c>
      <c r="H1099" s="90">
        <v>35027</v>
      </c>
      <c r="I1099" s="90">
        <v>0</v>
      </c>
      <c r="J1099" s="90">
        <v>0</v>
      </c>
      <c r="K1099" s="90">
        <v>0</v>
      </c>
      <c r="L1099" s="90">
        <v>1549.56</v>
      </c>
      <c r="M1099" s="90">
        <v>0</v>
      </c>
      <c r="N1099" s="90">
        <v>25919.98</v>
      </c>
      <c r="O1099" s="90">
        <v>0</v>
      </c>
      <c r="P1099" s="90">
        <v>0</v>
      </c>
      <c r="Q1099" s="90">
        <v>0</v>
      </c>
      <c r="R1099" s="90">
        <v>16065</v>
      </c>
    </row>
    <row r="1100" spans="1:18">
      <c r="A1100" s="90" t="s">
        <v>95</v>
      </c>
      <c r="B1100" s="90" t="s">
        <v>665</v>
      </c>
      <c r="C1100" s="90" t="str">
        <f t="shared" si="17"/>
        <v>Pilot StationOffice</v>
      </c>
      <c r="D1100" s="90">
        <v>3</v>
      </c>
      <c r="E1100" s="90">
        <v>6024</v>
      </c>
      <c r="F1100" s="90">
        <v>5064.2119081549654</v>
      </c>
      <c r="G1100" s="90">
        <v>0</v>
      </c>
      <c r="H1100" s="90">
        <v>34766.922983978293</v>
      </c>
      <c r="I1100" s="90">
        <v>0</v>
      </c>
      <c r="J1100" s="90">
        <v>0</v>
      </c>
      <c r="K1100" s="90">
        <v>0</v>
      </c>
      <c r="L1100" s="90">
        <v>3747.5168120346743</v>
      </c>
      <c r="M1100" s="90">
        <v>0</v>
      </c>
      <c r="N1100" s="90">
        <v>25727.52300814394</v>
      </c>
      <c r="O1100" s="90">
        <v>0</v>
      </c>
      <c r="P1100" s="90">
        <v>0</v>
      </c>
      <c r="Q1100" s="90">
        <v>0</v>
      </c>
      <c r="R1100" s="90">
        <v>42168</v>
      </c>
    </row>
    <row r="1101" spans="1:18">
      <c r="A1101" s="90" t="s">
        <v>95</v>
      </c>
      <c r="B1101" s="90" t="s">
        <v>643</v>
      </c>
      <c r="C1101" s="90" t="str">
        <f t="shared" si="17"/>
        <v>Pilot StationOther</v>
      </c>
      <c r="D1101" s="90">
        <v>7</v>
      </c>
      <c r="E1101" s="90">
        <v>16301</v>
      </c>
      <c r="F1101" s="90">
        <v>17324.94374051355</v>
      </c>
      <c r="G1101" s="90">
        <v>0</v>
      </c>
      <c r="H1101" s="90">
        <v>121003.02811546356</v>
      </c>
      <c r="I1101" s="90">
        <v>0</v>
      </c>
      <c r="J1101" s="90">
        <v>0</v>
      </c>
      <c r="K1101" s="90">
        <v>0</v>
      </c>
      <c r="L1101" s="90">
        <v>12820.458367980027</v>
      </c>
      <c r="M1101" s="90">
        <v>0</v>
      </c>
      <c r="N1101" s="90">
        <v>89542.240805443013</v>
      </c>
      <c r="O1101" s="90">
        <v>0</v>
      </c>
      <c r="P1101" s="90">
        <v>0</v>
      </c>
      <c r="Q1101" s="90">
        <v>0</v>
      </c>
      <c r="R1101" s="90">
        <v>114107</v>
      </c>
    </row>
    <row r="1102" spans="1:18">
      <c r="A1102" s="90" t="s">
        <v>95</v>
      </c>
      <c r="B1102" s="90" t="s">
        <v>1227</v>
      </c>
      <c r="C1102" s="90" t="str">
        <f t="shared" si="17"/>
        <v>Pilot StationPublic Assembly</v>
      </c>
      <c r="D1102" s="90">
        <v>1</v>
      </c>
      <c r="E1102" s="90">
        <v>4200</v>
      </c>
      <c r="F1102" s="90">
        <v>2904.7636534793683</v>
      </c>
      <c r="G1102" s="90">
        <v>0</v>
      </c>
      <c r="H1102" s="90">
        <v>19474.667237719819</v>
      </c>
      <c r="I1102" s="90">
        <v>0</v>
      </c>
      <c r="J1102" s="90">
        <v>0</v>
      </c>
      <c r="K1102" s="90">
        <v>0</v>
      </c>
      <c r="L1102" s="90">
        <v>2149.5251035747324</v>
      </c>
      <c r="M1102" s="90">
        <v>0</v>
      </c>
      <c r="N1102" s="90">
        <v>14411.253755912667</v>
      </c>
      <c r="O1102" s="90">
        <v>0</v>
      </c>
      <c r="P1102" s="90">
        <v>0</v>
      </c>
      <c r="Q1102" s="90">
        <v>0</v>
      </c>
      <c r="R1102" s="90">
        <v>29400</v>
      </c>
    </row>
    <row r="1103" spans="1:18">
      <c r="A1103" s="90" t="s">
        <v>95</v>
      </c>
      <c r="B1103" s="90" t="s">
        <v>1475</v>
      </c>
      <c r="C1103" s="90" t="str">
        <f t="shared" si="17"/>
        <v>Pilot StationPublic Safety</v>
      </c>
      <c r="D1103" s="90">
        <v>2</v>
      </c>
      <c r="E1103" s="90">
        <v>3625</v>
      </c>
      <c r="F1103" s="90">
        <v>2566.0010730164217</v>
      </c>
      <c r="G1103" s="90">
        <v>0</v>
      </c>
      <c r="H1103" s="90">
        <v>29979.046970115618</v>
      </c>
      <c r="I1103" s="90">
        <v>0</v>
      </c>
      <c r="J1103" s="90">
        <v>0</v>
      </c>
      <c r="K1103" s="90">
        <v>0</v>
      </c>
      <c r="L1103" s="90">
        <v>1898.840794032152</v>
      </c>
      <c r="M1103" s="90">
        <v>0</v>
      </c>
      <c r="N1103" s="90">
        <v>22184.494757885557</v>
      </c>
      <c r="O1103" s="90">
        <v>0</v>
      </c>
      <c r="P1103" s="90">
        <v>0</v>
      </c>
      <c r="Q1103" s="90">
        <v>0</v>
      </c>
      <c r="R1103" s="90">
        <v>25375</v>
      </c>
    </row>
    <row r="1104" spans="1:18">
      <c r="A1104" s="90" t="s">
        <v>95</v>
      </c>
      <c r="B1104" s="90" t="s">
        <v>951</v>
      </c>
      <c r="C1104" s="90" t="str">
        <f t="shared" si="17"/>
        <v>Pilot StationWarehousing</v>
      </c>
      <c r="D1104" s="90">
        <v>1</v>
      </c>
      <c r="E1104" s="90">
        <v>1104</v>
      </c>
      <c r="F1104" s="90">
        <v>1926.8039954459452</v>
      </c>
      <c r="G1104" s="90">
        <v>0</v>
      </c>
      <c r="H1104" s="90">
        <v>50583.863597025622</v>
      </c>
      <c r="I1104" s="90">
        <v>0</v>
      </c>
      <c r="J1104" s="90">
        <v>0</v>
      </c>
      <c r="K1104" s="90">
        <v>0</v>
      </c>
      <c r="L1104" s="90">
        <v>1425.8349566299994</v>
      </c>
      <c r="M1104" s="90">
        <v>0</v>
      </c>
      <c r="N1104" s="90">
        <v>37432.059061798958</v>
      </c>
      <c r="O1104" s="90">
        <v>0</v>
      </c>
      <c r="P1104" s="90">
        <v>0</v>
      </c>
      <c r="Q1104" s="90">
        <v>0</v>
      </c>
      <c r="R1104" s="90">
        <v>7728</v>
      </c>
    </row>
    <row r="1105" spans="1:18">
      <c r="A1105" s="90" t="s">
        <v>96</v>
      </c>
      <c r="B1105" s="90" t="s">
        <v>1439</v>
      </c>
      <c r="C1105" s="90" t="str">
        <f t="shared" si="17"/>
        <v>Pitkas PointEducation - K - 12</v>
      </c>
      <c r="D1105" s="90">
        <v>3</v>
      </c>
      <c r="E1105" s="90">
        <v>36357.831111111111</v>
      </c>
      <c r="F1105" s="90">
        <v>30822.87647691882</v>
      </c>
      <c r="G1105" s="90">
        <v>0</v>
      </c>
      <c r="H1105" s="90">
        <v>236268.23380083306</v>
      </c>
      <c r="I1105" s="90">
        <v>0</v>
      </c>
      <c r="J1105" s="90">
        <v>0</v>
      </c>
      <c r="K1105" s="90">
        <v>0</v>
      </c>
      <c r="L1105" s="90">
        <v>22808.928592919925</v>
      </c>
      <c r="M1105" s="90">
        <v>0</v>
      </c>
      <c r="N1105" s="90">
        <v>174838.49301261647</v>
      </c>
      <c r="O1105" s="90">
        <v>0</v>
      </c>
      <c r="P1105" s="90">
        <v>0</v>
      </c>
      <c r="Q1105" s="90">
        <v>0</v>
      </c>
      <c r="R1105" s="90">
        <v>254504.81777777779</v>
      </c>
    </row>
    <row r="1106" spans="1:18">
      <c r="A1106" s="90" t="s">
        <v>96</v>
      </c>
      <c r="B1106" s="90" t="s">
        <v>1440</v>
      </c>
      <c r="C1106" s="90" t="str">
        <f t="shared" si="17"/>
        <v>Pitkas PointHealth Care - Hospitals</v>
      </c>
      <c r="D1106" s="90">
        <v>1</v>
      </c>
      <c r="E1106" s="90">
        <v>2256.9250000000002</v>
      </c>
      <c r="F1106" s="90">
        <v>1573.0165476804564</v>
      </c>
      <c r="G1106" s="90">
        <v>0</v>
      </c>
      <c r="H1106" s="90">
        <v>16977.563262470368</v>
      </c>
      <c r="I1106" s="90">
        <v>0</v>
      </c>
      <c r="J1106" s="90">
        <v>0</v>
      </c>
      <c r="K1106" s="90">
        <v>0</v>
      </c>
      <c r="L1106" s="90">
        <v>1164.0322452835378</v>
      </c>
      <c r="M1106" s="90">
        <v>0</v>
      </c>
      <c r="N1106" s="90">
        <v>12563.396814228072</v>
      </c>
      <c r="O1106" s="90">
        <v>0</v>
      </c>
      <c r="P1106" s="90">
        <v>0</v>
      </c>
      <c r="Q1106" s="90">
        <v>0</v>
      </c>
      <c r="R1106" s="90">
        <v>15798.475000000002</v>
      </c>
    </row>
    <row r="1107" spans="1:18">
      <c r="A1107" s="90" t="s">
        <v>96</v>
      </c>
      <c r="B1107" s="90" t="s">
        <v>665</v>
      </c>
      <c r="C1107" s="90" t="str">
        <f t="shared" si="17"/>
        <v>Pitkas PointOffice</v>
      </c>
      <c r="D1107" s="90">
        <v>3</v>
      </c>
      <c r="E1107" s="90">
        <v>5710</v>
      </c>
      <c r="F1107" s="90">
        <v>5670.137596690578</v>
      </c>
      <c r="G1107" s="90">
        <v>0</v>
      </c>
      <c r="H1107" s="90">
        <v>34256.331167594893</v>
      </c>
      <c r="I1107" s="90">
        <v>0</v>
      </c>
      <c r="J1107" s="90">
        <v>0</v>
      </c>
      <c r="K1107" s="90">
        <v>0</v>
      </c>
      <c r="L1107" s="90">
        <v>4195.9018215510278</v>
      </c>
      <c r="M1107" s="90">
        <v>0</v>
      </c>
      <c r="N1107" s="90">
        <v>25349.685064020217</v>
      </c>
      <c r="O1107" s="90">
        <v>0</v>
      </c>
      <c r="P1107" s="90">
        <v>0</v>
      </c>
      <c r="Q1107" s="90">
        <v>0</v>
      </c>
      <c r="R1107" s="90">
        <v>39970</v>
      </c>
    </row>
    <row r="1108" spans="1:18">
      <c r="A1108" s="90" t="s">
        <v>96</v>
      </c>
      <c r="B1108" s="90" t="s">
        <v>643</v>
      </c>
      <c r="C1108" s="90" t="str">
        <f t="shared" si="17"/>
        <v>Pitkas PointOther</v>
      </c>
      <c r="D1108" s="90">
        <v>1</v>
      </c>
      <c r="E1108" s="90">
        <v>2163.9204545454545</v>
      </c>
      <c r="F1108" s="90">
        <v>1871.5127967727569</v>
      </c>
      <c r="G1108" s="90">
        <v>0</v>
      </c>
      <c r="H1108" s="90">
        <v>15748.986486464588</v>
      </c>
      <c r="I1108" s="90">
        <v>0</v>
      </c>
      <c r="J1108" s="90">
        <v>0</v>
      </c>
      <c r="K1108" s="90">
        <v>0</v>
      </c>
      <c r="L1108" s="90">
        <v>1384.9194696118402</v>
      </c>
      <c r="M1108" s="90">
        <v>0</v>
      </c>
      <c r="N1108" s="90">
        <v>11654.249999983795</v>
      </c>
      <c r="O1108" s="90">
        <v>0</v>
      </c>
      <c r="P1108" s="90">
        <v>0</v>
      </c>
      <c r="Q1108" s="90">
        <v>0</v>
      </c>
      <c r="R1108" s="90">
        <v>15147.443181818182</v>
      </c>
    </row>
    <row r="1109" spans="1:18">
      <c r="A1109" s="90" t="s">
        <v>96</v>
      </c>
      <c r="B1109" s="90" t="s">
        <v>1227</v>
      </c>
      <c r="C1109" s="90" t="str">
        <f t="shared" si="17"/>
        <v>Pitkas PointPublic Assembly</v>
      </c>
      <c r="D1109" s="90">
        <v>1</v>
      </c>
      <c r="E1109" s="90">
        <v>3136.7211538461538</v>
      </c>
      <c r="F1109" s="90">
        <v>1957.1809414995873</v>
      </c>
      <c r="G1109" s="90">
        <v>0</v>
      </c>
      <c r="H1109" s="90">
        <v>11799.515613395884</v>
      </c>
      <c r="I1109" s="90">
        <v>0</v>
      </c>
      <c r="J1109" s="90">
        <v>0</v>
      </c>
      <c r="K1109" s="90">
        <v>0</v>
      </c>
      <c r="L1109" s="90">
        <v>1448.3138967096945</v>
      </c>
      <c r="M1109" s="90">
        <v>0</v>
      </c>
      <c r="N1109" s="90">
        <v>8731.6415539129539</v>
      </c>
      <c r="O1109" s="90">
        <v>0</v>
      </c>
      <c r="P1109" s="90">
        <v>0</v>
      </c>
      <c r="Q1109" s="90">
        <v>0</v>
      </c>
      <c r="R1109" s="90">
        <v>21957.048076923078</v>
      </c>
    </row>
    <row r="1110" spans="1:18">
      <c r="A1110" s="90" t="s">
        <v>96</v>
      </c>
      <c r="B1110" s="90" t="s">
        <v>1475</v>
      </c>
      <c r="C1110" s="90" t="str">
        <f t="shared" si="17"/>
        <v>Pitkas PointPublic Safety</v>
      </c>
      <c r="D1110" s="90">
        <v>1</v>
      </c>
      <c r="E1110" s="90">
        <v>2595.4749999999999</v>
      </c>
      <c r="F1110" s="90">
        <v>2523.774623927618</v>
      </c>
      <c r="G1110" s="90">
        <v>0</v>
      </c>
      <c r="H1110" s="90">
        <v>20946.642306328533</v>
      </c>
      <c r="I1110" s="90">
        <v>0</v>
      </c>
      <c r="J1110" s="90">
        <v>0</v>
      </c>
      <c r="K1110" s="90">
        <v>0</v>
      </c>
      <c r="L1110" s="90">
        <v>1867.5932217064374</v>
      </c>
      <c r="M1110" s="90">
        <v>0</v>
      </c>
      <c r="N1110" s="90">
        <v>15500.515306683114</v>
      </c>
      <c r="O1110" s="90">
        <v>0</v>
      </c>
      <c r="P1110" s="90">
        <v>0</v>
      </c>
      <c r="Q1110" s="90">
        <v>0</v>
      </c>
      <c r="R1110" s="90">
        <v>18168.325000000001</v>
      </c>
    </row>
    <row r="1111" spans="1:18">
      <c r="A1111" s="90" t="s">
        <v>259</v>
      </c>
      <c r="B1111" s="90" t="s">
        <v>1439</v>
      </c>
      <c r="C1111" s="90" t="str">
        <f t="shared" si="17"/>
        <v>PlatinumEducation - K - 12</v>
      </c>
      <c r="D1111" s="90">
        <v>1</v>
      </c>
      <c r="E1111" s="90">
        <v>4678</v>
      </c>
      <c r="F1111" s="90">
        <v>3965.8420690270855</v>
      </c>
      <c r="G1111" s="90">
        <v>0</v>
      </c>
      <c r="H1111" s="90">
        <v>30399.580061378409</v>
      </c>
      <c r="I1111" s="90">
        <v>0</v>
      </c>
      <c r="J1111" s="90">
        <v>0</v>
      </c>
      <c r="K1111" s="90">
        <v>0</v>
      </c>
      <c r="L1111" s="90">
        <v>2934.723131080043</v>
      </c>
      <c r="M1111" s="90">
        <v>0</v>
      </c>
      <c r="N1111" s="90">
        <v>22495.689245420021</v>
      </c>
      <c r="O1111" s="90">
        <v>0</v>
      </c>
      <c r="P1111" s="90">
        <v>0</v>
      </c>
      <c r="Q1111" s="90">
        <v>0</v>
      </c>
      <c r="R1111" s="90">
        <v>32746</v>
      </c>
    </row>
    <row r="1112" spans="1:18">
      <c r="A1112" s="90" t="s">
        <v>259</v>
      </c>
      <c r="B1112" s="90" t="s">
        <v>665</v>
      </c>
      <c r="C1112" s="90" t="str">
        <f t="shared" si="17"/>
        <v>PlatinumOffice</v>
      </c>
      <c r="D1112" s="90">
        <v>1</v>
      </c>
      <c r="E1112" s="90">
        <v>1600</v>
      </c>
      <c r="F1112" s="90">
        <v>34000</v>
      </c>
      <c r="G1112" s="90">
        <v>0</v>
      </c>
      <c r="H1112" s="90">
        <v>148000</v>
      </c>
      <c r="I1112" s="90">
        <v>0</v>
      </c>
      <c r="J1112" s="90">
        <v>0</v>
      </c>
      <c r="K1112" s="90">
        <v>0</v>
      </c>
      <c r="L1112" s="90">
        <v>25160</v>
      </c>
      <c r="M1112" s="90">
        <v>0</v>
      </c>
      <c r="N1112" s="90">
        <v>109520</v>
      </c>
      <c r="O1112" s="90">
        <v>0</v>
      </c>
      <c r="P1112" s="90">
        <v>0</v>
      </c>
      <c r="Q1112" s="90">
        <v>0</v>
      </c>
      <c r="R1112" s="90">
        <v>11200</v>
      </c>
    </row>
    <row r="1113" spans="1:18">
      <c r="A1113" s="90" t="s">
        <v>259</v>
      </c>
      <c r="B1113" s="90" t="s">
        <v>643</v>
      </c>
      <c r="C1113" s="90" t="str">
        <f t="shared" si="17"/>
        <v>PlatinumOther</v>
      </c>
      <c r="D1113" s="90">
        <v>1</v>
      </c>
      <c r="E1113" s="90">
        <v>2200</v>
      </c>
      <c r="F1113" s="90">
        <v>950.01459854014604</v>
      </c>
      <c r="G1113" s="90">
        <v>0</v>
      </c>
      <c r="H1113" s="90">
        <v>16011.57297507966</v>
      </c>
      <c r="I1113" s="90">
        <v>0</v>
      </c>
      <c r="J1113" s="90">
        <v>0</v>
      </c>
      <c r="K1113" s="90">
        <v>0</v>
      </c>
      <c r="L1113" s="90">
        <v>703.01080291970811</v>
      </c>
      <c r="M1113" s="90">
        <v>0</v>
      </c>
      <c r="N1113" s="90">
        <v>11848.564001558949</v>
      </c>
      <c r="O1113" s="90">
        <v>0</v>
      </c>
      <c r="P1113" s="90">
        <v>0</v>
      </c>
      <c r="Q1113" s="90">
        <v>0</v>
      </c>
      <c r="R1113" s="90">
        <v>15400</v>
      </c>
    </row>
    <row r="1114" spans="1:18">
      <c r="A1114" s="90" t="s">
        <v>1056</v>
      </c>
      <c r="B1114" s="90" t="s">
        <v>1447</v>
      </c>
      <c r="C1114" s="90" t="str">
        <f t="shared" si="17"/>
        <v>Point BakerAccomodation Services</v>
      </c>
      <c r="D1114" s="90">
        <v>8</v>
      </c>
      <c r="E1114" s="90">
        <v>18828</v>
      </c>
      <c r="F1114" s="90">
        <v>9783.9245958577831</v>
      </c>
      <c r="G1114" s="90">
        <v>0</v>
      </c>
      <c r="H1114" s="90">
        <v>138142.78195488721</v>
      </c>
      <c r="I1114" s="90">
        <v>0</v>
      </c>
      <c r="J1114" s="90">
        <v>1500</v>
      </c>
      <c r="K1114" s="90">
        <v>0</v>
      </c>
      <c r="L1114" s="90">
        <v>7240.1042009347593</v>
      </c>
      <c r="M1114" s="90">
        <v>0</v>
      </c>
      <c r="N1114" s="90">
        <v>102225.65864661655</v>
      </c>
      <c r="O1114" s="90">
        <v>0</v>
      </c>
      <c r="P1114" s="90">
        <v>1110</v>
      </c>
      <c r="Q1114" s="90">
        <v>0</v>
      </c>
      <c r="R1114" s="90">
        <v>131796</v>
      </c>
    </row>
    <row r="1115" spans="1:18">
      <c r="A1115" s="90" t="s">
        <v>1056</v>
      </c>
      <c r="B1115" s="90" t="s">
        <v>1227</v>
      </c>
      <c r="C1115" s="90" t="str">
        <f t="shared" si="17"/>
        <v>Point BakerPublic Assembly</v>
      </c>
      <c r="D1115" s="90">
        <v>1</v>
      </c>
      <c r="E1115" s="90">
        <v>3136.7211538461538</v>
      </c>
      <c r="F1115" s="90">
        <v>1957.1809414995873</v>
      </c>
      <c r="G1115" s="90">
        <v>0</v>
      </c>
      <c r="H1115" s="90">
        <v>11799.515613395884</v>
      </c>
      <c r="I1115" s="90">
        <v>0</v>
      </c>
      <c r="J1115" s="90">
        <v>0</v>
      </c>
      <c r="K1115" s="90">
        <v>0</v>
      </c>
      <c r="L1115" s="90">
        <v>1448.3138967096945</v>
      </c>
      <c r="M1115" s="90">
        <v>0</v>
      </c>
      <c r="N1115" s="90">
        <v>8731.6415539129539</v>
      </c>
      <c r="O1115" s="90">
        <v>0</v>
      </c>
      <c r="P1115" s="90">
        <v>0</v>
      </c>
      <c r="Q1115" s="90">
        <v>0</v>
      </c>
      <c r="R1115" s="90">
        <v>21957.048076923078</v>
      </c>
    </row>
    <row r="1116" spans="1:18">
      <c r="A1116" s="90" t="s">
        <v>210</v>
      </c>
      <c r="B1116" s="90" t="s">
        <v>1439</v>
      </c>
      <c r="C1116" s="90" t="str">
        <f t="shared" si="17"/>
        <v>Point HopeEducation - K - 12</v>
      </c>
      <c r="D1116" s="90">
        <v>4</v>
      </c>
      <c r="E1116" s="90">
        <v>106718</v>
      </c>
      <c r="F1116" s="90">
        <v>78398.361751855206</v>
      </c>
      <c r="G1116" s="90">
        <v>0</v>
      </c>
      <c r="H1116" s="90">
        <v>1102386.023177</v>
      </c>
      <c r="I1116" s="90">
        <v>0</v>
      </c>
      <c r="J1116" s="90">
        <v>0</v>
      </c>
      <c r="K1116" s="90">
        <v>0</v>
      </c>
      <c r="L1116" s="90">
        <v>58014.787696372856</v>
      </c>
      <c r="M1116" s="90">
        <v>0</v>
      </c>
      <c r="N1116" s="90">
        <v>815765.65715097997</v>
      </c>
      <c r="O1116" s="90">
        <v>0</v>
      </c>
      <c r="P1116" s="90">
        <v>0</v>
      </c>
      <c r="Q1116" s="90">
        <v>0</v>
      </c>
      <c r="R1116" s="90">
        <v>747026</v>
      </c>
    </row>
    <row r="1117" spans="1:18">
      <c r="A1117" s="90" t="s">
        <v>210</v>
      </c>
      <c r="B1117" s="90" t="s">
        <v>1440</v>
      </c>
      <c r="C1117" s="90" t="str">
        <f t="shared" si="17"/>
        <v>Point HopeHealth Care - Hospitals</v>
      </c>
      <c r="D1117" s="90">
        <v>2</v>
      </c>
      <c r="E1117" s="90">
        <v>11381.592500000001</v>
      </c>
      <c r="F1117" s="90">
        <v>7194.0256975604625</v>
      </c>
      <c r="G1117" s="90">
        <v>0</v>
      </c>
      <c r="H1117" s="90">
        <v>123917</v>
      </c>
      <c r="I1117" s="90">
        <v>0</v>
      </c>
      <c r="J1117" s="90">
        <v>0</v>
      </c>
      <c r="K1117" s="90">
        <v>0</v>
      </c>
      <c r="L1117" s="90">
        <v>5323.5790161947416</v>
      </c>
      <c r="M1117" s="90">
        <v>0</v>
      </c>
      <c r="N1117" s="90">
        <v>91698.58</v>
      </c>
      <c r="O1117" s="90">
        <v>0</v>
      </c>
      <c r="P1117" s="90">
        <v>0</v>
      </c>
      <c r="Q1117" s="90">
        <v>0</v>
      </c>
      <c r="R1117" s="90">
        <v>79671.147500000006</v>
      </c>
    </row>
    <row r="1118" spans="1:18">
      <c r="A1118" s="90" t="s">
        <v>210</v>
      </c>
      <c r="B1118" s="90" t="s">
        <v>665</v>
      </c>
      <c r="C1118" s="90" t="str">
        <f t="shared" si="17"/>
        <v>Point HopeOffice</v>
      </c>
      <c r="D1118" s="90">
        <v>1</v>
      </c>
      <c r="E1118" s="90">
        <v>2885.1690647482014</v>
      </c>
      <c r="F1118" s="90">
        <v>2401.7606412594769</v>
      </c>
      <c r="G1118" s="90">
        <v>0</v>
      </c>
      <c r="H1118" s="90">
        <v>16369.463605147095</v>
      </c>
      <c r="I1118" s="90">
        <v>0</v>
      </c>
      <c r="J1118" s="90">
        <v>0</v>
      </c>
      <c r="K1118" s="90">
        <v>0</v>
      </c>
      <c r="L1118" s="90">
        <v>1777.3028745320128</v>
      </c>
      <c r="M1118" s="90">
        <v>0</v>
      </c>
      <c r="N1118" s="90">
        <v>12113.403067808851</v>
      </c>
      <c r="O1118" s="90">
        <v>0</v>
      </c>
      <c r="P1118" s="90">
        <v>0</v>
      </c>
      <c r="Q1118" s="90">
        <v>0</v>
      </c>
      <c r="R1118" s="90">
        <v>20196.183453237409</v>
      </c>
    </row>
    <row r="1119" spans="1:18">
      <c r="A1119" s="90" t="s">
        <v>210</v>
      </c>
      <c r="B1119" s="90" t="s">
        <v>643</v>
      </c>
      <c r="C1119" s="90" t="str">
        <f t="shared" si="17"/>
        <v>Point HopeOther</v>
      </c>
      <c r="D1119" s="90">
        <v>8</v>
      </c>
      <c r="E1119" s="90">
        <v>36355.381679389313</v>
      </c>
      <c r="F1119" s="90">
        <v>33355.466528776516</v>
      </c>
      <c r="G1119" s="90">
        <v>0</v>
      </c>
      <c r="H1119" s="90">
        <v>286380.12007710722</v>
      </c>
      <c r="I1119" s="90">
        <v>0</v>
      </c>
      <c r="J1119" s="90">
        <v>0</v>
      </c>
      <c r="K1119" s="90">
        <v>0</v>
      </c>
      <c r="L1119" s="90">
        <v>24683.045231294618</v>
      </c>
      <c r="M1119" s="90">
        <v>0</v>
      </c>
      <c r="N1119" s="90">
        <v>211921.28885705938</v>
      </c>
      <c r="O1119" s="90">
        <v>0</v>
      </c>
      <c r="P1119" s="90">
        <v>0</v>
      </c>
      <c r="Q1119" s="90">
        <v>0</v>
      </c>
      <c r="R1119" s="90">
        <v>254487.6717557252</v>
      </c>
    </row>
    <row r="1120" spans="1:18">
      <c r="A1120" s="90" t="s">
        <v>210</v>
      </c>
      <c r="B1120" s="90" t="s">
        <v>1227</v>
      </c>
      <c r="C1120" s="90" t="str">
        <f t="shared" si="17"/>
        <v>Point HopePublic Assembly</v>
      </c>
      <c r="D1120" s="90">
        <v>1</v>
      </c>
      <c r="E1120" s="90">
        <v>9880</v>
      </c>
      <c r="F1120" s="90">
        <v>6833.1106896133715</v>
      </c>
      <c r="G1120" s="90">
        <v>0</v>
      </c>
      <c r="H1120" s="90">
        <v>45811.836263969482</v>
      </c>
      <c r="I1120" s="90">
        <v>0</v>
      </c>
      <c r="J1120" s="90">
        <v>0</v>
      </c>
      <c r="K1120" s="90">
        <v>0</v>
      </c>
      <c r="L1120" s="90">
        <v>5056.5019103138948</v>
      </c>
      <c r="M1120" s="90">
        <v>0</v>
      </c>
      <c r="N1120" s="90">
        <v>33900.758835337416</v>
      </c>
      <c r="O1120" s="90">
        <v>0</v>
      </c>
      <c r="P1120" s="90">
        <v>0</v>
      </c>
      <c r="Q1120" s="90">
        <v>0</v>
      </c>
      <c r="R1120" s="90">
        <v>69160</v>
      </c>
    </row>
    <row r="1121" spans="1:18">
      <c r="A1121" s="90" t="s">
        <v>210</v>
      </c>
      <c r="B1121" s="90" t="s">
        <v>1475</v>
      </c>
      <c r="C1121" s="90" t="str">
        <f t="shared" si="17"/>
        <v>Point HopePublic Safety</v>
      </c>
      <c r="D1121" s="90">
        <v>4</v>
      </c>
      <c r="E1121" s="90">
        <v>10224</v>
      </c>
      <c r="F1121" s="90">
        <v>6538.2747497009832</v>
      </c>
      <c r="G1121" s="90">
        <v>0</v>
      </c>
      <c r="H1121" s="90">
        <v>116681.42378068579</v>
      </c>
      <c r="I1121" s="90">
        <v>0</v>
      </c>
      <c r="J1121" s="90">
        <v>0</v>
      </c>
      <c r="K1121" s="90">
        <v>0</v>
      </c>
      <c r="L1121" s="90">
        <v>4838.3233147787269</v>
      </c>
      <c r="M1121" s="90">
        <v>0</v>
      </c>
      <c r="N1121" s="90">
        <v>86344.253597707473</v>
      </c>
      <c r="O1121" s="90">
        <v>0</v>
      </c>
      <c r="P1121" s="90">
        <v>0</v>
      </c>
      <c r="Q1121" s="90">
        <v>0</v>
      </c>
      <c r="R1121" s="90">
        <v>71568</v>
      </c>
    </row>
    <row r="1122" spans="1:18">
      <c r="A1122" s="90" t="s">
        <v>210</v>
      </c>
      <c r="B1122" s="90" t="s">
        <v>1485</v>
      </c>
      <c r="C1122" s="90" t="str">
        <f t="shared" si="17"/>
        <v>Point HopeRetail - Other</v>
      </c>
      <c r="D1122" s="90">
        <v>1</v>
      </c>
      <c r="E1122" s="90">
        <v>6276.3658536585363</v>
      </c>
      <c r="F1122" s="90">
        <v>10425.351575516059</v>
      </c>
      <c r="G1122" s="90">
        <v>0</v>
      </c>
      <c r="H1122" s="90">
        <v>153131.89915167599</v>
      </c>
      <c r="I1122" s="90">
        <v>0</v>
      </c>
      <c r="J1122" s="90">
        <v>0</v>
      </c>
      <c r="K1122" s="90">
        <v>0</v>
      </c>
      <c r="L1122" s="90">
        <v>7714.760165881883</v>
      </c>
      <c r="M1122" s="90">
        <v>0</v>
      </c>
      <c r="N1122" s="90">
        <v>113317.60537224023</v>
      </c>
      <c r="O1122" s="90">
        <v>0</v>
      </c>
      <c r="P1122" s="90">
        <v>0</v>
      </c>
      <c r="Q1122" s="90">
        <v>0</v>
      </c>
      <c r="R1122" s="90">
        <v>43934.560975609755</v>
      </c>
    </row>
    <row r="1123" spans="1:18">
      <c r="A1123" s="90" t="s">
        <v>210</v>
      </c>
      <c r="B1123" s="90" t="s">
        <v>951</v>
      </c>
      <c r="C1123" s="90" t="str">
        <f t="shared" si="17"/>
        <v>Point HopeWarehousing</v>
      </c>
      <c r="D1123" s="90">
        <v>1</v>
      </c>
      <c r="E1123" s="90">
        <v>4560</v>
      </c>
      <c r="F1123" s="90">
        <v>7958.5382420593387</v>
      </c>
      <c r="G1123" s="90">
        <v>0</v>
      </c>
      <c r="H1123" s="90">
        <v>208933.34963988845</v>
      </c>
      <c r="I1123" s="90">
        <v>0</v>
      </c>
      <c r="J1123" s="90">
        <v>0</v>
      </c>
      <c r="K1123" s="90">
        <v>0</v>
      </c>
      <c r="L1123" s="90">
        <v>5889.3182991239109</v>
      </c>
      <c r="M1123" s="90">
        <v>0</v>
      </c>
      <c r="N1123" s="90">
        <v>154610.67873351744</v>
      </c>
      <c r="O1123" s="90">
        <v>0</v>
      </c>
      <c r="P1123" s="90">
        <v>0</v>
      </c>
      <c r="Q1123" s="90">
        <v>0</v>
      </c>
      <c r="R1123" s="90">
        <v>31920</v>
      </c>
    </row>
    <row r="1124" spans="1:18">
      <c r="A1124" s="90" t="s">
        <v>211</v>
      </c>
      <c r="B1124" s="90" t="s">
        <v>1439</v>
      </c>
      <c r="C1124" s="90" t="str">
        <f t="shared" si="17"/>
        <v>Point LayEducation - K - 12</v>
      </c>
      <c r="D1124" s="90">
        <v>1</v>
      </c>
      <c r="E1124" s="90">
        <v>29644</v>
      </c>
      <c r="F1124" s="90">
        <v>25131.129177904859</v>
      </c>
      <c r="G1124" s="90">
        <v>0</v>
      </c>
      <c r="H1124" s="90">
        <v>231997</v>
      </c>
      <c r="I1124" s="90">
        <v>0</v>
      </c>
      <c r="J1124" s="90">
        <v>0</v>
      </c>
      <c r="K1124" s="90">
        <v>0</v>
      </c>
      <c r="L1124" s="90">
        <v>18597.035591649594</v>
      </c>
      <c r="M1124" s="90">
        <v>0</v>
      </c>
      <c r="N1124" s="90">
        <v>171677.78</v>
      </c>
      <c r="O1124" s="90">
        <v>0</v>
      </c>
      <c r="P1124" s="90">
        <v>0</v>
      </c>
      <c r="Q1124" s="90">
        <v>0</v>
      </c>
      <c r="R1124" s="90">
        <v>207508</v>
      </c>
    </row>
    <row r="1125" spans="1:18">
      <c r="A1125" s="90" t="s">
        <v>211</v>
      </c>
      <c r="B1125" s="90" t="s">
        <v>1440</v>
      </c>
      <c r="C1125" s="90" t="str">
        <f t="shared" si="17"/>
        <v>Point LayHealth Care - Hospitals</v>
      </c>
      <c r="D1125" s="90">
        <v>1</v>
      </c>
      <c r="E1125" s="90">
        <v>4400</v>
      </c>
      <c r="F1125" s="90">
        <v>3066.6826809902886</v>
      </c>
      <c r="G1125" s="90">
        <v>0</v>
      </c>
      <c r="H1125" s="90">
        <v>1443</v>
      </c>
      <c r="I1125" s="90">
        <v>0</v>
      </c>
      <c r="J1125" s="90">
        <v>0</v>
      </c>
      <c r="K1125" s="90">
        <v>0</v>
      </c>
      <c r="L1125" s="90">
        <v>2269.3451839328136</v>
      </c>
      <c r="M1125" s="90">
        <v>0</v>
      </c>
      <c r="N1125" s="90">
        <v>1067.82</v>
      </c>
      <c r="O1125" s="90">
        <v>0</v>
      </c>
      <c r="P1125" s="90">
        <v>0</v>
      </c>
      <c r="Q1125" s="90">
        <v>0</v>
      </c>
      <c r="R1125" s="90">
        <v>30800</v>
      </c>
    </row>
    <row r="1126" spans="1:18">
      <c r="A1126" s="90" t="s">
        <v>211</v>
      </c>
      <c r="B1126" s="90" t="s">
        <v>665</v>
      </c>
      <c r="C1126" s="90" t="str">
        <f t="shared" si="17"/>
        <v>Point LayOffice</v>
      </c>
      <c r="D1126" s="90">
        <v>2</v>
      </c>
      <c r="E1126" s="90">
        <v>2328</v>
      </c>
      <c r="F1126" s="90">
        <v>3097.7841651560907</v>
      </c>
      <c r="G1126" s="90">
        <v>0</v>
      </c>
      <c r="H1126" s="90">
        <v>13608.122471999999</v>
      </c>
      <c r="I1126" s="90">
        <v>0</v>
      </c>
      <c r="J1126" s="90">
        <v>0</v>
      </c>
      <c r="K1126" s="90">
        <v>0</v>
      </c>
      <c r="L1126" s="90">
        <v>2292.3602822155071</v>
      </c>
      <c r="M1126" s="90">
        <v>0</v>
      </c>
      <c r="N1126" s="90">
        <v>10070.010629279999</v>
      </c>
      <c r="O1126" s="90">
        <v>0</v>
      </c>
      <c r="P1126" s="90">
        <v>0</v>
      </c>
      <c r="Q1126" s="90">
        <v>0</v>
      </c>
      <c r="R1126" s="90">
        <v>16296</v>
      </c>
    </row>
    <row r="1127" spans="1:18">
      <c r="A1127" s="90" t="s">
        <v>211</v>
      </c>
      <c r="B1127" s="90" t="s">
        <v>643</v>
      </c>
      <c r="C1127" s="90" t="str">
        <f t="shared" si="17"/>
        <v>Point LayOther</v>
      </c>
      <c r="D1127" s="90">
        <v>2</v>
      </c>
      <c r="E1127" s="90">
        <v>19233</v>
      </c>
      <c r="F1127" s="90">
        <v>16634.070603067237</v>
      </c>
      <c r="G1127" s="90">
        <v>0</v>
      </c>
      <c r="H1127" s="90">
        <v>123378.84573991383</v>
      </c>
      <c r="I1127" s="90">
        <v>0</v>
      </c>
      <c r="J1127" s="90">
        <v>0</v>
      </c>
      <c r="K1127" s="90">
        <v>0</v>
      </c>
      <c r="L1127" s="90">
        <v>12309.212246269755</v>
      </c>
      <c r="M1127" s="90">
        <v>0</v>
      </c>
      <c r="N1127" s="90">
        <v>91300.345847536228</v>
      </c>
      <c r="O1127" s="90">
        <v>0</v>
      </c>
      <c r="P1127" s="90">
        <v>0</v>
      </c>
      <c r="Q1127" s="90">
        <v>0</v>
      </c>
      <c r="R1127" s="90">
        <v>134631</v>
      </c>
    </row>
    <row r="1128" spans="1:18">
      <c r="A1128" s="90" t="s">
        <v>211</v>
      </c>
      <c r="B1128" s="90" t="s">
        <v>1227</v>
      </c>
      <c r="C1128" s="90" t="str">
        <f t="shared" si="17"/>
        <v>Point LayPublic Assembly</v>
      </c>
      <c r="D1128" s="90">
        <v>1</v>
      </c>
      <c r="E1128" s="90">
        <v>1000</v>
      </c>
      <c r="F1128" s="90">
        <v>200</v>
      </c>
      <c r="G1128" s="90">
        <v>0</v>
      </c>
      <c r="H1128" s="90">
        <v>3761.735594165797</v>
      </c>
      <c r="I1128" s="90">
        <v>0</v>
      </c>
      <c r="J1128" s="90">
        <v>0</v>
      </c>
      <c r="K1128" s="90">
        <v>0</v>
      </c>
      <c r="L1128" s="90">
        <v>148</v>
      </c>
      <c r="M1128" s="90">
        <v>0</v>
      </c>
      <c r="N1128" s="90">
        <v>2783.6843396826898</v>
      </c>
      <c r="O1128" s="90">
        <v>0</v>
      </c>
      <c r="P1128" s="90">
        <v>0</v>
      </c>
      <c r="Q1128" s="90">
        <v>0</v>
      </c>
      <c r="R1128" s="90">
        <v>7000</v>
      </c>
    </row>
    <row r="1129" spans="1:18">
      <c r="A1129" s="90" t="s">
        <v>211</v>
      </c>
      <c r="B1129" s="90" t="s">
        <v>1475</v>
      </c>
      <c r="C1129" s="90" t="str">
        <f t="shared" si="17"/>
        <v>Point LayPublic Safety</v>
      </c>
      <c r="D1129" s="90">
        <v>4</v>
      </c>
      <c r="E1129" s="90">
        <v>11048</v>
      </c>
      <c r="F1129" s="90">
        <v>9388.1816503606369</v>
      </c>
      <c r="G1129" s="90">
        <v>0</v>
      </c>
      <c r="H1129" s="90">
        <v>106861.68995788648</v>
      </c>
      <c r="I1129" s="90">
        <v>0</v>
      </c>
      <c r="J1129" s="90">
        <v>0</v>
      </c>
      <c r="K1129" s="90">
        <v>0</v>
      </c>
      <c r="L1129" s="90">
        <v>6947.2544212668699</v>
      </c>
      <c r="M1129" s="90">
        <v>0</v>
      </c>
      <c r="N1129" s="90">
        <v>79077.650568836005</v>
      </c>
      <c r="O1129" s="90">
        <v>0</v>
      </c>
      <c r="P1129" s="90">
        <v>0</v>
      </c>
      <c r="Q1129" s="90">
        <v>0</v>
      </c>
      <c r="R1129" s="90">
        <v>77336</v>
      </c>
    </row>
    <row r="1130" spans="1:18">
      <c r="A1130" s="90" t="s">
        <v>211</v>
      </c>
      <c r="B1130" s="90" t="s">
        <v>1442</v>
      </c>
      <c r="C1130" s="90" t="str">
        <f t="shared" si="17"/>
        <v>Point LayResidential - Multi-Family</v>
      </c>
      <c r="D1130" s="90">
        <v>1</v>
      </c>
      <c r="E1130" s="90">
        <v>3456</v>
      </c>
      <c r="F1130" s="90">
        <v>2611.086256902222</v>
      </c>
      <c r="G1130" s="90">
        <v>0</v>
      </c>
      <c r="H1130" s="90">
        <v>16476.148283999999</v>
      </c>
      <c r="I1130" s="90">
        <v>0</v>
      </c>
      <c r="J1130" s="90">
        <v>0</v>
      </c>
      <c r="K1130" s="90">
        <v>0</v>
      </c>
      <c r="L1130" s="90">
        <v>1932.2038301076443</v>
      </c>
      <c r="M1130" s="90">
        <v>0</v>
      </c>
      <c r="N1130" s="90">
        <v>12192.349730159998</v>
      </c>
      <c r="O1130" s="90">
        <v>0</v>
      </c>
      <c r="P1130" s="90">
        <v>0</v>
      </c>
      <c r="Q1130" s="90">
        <v>0</v>
      </c>
      <c r="R1130" s="90">
        <v>24192</v>
      </c>
    </row>
    <row r="1131" spans="1:18">
      <c r="A1131" s="90" t="s">
        <v>211</v>
      </c>
      <c r="B1131" s="90" t="s">
        <v>1485</v>
      </c>
      <c r="C1131" s="90" t="str">
        <f t="shared" si="17"/>
        <v>Point LayRetail - Other</v>
      </c>
      <c r="D1131" s="90">
        <v>1</v>
      </c>
      <c r="E1131" s="90">
        <v>2100</v>
      </c>
      <c r="F1131" s="90">
        <v>2500</v>
      </c>
      <c r="G1131" s="90">
        <v>0</v>
      </c>
      <c r="H1131" s="90">
        <v>49466.001554951697</v>
      </c>
      <c r="I1131" s="90">
        <v>0</v>
      </c>
      <c r="J1131" s="90">
        <v>0</v>
      </c>
      <c r="K1131" s="90">
        <v>0</v>
      </c>
      <c r="L1131" s="90">
        <v>1850</v>
      </c>
      <c r="M1131" s="90">
        <v>0</v>
      </c>
      <c r="N1131" s="90">
        <v>36604.841150664259</v>
      </c>
      <c r="O1131" s="90">
        <v>0</v>
      </c>
      <c r="P1131" s="90">
        <v>0</v>
      </c>
      <c r="Q1131" s="90">
        <v>0</v>
      </c>
      <c r="R1131" s="90">
        <v>14700</v>
      </c>
    </row>
    <row r="1132" spans="1:18">
      <c r="A1132" s="90" t="s">
        <v>211</v>
      </c>
      <c r="B1132" s="90" t="s">
        <v>951</v>
      </c>
      <c r="C1132" s="90" t="str">
        <f t="shared" si="17"/>
        <v>Point LayWarehousing</v>
      </c>
      <c r="D1132" s="90">
        <v>2</v>
      </c>
      <c r="E1132" s="90">
        <v>23809</v>
      </c>
      <c r="F1132" s="90">
        <v>27676.280009053138</v>
      </c>
      <c r="G1132" s="90">
        <v>0</v>
      </c>
      <c r="H1132" s="90">
        <v>69736.627623999986</v>
      </c>
      <c r="I1132" s="90">
        <v>0</v>
      </c>
      <c r="J1132" s="90">
        <v>0</v>
      </c>
      <c r="K1132" s="90">
        <v>0</v>
      </c>
      <c r="L1132" s="90">
        <v>20480.447206699322</v>
      </c>
      <c r="M1132" s="90">
        <v>0</v>
      </c>
      <c r="N1132" s="90">
        <v>51605.104441759999</v>
      </c>
      <c r="O1132" s="90">
        <v>0</v>
      </c>
      <c r="P1132" s="90">
        <v>0</v>
      </c>
      <c r="Q1132" s="90">
        <v>0</v>
      </c>
      <c r="R1132" s="90">
        <v>166663</v>
      </c>
    </row>
    <row r="1133" spans="1:18">
      <c r="A1133" s="90" t="s">
        <v>1057</v>
      </c>
      <c r="B1133" s="90" t="s">
        <v>1439</v>
      </c>
      <c r="C1133" s="90" t="str">
        <f t="shared" si="17"/>
        <v>Port AlexanderEducation - K - 12</v>
      </c>
      <c r="D1133" s="90">
        <v>2</v>
      </c>
      <c r="E1133" s="90">
        <v>10730</v>
      </c>
      <c r="F1133" s="90">
        <v>11675.678263713035</v>
      </c>
      <c r="G1133" s="90">
        <v>0</v>
      </c>
      <c r="H1133" s="90">
        <v>69727.980773533636</v>
      </c>
      <c r="I1133" s="90">
        <v>0</v>
      </c>
      <c r="J1133" s="90">
        <v>0</v>
      </c>
      <c r="K1133" s="90">
        <v>0</v>
      </c>
      <c r="L1133" s="90">
        <v>8640.0019151476445</v>
      </c>
      <c r="M1133" s="90">
        <v>0</v>
      </c>
      <c r="N1133" s="90">
        <v>51598.705772414891</v>
      </c>
      <c r="O1133" s="90">
        <v>0</v>
      </c>
      <c r="P1133" s="90">
        <v>0</v>
      </c>
      <c r="Q1133" s="90">
        <v>0</v>
      </c>
      <c r="R1133" s="90">
        <v>75110</v>
      </c>
    </row>
    <row r="1134" spans="1:18">
      <c r="A1134" s="90" t="s">
        <v>1057</v>
      </c>
      <c r="B1134" s="90" t="s">
        <v>665</v>
      </c>
      <c r="C1134" s="90" t="str">
        <f t="shared" si="17"/>
        <v>Port AlexanderOffice</v>
      </c>
      <c r="D1134" s="90">
        <v>1</v>
      </c>
      <c r="E1134" s="90">
        <v>2033.2585034013605</v>
      </c>
      <c r="F1134" s="90">
        <v>2705.5824722962652</v>
      </c>
      <c r="G1134" s="90">
        <v>0</v>
      </c>
      <c r="H1134" s="90">
        <v>16298.661644952717</v>
      </c>
      <c r="I1134" s="90">
        <v>0</v>
      </c>
      <c r="J1134" s="90">
        <v>0</v>
      </c>
      <c r="K1134" s="90">
        <v>0</v>
      </c>
      <c r="L1134" s="90">
        <v>2002.1310294992363</v>
      </c>
      <c r="M1134" s="90">
        <v>0</v>
      </c>
      <c r="N1134" s="90">
        <v>12061.00961726501</v>
      </c>
      <c r="O1134" s="90">
        <v>0</v>
      </c>
      <c r="P1134" s="90">
        <v>0</v>
      </c>
      <c r="Q1134" s="90">
        <v>0</v>
      </c>
      <c r="R1134" s="90">
        <v>14232.809523809523</v>
      </c>
    </row>
    <row r="1135" spans="1:18">
      <c r="A1135" s="90" t="s">
        <v>233</v>
      </c>
      <c r="B1135" s="90" t="s">
        <v>1447</v>
      </c>
      <c r="C1135" s="90" t="str">
        <f t="shared" si="17"/>
        <v>Port AlsworthAccomodation Services</v>
      </c>
      <c r="D1135" s="90">
        <v>1</v>
      </c>
      <c r="E1135" s="90">
        <v>4770.8148148148148</v>
      </c>
      <c r="F1135" s="90">
        <v>2988.4980540000279</v>
      </c>
      <c r="G1135" s="90">
        <v>0</v>
      </c>
      <c r="H1135" s="90">
        <v>35003.910702682631</v>
      </c>
      <c r="I1135" s="90">
        <v>0</v>
      </c>
      <c r="J1135" s="90">
        <v>0</v>
      </c>
      <c r="K1135" s="90">
        <v>0</v>
      </c>
      <c r="L1135" s="90">
        <v>2211.4885599600207</v>
      </c>
      <c r="M1135" s="90">
        <v>0</v>
      </c>
      <c r="N1135" s="90">
        <v>25902.893919985148</v>
      </c>
      <c r="O1135" s="90">
        <v>0</v>
      </c>
      <c r="P1135" s="90">
        <v>0</v>
      </c>
      <c r="Q1135" s="90">
        <v>0</v>
      </c>
      <c r="R1135" s="90">
        <v>33395.703703703701</v>
      </c>
    </row>
    <row r="1136" spans="1:18">
      <c r="A1136" s="90" t="s">
        <v>233</v>
      </c>
      <c r="B1136" s="90" t="s">
        <v>1439</v>
      </c>
      <c r="C1136" s="90" t="str">
        <f t="shared" si="17"/>
        <v>Port AlsworthEducation - K - 12</v>
      </c>
      <c r="D1136" s="90">
        <v>1</v>
      </c>
      <c r="E1136" s="90">
        <v>8580</v>
      </c>
      <c r="F1136" s="90">
        <v>1154</v>
      </c>
      <c r="G1136" s="90">
        <v>7273.818929510986</v>
      </c>
      <c r="H1136" s="90">
        <v>77000</v>
      </c>
      <c r="I1136" s="90">
        <v>0</v>
      </c>
      <c r="J1136" s="90">
        <v>0</v>
      </c>
      <c r="K1136" s="90">
        <v>0</v>
      </c>
      <c r="L1136" s="90">
        <v>853.96</v>
      </c>
      <c r="M1136" s="90">
        <v>5382.6260078381292</v>
      </c>
      <c r="N1136" s="90">
        <v>56980</v>
      </c>
      <c r="O1136" s="90">
        <v>0</v>
      </c>
      <c r="P1136" s="90">
        <v>0</v>
      </c>
      <c r="Q1136" s="90">
        <v>0</v>
      </c>
      <c r="R1136" s="90">
        <v>60060</v>
      </c>
    </row>
    <row r="1137" spans="1:18">
      <c r="A1137" s="90" t="s">
        <v>233</v>
      </c>
      <c r="B1137" s="90" t="s">
        <v>665</v>
      </c>
      <c r="C1137" s="90" t="str">
        <f t="shared" si="17"/>
        <v>Port AlsworthOffice</v>
      </c>
      <c r="D1137" s="90">
        <v>1</v>
      </c>
      <c r="E1137" s="90">
        <v>2033.2585034013605</v>
      </c>
      <c r="F1137" s="90">
        <v>2705.5824722962652</v>
      </c>
      <c r="G1137" s="90">
        <v>0</v>
      </c>
      <c r="H1137" s="90">
        <v>16298.661644952717</v>
      </c>
      <c r="I1137" s="90">
        <v>0</v>
      </c>
      <c r="J1137" s="90">
        <v>0</v>
      </c>
      <c r="K1137" s="90">
        <v>0</v>
      </c>
      <c r="L1137" s="90">
        <v>2002.1310294992363</v>
      </c>
      <c r="M1137" s="90">
        <v>0</v>
      </c>
      <c r="N1137" s="90">
        <v>12061.00961726501</v>
      </c>
      <c r="O1137" s="90">
        <v>0</v>
      </c>
      <c r="P1137" s="90">
        <v>0</v>
      </c>
      <c r="Q1137" s="90">
        <v>0</v>
      </c>
      <c r="R1137" s="90">
        <v>14232.809523809523</v>
      </c>
    </row>
    <row r="1138" spans="1:18">
      <c r="A1138" s="90" t="s">
        <v>233</v>
      </c>
      <c r="B1138" s="90" t="s">
        <v>643</v>
      </c>
      <c r="C1138" s="90" t="str">
        <f t="shared" si="17"/>
        <v>Port AlsworthOther</v>
      </c>
      <c r="D1138" s="90">
        <v>9</v>
      </c>
      <c r="E1138" s="90">
        <v>21135.443181818184</v>
      </c>
      <c r="F1138" s="90">
        <v>18279.439198953864</v>
      </c>
      <c r="G1138" s="90">
        <v>0</v>
      </c>
      <c r="H1138" s="90">
        <v>153823.49584833259</v>
      </c>
      <c r="I1138" s="90">
        <v>0</v>
      </c>
      <c r="J1138" s="90">
        <v>0</v>
      </c>
      <c r="K1138" s="90">
        <v>0</v>
      </c>
      <c r="L1138" s="90">
        <v>13526.785007225857</v>
      </c>
      <c r="M1138" s="90">
        <v>0</v>
      </c>
      <c r="N1138" s="90">
        <v>113829.38692776609</v>
      </c>
      <c r="O1138" s="90">
        <v>0</v>
      </c>
      <c r="P1138" s="90">
        <v>0</v>
      </c>
      <c r="Q1138" s="90">
        <v>0</v>
      </c>
      <c r="R1138" s="90">
        <v>147948.10227272726</v>
      </c>
    </row>
    <row r="1139" spans="1:18">
      <c r="A1139" s="90" t="s">
        <v>233</v>
      </c>
      <c r="B1139" s="90" t="s">
        <v>1227</v>
      </c>
      <c r="C1139" s="90" t="str">
        <f t="shared" si="17"/>
        <v>Port AlsworthPublic Assembly</v>
      </c>
      <c r="D1139" s="90">
        <v>2</v>
      </c>
      <c r="E1139" s="90">
        <v>6273.4423076923076</v>
      </c>
      <c r="F1139" s="90">
        <v>3914.3618829991747</v>
      </c>
      <c r="G1139" s="90">
        <v>0</v>
      </c>
      <c r="H1139" s="90">
        <v>23599.031226791769</v>
      </c>
      <c r="I1139" s="90">
        <v>0</v>
      </c>
      <c r="J1139" s="90">
        <v>0</v>
      </c>
      <c r="K1139" s="90">
        <v>0</v>
      </c>
      <c r="L1139" s="90">
        <v>2896.627793419389</v>
      </c>
      <c r="M1139" s="90">
        <v>0</v>
      </c>
      <c r="N1139" s="90">
        <v>17463.283107825908</v>
      </c>
      <c r="O1139" s="90">
        <v>0</v>
      </c>
      <c r="P1139" s="90">
        <v>0</v>
      </c>
      <c r="Q1139" s="90">
        <v>0</v>
      </c>
      <c r="R1139" s="90">
        <v>43914.096153846156</v>
      </c>
    </row>
    <row r="1140" spans="1:18">
      <c r="A1140" s="90" t="s">
        <v>233</v>
      </c>
      <c r="B1140" s="90" t="s">
        <v>1475</v>
      </c>
      <c r="C1140" s="90" t="str">
        <f t="shared" si="17"/>
        <v>Port AlsworthPublic Safety</v>
      </c>
      <c r="D1140" s="90">
        <v>1</v>
      </c>
      <c r="E1140" s="90">
        <v>2595.4749999999999</v>
      </c>
      <c r="F1140" s="90">
        <v>2523.774623927618</v>
      </c>
      <c r="G1140" s="90">
        <v>0</v>
      </c>
      <c r="H1140" s="90">
        <v>20946.642306328533</v>
      </c>
      <c r="I1140" s="90">
        <v>0</v>
      </c>
      <c r="J1140" s="90">
        <v>0</v>
      </c>
      <c r="K1140" s="90">
        <v>0</v>
      </c>
      <c r="L1140" s="90">
        <v>1867.5932217064374</v>
      </c>
      <c r="M1140" s="90">
        <v>0</v>
      </c>
      <c r="N1140" s="90">
        <v>15500.515306683114</v>
      </c>
      <c r="O1140" s="90">
        <v>0</v>
      </c>
      <c r="P1140" s="90">
        <v>0</v>
      </c>
      <c r="Q1140" s="90">
        <v>0</v>
      </c>
      <c r="R1140" s="90">
        <v>18168.325000000001</v>
      </c>
    </row>
    <row r="1141" spans="1:18">
      <c r="A1141" s="90" t="s">
        <v>233</v>
      </c>
      <c r="B1141" s="90" t="s">
        <v>951</v>
      </c>
      <c r="C1141" s="90" t="str">
        <f t="shared" si="17"/>
        <v>Port AlsworthWarehousing</v>
      </c>
      <c r="D1141" s="90">
        <v>1</v>
      </c>
      <c r="E1141" s="90">
        <v>1783.9572649572649</v>
      </c>
      <c r="F1141" s="90">
        <v>2236.2446758544302</v>
      </c>
      <c r="G1141" s="90">
        <v>0</v>
      </c>
      <c r="H1141" s="90">
        <v>21166.918377106285</v>
      </c>
      <c r="I1141" s="90">
        <v>0</v>
      </c>
      <c r="J1141" s="90">
        <v>0</v>
      </c>
      <c r="K1141" s="90">
        <v>0</v>
      </c>
      <c r="L1141" s="90">
        <v>1654.8210601322783</v>
      </c>
      <c r="M1141" s="90">
        <v>0</v>
      </c>
      <c r="N1141" s="90">
        <v>15663.519599058651</v>
      </c>
      <c r="O1141" s="90">
        <v>0</v>
      </c>
      <c r="P1141" s="90">
        <v>0</v>
      </c>
      <c r="Q1141" s="90">
        <v>0</v>
      </c>
      <c r="R1141" s="90">
        <v>12487.700854700854</v>
      </c>
    </row>
    <row r="1142" spans="1:18">
      <c r="A1142" s="90" t="s">
        <v>1058</v>
      </c>
      <c r="B1142" s="90" t="s">
        <v>1439</v>
      </c>
      <c r="C1142" s="90" t="str">
        <f t="shared" si="17"/>
        <v>Port GrahamEducation - K - 12</v>
      </c>
      <c r="D1142" s="90">
        <v>1</v>
      </c>
      <c r="E1142" s="90">
        <v>12568</v>
      </c>
      <c r="F1142" s="90">
        <v>10654.703532178797</v>
      </c>
      <c r="G1142" s="90">
        <v>0</v>
      </c>
      <c r="H1142" s="90">
        <v>81672.065457760546</v>
      </c>
      <c r="I1142" s="90">
        <v>0</v>
      </c>
      <c r="J1142" s="90">
        <v>0</v>
      </c>
      <c r="K1142" s="90">
        <v>0</v>
      </c>
      <c r="L1142" s="90">
        <v>7884.4806138123095</v>
      </c>
      <c r="M1142" s="90">
        <v>0</v>
      </c>
      <c r="N1142" s="90">
        <v>60437.328438742807</v>
      </c>
      <c r="O1142" s="90">
        <v>0</v>
      </c>
      <c r="P1142" s="90">
        <v>0</v>
      </c>
      <c r="Q1142" s="90">
        <v>0</v>
      </c>
      <c r="R1142" s="90">
        <v>87976</v>
      </c>
    </row>
    <row r="1143" spans="1:18">
      <c r="A1143" s="90" t="s">
        <v>1058</v>
      </c>
      <c r="B1143" s="90" t="s">
        <v>665</v>
      </c>
      <c r="C1143" s="90" t="str">
        <f t="shared" si="17"/>
        <v>Port GrahamOffice</v>
      </c>
      <c r="D1143" s="90">
        <v>2</v>
      </c>
      <c r="E1143" s="90">
        <v>4066.517006802721</v>
      </c>
      <c r="F1143" s="90">
        <v>5411.1649445925304</v>
      </c>
      <c r="G1143" s="90">
        <v>0</v>
      </c>
      <c r="H1143" s="90">
        <v>32597.323289905435</v>
      </c>
      <c r="I1143" s="90">
        <v>0</v>
      </c>
      <c r="J1143" s="90">
        <v>0</v>
      </c>
      <c r="K1143" s="90">
        <v>0</v>
      </c>
      <c r="L1143" s="90">
        <v>4004.2620589984726</v>
      </c>
      <c r="M1143" s="90">
        <v>0</v>
      </c>
      <c r="N1143" s="90">
        <v>24122.01923453002</v>
      </c>
      <c r="O1143" s="90">
        <v>0</v>
      </c>
      <c r="P1143" s="90">
        <v>0</v>
      </c>
      <c r="Q1143" s="90">
        <v>0</v>
      </c>
      <c r="R1143" s="90">
        <v>28465.619047619046</v>
      </c>
    </row>
    <row r="1144" spans="1:18">
      <c r="A1144" s="90" t="s">
        <v>1058</v>
      </c>
      <c r="B1144" s="90" t="s">
        <v>1485</v>
      </c>
      <c r="C1144" s="90" t="str">
        <f t="shared" si="17"/>
        <v>Port GrahamRetail - Other</v>
      </c>
      <c r="D1144" s="90">
        <v>1</v>
      </c>
      <c r="E1144" s="90">
        <v>2105.2800000000002</v>
      </c>
      <c r="F1144" s="90">
        <v>1980</v>
      </c>
      <c r="G1144" s="90">
        <v>0</v>
      </c>
      <c r="H1144" s="90">
        <v>49590.373216004155</v>
      </c>
      <c r="I1144" s="90">
        <v>0</v>
      </c>
      <c r="J1144" s="90">
        <v>0</v>
      </c>
      <c r="K1144" s="90">
        <v>0</v>
      </c>
      <c r="L1144" s="90">
        <v>1465.2</v>
      </c>
      <c r="M1144" s="90">
        <v>0</v>
      </c>
      <c r="N1144" s="90">
        <v>36696.876179843071</v>
      </c>
      <c r="O1144" s="90">
        <v>0</v>
      </c>
      <c r="P1144" s="90">
        <v>0</v>
      </c>
      <c r="Q1144" s="90">
        <v>0</v>
      </c>
      <c r="R1144" s="90">
        <v>14736.960000000001</v>
      </c>
    </row>
    <row r="1145" spans="1:18">
      <c r="A1145" s="90" t="s">
        <v>1058</v>
      </c>
      <c r="B1145" s="90" t="s">
        <v>951</v>
      </c>
      <c r="C1145" s="90" t="str">
        <f t="shared" si="17"/>
        <v>Port GrahamWarehousing</v>
      </c>
      <c r="D1145" s="90">
        <v>1</v>
      </c>
      <c r="E1145" s="90">
        <v>800</v>
      </c>
      <c r="F1145" s="90">
        <v>1002.8243253497443</v>
      </c>
      <c r="G1145" s="90">
        <v>0</v>
      </c>
      <c r="H1145" s="90">
        <v>9492.1190290344057</v>
      </c>
      <c r="I1145" s="90">
        <v>0</v>
      </c>
      <c r="J1145" s="90">
        <v>0</v>
      </c>
      <c r="K1145" s="90">
        <v>0</v>
      </c>
      <c r="L1145" s="90">
        <v>742.09000075881079</v>
      </c>
      <c r="M1145" s="90">
        <v>0</v>
      </c>
      <c r="N1145" s="90">
        <v>7024.1680814854599</v>
      </c>
      <c r="O1145" s="90">
        <v>0</v>
      </c>
      <c r="P1145" s="90">
        <v>0</v>
      </c>
      <c r="Q1145" s="90">
        <v>0</v>
      </c>
      <c r="R1145" s="90">
        <v>5600</v>
      </c>
    </row>
    <row r="1146" spans="1:18" s="46" customFormat="1">
      <c r="A1146" s="90" t="s">
        <v>223</v>
      </c>
      <c r="B1146" s="90" t="s">
        <v>1439</v>
      </c>
      <c r="C1146" s="90" t="str">
        <f t="shared" si="17"/>
        <v>Port HeidenEducation - K - 12</v>
      </c>
      <c r="D1146" s="90">
        <v>1</v>
      </c>
      <c r="E1146" s="90">
        <v>15435</v>
      </c>
      <c r="F1146" s="90">
        <v>13085.244193123784</v>
      </c>
      <c r="G1146" s="90">
        <v>0</v>
      </c>
      <c r="H1146" s="90">
        <v>100303.01800927229</v>
      </c>
      <c r="I1146" s="90">
        <v>0</v>
      </c>
      <c r="J1146" s="90">
        <v>0</v>
      </c>
      <c r="K1146" s="90">
        <v>0</v>
      </c>
      <c r="L1146" s="90">
        <v>9683.0807029116004</v>
      </c>
      <c r="M1146" s="90">
        <v>0</v>
      </c>
      <c r="N1146" s="90">
        <v>74224.233326861489</v>
      </c>
      <c r="O1146" s="90">
        <v>0</v>
      </c>
      <c r="P1146" s="90">
        <v>0</v>
      </c>
      <c r="Q1146" s="90">
        <v>0</v>
      </c>
      <c r="R1146" s="90">
        <v>108045</v>
      </c>
    </row>
    <row r="1147" spans="1:18" s="46" customFormat="1">
      <c r="A1147" s="90" t="s">
        <v>223</v>
      </c>
      <c r="B1147" s="90" t="s">
        <v>1440</v>
      </c>
      <c r="C1147" s="90" t="str">
        <f t="shared" si="17"/>
        <v>Port HeidenHealth Care - Hospitals</v>
      </c>
      <c r="D1147" s="90">
        <v>1</v>
      </c>
      <c r="E1147" s="90">
        <v>2099</v>
      </c>
      <c r="F1147" s="90">
        <v>1462.9470334996854</v>
      </c>
      <c r="G1147" s="90">
        <v>0</v>
      </c>
      <c r="H1147" s="90">
        <v>15789.583299367636</v>
      </c>
      <c r="I1147" s="90">
        <v>0</v>
      </c>
      <c r="J1147" s="90">
        <v>0</v>
      </c>
      <c r="K1147" s="90">
        <v>0</v>
      </c>
      <c r="L1147" s="90">
        <v>1082.5808047897672</v>
      </c>
      <c r="M1147" s="90">
        <v>0</v>
      </c>
      <c r="N1147" s="90">
        <v>11684.291641532051</v>
      </c>
      <c r="O1147" s="90">
        <v>0</v>
      </c>
      <c r="P1147" s="90">
        <v>0</v>
      </c>
      <c r="Q1147" s="90">
        <v>0</v>
      </c>
      <c r="R1147" s="90">
        <v>14693</v>
      </c>
    </row>
    <row r="1148" spans="1:18" s="46" customFormat="1">
      <c r="A1148" s="90" t="s">
        <v>223</v>
      </c>
      <c r="B1148" s="90" t="s">
        <v>665</v>
      </c>
      <c r="C1148" s="90" t="str">
        <f t="shared" si="17"/>
        <v>Port HeidenOffice</v>
      </c>
      <c r="D1148" s="90">
        <v>1</v>
      </c>
      <c r="E1148" s="90">
        <v>2033.2585034013605</v>
      </c>
      <c r="F1148" s="90">
        <v>2705.5824722962652</v>
      </c>
      <c r="G1148" s="90">
        <v>0</v>
      </c>
      <c r="H1148" s="90">
        <v>16298.661644952717</v>
      </c>
      <c r="I1148" s="90">
        <v>0</v>
      </c>
      <c r="J1148" s="90">
        <v>0</v>
      </c>
      <c r="K1148" s="90">
        <v>0</v>
      </c>
      <c r="L1148" s="90">
        <v>2002.1310294992363</v>
      </c>
      <c r="M1148" s="90">
        <v>0</v>
      </c>
      <c r="N1148" s="90">
        <v>12061.00961726501</v>
      </c>
      <c r="O1148" s="90">
        <v>0</v>
      </c>
      <c r="P1148" s="90">
        <v>0</v>
      </c>
      <c r="Q1148" s="90">
        <v>0</v>
      </c>
      <c r="R1148" s="90">
        <v>14232.809523809523</v>
      </c>
    </row>
    <row r="1149" spans="1:18" s="46" customFormat="1">
      <c r="A1149" s="90" t="s">
        <v>223</v>
      </c>
      <c r="B1149" s="90" t="s">
        <v>643</v>
      </c>
      <c r="C1149" s="90" t="str">
        <f t="shared" si="17"/>
        <v>Port HeidenOther</v>
      </c>
      <c r="D1149" s="90">
        <v>4</v>
      </c>
      <c r="E1149" s="90">
        <v>9691.7613636363621</v>
      </c>
      <c r="F1149" s="90">
        <v>9401.5557625810452</v>
      </c>
      <c r="G1149" s="90">
        <v>0</v>
      </c>
      <c r="H1149" s="90">
        <v>70536.520150418728</v>
      </c>
      <c r="I1149" s="90">
        <v>0</v>
      </c>
      <c r="J1149" s="90">
        <v>0</v>
      </c>
      <c r="K1149" s="90">
        <v>0</v>
      </c>
      <c r="L1149" s="90">
        <v>6957.1512643099732</v>
      </c>
      <c r="M1149" s="90">
        <v>0</v>
      </c>
      <c r="N1149" s="90">
        <v>52197.024911309854</v>
      </c>
      <c r="O1149" s="90">
        <v>0</v>
      </c>
      <c r="P1149" s="90">
        <v>0</v>
      </c>
      <c r="Q1149" s="90">
        <v>0</v>
      </c>
      <c r="R1149" s="90">
        <v>67842.329545454544</v>
      </c>
    </row>
    <row r="1150" spans="1:18" s="46" customFormat="1">
      <c r="A1150" s="90" t="s">
        <v>223</v>
      </c>
      <c r="B1150" s="90" t="s">
        <v>1227</v>
      </c>
      <c r="C1150" s="90" t="str">
        <f t="shared" si="17"/>
        <v>Port HeidenPublic Assembly</v>
      </c>
      <c r="D1150" s="90">
        <v>2</v>
      </c>
      <c r="E1150" s="90">
        <v>6273.4423076923076</v>
      </c>
      <c r="F1150" s="90">
        <v>3914.3618829991747</v>
      </c>
      <c r="G1150" s="90">
        <v>0</v>
      </c>
      <c r="H1150" s="90">
        <v>23599.031226791769</v>
      </c>
      <c r="I1150" s="90">
        <v>0</v>
      </c>
      <c r="J1150" s="90">
        <v>0</v>
      </c>
      <c r="K1150" s="90">
        <v>0</v>
      </c>
      <c r="L1150" s="90">
        <v>2896.627793419389</v>
      </c>
      <c r="M1150" s="90">
        <v>0</v>
      </c>
      <c r="N1150" s="90">
        <v>17463.283107825908</v>
      </c>
      <c r="O1150" s="90">
        <v>0</v>
      </c>
      <c r="P1150" s="90">
        <v>0</v>
      </c>
      <c r="Q1150" s="90">
        <v>0</v>
      </c>
      <c r="R1150" s="90">
        <v>43914.096153846156</v>
      </c>
    </row>
    <row r="1151" spans="1:18" s="46" customFormat="1">
      <c r="A1151" s="90" t="s">
        <v>223</v>
      </c>
      <c r="B1151" s="90" t="s">
        <v>1485</v>
      </c>
      <c r="C1151" s="90" t="str">
        <f t="shared" si="17"/>
        <v>Port HeidenRetail - Other</v>
      </c>
      <c r="D1151" s="90">
        <v>2</v>
      </c>
      <c r="E1151" s="90">
        <v>4210.5600000000004</v>
      </c>
      <c r="F1151" s="90">
        <v>4451.563942857143</v>
      </c>
      <c r="G1151" s="90">
        <v>0</v>
      </c>
      <c r="H1151" s="90">
        <v>99180.746432008309</v>
      </c>
      <c r="I1151" s="90">
        <v>0</v>
      </c>
      <c r="J1151" s="90">
        <v>0</v>
      </c>
      <c r="K1151" s="90">
        <v>0</v>
      </c>
      <c r="L1151" s="90">
        <v>3294.1573177142859</v>
      </c>
      <c r="M1151" s="90">
        <v>0</v>
      </c>
      <c r="N1151" s="90">
        <v>73393.752359686143</v>
      </c>
      <c r="O1151" s="90">
        <v>0</v>
      </c>
      <c r="P1151" s="90">
        <v>0</v>
      </c>
      <c r="Q1151" s="90">
        <v>0</v>
      </c>
      <c r="R1151" s="90">
        <v>29473.920000000002</v>
      </c>
    </row>
    <row r="1152" spans="1:18" s="46" customFormat="1">
      <c r="A1152" s="90" t="s">
        <v>223</v>
      </c>
      <c r="B1152" s="90" t="s">
        <v>951</v>
      </c>
      <c r="C1152" s="90" t="str">
        <f t="shared" si="17"/>
        <v>Port HeidenWarehousing</v>
      </c>
      <c r="D1152" s="90">
        <v>1</v>
      </c>
      <c r="E1152" s="90">
        <v>336</v>
      </c>
      <c r="F1152" s="90">
        <v>421.1862166468926</v>
      </c>
      <c r="G1152" s="90">
        <v>0</v>
      </c>
      <c r="H1152" s="90">
        <v>3986.6899921944505</v>
      </c>
      <c r="I1152" s="90">
        <v>0</v>
      </c>
      <c r="J1152" s="90">
        <v>0</v>
      </c>
      <c r="K1152" s="90">
        <v>0</v>
      </c>
      <c r="L1152" s="90">
        <v>311.67780031870052</v>
      </c>
      <c r="M1152" s="90">
        <v>0</v>
      </c>
      <c r="N1152" s="90">
        <v>2950.1505942238932</v>
      </c>
      <c r="O1152" s="90">
        <v>0</v>
      </c>
      <c r="P1152" s="90">
        <v>0</v>
      </c>
      <c r="Q1152" s="90">
        <v>0</v>
      </c>
      <c r="R1152" s="90">
        <v>2352</v>
      </c>
    </row>
    <row r="1153" spans="1:18">
      <c r="A1153" s="90" t="s">
        <v>1059</v>
      </c>
      <c r="B1153" s="90" t="s">
        <v>1447</v>
      </c>
      <c r="C1153" s="90" t="str">
        <f t="shared" si="17"/>
        <v>Port LionsAccomodation Services</v>
      </c>
      <c r="D1153" s="90">
        <v>3</v>
      </c>
      <c r="E1153" s="90">
        <v>14312.444444444445</v>
      </c>
      <c r="F1153" s="90">
        <v>8965.4941620000827</v>
      </c>
      <c r="G1153" s="90">
        <v>0</v>
      </c>
      <c r="H1153" s="90">
        <v>105011.7321080479</v>
      </c>
      <c r="I1153" s="90">
        <v>0</v>
      </c>
      <c r="J1153" s="90">
        <v>0</v>
      </c>
      <c r="K1153" s="90">
        <v>0</v>
      </c>
      <c r="L1153" s="90">
        <v>6634.4656798800625</v>
      </c>
      <c r="M1153" s="90">
        <v>0</v>
      </c>
      <c r="N1153" s="90">
        <v>77708.681759955449</v>
      </c>
      <c r="O1153" s="90">
        <v>0</v>
      </c>
      <c r="P1153" s="90">
        <v>0</v>
      </c>
      <c r="Q1153" s="90">
        <v>0</v>
      </c>
      <c r="R1153" s="90">
        <v>100187.11111111109</v>
      </c>
    </row>
    <row r="1154" spans="1:18">
      <c r="A1154" s="90" t="s">
        <v>1059</v>
      </c>
      <c r="B1154" s="90" t="s">
        <v>1439</v>
      </c>
      <c r="C1154" s="90" t="str">
        <f t="shared" si="17"/>
        <v>Port LionsEducation - K - 12</v>
      </c>
      <c r="D1154" s="90">
        <v>1</v>
      </c>
      <c r="E1154" s="90">
        <v>21697</v>
      </c>
      <c r="F1154" s="90">
        <v>8030</v>
      </c>
      <c r="G1154" s="90">
        <v>0</v>
      </c>
      <c r="H1154" s="90">
        <v>105760</v>
      </c>
      <c r="I1154" s="90">
        <v>0</v>
      </c>
      <c r="J1154" s="90">
        <v>0</v>
      </c>
      <c r="K1154" s="90">
        <v>0</v>
      </c>
      <c r="L1154" s="90">
        <v>5942.2</v>
      </c>
      <c r="M1154" s="90">
        <v>0</v>
      </c>
      <c r="N1154" s="90">
        <v>78262.399999999994</v>
      </c>
      <c r="O1154" s="90">
        <v>0</v>
      </c>
      <c r="P1154" s="90">
        <v>0</v>
      </c>
      <c r="Q1154" s="90">
        <v>0</v>
      </c>
      <c r="R1154" s="90">
        <v>151879</v>
      </c>
    </row>
    <row r="1155" spans="1:18">
      <c r="A1155" s="90" t="s">
        <v>1059</v>
      </c>
      <c r="B1155" s="90" t="s">
        <v>1440</v>
      </c>
      <c r="C1155" s="90" t="str">
        <f t="shared" ref="C1155:C1218" si="18">CONCATENATE(A1155,B1155)</f>
        <v>Port LionsHealth Care - Hospitals</v>
      </c>
      <c r="D1155" s="90">
        <v>1</v>
      </c>
      <c r="E1155" s="90">
        <v>2552</v>
      </c>
      <c r="F1155" s="90">
        <v>1778.6759549743674</v>
      </c>
      <c r="G1155" s="90">
        <v>0</v>
      </c>
      <c r="H1155" s="90">
        <v>19197.244678411724</v>
      </c>
      <c r="I1155" s="90">
        <v>0</v>
      </c>
      <c r="J1155" s="90">
        <v>0</v>
      </c>
      <c r="K1155" s="90">
        <v>0</v>
      </c>
      <c r="L1155" s="90">
        <v>1316.2202066810319</v>
      </c>
      <c r="M1155" s="90">
        <v>0</v>
      </c>
      <c r="N1155" s="90">
        <v>14205.961062024675</v>
      </c>
      <c r="O1155" s="90">
        <v>0</v>
      </c>
      <c r="P1155" s="90">
        <v>0</v>
      </c>
      <c r="Q1155" s="90">
        <v>0</v>
      </c>
      <c r="R1155" s="90">
        <v>17864</v>
      </c>
    </row>
    <row r="1156" spans="1:18">
      <c r="A1156" s="90" t="s">
        <v>1059</v>
      </c>
      <c r="B1156" s="90" t="s">
        <v>665</v>
      </c>
      <c r="C1156" s="90" t="str">
        <f t="shared" si="18"/>
        <v>Port LionsOffice</v>
      </c>
      <c r="D1156" s="90">
        <v>7</v>
      </c>
      <c r="E1156" s="90">
        <v>17747.517006802722</v>
      </c>
      <c r="F1156" s="90">
        <v>13141.257457428477</v>
      </c>
      <c r="G1156" s="90">
        <v>0</v>
      </c>
      <c r="H1156" s="90">
        <v>93123.966877845058</v>
      </c>
      <c r="I1156" s="90">
        <v>0</v>
      </c>
      <c r="J1156" s="90">
        <v>0</v>
      </c>
      <c r="K1156" s="90">
        <v>0</v>
      </c>
      <c r="L1156" s="90">
        <v>9724.5305184970712</v>
      </c>
      <c r="M1156" s="90">
        <v>0</v>
      </c>
      <c r="N1156" s="90">
        <v>68911.735489605329</v>
      </c>
      <c r="O1156" s="90">
        <v>0</v>
      </c>
      <c r="P1156" s="90">
        <v>0</v>
      </c>
      <c r="Q1156" s="90">
        <v>0</v>
      </c>
      <c r="R1156" s="90">
        <v>124232.61904761905</v>
      </c>
    </row>
    <row r="1157" spans="1:18">
      <c r="A1157" s="90" t="s">
        <v>1059</v>
      </c>
      <c r="B1157" s="90" t="s">
        <v>643</v>
      </c>
      <c r="C1157" s="90" t="str">
        <f t="shared" si="18"/>
        <v>Port LionsOther</v>
      </c>
      <c r="D1157" s="90">
        <v>9</v>
      </c>
      <c r="E1157" s="90">
        <v>22511.363636363636</v>
      </c>
      <c r="F1157" s="90">
        <v>19469.433374855358</v>
      </c>
      <c r="G1157" s="90">
        <v>0</v>
      </c>
      <c r="H1157" s="90">
        <v>163837.42801463229</v>
      </c>
      <c r="I1157" s="90">
        <v>0</v>
      </c>
      <c r="J1157" s="90">
        <v>0</v>
      </c>
      <c r="K1157" s="90">
        <v>0</v>
      </c>
      <c r="L1157" s="90">
        <v>14407.380697392966</v>
      </c>
      <c r="M1157" s="90">
        <v>0</v>
      </c>
      <c r="N1157" s="90">
        <v>121239.69673082785</v>
      </c>
      <c r="O1157" s="90">
        <v>0</v>
      </c>
      <c r="P1157" s="90">
        <v>0</v>
      </c>
      <c r="Q1157" s="90">
        <v>0</v>
      </c>
      <c r="R1157" s="90">
        <v>157579.54545454544</v>
      </c>
    </row>
    <row r="1158" spans="1:18">
      <c r="A1158" s="90" t="s">
        <v>1059</v>
      </c>
      <c r="B1158" s="90" t="s">
        <v>1227</v>
      </c>
      <c r="C1158" s="90" t="str">
        <f t="shared" si="18"/>
        <v>Port LionsPublic Assembly</v>
      </c>
      <c r="D1158" s="90">
        <v>3</v>
      </c>
      <c r="E1158" s="90">
        <v>7425.4423076923076</v>
      </c>
      <c r="F1158" s="90">
        <v>4633.1610156039051</v>
      </c>
      <c r="G1158" s="90">
        <v>0</v>
      </c>
      <c r="H1158" s="90">
        <v>27932.550631270766</v>
      </c>
      <c r="I1158" s="90">
        <v>0</v>
      </c>
      <c r="J1158" s="90">
        <v>0</v>
      </c>
      <c r="K1158" s="90">
        <v>0</v>
      </c>
      <c r="L1158" s="90">
        <v>3428.5391515468896</v>
      </c>
      <c r="M1158" s="90">
        <v>0</v>
      </c>
      <c r="N1158" s="90">
        <v>20670.087467140365</v>
      </c>
      <c r="O1158" s="90">
        <v>0</v>
      </c>
      <c r="P1158" s="90">
        <v>0</v>
      </c>
      <c r="Q1158" s="90">
        <v>0</v>
      </c>
      <c r="R1158" s="90">
        <v>51978.096153846156</v>
      </c>
    </row>
    <row r="1159" spans="1:18">
      <c r="A1159" s="90" t="s">
        <v>1059</v>
      </c>
      <c r="B1159" s="90" t="s">
        <v>1475</v>
      </c>
      <c r="C1159" s="90" t="str">
        <f t="shared" si="18"/>
        <v>Port LionsPublic Safety</v>
      </c>
      <c r="D1159" s="90">
        <v>1</v>
      </c>
      <c r="E1159" s="90">
        <v>2595.4749999999999</v>
      </c>
      <c r="F1159" s="90">
        <v>2523.774623927618</v>
      </c>
      <c r="G1159" s="90">
        <v>0</v>
      </c>
      <c r="H1159" s="90">
        <v>20946.642306328533</v>
      </c>
      <c r="I1159" s="90">
        <v>0</v>
      </c>
      <c r="J1159" s="90">
        <v>0</v>
      </c>
      <c r="K1159" s="90">
        <v>0</v>
      </c>
      <c r="L1159" s="90">
        <v>1867.5932217064374</v>
      </c>
      <c r="M1159" s="90">
        <v>0</v>
      </c>
      <c r="N1159" s="90">
        <v>15500.515306683114</v>
      </c>
      <c r="O1159" s="90">
        <v>0</v>
      </c>
      <c r="P1159" s="90">
        <v>0</v>
      </c>
      <c r="Q1159" s="90">
        <v>0</v>
      </c>
      <c r="R1159" s="90">
        <v>18168.325000000001</v>
      </c>
    </row>
    <row r="1160" spans="1:18">
      <c r="A1160" s="90" t="s">
        <v>1059</v>
      </c>
      <c r="B1160" s="90" t="s">
        <v>1485</v>
      </c>
      <c r="C1160" s="90" t="str">
        <f t="shared" si="18"/>
        <v>Port LionsRetail - Other</v>
      </c>
      <c r="D1160" s="90">
        <v>1</v>
      </c>
      <c r="E1160" s="90">
        <v>2105.2800000000002</v>
      </c>
      <c r="F1160" s="90">
        <v>2225.7819714285715</v>
      </c>
      <c r="G1160" s="90">
        <v>0</v>
      </c>
      <c r="H1160" s="90">
        <v>49590.373216004155</v>
      </c>
      <c r="I1160" s="90">
        <v>0</v>
      </c>
      <c r="J1160" s="90">
        <v>0</v>
      </c>
      <c r="K1160" s="90">
        <v>0</v>
      </c>
      <c r="L1160" s="90">
        <v>1647.078658857143</v>
      </c>
      <c r="M1160" s="90">
        <v>0</v>
      </c>
      <c r="N1160" s="90">
        <v>36696.876179843071</v>
      </c>
      <c r="O1160" s="90">
        <v>0</v>
      </c>
      <c r="P1160" s="90">
        <v>0</v>
      </c>
      <c r="Q1160" s="90">
        <v>0</v>
      </c>
      <c r="R1160" s="90">
        <v>14736.960000000001</v>
      </c>
    </row>
    <row r="1161" spans="1:18">
      <c r="A1161" s="90" t="s">
        <v>1059</v>
      </c>
      <c r="B1161" s="90" t="s">
        <v>951</v>
      </c>
      <c r="C1161" s="90" t="str">
        <f t="shared" si="18"/>
        <v>Port LionsWarehousing</v>
      </c>
      <c r="D1161" s="90">
        <v>2</v>
      </c>
      <c r="E1161" s="90">
        <v>1344</v>
      </c>
      <c r="F1161" s="90">
        <v>1684.7448665875704</v>
      </c>
      <c r="G1161" s="90">
        <v>0</v>
      </c>
      <c r="H1161" s="90">
        <v>15946.759968777802</v>
      </c>
      <c r="I1161" s="90">
        <v>0</v>
      </c>
      <c r="J1161" s="90">
        <v>0</v>
      </c>
      <c r="K1161" s="90">
        <v>0</v>
      </c>
      <c r="L1161" s="90">
        <v>1246.7112012748021</v>
      </c>
      <c r="M1161" s="90">
        <v>0</v>
      </c>
      <c r="N1161" s="90">
        <v>11800.602376895573</v>
      </c>
      <c r="O1161" s="90">
        <v>0</v>
      </c>
      <c r="P1161" s="90">
        <v>0</v>
      </c>
      <c r="Q1161" s="90">
        <v>0</v>
      </c>
      <c r="R1161" s="90">
        <v>9408</v>
      </c>
    </row>
    <row r="1162" spans="1:18">
      <c r="A1162" s="90" t="s">
        <v>1060</v>
      </c>
      <c r="B1162" s="90" t="s">
        <v>1439</v>
      </c>
      <c r="C1162" s="90" t="str">
        <f t="shared" si="18"/>
        <v>Port ProtectionEducation - K - 12</v>
      </c>
      <c r="D1162" s="90">
        <v>1</v>
      </c>
      <c r="E1162" s="90">
        <v>2302</v>
      </c>
      <c r="F1162" s="90">
        <v>2592</v>
      </c>
      <c r="G1162" s="90">
        <v>0</v>
      </c>
      <c r="H1162" s="90">
        <v>14959.34871767702</v>
      </c>
      <c r="I1162" s="90">
        <v>0</v>
      </c>
      <c r="J1162" s="90">
        <v>0</v>
      </c>
      <c r="K1162" s="90">
        <v>0</v>
      </c>
      <c r="L1162" s="90">
        <v>1918.08</v>
      </c>
      <c r="M1162" s="90">
        <v>0</v>
      </c>
      <c r="N1162" s="90">
        <v>11069.918051080995</v>
      </c>
      <c r="O1162" s="90">
        <v>0</v>
      </c>
      <c r="P1162" s="90">
        <v>0</v>
      </c>
      <c r="Q1162" s="90">
        <v>0</v>
      </c>
      <c r="R1162" s="90">
        <v>16114</v>
      </c>
    </row>
    <row r="1163" spans="1:18">
      <c r="A1163" s="90" t="s">
        <v>1060</v>
      </c>
      <c r="B1163" s="90" t="s">
        <v>665</v>
      </c>
      <c r="C1163" s="90" t="str">
        <f t="shared" si="18"/>
        <v>Port ProtectionOffice</v>
      </c>
      <c r="D1163" s="90">
        <v>1</v>
      </c>
      <c r="E1163" s="90">
        <v>2000</v>
      </c>
      <c r="F1163" s="90">
        <v>375</v>
      </c>
      <c r="G1163" s="90">
        <v>0</v>
      </c>
      <c r="H1163" s="90">
        <v>16032.060476016512</v>
      </c>
      <c r="I1163" s="90">
        <v>0</v>
      </c>
      <c r="J1163" s="90">
        <v>0</v>
      </c>
      <c r="K1163" s="90">
        <v>0</v>
      </c>
      <c r="L1163" s="90">
        <v>277.5</v>
      </c>
      <c r="M1163" s="90">
        <v>0</v>
      </c>
      <c r="N1163" s="90">
        <v>11863.724752252218</v>
      </c>
      <c r="O1163" s="90">
        <v>0</v>
      </c>
      <c r="P1163" s="90">
        <v>0</v>
      </c>
      <c r="Q1163" s="90">
        <v>0</v>
      </c>
      <c r="R1163" s="90">
        <v>14000</v>
      </c>
    </row>
    <row r="1164" spans="1:18">
      <c r="A1164" s="90" t="s">
        <v>1060</v>
      </c>
      <c r="B1164" s="90" t="s">
        <v>1485</v>
      </c>
      <c r="C1164" s="90" t="str">
        <f t="shared" si="18"/>
        <v>Port ProtectionRetail - Other</v>
      </c>
      <c r="D1164" s="90">
        <v>1</v>
      </c>
      <c r="E1164" s="90">
        <v>9000</v>
      </c>
      <c r="F1164" s="90">
        <v>26280</v>
      </c>
      <c r="G1164" s="90">
        <v>0</v>
      </c>
      <c r="H1164" s="90">
        <v>211997.14952122155</v>
      </c>
      <c r="I1164" s="90">
        <v>0</v>
      </c>
      <c r="J1164" s="90">
        <v>0</v>
      </c>
      <c r="K1164" s="90">
        <v>0</v>
      </c>
      <c r="L1164" s="90">
        <v>19447.2</v>
      </c>
      <c r="M1164" s="90">
        <v>0</v>
      </c>
      <c r="N1164" s="90">
        <v>156877.89064570394</v>
      </c>
      <c r="O1164" s="90">
        <v>0</v>
      </c>
      <c r="P1164" s="90">
        <v>0</v>
      </c>
      <c r="Q1164" s="90">
        <v>0</v>
      </c>
      <c r="R1164" s="90">
        <v>63000</v>
      </c>
    </row>
    <row r="1165" spans="1:18">
      <c r="A1165" s="90" t="s">
        <v>1355</v>
      </c>
      <c r="B1165" s="90" t="s">
        <v>1447</v>
      </c>
      <c r="C1165" s="90" t="str">
        <f t="shared" si="18"/>
        <v>Portage CreekAccomodation Services</v>
      </c>
      <c r="D1165" s="90">
        <v>1</v>
      </c>
      <c r="E1165" s="90">
        <v>4770.8148148148148</v>
      </c>
      <c r="F1165" s="90">
        <v>2988.4980540000279</v>
      </c>
      <c r="G1165" s="90">
        <v>0</v>
      </c>
      <c r="H1165" s="90">
        <v>35003.910702682631</v>
      </c>
      <c r="I1165" s="90">
        <v>0</v>
      </c>
      <c r="J1165" s="90">
        <v>0</v>
      </c>
      <c r="K1165" s="90">
        <v>0</v>
      </c>
      <c r="L1165" s="90">
        <v>2211.4885599600207</v>
      </c>
      <c r="M1165" s="90">
        <v>0</v>
      </c>
      <c r="N1165" s="90">
        <v>25902.893919985148</v>
      </c>
      <c r="O1165" s="90">
        <v>0</v>
      </c>
      <c r="P1165" s="90">
        <v>0</v>
      </c>
      <c r="Q1165" s="90">
        <v>0</v>
      </c>
      <c r="R1165" s="90">
        <v>33395.703703703701</v>
      </c>
    </row>
    <row r="1166" spans="1:18">
      <c r="A1166" s="90" t="s">
        <v>1355</v>
      </c>
      <c r="B1166" s="90" t="s">
        <v>1439</v>
      </c>
      <c r="C1166" s="90" t="str">
        <f t="shared" si="18"/>
        <v>Portage CreekEducation - K - 12</v>
      </c>
      <c r="D1166" s="90">
        <v>1</v>
      </c>
      <c r="E1166" s="90">
        <v>2731</v>
      </c>
      <c r="F1166" s="90">
        <v>2315.2446965611311</v>
      </c>
      <c r="G1166" s="90">
        <v>0</v>
      </c>
      <c r="H1166" s="90">
        <v>17747.168265845325</v>
      </c>
      <c r="I1166" s="90">
        <v>0</v>
      </c>
      <c r="J1166" s="90">
        <v>0</v>
      </c>
      <c r="K1166" s="90">
        <v>0</v>
      </c>
      <c r="L1166" s="90">
        <v>1713.281075455237</v>
      </c>
      <c r="M1166" s="90">
        <v>0</v>
      </c>
      <c r="N1166" s="90">
        <v>13132.904516725541</v>
      </c>
      <c r="O1166" s="90">
        <v>0</v>
      </c>
      <c r="P1166" s="90">
        <v>0</v>
      </c>
      <c r="Q1166" s="90">
        <v>0</v>
      </c>
      <c r="R1166" s="90">
        <v>19117</v>
      </c>
    </row>
    <row r="1167" spans="1:18">
      <c r="A1167" s="90" t="s">
        <v>1355</v>
      </c>
      <c r="B1167" s="90" t="s">
        <v>643</v>
      </c>
      <c r="C1167" s="90" t="str">
        <f t="shared" si="18"/>
        <v>Portage CreekOther</v>
      </c>
      <c r="D1167" s="90">
        <v>1</v>
      </c>
      <c r="E1167" s="90">
        <v>7250</v>
      </c>
      <c r="F1167" s="90">
        <v>6270.317260554124</v>
      </c>
      <c r="G1167" s="90">
        <v>0</v>
      </c>
      <c r="H1167" s="90">
        <v>52765.410940603426</v>
      </c>
      <c r="I1167" s="90">
        <v>0</v>
      </c>
      <c r="J1167" s="90">
        <v>0</v>
      </c>
      <c r="K1167" s="90">
        <v>0</v>
      </c>
      <c r="L1167" s="90">
        <v>4640.0347728100514</v>
      </c>
      <c r="M1167" s="90">
        <v>0</v>
      </c>
      <c r="N1167" s="90">
        <v>39046.404096046535</v>
      </c>
      <c r="O1167" s="90">
        <v>0</v>
      </c>
      <c r="P1167" s="90">
        <v>0</v>
      </c>
      <c r="Q1167" s="90">
        <v>0</v>
      </c>
      <c r="R1167" s="90">
        <v>50750</v>
      </c>
    </row>
    <row r="1168" spans="1:18">
      <c r="A1168" s="90" t="s">
        <v>1355</v>
      </c>
      <c r="B1168" s="90" t="s">
        <v>951</v>
      </c>
      <c r="C1168" s="90" t="str">
        <f t="shared" si="18"/>
        <v>Portage CreekWarehousing</v>
      </c>
      <c r="D1168" s="90">
        <v>1</v>
      </c>
      <c r="E1168" s="90">
        <v>1104</v>
      </c>
      <c r="F1168" s="90">
        <v>1383.8975689826473</v>
      </c>
      <c r="G1168" s="90">
        <v>0</v>
      </c>
      <c r="H1168" s="90">
        <v>13099.12426006748</v>
      </c>
      <c r="I1168" s="90">
        <v>0</v>
      </c>
      <c r="J1168" s="90">
        <v>0</v>
      </c>
      <c r="K1168" s="90">
        <v>0</v>
      </c>
      <c r="L1168" s="90">
        <v>1024.084201047159</v>
      </c>
      <c r="M1168" s="90">
        <v>0</v>
      </c>
      <c r="N1168" s="90">
        <v>9693.3519524499352</v>
      </c>
      <c r="O1168" s="90">
        <v>0</v>
      </c>
      <c r="P1168" s="90">
        <v>0</v>
      </c>
      <c r="Q1168" s="90">
        <v>0</v>
      </c>
      <c r="R1168" s="90">
        <v>7728</v>
      </c>
    </row>
    <row r="1169" spans="1:18">
      <c r="A1169" s="90" t="s">
        <v>27</v>
      </c>
      <c r="B1169" s="90" t="s">
        <v>1439</v>
      </c>
      <c r="C1169" s="90" t="str">
        <f t="shared" si="18"/>
        <v>QuinhagakEducation - K - 12</v>
      </c>
      <c r="D1169" s="90">
        <v>2</v>
      </c>
      <c r="E1169" s="90">
        <v>27034</v>
      </c>
      <c r="F1169" s="90">
        <v>19096.902522491062</v>
      </c>
      <c r="G1169" s="90">
        <v>0</v>
      </c>
      <c r="H1169" s="90">
        <v>191420.23363271495</v>
      </c>
      <c r="I1169" s="90">
        <v>0</v>
      </c>
      <c r="J1169" s="90">
        <v>0</v>
      </c>
      <c r="K1169" s="90">
        <v>0</v>
      </c>
      <c r="L1169" s="90">
        <v>14131.707866643386</v>
      </c>
      <c r="M1169" s="90">
        <v>0</v>
      </c>
      <c r="N1169" s="90">
        <v>141650.97288820907</v>
      </c>
      <c r="O1169" s="90">
        <v>0</v>
      </c>
      <c r="P1169" s="90">
        <v>0</v>
      </c>
      <c r="Q1169" s="90">
        <v>0</v>
      </c>
      <c r="R1169" s="90">
        <v>189238</v>
      </c>
    </row>
    <row r="1170" spans="1:18">
      <c r="A1170" s="90" t="s">
        <v>27</v>
      </c>
      <c r="B1170" s="90" t="s">
        <v>643</v>
      </c>
      <c r="C1170" s="90" t="str">
        <f t="shared" si="18"/>
        <v>QuinhagakOther</v>
      </c>
      <c r="D1170" s="90">
        <v>2</v>
      </c>
      <c r="E1170" s="90">
        <v>3120</v>
      </c>
      <c r="F1170" s="90">
        <v>3315.9821158457935</v>
      </c>
      <c r="G1170" s="90">
        <v>0</v>
      </c>
      <c r="H1170" s="90">
        <v>23159.894958606608</v>
      </c>
      <c r="I1170" s="90">
        <v>0</v>
      </c>
      <c r="J1170" s="90">
        <v>0</v>
      </c>
      <c r="K1170" s="90">
        <v>0</v>
      </c>
      <c r="L1170" s="90">
        <v>2453.8267657258871</v>
      </c>
      <c r="M1170" s="90">
        <v>0</v>
      </c>
      <c r="N1170" s="90">
        <v>17138.322269368888</v>
      </c>
      <c r="O1170" s="90">
        <v>0</v>
      </c>
      <c r="P1170" s="90">
        <v>0</v>
      </c>
      <c r="Q1170" s="90">
        <v>0</v>
      </c>
      <c r="R1170" s="90">
        <v>21840</v>
      </c>
    </row>
    <row r="1171" spans="1:18">
      <c r="A1171" s="90" t="s">
        <v>27</v>
      </c>
      <c r="B1171" s="90" t="s">
        <v>1227</v>
      </c>
      <c r="C1171" s="90" t="str">
        <f t="shared" si="18"/>
        <v>QuinhagakPublic Assembly</v>
      </c>
      <c r="D1171" s="90">
        <v>1</v>
      </c>
      <c r="E1171" s="90">
        <v>1200</v>
      </c>
      <c r="F1171" s="90">
        <v>600</v>
      </c>
      <c r="G1171" s="90">
        <v>0</v>
      </c>
      <c r="H1171" s="90">
        <v>5564.1906393485197</v>
      </c>
      <c r="I1171" s="90">
        <v>0</v>
      </c>
      <c r="J1171" s="90">
        <v>0</v>
      </c>
      <c r="K1171" s="90">
        <v>0</v>
      </c>
      <c r="L1171" s="90">
        <v>444</v>
      </c>
      <c r="M1171" s="90">
        <v>0</v>
      </c>
      <c r="N1171" s="90">
        <v>4117.5010731179045</v>
      </c>
      <c r="O1171" s="90">
        <v>0</v>
      </c>
      <c r="P1171" s="90">
        <v>0</v>
      </c>
      <c r="Q1171" s="90">
        <v>0</v>
      </c>
      <c r="R1171" s="90">
        <v>8400</v>
      </c>
    </row>
    <row r="1172" spans="1:18">
      <c r="A1172" s="90" t="s">
        <v>27</v>
      </c>
      <c r="B1172" s="90" t="s">
        <v>1475</v>
      </c>
      <c r="C1172" s="90" t="str">
        <f t="shared" si="18"/>
        <v>QuinhagakPublic Safety</v>
      </c>
      <c r="D1172" s="90">
        <v>2</v>
      </c>
      <c r="E1172" s="90">
        <v>2300</v>
      </c>
      <c r="F1172" s="90">
        <v>1056.7007299270072</v>
      </c>
      <c r="G1172" s="90">
        <v>0</v>
      </c>
      <c r="H1172" s="90">
        <v>14773.561922157456</v>
      </c>
      <c r="I1172" s="90">
        <v>0</v>
      </c>
      <c r="J1172" s="90">
        <v>0</v>
      </c>
      <c r="K1172" s="90">
        <v>0</v>
      </c>
      <c r="L1172" s="90">
        <v>781.95854014598535</v>
      </c>
      <c r="M1172" s="90">
        <v>0</v>
      </c>
      <c r="N1172" s="90">
        <v>10932.435822396517</v>
      </c>
      <c r="O1172" s="90">
        <v>0</v>
      </c>
      <c r="P1172" s="90">
        <v>0</v>
      </c>
      <c r="Q1172" s="90">
        <v>0</v>
      </c>
      <c r="R1172" s="90">
        <v>16100</v>
      </c>
    </row>
    <row r="1173" spans="1:18">
      <c r="A1173" s="90" t="s">
        <v>409</v>
      </c>
      <c r="B1173" s="90" t="s">
        <v>1439</v>
      </c>
      <c r="C1173" s="90" t="str">
        <f t="shared" si="18"/>
        <v>RampartEducation - K - 12</v>
      </c>
      <c r="D1173" s="90">
        <v>1</v>
      </c>
      <c r="E1173" s="90">
        <v>7200</v>
      </c>
      <c r="F1173" s="90">
        <v>6103.9039967924364</v>
      </c>
      <c r="G1173" s="90">
        <v>0</v>
      </c>
      <c r="H1173" s="90">
        <v>46788.57982939815</v>
      </c>
      <c r="I1173" s="90">
        <v>0</v>
      </c>
      <c r="J1173" s="90">
        <v>0</v>
      </c>
      <c r="K1173" s="90">
        <v>0</v>
      </c>
      <c r="L1173" s="90">
        <v>4516.8889576264028</v>
      </c>
      <c r="M1173" s="90">
        <v>0</v>
      </c>
      <c r="N1173" s="90">
        <v>34623.549073754628</v>
      </c>
      <c r="O1173" s="90">
        <v>0</v>
      </c>
      <c r="P1173" s="90">
        <v>0</v>
      </c>
      <c r="Q1173" s="90">
        <v>0</v>
      </c>
      <c r="R1173" s="90">
        <v>50400</v>
      </c>
    </row>
    <row r="1174" spans="1:18">
      <c r="A1174" s="90" t="s">
        <v>409</v>
      </c>
      <c r="B1174" s="90" t="s">
        <v>1440</v>
      </c>
      <c r="C1174" s="90" t="str">
        <f t="shared" si="18"/>
        <v>RampartHealth Care - Hospitals</v>
      </c>
      <c r="D1174" s="90">
        <v>1</v>
      </c>
      <c r="E1174" s="90">
        <v>672</v>
      </c>
      <c r="F1174" s="90">
        <v>468.36608218760773</v>
      </c>
      <c r="G1174" s="90">
        <v>0</v>
      </c>
      <c r="H1174" s="90">
        <v>5055.0738338137453</v>
      </c>
      <c r="I1174" s="90">
        <v>0</v>
      </c>
      <c r="J1174" s="90">
        <v>0</v>
      </c>
      <c r="K1174" s="90">
        <v>0</v>
      </c>
      <c r="L1174" s="90">
        <v>346.59090081882971</v>
      </c>
      <c r="M1174" s="90">
        <v>0</v>
      </c>
      <c r="N1174" s="90">
        <v>3740.7546370221717</v>
      </c>
      <c r="O1174" s="90">
        <v>0</v>
      </c>
      <c r="P1174" s="90">
        <v>0</v>
      </c>
      <c r="Q1174" s="90">
        <v>0</v>
      </c>
      <c r="R1174" s="90">
        <v>4704</v>
      </c>
    </row>
    <row r="1175" spans="1:18">
      <c r="A1175" s="90" t="s">
        <v>409</v>
      </c>
      <c r="B1175" s="90" t="s">
        <v>665</v>
      </c>
      <c r="C1175" s="90" t="str">
        <f t="shared" si="18"/>
        <v>RampartOffice</v>
      </c>
      <c r="D1175" s="90">
        <v>2</v>
      </c>
      <c r="E1175" s="90">
        <v>2620</v>
      </c>
      <c r="F1175" s="90">
        <v>3486.3378491017857</v>
      </c>
      <c r="G1175" s="90">
        <v>0</v>
      </c>
      <c r="H1175" s="90">
        <v>21001.999223581632</v>
      </c>
      <c r="I1175" s="90">
        <v>0</v>
      </c>
      <c r="J1175" s="90">
        <v>0</v>
      </c>
      <c r="K1175" s="90">
        <v>0</v>
      </c>
      <c r="L1175" s="90">
        <v>2579.8900083353215</v>
      </c>
      <c r="M1175" s="90">
        <v>0</v>
      </c>
      <c r="N1175" s="90">
        <v>15541.479425450405</v>
      </c>
      <c r="O1175" s="90">
        <v>0</v>
      </c>
      <c r="P1175" s="90">
        <v>0</v>
      </c>
      <c r="Q1175" s="90">
        <v>0</v>
      </c>
      <c r="R1175" s="90">
        <v>18340</v>
      </c>
    </row>
    <row r="1176" spans="1:18">
      <c r="A1176" s="90" t="s">
        <v>409</v>
      </c>
      <c r="B1176" s="90" t="s">
        <v>643</v>
      </c>
      <c r="C1176" s="90" t="str">
        <f t="shared" si="18"/>
        <v>RampartOther</v>
      </c>
      <c r="D1176" s="90">
        <v>2</v>
      </c>
      <c r="E1176" s="90">
        <v>6096</v>
      </c>
      <c r="F1176" s="90">
        <v>5272.2557269431636</v>
      </c>
      <c r="G1176" s="90">
        <v>0</v>
      </c>
      <c r="H1176" s="90">
        <v>44366.61311640255</v>
      </c>
      <c r="I1176" s="90">
        <v>0</v>
      </c>
      <c r="J1176" s="90">
        <v>0</v>
      </c>
      <c r="K1176" s="90">
        <v>0</v>
      </c>
      <c r="L1176" s="90">
        <v>3901.4692379379408</v>
      </c>
      <c r="M1176" s="90">
        <v>0</v>
      </c>
      <c r="N1176" s="90">
        <v>32831.293706137891</v>
      </c>
      <c r="O1176" s="90">
        <v>0</v>
      </c>
      <c r="P1176" s="90">
        <v>0</v>
      </c>
      <c r="Q1176" s="90">
        <v>0</v>
      </c>
      <c r="R1176" s="90">
        <v>42672</v>
      </c>
    </row>
    <row r="1177" spans="1:18">
      <c r="A1177" s="90" t="s">
        <v>409</v>
      </c>
      <c r="B1177" s="90" t="s">
        <v>1227</v>
      </c>
      <c r="C1177" s="90" t="str">
        <f t="shared" si="18"/>
        <v>RampartPublic Assembly</v>
      </c>
      <c r="D1177" s="90">
        <v>1</v>
      </c>
      <c r="E1177" s="90">
        <v>1020</v>
      </c>
      <c r="F1177" s="90">
        <v>636.43673199377179</v>
      </c>
      <c r="G1177" s="90">
        <v>0</v>
      </c>
      <c r="H1177" s="90">
        <v>3836.9703060491129</v>
      </c>
      <c r="I1177" s="90">
        <v>0</v>
      </c>
      <c r="J1177" s="90">
        <v>0</v>
      </c>
      <c r="K1177" s="90">
        <v>0</v>
      </c>
      <c r="L1177" s="90">
        <v>470.96318167539113</v>
      </c>
      <c r="M1177" s="90">
        <v>0</v>
      </c>
      <c r="N1177" s="90">
        <v>2839.3580264763436</v>
      </c>
      <c r="O1177" s="90">
        <v>0</v>
      </c>
      <c r="P1177" s="90">
        <v>0</v>
      </c>
      <c r="Q1177" s="90">
        <v>0</v>
      </c>
      <c r="R1177" s="90">
        <v>7140</v>
      </c>
    </row>
    <row r="1178" spans="1:18">
      <c r="A1178" s="90" t="s">
        <v>409</v>
      </c>
      <c r="B1178" s="90" t="s">
        <v>951</v>
      </c>
      <c r="C1178" s="90" t="str">
        <f t="shared" si="18"/>
        <v>RampartWarehousing</v>
      </c>
      <c r="D1178" s="90">
        <v>1</v>
      </c>
      <c r="E1178" s="90">
        <v>1200</v>
      </c>
      <c r="F1178" s="90">
        <v>1504.2364880246164</v>
      </c>
      <c r="G1178" s="90">
        <v>0</v>
      </c>
      <c r="H1178" s="90">
        <v>14238.178543551609</v>
      </c>
      <c r="I1178" s="90">
        <v>0</v>
      </c>
      <c r="J1178" s="90">
        <v>0</v>
      </c>
      <c r="K1178" s="90">
        <v>0</v>
      </c>
      <c r="L1178" s="90">
        <v>1113.135001138216</v>
      </c>
      <c r="M1178" s="90">
        <v>0</v>
      </c>
      <c r="N1178" s="90">
        <v>10536.25212222819</v>
      </c>
      <c r="O1178" s="90">
        <v>0</v>
      </c>
      <c r="P1178" s="90">
        <v>0</v>
      </c>
      <c r="Q1178" s="90">
        <v>0</v>
      </c>
      <c r="R1178" s="90">
        <v>8400</v>
      </c>
    </row>
    <row r="1179" spans="1:18">
      <c r="A1179" s="90" t="s">
        <v>190</v>
      </c>
      <c r="B1179" s="90" t="s">
        <v>1447</v>
      </c>
      <c r="C1179" s="90" t="str">
        <f t="shared" si="18"/>
        <v>Red DevilAccomodation Services</v>
      </c>
      <c r="D1179" s="90">
        <v>1</v>
      </c>
      <c r="E1179" s="90">
        <v>4770.8148148148148</v>
      </c>
      <c r="F1179" s="90">
        <v>2988.4980540000279</v>
      </c>
      <c r="G1179" s="90">
        <v>0</v>
      </c>
      <c r="H1179" s="90">
        <v>35003.910702682631</v>
      </c>
      <c r="I1179" s="90">
        <v>0</v>
      </c>
      <c r="J1179" s="90">
        <v>0</v>
      </c>
      <c r="K1179" s="90">
        <v>0</v>
      </c>
      <c r="L1179" s="90">
        <v>2211.4885599600207</v>
      </c>
      <c r="M1179" s="90">
        <v>0</v>
      </c>
      <c r="N1179" s="90">
        <v>25902.893919985148</v>
      </c>
      <c r="O1179" s="90">
        <v>0</v>
      </c>
      <c r="P1179" s="90">
        <v>0</v>
      </c>
      <c r="Q1179" s="90">
        <v>0</v>
      </c>
      <c r="R1179" s="90">
        <v>33395.703703703701</v>
      </c>
    </row>
    <row r="1180" spans="1:18">
      <c r="A1180" s="90" t="s">
        <v>190</v>
      </c>
      <c r="B1180" s="90" t="s">
        <v>1439</v>
      </c>
      <c r="C1180" s="90" t="str">
        <f t="shared" si="18"/>
        <v>Red DevilEducation - K - 12</v>
      </c>
      <c r="D1180" s="90">
        <v>1</v>
      </c>
      <c r="E1180" s="90">
        <v>6218</v>
      </c>
      <c r="F1180" s="90">
        <v>5271.3993127854674</v>
      </c>
      <c r="G1180" s="90">
        <v>0</v>
      </c>
      <c r="H1180" s="90">
        <v>40407.137413777462</v>
      </c>
      <c r="I1180" s="90">
        <v>0</v>
      </c>
      <c r="J1180" s="90">
        <v>0</v>
      </c>
      <c r="K1180" s="90">
        <v>0</v>
      </c>
      <c r="L1180" s="90">
        <v>3900.835491461246</v>
      </c>
      <c r="M1180" s="90">
        <v>0</v>
      </c>
      <c r="N1180" s="90">
        <v>29901.281686195322</v>
      </c>
      <c r="O1180" s="90">
        <v>0</v>
      </c>
      <c r="P1180" s="90">
        <v>0</v>
      </c>
      <c r="Q1180" s="90">
        <v>0</v>
      </c>
      <c r="R1180" s="90">
        <v>43526</v>
      </c>
    </row>
    <row r="1181" spans="1:18">
      <c r="A1181" s="90" t="s">
        <v>190</v>
      </c>
      <c r="B1181" s="90" t="s">
        <v>665</v>
      </c>
      <c r="C1181" s="90" t="str">
        <f t="shared" si="18"/>
        <v>Red DevilOffice</v>
      </c>
      <c r="D1181" s="90">
        <v>2</v>
      </c>
      <c r="E1181" s="90">
        <v>4066.517006802721</v>
      </c>
      <c r="F1181" s="90">
        <v>5411.1649445925304</v>
      </c>
      <c r="G1181" s="90">
        <v>0</v>
      </c>
      <c r="H1181" s="90">
        <v>32597.323289905435</v>
      </c>
      <c r="I1181" s="90">
        <v>0</v>
      </c>
      <c r="J1181" s="90">
        <v>0</v>
      </c>
      <c r="K1181" s="90">
        <v>0</v>
      </c>
      <c r="L1181" s="90">
        <v>4004.2620589984726</v>
      </c>
      <c r="M1181" s="90">
        <v>0</v>
      </c>
      <c r="N1181" s="90">
        <v>24122.01923453002</v>
      </c>
      <c r="O1181" s="90">
        <v>0</v>
      </c>
      <c r="P1181" s="90">
        <v>0</v>
      </c>
      <c r="Q1181" s="90">
        <v>0</v>
      </c>
      <c r="R1181" s="90">
        <v>28465.619047619046</v>
      </c>
    </row>
    <row r="1182" spans="1:18">
      <c r="A1182" s="90" t="s">
        <v>190</v>
      </c>
      <c r="B1182" s="90" t="s">
        <v>643</v>
      </c>
      <c r="C1182" s="90" t="str">
        <f t="shared" si="18"/>
        <v>Red DevilOther</v>
      </c>
      <c r="D1182" s="90">
        <v>4</v>
      </c>
      <c r="E1182" s="90">
        <v>8655.681818181818</v>
      </c>
      <c r="F1182" s="90">
        <v>7486.0511870910277</v>
      </c>
      <c r="G1182" s="90">
        <v>0</v>
      </c>
      <c r="H1182" s="90">
        <v>62995.945945858351</v>
      </c>
      <c r="I1182" s="90">
        <v>0</v>
      </c>
      <c r="J1182" s="90">
        <v>0</v>
      </c>
      <c r="K1182" s="90">
        <v>0</v>
      </c>
      <c r="L1182" s="90">
        <v>5539.6778784473609</v>
      </c>
      <c r="M1182" s="90">
        <v>0</v>
      </c>
      <c r="N1182" s="90">
        <v>46616.999999935178</v>
      </c>
      <c r="O1182" s="90">
        <v>0</v>
      </c>
      <c r="P1182" s="90">
        <v>0</v>
      </c>
      <c r="Q1182" s="90">
        <v>0</v>
      </c>
      <c r="R1182" s="90">
        <v>60589.772727272728</v>
      </c>
    </row>
    <row r="1183" spans="1:18">
      <c r="A1183" s="90" t="s">
        <v>190</v>
      </c>
      <c r="B1183" s="90" t="s">
        <v>951</v>
      </c>
      <c r="C1183" s="90" t="str">
        <f t="shared" si="18"/>
        <v>Red DevilWarehousing</v>
      </c>
      <c r="D1183" s="90">
        <v>2</v>
      </c>
      <c r="E1183" s="90">
        <v>2119.9572649572647</v>
      </c>
      <c r="F1183" s="90">
        <v>2657.4308925013229</v>
      </c>
      <c r="G1183" s="90">
        <v>0</v>
      </c>
      <c r="H1183" s="90">
        <v>25153.608369300735</v>
      </c>
      <c r="I1183" s="90">
        <v>0</v>
      </c>
      <c r="J1183" s="90">
        <v>0</v>
      </c>
      <c r="K1183" s="90">
        <v>0</v>
      </c>
      <c r="L1183" s="90">
        <v>1966.4988604509788</v>
      </c>
      <c r="M1183" s="90">
        <v>0</v>
      </c>
      <c r="N1183" s="90">
        <v>18613.670193282545</v>
      </c>
      <c r="O1183" s="90">
        <v>0</v>
      </c>
      <c r="P1183" s="90">
        <v>0</v>
      </c>
      <c r="Q1183" s="90">
        <v>0</v>
      </c>
      <c r="R1183" s="90">
        <v>14839.700854700854</v>
      </c>
    </row>
    <row r="1184" spans="1:18">
      <c r="A1184" s="90" t="s">
        <v>34</v>
      </c>
      <c r="B1184" s="90" t="s">
        <v>1439</v>
      </c>
      <c r="C1184" s="90" t="str">
        <f t="shared" si="18"/>
        <v>RubyEducation - K - 12</v>
      </c>
      <c r="D1184" s="90">
        <v>1</v>
      </c>
      <c r="E1184" s="90">
        <v>18739</v>
      </c>
      <c r="F1184" s="90">
        <v>11000</v>
      </c>
      <c r="G1184" s="90">
        <v>0</v>
      </c>
      <c r="H1184" s="90">
        <v>190668</v>
      </c>
      <c r="I1184" s="90">
        <v>0</v>
      </c>
      <c r="J1184" s="90">
        <v>0</v>
      </c>
      <c r="K1184" s="90">
        <v>0</v>
      </c>
      <c r="L1184" s="90">
        <v>8140</v>
      </c>
      <c r="M1184" s="90">
        <v>0</v>
      </c>
      <c r="N1184" s="90">
        <v>141094.32</v>
      </c>
      <c r="O1184" s="90">
        <v>0</v>
      </c>
      <c r="P1184" s="90">
        <v>0</v>
      </c>
      <c r="Q1184" s="90">
        <v>0</v>
      </c>
      <c r="R1184" s="90">
        <v>131173</v>
      </c>
    </row>
    <row r="1185" spans="1:18">
      <c r="A1185" s="90" t="s">
        <v>34</v>
      </c>
      <c r="B1185" s="90" t="s">
        <v>1440</v>
      </c>
      <c r="C1185" s="90" t="str">
        <f t="shared" si="18"/>
        <v>RubyHealth Care - Hospitals</v>
      </c>
      <c r="D1185" s="90">
        <v>1</v>
      </c>
      <c r="E1185" s="90">
        <v>1000</v>
      </c>
      <c r="F1185" s="90">
        <v>134.4087591240876</v>
      </c>
      <c r="G1185" s="90">
        <v>696.97333658870195</v>
      </c>
      <c r="H1185" s="90">
        <v>851.00765899999988</v>
      </c>
      <c r="I1185" s="90">
        <v>0</v>
      </c>
      <c r="J1185" s="90">
        <v>0</v>
      </c>
      <c r="K1185" s="90">
        <v>0</v>
      </c>
      <c r="L1185" s="90">
        <v>99.462481751824825</v>
      </c>
      <c r="M1185" s="90">
        <v>515.76026907563948</v>
      </c>
      <c r="N1185" s="90">
        <v>629.74566765999987</v>
      </c>
      <c r="O1185" s="90">
        <v>0</v>
      </c>
      <c r="P1185" s="90">
        <v>0</v>
      </c>
      <c r="Q1185" s="90">
        <v>0</v>
      </c>
      <c r="R1185" s="90">
        <v>7000</v>
      </c>
    </row>
    <row r="1186" spans="1:18">
      <c r="A1186" s="90" t="s">
        <v>34</v>
      </c>
      <c r="B1186" s="90" t="s">
        <v>665</v>
      </c>
      <c r="C1186" s="90" t="str">
        <f t="shared" si="18"/>
        <v>RubyOffice</v>
      </c>
      <c r="D1186" s="90">
        <v>1</v>
      </c>
      <c r="E1186" s="90">
        <v>3200</v>
      </c>
      <c r="F1186" s="90">
        <v>1094.5401459854015</v>
      </c>
      <c r="G1186" s="90">
        <v>0</v>
      </c>
      <c r="H1186" s="90">
        <v>4576.5411885000003</v>
      </c>
      <c r="I1186" s="90">
        <v>0</v>
      </c>
      <c r="J1186" s="90">
        <v>0</v>
      </c>
      <c r="K1186" s="90">
        <v>0</v>
      </c>
      <c r="L1186" s="90">
        <v>809.95970802919715</v>
      </c>
      <c r="M1186" s="90">
        <v>0</v>
      </c>
      <c r="N1186" s="90">
        <v>3386.6404794900004</v>
      </c>
      <c r="O1186" s="90">
        <v>0</v>
      </c>
      <c r="P1186" s="90">
        <v>0</v>
      </c>
      <c r="Q1186" s="90">
        <v>0</v>
      </c>
      <c r="R1186" s="90">
        <v>22400</v>
      </c>
    </row>
    <row r="1187" spans="1:18">
      <c r="A1187" s="90" t="s">
        <v>34</v>
      </c>
      <c r="B1187" s="90" t="s">
        <v>643</v>
      </c>
      <c r="C1187" s="90" t="str">
        <f t="shared" si="18"/>
        <v>RubyOther</v>
      </c>
      <c r="D1187" s="90">
        <v>5</v>
      </c>
      <c r="E1187" s="90">
        <v>8359.8409090909081</v>
      </c>
      <c r="F1187" s="90">
        <v>7230.1868617598893</v>
      </c>
      <c r="G1187" s="90">
        <v>0</v>
      </c>
      <c r="H1187" s="90">
        <v>60842.819443620618</v>
      </c>
      <c r="I1187" s="90">
        <v>0</v>
      </c>
      <c r="J1187" s="90">
        <v>0</v>
      </c>
      <c r="K1187" s="90">
        <v>0</v>
      </c>
      <c r="L1187" s="90">
        <v>5350.3382777023189</v>
      </c>
      <c r="M1187" s="90">
        <v>0</v>
      </c>
      <c r="N1187" s="90">
        <v>45023.68638827926</v>
      </c>
      <c r="O1187" s="90">
        <v>0</v>
      </c>
      <c r="P1187" s="90">
        <v>0</v>
      </c>
      <c r="Q1187" s="90">
        <v>0</v>
      </c>
      <c r="R1187" s="90">
        <v>58518.886363636368</v>
      </c>
    </row>
    <row r="1188" spans="1:18">
      <c r="A1188" s="90" t="s">
        <v>34</v>
      </c>
      <c r="B1188" s="90" t="s">
        <v>1227</v>
      </c>
      <c r="C1188" s="90" t="str">
        <f t="shared" si="18"/>
        <v>RubyPublic Assembly</v>
      </c>
      <c r="D1188" s="90">
        <v>2</v>
      </c>
      <c r="E1188" s="90">
        <v>2700</v>
      </c>
      <c r="F1188" s="90">
        <v>1684.685467042337</v>
      </c>
      <c r="G1188" s="90">
        <v>0</v>
      </c>
      <c r="H1188" s="90">
        <v>10156.686104247652</v>
      </c>
      <c r="I1188" s="90">
        <v>0</v>
      </c>
      <c r="J1188" s="90">
        <v>0</v>
      </c>
      <c r="K1188" s="90">
        <v>0</v>
      </c>
      <c r="L1188" s="90">
        <v>1246.6672456113292</v>
      </c>
      <c r="M1188" s="90">
        <v>0</v>
      </c>
      <c r="N1188" s="90">
        <v>7515.9477171432627</v>
      </c>
      <c r="O1188" s="90">
        <v>0</v>
      </c>
      <c r="P1188" s="90">
        <v>0</v>
      </c>
      <c r="Q1188" s="90">
        <v>0</v>
      </c>
      <c r="R1188" s="90">
        <v>18900</v>
      </c>
    </row>
    <row r="1189" spans="1:18">
      <c r="A1189" s="90" t="s">
        <v>34</v>
      </c>
      <c r="B1189" s="90" t="s">
        <v>1475</v>
      </c>
      <c r="C1189" s="90" t="str">
        <f t="shared" si="18"/>
        <v>RubyPublic Safety</v>
      </c>
      <c r="D1189" s="90">
        <v>1</v>
      </c>
      <c r="E1189" s="90">
        <v>2595.4749999999999</v>
      </c>
      <c r="F1189" s="90">
        <v>0</v>
      </c>
      <c r="G1189" s="90">
        <v>2523.774623927618</v>
      </c>
      <c r="H1189" s="90">
        <v>20946.642306328533</v>
      </c>
      <c r="I1189" s="90">
        <v>0</v>
      </c>
      <c r="J1189" s="90">
        <v>0</v>
      </c>
      <c r="K1189" s="90">
        <v>0</v>
      </c>
      <c r="L1189" s="90">
        <v>0</v>
      </c>
      <c r="M1189" s="90">
        <v>1867.5932217064374</v>
      </c>
      <c r="N1189" s="90">
        <v>15500.515306683114</v>
      </c>
      <c r="O1189" s="90">
        <v>0</v>
      </c>
      <c r="P1189" s="90">
        <v>0</v>
      </c>
      <c r="Q1189" s="90">
        <v>0</v>
      </c>
      <c r="R1189" s="90">
        <v>18168.325000000001</v>
      </c>
    </row>
    <row r="1190" spans="1:18">
      <c r="A1190" s="90" t="s">
        <v>34</v>
      </c>
      <c r="B1190" s="90" t="s">
        <v>951</v>
      </c>
      <c r="C1190" s="90" t="str">
        <f t="shared" si="18"/>
        <v>RubyWarehousing</v>
      </c>
      <c r="D1190" s="90">
        <v>3</v>
      </c>
      <c r="E1190" s="90">
        <v>4064</v>
      </c>
      <c r="F1190" s="90">
        <v>5094.3475727767009</v>
      </c>
      <c r="G1190" s="90">
        <v>0</v>
      </c>
      <c r="H1190" s="90">
        <v>48219.96466749478</v>
      </c>
      <c r="I1190" s="90">
        <v>0</v>
      </c>
      <c r="J1190" s="90">
        <v>0</v>
      </c>
      <c r="K1190" s="90">
        <v>0</v>
      </c>
      <c r="L1190" s="90">
        <v>3769.8172038547582</v>
      </c>
      <c r="M1190" s="90">
        <v>0</v>
      </c>
      <c r="N1190" s="90">
        <v>35682.773853946135</v>
      </c>
      <c r="O1190" s="90">
        <v>0</v>
      </c>
      <c r="P1190" s="90">
        <v>0</v>
      </c>
      <c r="Q1190" s="90">
        <v>0</v>
      </c>
      <c r="R1190" s="90">
        <v>28448</v>
      </c>
    </row>
    <row r="1191" spans="1:18">
      <c r="A1191" s="90" t="s">
        <v>97</v>
      </c>
      <c r="B1191" s="90" t="s">
        <v>1439</v>
      </c>
      <c r="C1191" s="90" t="str">
        <f t="shared" si="18"/>
        <v>Russian MissionEducation - K - 12</v>
      </c>
      <c r="D1191" s="90">
        <v>1</v>
      </c>
      <c r="E1191" s="90">
        <v>34800</v>
      </c>
      <c r="F1191" s="90">
        <v>8183.7591240875909</v>
      </c>
      <c r="G1191" s="90">
        <v>0</v>
      </c>
      <c r="H1191" s="90">
        <v>244169.69750749998</v>
      </c>
      <c r="I1191" s="90">
        <v>0</v>
      </c>
      <c r="J1191" s="90">
        <v>0</v>
      </c>
      <c r="K1191" s="90">
        <v>0</v>
      </c>
      <c r="L1191" s="90">
        <v>6055.9817518248174</v>
      </c>
      <c r="M1191" s="90">
        <v>0</v>
      </c>
      <c r="N1191" s="90">
        <v>180685.57615554999</v>
      </c>
      <c r="O1191" s="90">
        <v>0</v>
      </c>
      <c r="P1191" s="90">
        <v>0</v>
      </c>
      <c r="Q1191" s="90">
        <v>0</v>
      </c>
      <c r="R1191" s="90">
        <v>243600</v>
      </c>
    </row>
    <row r="1192" spans="1:18">
      <c r="A1192" s="90" t="s">
        <v>97</v>
      </c>
      <c r="B1192" s="90" t="s">
        <v>1440</v>
      </c>
      <c r="C1192" s="90" t="str">
        <f t="shared" si="18"/>
        <v>Russian MissionHealth Care - Hospitals</v>
      </c>
      <c r="D1192" s="90">
        <v>2</v>
      </c>
      <c r="E1192" s="90">
        <v>4068</v>
      </c>
      <c r="F1192" s="90">
        <v>2470</v>
      </c>
      <c r="G1192" s="90">
        <v>0</v>
      </c>
      <c r="H1192" s="90">
        <v>34637.625449857922</v>
      </c>
      <c r="I1192" s="90">
        <v>0</v>
      </c>
      <c r="J1192" s="90">
        <v>0</v>
      </c>
      <c r="K1192" s="90">
        <v>0</v>
      </c>
      <c r="L1192" s="90">
        <v>1827.8</v>
      </c>
      <c r="M1192" s="90">
        <v>0</v>
      </c>
      <c r="N1192" s="90">
        <v>25631.842832894858</v>
      </c>
      <c r="O1192" s="90">
        <v>0</v>
      </c>
      <c r="P1192" s="90">
        <v>0</v>
      </c>
      <c r="Q1192" s="90">
        <v>0</v>
      </c>
      <c r="R1192" s="90">
        <v>28476</v>
      </c>
    </row>
    <row r="1193" spans="1:18">
      <c r="A1193" s="90" t="s">
        <v>97</v>
      </c>
      <c r="B1193" s="90" t="s">
        <v>665</v>
      </c>
      <c r="C1193" s="90" t="str">
        <f t="shared" si="18"/>
        <v>Russian MissionOffice</v>
      </c>
      <c r="D1193" s="90">
        <v>4</v>
      </c>
      <c r="E1193" s="90">
        <v>11540.676258992806</v>
      </c>
      <c r="F1193" s="90">
        <v>9607.0425650379075</v>
      </c>
      <c r="G1193" s="90">
        <v>0</v>
      </c>
      <c r="H1193" s="90">
        <v>65477.854420588381</v>
      </c>
      <c r="I1193" s="90">
        <v>0</v>
      </c>
      <c r="J1193" s="90">
        <v>0</v>
      </c>
      <c r="K1193" s="90">
        <v>0</v>
      </c>
      <c r="L1193" s="90">
        <v>7109.2114981280511</v>
      </c>
      <c r="M1193" s="90">
        <v>0</v>
      </c>
      <c r="N1193" s="90">
        <v>48453.612271235404</v>
      </c>
      <c r="O1193" s="90">
        <v>0</v>
      </c>
      <c r="P1193" s="90">
        <v>0</v>
      </c>
      <c r="Q1193" s="90">
        <v>0</v>
      </c>
      <c r="R1193" s="90">
        <v>80784.733812949635</v>
      </c>
    </row>
    <row r="1194" spans="1:18">
      <c r="A1194" s="90" t="s">
        <v>97</v>
      </c>
      <c r="B1194" s="90" t="s">
        <v>643</v>
      </c>
      <c r="C1194" s="90" t="str">
        <f t="shared" si="18"/>
        <v>Russian MissionOther</v>
      </c>
      <c r="D1194" s="90">
        <v>7</v>
      </c>
      <c r="E1194" s="90">
        <v>24539.454198473282</v>
      </c>
      <c r="F1194" s="90">
        <v>24893.235874414189</v>
      </c>
      <c r="G1194" s="90">
        <v>0</v>
      </c>
      <c r="H1194" s="90">
        <v>178720.94616657877</v>
      </c>
      <c r="I1194" s="90">
        <v>0</v>
      </c>
      <c r="J1194" s="90">
        <v>0</v>
      </c>
      <c r="K1194" s="90">
        <v>0</v>
      </c>
      <c r="L1194" s="90">
        <v>18420.994547066504</v>
      </c>
      <c r="M1194" s="90">
        <v>0</v>
      </c>
      <c r="N1194" s="90">
        <v>132253.5001632683</v>
      </c>
      <c r="O1194" s="90">
        <v>0</v>
      </c>
      <c r="P1194" s="90">
        <v>0</v>
      </c>
      <c r="Q1194" s="90">
        <v>0</v>
      </c>
      <c r="R1194" s="90">
        <v>171776.17938931298</v>
      </c>
    </row>
    <row r="1195" spans="1:18">
      <c r="A1195" s="90" t="s">
        <v>97</v>
      </c>
      <c r="B1195" s="90" t="s">
        <v>1227</v>
      </c>
      <c r="C1195" s="90" t="str">
        <f t="shared" si="18"/>
        <v>Russian MissionPublic Assembly</v>
      </c>
      <c r="D1195" s="90">
        <v>2</v>
      </c>
      <c r="E1195" s="90">
        <v>6853.1280898876403</v>
      </c>
      <c r="F1195" s="90">
        <v>4739.6946162247868</v>
      </c>
      <c r="G1195" s="90">
        <v>0</v>
      </c>
      <c r="H1195" s="90">
        <v>31776.759306674339</v>
      </c>
      <c r="I1195" s="90">
        <v>0</v>
      </c>
      <c r="J1195" s="90">
        <v>0</v>
      </c>
      <c r="K1195" s="90">
        <v>0</v>
      </c>
      <c r="L1195" s="90">
        <v>3507.3740160063421</v>
      </c>
      <c r="M1195" s="90">
        <v>0</v>
      </c>
      <c r="N1195" s="90">
        <v>23514.801886939011</v>
      </c>
      <c r="O1195" s="90">
        <v>0</v>
      </c>
      <c r="P1195" s="90">
        <v>0</v>
      </c>
      <c r="Q1195" s="90">
        <v>0</v>
      </c>
      <c r="R1195" s="90">
        <v>47971.896629213479</v>
      </c>
    </row>
    <row r="1196" spans="1:18">
      <c r="A1196" s="90" t="s">
        <v>97</v>
      </c>
      <c r="B1196" s="90" t="s">
        <v>1475</v>
      </c>
      <c r="C1196" s="90" t="str">
        <f t="shared" si="18"/>
        <v>Russian MissionPublic Safety</v>
      </c>
      <c r="D1196" s="90">
        <v>1</v>
      </c>
      <c r="E1196" s="90">
        <v>2697.4089393939394</v>
      </c>
      <c r="F1196" s="90">
        <v>1909.3942711307411</v>
      </c>
      <c r="G1196" s="90">
        <v>0</v>
      </c>
      <c r="H1196" s="90">
        <v>22307.792908055355</v>
      </c>
      <c r="I1196" s="90">
        <v>0</v>
      </c>
      <c r="J1196" s="90">
        <v>0</v>
      </c>
      <c r="K1196" s="90">
        <v>0</v>
      </c>
      <c r="L1196" s="90">
        <v>1412.9517606367483</v>
      </c>
      <c r="M1196" s="90">
        <v>0</v>
      </c>
      <c r="N1196" s="90">
        <v>16507.766751960964</v>
      </c>
      <c r="O1196" s="90">
        <v>0</v>
      </c>
      <c r="P1196" s="90">
        <v>0</v>
      </c>
      <c r="Q1196" s="90">
        <v>0</v>
      </c>
      <c r="R1196" s="90">
        <v>18881.862575757576</v>
      </c>
    </row>
    <row r="1197" spans="1:18">
      <c r="A1197" s="90" t="s">
        <v>97</v>
      </c>
      <c r="B1197" s="90" t="s">
        <v>1485</v>
      </c>
      <c r="C1197" s="90" t="str">
        <f t="shared" si="18"/>
        <v>Russian MissionRetail - Other</v>
      </c>
      <c r="D1197" s="90">
        <v>2</v>
      </c>
      <c r="E1197" s="90">
        <v>6426.3658536585363</v>
      </c>
      <c r="F1197" s="90">
        <v>12525.351575516059</v>
      </c>
      <c r="G1197" s="90">
        <v>0</v>
      </c>
      <c r="H1197" s="90">
        <v>156791.62603954726</v>
      </c>
      <c r="I1197" s="90">
        <v>0</v>
      </c>
      <c r="J1197" s="90">
        <v>0</v>
      </c>
      <c r="K1197" s="90">
        <v>0</v>
      </c>
      <c r="L1197" s="90">
        <v>9268.7601658818821</v>
      </c>
      <c r="M1197" s="90">
        <v>0</v>
      </c>
      <c r="N1197" s="90">
        <v>116025.80326926499</v>
      </c>
      <c r="O1197" s="90">
        <v>0</v>
      </c>
      <c r="P1197" s="90">
        <v>0</v>
      </c>
      <c r="Q1197" s="90">
        <v>0</v>
      </c>
      <c r="R1197" s="90">
        <v>44984.560975609755</v>
      </c>
    </row>
    <row r="1198" spans="1:18">
      <c r="A1198" s="90" t="s">
        <v>1061</v>
      </c>
      <c r="B1198" s="90" t="s">
        <v>1447</v>
      </c>
      <c r="C1198" s="90" t="str">
        <f t="shared" si="18"/>
        <v>Saint GeorgeAccomodation Services</v>
      </c>
      <c r="D1198" s="90">
        <v>1</v>
      </c>
      <c r="E1198" s="90">
        <v>4770.8148148148148</v>
      </c>
      <c r="F1198" s="90">
        <v>2988.4980540000279</v>
      </c>
      <c r="G1198" s="90">
        <v>0</v>
      </c>
      <c r="H1198" s="90">
        <v>35003.910702682631</v>
      </c>
      <c r="I1198" s="90">
        <v>0</v>
      </c>
      <c r="J1198" s="90">
        <v>0</v>
      </c>
      <c r="K1198" s="90">
        <v>0</v>
      </c>
      <c r="L1198" s="90">
        <v>2211.4885599600207</v>
      </c>
      <c r="M1198" s="90">
        <v>0</v>
      </c>
      <c r="N1198" s="90">
        <v>25902.893919985148</v>
      </c>
      <c r="O1198" s="90">
        <v>0</v>
      </c>
      <c r="P1198" s="90">
        <v>0</v>
      </c>
      <c r="Q1198" s="90">
        <v>0</v>
      </c>
      <c r="R1198" s="90">
        <v>33395.703703703701</v>
      </c>
    </row>
    <row r="1199" spans="1:18">
      <c r="A1199" s="90" t="s">
        <v>1061</v>
      </c>
      <c r="B1199" s="90" t="s">
        <v>1439</v>
      </c>
      <c r="C1199" s="90" t="str">
        <f t="shared" si="18"/>
        <v>Saint GeorgeEducation - K - 12</v>
      </c>
      <c r="D1199" s="90">
        <v>1</v>
      </c>
      <c r="E1199" s="90">
        <v>14352</v>
      </c>
      <c r="F1199" s="90">
        <v>7787</v>
      </c>
      <c r="G1199" s="90">
        <v>0</v>
      </c>
      <c r="H1199" s="90">
        <v>36160</v>
      </c>
      <c r="I1199" s="90">
        <v>0</v>
      </c>
      <c r="J1199" s="90">
        <v>0</v>
      </c>
      <c r="K1199" s="90">
        <v>0</v>
      </c>
      <c r="L1199" s="90">
        <v>5762.38</v>
      </c>
      <c r="M1199" s="90">
        <v>0</v>
      </c>
      <c r="N1199" s="90">
        <v>26758.400000000001</v>
      </c>
      <c r="O1199" s="90">
        <v>0</v>
      </c>
      <c r="P1199" s="90">
        <v>0</v>
      </c>
      <c r="Q1199" s="90">
        <v>0</v>
      </c>
      <c r="R1199" s="90">
        <v>100464</v>
      </c>
    </row>
    <row r="1200" spans="1:18">
      <c r="A1200" s="90" t="s">
        <v>1061</v>
      </c>
      <c r="B1200" s="90" t="s">
        <v>1440</v>
      </c>
      <c r="C1200" s="90" t="str">
        <f t="shared" si="18"/>
        <v>Saint GeorgeHealth Care - Hospitals</v>
      </c>
      <c r="D1200" s="90">
        <v>1</v>
      </c>
      <c r="E1200" s="90">
        <v>3675</v>
      </c>
      <c r="F1200" s="90">
        <v>2561.3770119634796</v>
      </c>
      <c r="G1200" s="90">
        <v>0</v>
      </c>
      <c r="H1200" s="90">
        <v>27644.935028668922</v>
      </c>
      <c r="I1200" s="90">
        <v>0</v>
      </c>
      <c r="J1200" s="90">
        <v>0</v>
      </c>
      <c r="K1200" s="90">
        <v>0</v>
      </c>
      <c r="L1200" s="90">
        <v>1895.418988852975</v>
      </c>
      <c r="M1200" s="90">
        <v>0</v>
      </c>
      <c r="N1200" s="90">
        <v>20457.251921215004</v>
      </c>
      <c r="O1200" s="90">
        <v>0</v>
      </c>
      <c r="P1200" s="90">
        <v>0</v>
      </c>
      <c r="Q1200" s="90">
        <v>0</v>
      </c>
      <c r="R1200" s="90">
        <v>25725</v>
      </c>
    </row>
    <row r="1201" spans="1:18">
      <c r="A1201" s="90" t="s">
        <v>1061</v>
      </c>
      <c r="B1201" s="90" t="s">
        <v>665</v>
      </c>
      <c r="C1201" s="90" t="str">
        <f t="shared" si="18"/>
        <v>Saint GeorgeOffice</v>
      </c>
      <c r="D1201" s="90">
        <v>2</v>
      </c>
      <c r="E1201" s="90">
        <v>4066.517006802721</v>
      </c>
      <c r="F1201" s="90">
        <v>5411.1649445925304</v>
      </c>
      <c r="G1201" s="90">
        <v>0</v>
      </c>
      <c r="H1201" s="90">
        <v>32597.323289905435</v>
      </c>
      <c r="I1201" s="90">
        <v>0</v>
      </c>
      <c r="J1201" s="90">
        <v>0</v>
      </c>
      <c r="K1201" s="90">
        <v>0</v>
      </c>
      <c r="L1201" s="90">
        <v>4004.2620589984726</v>
      </c>
      <c r="M1201" s="90">
        <v>0</v>
      </c>
      <c r="N1201" s="90">
        <v>24122.01923453002</v>
      </c>
      <c r="O1201" s="90">
        <v>0</v>
      </c>
      <c r="P1201" s="90">
        <v>0</v>
      </c>
      <c r="Q1201" s="90">
        <v>0</v>
      </c>
      <c r="R1201" s="90">
        <v>28465.619047619046</v>
      </c>
    </row>
    <row r="1202" spans="1:18">
      <c r="A1202" s="90" t="s">
        <v>1061</v>
      </c>
      <c r="B1202" s="90" t="s">
        <v>643</v>
      </c>
      <c r="C1202" s="90" t="str">
        <f t="shared" si="18"/>
        <v>Saint GeorgeOther</v>
      </c>
      <c r="D1202" s="90">
        <v>4</v>
      </c>
      <c r="E1202" s="90">
        <v>14577.840909090908</v>
      </c>
      <c r="F1202" s="90">
        <v>12889.700386573946</v>
      </c>
      <c r="G1202" s="90">
        <v>0</v>
      </c>
      <c r="H1202" s="90">
        <v>106097.34706136849</v>
      </c>
      <c r="I1202" s="90">
        <v>0</v>
      </c>
      <c r="J1202" s="90">
        <v>0</v>
      </c>
      <c r="K1202" s="90">
        <v>0</v>
      </c>
      <c r="L1202" s="90">
        <v>9538.3782860647188</v>
      </c>
      <c r="M1202" s="90">
        <v>0</v>
      </c>
      <c r="N1202" s="90">
        <v>78512.036825412695</v>
      </c>
      <c r="O1202" s="90">
        <v>0</v>
      </c>
      <c r="P1202" s="90">
        <v>0</v>
      </c>
      <c r="Q1202" s="90">
        <v>0</v>
      </c>
      <c r="R1202" s="90">
        <v>102044.88636363637</v>
      </c>
    </row>
    <row r="1203" spans="1:18" s="46" customFormat="1">
      <c r="A1203" s="90" t="s">
        <v>1061</v>
      </c>
      <c r="B1203" s="90" t="s">
        <v>1227</v>
      </c>
      <c r="C1203" s="90" t="str">
        <f t="shared" si="18"/>
        <v>Saint GeorgePublic Assembly</v>
      </c>
      <c r="D1203" s="90">
        <v>1</v>
      </c>
      <c r="E1203" s="90">
        <v>4800</v>
      </c>
      <c r="F1203" s="90">
        <v>2281</v>
      </c>
      <c r="G1203" s="90">
        <v>0</v>
      </c>
      <c r="H1203" s="90">
        <v>20959</v>
      </c>
      <c r="I1203" s="90">
        <v>0</v>
      </c>
      <c r="J1203" s="90">
        <v>0</v>
      </c>
      <c r="K1203" s="90">
        <v>0</v>
      </c>
      <c r="L1203" s="90">
        <v>1687.94</v>
      </c>
      <c r="M1203" s="90">
        <v>0</v>
      </c>
      <c r="N1203" s="90">
        <v>15509.66</v>
      </c>
      <c r="O1203" s="90">
        <v>0</v>
      </c>
      <c r="P1203" s="90">
        <v>0</v>
      </c>
      <c r="Q1203" s="90">
        <v>0</v>
      </c>
      <c r="R1203" s="90">
        <v>33600</v>
      </c>
    </row>
    <row r="1204" spans="1:18" s="46" customFormat="1">
      <c r="A1204" s="90" t="s">
        <v>1061</v>
      </c>
      <c r="B1204" s="90" t="s">
        <v>1475</v>
      </c>
      <c r="C1204" s="90" t="str">
        <f t="shared" si="18"/>
        <v>Saint GeorgePublic Safety</v>
      </c>
      <c r="D1204" s="90">
        <v>1</v>
      </c>
      <c r="E1204" s="90">
        <v>1200</v>
      </c>
      <c r="F1204" s="90">
        <v>1166.8498246807007</v>
      </c>
      <c r="G1204" s="90">
        <v>0</v>
      </c>
      <c r="H1204" s="90">
        <v>9684.5358817150009</v>
      </c>
      <c r="I1204" s="90">
        <v>0</v>
      </c>
      <c r="J1204" s="90">
        <v>0</v>
      </c>
      <c r="K1204" s="90">
        <v>0</v>
      </c>
      <c r="L1204" s="90">
        <v>863.4688702637186</v>
      </c>
      <c r="M1204" s="90">
        <v>0</v>
      </c>
      <c r="N1204" s="90">
        <v>7166.556552469101</v>
      </c>
      <c r="O1204" s="90">
        <v>0</v>
      </c>
      <c r="P1204" s="90">
        <v>0</v>
      </c>
      <c r="Q1204" s="90">
        <v>0</v>
      </c>
      <c r="R1204" s="90">
        <v>8400</v>
      </c>
    </row>
    <row r="1205" spans="1:18" s="46" customFormat="1">
      <c r="A1205" s="90" t="s">
        <v>1061</v>
      </c>
      <c r="B1205" s="90" t="s">
        <v>1485</v>
      </c>
      <c r="C1205" s="90" t="str">
        <f t="shared" si="18"/>
        <v>Saint GeorgeRetail - Other</v>
      </c>
      <c r="D1205" s="90">
        <v>1</v>
      </c>
      <c r="E1205" s="90">
        <v>2105.2800000000002</v>
      </c>
      <c r="F1205" s="90">
        <v>378</v>
      </c>
      <c r="G1205" s="90">
        <v>0</v>
      </c>
      <c r="H1205" s="90">
        <v>70257</v>
      </c>
      <c r="I1205" s="90">
        <v>0</v>
      </c>
      <c r="J1205" s="90">
        <v>0</v>
      </c>
      <c r="K1205" s="90">
        <v>0</v>
      </c>
      <c r="L1205" s="90">
        <v>279.71999999999997</v>
      </c>
      <c r="M1205" s="90">
        <v>0</v>
      </c>
      <c r="N1205" s="90">
        <v>51990.18</v>
      </c>
      <c r="O1205" s="90">
        <v>0</v>
      </c>
      <c r="P1205" s="90">
        <v>0</v>
      </c>
      <c r="Q1205" s="90">
        <v>0</v>
      </c>
      <c r="R1205" s="90">
        <v>14736.960000000001</v>
      </c>
    </row>
    <row r="1206" spans="1:18" s="46" customFormat="1">
      <c r="A1206" s="90" t="s">
        <v>1061</v>
      </c>
      <c r="B1206" s="90" t="s">
        <v>951</v>
      </c>
      <c r="C1206" s="90" t="str">
        <f t="shared" si="18"/>
        <v>Saint GeorgeWarehousing</v>
      </c>
      <c r="D1206" s="90">
        <v>1</v>
      </c>
      <c r="E1206" s="90">
        <v>1104</v>
      </c>
      <c r="F1206" s="90">
        <v>1383.8975689826473</v>
      </c>
      <c r="G1206" s="90">
        <v>0</v>
      </c>
      <c r="H1206" s="90">
        <v>13099.12426006748</v>
      </c>
      <c r="I1206" s="90">
        <v>0</v>
      </c>
      <c r="J1206" s="90">
        <v>0</v>
      </c>
      <c r="K1206" s="90">
        <v>0</v>
      </c>
      <c r="L1206" s="90">
        <v>1024.084201047159</v>
      </c>
      <c r="M1206" s="90">
        <v>0</v>
      </c>
      <c r="N1206" s="90">
        <v>9693.3519524499352</v>
      </c>
      <c r="O1206" s="90">
        <v>0</v>
      </c>
      <c r="P1206" s="90">
        <v>0</v>
      </c>
      <c r="Q1206" s="90">
        <v>0</v>
      </c>
      <c r="R1206" s="90">
        <v>7728</v>
      </c>
    </row>
    <row r="1207" spans="1:18" s="46" customFormat="1">
      <c r="A1207" s="90" t="s">
        <v>1062</v>
      </c>
      <c r="B1207" s="90" t="s">
        <v>1447</v>
      </c>
      <c r="C1207" s="90" t="str">
        <f t="shared" si="18"/>
        <v>Saint Mary'sAccomodation Services</v>
      </c>
      <c r="D1207" s="90">
        <v>1</v>
      </c>
      <c r="E1207" s="90">
        <v>1530</v>
      </c>
      <c r="F1207" s="90">
        <v>1577.4709029043245</v>
      </c>
      <c r="G1207" s="90">
        <v>0</v>
      </c>
      <c r="H1207" s="90">
        <v>33352.856349229885</v>
      </c>
      <c r="I1207" s="90">
        <v>0</v>
      </c>
      <c r="J1207" s="90">
        <v>0</v>
      </c>
      <c r="K1207" s="90">
        <v>0</v>
      </c>
      <c r="L1207" s="90">
        <v>1167.3284681492</v>
      </c>
      <c r="M1207" s="90">
        <v>0</v>
      </c>
      <c r="N1207" s="90">
        <v>24681.113698430116</v>
      </c>
      <c r="O1207" s="90">
        <v>0</v>
      </c>
      <c r="P1207" s="90">
        <v>0</v>
      </c>
      <c r="Q1207" s="90">
        <v>0</v>
      </c>
      <c r="R1207" s="90">
        <v>10710</v>
      </c>
    </row>
    <row r="1208" spans="1:18">
      <c r="A1208" s="90" t="s">
        <v>1062</v>
      </c>
      <c r="B1208" s="90" t="s">
        <v>1439</v>
      </c>
      <c r="C1208" s="90" t="str">
        <f t="shared" si="18"/>
        <v>Saint Mary'sEducation - K - 12</v>
      </c>
      <c r="D1208" s="90">
        <v>2</v>
      </c>
      <c r="E1208" s="90">
        <v>51153</v>
      </c>
      <c r="F1208" s="90">
        <v>36559.322468458355</v>
      </c>
      <c r="G1208" s="90">
        <v>0</v>
      </c>
      <c r="H1208" s="90">
        <v>349538.71952906856</v>
      </c>
      <c r="I1208" s="90">
        <v>0</v>
      </c>
      <c r="J1208" s="90">
        <v>0</v>
      </c>
      <c r="K1208" s="90">
        <v>0</v>
      </c>
      <c r="L1208" s="90">
        <v>27053.898626659182</v>
      </c>
      <c r="M1208" s="90">
        <v>0</v>
      </c>
      <c r="N1208" s="90">
        <v>258658.65245151074</v>
      </c>
      <c r="O1208" s="90">
        <v>0</v>
      </c>
      <c r="P1208" s="90">
        <v>0</v>
      </c>
      <c r="Q1208" s="90">
        <v>0</v>
      </c>
      <c r="R1208" s="90">
        <v>358071</v>
      </c>
    </row>
    <row r="1209" spans="1:18">
      <c r="A1209" s="90" t="s">
        <v>1062</v>
      </c>
      <c r="B1209" s="90" t="s">
        <v>665</v>
      </c>
      <c r="C1209" s="90" t="str">
        <f t="shared" si="18"/>
        <v>Saint Mary'sOffice</v>
      </c>
      <c r="D1209" s="90">
        <v>5</v>
      </c>
      <c r="E1209" s="90">
        <v>7665</v>
      </c>
      <c r="F1209" s="90">
        <v>4403.8686131386858</v>
      </c>
      <c r="G1209" s="90">
        <v>0</v>
      </c>
      <c r="H1209" s="90">
        <v>24093.54108825</v>
      </c>
      <c r="I1209" s="90">
        <v>0</v>
      </c>
      <c r="J1209" s="90">
        <v>0</v>
      </c>
      <c r="K1209" s="90">
        <v>0</v>
      </c>
      <c r="L1209" s="90">
        <v>3258.8627737226279</v>
      </c>
      <c r="M1209" s="90">
        <v>0</v>
      </c>
      <c r="N1209" s="90">
        <v>17829.220405305001</v>
      </c>
      <c r="O1209" s="90">
        <v>0</v>
      </c>
      <c r="P1209" s="90">
        <v>0</v>
      </c>
      <c r="Q1209" s="90">
        <v>0</v>
      </c>
      <c r="R1209" s="90">
        <v>53655</v>
      </c>
    </row>
    <row r="1210" spans="1:18">
      <c r="A1210" s="90" t="s">
        <v>1062</v>
      </c>
      <c r="B1210" s="90" t="s">
        <v>643</v>
      </c>
      <c r="C1210" s="90" t="str">
        <f t="shared" si="18"/>
        <v>Saint Mary'sOther</v>
      </c>
      <c r="D1210" s="90">
        <v>12</v>
      </c>
      <c r="E1210" s="90">
        <v>35609.690839694653</v>
      </c>
      <c r="F1210" s="90">
        <v>32933.660418834319</v>
      </c>
      <c r="G1210" s="90">
        <v>0</v>
      </c>
      <c r="H1210" s="90">
        <v>292942.01234074141</v>
      </c>
      <c r="I1210" s="90">
        <v>0</v>
      </c>
      <c r="J1210" s="90">
        <v>0</v>
      </c>
      <c r="K1210" s="90">
        <v>0</v>
      </c>
      <c r="L1210" s="90">
        <v>24370.908709937394</v>
      </c>
      <c r="M1210" s="90">
        <v>0</v>
      </c>
      <c r="N1210" s="90">
        <v>216777.08913214857</v>
      </c>
      <c r="O1210" s="90">
        <v>0</v>
      </c>
      <c r="P1210" s="90">
        <v>0</v>
      </c>
      <c r="Q1210" s="90">
        <v>0</v>
      </c>
      <c r="R1210" s="90">
        <v>249267.83587786258</v>
      </c>
    </row>
    <row r="1211" spans="1:18">
      <c r="A1211" s="90" t="s">
        <v>1062</v>
      </c>
      <c r="B1211" s="90" t="s">
        <v>1227</v>
      </c>
      <c r="C1211" s="90" t="str">
        <f t="shared" si="18"/>
        <v>Saint Mary'sPublic Assembly</v>
      </c>
      <c r="D1211" s="90">
        <v>2</v>
      </c>
      <c r="E1211" s="90">
        <v>2560</v>
      </c>
      <c r="F1211" s="90">
        <v>3500</v>
      </c>
      <c r="G1211" s="90">
        <v>1521.5428661082406</v>
      </c>
      <c r="H1211" s="90">
        <v>21100</v>
      </c>
      <c r="I1211" s="90">
        <v>0</v>
      </c>
      <c r="J1211" s="90">
        <v>0</v>
      </c>
      <c r="K1211" s="90">
        <v>0</v>
      </c>
      <c r="L1211" s="90">
        <v>2590</v>
      </c>
      <c r="M1211" s="90">
        <v>1125.9417209200981</v>
      </c>
      <c r="N1211" s="90">
        <v>15614</v>
      </c>
      <c r="O1211" s="90">
        <v>0</v>
      </c>
      <c r="P1211" s="90">
        <v>0</v>
      </c>
      <c r="Q1211" s="90">
        <v>0</v>
      </c>
      <c r="R1211" s="90">
        <v>17920</v>
      </c>
    </row>
    <row r="1212" spans="1:18">
      <c r="A1212" s="90" t="s">
        <v>1062</v>
      </c>
      <c r="B1212" s="90" t="s">
        <v>1475</v>
      </c>
      <c r="C1212" s="90" t="str">
        <f t="shared" si="18"/>
        <v>Saint Mary'sPublic Safety</v>
      </c>
      <c r="D1212" s="90">
        <v>1</v>
      </c>
      <c r="E1212" s="90">
        <v>1800</v>
      </c>
      <c r="F1212" s="90">
        <v>4000</v>
      </c>
      <c r="G1212" s="90">
        <v>0</v>
      </c>
      <c r="H1212" s="90">
        <v>7700</v>
      </c>
      <c r="I1212" s="90">
        <v>0</v>
      </c>
      <c r="J1212" s="90">
        <v>0</v>
      </c>
      <c r="K1212" s="90">
        <v>0</v>
      </c>
      <c r="L1212" s="90">
        <v>2960</v>
      </c>
      <c r="M1212" s="90">
        <v>0</v>
      </c>
      <c r="N1212" s="90">
        <v>5698</v>
      </c>
      <c r="O1212" s="90">
        <v>0</v>
      </c>
      <c r="P1212" s="90">
        <v>0</v>
      </c>
      <c r="Q1212" s="90">
        <v>0</v>
      </c>
      <c r="R1212" s="90">
        <v>12600</v>
      </c>
    </row>
    <row r="1213" spans="1:18">
      <c r="A1213" s="90" t="s">
        <v>1062</v>
      </c>
      <c r="B1213" s="90" t="s">
        <v>1442</v>
      </c>
      <c r="C1213" s="90" t="str">
        <f t="shared" si="18"/>
        <v>Saint Mary'sResidential - Multi-Family</v>
      </c>
      <c r="D1213" s="90">
        <v>2</v>
      </c>
      <c r="E1213" s="90">
        <v>4250</v>
      </c>
      <c r="F1213" s="90">
        <v>4348.0778588807789</v>
      </c>
      <c r="G1213" s="90">
        <v>0</v>
      </c>
      <c r="H1213" s="90">
        <v>17565.609130599856</v>
      </c>
      <c r="I1213" s="90">
        <v>0</v>
      </c>
      <c r="J1213" s="90">
        <v>0</v>
      </c>
      <c r="K1213" s="90">
        <v>0</v>
      </c>
      <c r="L1213" s="90">
        <v>3217.5776155717767</v>
      </c>
      <c r="M1213" s="90">
        <v>0</v>
      </c>
      <c r="N1213" s="90">
        <v>12998.550756643894</v>
      </c>
      <c r="O1213" s="90">
        <v>0</v>
      </c>
      <c r="P1213" s="90">
        <v>0</v>
      </c>
      <c r="Q1213" s="90">
        <v>0</v>
      </c>
      <c r="R1213" s="90">
        <v>29750</v>
      </c>
    </row>
    <row r="1214" spans="1:18">
      <c r="A1214" s="90" t="s">
        <v>1062</v>
      </c>
      <c r="B1214" s="90" t="s">
        <v>1485</v>
      </c>
      <c r="C1214" s="90" t="str">
        <f t="shared" si="18"/>
        <v>Saint Mary'sRetail - Other</v>
      </c>
      <c r="D1214" s="90">
        <v>1</v>
      </c>
      <c r="E1214" s="90">
        <v>9584</v>
      </c>
      <c r="F1214" s="90">
        <v>15919.494151460891</v>
      </c>
      <c r="G1214" s="90">
        <v>0</v>
      </c>
      <c r="H1214" s="90">
        <v>233832.14995572306</v>
      </c>
      <c r="I1214" s="90">
        <v>0</v>
      </c>
      <c r="J1214" s="90">
        <v>0</v>
      </c>
      <c r="K1214" s="90">
        <v>0</v>
      </c>
      <c r="L1214" s="90">
        <v>11780.425672081059</v>
      </c>
      <c r="M1214" s="90">
        <v>0</v>
      </c>
      <c r="N1214" s="90">
        <v>173035.79096723505</v>
      </c>
      <c r="O1214" s="90">
        <v>0</v>
      </c>
      <c r="P1214" s="90">
        <v>0</v>
      </c>
      <c r="Q1214" s="90">
        <v>0</v>
      </c>
      <c r="R1214" s="90">
        <v>67088</v>
      </c>
    </row>
    <row r="1215" spans="1:18">
      <c r="A1215" s="90" t="s">
        <v>1062</v>
      </c>
      <c r="B1215" s="90" t="s">
        <v>951</v>
      </c>
      <c r="C1215" s="90" t="str">
        <f t="shared" si="18"/>
        <v>Saint Mary'sWarehousing</v>
      </c>
      <c r="D1215" s="90">
        <v>3</v>
      </c>
      <c r="E1215" s="90">
        <v>18400</v>
      </c>
      <c r="F1215" s="90">
        <v>32113.399924099085</v>
      </c>
      <c r="G1215" s="90">
        <v>0</v>
      </c>
      <c r="H1215" s="90">
        <v>843064.39328376041</v>
      </c>
      <c r="I1215" s="90">
        <v>0</v>
      </c>
      <c r="J1215" s="90">
        <v>0</v>
      </c>
      <c r="K1215" s="90">
        <v>0</v>
      </c>
      <c r="L1215" s="90">
        <v>23763.915943833323</v>
      </c>
      <c r="M1215" s="90">
        <v>0</v>
      </c>
      <c r="N1215" s="90">
        <v>623867.65102998272</v>
      </c>
      <c r="O1215" s="90">
        <v>0</v>
      </c>
      <c r="P1215" s="90">
        <v>0</v>
      </c>
      <c r="Q1215" s="90">
        <v>0</v>
      </c>
      <c r="R1215" s="90">
        <v>128800</v>
      </c>
    </row>
    <row r="1216" spans="1:18">
      <c r="A1216" s="90" t="s">
        <v>1063</v>
      </c>
      <c r="B1216" s="90" t="s">
        <v>1439</v>
      </c>
      <c r="C1216" s="90" t="str">
        <f t="shared" si="18"/>
        <v>Saint MichaelEducation - K - 12</v>
      </c>
      <c r="D1216" s="90">
        <v>2</v>
      </c>
      <c r="E1216" s="90">
        <v>38508</v>
      </c>
      <c r="F1216" s="90">
        <v>50649.672099338881</v>
      </c>
      <c r="G1216" s="90">
        <v>0</v>
      </c>
      <c r="H1216" s="90">
        <v>286565.24506181787</v>
      </c>
      <c r="I1216" s="90">
        <v>0</v>
      </c>
      <c r="J1216" s="90">
        <v>0</v>
      </c>
      <c r="K1216" s="90">
        <v>0</v>
      </c>
      <c r="L1216" s="90">
        <v>37480.757353510773</v>
      </c>
      <c r="M1216" s="90">
        <v>0</v>
      </c>
      <c r="N1216" s="90">
        <v>212058.28134574523</v>
      </c>
      <c r="O1216" s="90">
        <v>0</v>
      </c>
      <c r="P1216" s="90">
        <v>0</v>
      </c>
      <c r="Q1216" s="90">
        <v>0</v>
      </c>
      <c r="R1216" s="90">
        <v>269556</v>
      </c>
    </row>
    <row r="1217" spans="1:18">
      <c r="A1217" s="90" t="s">
        <v>1063</v>
      </c>
      <c r="B1217" s="90" t="s">
        <v>1440</v>
      </c>
      <c r="C1217" s="90" t="str">
        <f t="shared" si="18"/>
        <v>Saint MichaelHealth Care - Hospitals</v>
      </c>
      <c r="D1217" s="90">
        <v>1</v>
      </c>
      <c r="E1217" s="90">
        <v>3905.5925000000002</v>
      </c>
      <c r="F1217" s="90">
        <v>2468.6293072959174</v>
      </c>
      <c r="G1217" s="90">
        <v>0</v>
      </c>
      <c r="H1217" s="90">
        <v>34430.972059887106</v>
      </c>
      <c r="I1217" s="90">
        <v>0</v>
      </c>
      <c r="J1217" s="90">
        <v>0</v>
      </c>
      <c r="K1217" s="90">
        <v>0</v>
      </c>
      <c r="L1217" s="90">
        <v>1826.7856873989788</v>
      </c>
      <c r="M1217" s="90">
        <v>0</v>
      </c>
      <c r="N1217" s="90">
        <v>25478.919324316459</v>
      </c>
      <c r="O1217" s="90">
        <v>0</v>
      </c>
      <c r="P1217" s="90">
        <v>0</v>
      </c>
      <c r="Q1217" s="90">
        <v>0</v>
      </c>
      <c r="R1217" s="90">
        <v>27339.147500000003</v>
      </c>
    </row>
    <row r="1218" spans="1:18">
      <c r="A1218" s="90" t="s">
        <v>1063</v>
      </c>
      <c r="B1218" s="90" t="s">
        <v>665</v>
      </c>
      <c r="C1218" s="90" t="str">
        <f t="shared" si="18"/>
        <v>Saint MichaelOffice</v>
      </c>
      <c r="D1218" s="90">
        <v>5</v>
      </c>
      <c r="E1218" s="90">
        <v>14425.845323741007</v>
      </c>
      <c r="F1218" s="90">
        <v>12008.803206297383</v>
      </c>
      <c r="G1218" s="90">
        <v>0</v>
      </c>
      <c r="H1218" s="90">
        <v>81847.318025735469</v>
      </c>
      <c r="I1218" s="90">
        <v>0</v>
      </c>
      <c r="J1218" s="90">
        <v>0</v>
      </c>
      <c r="K1218" s="90">
        <v>0</v>
      </c>
      <c r="L1218" s="90">
        <v>8886.5143726600636</v>
      </c>
      <c r="M1218" s="90">
        <v>0</v>
      </c>
      <c r="N1218" s="90">
        <v>60567.015339044257</v>
      </c>
      <c r="O1218" s="90">
        <v>0</v>
      </c>
      <c r="P1218" s="90">
        <v>0</v>
      </c>
      <c r="Q1218" s="90">
        <v>0</v>
      </c>
      <c r="R1218" s="90">
        <v>100980.91726618704</v>
      </c>
    </row>
    <row r="1219" spans="1:18">
      <c r="A1219" s="90" t="s">
        <v>1063</v>
      </c>
      <c r="B1219" s="90" t="s">
        <v>643</v>
      </c>
      <c r="C1219" s="90" t="str">
        <f t="shared" ref="C1219:C1282" si="19">CONCATENATE(A1219,B1219)</f>
        <v>Saint MichaelOther</v>
      </c>
      <c r="D1219" s="90">
        <v>6</v>
      </c>
      <c r="E1219" s="90">
        <v>10459.381679389313</v>
      </c>
      <c r="F1219" s="90">
        <v>11977.858876730841</v>
      </c>
      <c r="G1219" s="90">
        <v>0</v>
      </c>
      <c r="H1219" s="90">
        <v>80515.362771668137</v>
      </c>
      <c r="I1219" s="90">
        <v>0</v>
      </c>
      <c r="J1219" s="90">
        <v>0</v>
      </c>
      <c r="K1219" s="90">
        <v>0</v>
      </c>
      <c r="L1219" s="90">
        <v>8863.6155687808223</v>
      </c>
      <c r="M1219" s="90">
        <v>0</v>
      </c>
      <c r="N1219" s="90">
        <v>59581.368451034432</v>
      </c>
      <c r="O1219" s="90">
        <v>0</v>
      </c>
      <c r="P1219" s="90">
        <v>0</v>
      </c>
      <c r="Q1219" s="90">
        <v>0</v>
      </c>
      <c r="R1219" s="90">
        <v>73215.671755725198</v>
      </c>
    </row>
    <row r="1220" spans="1:18">
      <c r="A1220" s="90" t="s">
        <v>1063</v>
      </c>
      <c r="B1220" s="90" t="s">
        <v>1227</v>
      </c>
      <c r="C1220" s="90" t="str">
        <f t="shared" si="19"/>
        <v>Saint MichaelPublic Assembly</v>
      </c>
      <c r="D1220" s="90">
        <v>2</v>
      </c>
      <c r="E1220" s="90">
        <v>6853.1280898876403</v>
      </c>
      <c r="F1220" s="90">
        <v>4739.6946162247868</v>
      </c>
      <c r="G1220" s="90">
        <v>0</v>
      </c>
      <c r="H1220" s="90">
        <v>31776.759306674339</v>
      </c>
      <c r="I1220" s="90">
        <v>0</v>
      </c>
      <c r="J1220" s="90">
        <v>0</v>
      </c>
      <c r="K1220" s="90">
        <v>0</v>
      </c>
      <c r="L1220" s="90">
        <v>3507.3740160063421</v>
      </c>
      <c r="M1220" s="90">
        <v>0</v>
      </c>
      <c r="N1220" s="90">
        <v>23514.801886939011</v>
      </c>
      <c r="O1220" s="90">
        <v>0</v>
      </c>
      <c r="P1220" s="90">
        <v>0</v>
      </c>
      <c r="Q1220" s="90">
        <v>0</v>
      </c>
      <c r="R1220" s="90">
        <v>47971.896629213479</v>
      </c>
    </row>
    <row r="1221" spans="1:18">
      <c r="A1221" s="90" t="s">
        <v>1063</v>
      </c>
      <c r="B1221" s="90" t="s">
        <v>1485</v>
      </c>
      <c r="C1221" s="90" t="str">
        <f t="shared" si="19"/>
        <v>Saint MichaelRetail - Other</v>
      </c>
      <c r="D1221" s="90">
        <v>3</v>
      </c>
      <c r="E1221" s="90">
        <v>18402.731707317071</v>
      </c>
      <c r="F1221" s="90">
        <v>30567.840127873333</v>
      </c>
      <c r="G1221" s="90">
        <v>0</v>
      </c>
      <c r="H1221" s="90">
        <v>448993.14693033235</v>
      </c>
      <c r="I1221" s="90">
        <v>0</v>
      </c>
      <c r="J1221" s="90">
        <v>0</v>
      </c>
      <c r="K1221" s="90">
        <v>0</v>
      </c>
      <c r="L1221" s="90">
        <v>22620.201694626263</v>
      </c>
      <c r="M1221" s="90">
        <v>0</v>
      </c>
      <c r="N1221" s="90">
        <v>332254.92872844596</v>
      </c>
      <c r="O1221" s="90">
        <v>0</v>
      </c>
      <c r="P1221" s="90">
        <v>0</v>
      </c>
      <c r="Q1221" s="90">
        <v>0</v>
      </c>
      <c r="R1221" s="90">
        <v>128819.12195121951</v>
      </c>
    </row>
    <row r="1222" spans="1:18">
      <c r="A1222" s="90" t="s">
        <v>1063</v>
      </c>
      <c r="B1222" s="90" t="s">
        <v>951</v>
      </c>
      <c r="C1222" s="90" t="str">
        <f t="shared" si="19"/>
        <v>Saint MichaelWarehousing</v>
      </c>
      <c r="D1222" s="90">
        <v>5</v>
      </c>
      <c r="E1222" s="90">
        <v>6796</v>
      </c>
      <c r="F1222" s="90">
        <v>11861.01445022703</v>
      </c>
      <c r="G1222" s="90">
        <v>0</v>
      </c>
      <c r="H1222" s="90">
        <v>311384.00091067585</v>
      </c>
      <c r="I1222" s="90">
        <v>0</v>
      </c>
      <c r="J1222" s="90">
        <v>0</v>
      </c>
      <c r="K1222" s="90">
        <v>0</v>
      </c>
      <c r="L1222" s="90">
        <v>8777.1506931680033</v>
      </c>
      <c r="M1222" s="90">
        <v>0</v>
      </c>
      <c r="N1222" s="90">
        <v>230424.16067390016</v>
      </c>
      <c r="O1222" s="90">
        <v>0</v>
      </c>
      <c r="P1222" s="90">
        <v>0</v>
      </c>
      <c r="Q1222" s="90">
        <v>0</v>
      </c>
      <c r="R1222" s="90">
        <v>47572</v>
      </c>
    </row>
    <row r="1223" spans="1:18">
      <c r="A1223" s="90" t="s">
        <v>1064</v>
      </c>
      <c r="B1223" s="90" t="s">
        <v>1439</v>
      </c>
      <c r="C1223" s="90" t="str">
        <f t="shared" si="19"/>
        <v>Saint PaulEducation - K - 12</v>
      </c>
      <c r="D1223" s="90">
        <v>1</v>
      </c>
      <c r="E1223" s="90">
        <v>33050</v>
      </c>
      <c r="F1223" s="90">
        <v>7976.1401459854014</v>
      </c>
      <c r="G1223" s="90">
        <v>0</v>
      </c>
      <c r="H1223" s="90">
        <v>128187.82034666666</v>
      </c>
      <c r="I1223" s="90">
        <v>0</v>
      </c>
      <c r="J1223" s="90">
        <v>0</v>
      </c>
      <c r="K1223" s="90">
        <v>0</v>
      </c>
      <c r="L1223" s="90">
        <v>5902.3437080291969</v>
      </c>
      <c r="M1223" s="90">
        <v>0</v>
      </c>
      <c r="N1223" s="90">
        <v>94858.987056533326</v>
      </c>
      <c r="O1223" s="90">
        <v>0</v>
      </c>
      <c r="P1223" s="90">
        <v>0</v>
      </c>
      <c r="Q1223" s="90">
        <v>0</v>
      </c>
      <c r="R1223" s="90">
        <v>231350</v>
      </c>
    </row>
    <row r="1224" spans="1:18">
      <c r="A1224" s="90" t="s">
        <v>1064</v>
      </c>
      <c r="B1224" s="90" t="s">
        <v>665</v>
      </c>
      <c r="C1224" s="90" t="str">
        <f t="shared" si="19"/>
        <v>Saint PaulOffice</v>
      </c>
      <c r="D1224" s="90">
        <v>4</v>
      </c>
      <c r="E1224" s="90">
        <v>23336.838129496406</v>
      </c>
      <c r="F1224" s="90">
        <v>14806.715443102894</v>
      </c>
      <c r="G1224" s="90">
        <v>0</v>
      </c>
      <c r="H1224" s="90">
        <v>152837.65082065132</v>
      </c>
      <c r="I1224" s="90">
        <v>0</v>
      </c>
      <c r="J1224" s="90">
        <v>0</v>
      </c>
      <c r="K1224" s="90">
        <v>0</v>
      </c>
      <c r="L1224" s="90">
        <v>10956.969427896143</v>
      </c>
      <c r="M1224" s="90">
        <v>0</v>
      </c>
      <c r="N1224" s="90">
        <v>113099.86160728199</v>
      </c>
      <c r="O1224" s="90">
        <v>0</v>
      </c>
      <c r="P1224" s="90">
        <v>0</v>
      </c>
      <c r="Q1224" s="90">
        <v>0</v>
      </c>
      <c r="R1224" s="90">
        <v>163357.86690647481</v>
      </c>
    </row>
    <row r="1225" spans="1:18">
      <c r="A1225" s="90" t="s">
        <v>1064</v>
      </c>
      <c r="B1225" s="90" t="s">
        <v>643</v>
      </c>
      <c r="C1225" s="90" t="str">
        <f t="shared" si="19"/>
        <v>Saint PaulOther</v>
      </c>
      <c r="D1225" s="90">
        <v>5</v>
      </c>
      <c r="E1225" s="90">
        <v>38250</v>
      </c>
      <c r="F1225" s="90">
        <v>21580.093064364224</v>
      </c>
      <c r="G1225" s="90">
        <v>23371.297028028526</v>
      </c>
      <c r="H1225" s="90">
        <v>136852.23217042896</v>
      </c>
      <c r="I1225" s="90">
        <v>0</v>
      </c>
      <c r="J1225" s="90">
        <v>0</v>
      </c>
      <c r="K1225" s="90">
        <v>0</v>
      </c>
      <c r="L1225" s="90">
        <v>15969.268867629527</v>
      </c>
      <c r="M1225" s="90">
        <v>17294.759800741111</v>
      </c>
      <c r="N1225" s="90">
        <v>101270.65180611743</v>
      </c>
      <c r="O1225" s="90">
        <v>0</v>
      </c>
      <c r="P1225" s="90">
        <v>0</v>
      </c>
      <c r="Q1225" s="90">
        <v>0</v>
      </c>
      <c r="R1225" s="90">
        <v>267750</v>
      </c>
    </row>
    <row r="1226" spans="1:18">
      <c r="A1226" s="90" t="s">
        <v>1064</v>
      </c>
      <c r="B1226" s="90" t="s">
        <v>1227</v>
      </c>
      <c r="C1226" s="90" t="str">
        <f t="shared" si="19"/>
        <v>Saint PaulPublic Assembly</v>
      </c>
      <c r="D1226" s="90">
        <v>3</v>
      </c>
      <c r="E1226" s="90">
        <v>8053.1280898876394</v>
      </c>
      <c r="F1226" s="90">
        <v>6329.2829373926706</v>
      </c>
      <c r="G1226" s="90">
        <v>0</v>
      </c>
      <c r="H1226" s="90">
        <v>34688.285510174341</v>
      </c>
      <c r="I1226" s="90">
        <v>0</v>
      </c>
      <c r="J1226" s="90">
        <v>0</v>
      </c>
      <c r="K1226" s="90">
        <v>0</v>
      </c>
      <c r="L1226" s="90">
        <v>4683.6693736705756</v>
      </c>
      <c r="M1226" s="90">
        <v>0</v>
      </c>
      <c r="N1226" s="90">
        <v>25669.331277529011</v>
      </c>
      <c r="O1226" s="90">
        <v>0</v>
      </c>
      <c r="P1226" s="90">
        <v>0</v>
      </c>
      <c r="Q1226" s="90">
        <v>0</v>
      </c>
      <c r="R1226" s="90">
        <v>56371.896629213479</v>
      </c>
    </row>
    <row r="1227" spans="1:18">
      <c r="A1227" s="90" t="s">
        <v>1064</v>
      </c>
      <c r="B1227" s="90" t="s">
        <v>1475</v>
      </c>
      <c r="C1227" s="90" t="str">
        <f t="shared" si="19"/>
        <v>Saint PaulPublic Safety</v>
      </c>
      <c r="D1227" s="90">
        <v>3</v>
      </c>
      <c r="E1227" s="90">
        <v>18894.989999999998</v>
      </c>
      <c r="F1227" s="90">
        <v>2265.1595679041516</v>
      </c>
      <c r="G1227" s="90">
        <v>6778.550724637681</v>
      </c>
      <c r="H1227" s="90">
        <v>100252.92800292965</v>
      </c>
      <c r="I1227" s="90">
        <v>0</v>
      </c>
      <c r="J1227" s="90">
        <v>0</v>
      </c>
      <c r="K1227" s="90">
        <v>0</v>
      </c>
      <c r="L1227" s="90">
        <v>1676.218080249072</v>
      </c>
      <c r="M1227" s="90">
        <v>5016.1275362318838</v>
      </c>
      <c r="N1227" s="90">
        <v>74187.166722167953</v>
      </c>
      <c r="O1227" s="90">
        <v>0</v>
      </c>
      <c r="P1227" s="90">
        <v>0</v>
      </c>
      <c r="Q1227" s="90">
        <v>0</v>
      </c>
      <c r="R1227" s="90">
        <v>132264.93</v>
      </c>
    </row>
    <row r="1228" spans="1:18">
      <c r="A1228" s="90" t="s">
        <v>1064</v>
      </c>
      <c r="B1228" s="90" t="s">
        <v>1485</v>
      </c>
      <c r="C1228" s="90" t="str">
        <f t="shared" si="19"/>
        <v>Saint PaulRetail - Other</v>
      </c>
      <c r="D1228" s="90">
        <v>1</v>
      </c>
      <c r="E1228" s="90">
        <v>13896</v>
      </c>
      <c r="F1228" s="90">
        <v>23081.937680373594</v>
      </c>
      <c r="G1228" s="90">
        <v>0</v>
      </c>
      <c r="H1228" s="90">
        <v>339037.09889239643</v>
      </c>
      <c r="I1228" s="90">
        <v>0</v>
      </c>
      <c r="J1228" s="90">
        <v>0</v>
      </c>
      <c r="K1228" s="90">
        <v>0</v>
      </c>
      <c r="L1228" s="90">
        <v>17080.633883476461</v>
      </c>
      <c r="M1228" s="90">
        <v>0</v>
      </c>
      <c r="N1228" s="90">
        <v>250887.45318037336</v>
      </c>
      <c r="O1228" s="90">
        <v>0</v>
      </c>
      <c r="P1228" s="90">
        <v>0</v>
      </c>
      <c r="Q1228" s="90">
        <v>0</v>
      </c>
      <c r="R1228" s="90">
        <v>97272</v>
      </c>
    </row>
    <row r="1229" spans="1:18">
      <c r="A1229" s="90" t="s">
        <v>1064</v>
      </c>
      <c r="B1229" s="90" t="s">
        <v>951</v>
      </c>
      <c r="C1229" s="90" t="str">
        <f t="shared" si="19"/>
        <v>Saint PaulWarehousing</v>
      </c>
      <c r="D1229" s="90">
        <v>2</v>
      </c>
      <c r="E1229" s="90">
        <v>14818.75</v>
      </c>
      <c r="F1229" s="90">
        <v>5584.9391172346241</v>
      </c>
      <c r="G1229" s="90">
        <v>6623.710144927536</v>
      </c>
      <c r="H1229" s="90">
        <v>199512.2277792751</v>
      </c>
      <c r="I1229" s="90">
        <v>0</v>
      </c>
      <c r="J1229" s="90">
        <v>0</v>
      </c>
      <c r="K1229" s="90">
        <v>0</v>
      </c>
      <c r="L1229" s="90">
        <v>4132.8549467536213</v>
      </c>
      <c r="M1229" s="90">
        <v>4901.5455072463765</v>
      </c>
      <c r="N1229" s="90">
        <v>147639.04855666356</v>
      </c>
      <c r="O1229" s="90">
        <v>0</v>
      </c>
      <c r="P1229" s="90">
        <v>0</v>
      </c>
      <c r="Q1229" s="90">
        <v>0</v>
      </c>
      <c r="R1229" s="90">
        <v>103731.25</v>
      </c>
    </row>
    <row r="1230" spans="1:18">
      <c r="A1230" s="90" t="s">
        <v>1065</v>
      </c>
      <c r="B1230" s="90" t="s">
        <v>1439</v>
      </c>
      <c r="C1230" s="90" t="str">
        <f t="shared" si="19"/>
        <v>SalchaEducation - K - 12</v>
      </c>
      <c r="D1230" s="90">
        <v>1</v>
      </c>
      <c r="E1230" s="90">
        <v>13608</v>
      </c>
      <c r="F1230" s="90">
        <v>9996.8600116123398</v>
      </c>
      <c r="G1230" s="90">
        <v>0</v>
      </c>
      <c r="H1230" s="90">
        <v>96354.462501811984</v>
      </c>
      <c r="I1230" s="90">
        <v>0</v>
      </c>
      <c r="J1230" s="90">
        <v>0</v>
      </c>
      <c r="K1230" s="90">
        <v>0</v>
      </c>
      <c r="L1230" s="90">
        <v>7397.6764085931318</v>
      </c>
      <c r="M1230" s="90">
        <v>0</v>
      </c>
      <c r="N1230" s="90">
        <v>71302.302251340865</v>
      </c>
      <c r="O1230" s="90">
        <v>0</v>
      </c>
      <c r="P1230" s="90">
        <v>0</v>
      </c>
      <c r="Q1230" s="90">
        <v>0</v>
      </c>
      <c r="R1230" s="90">
        <v>95256</v>
      </c>
    </row>
    <row r="1231" spans="1:18">
      <c r="A1231" s="90" t="s">
        <v>227</v>
      </c>
      <c r="B1231" s="90" t="s">
        <v>1439</v>
      </c>
      <c r="C1231" s="90" t="str">
        <f t="shared" si="19"/>
        <v>Sand PointEducation - K - 12</v>
      </c>
      <c r="D1231" s="90">
        <v>1</v>
      </c>
      <c r="E1231" s="90">
        <v>47000</v>
      </c>
      <c r="F1231" s="90">
        <v>38000</v>
      </c>
      <c r="G1231" s="90">
        <v>0</v>
      </c>
      <c r="H1231" s="90">
        <v>301800</v>
      </c>
      <c r="I1231" s="90">
        <v>0</v>
      </c>
      <c r="J1231" s="90">
        <v>0</v>
      </c>
      <c r="K1231" s="90">
        <v>0</v>
      </c>
      <c r="L1231" s="90">
        <v>28120</v>
      </c>
      <c r="M1231" s="90">
        <v>0</v>
      </c>
      <c r="N1231" s="90">
        <v>223332</v>
      </c>
      <c r="O1231" s="90">
        <v>0</v>
      </c>
      <c r="P1231" s="90">
        <v>0</v>
      </c>
      <c r="Q1231" s="90">
        <v>0</v>
      </c>
      <c r="R1231" s="90">
        <v>329000</v>
      </c>
    </row>
    <row r="1232" spans="1:18">
      <c r="A1232" s="90" t="s">
        <v>227</v>
      </c>
      <c r="B1232" s="90" t="s">
        <v>1469</v>
      </c>
      <c r="C1232" s="90" t="str">
        <f t="shared" si="19"/>
        <v>Sand PointFood Service and Drinking Places</v>
      </c>
      <c r="D1232" s="90">
        <v>2</v>
      </c>
      <c r="E1232" s="90">
        <v>9500</v>
      </c>
      <c r="F1232" s="90">
        <v>7118.3486882653697</v>
      </c>
      <c r="G1232" s="90">
        <v>0</v>
      </c>
      <c r="H1232" s="90">
        <v>69322.444246398707</v>
      </c>
      <c r="I1232" s="90">
        <v>0</v>
      </c>
      <c r="J1232" s="90">
        <v>0</v>
      </c>
      <c r="K1232" s="90">
        <v>0</v>
      </c>
      <c r="L1232" s="90">
        <v>5267.5780293163734</v>
      </c>
      <c r="M1232" s="90">
        <v>0</v>
      </c>
      <c r="N1232" s="90">
        <v>51298.60874233504</v>
      </c>
      <c r="O1232" s="90">
        <v>0</v>
      </c>
      <c r="P1232" s="90">
        <v>0</v>
      </c>
      <c r="Q1232" s="90">
        <v>0</v>
      </c>
      <c r="R1232" s="90">
        <v>66500</v>
      </c>
    </row>
    <row r="1233" spans="1:18">
      <c r="A1233" s="90" t="s">
        <v>227</v>
      </c>
      <c r="B1233" s="90" t="s">
        <v>665</v>
      </c>
      <c r="C1233" s="90" t="str">
        <f t="shared" si="19"/>
        <v>Sand PointOffice</v>
      </c>
      <c r="D1233" s="90">
        <v>3</v>
      </c>
      <c r="E1233" s="90">
        <v>9324.169064748201</v>
      </c>
      <c r="F1233" s="90">
        <v>4933.3153857850248</v>
      </c>
      <c r="G1233" s="90">
        <v>0</v>
      </c>
      <c r="H1233" s="90">
        <v>67492.922833147095</v>
      </c>
      <c r="I1233" s="90">
        <v>0</v>
      </c>
      <c r="J1233" s="90">
        <v>0</v>
      </c>
      <c r="K1233" s="90">
        <v>0</v>
      </c>
      <c r="L1233" s="90">
        <v>3650.6533854809177</v>
      </c>
      <c r="M1233" s="90">
        <v>0</v>
      </c>
      <c r="N1233" s="90">
        <v>49944.762896528853</v>
      </c>
      <c r="O1233" s="90">
        <v>0</v>
      </c>
      <c r="P1233" s="90">
        <v>0</v>
      </c>
      <c r="Q1233" s="90">
        <v>0</v>
      </c>
      <c r="R1233" s="90">
        <v>65269.183453237405</v>
      </c>
    </row>
    <row r="1234" spans="1:18">
      <c r="A1234" s="90" t="s">
        <v>227</v>
      </c>
      <c r="B1234" s="90" t="s">
        <v>643</v>
      </c>
      <c r="C1234" s="90" t="str">
        <f t="shared" si="19"/>
        <v>Sand PointOther</v>
      </c>
      <c r="D1234" s="90">
        <v>7</v>
      </c>
      <c r="E1234" s="90">
        <v>32301.145038167939</v>
      </c>
      <c r="F1234" s="90">
        <v>33788.26138509826</v>
      </c>
      <c r="G1234" s="90">
        <v>0</v>
      </c>
      <c r="H1234" s="90">
        <v>239772.79683547639</v>
      </c>
      <c r="I1234" s="90">
        <v>0</v>
      </c>
      <c r="J1234" s="90">
        <v>0</v>
      </c>
      <c r="K1234" s="90">
        <v>0</v>
      </c>
      <c r="L1234" s="90">
        <v>25003.313424972705</v>
      </c>
      <c r="M1234" s="90">
        <v>0</v>
      </c>
      <c r="N1234" s="90">
        <v>177431.86965825257</v>
      </c>
      <c r="O1234" s="90">
        <v>0</v>
      </c>
      <c r="P1234" s="90">
        <v>0</v>
      </c>
      <c r="Q1234" s="90">
        <v>0</v>
      </c>
      <c r="R1234" s="90">
        <v>226108.01526717553</v>
      </c>
    </row>
    <row r="1235" spans="1:18">
      <c r="A1235" s="90" t="s">
        <v>227</v>
      </c>
      <c r="B1235" s="90" t="s">
        <v>1227</v>
      </c>
      <c r="C1235" s="90" t="str">
        <f t="shared" si="19"/>
        <v>Sand PointPublic Assembly</v>
      </c>
      <c r="D1235" s="90">
        <v>2</v>
      </c>
      <c r="E1235" s="90">
        <v>6853.1280898876403</v>
      </c>
      <c r="F1235" s="90">
        <v>4739.6946162247868</v>
      </c>
      <c r="G1235" s="90">
        <v>0</v>
      </c>
      <c r="H1235" s="90">
        <v>31776.759306674339</v>
      </c>
      <c r="I1235" s="90">
        <v>0</v>
      </c>
      <c r="J1235" s="90">
        <v>0</v>
      </c>
      <c r="K1235" s="90">
        <v>0</v>
      </c>
      <c r="L1235" s="90">
        <v>3507.3740160063421</v>
      </c>
      <c r="M1235" s="90">
        <v>0</v>
      </c>
      <c r="N1235" s="90">
        <v>23514.801886939011</v>
      </c>
      <c r="O1235" s="90">
        <v>0</v>
      </c>
      <c r="P1235" s="90">
        <v>0</v>
      </c>
      <c r="Q1235" s="90">
        <v>0</v>
      </c>
      <c r="R1235" s="90">
        <v>47971.896629213479</v>
      </c>
    </row>
    <row r="1236" spans="1:18">
      <c r="A1236" s="90" t="s">
        <v>227</v>
      </c>
      <c r="B1236" s="90" t="s">
        <v>1485</v>
      </c>
      <c r="C1236" s="90" t="str">
        <f t="shared" si="19"/>
        <v>Sand PointRetail - Other</v>
      </c>
      <c r="D1236" s="90">
        <v>2</v>
      </c>
      <c r="E1236" s="90">
        <v>12552.731707317073</v>
      </c>
      <c r="F1236" s="90">
        <v>20850.703151032118</v>
      </c>
      <c r="G1236" s="90">
        <v>0</v>
      </c>
      <c r="H1236" s="90">
        <v>306263.79830335197</v>
      </c>
      <c r="I1236" s="90">
        <v>0</v>
      </c>
      <c r="J1236" s="90">
        <v>0</v>
      </c>
      <c r="K1236" s="90">
        <v>0</v>
      </c>
      <c r="L1236" s="90">
        <v>15429.520331763766</v>
      </c>
      <c r="M1236" s="90">
        <v>0</v>
      </c>
      <c r="N1236" s="90">
        <v>226635.21074448046</v>
      </c>
      <c r="O1236" s="90">
        <v>0</v>
      </c>
      <c r="P1236" s="90">
        <v>0</v>
      </c>
      <c r="Q1236" s="90">
        <v>0</v>
      </c>
      <c r="R1236" s="90">
        <v>87869.121951219509</v>
      </c>
    </row>
    <row r="1237" spans="1:18">
      <c r="A1237" s="90" t="s">
        <v>227</v>
      </c>
      <c r="B1237" s="90" t="s">
        <v>951</v>
      </c>
      <c r="C1237" s="90" t="str">
        <f t="shared" si="19"/>
        <v>Sand PointWarehousing</v>
      </c>
      <c r="D1237" s="90">
        <v>1</v>
      </c>
      <c r="E1237" s="90">
        <v>3378</v>
      </c>
      <c r="F1237" s="90">
        <v>4719.7226277372265</v>
      </c>
      <c r="G1237" s="90">
        <v>0</v>
      </c>
      <c r="H1237" s="90">
        <v>154775.6261148121</v>
      </c>
      <c r="I1237" s="90">
        <v>0</v>
      </c>
      <c r="J1237" s="90">
        <v>0</v>
      </c>
      <c r="K1237" s="90">
        <v>0</v>
      </c>
      <c r="L1237" s="90">
        <v>3492.5947445255474</v>
      </c>
      <c r="M1237" s="90">
        <v>0</v>
      </c>
      <c r="N1237" s="90">
        <v>114533.96332496095</v>
      </c>
      <c r="O1237" s="90">
        <v>0</v>
      </c>
      <c r="P1237" s="90">
        <v>0</v>
      </c>
      <c r="Q1237" s="90">
        <v>0</v>
      </c>
      <c r="R1237" s="90">
        <v>23646</v>
      </c>
    </row>
    <row r="1238" spans="1:18">
      <c r="A1238" s="90" t="s">
        <v>98</v>
      </c>
      <c r="B1238" s="90" t="s">
        <v>1447</v>
      </c>
      <c r="C1238" s="90" t="str">
        <f t="shared" si="19"/>
        <v>SavoongaAccomodation Services</v>
      </c>
      <c r="D1238" s="90">
        <v>1</v>
      </c>
      <c r="E1238" s="90">
        <v>726</v>
      </c>
      <c r="F1238" s="90">
        <v>1040</v>
      </c>
      <c r="G1238" s="90">
        <v>0</v>
      </c>
      <c r="H1238" s="90">
        <v>15826.25732649732</v>
      </c>
      <c r="I1238" s="90">
        <v>0</v>
      </c>
      <c r="J1238" s="90">
        <v>0</v>
      </c>
      <c r="K1238" s="90">
        <v>0</v>
      </c>
      <c r="L1238" s="90">
        <v>769.6</v>
      </c>
      <c r="M1238" s="90">
        <v>0</v>
      </c>
      <c r="N1238" s="90">
        <v>11711.430421608016</v>
      </c>
      <c r="O1238" s="90">
        <v>0</v>
      </c>
      <c r="P1238" s="90">
        <v>0</v>
      </c>
      <c r="Q1238" s="90">
        <v>0</v>
      </c>
      <c r="R1238" s="90">
        <v>5082</v>
      </c>
    </row>
    <row r="1239" spans="1:18">
      <c r="A1239" s="90" t="s">
        <v>98</v>
      </c>
      <c r="B1239" s="90" t="s">
        <v>1439</v>
      </c>
      <c r="C1239" s="90" t="str">
        <f t="shared" si="19"/>
        <v>SavoongaEducation - K - 12</v>
      </c>
      <c r="D1239" s="90">
        <v>4</v>
      </c>
      <c r="E1239" s="90">
        <v>61092</v>
      </c>
      <c r="F1239" s="90">
        <v>69652.614432603703</v>
      </c>
      <c r="G1239" s="90">
        <v>0</v>
      </c>
      <c r="H1239" s="90">
        <v>380873.26258908783</v>
      </c>
      <c r="I1239" s="90">
        <v>0</v>
      </c>
      <c r="J1239" s="90">
        <v>0</v>
      </c>
      <c r="K1239" s="90">
        <v>0</v>
      </c>
      <c r="L1239" s="90">
        <v>51542.934680126738</v>
      </c>
      <c r="M1239" s="90">
        <v>0</v>
      </c>
      <c r="N1239" s="90">
        <v>281846.21431592497</v>
      </c>
      <c r="O1239" s="90">
        <v>0</v>
      </c>
      <c r="P1239" s="90">
        <v>0</v>
      </c>
      <c r="Q1239" s="90">
        <v>0</v>
      </c>
      <c r="R1239" s="90">
        <v>427644</v>
      </c>
    </row>
    <row r="1240" spans="1:18">
      <c r="A1240" s="90" t="s">
        <v>98</v>
      </c>
      <c r="B1240" s="90" t="s">
        <v>1440</v>
      </c>
      <c r="C1240" s="90" t="str">
        <f t="shared" si="19"/>
        <v>SavoongaHealth Care - Hospitals</v>
      </c>
      <c r="D1240" s="90">
        <v>3</v>
      </c>
      <c r="E1240" s="90">
        <v>5796</v>
      </c>
      <c r="F1240" s="90">
        <v>5101.2023729060538</v>
      </c>
      <c r="G1240" s="90">
        <v>0</v>
      </c>
      <c r="H1240" s="90">
        <v>53273.286533558188</v>
      </c>
      <c r="I1240" s="90">
        <v>0</v>
      </c>
      <c r="J1240" s="90">
        <v>0</v>
      </c>
      <c r="K1240" s="90">
        <v>0</v>
      </c>
      <c r="L1240" s="90">
        <v>3774.8897559504794</v>
      </c>
      <c r="M1240" s="90">
        <v>0</v>
      </c>
      <c r="N1240" s="90">
        <v>39422.232034833054</v>
      </c>
      <c r="O1240" s="90">
        <v>0</v>
      </c>
      <c r="P1240" s="90">
        <v>0</v>
      </c>
      <c r="Q1240" s="90">
        <v>0</v>
      </c>
      <c r="R1240" s="90">
        <v>40572</v>
      </c>
    </row>
    <row r="1241" spans="1:18">
      <c r="A1241" s="90" t="s">
        <v>98</v>
      </c>
      <c r="B1241" s="90" t="s">
        <v>665</v>
      </c>
      <c r="C1241" s="90" t="str">
        <f t="shared" si="19"/>
        <v>SavoongaOffice</v>
      </c>
      <c r="D1241" s="90">
        <v>4</v>
      </c>
      <c r="E1241" s="90">
        <v>15281.169064748201</v>
      </c>
      <c r="F1241" s="90">
        <v>9337.4386468506855</v>
      </c>
      <c r="G1241" s="90">
        <v>0</v>
      </c>
      <c r="H1241" s="90">
        <v>86700.132725610776</v>
      </c>
      <c r="I1241" s="90">
        <v>0</v>
      </c>
      <c r="J1241" s="90">
        <v>0</v>
      </c>
      <c r="K1241" s="90">
        <v>0</v>
      </c>
      <c r="L1241" s="90">
        <v>6909.7045986695057</v>
      </c>
      <c r="M1241" s="90">
        <v>0</v>
      </c>
      <c r="N1241" s="90">
        <v>64158.09821695197</v>
      </c>
      <c r="O1241" s="90">
        <v>0</v>
      </c>
      <c r="P1241" s="90">
        <v>0</v>
      </c>
      <c r="Q1241" s="90">
        <v>0</v>
      </c>
      <c r="R1241" s="90">
        <v>106968.18345323741</v>
      </c>
    </row>
    <row r="1242" spans="1:18">
      <c r="A1242" s="90" t="s">
        <v>98</v>
      </c>
      <c r="B1242" s="90" t="s">
        <v>643</v>
      </c>
      <c r="C1242" s="90" t="str">
        <f t="shared" si="19"/>
        <v>SavoongaOther</v>
      </c>
      <c r="D1242" s="90">
        <v>5</v>
      </c>
      <c r="E1242" s="90">
        <v>13412.690839694656</v>
      </c>
      <c r="F1242" s="90">
        <v>13093.080161848047</v>
      </c>
      <c r="G1242" s="90">
        <v>0</v>
      </c>
      <c r="H1242" s="90">
        <v>96865.0071019936</v>
      </c>
      <c r="I1242" s="90">
        <v>0</v>
      </c>
      <c r="J1242" s="90">
        <v>0</v>
      </c>
      <c r="K1242" s="90">
        <v>0</v>
      </c>
      <c r="L1242" s="90">
        <v>9688.8793197675532</v>
      </c>
      <c r="M1242" s="90">
        <v>0</v>
      </c>
      <c r="N1242" s="90">
        <v>71680.105255475268</v>
      </c>
      <c r="O1242" s="90">
        <v>0</v>
      </c>
      <c r="P1242" s="90">
        <v>0</v>
      </c>
      <c r="Q1242" s="90">
        <v>0</v>
      </c>
      <c r="R1242" s="90">
        <v>93888.835877862599</v>
      </c>
    </row>
    <row r="1243" spans="1:18" s="46" customFormat="1">
      <c r="A1243" s="90" t="s">
        <v>98</v>
      </c>
      <c r="B1243" s="90" t="s">
        <v>1227</v>
      </c>
      <c r="C1243" s="90" t="str">
        <f t="shared" si="19"/>
        <v>SavoongaPublic Assembly</v>
      </c>
      <c r="D1243" s="90">
        <v>2</v>
      </c>
      <c r="E1243" s="90">
        <v>4570.5640449438197</v>
      </c>
      <c r="F1243" s="90">
        <v>3161.0495984886784</v>
      </c>
      <c r="G1243" s="90">
        <v>0</v>
      </c>
      <c r="H1243" s="90">
        <v>21192.908062849427</v>
      </c>
      <c r="I1243" s="90">
        <v>0</v>
      </c>
      <c r="J1243" s="90">
        <v>0</v>
      </c>
      <c r="K1243" s="90">
        <v>0</v>
      </c>
      <c r="L1243" s="90">
        <v>2339.1767028816221</v>
      </c>
      <c r="M1243" s="90">
        <v>0</v>
      </c>
      <c r="N1243" s="90">
        <v>15682.751966508575</v>
      </c>
      <c r="O1243" s="90">
        <v>0</v>
      </c>
      <c r="P1243" s="90">
        <v>0</v>
      </c>
      <c r="Q1243" s="90">
        <v>0</v>
      </c>
      <c r="R1243" s="90">
        <v>31993.94831460674</v>
      </c>
    </row>
    <row r="1244" spans="1:18" s="46" customFormat="1">
      <c r="A1244" s="90" t="s">
        <v>98</v>
      </c>
      <c r="B1244" s="90" t="s">
        <v>1475</v>
      </c>
      <c r="C1244" s="90" t="str">
        <f t="shared" si="19"/>
        <v>SavoongaPublic Safety</v>
      </c>
      <c r="D1244" s="90">
        <v>1</v>
      </c>
      <c r="E1244" s="90">
        <v>648</v>
      </c>
      <c r="F1244" s="90">
        <v>1040</v>
      </c>
      <c r="G1244" s="90">
        <v>0</v>
      </c>
      <c r="H1244" s="90">
        <v>5359.013085968254</v>
      </c>
      <c r="I1244" s="90">
        <v>0</v>
      </c>
      <c r="J1244" s="90">
        <v>0</v>
      </c>
      <c r="K1244" s="90">
        <v>0</v>
      </c>
      <c r="L1244" s="90">
        <v>769.6</v>
      </c>
      <c r="M1244" s="90">
        <v>0</v>
      </c>
      <c r="N1244" s="90">
        <v>3965.6696836165079</v>
      </c>
      <c r="O1244" s="90">
        <v>0</v>
      </c>
      <c r="P1244" s="90">
        <v>0</v>
      </c>
      <c r="Q1244" s="90">
        <v>0</v>
      </c>
      <c r="R1244" s="90">
        <v>4536</v>
      </c>
    </row>
    <row r="1245" spans="1:18" s="46" customFormat="1">
      <c r="A1245" s="90" t="s">
        <v>98</v>
      </c>
      <c r="B1245" s="90" t="s">
        <v>1485</v>
      </c>
      <c r="C1245" s="90" t="str">
        <f t="shared" si="19"/>
        <v>SavoongaRetail - Other</v>
      </c>
      <c r="D1245" s="90">
        <v>2</v>
      </c>
      <c r="E1245" s="90">
        <v>11676.365853658535</v>
      </c>
      <c r="F1245" s="90">
        <v>19395.016477215642</v>
      </c>
      <c r="G1245" s="90">
        <v>0</v>
      </c>
      <c r="H1245" s="90">
        <v>284882.06711504248</v>
      </c>
      <c r="I1245" s="90">
        <v>0</v>
      </c>
      <c r="J1245" s="90">
        <v>0</v>
      </c>
      <c r="K1245" s="90">
        <v>0</v>
      </c>
      <c r="L1245" s="90">
        <v>14352.312193139574</v>
      </c>
      <c r="M1245" s="90">
        <v>0</v>
      </c>
      <c r="N1245" s="90">
        <v>210812.72966513142</v>
      </c>
      <c r="O1245" s="90">
        <v>0</v>
      </c>
      <c r="P1245" s="90">
        <v>0</v>
      </c>
      <c r="Q1245" s="90">
        <v>0</v>
      </c>
      <c r="R1245" s="90">
        <v>81734.560975609755</v>
      </c>
    </row>
    <row r="1246" spans="1:18" s="46" customFormat="1">
      <c r="A1246" s="90" t="s">
        <v>98</v>
      </c>
      <c r="B1246" s="90" t="s">
        <v>951</v>
      </c>
      <c r="C1246" s="90" t="str">
        <f t="shared" si="19"/>
        <v>SavoongaWarehousing</v>
      </c>
      <c r="D1246" s="90">
        <v>1</v>
      </c>
      <c r="E1246" s="90">
        <v>260</v>
      </c>
      <c r="F1246" s="90">
        <v>453.77630327531318</v>
      </c>
      <c r="G1246" s="90">
        <v>0</v>
      </c>
      <c r="H1246" s="90">
        <v>11912.866426835744</v>
      </c>
      <c r="I1246" s="90">
        <v>0</v>
      </c>
      <c r="J1246" s="90">
        <v>0</v>
      </c>
      <c r="K1246" s="90">
        <v>0</v>
      </c>
      <c r="L1246" s="90">
        <v>335.79446442373177</v>
      </c>
      <c r="M1246" s="90">
        <v>0</v>
      </c>
      <c r="N1246" s="90">
        <v>8815.5211558584506</v>
      </c>
      <c r="O1246" s="90">
        <v>0</v>
      </c>
      <c r="P1246" s="90">
        <v>0</v>
      </c>
      <c r="Q1246" s="90">
        <v>0</v>
      </c>
      <c r="R1246" s="90">
        <v>1820</v>
      </c>
    </row>
    <row r="1247" spans="1:18">
      <c r="A1247" s="90" t="s">
        <v>1066</v>
      </c>
      <c r="B1247" s="90" t="s">
        <v>665</v>
      </c>
      <c r="C1247" s="90" t="str">
        <f t="shared" si="19"/>
        <v>SaxmanOffice</v>
      </c>
      <c r="D1247" s="90">
        <v>1</v>
      </c>
      <c r="E1247" s="90">
        <v>2555</v>
      </c>
      <c r="F1247" s="90">
        <v>2126.9112141106079</v>
      </c>
      <c r="G1247" s="90">
        <v>0</v>
      </c>
      <c r="H1247" s="90">
        <v>20441.517305333331</v>
      </c>
      <c r="I1247" s="90">
        <v>0</v>
      </c>
      <c r="J1247" s="90">
        <v>0</v>
      </c>
      <c r="K1247" s="90">
        <v>0</v>
      </c>
      <c r="L1247" s="90">
        <v>1573.91429844185</v>
      </c>
      <c r="M1247" s="90">
        <v>0</v>
      </c>
      <c r="N1247" s="90">
        <v>15126.722805946665</v>
      </c>
      <c r="O1247" s="90">
        <v>0</v>
      </c>
      <c r="P1247" s="90">
        <v>0</v>
      </c>
      <c r="Q1247" s="90">
        <v>0</v>
      </c>
      <c r="R1247" s="90">
        <v>17885</v>
      </c>
    </row>
    <row r="1248" spans="1:18">
      <c r="A1248" s="90" t="s">
        <v>99</v>
      </c>
      <c r="B1248" s="90" t="s">
        <v>1439</v>
      </c>
      <c r="C1248" s="90" t="str">
        <f t="shared" si="19"/>
        <v>Scammon BayEducation - K - 12</v>
      </c>
      <c r="D1248" s="90">
        <v>1</v>
      </c>
      <c r="E1248" s="90">
        <v>54247</v>
      </c>
      <c r="F1248" s="90">
        <v>19889.434371289535</v>
      </c>
      <c r="G1248" s="90">
        <v>0</v>
      </c>
      <c r="H1248" s="90">
        <v>311858.80670399999</v>
      </c>
      <c r="I1248" s="90">
        <v>0</v>
      </c>
      <c r="J1248" s="90">
        <v>0</v>
      </c>
      <c r="K1248" s="90">
        <v>0</v>
      </c>
      <c r="L1248" s="90">
        <v>14718.181434754257</v>
      </c>
      <c r="M1248" s="90">
        <v>0</v>
      </c>
      <c r="N1248" s="90">
        <v>230775.51696096</v>
      </c>
      <c r="O1248" s="90">
        <v>0</v>
      </c>
      <c r="P1248" s="90">
        <v>0</v>
      </c>
      <c r="Q1248" s="90">
        <v>0</v>
      </c>
      <c r="R1248" s="90">
        <v>379729</v>
      </c>
    </row>
    <row r="1249" spans="1:18">
      <c r="A1249" s="90" t="s">
        <v>99</v>
      </c>
      <c r="B1249" s="90" t="s">
        <v>665</v>
      </c>
      <c r="C1249" s="90" t="str">
        <f t="shared" si="19"/>
        <v>Scammon BayOffice</v>
      </c>
      <c r="D1249" s="90">
        <v>1</v>
      </c>
      <c r="E1249" s="90">
        <v>480</v>
      </c>
      <c r="F1249" s="90">
        <v>400</v>
      </c>
      <c r="G1249" s="90">
        <v>0</v>
      </c>
      <c r="H1249" s="90">
        <v>2723.3560162812651</v>
      </c>
      <c r="I1249" s="90">
        <v>0</v>
      </c>
      <c r="J1249" s="90">
        <v>0</v>
      </c>
      <c r="K1249" s="90">
        <v>0</v>
      </c>
      <c r="L1249" s="90">
        <v>296</v>
      </c>
      <c r="M1249" s="90">
        <v>0</v>
      </c>
      <c r="N1249" s="90">
        <v>2015.283452048136</v>
      </c>
      <c r="O1249" s="90">
        <v>0</v>
      </c>
      <c r="P1249" s="90">
        <v>0</v>
      </c>
      <c r="Q1249" s="90">
        <v>0</v>
      </c>
      <c r="R1249" s="90">
        <v>3360</v>
      </c>
    </row>
    <row r="1250" spans="1:18">
      <c r="A1250" s="90" t="s">
        <v>99</v>
      </c>
      <c r="B1250" s="90" t="s">
        <v>643</v>
      </c>
      <c r="C1250" s="90" t="str">
        <f t="shared" si="19"/>
        <v>Scammon BayOther</v>
      </c>
      <c r="D1250" s="90">
        <v>1</v>
      </c>
      <c r="E1250" s="90">
        <v>4488.6908396946565</v>
      </c>
      <c r="F1250" s="90">
        <v>4770.6469705090767</v>
      </c>
      <c r="G1250" s="90">
        <v>0</v>
      </c>
      <c r="H1250" s="90">
        <v>33319.746265701258</v>
      </c>
      <c r="I1250" s="90">
        <v>0</v>
      </c>
      <c r="J1250" s="90">
        <v>0</v>
      </c>
      <c r="K1250" s="90">
        <v>0</v>
      </c>
      <c r="L1250" s="90">
        <v>3530.2787581767166</v>
      </c>
      <c r="M1250" s="90">
        <v>0</v>
      </c>
      <c r="N1250" s="90">
        <v>24656.61223661893</v>
      </c>
      <c r="O1250" s="90">
        <v>0</v>
      </c>
      <c r="P1250" s="90">
        <v>0</v>
      </c>
      <c r="Q1250" s="90">
        <v>0</v>
      </c>
      <c r="R1250" s="90">
        <v>31420.835877862595</v>
      </c>
    </row>
    <row r="1251" spans="1:18">
      <c r="A1251" s="90" t="s">
        <v>99</v>
      </c>
      <c r="B1251" s="90" t="s">
        <v>1227</v>
      </c>
      <c r="C1251" s="90" t="str">
        <f t="shared" si="19"/>
        <v>Scammon BayPublic Assembly</v>
      </c>
      <c r="D1251" s="90">
        <v>1</v>
      </c>
      <c r="E1251" s="90">
        <v>4000</v>
      </c>
      <c r="F1251" s="90">
        <v>4500</v>
      </c>
      <c r="G1251" s="90">
        <v>0</v>
      </c>
      <c r="H1251" s="90">
        <v>18547.302131161734</v>
      </c>
      <c r="I1251" s="90">
        <v>0</v>
      </c>
      <c r="J1251" s="90">
        <v>0</v>
      </c>
      <c r="K1251" s="90">
        <v>0</v>
      </c>
      <c r="L1251" s="90">
        <v>3330</v>
      </c>
      <c r="M1251" s="90">
        <v>0</v>
      </c>
      <c r="N1251" s="90">
        <v>13725.003577059682</v>
      </c>
      <c r="O1251" s="90">
        <v>0</v>
      </c>
      <c r="P1251" s="90">
        <v>0</v>
      </c>
      <c r="Q1251" s="90">
        <v>0</v>
      </c>
      <c r="R1251" s="90">
        <v>28000</v>
      </c>
    </row>
    <row r="1252" spans="1:18">
      <c r="A1252" s="90" t="s">
        <v>99</v>
      </c>
      <c r="B1252" s="90" t="s">
        <v>1475</v>
      </c>
      <c r="C1252" s="90" t="str">
        <f t="shared" si="19"/>
        <v>Scammon BayPublic Safety</v>
      </c>
      <c r="D1252" s="90">
        <v>1</v>
      </c>
      <c r="E1252" s="90">
        <v>2400</v>
      </c>
      <c r="F1252" s="90">
        <v>2400</v>
      </c>
      <c r="G1252" s="90">
        <v>0</v>
      </c>
      <c r="H1252" s="90">
        <v>2400</v>
      </c>
      <c r="I1252" s="90">
        <v>0</v>
      </c>
      <c r="J1252" s="90">
        <v>0</v>
      </c>
      <c r="K1252" s="90">
        <v>0</v>
      </c>
      <c r="L1252" s="90">
        <v>1776</v>
      </c>
      <c r="M1252" s="90">
        <v>0</v>
      </c>
      <c r="N1252" s="90">
        <v>1776</v>
      </c>
      <c r="O1252" s="90">
        <v>0</v>
      </c>
      <c r="P1252" s="90">
        <v>0</v>
      </c>
      <c r="Q1252" s="90">
        <v>0</v>
      </c>
      <c r="R1252" s="90">
        <v>16800</v>
      </c>
    </row>
    <row r="1253" spans="1:18">
      <c r="A1253" s="90" t="s">
        <v>99</v>
      </c>
      <c r="B1253" s="90" t="s">
        <v>951</v>
      </c>
      <c r="C1253" s="90" t="str">
        <f t="shared" si="19"/>
        <v>Scammon BayWarehousing</v>
      </c>
      <c r="D1253" s="90">
        <v>2</v>
      </c>
      <c r="E1253" s="90">
        <v>3526.5661764705883</v>
      </c>
      <c r="F1253" s="90">
        <v>6154.8929339022288</v>
      </c>
      <c r="G1253" s="90">
        <v>0</v>
      </c>
      <c r="H1253" s="90">
        <v>161582.73771419603</v>
      </c>
      <c r="I1253" s="90">
        <v>0</v>
      </c>
      <c r="J1253" s="90">
        <v>0</v>
      </c>
      <c r="K1253" s="90">
        <v>0</v>
      </c>
      <c r="L1253" s="90">
        <v>4554.6207710876488</v>
      </c>
      <c r="M1253" s="90">
        <v>0</v>
      </c>
      <c r="N1253" s="90">
        <v>119571.22590850506</v>
      </c>
      <c r="O1253" s="90">
        <v>0</v>
      </c>
      <c r="P1253" s="90">
        <v>0</v>
      </c>
      <c r="Q1253" s="90">
        <v>0</v>
      </c>
      <c r="R1253" s="90">
        <v>24685.963235294119</v>
      </c>
    </row>
    <row r="1254" spans="1:18">
      <c r="A1254" s="90" t="s">
        <v>100</v>
      </c>
      <c r="B1254" s="90" t="s">
        <v>1447</v>
      </c>
      <c r="C1254" s="90" t="str">
        <f t="shared" si="19"/>
        <v>SelawikAccomodation Services</v>
      </c>
      <c r="D1254" s="90">
        <v>1</v>
      </c>
      <c r="E1254" s="90">
        <v>1920</v>
      </c>
      <c r="F1254" s="90">
        <v>1979.5713291348384</v>
      </c>
      <c r="G1254" s="90">
        <v>0</v>
      </c>
      <c r="H1254" s="90">
        <v>41854.564830406132</v>
      </c>
      <c r="I1254" s="90">
        <v>0</v>
      </c>
      <c r="J1254" s="90">
        <v>0</v>
      </c>
      <c r="K1254" s="90">
        <v>0</v>
      </c>
      <c r="L1254" s="90">
        <v>1464.8827835597804</v>
      </c>
      <c r="M1254" s="90">
        <v>0</v>
      </c>
      <c r="N1254" s="90">
        <v>30972.377974500538</v>
      </c>
      <c r="O1254" s="90">
        <v>0</v>
      </c>
      <c r="P1254" s="90">
        <v>0</v>
      </c>
      <c r="Q1254" s="90">
        <v>0</v>
      </c>
      <c r="R1254" s="90">
        <v>13440</v>
      </c>
    </row>
    <row r="1255" spans="1:18">
      <c r="A1255" s="90" t="s">
        <v>100</v>
      </c>
      <c r="B1255" s="90" t="s">
        <v>1439</v>
      </c>
      <c r="C1255" s="90" t="str">
        <f t="shared" si="19"/>
        <v>SelawikEducation - K - 12</v>
      </c>
      <c r="D1255" s="90">
        <v>3</v>
      </c>
      <c r="E1255" s="90">
        <v>54439</v>
      </c>
      <c r="F1255" s="90">
        <v>61075.499930702565</v>
      </c>
      <c r="G1255" s="90">
        <v>0</v>
      </c>
      <c r="H1255" s="90">
        <v>399956.1767418175</v>
      </c>
      <c r="I1255" s="90">
        <v>0</v>
      </c>
      <c r="J1255" s="90">
        <v>0</v>
      </c>
      <c r="K1255" s="90">
        <v>0</v>
      </c>
      <c r="L1255" s="90">
        <v>45195.869948719897</v>
      </c>
      <c r="M1255" s="90">
        <v>0</v>
      </c>
      <c r="N1255" s="90">
        <v>295967.57078894495</v>
      </c>
      <c r="O1255" s="90">
        <v>0</v>
      </c>
      <c r="P1255" s="90">
        <v>0</v>
      </c>
      <c r="Q1255" s="90">
        <v>0</v>
      </c>
      <c r="R1255" s="90">
        <v>381073</v>
      </c>
    </row>
    <row r="1256" spans="1:18">
      <c r="A1256" s="90" t="s">
        <v>100</v>
      </c>
      <c r="B1256" s="90" t="s">
        <v>1440</v>
      </c>
      <c r="C1256" s="90" t="str">
        <f t="shared" si="19"/>
        <v>SelawikHealth Care - Hospitals</v>
      </c>
      <c r="D1256" s="90">
        <v>1</v>
      </c>
      <c r="E1256" s="90">
        <v>7400</v>
      </c>
      <c r="F1256" s="90">
        <v>4677.3586527498164</v>
      </c>
      <c r="G1256" s="90">
        <v>0</v>
      </c>
      <c r="H1256" s="90">
        <v>65237.014164474298</v>
      </c>
      <c r="I1256" s="90">
        <v>0</v>
      </c>
      <c r="J1256" s="90">
        <v>0</v>
      </c>
      <c r="K1256" s="90">
        <v>0</v>
      </c>
      <c r="L1256" s="90">
        <v>3461.245403034864</v>
      </c>
      <c r="M1256" s="90">
        <v>0</v>
      </c>
      <c r="N1256" s="90">
        <v>48275.39048171098</v>
      </c>
      <c r="O1256" s="90">
        <v>0</v>
      </c>
      <c r="P1256" s="90">
        <v>0</v>
      </c>
      <c r="Q1256" s="90">
        <v>0</v>
      </c>
      <c r="R1256" s="90">
        <v>51800</v>
      </c>
    </row>
    <row r="1257" spans="1:18">
      <c r="A1257" s="90" t="s">
        <v>100</v>
      </c>
      <c r="B1257" s="90" t="s">
        <v>665</v>
      </c>
      <c r="C1257" s="90" t="str">
        <f t="shared" si="19"/>
        <v>SelawikOffice</v>
      </c>
      <c r="D1257" s="90">
        <v>4</v>
      </c>
      <c r="E1257" s="90">
        <v>14120</v>
      </c>
      <c r="F1257" s="90">
        <v>11754.202091288367</v>
      </c>
      <c r="G1257" s="90">
        <v>0</v>
      </c>
      <c r="H1257" s="90">
        <v>80112.056145607217</v>
      </c>
      <c r="I1257" s="90">
        <v>0</v>
      </c>
      <c r="J1257" s="90">
        <v>0</v>
      </c>
      <c r="K1257" s="90">
        <v>0</v>
      </c>
      <c r="L1257" s="90">
        <v>8698.109547553393</v>
      </c>
      <c r="M1257" s="90">
        <v>0</v>
      </c>
      <c r="N1257" s="90">
        <v>59282.921547749342</v>
      </c>
      <c r="O1257" s="90">
        <v>0</v>
      </c>
      <c r="P1257" s="90">
        <v>0</v>
      </c>
      <c r="Q1257" s="90">
        <v>0</v>
      </c>
      <c r="R1257" s="90">
        <v>98840</v>
      </c>
    </row>
    <row r="1258" spans="1:18">
      <c r="A1258" s="90" t="s">
        <v>100</v>
      </c>
      <c r="B1258" s="90" t="s">
        <v>643</v>
      </c>
      <c r="C1258" s="90" t="str">
        <f t="shared" si="19"/>
        <v>SelawikOther</v>
      </c>
      <c r="D1258" s="90">
        <v>5</v>
      </c>
      <c r="E1258" s="90">
        <v>3836</v>
      </c>
      <c r="F1258" s="90">
        <v>3701.3145247692555</v>
      </c>
      <c r="G1258" s="90">
        <v>0</v>
      </c>
      <c r="H1258" s="90">
        <v>31802.373551862373</v>
      </c>
      <c r="I1258" s="90">
        <v>0</v>
      </c>
      <c r="J1258" s="90">
        <v>0</v>
      </c>
      <c r="K1258" s="90">
        <v>0</v>
      </c>
      <c r="L1258" s="90">
        <v>2738.9727483292495</v>
      </c>
      <c r="M1258" s="90">
        <v>0</v>
      </c>
      <c r="N1258" s="90">
        <v>23533.756428378154</v>
      </c>
      <c r="O1258" s="90">
        <v>0</v>
      </c>
      <c r="P1258" s="90">
        <v>0</v>
      </c>
      <c r="Q1258" s="90">
        <v>0</v>
      </c>
      <c r="R1258" s="90">
        <v>26852</v>
      </c>
    </row>
    <row r="1259" spans="1:18">
      <c r="A1259" s="90" t="s">
        <v>100</v>
      </c>
      <c r="B1259" s="90" t="s">
        <v>1227</v>
      </c>
      <c r="C1259" s="90" t="str">
        <f t="shared" si="19"/>
        <v>SelawikPublic Assembly</v>
      </c>
      <c r="D1259" s="90">
        <v>2</v>
      </c>
      <c r="E1259" s="90">
        <v>10400</v>
      </c>
      <c r="F1259" s="90">
        <v>7192.7480943298642</v>
      </c>
      <c r="G1259" s="90">
        <v>0</v>
      </c>
      <c r="H1259" s="90">
        <v>48222.985541020505</v>
      </c>
      <c r="I1259" s="90">
        <v>0</v>
      </c>
      <c r="J1259" s="90">
        <v>0</v>
      </c>
      <c r="K1259" s="90">
        <v>0</v>
      </c>
      <c r="L1259" s="90">
        <v>5322.6335898040998</v>
      </c>
      <c r="M1259" s="90">
        <v>0</v>
      </c>
      <c r="N1259" s="90">
        <v>35685.009300355174</v>
      </c>
      <c r="O1259" s="90">
        <v>0</v>
      </c>
      <c r="P1259" s="90">
        <v>0</v>
      </c>
      <c r="Q1259" s="90">
        <v>0</v>
      </c>
      <c r="R1259" s="90">
        <v>72800</v>
      </c>
    </row>
    <row r="1260" spans="1:18">
      <c r="A1260" s="90" t="s">
        <v>100</v>
      </c>
      <c r="B1260" s="90" t="s">
        <v>1485</v>
      </c>
      <c r="C1260" s="90" t="str">
        <f t="shared" si="19"/>
        <v>SelawikRetail - Other</v>
      </c>
      <c r="D1260" s="90">
        <v>2</v>
      </c>
      <c r="E1260" s="90">
        <v>8800</v>
      </c>
      <c r="F1260" s="90">
        <v>14617.231691658581</v>
      </c>
      <c r="G1260" s="90">
        <v>0</v>
      </c>
      <c r="H1260" s="90">
        <v>214703.97742178245</v>
      </c>
      <c r="I1260" s="90">
        <v>0</v>
      </c>
      <c r="J1260" s="90">
        <v>0</v>
      </c>
      <c r="K1260" s="90">
        <v>0</v>
      </c>
      <c r="L1260" s="90">
        <v>10816.751451827349</v>
      </c>
      <c r="M1260" s="90">
        <v>0</v>
      </c>
      <c r="N1260" s="90">
        <v>158880.94329211902</v>
      </c>
      <c r="O1260" s="90">
        <v>0</v>
      </c>
      <c r="P1260" s="90">
        <v>0</v>
      </c>
      <c r="Q1260" s="90">
        <v>0</v>
      </c>
      <c r="R1260" s="90">
        <v>61600</v>
      </c>
    </row>
    <row r="1261" spans="1:18">
      <c r="A1261" s="90" t="s">
        <v>100</v>
      </c>
      <c r="B1261" s="90" t="s">
        <v>951</v>
      </c>
      <c r="C1261" s="90" t="str">
        <f t="shared" si="19"/>
        <v>SelawikWarehousing</v>
      </c>
      <c r="D1261" s="90">
        <v>1</v>
      </c>
      <c r="E1261" s="90">
        <v>1260</v>
      </c>
      <c r="F1261" s="90">
        <v>2199.0697774111331</v>
      </c>
      <c r="G1261" s="90">
        <v>0</v>
      </c>
      <c r="H1261" s="90">
        <v>57731.583453127067</v>
      </c>
      <c r="I1261" s="90">
        <v>0</v>
      </c>
      <c r="J1261" s="90">
        <v>0</v>
      </c>
      <c r="K1261" s="90">
        <v>0</v>
      </c>
      <c r="L1261" s="90">
        <v>1627.3116352842385</v>
      </c>
      <c r="M1261" s="90">
        <v>0</v>
      </c>
      <c r="N1261" s="90">
        <v>42721.37175531403</v>
      </c>
      <c r="O1261" s="90">
        <v>0</v>
      </c>
      <c r="P1261" s="90">
        <v>0</v>
      </c>
      <c r="Q1261" s="90">
        <v>0</v>
      </c>
      <c r="R1261" s="90">
        <v>8820</v>
      </c>
    </row>
    <row r="1262" spans="1:18">
      <c r="A1262" s="90" t="s">
        <v>1067</v>
      </c>
      <c r="B1262" s="90" t="s">
        <v>1447</v>
      </c>
      <c r="C1262" s="90" t="str">
        <f t="shared" si="19"/>
        <v>SeldoviaAccomodation Services</v>
      </c>
      <c r="D1262" s="90">
        <v>1</v>
      </c>
      <c r="E1262" s="90">
        <v>4770.8148148148148</v>
      </c>
      <c r="F1262" s="90">
        <v>2988.4980540000279</v>
      </c>
      <c r="G1262" s="90">
        <v>0</v>
      </c>
      <c r="H1262" s="90">
        <v>35003.910702682631</v>
      </c>
      <c r="I1262" s="90">
        <v>0</v>
      </c>
      <c r="J1262" s="90">
        <v>0</v>
      </c>
      <c r="K1262" s="90">
        <v>0</v>
      </c>
      <c r="L1262" s="90">
        <v>2211.4885599600207</v>
      </c>
      <c r="M1262" s="90">
        <v>0</v>
      </c>
      <c r="N1262" s="90">
        <v>25902.893919985148</v>
      </c>
      <c r="O1262" s="90">
        <v>0</v>
      </c>
      <c r="P1262" s="90">
        <v>0</v>
      </c>
      <c r="Q1262" s="90">
        <v>0</v>
      </c>
      <c r="R1262" s="90">
        <v>33395.703703703701</v>
      </c>
    </row>
    <row r="1263" spans="1:18">
      <c r="A1263" s="90" t="s">
        <v>1067</v>
      </c>
      <c r="B1263" s="90" t="s">
        <v>1439</v>
      </c>
      <c r="C1263" s="90" t="str">
        <f t="shared" si="19"/>
        <v>SeldoviaEducation - K - 12</v>
      </c>
      <c r="D1263" s="90">
        <v>2</v>
      </c>
      <c r="E1263" s="90">
        <v>65708</v>
      </c>
      <c r="F1263" s="90">
        <v>51152.437200289802</v>
      </c>
      <c r="G1263" s="90">
        <v>0</v>
      </c>
      <c r="H1263" s="90">
        <v>423769.08813041745</v>
      </c>
      <c r="I1263" s="90">
        <v>0</v>
      </c>
      <c r="J1263" s="90">
        <v>0</v>
      </c>
      <c r="K1263" s="90">
        <v>0</v>
      </c>
      <c r="L1263" s="90">
        <v>37852.803528214448</v>
      </c>
      <c r="M1263" s="90">
        <v>0</v>
      </c>
      <c r="N1263" s="90">
        <v>313589.12521650892</v>
      </c>
      <c r="O1263" s="90">
        <v>0</v>
      </c>
      <c r="P1263" s="90">
        <v>0</v>
      </c>
      <c r="Q1263" s="90">
        <v>0</v>
      </c>
      <c r="R1263" s="90">
        <v>459956</v>
      </c>
    </row>
    <row r="1264" spans="1:18">
      <c r="A1264" s="90" t="s">
        <v>1067</v>
      </c>
      <c r="B1264" s="90" t="s">
        <v>1469</v>
      </c>
      <c r="C1264" s="90" t="str">
        <f t="shared" si="19"/>
        <v>SeldoviaFood Service and Drinking Places</v>
      </c>
      <c r="D1264" s="90">
        <v>1</v>
      </c>
      <c r="E1264" s="90">
        <v>2640.5384615384614</v>
      </c>
      <c r="F1264" s="90">
        <v>1059.7361025641026</v>
      </c>
      <c r="G1264" s="90">
        <v>0</v>
      </c>
      <c r="H1264" s="90">
        <v>7071.0110453841353</v>
      </c>
      <c r="I1264" s="90">
        <v>0</v>
      </c>
      <c r="J1264" s="90">
        <v>0</v>
      </c>
      <c r="K1264" s="90">
        <v>0</v>
      </c>
      <c r="L1264" s="90">
        <v>784.2047158974359</v>
      </c>
      <c r="M1264" s="90">
        <v>0</v>
      </c>
      <c r="N1264" s="90">
        <v>5232.5481735842604</v>
      </c>
      <c r="O1264" s="90">
        <v>0</v>
      </c>
      <c r="P1264" s="90">
        <v>0</v>
      </c>
      <c r="Q1264" s="90">
        <v>0</v>
      </c>
      <c r="R1264" s="90">
        <v>18483.76923076923</v>
      </c>
    </row>
    <row r="1265" spans="1:18">
      <c r="A1265" s="90" t="s">
        <v>1067</v>
      </c>
      <c r="B1265" s="90" t="s">
        <v>665</v>
      </c>
      <c r="C1265" s="90" t="str">
        <f t="shared" si="19"/>
        <v>SeldoviaOffice</v>
      </c>
      <c r="D1265" s="90">
        <v>2</v>
      </c>
      <c r="E1265" s="90">
        <v>3033.2585034013605</v>
      </c>
      <c r="F1265" s="90">
        <v>3706</v>
      </c>
      <c r="G1265" s="90">
        <v>0</v>
      </c>
      <c r="H1265" s="90">
        <v>27203.661644952717</v>
      </c>
      <c r="I1265" s="90">
        <v>0</v>
      </c>
      <c r="J1265" s="90">
        <v>0</v>
      </c>
      <c r="K1265" s="90">
        <v>0</v>
      </c>
      <c r="L1265" s="90">
        <v>2742.4399999999996</v>
      </c>
      <c r="M1265" s="90">
        <v>0</v>
      </c>
      <c r="N1265" s="90">
        <v>20130.709617265009</v>
      </c>
      <c r="O1265" s="90">
        <v>0</v>
      </c>
      <c r="P1265" s="90">
        <v>0</v>
      </c>
      <c r="Q1265" s="90">
        <v>0</v>
      </c>
      <c r="R1265" s="90">
        <v>21232.809523809523</v>
      </c>
    </row>
    <row r="1266" spans="1:18">
      <c r="A1266" s="90" t="s">
        <v>1067</v>
      </c>
      <c r="B1266" s="90" t="s">
        <v>643</v>
      </c>
      <c r="C1266" s="90" t="str">
        <f t="shared" si="19"/>
        <v>SeldoviaOther</v>
      </c>
      <c r="D1266" s="90">
        <v>4</v>
      </c>
      <c r="E1266" s="90">
        <v>8655.681818181818</v>
      </c>
      <c r="F1266" s="90">
        <v>14204.025593545513</v>
      </c>
      <c r="G1266" s="90">
        <v>0</v>
      </c>
      <c r="H1266" s="90">
        <v>62995.945945858351</v>
      </c>
      <c r="I1266" s="90">
        <v>0</v>
      </c>
      <c r="J1266" s="90">
        <v>0</v>
      </c>
      <c r="K1266" s="90">
        <v>0</v>
      </c>
      <c r="L1266" s="90">
        <v>10510.978939223682</v>
      </c>
      <c r="M1266" s="90">
        <v>0</v>
      </c>
      <c r="N1266" s="90">
        <v>46616.999999935178</v>
      </c>
      <c r="O1266" s="90">
        <v>0</v>
      </c>
      <c r="P1266" s="90">
        <v>0</v>
      </c>
      <c r="Q1266" s="90">
        <v>0</v>
      </c>
      <c r="R1266" s="90">
        <v>60589.772727272728</v>
      </c>
    </row>
    <row r="1267" spans="1:18">
      <c r="A1267" s="90" t="s">
        <v>1067</v>
      </c>
      <c r="B1267" s="90" t="s">
        <v>1227</v>
      </c>
      <c r="C1267" s="90" t="str">
        <f t="shared" si="19"/>
        <v>SeldoviaPublic Assembly</v>
      </c>
      <c r="D1267" s="90">
        <v>3</v>
      </c>
      <c r="E1267" s="90">
        <v>14236.721153846154</v>
      </c>
      <c r="F1267" s="90">
        <v>9650</v>
      </c>
      <c r="G1267" s="90">
        <v>0</v>
      </c>
      <c r="H1267" s="90">
        <v>102017.51561339588</v>
      </c>
      <c r="I1267" s="90">
        <v>0</v>
      </c>
      <c r="J1267" s="90">
        <v>0</v>
      </c>
      <c r="K1267" s="90">
        <v>0</v>
      </c>
      <c r="L1267" s="90">
        <v>7141</v>
      </c>
      <c r="M1267" s="90">
        <v>0</v>
      </c>
      <c r="N1267" s="90">
        <v>75492.961553912959</v>
      </c>
      <c r="O1267" s="90">
        <v>0</v>
      </c>
      <c r="P1267" s="90">
        <v>0</v>
      </c>
      <c r="Q1267" s="90">
        <v>0</v>
      </c>
      <c r="R1267" s="90">
        <v>99657.048076923078</v>
      </c>
    </row>
    <row r="1268" spans="1:18">
      <c r="A1268" s="90" t="s">
        <v>1067</v>
      </c>
      <c r="B1268" s="90" t="s">
        <v>1485</v>
      </c>
      <c r="C1268" s="90" t="str">
        <f t="shared" si="19"/>
        <v>SeldoviaRetail - Other</v>
      </c>
      <c r="D1268" s="90">
        <v>1</v>
      </c>
      <c r="E1268" s="90">
        <v>3500</v>
      </c>
      <c r="F1268" s="90">
        <v>500</v>
      </c>
      <c r="G1268" s="90">
        <v>0</v>
      </c>
      <c r="H1268" s="90">
        <v>82443.335924919491</v>
      </c>
      <c r="I1268" s="90">
        <v>0</v>
      </c>
      <c r="J1268" s="90">
        <v>0</v>
      </c>
      <c r="K1268" s="90">
        <v>0</v>
      </c>
      <c r="L1268" s="90">
        <v>370</v>
      </c>
      <c r="M1268" s="90">
        <v>0</v>
      </c>
      <c r="N1268" s="90">
        <v>61008.068584440422</v>
      </c>
      <c r="O1268" s="90">
        <v>0</v>
      </c>
      <c r="P1268" s="90">
        <v>0</v>
      </c>
      <c r="Q1268" s="90">
        <v>0</v>
      </c>
      <c r="R1268" s="90">
        <v>24500</v>
      </c>
    </row>
    <row r="1269" spans="1:18">
      <c r="A1269" s="90" t="s">
        <v>1067</v>
      </c>
      <c r="B1269" s="90" t="s">
        <v>951</v>
      </c>
      <c r="C1269" s="90" t="str">
        <f t="shared" si="19"/>
        <v>SeldoviaWarehousing</v>
      </c>
      <c r="D1269" s="90">
        <v>1</v>
      </c>
      <c r="E1269" s="90">
        <v>1783.9572649572649</v>
      </c>
      <c r="F1269" s="90">
        <v>2236.2446758544302</v>
      </c>
      <c r="G1269" s="90">
        <v>0</v>
      </c>
      <c r="H1269" s="90">
        <v>21166.918377106285</v>
      </c>
      <c r="I1269" s="90">
        <v>0</v>
      </c>
      <c r="J1269" s="90">
        <v>0</v>
      </c>
      <c r="K1269" s="90">
        <v>0</v>
      </c>
      <c r="L1269" s="90">
        <v>1654.8210601322783</v>
      </c>
      <c r="M1269" s="90">
        <v>0</v>
      </c>
      <c r="N1269" s="90">
        <v>15663.519599058651</v>
      </c>
      <c r="O1269" s="90">
        <v>0</v>
      </c>
      <c r="P1269" s="90">
        <v>0</v>
      </c>
      <c r="Q1269" s="90">
        <v>0</v>
      </c>
      <c r="R1269" s="90">
        <v>12487.700854700854</v>
      </c>
    </row>
    <row r="1270" spans="1:18">
      <c r="A1270" s="90" t="s">
        <v>1068</v>
      </c>
      <c r="B1270" s="90" t="s">
        <v>1439</v>
      </c>
      <c r="C1270" s="90" t="str">
        <f t="shared" si="19"/>
        <v>SewardEducation - K - 12</v>
      </c>
      <c r="D1270" s="90">
        <v>1</v>
      </c>
      <c r="E1270" s="90">
        <v>165072</v>
      </c>
      <c r="F1270" s="90">
        <v>218155.53427604755</v>
      </c>
      <c r="G1270" s="90">
        <v>0</v>
      </c>
      <c r="H1270" s="90">
        <v>1437694.3749627788</v>
      </c>
      <c r="I1270" s="90">
        <v>0</v>
      </c>
      <c r="J1270" s="90">
        <v>0</v>
      </c>
      <c r="K1270" s="90">
        <v>0</v>
      </c>
      <c r="L1270" s="90">
        <v>161435.09536427518</v>
      </c>
      <c r="M1270" s="90">
        <v>0</v>
      </c>
      <c r="N1270" s="90">
        <v>1063893.8374724563</v>
      </c>
      <c r="O1270" s="90">
        <v>0</v>
      </c>
      <c r="P1270" s="90">
        <v>0</v>
      </c>
      <c r="Q1270" s="90">
        <v>0</v>
      </c>
      <c r="R1270" s="90">
        <v>1155504</v>
      </c>
    </row>
    <row r="1271" spans="1:18">
      <c r="A1271" s="90" t="s">
        <v>101</v>
      </c>
      <c r="B1271" s="90" t="s">
        <v>1439</v>
      </c>
      <c r="C1271" s="90" t="str">
        <f t="shared" si="19"/>
        <v>ShagelukEducation - K - 12</v>
      </c>
      <c r="D1271" s="90">
        <v>4</v>
      </c>
      <c r="E1271" s="90">
        <v>16070</v>
      </c>
      <c r="F1271" s="90">
        <v>5053.1190345448204</v>
      </c>
      <c r="G1271" s="90">
        <v>0</v>
      </c>
      <c r="H1271" s="90">
        <v>46480.778679946627</v>
      </c>
      <c r="I1271" s="90">
        <v>0</v>
      </c>
      <c r="J1271" s="90">
        <v>0</v>
      </c>
      <c r="K1271" s="90">
        <v>0</v>
      </c>
      <c r="L1271" s="90">
        <v>3739.3080855631674</v>
      </c>
      <c r="M1271" s="90">
        <v>0</v>
      </c>
      <c r="N1271" s="90">
        <v>34395.776223160508</v>
      </c>
      <c r="O1271" s="90">
        <v>0</v>
      </c>
      <c r="P1271" s="90">
        <v>0</v>
      </c>
      <c r="Q1271" s="90">
        <v>0</v>
      </c>
      <c r="R1271" s="90">
        <v>112490</v>
      </c>
    </row>
    <row r="1272" spans="1:18">
      <c r="A1272" s="90" t="s">
        <v>101</v>
      </c>
      <c r="B1272" s="90" t="s">
        <v>1440</v>
      </c>
      <c r="C1272" s="90" t="str">
        <f t="shared" si="19"/>
        <v>ShagelukHealth Care - Hospitals</v>
      </c>
      <c r="D1272" s="90">
        <v>1</v>
      </c>
      <c r="E1272" s="90">
        <v>1400</v>
      </c>
      <c r="F1272" s="90">
        <v>975.76267122418278</v>
      </c>
      <c r="G1272" s="90">
        <v>0</v>
      </c>
      <c r="H1272" s="90">
        <v>13701.123308999999</v>
      </c>
      <c r="I1272" s="90">
        <v>0</v>
      </c>
      <c r="J1272" s="90">
        <v>0</v>
      </c>
      <c r="K1272" s="90">
        <v>0</v>
      </c>
      <c r="L1272" s="90">
        <v>722.06437670589526</v>
      </c>
      <c r="M1272" s="90">
        <v>0</v>
      </c>
      <c r="N1272" s="90">
        <v>10138.831248659999</v>
      </c>
      <c r="O1272" s="90">
        <v>0</v>
      </c>
      <c r="P1272" s="90">
        <v>0</v>
      </c>
      <c r="Q1272" s="90">
        <v>0</v>
      </c>
      <c r="R1272" s="90">
        <v>9800</v>
      </c>
    </row>
    <row r="1273" spans="1:18">
      <c r="A1273" s="90" t="s">
        <v>101</v>
      </c>
      <c r="B1273" s="90" t="s">
        <v>665</v>
      </c>
      <c r="C1273" s="90" t="str">
        <f t="shared" si="19"/>
        <v>ShagelukOffice</v>
      </c>
      <c r="D1273" s="90">
        <v>2</v>
      </c>
      <c r="E1273" s="90">
        <v>3300</v>
      </c>
      <c r="F1273" s="90">
        <v>4728.2335766423357</v>
      </c>
      <c r="G1273" s="90">
        <v>0</v>
      </c>
      <c r="H1273" s="90">
        <v>26490.175551012384</v>
      </c>
      <c r="I1273" s="90">
        <v>0</v>
      </c>
      <c r="J1273" s="90">
        <v>0</v>
      </c>
      <c r="K1273" s="90">
        <v>0</v>
      </c>
      <c r="L1273" s="90">
        <v>3498.8928467153282</v>
      </c>
      <c r="M1273" s="90">
        <v>0</v>
      </c>
      <c r="N1273" s="90">
        <v>19602.729907749163</v>
      </c>
      <c r="O1273" s="90">
        <v>0</v>
      </c>
      <c r="P1273" s="90">
        <v>0</v>
      </c>
      <c r="Q1273" s="90">
        <v>0</v>
      </c>
      <c r="R1273" s="90">
        <v>23100</v>
      </c>
    </row>
    <row r="1274" spans="1:18">
      <c r="A1274" s="90" t="s">
        <v>101</v>
      </c>
      <c r="B1274" s="90" t="s">
        <v>643</v>
      </c>
      <c r="C1274" s="90" t="str">
        <f t="shared" si="19"/>
        <v>ShagelukOther</v>
      </c>
      <c r="D1274" s="90">
        <v>1</v>
      </c>
      <c r="E1274" s="90">
        <v>96</v>
      </c>
      <c r="F1274" s="90">
        <v>83.027649243199434</v>
      </c>
      <c r="G1274" s="90">
        <v>0</v>
      </c>
      <c r="H1274" s="90">
        <v>698.68682073074876</v>
      </c>
      <c r="I1274" s="90">
        <v>0</v>
      </c>
      <c r="J1274" s="90">
        <v>0</v>
      </c>
      <c r="K1274" s="90">
        <v>0</v>
      </c>
      <c r="L1274" s="90">
        <v>61.44046043996758</v>
      </c>
      <c r="M1274" s="90">
        <v>0</v>
      </c>
      <c r="N1274" s="90">
        <v>517.02824734075409</v>
      </c>
      <c r="O1274" s="90">
        <v>0</v>
      </c>
      <c r="P1274" s="90">
        <v>0</v>
      </c>
      <c r="Q1274" s="90">
        <v>0</v>
      </c>
      <c r="R1274" s="90">
        <v>672</v>
      </c>
    </row>
    <row r="1275" spans="1:18">
      <c r="A1275" s="90" t="s">
        <v>101</v>
      </c>
      <c r="B1275" s="90" t="s">
        <v>1485</v>
      </c>
      <c r="C1275" s="90" t="str">
        <f t="shared" si="19"/>
        <v>ShagelukRetail - Other</v>
      </c>
      <c r="D1275" s="90">
        <v>1</v>
      </c>
      <c r="E1275" s="90">
        <v>2016</v>
      </c>
      <c r="F1275" s="90">
        <v>2131.3917647058825</v>
      </c>
      <c r="G1275" s="90">
        <v>0</v>
      </c>
      <c r="H1275" s="90">
        <v>59719</v>
      </c>
      <c r="I1275" s="90">
        <v>0</v>
      </c>
      <c r="J1275" s="90">
        <v>0</v>
      </c>
      <c r="K1275" s="90">
        <v>0</v>
      </c>
      <c r="L1275" s="90">
        <v>1577.229905882353</v>
      </c>
      <c r="M1275" s="90">
        <v>0</v>
      </c>
      <c r="N1275" s="90">
        <v>44192.06</v>
      </c>
      <c r="O1275" s="90">
        <v>0</v>
      </c>
      <c r="P1275" s="90">
        <v>0</v>
      </c>
      <c r="Q1275" s="90">
        <v>0</v>
      </c>
      <c r="R1275" s="90">
        <v>14112</v>
      </c>
    </row>
    <row r="1276" spans="1:18">
      <c r="A1276" s="90" t="s">
        <v>101</v>
      </c>
      <c r="B1276" s="90" t="s">
        <v>951</v>
      </c>
      <c r="C1276" s="90" t="str">
        <f t="shared" si="19"/>
        <v>ShagelukWarehousing</v>
      </c>
      <c r="D1276" s="90">
        <v>1</v>
      </c>
      <c r="E1276" s="90">
        <v>2000</v>
      </c>
      <c r="F1276" s="90">
        <v>2507.0608133743608</v>
      </c>
      <c r="G1276" s="90">
        <v>0</v>
      </c>
      <c r="H1276" s="90">
        <v>23730.297572586016</v>
      </c>
      <c r="I1276" s="90">
        <v>0</v>
      </c>
      <c r="J1276" s="90">
        <v>0</v>
      </c>
      <c r="K1276" s="90">
        <v>0</v>
      </c>
      <c r="L1276" s="90">
        <v>1855.2250018970269</v>
      </c>
      <c r="M1276" s="90">
        <v>0</v>
      </c>
      <c r="N1276" s="90">
        <v>17560.420203713653</v>
      </c>
      <c r="O1276" s="90">
        <v>0</v>
      </c>
      <c r="P1276" s="90">
        <v>0</v>
      </c>
      <c r="Q1276" s="90">
        <v>0</v>
      </c>
      <c r="R1276" s="90">
        <v>14000</v>
      </c>
    </row>
    <row r="1277" spans="1:18">
      <c r="A1277" s="90" t="s">
        <v>102</v>
      </c>
      <c r="B1277" s="90" t="s">
        <v>1439</v>
      </c>
      <c r="C1277" s="90" t="str">
        <f t="shared" si="19"/>
        <v>ShaktoolikEducation - K - 12</v>
      </c>
      <c r="D1277" s="90">
        <v>4</v>
      </c>
      <c r="E1277" s="90">
        <v>29263.415555555555</v>
      </c>
      <c r="F1277" s="90">
        <v>25489.474580843027</v>
      </c>
      <c r="G1277" s="90">
        <v>0</v>
      </c>
      <c r="H1277" s="90">
        <v>218764.35351469502</v>
      </c>
      <c r="I1277" s="90">
        <v>0</v>
      </c>
      <c r="J1277" s="90">
        <v>0</v>
      </c>
      <c r="K1277" s="90">
        <v>0</v>
      </c>
      <c r="L1277" s="90">
        <v>18862.211189823844</v>
      </c>
      <c r="M1277" s="90">
        <v>0</v>
      </c>
      <c r="N1277" s="90">
        <v>161885.62160087432</v>
      </c>
      <c r="O1277" s="90">
        <v>0</v>
      </c>
      <c r="P1277" s="90">
        <v>0</v>
      </c>
      <c r="Q1277" s="90">
        <v>0</v>
      </c>
      <c r="R1277" s="90">
        <v>204843.90888888889</v>
      </c>
    </row>
    <row r="1278" spans="1:18">
      <c r="A1278" s="90" t="s">
        <v>102</v>
      </c>
      <c r="B1278" s="90" t="s">
        <v>1440</v>
      </c>
      <c r="C1278" s="90" t="str">
        <f t="shared" si="19"/>
        <v>ShaktoolikHealth Care - Hospitals</v>
      </c>
      <c r="D1278" s="90">
        <v>1</v>
      </c>
      <c r="E1278" s="90">
        <v>1793</v>
      </c>
      <c r="F1278" s="90">
        <v>1503</v>
      </c>
      <c r="G1278" s="90">
        <v>0</v>
      </c>
      <c r="H1278" s="90">
        <v>12022</v>
      </c>
      <c r="I1278" s="90">
        <v>0</v>
      </c>
      <c r="J1278" s="90">
        <v>0</v>
      </c>
      <c r="K1278" s="90">
        <v>0</v>
      </c>
      <c r="L1278" s="90">
        <v>1112.22</v>
      </c>
      <c r="M1278" s="90">
        <v>0</v>
      </c>
      <c r="N1278" s="90">
        <v>8896.2800000000007</v>
      </c>
      <c r="O1278" s="90">
        <v>0</v>
      </c>
      <c r="P1278" s="90">
        <v>0</v>
      </c>
      <c r="Q1278" s="90">
        <v>0</v>
      </c>
      <c r="R1278" s="90">
        <v>12551</v>
      </c>
    </row>
    <row r="1279" spans="1:18">
      <c r="A1279" s="90" t="s">
        <v>102</v>
      </c>
      <c r="B1279" s="90" t="s">
        <v>665</v>
      </c>
      <c r="C1279" s="90" t="str">
        <f t="shared" si="19"/>
        <v>ShaktoolikOffice</v>
      </c>
      <c r="D1279" s="90">
        <v>3</v>
      </c>
      <c r="E1279" s="90">
        <v>4664</v>
      </c>
      <c r="F1279" s="90">
        <v>20820</v>
      </c>
      <c r="G1279" s="90">
        <v>0</v>
      </c>
      <c r="H1279" s="90">
        <v>35897.708856829719</v>
      </c>
      <c r="I1279" s="90">
        <v>0</v>
      </c>
      <c r="J1279" s="90">
        <v>0</v>
      </c>
      <c r="K1279" s="90">
        <v>0</v>
      </c>
      <c r="L1279" s="90">
        <v>15406.800000000001</v>
      </c>
      <c r="M1279" s="90">
        <v>0</v>
      </c>
      <c r="N1279" s="90">
        <v>26564.30455405399</v>
      </c>
      <c r="O1279" s="90">
        <v>0</v>
      </c>
      <c r="P1279" s="90">
        <v>0</v>
      </c>
      <c r="Q1279" s="90">
        <v>0</v>
      </c>
      <c r="R1279" s="90">
        <v>32648</v>
      </c>
    </row>
    <row r="1280" spans="1:18">
      <c r="A1280" s="90" t="s">
        <v>102</v>
      </c>
      <c r="B1280" s="90" t="s">
        <v>643</v>
      </c>
      <c r="C1280" s="90" t="str">
        <f t="shared" si="19"/>
        <v>ShaktoolikOther</v>
      </c>
      <c r="D1280" s="90">
        <v>7</v>
      </c>
      <c r="E1280" s="90">
        <v>11453.681818181818</v>
      </c>
      <c r="F1280" s="90">
        <v>9139.7221710601589</v>
      </c>
      <c r="G1280" s="90">
        <v>0</v>
      </c>
      <c r="H1280" s="90">
        <v>84889.424912682691</v>
      </c>
      <c r="I1280" s="90">
        <v>0</v>
      </c>
      <c r="J1280" s="90">
        <v>0</v>
      </c>
      <c r="K1280" s="90">
        <v>0</v>
      </c>
      <c r="L1280" s="90">
        <v>6763.3944065845189</v>
      </c>
      <c r="M1280" s="90">
        <v>0</v>
      </c>
      <c r="N1280" s="90">
        <v>62818.174435385197</v>
      </c>
      <c r="O1280" s="90">
        <v>0</v>
      </c>
      <c r="P1280" s="90">
        <v>0</v>
      </c>
      <c r="Q1280" s="90">
        <v>0</v>
      </c>
      <c r="R1280" s="90">
        <v>80175.772727272735</v>
      </c>
    </row>
    <row r="1281" spans="1:18">
      <c r="A1281" s="90" t="s">
        <v>102</v>
      </c>
      <c r="B1281" s="90" t="s">
        <v>1227</v>
      </c>
      <c r="C1281" s="90" t="str">
        <f t="shared" si="19"/>
        <v>ShaktoolikPublic Assembly</v>
      </c>
      <c r="D1281" s="90">
        <v>5</v>
      </c>
      <c r="E1281" s="90">
        <v>15193.442307692309</v>
      </c>
      <c r="F1281" s="90">
        <v>9312.3604373403923</v>
      </c>
      <c r="G1281" s="90">
        <v>0</v>
      </c>
      <c r="H1281" s="90">
        <v>81101.563567590085</v>
      </c>
      <c r="I1281" s="90">
        <v>0</v>
      </c>
      <c r="J1281" s="90">
        <v>0</v>
      </c>
      <c r="K1281" s="90">
        <v>0</v>
      </c>
      <c r="L1281" s="90">
        <v>6891.1467236318904</v>
      </c>
      <c r="M1281" s="90">
        <v>0</v>
      </c>
      <c r="N1281" s="90">
        <v>60015.157040016667</v>
      </c>
      <c r="O1281" s="90">
        <v>0</v>
      </c>
      <c r="P1281" s="90">
        <v>0</v>
      </c>
      <c r="Q1281" s="90">
        <v>0</v>
      </c>
      <c r="R1281" s="90">
        <v>106354.09615384616</v>
      </c>
    </row>
    <row r="1282" spans="1:18">
      <c r="A1282" s="90" t="s">
        <v>102</v>
      </c>
      <c r="B1282" s="90" t="s">
        <v>1475</v>
      </c>
      <c r="C1282" s="90" t="str">
        <f t="shared" si="19"/>
        <v>ShaktoolikPublic Safety</v>
      </c>
      <c r="D1282" s="90">
        <v>1</v>
      </c>
      <c r="E1282" s="90">
        <v>2595.4749999999999</v>
      </c>
      <c r="F1282" s="90">
        <v>2523.774623927618</v>
      </c>
      <c r="G1282" s="90">
        <v>0</v>
      </c>
      <c r="H1282" s="90">
        <v>20946.642306328533</v>
      </c>
      <c r="I1282" s="90">
        <v>0</v>
      </c>
      <c r="J1282" s="90">
        <v>0</v>
      </c>
      <c r="K1282" s="90">
        <v>0</v>
      </c>
      <c r="L1282" s="90">
        <v>1867.5932217064374</v>
      </c>
      <c r="M1282" s="90">
        <v>0</v>
      </c>
      <c r="N1282" s="90">
        <v>15500.515306683114</v>
      </c>
      <c r="O1282" s="90">
        <v>0</v>
      </c>
      <c r="P1282" s="90">
        <v>0</v>
      </c>
      <c r="Q1282" s="90">
        <v>0</v>
      </c>
      <c r="R1282" s="90">
        <v>18168.325000000001</v>
      </c>
    </row>
    <row r="1283" spans="1:18">
      <c r="A1283" s="90" t="s">
        <v>102</v>
      </c>
      <c r="B1283" s="90" t="s">
        <v>1485</v>
      </c>
      <c r="C1283" s="90" t="str">
        <f t="shared" ref="C1283:C1346" si="20">CONCATENATE(A1283,B1283)</f>
        <v>ShaktoolikRetail - Other</v>
      </c>
      <c r="D1283" s="90">
        <v>1</v>
      </c>
      <c r="E1283" s="90">
        <v>2000</v>
      </c>
      <c r="F1283" s="90">
        <v>2114.4759570494866</v>
      </c>
      <c r="G1283" s="90">
        <v>0</v>
      </c>
      <c r="H1283" s="90">
        <v>59714</v>
      </c>
      <c r="I1283" s="90">
        <v>0</v>
      </c>
      <c r="J1283" s="90">
        <v>0</v>
      </c>
      <c r="K1283" s="90">
        <v>0</v>
      </c>
      <c r="L1283" s="90">
        <v>1564.7122082166202</v>
      </c>
      <c r="M1283" s="90">
        <v>0</v>
      </c>
      <c r="N1283" s="90">
        <v>44188.36</v>
      </c>
      <c r="O1283" s="90">
        <v>0</v>
      </c>
      <c r="P1283" s="90">
        <v>0</v>
      </c>
      <c r="Q1283" s="90">
        <v>0</v>
      </c>
      <c r="R1283" s="90">
        <v>14000</v>
      </c>
    </row>
    <row r="1284" spans="1:18">
      <c r="A1284" s="90" t="s">
        <v>102</v>
      </c>
      <c r="B1284" s="90" t="s">
        <v>951</v>
      </c>
      <c r="C1284" s="90" t="str">
        <f t="shared" si="20"/>
        <v>ShaktoolikWarehousing</v>
      </c>
      <c r="D1284" s="90">
        <v>2</v>
      </c>
      <c r="E1284" s="90">
        <v>5145</v>
      </c>
      <c r="F1284" s="90">
        <v>6449.4139424055438</v>
      </c>
      <c r="G1284" s="90">
        <v>0</v>
      </c>
      <c r="H1284" s="90">
        <v>61046.19050547752</v>
      </c>
      <c r="I1284" s="90">
        <v>0</v>
      </c>
      <c r="J1284" s="90">
        <v>0</v>
      </c>
      <c r="K1284" s="90">
        <v>0</v>
      </c>
      <c r="L1284" s="90">
        <v>4772.5663173801022</v>
      </c>
      <c r="M1284" s="90">
        <v>0</v>
      </c>
      <c r="N1284" s="90">
        <v>45174.180974053364</v>
      </c>
      <c r="O1284" s="90">
        <v>0</v>
      </c>
      <c r="P1284" s="90">
        <v>0</v>
      </c>
      <c r="Q1284" s="90">
        <v>0</v>
      </c>
      <c r="R1284" s="90">
        <v>36015</v>
      </c>
    </row>
    <row r="1285" spans="1:18">
      <c r="A1285" s="90" t="s">
        <v>1491</v>
      </c>
      <c r="B1285" s="90" t="s">
        <v>1439</v>
      </c>
      <c r="C1285" s="90" t="str">
        <f t="shared" si="20"/>
        <v>Sheldon PointEducation - K - 12</v>
      </c>
      <c r="D1285" s="90">
        <v>1</v>
      </c>
      <c r="E1285" s="90">
        <v>26334</v>
      </c>
      <c r="F1285" s="90" t="e">
        <v>#N/A</v>
      </c>
      <c r="G1285" s="90">
        <v>0</v>
      </c>
      <c r="H1285" s="90" t="e">
        <v>#N/A</v>
      </c>
      <c r="I1285" s="90">
        <v>0</v>
      </c>
      <c r="J1285" s="90">
        <v>0</v>
      </c>
      <c r="K1285" s="90">
        <v>0</v>
      </c>
      <c r="L1285" s="90" t="e">
        <v>#N/A</v>
      </c>
      <c r="M1285" s="90">
        <v>0</v>
      </c>
      <c r="N1285" s="90" t="e">
        <v>#N/A</v>
      </c>
      <c r="O1285" s="90">
        <v>0</v>
      </c>
      <c r="P1285" s="90">
        <v>0</v>
      </c>
      <c r="Q1285" s="90">
        <v>0</v>
      </c>
      <c r="R1285" s="90">
        <v>184338</v>
      </c>
    </row>
    <row r="1286" spans="1:18">
      <c r="A1286" s="90" t="s">
        <v>103</v>
      </c>
      <c r="B1286" s="90" t="s">
        <v>1439</v>
      </c>
      <c r="C1286" s="90" t="str">
        <f t="shared" si="20"/>
        <v>ShishmarefEducation - K - 12</v>
      </c>
      <c r="D1286" s="90">
        <v>7</v>
      </c>
      <c r="E1286" s="90">
        <v>51016.223957219248</v>
      </c>
      <c r="F1286" s="90">
        <v>57977.206343842729</v>
      </c>
      <c r="G1286" s="90">
        <v>0</v>
      </c>
      <c r="H1286" s="90">
        <v>414877.39196421159</v>
      </c>
      <c r="I1286" s="90">
        <v>0</v>
      </c>
      <c r="J1286" s="90">
        <v>0</v>
      </c>
      <c r="K1286" s="90">
        <v>0</v>
      </c>
      <c r="L1286" s="90">
        <v>42903.132694443615</v>
      </c>
      <c r="M1286" s="90">
        <v>0</v>
      </c>
      <c r="N1286" s="90">
        <v>307009.27005351643</v>
      </c>
      <c r="O1286" s="90">
        <v>0</v>
      </c>
      <c r="P1286" s="90">
        <v>0</v>
      </c>
      <c r="Q1286" s="90">
        <v>0</v>
      </c>
      <c r="R1286" s="90">
        <v>357113.56770053477</v>
      </c>
    </row>
    <row r="1287" spans="1:18">
      <c r="A1287" s="90" t="s">
        <v>103</v>
      </c>
      <c r="B1287" s="90" t="s">
        <v>1440</v>
      </c>
      <c r="C1287" s="90" t="str">
        <f t="shared" si="20"/>
        <v>ShishmarefHealth Care - Hospitals</v>
      </c>
      <c r="D1287" s="90">
        <v>2</v>
      </c>
      <c r="E1287" s="90">
        <v>7811.1850000000004</v>
      </c>
      <c r="F1287" s="90">
        <v>4937.2586145918349</v>
      </c>
      <c r="G1287" s="90">
        <v>0</v>
      </c>
      <c r="H1287" s="90">
        <v>68861.944119774213</v>
      </c>
      <c r="I1287" s="90">
        <v>0</v>
      </c>
      <c r="J1287" s="90">
        <v>0</v>
      </c>
      <c r="K1287" s="90">
        <v>0</v>
      </c>
      <c r="L1287" s="90">
        <v>3653.5713747979576</v>
      </c>
      <c r="M1287" s="90">
        <v>0</v>
      </c>
      <c r="N1287" s="90">
        <v>50957.838648632918</v>
      </c>
      <c r="O1287" s="90">
        <v>0</v>
      </c>
      <c r="P1287" s="90">
        <v>0</v>
      </c>
      <c r="Q1287" s="90">
        <v>0</v>
      </c>
      <c r="R1287" s="90">
        <v>54678.295000000006</v>
      </c>
    </row>
    <row r="1288" spans="1:18">
      <c r="A1288" s="90" t="s">
        <v>103</v>
      </c>
      <c r="B1288" s="90" t="s">
        <v>665</v>
      </c>
      <c r="C1288" s="90" t="str">
        <f t="shared" si="20"/>
        <v>ShishmarefOffice</v>
      </c>
      <c r="D1288" s="90">
        <v>6</v>
      </c>
      <c r="E1288" s="90">
        <v>15025.845323741007</v>
      </c>
      <c r="F1288" s="90">
        <v>12608.803206297383</v>
      </c>
      <c r="G1288" s="90">
        <v>0</v>
      </c>
      <c r="H1288" s="90">
        <v>85251.513046087057</v>
      </c>
      <c r="I1288" s="90">
        <v>0</v>
      </c>
      <c r="J1288" s="90">
        <v>0</v>
      </c>
      <c r="K1288" s="90">
        <v>0</v>
      </c>
      <c r="L1288" s="90">
        <v>9330.5143726600636</v>
      </c>
      <c r="M1288" s="90">
        <v>0</v>
      </c>
      <c r="N1288" s="90">
        <v>63086.119654104426</v>
      </c>
      <c r="O1288" s="90">
        <v>0</v>
      </c>
      <c r="P1288" s="90">
        <v>0</v>
      </c>
      <c r="Q1288" s="90">
        <v>0</v>
      </c>
      <c r="R1288" s="90">
        <v>105180.91726618704</v>
      </c>
    </row>
    <row r="1289" spans="1:18">
      <c r="A1289" s="90" t="s">
        <v>103</v>
      </c>
      <c r="B1289" s="90" t="s">
        <v>643</v>
      </c>
      <c r="C1289" s="90" t="str">
        <f t="shared" si="20"/>
        <v>ShishmarefOther</v>
      </c>
      <c r="D1289" s="90">
        <v>12</v>
      </c>
      <c r="E1289" s="90">
        <v>34022.835877862599</v>
      </c>
      <c r="F1289" s="90">
        <v>35252.922488564654</v>
      </c>
      <c r="G1289" s="90">
        <v>0</v>
      </c>
      <c r="H1289" s="90">
        <v>247377.99728693021</v>
      </c>
      <c r="I1289" s="90">
        <v>0</v>
      </c>
      <c r="J1289" s="90">
        <v>0</v>
      </c>
      <c r="K1289" s="90">
        <v>0</v>
      </c>
      <c r="L1289" s="90">
        <v>26087.162641537834</v>
      </c>
      <c r="M1289" s="90">
        <v>0</v>
      </c>
      <c r="N1289" s="90">
        <v>183059.71799232837</v>
      </c>
      <c r="O1289" s="90">
        <v>0</v>
      </c>
      <c r="P1289" s="90">
        <v>0</v>
      </c>
      <c r="Q1289" s="90">
        <v>0</v>
      </c>
      <c r="R1289" s="90">
        <v>238159.85114503815</v>
      </c>
    </row>
    <row r="1290" spans="1:18">
      <c r="A1290" s="90" t="s">
        <v>103</v>
      </c>
      <c r="B1290" s="90" t="s">
        <v>1227</v>
      </c>
      <c r="C1290" s="90" t="str">
        <f t="shared" si="20"/>
        <v>ShishmarefPublic Assembly</v>
      </c>
      <c r="D1290" s="90">
        <v>4</v>
      </c>
      <c r="E1290" s="90">
        <v>13279.692134831461</v>
      </c>
      <c r="F1290" s="90">
        <v>11609.54192433718</v>
      </c>
      <c r="G1290" s="90">
        <v>0</v>
      </c>
      <c r="H1290" s="90">
        <v>58465.138960011507</v>
      </c>
      <c r="I1290" s="90">
        <v>0</v>
      </c>
      <c r="J1290" s="90">
        <v>0</v>
      </c>
      <c r="K1290" s="90">
        <v>0</v>
      </c>
      <c r="L1290" s="90">
        <v>8591.061024009512</v>
      </c>
      <c r="M1290" s="90">
        <v>0</v>
      </c>
      <c r="N1290" s="90">
        <v>43264.202830408518</v>
      </c>
      <c r="O1290" s="90">
        <v>0</v>
      </c>
      <c r="P1290" s="90">
        <v>0</v>
      </c>
      <c r="Q1290" s="90">
        <v>0</v>
      </c>
      <c r="R1290" s="90">
        <v>92957.844943820222</v>
      </c>
    </row>
    <row r="1291" spans="1:18">
      <c r="A1291" s="90" t="s">
        <v>103</v>
      </c>
      <c r="B1291" s="90" t="s">
        <v>1485</v>
      </c>
      <c r="C1291" s="90" t="str">
        <f t="shared" si="20"/>
        <v>ShishmarefRetail - Other</v>
      </c>
      <c r="D1291" s="90">
        <v>2</v>
      </c>
      <c r="E1291" s="90">
        <v>9636.3658536585353</v>
      </c>
      <c r="F1291" s="90">
        <v>16006.476403240245</v>
      </c>
      <c r="G1291" s="90">
        <v>0</v>
      </c>
      <c r="H1291" s="90">
        <v>307871.89915167599</v>
      </c>
      <c r="I1291" s="90">
        <v>0</v>
      </c>
      <c r="J1291" s="90">
        <v>0</v>
      </c>
      <c r="K1291" s="90">
        <v>0</v>
      </c>
      <c r="L1291" s="90">
        <v>11844.792538397782</v>
      </c>
      <c r="M1291" s="90">
        <v>0</v>
      </c>
      <c r="N1291" s="90">
        <v>227825.20537224022</v>
      </c>
      <c r="O1291" s="90">
        <v>0</v>
      </c>
      <c r="P1291" s="90">
        <v>0</v>
      </c>
      <c r="Q1291" s="90">
        <v>0</v>
      </c>
      <c r="R1291" s="90">
        <v>67454.560975609755</v>
      </c>
    </row>
    <row r="1292" spans="1:18">
      <c r="A1292" s="90" t="s">
        <v>103</v>
      </c>
      <c r="B1292" s="90" t="s">
        <v>951</v>
      </c>
      <c r="C1292" s="90" t="str">
        <f t="shared" si="20"/>
        <v>ShishmarefWarehousing</v>
      </c>
      <c r="D1292" s="90">
        <v>2</v>
      </c>
      <c r="E1292" s="90">
        <v>2000</v>
      </c>
      <c r="F1292" s="90">
        <v>3490.5869482716398</v>
      </c>
      <c r="G1292" s="90">
        <v>0</v>
      </c>
      <c r="H1292" s="90">
        <v>91637.434052582656</v>
      </c>
      <c r="I1292" s="90">
        <v>0</v>
      </c>
      <c r="J1292" s="90">
        <v>0</v>
      </c>
      <c r="K1292" s="90">
        <v>0</v>
      </c>
      <c r="L1292" s="90">
        <v>2583.0343417210133</v>
      </c>
      <c r="M1292" s="90">
        <v>0</v>
      </c>
      <c r="N1292" s="90">
        <v>67811.701198911163</v>
      </c>
      <c r="O1292" s="90">
        <v>0</v>
      </c>
      <c r="P1292" s="90">
        <v>0</v>
      </c>
      <c r="Q1292" s="90">
        <v>0</v>
      </c>
      <c r="R1292" s="90">
        <v>14000</v>
      </c>
    </row>
    <row r="1293" spans="1:18">
      <c r="A1293" s="90" t="s">
        <v>32</v>
      </c>
      <c r="B1293" s="90" t="s">
        <v>1439</v>
      </c>
      <c r="C1293" s="90" t="str">
        <f t="shared" si="20"/>
        <v>ShungnakEducation - K - 12</v>
      </c>
      <c r="D1293" s="90">
        <v>1</v>
      </c>
      <c r="E1293" s="90">
        <v>22228</v>
      </c>
      <c r="F1293" s="90">
        <v>30000</v>
      </c>
      <c r="G1293" s="90">
        <v>0</v>
      </c>
      <c r="H1293" s="90">
        <v>224611</v>
      </c>
      <c r="I1293" s="90">
        <v>0</v>
      </c>
      <c r="J1293" s="90">
        <v>0</v>
      </c>
      <c r="K1293" s="90">
        <v>0</v>
      </c>
      <c r="L1293" s="90">
        <v>22200</v>
      </c>
      <c r="M1293" s="90">
        <v>0</v>
      </c>
      <c r="N1293" s="90">
        <v>166212.13999999998</v>
      </c>
      <c r="O1293" s="90">
        <v>0</v>
      </c>
      <c r="P1293" s="90">
        <v>0</v>
      </c>
      <c r="Q1293" s="90">
        <v>0</v>
      </c>
      <c r="R1293" s="90">
        <v>155596</v>
      </c>
    </row>
    <row r="1294" spans="1:18">
      <c r="A1294" s="90" t="s">
        <v>32</v>
      </c>
      <c r="B1294" s="90" t="s">
        <v>1469</v>
      </c>
      <c r="C1294" s="90" t="str">
        <f t="shared" si="20"/>
        <v>ShungnakFood Service and Drinking Places</v>
      </c>
      <c r="D1294" s="90">
        <v>1</v>
      </c>
      <c r="E1294" s="90">
        <v>2640.5384615384614</v>
      </c>
      <c r="F1294" s="90">
        <v>1059.7361025641026</v>
      </c>
      <c r="G1294" s="90">
        <v>0</v>
      </c>
      <c r="H1294" s="90">
        <v>7071.0110453841353</v>
      </c>
      <c r="I1294" s="90">
        <v>0</v>
      </c>
      <c r="J1294" s="90">
        <v>0</v>
      </c>
      <c r="K1294" s="90">
        <v>0</v>
      </c>
      <c r="L1294" s="90">
        <v>784.2047158974359</v>
      </c>
      <c r="M1294" s="90">
        <v>0</v>
      </c>
      <c r="N1294" s="90">
        <v>5232.5481735842604</v>
      </c>
      <c r="O1294" s="90">
        <v>0</v>
      </c>
      <c r="P1294" s="90">
        <v>0</v>
      </c>
      <c r="Q1294" s="90">
        <v>0</v>
      </c>
      <c r="R1294" s="90">
        <v>18483.76923076923</v>
      </c>
    </row>
    <row r="1295" spans="1:18">
      <c r="A1295" s="90" t="s">
        <v>32</v>
      </c>
      <c r="B1295" s="90" t="s">
        <v>1440</v>
      </c>
      <c r="C1295" s="90" t="str">
        <f t="shared" si="20"/>
        <v>ShungnakHealth Care - Hospitals</v>
      </c>
      <c r="D1295" s="90">
        <v>2</v>
      </c>
      <c r="E1295" s="90">
        <v>7256.9250000000002</v>
      </c>
      <c r="F1295" s="90">
        <v>5573.0165476804559</v>
      </c>
      <c r="G1295" s="90">
        <v>0</v>
      </c>
      <c r="H1295" s="90">
        <v>48177.563262470372</v>
      </c>
      <c r="I1295" s="90">
        <v>0</v>
      </c>
      <c r="J1295" s="90">
        <v>0</v>
      </c>
      <c r="K1295" s="90">
        <v>0</v>
      </c>
      <c r="L1295" s="90">
        <v>4124.032245283538</v>
      </c>
      <c r="M1295" s="90">
        <v>0</v>
      </c>
      <c r="N1295" s="90">
        <v>35651.396814228072</v>
      </c>
      <c r="O1295" s="90">
        <v>0</v>
      </c>
      <c r="P1295" s="90">
        <v>0</v>
      </c>
      <c r="Q1295" s="90">
        <v>0</v>
      </c>
      <c r="R1295" s="90">
        <v>50798.475000000006</v>
      </c>
    </row>
    <row r="1296" spans="1:18">
      <c r="A1296" s="90" t="s">
        <v>32</v>
      </c>
      <c r="B1296" s="90" t="s">
        <v>665</v>
      </c>
      <c r="C1296" s="90" t="str">
        <f t="shared" si="20"/>
        <v>ShungnakOffice</v>
      </c>
      <c r="D1296" s="90">
        <v>1</v>
      </c>
      <c r="E1296" s="90">
        <v>2033.2585034013605</v>
      </c>
      <c r="F1296" s="90">
        <v>2145</v>
      </c>
      <c r="G1296" s="90">
        <v>0</v>
      </c>
      <c r="H1296" s="90">
        <v>16298.661644952717</v>
      </c>
      <c r="I1296" s="90">
        <v>0</v>
      </c>
      <c r="J1296" s="90">
        <v>0</v>
      </c>
      <c r="K1296" s="90">
        <v>0</v>
      </c>
      <c r="L1296" s="90">
        <v>1587.3</v>
      </c>
      <c r="M1296" s="90">
        <v>0</v>
      </c>
      <c r="N1296" s="90">
        <v>12061.00961726501</v>
      </c>
      <c r="O1296" s="90">
        <v>0</v>
      </c>
      <c r="P1296" s="90">
        <v>0</v>
      </c>
      <c r="Q1296" s="90">
        <v>0</v>
      </c>
      <c r="R1296" s="90">
        <v>14232.809523809523</v>
      </c>
    </row>
    <row r="1297" spans="1:18">
      <c r="A1297" s="90" t="s">
        <v>32</v>
      </c>
      <c r="B1297" s="90" t="s">
        <v>643</v>
      </c>
      <c r="C1297" s="90" t="str">
        <f t="shared" si="20"/>
        <v>ShungnakOther</v>
      </c>
      <c r="D1297" s="90">
        <v>2</v>
      </c>
      <c r="E1297" s="90">
        <v>256</v>
      </c>
      <c r="F1297" s="90">
        <v>1101.8830650403688</v>
      </c>
      <c r="G1297" s="90">
        <v>0</v>
      </c>
      <c r="H1297" s="90">
        <v>4033.5038555512483</v>
      </c>
      <c r="I1297" s="90">
        <v>0</v>
      </c>
      <c r="J1297" s="90">
        <v>0</v>
      </c>
      <c r="K1297" s="90">
        <v>0</v>
      </c>
      <c r="L1297" s="90">
        <v>815.39346812987299</v>
      </c>
      <c r="M1297" s="90">
        <v>0</v>
      </c>
      <c r="N1297" s="90">
        <v>2984.7928531079237</v>
      </c>
      <c r="O1297" s="90">
        <v>0</v>
      </c>
      <c r="P1297" s="90">
        <v>0</v>
      </c>
      <c r="Q1297" s="90">
        <v>0</v>
      </c>
      <c r="R1297" s="90">
        <v>1792</v>
      </c>
    </row>
    <row r="1298" spans="1:18">
      <c r="A1298" s="90" t="s">
        <v>32</v>
      </c>
      <c r="B1298" s="90" t="s">
        <v>1227</v>
      </c>
      <c r="C1298" s="90" t="str">
        <f t="shared" si="20"/>
        <v>ShungnakPublic Assembly</v>
      </c>
      <c r="D1298" s="90">
        <v>1</v>
      </c>
      <c r="E1298" s="90">
        <v>3136.7211538461538</v>
      </c>
      <c r="F1298" s="90">
        <v>1957.1809414995873</v>
      </c>
      <c r="G1298" s="90">
        <v>0</v>
      </c>
      <c r="H1298" s="90">
        <v>11799.515613395884</v>
      </c>
      <c r="I1298" s="90">
        <v>0</v>
      </c>
      <c r="J1298" s="90">
        <v>0</v>
      </c>
      <c r="K1298" s="90">
        <v>0</v>
      </c>
      <c r="L1298" s="90">
        <v>1448.3138967096945</v>
      </c>
      <c r="M1298" s="90">
        <v>0</v>
      </c>
      <c r="N1298" s="90">
        <v>8731.6415539129539</v>
      </c>
      <c r="O1298" s="90">
        <v>0</v>
      </c>
      <c r="P1298" s="90">
        <v>0</v>
      </c>
      <c r="Q1298" s="90">
        <v>0</v>
      </c>
      <c r="R1298" s="90">
        <v>21957.048076923078</v>
      </c>
    </row>
    <row r="1299" spans="1:18">
      <c r="A1299" s="90" t="s">
        <v>32</v>
      </c>
      <c r="B1299" s="90" t="s">
        <v>1485</v>
      </c>
      <c r="C1299" s="90" t="str">
        <f t="shared" si="20"/>
        <v>ShungnakRetail - Other</v>
      </c>
      <c r="D1299" s="90">
        <v>1</v>
      </c>
      <c r="E1299" s="90">
        <v>3220</v>
      </c>
      <c r="F1299" s="90">
        <v>3404.3062908496731</v>
      </c>
      <c r="G1299" s="90">
        <v>0</v>
      </c>
      <c r="H1299" s="90">
        <v>73124</v>
      </c>
      <c r="I1299" s="90">
        <v>0</v>
      </c>
      <c r="J1299" s="90">
        <v>0</v>
      </c>
      <c r="K1299" s="90">
        <v>0</v>
      </c>
      <c r="L1299" s="90">
        <v>2519.1866552287579</v>
      </c>
      <c r="M1299" s="90">
        <v>0</v>
      </c>
      <c r="N1299" s="90">
        <v>54111.76</v>
      </c>
      <c r="O1299" s="90">
        <v>0</v>
      </c>
      <c r="P1299" s="90">
        <v>0</v>
      </c>
      <c r="Q1299" s="90">
        <v>0</v>
      </c>
      <c r="R1299" s="90">
        <v>22540</v>
      </c>
    </row>
    <row r="1300" spans="1:18">
      <c r="A1300" s="90" t="s">
        <v>32</v>
      </c>
      <c r="B1300" s="90" t="s">
        <v>951</v>
      </c>
      <c r="C1300" s="90" t="str">
        <f t="shared" si="20"/>
        <v>ShungnakWarehousing</v>
      </c>
      <c r="D1300" s="90">
        <v>1</v>
      </c>
      <c r="E1300" s="90">
        <v>2000</v>
      </c>
      <c r="F1300" s="90">
        <v>2507.0608133743608</v>
      </c>
      <c r="G1300" s="90">
        <v>0</v>
      </c>
      <c r="H1300" s="90">
        <v>23730.297572586016</v>
      </c>
      <c r="I1300" s="90">
        <v>0</v>
      </c>
      <c r="J1300" s="90">
        <v>0</v>
      </c>
      <c r="K1300" s="90">
        <v>0</v>
      </c>
      <c r="L1300" s="90">
        <v>1855.2250018970269</v>
      </c>
      <c r="M1300" s="90">
        <v>0</v>
      </c>
      <c r="N1300" s="90">
        <v>17560.420203713653</v>
      </c>
      <c r="O1300" s="90">
        <v>0</v>
      </c>
      <c r="P1300" s="90">
        <v>0</v>
      </c>
      <c r="Q1300" s="90">
        <v>0</v>
      </c>
      <c r="R1300" s="90">
        <v>14000</v>
      </c>
    </row>
    <row r="1301" spans="1:18">
      <c r="A1301" s="90" t="s">
        <v>1168</v>
      </c>
      <c r="B1301" s="90" t="s">
        <v>1469</v>
      </c>
      <c r="C1301" s="90" t="str">
        <f t="shared" si="20"/>
        <v>Silver SpringsFood Service and Drinking Places</v>
      </c>
      <c r="D1301" s="90">
        <v>1</v>
      </c>
      <c r="E1301" s="90">
        <v>2640.5384615384614</v>
      </c>
      <c r="F1301" s="90">
        <v>1059.7361025641026</v>
      </c>
      <c r="G1301" s="90">
        <v>0</v>
      </c>
      <c r="H1301" s="90">
        <v>7071.0110453841353</v>
      </c>
      <c r="I1301" s="90">
        <v>0</v>
      </c>
      <c r="J1301" s="90">
        <v>0</v>
      </c>
      <c r="K1301" s="90">
        <v>0</v>
      </c>
      <c r="L1301" s="90">
        <v>784.2047158974359</v>
      </c>
      <c r="M1301" s="90">
        <v>0</v>
      </c>
      <c r="N1301" s="90">
        <v>5232.5481735842604</v>
      </c>
      <c r="O1301" s="90">
        <v>0</v>
      </c>
      <c r="P1301" s="90">
        <v>0</v>
      </c>
      <c r="Q1301" s="90">
        <v>0</v>
      </c>
      <c r="R1301" s="90">
        <v>18483.76923076923</v>
      </c>
    </row>
    <row r="1302" spans="1:18">
      <c r="A1302" s="90" t="s">
        <v>1168</v>
      </c>
      <c r="B1302" s="90" t="s">
        <v>1227</v>
      </c>
      <c r="C1302" s="90" t="str">
        <f t="shared" si="20"/>
        <v>Silver SpringsPublic Assembly</v>
      </c>
      <c r="D1302" s="90">
        <v>2</v>
      </c>
      <c r="E1302" s="90">
        <v>4000</v>
      </c>
      <c r="F1302" s="90">
        <v>3410.4981929265218</v>
      </c>
      <c r="G1302" s="90">
        <v>0</v>
      </c>
      <c r="H1302" s="90">
        <v>15046.942376663188</v>
      </c>
      <c r="I1302" s="90">
        <v>0</v>
      </c>
      <c r="J1302" s="90">
        <v>0</v>
      </c>
      <c r="K1302" s="90">
        <v>0</v>
      </c>
      <c r="L1302" s="90">
        <v>2523.7686627656258</v>
      </c>
      <c r="M1302" s="90">
        <v>0</v>
      </c>
      <c r="N1302" s="90">
        <v>11134.737358730759</v>
      </c>
      <c r="O1302" s="90">
        <v>0</v>
      </c>
      <c r="P1302" s="90">
        <v>0</v>
      </c>
      <c r="Q1302" s="90">
        <v>0</v>
      </c>
      <c r="R1302" s="90">
        <v>28000</v>
      </c>
    </row>
    <row r="1303" spans="1:18">
      <c r="A1303" s="90" t="s">
        <v>551</v>
      </c>
      <c r="B1303" s="90" t="s">
        <v>1447</v>
      </c>
      <c r="C1303" s="90" t="str">
        <f t="shared" si="20"/>
        <v>SitkaAccomodation Services</v>
      </c>
      <c r="D1303" s="90">
        <v>4</v>
      </c>
      <c r="E1303" s="90">
        <v>37414</v>
      </c>
      <c r="F1303" s="90">
        <v>31005.71582279916</v>
      </c>
      <c r="G1303" s="90">
        <v>0</v>
      </c>
      <c r="H1303" s="90">
        <v>545053.61054808984</v>
      </c>
      <c r="I1303" s="90">
        <v>0</v>
      </c>
      <c r="J1303" s="90">
        <v>0</v>
      </c>
      <c r="K1303" s="90">
        <v>0</v>
      </c>
      <c r="L1303" s="90">
        <v>22944.229708871379</v>
      </c>
      <c r="M1303" s="90">
        <v>0</v>
      </c>
      <c r="N1303" s="90">
        <v>403339.67180558643</v>
      </c>
      <c r="O1303" s="90">
        <v>0</v>
      </c>
      <c r="P1303" s="90">
        <v>0</v>
      </c>
      <c r="Q1303" s="90">
        <v>0</v>
      </c>
      <c r="R1303" s="90">
        <v>261898</v>
      </c>
    </row>
    <row r="1304" spans="1:18">
      <c r="A1304" s="90" t="s">
        <v>551</v>
      </c>
      <c r="B1304" s="90" t="s">
        <v>1439</v>
      </c>
      <c r="C1304" s="90" t="str">
        <f t="shared" si="20"/>
        <v>SitkaEducation - K - 12</v>
      </c>
      <c r="D1304" s="90">
        <v>6</v>
      </c>
      <c r="E1304" s="90">
        <v>357412</v>
      </c>
      <c r="F1304" s="90">
        <v>493941.58569775079</v>
      </c>
      <c r="G1304" s="90">
        <v>0</v>
      </c>
      <c r="H1304" s="90">
        <v>2633839.2728106324</v>
      </c>
      <c r="I1304" s="90">
        <v>0</v>
      </c>
      <c r="J1304" s="90">
        <v>0</v>
      </c>
      <c r="K1304" s="90">
        <v>0</v>
      </c>
      <c r="L1304" s="90">
        <v>365516.77341633558</v>
      </c>
      <c r="M1304" s="90">
        <v>0</v>
      </c>
      <c r="N1304" s="90">
        <v>1949041.0618798679</v>
      </c>
      <c r="O1304" s="90">
        <v>0</v>
      </c>
      <c r="P1304" s="90">
        <v>0</v>
      </c>
      <c r="Q1304" s="90">
        <v>0</v>
      </c>
      <c r="R1304" s="90">
        <v>2501884</v>
      </c>
    </row>
    <row r="1305" spans="1:18">
      <c r="A1305" s="90" t="s">
        <v>551</v>
      </c>
      <c r="B1305" s="90" t="s">
        <v>1450</v>
      </c>
      <c r="C1305" s="90" t="str">
        <f t="shared" si="20"/>
        <v>SitkaEducation - University</v>
      </c>
      <c r="D1305" s="90">
        <v>1</v>
      </c>
      <c r="E1305" s="90">
        <v>68058</v>
      </c>
      <c r="F1305" s="90">
        <v>14094.522500000001</v>
      </c>
      <c r="G1305" s="90">
        <v>0</v>
      </c>
      <c r="H1305" s="90">
        <v>504392.53949200001</v>
      </c>
      <c r="I1305" s="90">
        <v>0</v>
      </c>
      <c r="J1305" s="90">
        <v>0</v>
      </c>
      <c r="K1305" s="90">
        <v>0</v>
      </c>
      <c r="L1305" s="90">
        <v>10429.94665</v>
      </c>
      <c r="M1305" s="90">
        <v>0</v>
      </c>
      <c r="N1305" s="90">
        <v>373250.47922407999</v>
      </c>
      <c r="O1305" s="90">
        <v>0</v>
      </c>
      <c r="P1305" s="90">
        <v>0</v>
      </c>
      <c r="Q1305" s="90">
        <v>0</v>
      </c>
      <c r="R1305" s="90">
        <v>476406</v>
      </c>
    </row>
    <row r="1306" spans="1:18">
      <c r="A1306" s="90" t="s">
        <v>551</v>
      </c>
      <c r="B1306" s="90" t="s">
        <v>1469</v>
      </c>
      <c r="C1306" s="90" t="str">
        <f t="shared" si="20"/>
        <v>SitkaFood Service and Drinking Places</v>
      </c>
      <c r="D1306" s="90">
        <v>10</v>
      </c>
      <c r="E1306" s="90">
        <v>89671</v>
      </c>
      <c r="F1306" s="90">
        <v>98392.974503602221</v>
      </c>
      <c r="G1306" s="90">
        <v>0</v>
      </c>
      <c r="H1306" s="90">
        <v>974750.62703149696</v>
      </c>
      <c r="I1306" s="90">
        <v>0</v>
      </c>
      <c r="J1306" s="90">
        <v>0</v>
      </c>
      <c r="K1306" s="90">
        <v>0</v>
      </c>
      <c r="L1306" s="90">
        <v>72810.801132665656</v>
      </c>
      <c r="M1306" s="90">
        <v>0</v>
      </c>
      <c r="N1306" s="90">
        <v>721315.46400330774</v>
      </c>
      <c r="O1306" s="90">
        <v>0</v>
      </c>
      <c r="P1306" s="90">
        <v>0</v>
      </c>
      <c r="Q1306" s="90">
        <v>0</v>
      </c>
      <c r="R1306" s="90">
        <v>627697</v>
      </c>
    </row>
    <row r="1307" spans="1:18">
      <c r="A1307" s="90" t="s">
        <v>551</v>
      </c>
      <c r="B1307" s="90" t="s">
        <v>1440</v>
      </c>
      <c r="C1307" s="90" t="str">
        <f t="shared" si="20"/>
        <v>SitkaHealth Care - Hospitals</v>
      </c>
      <c r="D1307" s="90">
        <v>3</v>
      </c>
      <c r="E1307" s="90">
        <v>11060</v>
      </c>
      <c r="F1307" s="90">
        <v>7160.8802060970374</v>
      </c>
      <c r="G1307" s="90">
        <v>0</v>
      </c>
      <c r="H1307" s="90">
        <v>60768.786965333136</v>
      </c>
      <c r="I1307" s="90">
        <v>0</v>
      </c>
      <c r="J1307" s="90">
        <v>0</v>
      </c>
      <c r="K1307" s="90">
        <v>0</v>
      </c>
      <c r="L1307" s="90">
        <v>5299.0513525118076</v>
      </c>
      <c r="M1307" s="90">
        <v>0</v>
      </c>
      <c r="N1307" s="90">
        <v>44968.902354346523</v>
      </c>
      <c r="O1307" s="90">
        <v>0</v>
      </c>
      <c r="P1307" s="90">
        <v>0</v>
      </c>
      <c r="Q1307" s="90">
        <v>0</v>
      </c>
      <c r="R1307" s="90">
        <v>77420</v>
      </c>
    </row>
    <row r="1308" spans="1:18">
      <c r="A1308" s="90" t="s">
        <v>551</v>
      </c>
      <c r="B1308" s="90" t="s">
        <v>1444</v>
      </c>
      <c r="C1308" s="90" t="str">
        <f t="shared" si="20"/>
        <v>SitkaHealth Care - Nursing/Residential Care</v>
      </c>
      <c r="D1308" s="90">
        <v>2</v>
      </c>
      <c r="E1308" s="90">
        <v>86325</v>
      </c>
      <c r="F1308" s="90">
        <v>32325.964157937495</v>
      </c>
      <c r="G1308" s="90">
        <v>0</v>
      </c>
      <c r="H1308" s="90">
        <v>794190.64765149995</v>
      </c>
      <c r="I1308" s="90">
        <v>0</v>
      </c>
      <c r="J1308" s="90">
        <v>0</v>
      </c>
      <c r="K1308" s="90">
        <v>0</v>
      </c>
      <c r="L1308" s="90">
        <v>23921.213476873745</v>
      </c>
      <c r="M1308" s="90">
        <v>0</v>
      </c>
      <c r="N1308" s="90">
        <v>587701.07926210994</v>
      </c>
      <c r="O1308" s="90">
        <v>0</v>
      </c>
      <c r="P1308" s="90">
        <v>0</v>
      </c>
      <c r="Q1308" s="90">
        <v>0</v>
      </c>
      <c r="R1308" s="90">
        <v>604275</v>
      </c>
    </row>
    <row r="1309" spans="1:18">
      <c r="A1309" s="90" t="s">
        <v>551</v>
      </c>
      <c r="B1309" s="90" t="s">
        <v>665</v>
      </c>
      <c r="C1309" s="90" t="str">
        <f t="shared" si="20"/>
        <v>SitkaOffice</v>
      </c>
      <c r="D1309" s="90">
        <v>11</v>
      </c>
      <c r="E1309" s="90">
        <v>72038</v>
      </c>
      <c r="F1309" s="90">
        <v>30807.522024348542</v>
      </c>
      <c r="G1309" s="90">
        <v>0</v>
      </c>
      <c r="H1309" s="90">
        <v>781992.73446611245</v>
      </c>
      <c r="I1309" s="90">
        <v>0</v>
      </c>
      <c r="J1309" s="90">
        <v>0</v>
      </c>
      <c r="K1309" s="90">
        <v>0</v>
      </c>
      <c r="L1309" s="90">
        <v>22797.566298017919</v>
      </c>
      <c r="M1309" s="90">
        <v>0</v>
      </c>
      <c r="N1309" s="90">
        <v>578674.62350492319</v>
      </c>
      <c r="O1309" s="90">
        <v>0</v>
      </c>
      <c r="P1309" s="90">
        <v>0</v>
      </c>
      <c r="Q1309" s="90">
        <v>0</v>
      </c>
      <c r="R1309" s="90">
        <v>504266</v>
      </c>
    </row>
    <row r="1310" spans="1:18">
      <c r="A1310" s="90" t="s">
        <v>551</v>
      </c>
      <c r="B1310" s="90" t="s">
        <v>643</v>
      </c>
      <c r="C1310" s="90" t="str">
        <f t="shared" si="20"/>
        <v>SitkaOther</v>
      </c>
      <c r="D1310" s="90">
        <v>237</v>
      </c>
      <c r="E1310" s="90">
        <v>1395380</v>
      </c>
      <c r="F1310" s="90">
        <v>817643.1194690218</v>
      </c>
      <c r="G1310" s="90">
        <v>0</v>
      </c>
      <c r="H1310" s="90">
        <v>13261694.305888034</v>
      </c>
      <c r="I1310" s="90">
        <v>0</v>
      </c>
      <c r="J1310" s="90">
        <v>0</v>
      </c>
      <c r="K1310" s="90">
        <v>0</v>
      </c>
      <c r="L1310" s="90">
        <v>605055.90840707533</v>
      </c>
      <c r="M1310" s="90">
        <v>0</v>
      </c>
      <c r="N1310" s="90">
        <v>9813653.7863571513</v>
      </c>
      <c r="O1310" s="90">
        <v>0</v>
      </c>
      <c r="P1310" s="90">
        <v>0</v>
      </c>
      <c r="Q1310" s="90">
        <v>0</v>
      </c>
      <c r="R1310" s="90">
        <v>9767660</v>
      </c>
    </row>
    <row r="1311" spans="1:18">
      <c r="A1311" s="90" t="s">
        <v>551</v>
      </c>
      <c r="B1311" s="90" t="s">
        <v>1227</v>
      </c>
      <c r="C1311" s="90" t="str">
        <f t="shared" si="20"/>
        <v>SitkaPublic Assembly</v>
      </c>
      <c r="D1311" s="90">
        <v>14</v>
      </c>
      <c r="E1311" s="90">
        <v>236851</v>
      </c>
      <c r="F1311" s="90">
        <v>237377.93013587294</v>
      </c>
      <c r="G1311" s="90">
        <v>0</v>
      </c>
      <c r="H1311" s="90">
        <v>3648157.3871246893</v>
      </c>
      <c r="I1311" s="90">
        <v>0</v>
      </c>
      <c r="J1311" s="90">
        <v>0</v>
      </c>
      <c r="K1311" s="90">
        <v>0</v>
      </c>
      <c r="L1311" s="90">
        <v>175659.66830054598</v>
      </c>
      <c r="M1311" s="90">
        <v>0</v>
      </c>
      <c r="N1311" s="90">
        <v>2699636.46647227</v>
      </c>
      <c r="O1311" s="90">
        <v>0</v>
      </c>
      <c r="P1311" s="90">
        <v>0</v>
      </c>
      <c r="Q1311" s="90">
        <v>0</v>
      </c>
      <c r="R1311" s="90">
        <v>1657957</v>
      </c>
    </row>
    <row r="1312" spans="1:18">
      <c r="A1312" s="90" t="s">
        <v>551</v>
      </c>
      <c r="B1312" s="90" t="s">
        <v>1475</v>
      </c>
      <c r="C1312" s="90" t="str">
        <f t="shared" si="20"/>
        <v>SitkaPublic Safety</v>
      </c>
      <c r="D1312" s="90">
        <v>4</v>
      </c>
      <c r="E1312" s="90">
        <v>46093.666666666664</v>
      </c>
      <c r="F1312" s="90">
        <v>22082.409907552112</v>
      </c>
      <c r="G1312" s="90">
        <v>0</v>
      </c>
      <c r="H1312" s="90">
        <v>532202.75910238165</v>
      </c>
      <c r="I1312" s="90">
        <v>0</v>
      </c>
      <c r="J1312" s="90">
        <v>538.05836065573772</v>
      </c>
      <c r="K1312" s="90">
        <v>0</v>
      </c>
      <c r="L1312" s="90">
        <v>16340.983331588564</v>
      </c>
      <c r="M1312" s="90">
        <v>0</v>
      </c>
      <c r="N1312" s="90">
        <v>393830.04173576238</v>
      </c>
      <c r="O1312" s="90">
        <v>0</v>
      </c>
      <c r="P1312" s="90">
        <v>398.16318688524592</v>
      </c>
      <c r="Q1312" s="90">
        <v>0</v>
      </c>
      <c r="R1312" s="90">
        <v>322655.66666666663</v>
      </c>
    </row>
    <row r="1313" spans="1:18">
      <c r="A1313" s="90" t="s">
        <v>551</v>
      </c>
      <c r="B1313" s="90" t="s">
        <v>1442</v>
      </c>
      <c r="C1313" s="90" t="str">
        <f t="shared" si="20"/>
        <v>SitkaResidential - Multi-Family</v>
      </c>
      <c r="D1313" s="90">
        <v>6</v>
      </c>
      <c r="E1313" s="90">
        <v>102480</v>
      </c>
      <c r="F1313" s="90">
        <v>62604.15350028385</v>
      </c>
      <c r="G1313" s="90">
        <v>0</v>
      </c>
      <c r="H1313" s="90">
        <v>762520.3699347619</v>
      </c>
      <c r="I1313" s="90">
        <v>0</v>
      </c>
      <c r="J1313" s="90">
        <v>0</v>
      </c>
      <c r="K1313" s="90">
        <v>0</v>
      </c>
      <c r="L1313" s="90">
        <v>46327.073590210057</v>
      </c>
      <c r="M1313" s="90">
        <v>0</v>
      </c>
      <c r="N1313" s="90">
        <v>564265.07375172386</v>
      </c>
      <c r="O1313" s="90">
        <v>0</v>
      </c>
      <c r="P1313" s="90">
        <v>0</v>
      </c>
      <c r="Q1313" s="90">
        <v>0</v>
      </c>
      <c r="R1313" s="90">
        <v>717360</v>
      </c>
    </row>
    <row r="1314" spans="1:18">
      <c r="A1314" s="90" t="s">
        <v>551</v>
      </c>
      <c r="B1314" s="90" t="s">
        <v>1485</v>
      </c>
      <c r="C1314" s="90" t="str">
        <f t="shared" si="20"/>
        <v>SitkaRetail - Other</v>
      </c>
      <c r="D1314" s="90">
        <v>3</v>
      </c>
      <c r="E1314" s="90">
        <v>4176</v>
      </c>
      <c r="F1314" s="90">
        <v>1402.1591550880323</v>
      </c>
      <c r="G1314" s="90">
        <v>0</v>
      </c>
      <c r="H1314" s="90">
        <v>17952.183146779793</v>
      </c>
      <c r="I1314" s="90">
        <v>0</v>
      </c>
      <c r="J1314" s="90">
        <v>0</v>
      </c>
      <c r="K1314" s="90">
        <v>0</v>
      </c>
      <c r="L1314" s="90">
        <v>1037.5977747651439</v>
      </c>
      <c r="M1314" s="90">
        <v>0</v>
      </c>
      <c r="N1314" s="90">
        <v>13284.615528617047</v>
      </c>
      <c r="O1314" s="90">
        <v>0</v>
      </c>
      <c r="P1314" s="90">
        <v>0</v>
      </c>
      <c r="Q1314" s="90">
        <v>0</v>
      </c>
      <c r="R1314" s="90">
        <v>29232</v>
      </c>
    </row>
    <row r="1315" spans="1:18">
      <c r="A1315" s="90" t="s">
        <v>551</v>
      </c>
      <c r="B1315" s="90" t="s">
        <v>951</v>
      </c>
      <c r="C1315" s="90" t="str">
        <f t="shared" si="20"/>
        <v>SitkaWarehousing</v>
      </c>
      <c r="D1315" s="90">
        <v>1</v>
      </c>
      <c r="E1315" s="90">
        <v>12316</v>
      </c>
      <c r="F1315" s="90">
        <v>18466.757458108033</v>
      </c>
      <c r="G1315" s="90">
        <v>0</v>
      </c>
      <c r="H1315" s="90">
        <v>355217.2456738943</v>
      </c>
      <c r="I1315" s="90">
        <v>0</v>
      </c>
      <c r="J1315" s="90">
        <v>0</v>
      </c>
      <c r="K1315" s="90">
        <v>0</v>
      </c>
      <c r="L1315" s="90">
        <v>13665.400518999944</v>
      </c>
      <c r="M1315" s="90">
        <v>0</v>
      </c>
      <c r="N1315" s="90">
        <v>262860.76179868181</v>
      </c>
      <c r="O1315" s="90">
        <v>0</v>
      </c>
      <c r="P1315" s="90">
        <v>0</v>
      </c>
      <c r="Q1315" s="90">
        <v>0</v>
      </c>
      <c r="R1315" s="90">
        <v>86212</v>
      </c>
    </row>
    <row r="1316" spans="1:18">
      <c r="A1316" s="90" t="s">
        <v>20</v>
      </c>
      <c r="B1316" s="90" t="s">
        <v>1447</v>
      </c>
      <c r="C1316" s="90" t="str">
        <f t="shared" si="20"/>
        <v>SkagwayAccomodation Services</v>
      </c>
      <c r="D1316" s="90">
        <v>1</v>
      </c>
      <c r="E1316" s="90">
        <v>7260.0625</v>
      </c>
      <c r="F1316" s="90">
        <v>7485.3185274619782</v>
      </c>
      <c r="G1316" s="90">
        <v>0</v>
      </c>
      <c r="H1316" s="90">
        <v>158263.93571825544</v>
      </c>
      <c r="I1316" s="90">
        <v>0</v>
      </c>
      <c r="J1316" s="90">
        <v>0</v>
      </c>
      <c r="K1316" s="90">
        <v>0</v>
      </c>
      <c r="L1316" s="90">
        <v>5539.1357103218634</v>
      </c>
      <c r="M1316" s="90">
        <v>0</v>
      </c>
      <c r="N1316" s="90">
        <v>117115.31243150902</v>
      </c>
      <c r="O1316" s="90">
        <v>0</v>
      </c>
      <c r="P1316" s="90">
        <v>0</v>
      </c>
      <c r="Q1316" s="90">
        <v>0</v>
      </c>
      <c r="R1316" s="90">
        <v>50820.4375</v>
      </c>
    </row>
    <row r="1317" spans="1:18">
      <c r="A1317" s="90" t="s">
        <v>20</v>
      </c>
      <c r="B1317" s="90" t="s">
        <v>1439</v>
      </c>
      <c r="C1317" s="90" t="str">
        <f t="shared" si="20"/>
        <v>SkagwayEducation - K - 12</v>
      </c>
      <c r="D1317" s="90">
        <v>1</v>
      </c>
      <c r="E1317" s="90">
        <v>39500</v>
      </c>
      <c r="F1317" s="90">
        <v>7992.6481751824822</v>
      </c>
      <c r="G1317" s="90">
        <v>0</v>
      </c>
      <c r="H1317" s="90">
        <v>151868.03346666667</v>
      </c>
      <c r="I1317" s="90">
        <v>0</v>
      </c>
      <c r="J1317" s="90">
        <v>0</v>
      </c>
      <c r="K1317" s="90">
        <v>0</v>
      </c>
      <c r="L1317" s="90">
        <v>5914.5596496350372</v>
      </c>
      <c r="M1317" s="90">
        <v>0</v>
      </c>
      <c r="N1317" s="90">
        <v>112382.34476533334</v>
      </c>
      <c r="O1317" s="90">
        <v>0</v>
      </c>
      <c r="P1317" s="90">
        <v>0</v>
      </c>
      <c r="Q1317" s="90">
        <v>0</v>
      </c>
      <c r="R1317" s="90">
        <v>276500</v>
      </c>
    </row>
    <row r="1318" spans="1:18">
      <c r="A1318" s="90" t="s">
        <v>20</v>
      </c>
      <c r="B1318" s="90" t="s">
        <v>1444</v>
      </c>
      <c r="C1318" s="90" t="str">
        <f t="shared" si="20"/>
        <v>SkagwayHealth Care - Nursing/Residential Care</v>
      </c>
      <c r="D1318" s="90">
        <v>1</v>
      </c>
      <c r="E1318" s="90">
        <v>13541</v>
      </c>
      <c r="F1318" s="90">
        <v>2810.4919708029197</v>
      </c>
      <c r="G1318" s="90">
        <v>0</v>
      </c>
      <c r="H1318" s="90">
        <v>51040.459359999993</v>
      </c>
      <c r="I1318" s="90">
        <v>0</v>
      </c>
      <c r="J1318" s="90">
        <v>0</v>
      </c>
      <c r="K1318" s="90">
        <v>0</v>
      </c>
      <c r="L1318" s="90">
        <v>2079.7640583941607</v>
      </c>
      <c r="M1318" s="90">
        <v>0</v>
      </c>
      <c r="N1318" s="90">
        <v>37769.939926399995</v>
      </c>
      <c r="O1318" s="90">
        <v>0</v>
      </c>
      <c r="P1318" s="90">
        <v>0</v>
      </c>
      <c r="Q1318" s="90">
        <v>0</v>
      </c>
      <c r="R1318" s="90">
        <v>94787</v>
      </c>
    </row>
    <row r="1319" spans="1:18">
      <c r="A1319" s="90" t="s">
        <v>20</v>
      </c>
      <c r="B1319" s="90" t="s">
        <v>665</v>
      </c>
      <c r="C1319" s="90" t="str">
        <f t="shared" si="20"/>
        <v>SkagwayOffice</v>
      </c>
      <c r="D1319" s="90">
        <v>4</v>
      </c>
      <c r="E1319" s="90">
        <v>13440.338129496402</v>
      </c>
      <c r="F1319" s="90">
        <v>12796.651209526251</v>
      </c>
      <c r="G1319" s="90">
        <v>0</v>
      </c>
      <c r="H1319" s="90">
        <v>140621.89814829419</v>
      </c>
      <c r="I1319" s="90">
        <v>0</v>
      </c>
      <c r="J1319" s="90">
        <v>0</v>
      </c>
      <c r="K1319" s="90">
        <v>0</v>
      </c>
      <c r="L1319" s="90">
        <v>9469.5218950494273</v>
      </c>
      <c r="M1319" s="90">
        <v>0</v>
      </c>
      <c r="N1319" s="90">
        <v>104060.20462973771</v>
      </c>
      <c r="O1319" s="90">
        <v>0</v>
      </c>
      <c r="P1319" s="90">
        <v>0</v>
      </c>
      <c r="Q1319" s="90">
        <v>0</v>
      </c>
      <c r="R1319" s="90">
        <v>94082.36690647481</v>
      </c>
    </row>
    <row r="1320" spans="1:18">
      <c r="A1320" s="90" t="s">
        <v>20</v>
      </c>
      <c r="B1320" s="90" t="s">
        <v>643</v>
      </c>
      <c r="C1320" s="90" t="str">
        <f t="shared" si="20"/>
        <v>SkagwayOther</v>
      </c>
      <c r="D1320" s="90">
        <v>12</v>
      </c>
      <c r="E1320" s="90">
        <v>52098.217557251905</v>
      </c>
      <c r="F1320" s="90">
        <v>48623.223939255098</v>
      </c>
      <c r="G1320" s="90">
        <v>0</v>
      </c>
      <c r="H1320" s="90">
        <v>409731.24810760509</v>
      </c>
      <c r="I1320" s="90">
        <v>22588.921599999998</v>
      </c>
      <c r="J1320" s="90">
        <v>0</v>
      </c>
      <c r="K1320" s="90">
        <v>0</v>
      </c>
      <c r="L1320" s="90">
        <v>35981.18571504877</v>
      </c>
      <c r="M1320" s="90">
        <v>0</v>
      </c>
      <c r="N1320" s="90">
        <v>303201.12359962781</v>
      </c>
      <c r="O1320" s="90">
        <v>16715.801983999998</v>
      </c>
      <c r="P1320" s="90">
        <v>0</v>
      </c>
      <c r="Q1320" s="90">
        <v>0</v>
      </c>
      <c r="R1320" s="90">
        <v>364687.52290076332</v>
      </c>
    </row>
    <row r="1321" spans="1:18">
      <c r="A1321" s="90" t="s">
        <v>20</v>
      </c>
      <c r="B1321" s="90" t="s">
        <v>1227</v>
      </c>
      <c r="C1321" s="90" t="str">
        <f t="shared" si="20"/>
        <v>SkagwayPublic Assembly</v>
      </c>
      <c r="D1321" s="90">
        <v>6</v>
      </c>
      <c r="E1321" s="90">
        <v>26367.692134831461</v>
      </c>
      <c r="F1321" s="90">
        <v>21081.163822147395</v>
      </c>
      <c r="G1321" s="90">
        <v>0</v>
      </c>
      <c r="H1321" s="90">
        <v>193751.45372501152</v>
      </c>
      <c r="I1321" s="90">
        <v>0</v>
      </c>
      <c r="J1321" s="90">
        <v>0</v>
      </c>
      <c r="K1321" s="90">
        <v>0</v>
      </c>
      <c r="L1321" s="90">
        <v>15600.061228389075</v>
      </c>
      <c r="M1321" s="90">
        <v>0</v>
      </c>
      <c r="N1321" s="90">
        <v>143376.07575650854</v>
      </c>
      <c r="O1321" s="90">
        <v>0</v>
      </c>
      <c r="P1321" s="90">
        <v>0</v>
      </c>
      <c r="Q1321" s="90">
        <v>0</v>
      </c>
      <c r="R1321" s="90">
        <v>184573.84494382021</v>
      </c>
    </row>
    <row r="1322" spans="1:18">
      <c r="A1322" s="90" t="s">
        <v>20</v>
      </c>
      <c r="B1322" s="90" t="s">
        <v>1475</v>
      </c>
      <c r="C1322" s="90" t="str">
        <f t="shared" si="20"/>
        <v>SkagwayPublic Safety</v>
      </c>
      <c r="D1322" s="90">
        <v>2</v>
      </c>
      <c r="E1322" s="90">
        <v>4697.4089393939394</v>
      </c>
      <c r="F1322" s="90">
        <v>2157.9782127365806</v>
      </c>
      <c r="G1322" s="90">
        <v>0</v>
      </c>
      <c r="H1322" s="90">
        <v>76486.780514555358</v>
      </c>
      <c r="I1322" s="90">
        <v>0</v>
      </c>
      <c r="J1322" s="90">
        <v>0</v>
      </c>
      <c r="K1322" s="90">
        <v>0</v>
      </c>
      <c r="L1322" s="90">
        <v>1596.9038774250694</v>
      </c>
      <c r="M1322" s="90">
        <v>0</v>
      </c>
      <c r="N1322" s="90">
        <v>56600.217580770957</v>
      </c>
      <c r="O1322" s="90">
        <v>0</v>
      </c>
      <c r="P1322" s="90">
        <v>0</v>
      </c>
      <c r="Q1322" s="90">
        <v>0</v>
      </c>
      <c r="R1322" s="90">
        <v>32881.862575757579</v>
      </c>
    </row>
    <row r="1323" spans="1:18">
      <c r="A1323" s="90" t="s">
        <v>20</v>
      </c>
      <c r="B1323" s="90" t="s">
        <v>951</v>
      </c>
      <c r="C1323" s="90" t="str">
        <f t="shared" si="20"/>
        <v>SkagwayWarehousing</v>
      </c>
      <c r="D1323" s="90">
        <v>1</v>
      </c>
      <c r="E1323" s="90">
        <v>2200</v>
      </c>
      <c r="F1323" s="90">
        <v>994.4802919708028</v>
      </c>
      <c r="G1323" s="90">
        <v>0</v>
      </c>
      <c r="H1323" s="90">
        <v>341843.07655999996</v>
      </c>
      <c r="I1323" s="90">
        <v>8491.2099999999991</v>
      </c>
      <c r="J1323" s="90">
        <v>0</v>
      </c>
      <c r="K1323" s="90">
        <v>0</v>
      </c>
      <c r="L1323" s="90">
        <v>735.91541605839404</v>
      </c>
      <c r="M1323" s="90">
        <v>0</v>
      </c>
      <c r="N1323" s="90">
        <v>252963.87665439997</v>
      </c>
      <c r="O1323" s="90">
        <v>6283.4953999999989</v>
      </c>
      <c r="P1323" s="90">
        <v>0</v>
      </c>
      <c r="Q1323" s="90">
        <v>0</v>
      </c>
      <c r="R1323" s="90">
        <v>15400</v>
      </c>
    </row>
    <row r="1324" spans="1:18">
      <c r="A1324" s="90" t="s">
        <v>1070</v>
      </c>
      <c r="B1324" s="90" t="s">
        <v>951</v>
      </c>
      <c r="C1324" s="90" t="str">
        <f t="shared" si="20"/>
        <v>SkwentnaWarehousing</v>
      </c>
      <c r="D1324" s="90">
        <v>1</v>
      </c>
      <c r="E1324" s="90">
        <v>1920</v>
      </c>
      <c r="F1324" s="90">
        <v>2406.7783808393865</v>
      </c>
      <c r="G1324" s="90">
        <v>0</v>
      </c>
      <c r="H1324" s="90">
        <v>22781.085669682572</v>
      </c>
      <c r="I1324" s="90">
        <v>0</v>
      </c>
      <c r="J1324" s="90">
        <v>0</v>
      </c>
      <c r="K1324" s="90">
        <v>0</v>
      </c>
      <c r="L1324" s="90">
        <v>1781.0160018211459</v>
      </c>
      <c r="M1324" s="90">
        <v>0</v>
      </c>
      <c r="N1324" s="90">
        <v>16858.003395565102</v>
      </c>
      <c r="O1324" s="90">
        <v>0</v>
      </c>
      <c r="P1324" s="90">
        <v>0</v>
      </c>
      <c r="Q1324" s="90">
        <v>0</v>
      </c>
      <c r="R1324" s="90">
        <v>13440</v>
      </c>
    </row>
    <row r="1325" spans="1:18">
      <c r="A1325" s="90" t="s">
        <v>253</v>
      </c>
      <c r="B1325" s="90" t="s">
        <v>1439</v>
      </c>
      <c r="C1325" s="90" t="str">
        <f t="shared" si="20"/>
        <v>SlanaEducation - K - 12</v>
      </c>
      <c r="D1325" s="90">
        <v>1</v>
      </c>
      <c r="E1325" s="90">
        <v>8400</v>
      </c>
      <c r="F1325" s="90">
        <v>3228.1167883211679</v>
      </c>
      <c r="G1325" s="90">
        <v>4710.144927536232</v>
      </c>
      <c r="H1325" s="90">
        <v>65155.586394999998</v>
      </c>
      <c r="I1325" s="90">
        <v>0</v>
      </c>
      <c r="J1325" s="90">
        <v>0</v>
      </c>
      <c r="K1325" s="90">
        <v>0</v>
      </c>
      <c r="L1325" s="90">
        <v>2388.8064233576642</v>
      </c>
      <c r="M1325" s="90">
        <v>3485.5072463768115</v>
      </c>
      <c r="N1325" s="90">
        <v>48215.133932299999</v>
      </c>
      <c r="O1325" s="90">
        <v>0</v>
      </c>
      <c r="P1325" s="90">
        <v>0</v>
      </c>
      <c r="Q1325" s="90">
        <v>0</v>
      </c>
      <c r="R1325" s="90">
        <v>58800</v>
      </c>
    </row>
    <row r="1326" spans="1:18">
      <c r="A1326" s="90" t="s">
        <v>253</v>
      </c>
      <c r="B1326" s="90" t="s">
        <v>643</v>
      </c>
      <c r="C1326" s="90" t="str">
        <f t="shared" si="20"/>
        <v>SlanaOther</v>
      </c>
      <c r="D1326" s="90">
        <v>2</v>
      </c>
      <c r="E1326" s="90">
        <v>5056</v>
      </c>
      <c r="F1326" s="90">
        <v>4372.7895268085031</v>
      </c>
      <c r="G1326" s="90">
        <v>0</v>
      </c>
      <c r="H1326" s="90">
        <v>50258.280940012737</v>
      </c>
      <c r="I1326" s="90">
        <v>0</v>
      </c>
      <c r="J1326" s="90">
        <v>0</v>
      </c>
      <c r="K1326" s="90">
        <v>0</v>
      </c>
      <c r="L1326" s="90">
        <v>3235.8642498382924</v>
      </c>
      <c r="M1326" s="90">
        <v>0</v>
      </c>
      <c r="N1326" s="90">
        <v>37191.127895609425</v>
      </c>
      <c r="O1326" s="90">
        <v>0</v>
      </c>
      <c r="P1326" s="90">
        <v>0</v>
      </c>
      <c r="Q1326" s="90">
        <v>0</v>
      </c>
      <c r="R1326" s="90">
        <v>35392</v>
      </c>
    </row>
    <row r="1327" spans="1:18">
      <c r="A1327" s="90" t="s">
        <v>253</v>
      </c>
      <c r="B1327" s="90" t="s">
        <v>1442</v>
      </c>
      <c r="C1327" s="90" t="str">
        <f t="shared" si="20"/>
        <v>SlanaResidential - Multi-Family</v>
      </c>
      <c r="D1327" s="90">
        <v>2</v>
      </c>
      <c r="E1327" s="90">
        <v>4991</v>
      </c>
      <c r="F1327" s="90">
        <v>3770.8135151038746</v>
      </c>
      <c r="G1327" s="90">
        <v>0</v>
      </c>
      <c r="H1327" s="90">
        <v>26132.768091949354</v>
      </c>
      <c r="I1327" s="90">
        <v>0</v>
      </c>
      <c r="J1327" s="90">
        <v>0</v>
      </c>
      <c r="K1327" s="90">
        <v>0</v>
      </c>
      <c r="L1327" s="90">
        <v>2790.4020011768671</v>
      </c>
      <c r="M1327" s="90">
        <v>0</v>
      </c>
      <c r="N1327" s="90">
        <v>19338.248388042521</v>
      </c>
      <c r="O1327" s="90">
        <v>0</v>
      </c>
      <c r="P1327" s="90">
        <v>0</v>
      </c>
      <c r="Q1327" s="90">
        <v>0</v>
      </c>
      <c r="R1327" s="90">
        <v>34937</v>
      </c>
    </row>
    <row r="1328" spans="1:18">
      <c r="A1328" s="90" t="s">
        <v>191</v>
      </c>
      <c r="B1328" s="90" t="s">
        <v>1439</v>
      </c>
      <c r="C1328" s="90" t="str">
        <f t="shared" si="20"/>
        <v>SleetmuteEducation - K - 12</v>
      </c>
      <c r="D1328" s="90">
        <v>1</v>
      </c>
      <c r="E1328" s="90">
        <v>8799</v>
      </c>
      <c r="F1328" s="90">
        <v>2568.7007299270072</v>
      </c>
      <c r="G1328" s="90">
        <v>0</v>
      </c>
      <c r="H1328" s="90">
        <v>18774.1692004</v>
      </c>
      <c r="I1328" s="90">
        <v>0</v>
      </c>
      <c r="J1328" s="90">
        <v>94.709508196721316</v>
      </c>
      <c r="K1328" s="90">
        <v>0</v>
      </c>
      <c r="L1328" s="90">
        <v>1900.8385401459852</v>
      </c>
      <c r="M1328" s="90">
        <v>0</v>
      </c>
      <c r="N1328" s="90">
        <v>13892.885208296</v>
      </c>
      <c r="O1328" s="90">
        <v>0</v>
      </c>
      <c r="P1328" s="90">
        <v>70.085036065573775</v>
      </c>
      <c r="Q1328" s="90">
        <v>0</v>
      </c>
      <c r="R1328" s="90">
        <v>61593</v>
      </c>
    </row>
    <row r="1329" spans="1:18">
      <c r="A1329" s="90" t="s">
        <v>191</v>
      </c>
      <c r="B1329" s="90" t="s">
        <v>1440</v>
      </c>
      <c r="C1329" s="90" t="str">
        <f t="shared" si="20"/>
        <v>SleetmuteHealth Care - Hospitals</v>
      </c>
      <c r="D1329" s="90">
        <v>1</v>
      </c>
      <c r="E1329" s="90">
        <v>1734</v>
      </c>
      <c r="F1329" s="90">
        <v>1192.3357664233577</v>
      </c>
      <c r="G1329" s="90">
        <v>0</v>
      </c>
      <c r="H1329" s="90">
        <v>5827.0521499999995</v>
      </c>
      <c r="I1329" s="90">
        <v>0</v>
      </c>
      <c r="J1329" s="90">
        <v>0</v>
      </c>
      <c r="K1329" s="90">
        <v>0</v>
      </c>
      <c r="L1329" s="90">
        <v>882.32846715328469</v>
      </c>
      <c r="M1329" s="90">
        <v>0</v>
      </c>
      <c r="N1329" s="90">
        <v>4312.018591</v>
      </c>
      <c r="O1329" s="90">
        <v>0</v>
      </c>
      <c r="P1329" s="90">
        <v>0</v>
      </c>
      <c r="Q1329" s="90">
        <v>0</v>
      </c>
      <c r="R1329" s="90">
        <v>12138</v>
      </c>
    </row>
    <row r="1330" spans="1:18">
      <c r="A1330" s="90" t="s">
        <v>191</v>
      </c>
      <c r="B1330" s="90" t="s">
        <v>665</v>
      </c>
      <c r="C1330" s="90" t="str">
        <f t="shared" si="20"/>
        <v>SleetmuteOffice</v>
      </c>
      <c r="D1330" s="90">
        <v>1</v>
      </c>
      <c r="E1330" s="90">
        <v>2232</v>
      </c>
      <c r="F1330" s="90">
        <v>1069</v>
      </c>
      <c r="G1330" s="90">
        <v>0</v>
      </c>
      <c r="H1330" s="90">
        <v>10564</v>
      </c>
      <c r="I1330" s="90">
        <v>0</v>
      </c>
      <c r="J1330" s="90">
        <v>0</v>
      </c>
      <c r="K1330" s="90">
        <v>0</v>
      </c>
      <c r="L1330" s="90">
        <v>791.06</v>
      </c>
      <c r="M1330" s="90">
        <v>0</v>
      </c>
      <c r="N1330" s="90">
        <v>7817.36</v>
      </c>
      <c r="O1330" s="90">
        <v>0</v>
      </c>
      <c r="P1330" s="90">
        <v>0</v>
      </c>
      <c r="Q1330" s="90">
        <v>0</v>
      </c>
      <c r="R1330" s="90">
        <v>15624</v>
      </c>
    </row>
    <row r="1331" spans="1:18">
      <c r="A1331" s="90" t="s">
        <v>191</v>
      </c>
      <c r="B1331" s="90" t="s">
        <v>643</v>
      </c>
      <c r="C1331" s="90" t="str">
        <f t="shared" si="20"/>
        <v>SleetmuteOther</v>
      </c>
      <c r="D1331" s="90">
        <v>2</v>
      </c>
      <c r="E1331" s="90">
        <v>3123.9204545454545</v>
      </c>
      <c r="F1331" s="90">
        <v>2353.2646215902751</v>
      </c>
      <c r="G1331" s="90">
        <v>0</v>
      </c>
      <c r="H1331" s="90">
        <v>22735.854693772075</v>
      </c>
      <c r="I1331" s="90">
        <v>0</v>
      </c>
      <c r="J1331" s="90">
        <v>0</v>
      </c>
      <c r="K1331" s="90">
        <v>0</v>
      </c>
      <c r="L1331" s="90">
        <v>1741.4158199768037</v>
      </c>
      <c r="M1331" s="90">
        <v>0</v>
      </c>
      <c r="N1331" s="90">
        <v>16824.532473391337</v>
      </c>
      <c r="O1331" s="90">
        <v>0</v>
      </c>
      <c r="P1331" s="90">
        <v>0</v>
      </c>
      <c r="Q1331" s="90">
        <v>0</v>
      </c>
      <c r="R1331" s="90">
        <v>21867.443181818184</v>
      </c>
    </row>
    <row r="1332" spans="1:18">
      <c r="A1332" s="90" t="s">
        <v>191</v>
      </c>
      <c r="B1332" s="90" t="s">
        <v>1227</v>
      </c>
      <c r="C1332" s="90" t="str">
        <f t="shared" si="20"/>
        <v>SleetmutePublic Assembly</v>
      </c>
      <c r="D1332" s="90">
        <v>1</v>
      </c>
      <c r="E1332" s="90">
        <v>2704</v>
      </c>
      <c r="F1332" s="90">
        <v>1077</v>
      </c>
      <c r="G1332" s="90">
        <v>0</v>
      </c>
      <c r="H1332" s="90">
        <v>2295</v>
      </c>
      <c r="I1332" s="90">
        <v>0</v>
      </c>
      <c r="J1332" s="90">
        <v>0</v>
      </c>
      <c r="K1332" s="90">
        <v>0</v>
      </c>
      <c r="L1332" s="90">
        <v>796.98</v>
      </c>
      <c r="M1332" s="90">
        <v>0</v>
      </c>
      <c r="N1332" s="90">
        <v>1698.3</v>
      </c>
      <c r="O1332" s="90">
        <v>0</v>
      </c>
      <c r="P1332" s="90">
        <v>0</v>
      </c>
      <c r="Q1332" s="90">
        <v>0</v>
      </c>
      <c r="R1332" s="90">
        <v>18928</v>
      </c>
    </row>
    <row r="1333" spans="1:18">
      <c r="A1333" s="90" t="s">
        <v>1072</v>
      </c>
      <c r="B1333" s="90" t="s">
        <v>1439</v>
      </c>
      <c r="C1333" s="90" t="str">
        <f t="shared" si="20"/>
        <v>South NaknekEducation - K - 12</v>
      </c>
      <c r="D1333" s="90">
        <v>1</v>
      </c>
      <c r="E1333" s="90">
        <v>6960</v>
      </c>
      <c r="F1333" s="90">
        <v>5900.4405302326886</v>
      </c>
      <c r="G1333" s="90">
        <v>0</v>
      </c>
      <c r="H1333" s="90">
        <v>45228.960501751542</v>
      </c>
      <c r="I1333" s="90">
        <v>0</v>
      </c>
      <c r="J1333" s="90">
        <v>0</v>
      </c>
      <c r="K1333" s="90">
        <v>0</v>
      </c>
      <c r="L1333" s="90">
        <v>4366.3259923721898</v>
      </c>
      <c r="M1333" s="90">
        <v>0</v>
      </c>
      <c r="N1333" s="90">
        <v>33469.430771296138</v>
      </c>
      <c r="O1333" s="90">
        <v>0</v>
      </c>
      <c r="P1333" s="90">
        <v>0</v>
      </c>
      <c r="Q1333" s="90">
        <v>0</v>
      </c>
      <c r="R1333" s="90">
        <v>48720</v>
      </c>
    </row>
    <row r="1334" spans="1:18">
      <c r="A1334" s="90" t="s">
        <v>1072</v>
      </c>
      <c r="B1334" s="90" t="s">
        <v>1469</v>
      </c>
      <c r="C1334" s="90" t="str">
        <f t="shared" si="20"/>
        <v>South NaknekFood Service and Drinking Places</v>
      </c>
      <c r="D1334" s="90">
        <v>2</v>
      </c>
      <c r="E1334" s="90">
        <v>5281.0769230769229</v>
      </c>
      <c r="F1334" s="90">
        <v>2119.4722051282051</v>
      </c>
      <c r="G1334" s="90">
        <v>0</v>
      </c>
      <c r="H1334" s="90">
        <v>14142.022090768271</v>
      </c>
      <c r="I1334" s="90">
        <v>0</v>
      </c>
      <c r="J1334" s="90">
        <v>0</v>
      </c>
      <c r="K1334" s="90">
        <v>0</v>
      </c>
      <c r="L1334" s="90">
        <v>1568.4094317948718</v>
      </c>
      <c r="M1334" s="90">
        <v>0</v>
      </c>
      <c r="N1334" s="90">
        <v>10465.096347168521</v>
      </c>
      <c r="O1334" s="90">
        <v>0</v>
      </c>
      <c r="P1334" s="90">
        <v>0</v>
      </c>
      <c r="Q1334" s="90">
        <v>0</v>
      </c>
      <c r="R1334" s="90">
        <v>36967.538461538461</v>
      </c>
    </row>
    <row r="1335" spans="1:18">
      <c r="A1335" s="90" t="s">
        <v>1072</v>
      </c>
      <c r="B1335" s="90" t="s">
        <v>1440</v>
      </c>
      <c r="C1335" s="90" t="str">
        <f t="shared" si="20"/>
        <v>South NaknekHealth Care - Hospitals</v>
      </c>
      <c r="D1335" s="90">
        <v>1</v>
      </c>
      <c r="E1335" s="90">
        <v>3020</v>
      </c>
      <c r="F1335" s="90">
        <v>2104.8594764978798</v>
      </c>
      <c r="G1335" s="90">
        <v>0</v>
      </c>
      <c r="H1335" s="90">
        <v>22717.742526960581</v>
      </c>
      <c r="I1335" s="90">
        <v>0</v>
      </c>
      <c r="J1335" s="90">
        <v>0</v>
      </c>
      <c r="K1335" s="90">
        <v>0</v>
      </c>
      <c r="L1335" s="90">
        <v>1557.596012608431</v>
      </c>
      <c r="M1335" s="90">
        <v>0</v>
      </c>
      <c r="N1335" s="90">
        <v>16811.129469950829</v>
      </c>
      <c r="O1335" s="90">
        <v>0</v>
      </c>
      <c r="P1335" s="90">
        <v>0</v>
      </c>
      <c r="Q1335" s="90">
        <v>0</v>
      </c>
      <c r="R1335" s="90">
        <v>21140</v>
      </c>
    </row>
    <row r="1336" spans="1:18">
      <c r="A1336" s="90" t="s">
        <v>1072</v>
      </c>
      <c r="B1336" s="90" t="s">
        <v>665</v>
      </c>
      <c r="C1336" s="90" t="str">
        <f t="shared" si="20"/>
        <v>South NaknekOffice</v>
      </c>
      <c r="D1336" s="90">
        <v>1</v>
      </c>
      <c r="E1336" s="90">
        <v>2033.2585034013605</v>
      </c>
      <c r="F1336" s="90">
        <v>2705.5824722962652</v>
      </c>
      <c r="G1336" s="90">
        <v>0</v>
      </c>
      <c r="H1336" s="90">
        <v>16298.661644952717</v>
      </c>
      <c r="I1336" s="90">
        <v>0</v>
      </c>
      <c r="J1336" s="90">
        <v>0</v>
      </c>
      <c r="K1336" s="90">
        <v>0</v>
      </c>
      <c r="L1336" s="90">
        <v>2002.1310294992363</v>
      </c>
      <c r="M1336" s="90">
        <v>0</v>
      </c>
      <c r="N1336" s="90">
        <v>12061.00961726501</v>
      </c>
      <c r="O1336" s="90">
        <v>0</v>
      </c>
      <c r="P1336" s="90">
        <v>0</v>
      </c>
      <c r="Q1336" s="90">
        <v>0</v>
      </c>
      <c r="R1336" s="90">
        <v>14232.809523809523</v>
      </c>
    </row>
    <row r="1337" spans="1:18">
      <c r="A1337" s="90" t="s">
        <v>1072</v>
      </c>
      <c r="B1337" s="90" t="s">
        <v>643</v>
      </c>
      <c r="C1337" s="90" t="str">
        <f t="shared" si="20"/>
        <v>South NaknekOther</v>
      </c>
      <c r="D1337" s="90">
        <v>13</v>
      </c>
      <c r="E1337" s="90">
        <v>28130.965909090915</v>
      </c>
      <c r="F1337" s="90">
        <v>24329.666358045841</v>
      </c>
      <c r="G1337" s="90">
        <v>0</v>
      </c>
      <c r="H1337" s="90">
        <v>204736.82432403968</v>
      </c>
      <c r="I1337" s="90">
        <v>0</v>
      </c>
      <c r="J1337" s="90">
        <v>0</v>
      </c>
      <c r="K1337" s="90">
        <v>0</v>
      </c>
      <c r="L1337" s="90">
        <v>18003.953104953918</v>
      </c>
      <c r="M1337" s="90">
        <v>0</v>
      </c>
      <c r="N1337" s="90">
        <v>151505.24999978929</v>
      </c>
      <c r="O1337" s="90">
        <v>0</v>
      </c>
      <c r="P1337" s="90">
        <v>0</v>
      </c>
      <c r="Q1337" s="90">
        <v>0</v>
      </c>
      <c r="R1337" s="90">
        <v>196916.76136363632</v>
      </c>
    </row>
    <row r="1338" spans="1:18">
      <c r="A1338" s="90" t="s">
        <v>1072</v>
      </c>
      <c r="B1338" s="90" t="s">
        <v>1227</v>
      </c>
      <c r="C1338" s="90" t="str">
        <f t="shared" si="20"/>
        <v>South NaknekPublic Assembly</v>
      </c>
      <c r="D1338" s="90">
        <v>5</v>
      </c>
      <c r="E1338" s="90">
        <v>15683.60576923077</v>
      </c>
      <c r="F1338" s="90">
        <v>9785.9047074979371</v>
      </c>
      <c r="G1338" s="90">
        <v>0</v>
      </c>
      <c r="H1338" s="90">
        <v>58997.578066979419</v>
      </c>
      <c r="I1338" s="90">
        <v>0</v>
      </c>
      <c r="J1338" s="90">
        <v>0</v>
      </c>
      <c r="K1338" s="90">
        <v>0</v>
      </c>
      <c r="L1338" s="90">
        <v>7241.5694835484728</v>
      </c>
      <c r="M1338" s="90">
        <v>0</v>
      </c>
      <c r="N1338" s="90">
        <v>43658.207769564768</v>
      </c>
      <c r="O1338" s="90">
        <v>0</v>
      </c>
      <c r="P1338" s="90">
        <v>0</v>
      </c>
      <c r="Q1338" s="90">
        <v>0</v>
      </c>
      <c r="R1338" s="90">
        <v>109785.24038461539</v>
      </c>
    </row>
    <row r="1339" spans="1:18">
      <c r="A1339" s="90" t="s">
        <v>1072</v>
      </c>
      <c r="B1339" s="90" t="s">
        <v>1475</v>
      </c>
      <c r="C1339" s="90" t="str">
        <f t="shared" si="20"/>
        <v>South NaknekPublic Safety</v>
      </c>
      <c r="D1339" s="90">
        <v>1</v>
      </c>
      <c r="E1339" s="90">
        <v>2595.4749999999999</v>
      </c>
      <c r="F1339" s="90">
        <v>2523.774623927618</v>
      </c>
      <c r="G1339" s="90">
        <v>0</v>
      </c>
      <c r="H1339" s="90">
        <v>20946.642306328533</v>
      </c>
      <c r="I1339" s="90">
        <v>0</v>
      </c>
      <c r="J1339" s="90">
        <v>0</v>
      </c>
      <c r="K1339" s="90">
        <v>0</v>
      </c>
      <c r="L1339" s="90">
        <v>1867.5932217064374</v>
      </c>
      <c r="M1339" s="90">
        <v>0</v>
      </c>
      <c r="N1339" s="90">
        <v>15500.515306683114</v>
      </c>
      <c r="O1339" s="90">
        <v>0</v>
      </c>
      <c r="P1339" s="90">
        <v>0</v>
      </c>
      <c r="Q1339" s="90">
        <v>0</v>
      </c>
      <c r="R1339" s="90">
        <v>18168.325000000001</v>
      </c>
    </row>
    <row r="1340" spans="1:18">
      <c r="A1340" s="90" t="s">
        <v>1072</v>
      </c>
      <c r="B1340" s="90" t="s">
        <v>951</v>
      </c>
      <c r="C1340" s="90" t="str">
        <f t="shared" si="20"/>
        <v>South NaknekWarehousing</v>
      </c>
      <c r="D1340" s="90">
        <v>1</v>
      </c>
      <c r="E1340" s="90">
        <v>1783.9572649572649</v>
      </c>
      <c r="F1340" s="90">
        <v>2236.2446758544302</v>
      </c>
      <c r="G1340" s="90">
        <v>0</v>
      </c>
      <c r="H1340" s="90">
        <v>21166.918377106285</v>
      </c>
      <c r="I1340" s="90">
        <v>0</v>
      </c>
      <c r="J1340" s="90">
        <v>0</v>
      </c>
      <c r="K1340" s="90">
        <v>0</v>
      </c>
      <c r="L1340" s="90">
        <v>1654.8210601322783</v>
      </c>
      <c r="M1340" s="90">
        <v>0</v>
      </c>
      <c r="N1340" s="90">
        <v>15663.519599058651</v>
      </c>
      <c r="O1340" s="90">
        <v>0</v>
      </c>
      <c r="P1340" s="90">
        <v>0</v>
      </c>
      <c r="Q1340" s="90">
        <v>0</v>
      </c>
      <c r="R1340" s="90">
        <v>12487.700854700854</v>
      </c>
    </row>
    <row r="1341" spans="1:18">
      <c r="A1341" s="90" t="s">
        <v>106</v>
      </c>
      <c r="B1341" s="90" t="s">
        <v>1439</v>
      </c>
      <c r="C1341" s="90" t="str">
        <f t="shared" si="20"/>
        <v>StebbinsEducation - K - 12</v>
      </c>
      <c r="D1341" s="90">
        <v>4</v>
      </c>
      <c r="E1341" s="90">
        <v>37749</v>
      </c>
      <c r="F1341" s="90">
        <v>49262.68839735553</v>
      </c>
      <c r="G1341" s="90">
        <v>0</v>
      </c>
      <c r="H1341" s="90">
        <v>329003.98024727148</v>
      </c>
      <c r="I1341" s="90">
        <v>0</v>
      </c>
      <c r="J1341" s="90">
        <v>0</v>
      </c>
      <c r="K1341" s="90">
        <v>0</v>
      </c>
      <c r="L1341" s="90">
        <v>36454.389414043086</v>
      </c>
      <c r="M1341" s="90">
        <v>0</v>
      </c>
      <c r="N1341" s="90">
        <v>243462.94538298089</v>
      </c>
      <c r="O1341" s="90">
        <v>0</v>
      </c>
      <c r="P1341" s="90">
        <v>0</v>
      </c>
      <c r="Q1341" s="90">
        <v>0</v>
      </c>
      <c r="R1341" s="90">
        <v>264243</v>
      </c>
    </row>
    <row r="1342" spans="1:18">
      <c r="A1342" s="90" t="s">
        <v>106</v>
      </c>
      <c r="B1342" s="90" t="s">
        <v>1440</v>
      </c>
      <c r="C1342" s="90" t="str">
        <f t="shared" si="20"/>
        <v>StebbinsHealth Care - Hospitals</v>
      </c>
      <c r="D1342" s="90">
        <v>1</v>
      </c>
      <c r="E1342" s="90">
        <v>3905.5925000000002</v>
      </c>
      <c r="F1342" s="90">
        <v>2468.6293072959174</v>
      </c>
      <c r="G1342" s="90">
        <v>0</v>
      </c>
      <c r="H1342" s="90">
        <v>34430.972059887106</v>
      </c>
      <c r="I1342" s="90">
        <v>0</v>
      </c>
      <c r="J1342" s="90">
        <v>0</v>
      </c>
      <c r="K1342" s="90">
        <v>0</v>
      </c>
      <c r="L1342" s="90">
        <v>1826.7856873989788</v>
      </c>
      <c r="M1342" s="90">
        <v>0</v>
      </c>
      <c r="N1342" s="90">
        <v>25478.919324316459</v>
      </c>
      <c r="O1342" s="90">
        <v>0</v>
      </c>
      <c r="P1342" s="90">
        <v>0</v>
      </c>
      <c r="Q1342" s="90">
        <v>0</v>
      </c>
      <c r="R1342" s="90">
        <v>27339.147500000003</v>
      </c>
    </row>
    <row r="1343" spans="1:18">
      <c r="A1343" s="90" t="s">
        <v>106</v>
      </c>
      <c r="B1343" s="90" t="s">
        <v>665</v>
      </c>
      <c r="C1343" s="90" t="str">
        <f t="shared" si="20"/>
        <v>StebbinsOffice</v>
      </c>
      <c r="D1343" s="90">
        <v>5</v>
      </c>
      <c r="E1343" s="90">
        <v>15405.507194244603</v>
      </c>
      <c r="F1343" s="90">
        <v>10826.971572668754</v>
      </c>
      <c r="G1343" s="90">
        <v>0</v>
      </c>
      <c r="H1343" s="90">
        <v>87405.584794396593</v>
      </c>
      <c r="I1343" s="90">
        <v>0</v>
      </c>
      <c r="J1343" s="90">
        <v>0</v>
      </c>
      <c r="K1343" s="90">
        <v>0</v>
      </c>
      <c r="L1343" s="90">
        <v>8011.9589637748786</v>
      </c>
      <c r="M1343" s="90">
        <v>0</v>
      </c>
      <c r="N1343" s="90">
        <v>64680.132747853473</v>
      </c>
      <c r="O1343" s="90">
        <v>0</v>
      </c>
      <c r="P1343" s="90">
        <v>0</v>
      </c>
      <c r="Q1343" s="90">
        <v>0</v>
      </c>
      <c r="R1343" s="90">
        <v>107838.55035971222</v>
      </c>
    </row>
    <row r="1344" spans="1:18">
      <c r="A1344" s="90" t="s">
        <v>106</v>
      </c>
      <c r="B1344" s="90" t="s">
        <v>643</v>
      </c>
      <c r="C1344" s="90" t="str">
        <f t="shared" si="20"/>
        <v>StebbinsOther</v>
      </c>
      <c r="D1344" s="90">
        <v>1</v>
      </c>
      <c r="E1344" s="90">
        <v>96</v>
      </c>
      <c r="F1344" s="90">
        <v>102.03021894910134</v>
      </c>
      <c r="G1344" s="90">
        <v>0</v>
      </c>
      <c r="H1344" s="90">
        <v>712.61215257251092</v>
      </c>
      <c r="I1344" s="90">
        <v>0</v>
      </c>
      <c r="J1344" s="90">
        <v>0</v>
      </c>
      <c r="K1344" s="90">
        <v>0</v>
      </c>
      <c r="L1344" s="90">
        <v>75.502362022334992</v>
      </c>
      <c r="M1344" s="90">
        <v>0</v>
      </c>
      <c r="N1344" s="90">
        <v>527.33299290365812</v>
      </c>
      <c r="O1344" s="90">
        <v>0</v>
      </c>
      <c r="P1344" s="90">
        <v>0</v>
      </c>
      <c r="Q1344" s="90">
        <v>0</v>
      </c>
      <c r="R1344" s="90">
        <v>672</v>
      </c>
    </row>
    <row r="1345" spans="1:18">
      <c r="A1345" s="90" t="s">
        <v>106</v>
      </c>
      <c r="B1345" s="90" t="s">
        <v>1227</v>
      </c>
      <c r="C1345" s="90" t="str">
        <f t="shared" si="20"/>
        <v>StebbinsPublic Assembly</v>
      </c>
      <c r="D1345" s="90">
        <v>1</v>
      </c>
      <c r="E1345" s="90">
        <v>3426.5640449438201</v>
      </c>
      <c r="F1345" s="90">
        <v>2369.8473081123934</v>
      </c>
      <c r="G1345" s="90">
        <v>0</v>
      </c>
      <c r="H1345" s="90">
        <v>15888.37965333717</v>
      </c>
      <c r="I1345" s="90">
        <v>0</v>
      </c>
      <c r="J1345" s="90">
        <v>0</v>
      </c>
      <c r="K1345" s="90">
        <v>0</v>
      </c>
      <c r="L1345" s="90">
        <v>1753.6870080031711</v>
      </c>
      <c r="M1345" s="90">
        <v>0</v>
      </c>
      <c r="N1345" s="90">
        <v>11757.400943469505</v>
      </c>
      <c r="O1345" s="90">
        <v>0</v>
      </c>
      <c r="P1345" s="90">
        <v>0</v>
      </c>
      <c r="Q1345" s="90">
        <v>0</v>
      </c>
      <c r="R1345" s="90">
        <v>23985.94831460674</v>
      </c>
    </row>
    <row r="1346" spans="1:18">
      <c r="A1346" s="90" t="s">
        <v>106</v>
      </c>
      <c r="B1346" s="90" t="s">
        <v>1485</v>
      </c>
      <c r="C1346" s="90" t="str">
        <f t="shared" si="20"/>
        <v>StebbinsRetail - Other</v>
      </c>
      <c r="D1346" s="90">
        <v>1</v>
      </c>
      <c r="E1346" s="90">
        <v>6100</v>
      </c>
      <c r="F1346" s="90">
        <v>10132.399240808789</v>
      </c>
      <c r="G1346" s="90">
        <v>0</v>
      </c>
      <c r="H1346" s="90">
        <v>148828.8934400992</v>
      </c>
      <c r="I1346" s="90">
        <v>0</v>
      </c>
      <c r="J1346" s="90">
        <v>0</v>
      </c>
      <c r="K1346" s="90">
        <v>0</v>
      </c>
      <c r="L1346" s="90">
        <v>7497.975438198504</v>
      </c>
      <c r="M1346" s="90">
        <v>0</v>
      </c>
      <c r="N1346" s="90">
        <v>110133.38114567341</v>
      </c>
      <c r="O1346" s="90">
        <v>0</v>
      </c>
      <c r="P1346" s="90">
        <v>0</v>
      </c>
      <c r="Q1346" s="90">
        <v>0</v>
      </c>
      <c r="R1346" s="90">
        <v>42700</v>
      </c>
    </row>
    <row r="1347" spans="1:18">
      <c r="A1347" s="90" t="s">
        <v>106</v>
      </c>
      <c r="B1347" s="90" t="s">
        <v>951</v>
      </c>
      <c r="C1347" s="90" t="str">
        <f t="shared" ref="C1347:C1410" si="21">CONCATENATE(A1347,B1347)</f>
        <v>StebbinsWarehousing</v>
      </c>
      <c r="D1347" s="90">
        <v>3</v>
      </c>
      <c r="E1347" s="90">
        <v>9500</v>
      </c>
      <c r="F1347" s="90">
        <v>16580.288004290291</v>
      </c>
      <c r="G1347" s="90">
        <v>0</v>
      </c>
      <c r="H1347" s="90">
        <v>435277.81174976763</v>
      </c>
      <c r="I1347" s="90">
        <v>0</v>
      </c>
      <c r="J1347" s="90">
        <v>0</v>
      </c>
      <c r="K1347" s="90">
        <v>0</v>
      </c>
      <c r="L1347" s="90">
        <v>12269.413123174814</v>
      </c>
      <c r="M1347" s="90">
        <v>0</v>
      </c>
      <c r="N1347" s="90">
        <v>322105.58069482801</v>
      </c>
      <c r="O1347" s="90">
        <v>0</v>
      </c>
      <c r="P1347" s="90">
        <v>0</v>
      </c>
      <c r="Q1347" s="90">
        <v>0</v>
      </c>
      <c r="R1347" s="90">
        <v>66500</v>
      </c>
    </row>
    <row r="1348" spans="1:18">
      <c r="A1348" s="90" t="s">
        <v>411</v>
      </c>
      <c r="B1348" s="90" t="s">
        <v>1439</v>
      </c>
      <c r="C1348" s="90" t="str">
        <f t="shared" si="21"/>
        <v>Stevens VillageEducation - K - 12</v>
      </c>
      <c r="D1348" s="90">
        <v>2</v>
      </c>
      <c r="E1348" s="90">
        <v>19868.415555555555</v>
      </c>
      <c r="F1348" s="90">
        <v>49960.303381805301</v>
      </c>
      <c r="G1348" s="90">
        <v>0</v>
      </c>
      <c r="H1348" s="90">
        <v>110243.77956587558</v>
      </c>
      <c r="I1348" s="90">
        <v>0</v>
      </c>
      <c r="J1348" s="90">
        <v>0</v>
      </c>
      <c r="K1348" s="90">
        <v>0</v>
      </c>
      <c r="L1348" s="90">
        <v>36970.624502535924</v>
      </c>
      <c r="M1348" s="90">
        <v>0</v>
      </c>
      <c r="N1348" s="90">
        <v>81580.396878747924</v>
      </c>
      <c r="O1348" s="90">
        <v>0</v>
      </c>
      <c r="P1348" s="90">
        <v>77.7</v>
      </c>
      <c r="Q1348" s="90">
        <v>0</v>
      </c>
      <c r="R1348" s="90">
        <v>139078.90888888889</v>
      </c>
    </row>
    <row r="1349" spans="1:18">
      <c r="A1349" s="90" t="s">
        <v>411</v>
      </c>
      <c r="B1349" s="90" t="s">
        <v>1469</v>
      </c>
      <c r="C1349" s="90" t="str">
        <f t="shared" si="21"/>
        <v>Stevens VillageFood Service and Drinking Places</v>
      </c>
      <c r="D1349" s="90">
        <v>1</v>
      </c>
      <c r="E1349" s="90">
        <v>768</v>
      </c>
      <c r="F1349" s="90">
        <v>308.22399999999999</v>
      </c>
      <c r="G1349" s="90">
        <v>0</v>
      </c>
      <c r="H1349" s="90">
        <v>2056.6019249312558</v>
      </c>
      <c r="I1349" s="90">
        <v>0</v>
      </c>
      <c r="J1349" s="90">
        <v>0</v>
      </c>
      <c r="K1349" s="90">
        <v>0</v>
      </c>
      <c r="L1349" s="90">
        <v>228.08575999999999</v>
      </c>
      <c r="M1349" s="90">
        <v>0</v>
      </c>
      <c r="N1349" s="90">
        <v>1521.8854244491292</v>
      </c>
      <c r="O1349" s="90">
        <v>0</v>
      </c>
      <c r="P1349" s="90">
        <v>0</v>
      </c>
      <c r="Q1349" s="90">
        <v>0</v>
      </c>
      <c r="R1349" s="90">
        <v>5376</v>
      </c>
    </row>
    <row r="1350" spans="1:18">
      <c r="A1350" s="90" t="s">
        <v>411</v>
      </c>
      <c r="B1350" s="90" t="s">
        <v>1440</v>
      </c>
      <c r="C1350" s="90" t="str">
        <f t="shared" si="21"/>
        <v>Stevens VillageHealth Care - Hospitals</v>
      </c>
      <c r="D1350" s="90">
        <v>1</v>
      </c>
      <c r="E1350" s="90">
        <v>2256.9250000000002</v>
      </c>
      <c r="F1350" s="90">
        <v>1573.0165476804564</v>
      </c>
      <c r="G1350" s="90">
        <v>0</v>
      </c>
      <c r="H1350" s="90">
        <v>16977.563262470368</v>
      </c>
      <c r="I1350" s="90">
        <v>0</v>
      </c>
      <c r="J1350" s="90">
        <v>0</v>
      </c>
      <c r="K1350" s="90">
        <v>0</v>
      </c>
      <c r="L1350" s="90">
        <v>1164.0322452835378</v>
      </c>
      <c r="M1350" s="90">
        <v>0</v>
      </c>
      <c r="N1350" s="90">
        <v>12563.396814228072</v>
      </c>
      <c r="O1350" s="90">
        <v>0</v>
      </c>
      <c r="P1350" s="90">
        <v>0</v>
      </c>
      <c r="Q1350" s="90">
        <v>0</v>
      </c>
      <c r="R1350" s="90">
        <v>15798.475000000002</v>
      </c>
    </row>
    <row r="1351" spans="1:18">
      <c r="A1351" s="90" t="s">
        <v>411</v>
      </c>
      <c r="B1351" s="90" t="s">
        <v>643</v>
      </c>
      <c r="C1351" s="90" t="str">
        <f t="shared" si="21"/>
        <v>Stevens VillageOther</v>
      </c>
      <c r="D1351" s="90">
        <v>2</v>
      </c>
      <c r="E1351" s="90">
        <v>2144</v>
      </c>
      <c r="F1351" s="90">
        <v>1854.284166431454</v>
      </c>
      <c r="G1351" s="90">
        <v>0</v>
      </c>
      <c r="H1351" s="90">
        <v>10337.113832096124</v>
      </c>
      <c r="I1351" s="90">
        <v>0</v>
      </c>
      <c r="J1351" s="90">
        <v>0</v>
      </c>
      <c r="K1351" s="90">
        <v>0</v>
      </c>
      <c r="L1351" s="90">
        <v>1372.1702831592759</v>
      </c>
      <c r="M1351" s="90">
        <v>0</v>
      </c>
      <c r="N1351" s="90">
        <v>7649.4642357511311</v>
      </c>
      <c r="O1351" s="90">
        <v>0</v>
      </c>
      <c r="P1351" s="90">
        <v>0</v>
      </c>
      <c r="Q1351" s="90">
        <v>0</v>
      </c>
      <c r="R1351" s="90">
        <v>15008</v>
      </c>
    </row>
    <row r="1352" spans="1:18">
      <c r="A1352" s="90" t="s">
        <v>411</v>
      </c>
      <c r="B1352" s="90" t="s">
        <v>1227</v>
      </c>
      <c r="C1352" s="90" t="str">
        <f t="shared" si="21"/>
        <v>Stevens VillagePublic Assembly</v>
      </c>
      <c r="D1352" s="90">
        <v>1</v>
      </c>
      <c r="E1352" s="90">
        <v>3136.7211538461538</v>
      </c>
      <c r="F1352" s="90">
        <v>1957.1809414995873</v>
      </c>
      <c r="G1352" s="90">
        <v>0</v>
      </c>
      <c r="H1352" s="90">
        <v>11799.515613395884</v>
      </c>
      <c r="I1352" s="90">
        <v>0</v>
      </c>
      <c r="J1352" s="90">
        <v>0</v>
      </c>
      <c r="K1352" s="90">
        <v>0</v>
      </c>
      <c r="L1352" s="90">
        <v>1448.3138967096945</v>
      </c>
      <c r="M1352" s="90">
        <v>0</v>
      </c>
      <c r="N1352" s="90">
        <v>8731.6415539129539</v>
      </c>
      <c r="O1352" s="90">
        <v>0</v>
      </c>
      <c r="P1352" s="90">
        <v>0</v>
      </c>
      <c r="Q1352" s="90">
        <v>0</v>
      </c>
      <c r="R1352" s="90">
        <v>21957.048076923078</v>
      </c>
    </row>
    <row r="1353" spans="1:18">
      <c r="A1353" s="90" t="s">
        <v>411</v>
      </c>
      <c r="B1353" s="90" t="s">
        <v>1475</v>
      </c>
      <c r="C1353" s="90" t="str">
        <f t="shared" si="21"/>
        <v>Stevens VillagePublic Safety</v>
      </c>
      <c r="D1353" s="90">
        <v>1</v>
      </c>
      <c r="E1353" s="90">
        <v>2595.4749999999999</v>
      </c>
      <c r="F1353" s="90">
        <v>2523.774623927618</v>
      </c>
      <c r="G1353" s="90">
        <v>0</v>
      </c>
      <c r="H1353" s="90">
        <v>20946.642306328533</v>
      </c>
      <c r="I1353" s="90">
        <v>0</v>
      </c>
      <c r="J1353" s="90">
        <v>0</v>
      </c>
      <c r="K1353" s="90">
        <v>0</v>
      </c>
      <c r="L1353" s="90">
        <v>1867.5932217064374</v>
      </c>
      <c r="M1353" s="90">
        <v>0</v>
      </c>
      <c r="N1353" s="90">
        <v>15500.515306683114</v>
      </c>
      <c r="O1353" s="90">
        <v>0</v>
      </c>
      <c r="P1353" s="90">
        <v>0</v>
      </c>
      <c r="Q1353" s="90">
        <v>0</v>
      </c>
      <c r="R1353" s="90">
        <v>18168.325000000001</v>
      </c>
    </row>
    <row r="1354" spans="1:18">
      <c r="A1354" s="90" t="s">
        <v>411</v>
      </c>
      <c r="B1354" s="90" t="s">
        <v>951</v>
      </c>
      <c r="C1354" s="90" t="str">
        <f t="shared" si="21"/>
        <v>Stevens VillageWarehousing</v>
      </c>
      <c r="D1354" s="90">
        <v>1</v>
      </c>
      <c r="E1354" s="90">
        <v>1040</v>
      </c>
      <c r="F1354" s="90">
        <v>1303.6716229546676</v>
      </c>
      <c r="G1354" s="90">
        <v>0</v>
      </c>
      <c r="H1354" s="90">
        <v>12339.754737744728</v>
      </c>
      <c r="I1354" s="90">
        <v>0</v>
      </c>
      <c r="J1354" s="90">
        <v>0</v>
      </c>
      <c r="K1354" s="90">
        <v>0</v>
      </c>
      <c r="L1354" s="90">
        <v>964.71700098645397</v>
      </c>
      <c r="M1354" s="90">
        <v>0</v>
      </c>
      <c r="N1354" s="90">
        <v>9131.4185059310985</v>
      </c>
      <c r="O1354" s="90">
        <v>0</v>
      </c>
      <c r="P1354" s="90">
        <v>0</v>
      </c>
      <c r="Q1354" s="90">
        <v>0</v>
      </c>
      <c r="R1354" s="90">
        <v>7280</v>
      </c>
    </row>
    <row r="1355" spans="1:18">
      <c r="A1355" s="90" t="s">
        <v>192</v>
      </c>
      <c r="B1355" s="90" t="s">
        <v>1439</v>
      </c>
      <c r="C1355" s="90" t="str">
        <f t="shared" si="21"/>
        <v>Stony RiverEducation - K - 12</v>
      </c>
      <c r="D1355" s="90">
        <v>4</v>
      </c>
      <c r="E1355" s="90">
        <v>39776.246666666666</v>
      </c>
      <c r="F1355" s="90">
        <v>30839.894087021741</v>
      </c>
      <c r="G1355" s="90">
        <v>0</v>
      </c>
      <c r="H1355" s="90">
        <v>224759.28991422674</v>
      </c>
      <c r="I1355" s="90">
        <v>0</v>
      </c>
      <c r="J1355" s="90">
        <v>0</v>
      </c>
      <c r="K1355" s="90">
        <v>0</v>
      </c>
      <c r="L1355" s="90">
        <v>22821.521624396082</v>
      </c>
      <c r="M1355" s="90">
        <v>0</v>
      </c>
      <c r="N1355" s="90">
        <v>166321.87453652779</v>
      </c>
      <c r="O1355" s="90">
        <v>0</v>
      </c>
      <c r="P1355" s="90">
        <v>0</v>
      </c>
      <c r="Q1355" s="90">
        <v>0</v>
      </c>
      <c r="R1355" s="90">
        <v>278433.72666666668</v>
      </c>
    </row>
    <row r="1356" spans="1:18">
      <c r="A1356" s="90" t="s">
        <v>192</v>
      </c>
      <c r="B1356" s="90" t="s">
        <v>1440</v>
      </c>
      <c r="C1356" s="90" t="str">
        <f t="shared" si="21"/>
        <v>Stony RiverHealth Care - Hospitals</v>
      </c>
      <c r="D1356" s="90">
        <v>1</v>
      </c>
      <c r="E1356" s="90">
        <v>2256.9250000000002</v>
      </c>
      <c r="F1356" s="90">
        <v>1573.0165476804564</v>
      </c>
      <c r="G1356" s="90">
        <v>0</v>
      </c>
      <c r="H1356" s="90">
        <v>16977.563262470368</v>
      </c>
      <c r="I1356" s="90">
        <v>0</v>
      </c>
      <c r="J1356" s="90">
        <v>0</v>
      </c>
      <c r="K1356" s="90">
        <v>0</v>
      </c>
      <c r="L1356" s="90">
        <v>1164.0322452835378</v>
      </c>
      <c r="M1356" s="90">
        <v>0</v>
      </c>
      <c r="N1356" s="90">
        <v>12563.396814228072</v>
      </c>
      <c r="O1356" s="90">
        <v>0</v>
      </c>
      <c r="P1356" s="90">
        <v>0</v>
      </c>
      <c r="Q1356" s="90">
        <v>0</v>
      </c>
      <c r="R1356" s="90">
        <v>15798.475000000002</v>
      </c>
    </row>
    <row r="1357" spans="1:18">
      <c r="A1357" s="90" t="s">
        <v>192</v>
      </c>
      <c r="B1357" s="90" t="s">
        <v>643</v>
      </c>
      <c r="C1357" s="90" t="str">
        <f t="shared" si="21"/>
        <v>Stony RiverOther</v>
      </c>
      <c r="D1357" s="90">
        <v>4</v>
      </c>
      <c r="E1357" s="90">
        <v>8655.681818181818</v>
      </c>
      <c r="F1357" s="90">
        <v>7486.0511870910277</v>
      </c>
      <c r="G1357" s="90">
        <v>0</v>
      </c>
      <c r="H1357" s="90">
        <v>62995.945945858351</v>
      </c>
      <c r="I1357" s="90">
        <v>0</v>
      </c>
      <c r="J1357" s="90">
        <v>0</v>
      </c>
      <c r="K1357" s="90">
        <v>0</v>
      </c>
      <c r="L1357" s="90">
        <v>5539.6778784473609</v>
      </c>
      <c r="M1357" s="90">
        <v>0</v>
      </c>
      <c r="N1357" s="90">
        <v>46616.999999935178</v>
      </c>
      <c r="O1357" s="90">
        <v>0</v>
      </c>
      <c r="P1357" s="90">
        <v>0</v>
      </c>
      <c r="Q1357" s="90">
        <v>0</v>
      </c>
      <c r="R1357" s="90">
        <v>60589.772727272728</v>
      </c>
    </row>
    <row r="1358" spans="1:18">
      <c r="A1358" s="90" t="s">
        <v>192</v>
      </c>
      <c r="B1358" s="90" t="s">
        <v>1227</v>
      </c>
      <c r="C1358" s="90" t="str">
        <f t="shared" si="21"/>
        <v>Stony RiverPublic Assembly</v>
      </c>
      <c r="D1358" s="90">
        <v>1</v>
      </c>
      <c r="E1358" s="90">
        <v>3136.7211538461538</v>
      </c>
      <c r="F1358" s="90">
        <v>1957.1809414995873</v>
      </c>
      <c r="G1358" s="90">
        <v>0</v>
      </c>
      <c r="H1358" s="90">
        <v>11799.515613395884</v>
      </c>
      <c r="I1358" s="90">
        <v>0</v>
      </c>
      <c r="J1358" s="90">
        <v>0</v>
      </c>
      <c r="K1358" s="90">
        <v>0</v>
      </c>
      <c r="L1358" s="90">
        <v>1448.3138967096945</v>
      </c>
      <c r="M1358" s="90">
        <v>0</v>
      </c>
      <c r="N1358" s="90">
        <v>8731.6415539129539</v>
      </c>
      <c r="O1358" s="90">
        <v>0</v>
      </c>
      <c r="P1358" s="90">
        <v>0</v>
      </c>
      <c r="Q1358" s="90">
        <v>0</v>
      </c>
      <c r="R1358" s="90">
        <v>21957.048076923078</v>
      </c>
    </row>
    <row r="1359" spans="1:18">
      <c r="A1359" s="90" t="s">
        <v>192</v>
      </c>
      <c r="B1359" s="90" t="s">
        <v>951</v>
      </c>
      <c r="C1359" s="90" t="str">
        <f t="shared" si="21"/>
        <v>Stony RiverWarehousing</v>
      </c>
      <c r="D1359" s="90">
        <v>1</v>
      </c>
      <c r="E1359" s="90">
        <v>1783.9572649572649</v>
      </c>
      <c r="F1359" s="90">
        <v>2236.2446758544302</v>
      </c>
      <c r="G1359" s="90">
        <v>0</v>
      </c>
      <c r="H1359" s="90">
        <v>21166.918377106285</v>
      </c>
      <c r="I1359" s="90">
        <v>0</v>
      </c>
      <c r="J1359" s="90">
        <v>0</v>
      </c>
      <c r="K1359" s="90">
        <v>0</v>
      </c>
      <c r="L1359" s="90">
        <v>1654.8210601322783</v>
      </c>
      <c r="M1359" s="90">
        <v>0</v>
      </c>
      <c r="N1359" s="90">
        <v>15663.519599058651</v>
      </c>
      <c r="O1359" s="90">
        <v>0</v>
      </c>
      <c r="P1359" s="90">
        <v>0</v>
      </c>
      <c r="Q1359" s="90">
        <v>0</v>
      </c>
      <c r="R1359" s="90">
        <v>12487.700854700854</v>
      </c>
    </row>
    <row r="1360" spans="1:18">
      <c r="A1360" s="90" t="s">
        <v>1074</v>
      </c>
      <c r="B1360" s="90" t="s">
        <v>1439</v>
      </c>
      <c r="C1360" s="90" t="str">
        <f t="shared" si="21"/>
        <v>SuttonEducation - K - 12</v>
      </c>
      <c r="D1360" s="90">
        <v>1</v>
      </c>
      <c r="E1360" s="90">
        <v>25414</v>
      </c>
      <c r="F1360" s="90" t="e">
        <v>#N/A</v>
      </c>
      <c r="G1360" s="90">
        <v>0</v>
      </c>
      <c r="H1360" s="90" t="e">
        <v>#N/A</v>
      </c>
      <c r="I1360" s="90">
        <v>0</v>
      </c>
      <c r="J1360" s="90">
        <v>0</v>
      </c>
      <c r="K1360" s="90">
        <v>0</v>
      </c>
      <c r="L1360" s="90" t="e">
        <v>#N/A</v>
      </c>
      <c r="M1360" s="90">
        <v>0</v>
      </c>
      <c r="N1360" s="90" t="e">
        <v>#N/A</v>
      </c>
      <c r="O1360" s="90">
        <v>0</v>
      </c>
      <c r="P1360" s="90">
        <v>0</v>
      </c>
      <c r="Q1360" s="90">
        <v>0</v>
      </c>
      <c r="R1360" s="90">
        <v>177898</v>
      </c>
    </row>
    <row r="1361" spans="1:18">
      <c r="A1361" s="90" t="s">
        <v>231</v>
      </c>
      <c r="B1361" s="90" t="s">
        <v>1447</v>
      </c>
      <c r="C1361" s="90" t="str">
        <f t="shared" si="21"/>
        <v>TakotnaAccomodation Services</v>
      </c>
      <c r="D1361" s="90">
        <v>1</v>
      </c>
      <c r="E1361" s="90">
        <v>4770.8148148148148</v>
      </c>
      <c r="F1361" s="90">
        <v>2988.4980540000279</v>
      </c>
      <c r="G1361" s="90">
        <v>0</v>
      </c>
      <c r="H1361" s="90">
        <v>35003.910702682631</v>
      </c>
      <c r="I1361" s="90">
        <v>0</v>
      </c>
      <c r="J1361" s="90">
        <v>0</v>
      </c>
      <c r="K1361" s="90">
        <v>0</v>
      </c>
      <c r="L1361" s="90">
        <v>2211.4885599600207</v>
      </c>
      <c r="M1361" s="90">
        <v>0</v>
      </c>
      <c r="N1361" s="90">
        <v>25902.893919985148</v>
      </c>
      <c r="O1361" s="90">
        <v>0</v>
      </c>
      <c r="P1361" s="90">
        <v>0</v>
      </c>
      <c r="Q1361" s="90">
        <v>0</v>
      </c>
      <c r="R1361" s="90">
        <v>33395.703703703701</v>
      </c>
    </row>
    <row r="1362" spans="1:18">
      <c r="A1362" s="90" t="s">
        <v>231</v>
      </c>
      <c r="B1362" s="90" t="s">
        <v>1439</v>
      </c>
      <c r="C1362" s="90" t="str">
        <f t="shared" si="21"/>
        <v>TakotnaEducation - K - 12</v>
      </c>
      <c r="D1362" s="90">
        <v>4</v>
      </c>
      <c r="E1362" s="90">
        <v>7082</v>
      </c>
      <c r="F1362" s="90">
        <v>6003.8677924005606</v>
      </c>
      <c r="G1362" s="90">
        <v>0</v>
      </c>
      <c r="H1362" s="90">
        <v>46021.766993305238</v>
      </c>
      <c r="I1362" s="90">
        <v>0</v>
      </c>
      <c r="J1362" s="90">
        <v>0</v>
      </c>
      <c r="K1362" s="90">
        <v>0</v>
      </c>
      <c r="L1362" s="90">
        <v>4442.8621663764152</v>
      </c>
      <c r="M1362" s="90">
        <v>0</v>
      </c>
      <c r="N1362" s="90">
        <v>34056.107575045877</v>
      </c>
      <c r="O1362" s="90">
        <v>0</v>
      </c>
      <c r="P1362" s="90">
        <v>0</v>
      </c>
      <c r="Q1362" s="90">
        <v>0</v>
      </c>
      <c r="R1362" s="90">
        <v>49574</v>
      </c>
    </row>
    <row r="1363" spans="1:18">
      <c r="A1363" s="90" t="s">
        <v>231</v>
      </c>
      <c r="B1363" s="90" t="s">
        <v>1440</v>
      </c>
      <c r="C1363" s="90" t="str">
        <f t="shared" si="21"/>
        <v>TakotnaHealth Care - Hospitals</v>
      </c>
      <c r="D1363" s="90">
        <v>1</v>
      </c>
      <c r="E1363" s="90">
        <v>2256.9250000000002</v>
      </c>
      <c r="F1363" s="90">
        <v>1573.0165476804564</v>
      </c>
      <c r="G1363" s="90">
        <v>0</v>
      </c>
      <c r="H1363" s="90">
        <v>16977.563262470368</v>
      </c>
      <c r="I1363" s="90">
        <v>0</v>
      </c>
      <c r="J1363" s="90">
        <v>0</v>
      </c>
      <c r="K1363" s="90">
        <v>0</v>
      </c>
      <c r="L1363" s="90">
        <v>1164.0322452835378</v>
      </c>
      <c r="M1363" s="90">
        <v>0</v>
      </c>
      <c r="N1363" s="90">
        <v>12563.396814228072</v>
      </c>
      <c r="O1363" s="90">
        <v>0</v>
      </c>
      <c r="P1363" s="90">
        <v>0</v>
      </c>
      <c r="Q1363" s="90">
        <v>0</v>
      </c>
      <c r="R1363" s="90">
        <v>15798.475000000002</v>
      </c>
    </row>
    <row r="1364" spans="1:18">
      <c r="A1364" s="90" t="s">
        <v>231</v>
      </c>
      <c r="B1364" s="90" t="s">
        <v>665</v>
      </c>
      <c r="C1364" s="90" t="str">
        <f t="shared" si="21"/>
        <v>TakotnaOffice</v>
      </c>
      <c r="D1364" s="90">
        <v>1</v>
      </c>
      <c r="E1364" s="90">
        <v>2033.2585034013605</v>
      </c>
      <c r="F1364" s="90">
        <v>2705.5824722962652</v>
      </c>
      <c r="G1364" s="90">
        <v>0</v>
      </c>
      <c r="H1364" s="90">
        <v>16298.661644952717</v>
      </c>
      <c r="I1364" s="90">
        <v>0</v>
      </c>
      <c r="J1364" s="90">
        <v>0</v>
      </c>
      <c r="K1364" s="90">
        <v>0</v>
      </c>
      <c r="L1364" s="90">
        <v>2002.1310294992363</v>
      </c>
      <c r="M1364" s="90">
        <v>0</v>
      </c>
      <c r="N1364" s="90">
        <v>12061.00961726501</v>
      </c>
      <c r="O1364" s="90">
        <v>0</v>
      </c>
      <c r="P1364" s="90">
        <v>0</v>
      </c>
      <c r="Q1364" s="90">
        <v>0</v>
      </c>
      <c r="R1364" s="90">
        <v>14232.809523809523</v>
      </c>
    </row>
    <row r="1365" spans="1:18">
      <c r="A1365" s="90" t="s">
        <v>231</v>
      </c>
      <c r="B1365" s="90" t="s">
        <v>643</v>
      </c>
      <c r="C1365" s="90" t="str">
        <f t="shared" si="21"/>
        <v>TakotnaOther</v>
      </c>
      <c r="D1365" s="90">
        <v>7</v>
      </c>
      <c r="E1365" s="90">
        <v>12109.681818181818</v>
      </c>
      <c r="F1365" s="90">
        <v>10032.234891826671</v>
      </c>
      <c r="G1365" s="90">
        <v>0</v>
      </c>
      <c r="H1365" s="90">
        <v>88134.115516733422</v>
      </c>
      <c r="I1365" s="90">
        <v>0</v>
      </c>
      <c r="J1365" s="90">
        <v>0</v>
      </c>
      <c r="K1365" s="90">
        <v>0</v>
      </c>
      <c r="L1365" s="90">
        <v>7423.853819951737</v>
      </c>
      <c r="M1365" s="90">
        <v>0</v>
      </c>
      <c r="N1365" s="90">
        <v>65219.245482382728</v>
      </c>
      <c r="O1365" s="90">
        <v>0</v>
      </c>
      <c r="P1365" s="90">
        <v>0</v>
      </c>
      <c r="Q1365" s="90">
        <v>0</v>
      </c>
      <c r="R1365" s="90">
        <v>84767.772727272721</v>
      </c>
    </row>
    <row r="1366" spans="1:18">
      <c r="A1366" s="90" t="s">
        <v>231</v>
      </c>
      <c r="B1366" s="90" t="s">
        <v>1227</v>
      </c>
      <c r="C1366" s="90" t="str">
        <f t="shared" si="21"/>
        <v>TakotnaPublic Assembly</v>
      </c>
      <c r="D1366" s="90">
        <v>4</v>
      </c>
      <c r="E1366" s="90">
        <v>12546.884615384615</v>
      </c>
      <c r="F1366" s="90">
        <v>7828.7237659983493</v>
      </c>
      <c r="G1366" s="90">
        <v>0</v>
      </c>
      <c r="H1366" s="90">
        <v>47198.062453583538</v>
      </c>
      <c r="I1366" s="90">
        <v>0</v>
      </c>
      <c r="J1366" s="90">
        <v>0</v>
      </c>
      <c r="K1366" s="90">
        <v>0</v>
      </c>
      <c r="L1366" s="90">
        <v>5793.2555868387781</v>
      </c>
      <c r="M1366" s="90">
        <v>0</v>
      </c>
      <c r="N1366" s="90">
        <v>34926.566215651816</v>
      </c>
      <c r="O1366" s="90">
        <v>0</v>
      </c>
      <c r="P1366" s="90">
        <v>0</v>
      </c>
      <c r="Q1366" s="90">
        <v>0</v>
      </c>
      <c r="R1366" s="90">
        <v>87828.192307692312</v>
      </c>
    </row>
    <row r="1367" spans="1:18">
      <c r="A1367" s="90" t="s">
        <v>231</v>
      </c>
      <c r="B1367" s="90" t="s">
        <v>1485</v>
      </c>
      <c r="C1367" s="90" t="str">
        <f t="shared" si="21"/>
        <v>TakotnaRetail - Other</v>
      </c>
      <c r="D1367" s="90">
        <v>1</v>
      </c>
      <c r="E1367" s="90">
        <v>2105.2800000000002</v>
      </c>
      <c r="F1367" s="90">
        <v>2225.7819714285715</v>
      </c>
      <c r="G1367" s="90">
        <v>0</v>
      </c>
      <c r="H1367" s="90">
        <v>49590.373216004155</v>
      </c>
      <c r="I1367" s="90">
        <v>0</v>
      </c>
      <c r="J1367" s="90">
        <v>0</v>
      </c>
      <c r="K1367" s="90">
        <v>0</v>
      </c>
      <c r="L1367" s="90">
        <v>1647.078658857143</v>
      </c>
      <c r="M1367" s="90">
        <v>0</v>
      </c>
      <c r="N1367" s="90">
        <v>36696.876179843071</v>
      </c>
      <c r="O1367" s="90">
        <v>0</v>
      </c>
      <c r="P1367" s="90">
        <v>0</v>
      </c>
      <c r="Q1367" s="90">
        <v>0</v>
      </c>
      <c r="R1367" s="90">
        <v>14736.960000000001</v>
      </c>
    </row>
    <row r="1368" spans="1:18">
      <c r="A1368" s="90" t="s">
        <v>231</v>
      </c>
      <c r="B1368" s="90" t="s">
        <v>951</v>
      </c>
      <c r="C1368" s="90" t="str">
        <f t="shared" si="21"/>
        <v>TakotnaWarehousing</v>
      </c>
      <c r="D1368" s="90">
        <v>1</v>
      </c>
      <c r="E1368" s="90">
        <v>1200</v>
      </c>
      <c r="F1368" s="90">
        <v>1504.2364880246164</v>
      </c>
      <c r="G1368" s="90">
        <v>0</v>
      </c>
      <c r="H1368" s="90">
        <v>14238.178543551609</v>
      </c>
      <c r="I1368" s="90">
        <v>0</v>
      </c>
      <c r="J1368" s="90">
        <v>0</v>
      </c>
      <c r="K1368" s="90">
        <v>0</v>
      </c>
      <c r="L1368" s="90">
        <v>1113.135001138216</v>
      </c>
      <c r="M1368" s="90">
        <v>0</v>
      </c>
      <c r="N1368" s="90">
        <v>10536.25212222819</v>
      </c>
      <c r="O1368" s="90">
        <v>0</v>
      </c>
      <c r="P1368" s="90">
        <v>0</v>
      </c>
      <c r="Q1368" s="90">
        <v>0</v>
      </c>
      <c r="R1368" s="90">
        <v>8400</v>
      </c>
    </row>
    <row r="1369" spans="1:18">
      <c r="A1369" s="90" t="s">
        <v>1075</v>
      </c>
      <c r="B1369" s="90" t="s">
        <v>1439</v>
      </c>
      <c r="C1369" s="90" t="str">
        <f t="shared" si="21"/>
        <v>TalkeetnaEducation - K - 12</v>
      </c>
      <c r="D1369" s="90">
        <v>1</v>
      </c>
      <c r="E1369" s="90">
        <v>28595</v>
      </c>
      <c r="F1369" s="90">
        <v>21006.776310409674</v>
      </c>
      <c r="G1369" s="90">
        <v>0</v>
      </c>
      <c r="H1369" s="90">
        <v>202473.24039089607</v>
      </c>
      <c r="I1369" s="90">
        <v>0</v>
      </c>
      <c r="J1369" s="90">
        <v>0</v>
      </c>
      <c r="K1369" s="90">
        <v>0</v>
      </c>
      <c r="L1369" s="90">
        <v>15545.014469703159</v>
      </c>
      <c r="M1369" s="90">
        <v>0</v>
      </c>
      <c r="N1369" s="90">
        <v>149830.1978892631</v>
      </c>
      <c r="O1369" s="90">
        <v>0</v>
      </c>
      <c r="P1369" s="90">
        <v>0</v>
      </c>
      <c r="Q1369" s="90">
        <v>0</v>
      </c>
      <c r="R1369" s="90">
        <v>200165</v>
      </c>
    </row>
    <row r="1370" spans="1:18">
      <c r="A1370" s="90" t="s">
        <v>1076</v>
      </c>
      <c r="B1370" s="90" t="s">
        <v>1439</v>
      </c>
      <c r="C1370" s="90" t="str">
        <f t="shared" si="21"/>
        <v>TanacrossEducation - K - 12</v>
      </c>
      <c r="D1370" s="90">
        <v>1</v>
      </c>
      <c r="E1370" s="90">
        <v>7538</v>
      </c>
      <c r="F1370" s="90">
        <v>4251</v>
      </c>
      <c r="G1370" s="90">
        <v>0</v>
      </c>
      <c r="H1370" s="90">
        <v>44475.398809999999</v>
      </c>
      <c r="I1370" s="90">
        <v>0</v>
      </c>
      <c r="J1370" s="90">
        <v>0</v>
      </c>
      <c r="K1370" s="90">
        <v>0</v>
      </c>
      <c r="L1370" s="90">
        <v>3145.74</v>
      </c>
      <c r="M1370" s="90">
        <v>0</v>
      </c>
      <c r="N1370" s="90">
        <v>32911.795119399998</v>
      </c>
      <c r="O1370" s="90">
        <v>0</v>
      </c>
      <c r="P1370" s="90">
        <v>0</v>
      </c>
      <c r="Q1370" s="90">
        <v>0</v>
      </c>
      <c r="R1370" s="90">
        <v>52766</v>
      </c>
    </row>
    <row r="1371" spans="1:18">
      <c r="A1371" s="90" t="s">
        <v>1076</v>
      </c>
      <c r="B1371" s="90" t="s">
        <v>665</v>
      </c>
      <c r="C1371" s="90" t="str">
        <f t="shared" si="21"/>
        <v>TanacrossOffice</v>
      </c>
      <c r="D1371" s="90">
        <v>1</v>
      </c>
      <c r="E1371" s="90">
        <v>2033.2585034013605</v>
      </c>
      <c r="F1371" s="90">
        <v>2705.5824722962652</v>
      </c>
      <c r="G1371" s="90">
        <v>0</v>
      </c>
      <c r="H1371" s="90">
        <v>16298.661644952717</v>
      </c>
      <c r="I1371" s="90">
        <v>0</v>
      </c>
      <c r="J1371" s="90">
        <v>0</v>
      </c>
      <c r="K1371" s="90">
        <v>0</v>
      </c>
      <c r="L1371" s="90">
        <v>2002.1310294992363</v>
      </c>
      <c r="M1371" s="90">
        <v>0</v>
      </c>
      <c r="N1371" s="90">
        <v>12061.00961726501</v>
      </c>
      <c r="O1371" s="90">
        <v>0</v>
      </c>
      <c r="P1371" s="90">
        <v>0</v>
      </c>
      <c r="Q1371" s="90">
        <v>0</v>
      </c>
      <c r="R1371" s="90">
        <v>14232.809523809523</v>
      </c>
    </row>
    <row r="1372" spans="1:18">
      <c r="A1372" s="90" t="s">
        <v>1076</v>
      </c>
      <c r="B1372" s="90" t="s">
        <v>643</v>
      </c>
      <c r="C1372" s="90" t="str">
        <f t="shared" si="21"/>
        <v>TanacrossOther</v>
      </c>
      <c r="D1372" s="90">
        <v>3</v>
      </c>
      <c r="E1372" s="90">
        <v>6491.761363636364</v>
      </c>
      <c r="F1372" s="90">
        <v>5614.538390318271</v>
      </c>
      <c r="G1372" s="90">
        <v>0</v>
      </c>
      <c r="H1372" s="90">
        <v>47246.959459393765</v>
      </c>
      <c r="I1372" s="90">
        <v>0</v>
      </c>
      <c r="J1372" s="90">
        <v>0</v>
      </c>
      <c r="K1372" s="90">
        <v>0</v>
      </c>
      <c r="L1372" s="90">
        <v>4154.7584088355206</v>
      </c>
      <c r="M1372" s="90">
        <v>0</v>
      </c>
      <c r="N1372" s="90">
        <v>34962.749999951382</v>
      </c>
      <c r="O1372" s="90">
        <v>0</v>
      </c>
      <c r="P1372" s="90">
        <v>0</v>
      </c>
      <c r="Q1372" s="90">
        <v>0</v>
      </c>
      <c r="R1372" s="90">
        <v>45442.329545454544</v>
      </c>
    </row>
    <row r="1373" spans="1:18">
      <c r="A1373" s="90" t="s">
        <v>1076</v>
      </c>
      <c r="B1373" s="90" t="s">
        <v>1227</v>
      </c>
      <c r="C1373" s="90" t="str">
        <f t="shared" si="21"/>
        <v>TanacrossPublic Assembly</v>
      </c>
      <c r="D1373" s="90">
        <v>3</v>
      </c>
      <c r="E1373" s="90">
        <v>9410.163461538461</v>
      </c>
      <c r="F1373" s="90">
        <v>3914.3618829991747</v>
      </c>
      <c r="G1373" s="90">
        <v>0</v>
      </c>
      <c r="H1373" s="90">
        <v>35398.546840187657</v>
      </c>
      <c r="I1373" s="90">
        <v>0</v>
      </c>
      <c r="J1373" s="90">
        <v>0</v>
      </c>
      <c r="K1373" s="90">
        <v>16.880685620433944</v>
      </c>
      <c r="L1373" s="90">
        <v>2896.627793419389</v>
      </c>
      <c r="M1373" s="90">
        <v>0</v>
      </c>
      <c r="N1373" s="90">
        <v>26194.924661738864</v>
      </c>
      <c r="O1373" s="90">
        <v>0</v>
      </c>
      <c r="P1373" s="90">
        <v>0</v>
      </c>
      <c r="Q1373" s="90">
        <v>12.491707359121119</v>
      </c>
      <c r="R1373" s="90">
        <v>65871.144230769234</v>
      </c>
    </row>
    <row r="1374" spans="1:18">
      <c r="A1374" s="90" t="s">
        <v>1076</v>
      </c>
      <c r="B1374" s="90" t="s">
        <v>1475</v>
      </c>
      <c r="C1374" s="90" t="str">
        <f t="shared" si="21"/>
        <v>TanacrossPublic Safety</v>
      </c>
      <c r="D1374" s="90">
        <v>1</v>
      </c>
      <c r="E1374" s="90">
        <v>2595.4749999999999</v>
      </c>
      <c r="F1374" s="90">
        <v>2523.774623927618</v>
      </c>
      <c r="G1374" s="90">
        <v>0</v>
      </c>
      <c r="H1374" s="90">
        <v>20946.642306328533</v>
      </c>
      <c r="I1374" s="90">
        <v>0</v>
      </c>
      <c r="J1374" s="90">
        <v>0</v>
      </c>
      <c r="K1374" s="90">
        <v>0</v>
      </c>
      <c r="L1374" s="90">
        <v>1867.5932217064374</v>
      </c>
      <c r="M1374" s="90">
        <v>0</v>
      </c>
      <c r="N1374" s="90">
        <v>15500.515306683114</v>
      </c>
      <c r="O1374" s="90">
        <v>0</v>
      </c>
      <c r="P1374" s="90">
        <v>0</v>
      </c>
      <c r="Q1374" s="90">
        <v>0</v>
      </c>
      <c r="R1374" s="90">
        <v>18168.325000000001</v>
      </c>
    </row>
    <row r="1375" spans="1:18">
      <c r="A1375" s="90" t="s">
        <v>235</v>
      </c>
      <c r="B1375" s="90" t="s">
        <v>1439</v>
      </c>
      <c r="C1375" s="90" t="str">
        <f t="shared" si="21"/>
        <v>TananaEducation - K - 12</v>
      </c>
      <c r="D1375" s="90">
        <v>3</v>
      </c>
      <c r="E1375" s="90">
        <v>28810</v>
      </c>
      <c r="F1375" s="90">
        <v>18484.311864835683</v>
      </c>
      <c r="G1375" s="90">
        <v>0</v>
      </c>
      <c r="H1375" s="90">
        <v>135464.36471965682</v>
      </c>
      <c r="I1375" s="90">
        <v>0</v>
      </c>
      <c r="J1375" s="90">
        <v>0</v>
      </c>
      <c r="K1375" s="90">
        <v>0</v>
      </c>
      <c r="L1375" s="90">
        <v>13678.390779978405</v>
      </c>
      <c r="M1375" s="90">
        <v>0</v>
      </c>
      <c r="N1375" s="90">
        <v>100243.62989254606</v>
      </c>
      <c r="O1375" s="90">
        <v>0</v>
      </c>
      <c r="P1375" s="90">
        <v>0</v>
      </c>
      <c r="Q1375" s="90">
        <v>0</v>
      </c>
      <c r="R1375" s="90">
        <v>201670</v>
      </c>
    </row>
    <row r="1376" spans="1:18">
      <c r="A1376" s="90" t="s">
        <v>235</v>
      </c>
      <c r="B1376" s="90" t="s">
        <v>1469</v>
      </c>
      <c r="C1376" s="90" t="str">
        <f t="shared" si="21"/>
        <v>TananaFood Service and Drinking Places</v>
      </c>
      <c r="D1376" s="90">
        <v>1</v>
      </c>
      <c r="E1376" s="90">
        <v>714</v>
      </c>
      <c r="F1376" s="90">
        <v>286.55199999999996</v>
      </c>
      <c r="G1376" s="90">
        <v>0</v>
      </c>
      <c r="H1376" s="90">
        <v>1341.0120689999999</v>
      </c>
      <c r="I1376" s="90">
        <v>0</v>
      </c>
      <c r="J1376" s="90">
        <v>0</v>
      </c>
      <c r="K1376" s="90">
        <v>0</v>
      </c>
      <c r="L1376" s="90">
        <v>212.04847999999998</v>
      </c>
      <c r="M1376" s="90">
        <v>0</v>
      </c>
      <c r="N1376" s="90">
        <v>992.34893105999993</v>
      </c>
      <c r="O1376" s="90">
        <v>0</v>
      </c>
      <c r="P1376" s="90">
        <v>0</v>
      </c>
      <c r="Q1376" s="90">
        <v>0</v>
      </c>
      <c r="R1376" s="90">
        <v>4998</v>
      </c>
    </row>
    <row r="1377" spans="1:18">
      <c r="A1377" s="90" t="s">
        <v>235</v>
      </c>
      <c r="B1377" s="90" t="s">
        <v>1440</v>
      </c>
      <c r="C1377" s="90" t="str">
        <f t="shared" si="21"/>
        <v>TananaHealth Care - Hospitals</v>
      </c>
      <c r="D1377" s="90">
        <v>1</v>
      </c>
      <c r="E1377" s="90">
        <v>2256.9250000000002</v>
      </c>
      <c r="F1377" s="90">
        <v>1573.0165476804564</v>
      </c>
      <c r="G1377" s="90">
        <v>0</v>
      </c>
      <c r="H1377" s="90">
        <v>16977.563262470368</v>
      </c>
      <c r="I1377" s="90">
        <v>0</v>
      </c>
      <c r="J1377" s="90">
        <v>0</v>
      </c>
      <c r="K1377" s="90">
        <v>0</v>
      </c>
      <c r="L1377" s="90">
        <v>1164.0322452835378</v>
      </c>
      <c r="M1377" s="90">
        <v>0</v>
      </c>
      <c r="N1377" s="90">
        <v>12563.396814228072</v>
      </c>
      <c r="O1377" s="90">
        <v>0</v>
      </c>
      <c r="P1377" s="90">
        <v>0</v>
      </c>
      <c r="Q1377" s="90">
        <v>0</v>
      </c>
      <c r="R1377" s="90">
        <v>15798.475000000002</v>
      </c>
    </row>
    <row r="1378" spans="1:18">
      <c r="A1378" s="90" t="s">
        <v>235</v>
      </c>
      <c r="B1378" s="90" t="s">
        <v>665</v>
      </c>
      <c r="C1378" s="90" t="str">
        <f t="shared" si="21"/>
        <v>TananaOffice</v>
      </c>
      <c r="D1378" s="90">
        <v>3</v>
      </c>
      <c r="E1378" s="90">
        <v>5366.517006802721</v>
      </c>
      <c r="F1378" s="90">
        <v>7141.0272361315847</v>
      </c>
      <c r="G1378" s="90">
        <v>0</v>
      </c>
      <c r="H1378" s="90">
        <v>43018.162599316172</v>
      </c>
      <c r="I1378" s="90">
        <v>0</v>
      </c>
      <c r="J1378" s="90">
        <v>0</v>
      </c>
      <c r="K1378" s="90">
        <v>0</v>
      </c>
      <c r="L1378" s="90">
        <v>5284.3601547373728</v>
      </c>
      <c r="M1378" s="90">
        <v>0</v>
      </c>
      <c r="N1378" s="90">
        <v>31833.44032349396</v>
      </c>
      <c r="O1378" s="90">
        <v>0</v>
      </c>
      <c r="P1378" s="90">
        <v>0</v>
      </c>
      <c r="Q1378" s="90">
        <v>0</v>
      </c>
      <c r="R1378" s="90">
        <v>37565.619047619046</v>
      </c>
    </row>
    <row r="1379" spans="1:18">
      <c r="A1379" s="90" t="s">
        <v>235</v>
      </c>
      <c r="B1379" s="90" t="s">
        <v>643</v>
      </c>
      <c r="C1379" s="90" t="str">
        <f t="shared" si="21"/>
        <v>TananaOther</v>
      </c>
      <c r="D1379" s="90">
        <v>8</v>
      </c>
      <c r="E1379" s="90">
        <v>11001.840909090908</v>
      </c>
      <c r="F1379" s="90">
        <v>9515.1769586404407</v>
      </c>
      <c r="G1379" s="90">
        <v>0</v>
      </c>
      <c r="H1379" s="90">
        <v>70355.396009155011</v>
      </c>
      <c r="I1379" s="90">
        <v>0</v>
      </c>
      <c r="J1379" s="90">
        <v>0</v>
      </c>
      <c r="K1379" s="90">
        <v>0</v>
      </c>
      <c r="L1379" s="90">
        <v>7041.2309493939265</v>
      </c>
      <c r="M1379" s="90">
        <v>0</v>
      </c>
      <c r="N1379" s="90">
        <v>52062.993046774704</v>
      </c>
      <c r="O1379" s="90">
        <v>0</v>
      </c>
      <c r="P1379" s="90">
        <v>0</v>
      </c>
      <c r="Q1379" s="90">
        <v>0</v>
      </c>
      <c r="R1379" s="90">
        <v>77012.886363636368</v>
      </c>
    </row>
    <row r="1380" spans="1:18">
      <c r="A1380" s="90" t="s">
        <v>235</v>
      </c>
      <c r="B1380" s="90" t="s">
        <v>1227</v>
      </c>
      <c r="C1380" s="90" t="str">
        <f t="shared" si="21"/>
        <v>TananaPublic Assembly</v>
      </c>
      <c r="D1380" s="90">
        <v>3</v>
      </c>
      <c r="E1380" s="90">
        <v>4554</v>
      </c>
      <c r="F1380" s="90">
        <v>3197.9151607721014</v>
      </c>
      <c r="G1380" s="90">
        <v>0</v>
      </c>
      <c r="H1380" s="90">
        <v>13012.166945165764</v>
      </c>
      <c r="I1380" s="90">
        <v>0</v>
      </c>
      <c r="J1380" s="90">
        <v>0</v>
      </c>
      <c r="K1380" s="90">
        <v>0</v>
      </c>
      <c r="L1380" s="90">
        <v>2366.4572189713549</v>
      </c>
      <c r="M1380" s="90">
        <v>0</v>
      </c>
      <c r="N1380" s="90">
        <v>9629.0035394226652</v>
      </c>
      <c r="O1380" s="90">
        <v>0</v>
      </c>
      <c r="P1380" s="90">
        <v>0</v>
      </c>
      <c r="Q1380" s="90">
        <v>0</v>
      </c>
      <c r="R1380" s="90">
        <v>31878</v>
      </c>
    </row>
    <row r="1381" spans="1:18">
      <c r="A1381" s="90" t="s">
        <v>235</v>
      </c>
      <c r="B1381" s="90" t="s">
        <v>1475</v>
      </c>
      <c r="C1381" s="90" t="str">
        <f t="shared" si="21"/>
        <v>TananaPublic Safety</v>
      </c>
      <c r="D1381" s="90">
        <v>3</v>
      </c>
      <c r="E1381" s="90">
        <v>3800</v>
      </c>
      <c r="F1381" s="90">
        <v>3444.7497078011679</v>
      </c>
      <c r="G1381" s="90">
        <v>0</v>
      </c>
      <c r="H1381" s="90">
        <v>19940.893136191669</v>
      </c>
      <c r="I1381" s="90">
        <v>0</v>
      </c>
      <c r="J1381" s="90">
        <v>0</v>
      </c>
      <c r="K1381" s="90">
        <v>0</v>
      </c>
      <c r="L1381" s="90">
        <v>2549.114783772864</v>
      </c>
      <c r="M1381" s="90">
        <v>0</v>
      </c>
      <c r="N1381" s="90">
        <v>14756.260920781835</v>
      </c>
      <c r="O1381" s="90">
        <v>0</v>
      </c>
      <c r="P1381" s="90">
        <v>51.8</v>
      </c>
      <c r="Q1381" s="90">
        <v>0</v>
      </c>
      <c r="R1381" s="90">
        <v>26600</v>
      </c>
    </row>
    <row r="1382" spans="1:18">
      <c r="A1382" s="90" t="s">
        <v>235</v>
      </c>
      <c r="B1382" s="90" t="s">
        <v>1442</v>
      </c>
      <c r="C1382" s="90" t="str">
        <f t="shared" si="21"/>
        <v>TananaResidential - Multi-Family</v>
      </c>
      <c r="D1382" s="90">
        <v>1</v>
      </c>
      <c r="E1382" s="90">
        <v>2575</v>
      </c>
      <c r="F1382" s="90">
        <v>1945.4708077324137</v>
      </c>
      <c r="G1382" s="90">
        <v>0</v>
      </c>
      <c r="H1382" s="90">
        <v>13482.644327142774</v>
      </c>
      <c r="I1382" s="90">
        <v>0</v>
      </c>
      <c r="J1382" s="90">
        <v>0</v>
      </c>
      <c r="K1382" s="90">
        <v>0</v>
      </c>
      <c r="L1382" s="90">
        <v>1439.6483977219862</v>
      </c>
      <c r="M1382" s="90">
        <v>0</v>
      </c>
      <c r="N1382" s="90">
        <v>9977.1568020856521</v>
      </c>
      <c r="O1382" s="90">
        <v>0</v>
      </c>
      <c r="P1382" s="90">
        <v>0</v>
      </c>
      <c r="Q1382" s="90">
        <v>0</v>
      </c>
      <c r="R1382" s="90">
        <v>18025</v>
      </c>
    </row>
    <row r="1383" spans="1:18">
      <c r="A1383" s="90" t="s">
        <v>235</v>
      </c>
      <c r="B1383" s="90" t="s">
        <v>1485</v>
      </c>
      <c r="C1383" s="90" t="str">
        <f t="shared" si="21"/>
        <v>TananaRetail - Other</v>
      </c>
      <c r="D1383" s="90">
        <v>2</v>
      </c>
      <c r="E1383" s="90">
        <v>3037.28</v>
      </c>
      <c r="F1383" s="90">
        <v>3211.1277674136322</v>
      </c>
      <c r="G1383" s="90">
        <v>0</v>
      </c>
      <c r="H1383" s="90">
        <v>71543.855810868437</v>
      </c>
      <c r="I1383" s="90">
        <v>0</v>
      </c>
      <c r="J1383" s="90">
        <v>0</v>
      </c>
      <c r="K1383" s="90">
        <v>0</v>
      </c>
      <c r="L1383" s="90">
        <v>2376.234547886088</v>
      </c>
      <c r="M1383" s="90">
        <v>0</v>
      </c>
      <c r="N1383" s="90">
        <v>52942.453300042631</v>
      </c>
      <c r="O1383" s="90">
        <v>0</v>
      </c>
      <c r="P1383" s="90">
        <v>0</v>
      </c>
      <c r="Q1383" s="90">
        <v>0</v>
      </c>
      <c r="R1383" s="90">
        <v>21260.959999999999</v>
      </c>
    </row>
    <row r="1384" spans="1:18">
      <c r="A1384" s="90" t="s">
        <v>235</v>
      </c>
      <c r="B1384" s="90" t="s">
        <v>951</v>
      </c>
      <c r="C1384" s="90" t="str">
        <f t="shared" si="21"/>
        <v>TananaWarehousing</v>
      </c>
      <c r="D1384" s="90">
        <v>2</v>
      </c>
      <c r="E1384" s="90">
        <v>1440</v>
      </c>
      <c r="F1384" s="90">
        <v>1805.0837856295398</v>
      </c>
      <c r="G1384" s="90">
        <v>0</v>
      </c>
      <c r="H1384" s="90">
        <v>17085.814252261931</v>
      </c>
      <c r="I1384" s="90">
        <v>0</v>
      </c>
      <c r="J1384" s="90">
        <v>0</v>
      </c>
      <c r="K1384" s="90">
        <v>0</v>
      </c>
      <c r="L1384" s="90">
        <v>1335.7620013658593</v>
      </c>
      <c r="M1384" s="90">
        <v>0</v>
      </c>
      <c r="N1384" s="90">
        <v>12643.502546673828</v>
      </c>
      <c r="O1384" s="90">
        <v>0</v>
      </c>
      <c r="P1384" s="90">
        <v>0</v>
      </c>
      <c r="Q1384" s="90">
        <v>0</v>
      </c>
      <c r="R1384" s="90">
        <v>10080</v>
      </c>
    </row>
    <row r="1385" spans="1:18">
      <c r="A1385" s="90" t="s">
        <v>237</v>
      </c>
      <c r="B1385" s="90" t="s">
        <v>1439</v>
      </c>
      <c r="C1385" s="90" t="str">
        <f t="shared" si="21"/>
        <v>TatitlekEducation - K - 12</v>
      </c>
      <c r="D1385" s="90">
        <v>2</v>
      </c>
      <c r="E1385" s="90">
        <v>25640.415555555555</v>
      </c>
      <c r="F1385" s="90">
        <v>21737.03263735757</v>
      </c>
      <c r="G1385" s="90">
        <v>0</v>
      </c>
      <c r="H1385" s="90">
        <v>166622.03195556294</v>
      </c>
      <c r="I1385" s="90">
        <v>0</v>
      </c>
      <c r="J1385" s="90">
        <v>0</v>
      </c>
      <c r="K1385" s="90">
        <v>0</v>
      </c>
      <c r="L1385" s="90">
        <v>16085.404151644601</v>
      </c>
      <c r="M1385" s="90">
        <v>0</v>
      </c>
      <c r="N1385" s="90">
        <v>123300.30364711658</v>
      </c>
      <c r="O1385" s="90">
        <v>0</v>
      </c>
      <c r="P1385" s="90">
        <v>0</v>
      </c>
      <c r="Q1385" s="90">
        <v>0</v>
      </c>
      <c r="R1385" s="90">
        <v>179482.90888888889</v>
      </c>
    </row>
    <row r="1386" spans="1:18">
      <c r="A1386" s="90" t="s">
        <v>237</v>
      </c>
      <c r="B1386" s="90" t="s">
        <v>665</v>
      </c>
      <c r="C1386" s="90" t="str">
        <f t="shared" si="21"/>
        <v>TatitlekOffice</v>
      </c>
      <c r="D1386" s="90">
        <v>2</v>
      </c>
      <c r="E1386" s="90">
        <v>4066.517006802721</v>
      </c>
      <c r="F1386" s="90">
        <v>5411.1649445925304</v>
      </c>
      <c r="G1386" s="90">
        <v>0</v>
      </c>
      <c r="H1386" s="90">
        <v>32597.323289905435</v>
      </c>
      <c r="I1386" s="90">
        <v>0</v>
      </c>
      <c r="J1386" s="90">
        <v>0</v>
      </c>
      <c r="K1386" s="90">
        <v>0</v>
      </c>
      <c r="L1386" s="90">
        <v>4004.2620589984726</v>
      </c>
      <c r="M1386" s="90">
        <v>0</v>
      </c>
      <c r="N1386" s="90">
        <v>24122.01923453002</v>
      </c>
      <c r="O1386" s="90">
        <v>0</v>
      </c>
      <c r="P1386" s="90">
        <v>0</v>
      </c>
      <c r="Q1386" s="90">
        <v>0</v>
      </c>
      <c r="R1386" s="90">
        <v>28465.619047619046</v>
      </c>
    </row>
    <row r="1387" spans="1:18">
      <c r="A1387" s="90" t="s">
        <v>237</v>
      </c>
      <c r="B1387" s="90" t="s">
        <v>643</v>
      </c>
      <c r="C1387" s="90" t="str">
        <f t="shared" si="21"/>
        <v>TatitlekOther</v>
      </c>
      <c r="D1387" s="90">
        <v>6</v>
      </c>
      <c r="E1387" s="90">
        <v>11985.681818181818</v>
      </c>
      <c r="F1387" s="90">
        <v>10366.072770214509</v>
      </c>
      <c r="G1387" s="90">
        <v>0</v>
      </c>
      <c r="H1387" s="90">
        <v>87231.645039956202</v>
      </c>
      <c r="I1387" s="90">
        <v>0</v>
      </c>
      <c r="J1387" s="90">
        <v>0</v>
      </c>
      <c r="K1387" s="90">
        <v>0</v>
      </c>
      <c r="L1387" s="90">
        <v>7670.8938499587366</v>
      </c>
      <c r="M1387" s="90">
        <v>0</v>
      </c>
      <c r="N1387" s="90">
        <v>64551.417329567594</v>
      </c>
      <c r="O1387" s="90">
        <v>0</v>
      </c>
      <c r="P1387" s="90">
        <v>0</v>
      </c>
      <c r="Q1387" s="90">
        <v>0</v>
      </c>
      <c r="R1387" s="90">
        <v>83899.772727272735</v>
      </c>
    </row>
    <row r="1388" spans="1:18">
      <c r="A1388" s="90" t="s">
        <v>237</v>
      </c>
      <c r="B1388" s="90" t="s">
        <v>1227</v>
      </c>
      <c r="C1388" s="90" t="str">
        <f t="shared" si="21"/>
        <v>TatitlekPublic Assembly</v>
      </c>
      <c r="D1388" s="90">
        <v>4</v>
      </c>
      <c r="E1388" s="90">
        <v>12546.884615384615</v>
      </c>
      <c r="F1388" s="90">
        <v>7828.7237659983493</v>
      </c>
      <c r="G1388" s="90">
        <v>0</v>
      </c>
      <c r="H1388" s="90">
        <v>47198.062453583538</v>
      </c>
      <c r="I1388" s="90">
        <v>0</v>
      </c>
      <c r="J1388" s="90">
        <v>0</v>
      </c>
      <c r="K1388" s="90">
        <v>0</v>
      </c>
      <c r="L1388" s="90">
        <v>5793.2555868387781</v>
      </c>
      <c r="M1388" s="90">
        <v>0</v>
      </c>
      <c r="N1388" s="90">
        <v>34926.566215651816</v>
      </c>
      <c r="O1388" s="90">
        <v>0</v>
      </c>
      <c r="P1388" s="90">
        <v>0</v>
      </c>
      <c r="Q1388" s="90">
        <v>0</v>
      </c>
      <c r="R1388" s="90">
        <v>87828.192307692312</v>
      </c>
    </row>
    <row r="1389" spans="1:18">
      <c r="A1389" s="90" t="s">
        <v>237</v>
      </c>
      <c r="B1389" s="90" t="s">
        <v>951</v>
      </c>
      <c r="C1389" s="90" t="str">
        <f t="shared" si="21"/>
        <v>TatitlekWarehousing</v>
      </c>
      <c r="D1389" s="90">
        <v>1</v>
      </c>
      <c r="E1389" s="90">
        <v>1783.9572649572649</v>
      </c>
      <c r="F1389" s="90">
        <v>2236.2446758544302</v>
      </c>
      <c r="G1389" s="90">
        <v>0</v>
      </c>
      <c r="H1389" s="90">
        <v>21166.918377106285</v>
      </c>
      <c r="I1389" s="90">
        <v>0</v>
      </c>
      <c r="J1389" s="90">
        <v>0</v>
      </c>
      <c r="K1389" s="90">
        <v>0</v>
      </c>
      <c r="L1389" s="90">
        <v>1654.8210601322783</v>
      </c>
      <c r="M1389" s="90">
        <v>0</v>
      </c>
      <c r="N1389" s="90">
        <v>15663.519599058651</v>
      </c>
      <c r="O1389" s="90">
        <v>0</v>
      </c>
      <c r="P1389" s="90">
        <v>0</v>
      </c>
      <c r="Q1389" s="90">
        <v>0</v>
      </c>
      <c r="R1389" s="90">
        <v>12487.700854700854</v>
      </c>
    </row>
    <row r="1390" spans="1:18">
      <c r="A1390" s="90" t="s">
        <v>1077</v>
      </c>
      <c r="B1390" s="90" t="s">
        <v>1440</v>
      </c>
      <c r="C1390" s="90" t="str">
        <f t="shared" si="21"/>
        <v>TazlinaHealth Care - Hospitals</v>
      </c>
      <c r="D1390" s="90">
        <v>1</v>
      </c>
      <c r="E1390" s="90">
        <v>1176</v>
      </c>
      <c r="F1390" s="90">
        <v>819.6406438283135</v>
      </c>
      <c r="G1390" s="90">
        <v>0</v>
      </c>
      <c r="H1390" s="90">
        <v>8846.3792091740543</v>
      </c>
      <c r="I1390" s="90">
        <v>0</v>
      </c>
      <c r="J1390" s="90">
        <v>0</v>
      </c>
      <c r="K1390" s="90">
        <v>0</v>
      </c>
      <c r="L1390" s="90">
        <v>606.53407643295202</v>
      </c>
      <c r="M1390" s="90">
        <v>0</v>
      </c>
      <c r="N1390" s="90">
        <v>6546.3206147888004</v>
      </c>
      <c r="O1390" s="90">
        <v>0</v>
      </c>
      <c r="P1390" s="90">
        <v>0</v>
      </c>
      <c r="Q1390" s="90">
        <v>0</v>
      </c>
      <c r="R1390" s="90">
        <v>8232</v>
      </c>
    </row>
    <row r="1391" spans="1:18">
      <c r="A1391" s="90" t="s">
        <v>1077</v>
      </c>
      <c r="B1391" s="90" t="s">
        <v>665</v>
      </c>
      <c r="C1391" s="90" t="str">
        <f t="shared" si="21"/>
        <v>TazlinaOffice</v>
      </c>
      <c r="D1391" s="90">
        <v>2</v>
      </c>
      <c r="E1391" s="90">
        <v>2840</v>
      </c>
      <c r="F1391" s="90">
        <v>3779.0837753622413</v>
      </c>
      <c r="G1391" s="90">
        <v>0</v>
      </c>
      <c r="H1391" s="90">
        <v>22765.525875943447</v>
      </c>
      <c r="I1391" s="90">
        <v>0</v>
      </c>
      <c r="J1391" s="90">
        <v>0</v>
      </c>
      <c r="K1391" s="90">
        <v>0</v>
      </c>
      <c r="L1391" s="90">
        <v>2796.5219937680586</v>
      </c>
      <c r="M1391" s="90">
        <v>0</v>
      </c>
      <c r="N1391" s="90">
        <v>16846.48914819815</v>
      </c>
      <c r="O1391" s="90">
        <v>0</v>
      </c>
      <c r="P1391" s="90">
        <v>0</v>
      </c>
      <c r="Q1391" s="90">
        <v>0</v>
      </c>
      <c r="R1391" s="90">
        <v>19880</v>
      </c>
    </row>
    <row r="1392" spans="1:18">
      <c r="A1392" s="90" t="s">
        <v>1077</v>
      </c>
      <c r="B1392" s="90" t="s">
        <v>643</v>
      </c>
      <c r="C1392" s="90" t="str">
        <f t="shared" si="21"/>
        <v>TazlinaOther</v>
      </c>
      <c r="D1392" s="90">
        <v>9</v>
      </c>
      <c r="E1392" s="90">
        <v>22858</v>
      </c>
      <c r="F1392" s="90">
        <v>18099.951906795843</v>
      </c>
      <c r="G1392" s="90">
        <v>0</v>
      </c>
      <c r="H1392" s="90">
        <v>212203.09365565696</v>
      </c>
      <c r="I1392" s="90">
        <v>0</v>
      </c>
      <c r="J1392" s="90">
        <v>0</v>
      </c>
      <c r="K1392" s="90">
        <v>0</v>
      </c>
      <c r="L1392" s="90">
        <v>13393.964411028925</v>
      </c>
      <c r="M1392" s="90">
        <v>0</v>
      </c>
      <c r="N1392" s="90">
        <v>157030.28930518613</v>
      </c>
      <c r="O1392" s="90">
        <v>0</v>
      </c>
      <c r="P1392" s="90">
        <v>0</v>
      </c>
      <c r="Q1392" s="90">
        <v>0</v>
      </c>
      <c r="R1392" s="90">
        <v>160006</v>
      </c>
    </row>
    <row r="1393" spans="1:18">
      <c r="A1393" s="90" t="s">
        <v>1077</v>
      </c>
      <c r="B1393" s="90" t="s">
        <v>1227</v>
      </c>
      <c r="C1393" s="90" t="str">
        <f t="shared" si="21"/>
        <v>TazlinaPublic Assembly</v>
      </c>
      <c r="D1393" s="90">
        <v>2</v>
      </c>
      <c r="E1393" s="90">
        <v>5320.7211538461543</v>
      </c>
      <c r="F1393" s="90">
        <v>4397.1809414995878</v>
      </c>
      <c r="G1393" s="90">
        <v>0</v>
      </c>
      <c r="H1393" s="90">
        <v>26299.515613395884</v>
      </c>
      <c r="I1393" s="90">
        <v>0</v>
      </c>
      <c r="J1393" s="90">
        <v>0</v>
      </c>
      <c r="K1393" s="90">
        <v>0</v>
      </c>
      <c r="L1393" s="90">
        <v>3253.9138967096942</v>
      </c>
      <c r="M1393" s="90">
        <v>0</v>
      </c>
      <c r="N1393" s="90">
        <v>19461.641553912952</v>
      </c>
      <c r="O1393" s="90">
        <v>0</v>
      </c>
      <c r="P1393" s="90">
        <v>0</v>
      </c>
      <c r="Q1393" s="90">
        <v>0</v>
      </c>
      <c r="R1393" s="90">
        <v>37245.048076923078</v>
      </c>
    </row>
    <row r="1394" spans="1:18">
      <c r="A1394" s="90" t="s">
        <v>1077</v>
      </c>
      <c r="B1394" s="90" t="s">
        <v>1475</v>
      </c>
      <c r="C1394" s="90" t="str">
        <f t="shared" si="21"/>
        <v>TazlinaPublic Safety</v>
      </c>
      <c r="D1394" s="90">
        <v>1</v>
      </c>
      <c r="E1394" s="90">
        <v>2400</v>
      </c>
      <c r="F1394" s="90">
        <v>2333.6996493614015</v>
      </c>
      <c r="G1394" s="90">
        <v>0</v>
      </c>
      <c r="H1394" s="90">
        <v>19369.071763430002</v>
      </c>
      <c r="I1394" s="90">
        <v>0</v>
      </c>
      <c r="J1394" s="90">
        <v>0</v>
      </c>
      <c r="K1394" s="90">
        <v>0</v>
      </c>
      <c r="L1394" s="90">
        <v>1726.9377405274372</v>
      </c>
      <c r="M1394" s="90">
        <v>0</v>
      </c>
      <c r="N1394" s="90">
        <v>14333.113104938202</v>
      </c>
      <c r="O1394" s="90">
        <v>0</v>
      </c>
      <c r="P1394" s="90">
        <v>0</v>
      </c>
      <c r="Q1394" s="90">
        <v>0</v>
      </c>
      <c r="R1394" s="90">
        <v>16800</v>
      </c>
    </row>
    <row r="1395" spans="1:18">
      <c r="A1395" s="90" t="s">
        <v>1077</v>
      </c>
      <c r="B1395" s="90" t="s">
        <v>1485</v>
      </c>
      <c r="C1395" s="90" t="str">
        <f t="shared" si="21"/>
        <v>TazlinaRetail - Other</v>
      </c>
      <c r="D1395" s="90">
        <v>1</v>
      </c>
      <c r="E1395" s="90">
        <v>3790</v>
      </c>
      <c r="F1395" s="90">
        <v>4006.9319386087768</v>
      </c>
      <c r="G1395" s="90">
        <v>0</v>
      </c>
      <c r="H1395" s="90">
        <v>89274.355187269961</v>
      </c>
      <c r="I1395" s="90">
        <v>0</v>
      </c>
      <c r="J1395" s="90">
        <v>0</v>
      </c>
      <c r="K1395" s="90">
        <v>0</v>
      </c>
      <c r="L1395" s="90">
        <v>2965.129634570495</v>
      </c>
      <c r="M1395" s="90">
        <v>0</v>
      </c>
      <c r="N1395" s="90">
        <v>66063.022838579767</v>
      </c>
      <c r="O1395" s="90">
        <v>0</v>
      </c>
      <c r="P1395" s="90">
        <v>0</v>
      </c>
      <c r="Q1395" s="90">
        <v>0</v>
      </c>
      <c r="R1395" s="90">
        <v>26530</v>
      </c>
    </row>
    <row r="1396" spans="1:18">
      <c r="A1396" s="90" t="s">
        <v>1077</v>
      </c>
      <c r="B1396" s="90" t="s">
        <v>951</v>
      </c>
      <c r="C1396" s="90" t="str">
        <f t="shared" si="21"/>
        <v>TazlinaWarehousing</v>
      </c>
      <c r="D1396" s="90">
        <v>4</v>
      </c>
      <c r="E1396" s="90">
        <v>7268</v>
      </c>
      <c r="F1396" s="90">
        <v>9110.6589958024269</v>
      </c>
      <c r="G1396" s="90">
        <v>0</v>
      </c>
      <c r="H1396" s="90">
        <v>86235.901378777562</v>
      </c>
      <c r="I1396" s="90">
        <v>0</v>
      </c>
      <c r="J1396" s="90">
        <v>0</v>
      </c>
      <c r="K1396" s="90">
        <v>0</v>
      </c>
      <c r="L1396" s="90">
        <v>6741.8876568937958</v>
      </c>
      <c r="M1396" s="90">
        <v>0</v>
      </c>
      <c r="N1396" s="90">
        <v>63814.567020295406</v>
      </c>
      <c r="O1396" s="90">
        <v>0</v>
      </c>
      <c r="P1396" s="90">
        <v>0</v>
      </c>
      <c r="Q1396" s="90">
        <v>0</v>
      </c>
      <c r="R1396" s="90">
        <v>50876</v>
      </c>
    </row>
    <row r="1397" spans="1:18">
      <c r="A1397" s="90" t="s">
        <v>254</v>
      </c>
      <c r="B1397" s="90" t="s">
        <v>1439</v>
      </c>
      <c r="C1397" s="90" t="str">
        <f t="shared" si="21"/>
        <v>TellerEducation - K - 12</v>
      </c>
      <c r="D1397" s="90">
        <v>2</v>
      </c>
      <c r="E1397" s="90">
        <v>32713.415555555555</v>
      </c>
      <c r="F1397" s="90">
        <v>46836.303381805301</v>
      </c>
      <c r="G1397" s="90">
        <v>0</v>
      </c>
      <c r="H1397" s="90">
        <v>295402.77956587559</v>
      </c>
      <c r="I1397" s="90">
        <v>0</v>
      </c>
      <c r="J1397" s="90">
        <v>0</v>
      </c>
      <c r="K1397" s="90">
        <v>0</v>
      </c>
      <c r="L1397" s="90">
        <v>34658.864502535922</v>
      </c>
      <c r="M1397" s="90">
        <v>0</v>
      </c>
      <c r="N1397" s="90">
        <v>218598.05687874794</v>
      </c>
      <c r="O1397" s="90">
        <v>0</v>
      </c>
      <c r="P1397" s="90">
        <v>0</v>
      </c>
      <c r="Q1397" s="90">
        <v>0</v>
      </c>
      <c r="R1397" s="90">
        <v>228993.90888888889</v>
      </c>
    </row>
    <row r="1398" spans="1:18">
      <c r="A1398" s="90" t="s">
        <v>254</v>
      </c>
      <c r="B1398" s="90" t="s">
        <v>1440</v>
      </c>
      <c r="C1398" s="90" t="str">
        <f t="shared" si="21"/>
        <v>TellerHealth Care - Hospitals</v>
      </c>
      <c r="D1398" s="90">
        <v>3</v>
      </c>
      <c r="E1398" s="90">
        <v>6871.9250000000002</v>
      </c>
      <c r="F1398" s="90">
        <v>6176.0165476804559</v>
      </c>
      <c r="G1398" s="90">
        <v>0</v>
      </c>
      <c r="H1398" s="90">
        <v>55490.563262470372</v>
      </c>
      <c r="I1398" s="90">
        <v>0</v>
      </c>
      <c r="J1398" s="90">
        <v>0</v>
      </c>
      <c r="K1398" s="90">
        <v>0</v>
      </c>
      <c r="L1398" s="90">
        <v>4570.2522452835383</v>
      </c>
      <c r="M1398" s="90">
        <v>0</v>
      </c>
      <c r="N1398" s="90">
        <v>41063.016814228075</v>
      </c>
      <c r="O1398" s="90">
        <v>0</v>
      </c>
      <c r="P1398" s="90">
        <v>0</v>
      </c>
      <c r="Q1398" s="90">
        <v>0</v>
      </c>
      <c r="R1398" s="90">
        <v>48103.475000000006</v>
      </c>
    </row>
    <row r="1399" spans="1:18">
      <c r="A1399" s="90" t="s">
        <v>254</v>
      </c>
      <c r="B1399" s="90" t="s">
        <v>665</v>
      </c>
      <c r="C1399" s="90" t="str">
        <f t="shared" si="21"/>
        <v>TellerOffice</v>
      </c>
      <c r="D1399" s="90">
        <v>4</v>
      </c>
      <c r="E1399" s="90">
        <v>4533.2585034013609</v>
      </c>
      <c r="F1399" s="90">
        <v>19625.582472296264</v>
      </c>
      <c r="G1399" s="90">
        <v>0</v>
      </c>
      <c r="H1399" s="90">
        <v>32226.676763956846</v>
      </c>
      <c r="I1399" s="90">
        <v>0</v>
      </c>
      <c r="J1399" s="90">
        <v>0</v>
      </c>
      <c r="K1399" s="90">
        <v>0</v>
      </c>
      <c r="L1399" s="90">
        <v>14522.931029499236</v>
      </c>
      <c r="M1399" s="90">
        <v>0</v>
      </c>
      <c r="N1399" s="90">
        <v>23847.740805328067</v>
      </c>
      <c r="O1399" s="90">
        <v>0</v>
      </c>
      <c r="P1399" s="90">
        <v>0</v>
      </c>
      <c r="Q1399" s="90">
        <v>0</v>
      </c>
      <c r="R1399" s="90">
        <v>31732.809523809523</v>
      </c>
    </row>
    <row r="1400" spans="1:18">
      <c r="A1400" s="90" t="s">
        <v>254</v>
      </c>
      <c r="B1400" s="90" t="s">
        <v>643</v>
      </c>
      <c r="C1400" s="90" t="str">
        <f t="shared" si="21"/>
        <v>TellerOther</v>
      </c>
      <c r="D1400" s="90">
        <v>7</v>
      </c>
      <c r="E1400" s="90">
        <v>10569.681818181818</v>
      </c>
      <c r="F1400" s="90">
        <v>9016.9104398879263</v>
      </c>
      <c r="G1400" s="90">
        <v>0</v>
      </c>
      <c r="H1400" s="90">
        <v>92553.028930018467</v>
      </c>
      <c r="I1400" s="90">
        <v>0</v>
      </c>
      <c r="J1400" s="90">
        <v>0</v>
      </c>
      <c r="K1400" s="90">
        <v>0</v>
      </c>
      <c r="L1400" s="90">
        <v>6672.5137255170666</v>
      </c>
      <c r="M1400" s="90">
        <v>0</v>
      </c>
      <c r="N1400" s="90">
        <v>68489.241408213667</v>
      </c>
      <c r="O1400" s="90">
        <v>0</v>
      </c>
      <c r="P1400" s="90">
        <v>0</v>
      </c>
      <c r="Q1400" s="90">
        <v>0</v>
      </c>
      <c r="R1400" s="90">
        <v>73987.772727272735</v>
      </c>
    </row>
    <row r="1401" spans="1:18">
      <c r="A1401" s="90" t="s">
        <v>254</v>
      </c>
      <c r="B1401" s="90" t="s">
        <v>1227</v>
      </c>
      <c r="C1401" s="90" t="str">
        <f t="shared" si="21"/>
        <v>TellerPublic Assembly</v>
      </c>
      <c r="D1401" s="90">
        <v>3</v>
      </c>
      <c r="E1401" s="90">
        <v>9410.163461538461</v>
      </c>
      <c r="F1401" s="90">
        <v>5871.5428244987615</v>
      </c>
      <c r="G1401" s="90">
        <v>0</v>
      </c>
      <c r="H1401" s="90">
        <v>35398.546840187657</v>
      </c>
      <c r="I1401" s="90">
        <v>0</v>
      </c>
      <c r="J1401" s="90">
        <v>0</v>
      </c>
      <c r="K1401" s="90">
        <v>0</v>
      </c>
      <c r="L1401" s="90">
        <v>4344.9416901290833</v>
      </c>
      <c r="M1401" s="90">
        <v>0</v>
      </c>
      <c r="N1401" s="90">
        <v>26194.924661738864</v>
      </c>
      <c r="O1401" s="90">
        <v>0</v>
      </c>
      <c r="P1401" s="90">
        <v>0</v>
      </c>
      <c r="Q1401" s="90">
        <v>0</v>
      </c>
      <c r="R1401" s="90">
        <v>65871.144230769234</v>
      </c>
    </row>
    <row r="1402" spans="1:18">
      <c r="A1402" s="90" t="s">
        <v>254</v>
      </c>
      <c r="B1402" s="90" t="s">
        <v>1485</v>
      </c>
      <c r="C1402" s="90" t="str">
        <f t="shared" si="21"/>
        <v>TellerRetail - Other</v>
      </c>
      <c r="D1402" s="90">
        <v>1</v>
      </c>
      <c r="E1402" s="90">
        <v>2105.2800000000002</v>
      </c>
      <c r="F1402" s="90">
        <v>2225.7819714285715</v>
      </c>
      <c r="G1402" s="90">
        <v>0</v>
      </c>
      <c r="H1402" s="90">
        <v>49590.373216004155</v>
      </c>
      <c r="I1402" s="90">
        <v>0</v>
      </c>
      <c r="J1402" s="90">
        <v>0</v>
      </c>
      <c r="K1402" s="90">
        <v>0</v>
      </c>
      <c r="L1402" s="90">
        <v>1647.078658857143</v>
      </c>
      <c r="M1402" s="90">
        <v>0</v>
      </c>
      <c r="N1402" s="90">
        <v>36696.876179843071</v>
      </c>
      <c r="O1402" s="90">
        <v>0</v>
      </c>
      <c r="P1402" s="90">
        <v>0</v>
      </c>
      <c r="Q1402" s="90">
        <v>0</v>
      </c>
      <c r="R1402" s="90">
        <v>14736.960000000001</v>
      </c>
    </row>
    <row r="1403" spans="1:18">
      <c r="A1403" s="90" t="s">
        <v>254</v>
      </c>
      <c r="B1403" s="90" t="s">
        <v>951</v>
      </c>
      <c r="C1403" s="90" t="str">
        <f t="shared" si="21"/>
        <v>TellerWarehousing</v>
      </c>
      <c r="D1403" s="90">
        <v>1</v>
      </c>
      <c r="E1403" s="90">
        <v>192</v>
      </c>
      <c r="F1403" s="90">
        <v>240.67783808393864</v>
      </c>
      <c r="G1403" s="90">
        <v>0</v>
      </c>
      <c r="H1403" s="90">
        <v>2278.1085669682575</v>
      </c>
      <c r="I1403" s="90">
        <v>0</v>
      </c>
      <c r="J1403" s="90">
        <v>0</v>
      </c>
      <c r="K1403" s="90">
        <v>0</v>
      </c>
      <c r="L1403" s="90">
        <v>178.10160018211459</v>
      </c>
      <c r="M1403" s="90">
        <v>0</v>
      </c>
      <c r="N1403" s="90">
        <v>1685.8003395565106</v>
      </c>
      <c r="O1403" s="90">
        <v>0</v>
      </c>
      <c r="P1403" s="90">
        <v>0</v>
      </c>
      <c r="Q1403" s="90">
        <v>0</v>
      </c>
      <c r="R1403" s="90">
        <v>1344</v>
      </c>
    </row>
    <row r="1404" spans="1:18">
      <c r="A1404" s="90" t="s">
        <v>239</v>
      </c>
      <c r="B1404" s="90" t="s">
        <v>1447</v>
      </c>
      <c r="C1404" s="90" t="str">
        <f t="shared" si="21"/>
        <v>Tenakee SpringsAccomodation Services</v>
      </c>
      <c r="D1404" s="90">
        <v>2</v>
      </c>
      <c r="E1404" s="90">
        <v>7770.8148148148148</v>
      </c>
      <c r="F1404" s="90">
        <v>4867.7355658312408</v>
      </c>
      <c r="G1404" s="90">
        <v>0</v>
      </c>
      <c r="H1404" s="90">
        <v>57015.188898171356</v>
      </c>
      <c r="I1404" s="90">
        <v>0</v>
      </c>
      <c r="J1404" s="90">
        <v>0</v>
      </c>
      <c r="K1404" s="90">
        <v>0</v>
      </c>
      <c r="L1404" s="90">
        <v>3602.1243187151185</v>
      </c>
      <c r="M1404" s="90">
        <v>0</v>
      </c>
      <c r="N1404" s="90">
        <v>42191.239784646801</v>
      </c>
      <c r="O1404" s="90">
        <v>0</v>
      </c>
      <c r="P1404" s="90">
        <v>0</v>
      </c>
      <c r="Q1404" s="90">
        <v>0</v>
      </c>
      <c r="R1404" s="90">
        <v>54395.703703703701</v>
      </c>
    </row>
    <row r="1405" spans="1:18">
      <c r="A1405" s="90" t="s">
        <v>239</v>
      </c>
      <c r="B1405" s="90" t="s">
        <v>1439</v>
      </c>
      <c r="C1405" s="90" t="str">
        <f t="shared" si="21"/>
        <v>Tenakee SpringsEducation - K - 12</v>
      </c>
      <c r="D1405" s="90">
        <v>1</v>
      </c>
      <c r="E1405" s="90">
        <v>10520</v>
      </c>
      <c r="F1405" s="90">
        <v>8918.4819508689488</v>
      </c>
      <c r="G1405" s="90">
        <v>0</v>
      </c>
      <c r="H1405" s="90">
        <v>68363.313861842849</v>
      </c>
      <c r="I1405" s="90">
        <v>0</v>
      </c>
      <c r="J1405" s="90">
        <v>0</v>
      </c>
      <c r="K1405" s="90">
        <v>0</v>
      </c>
      <c r="L1405" s="90">
        <v>6599.6766436430216</v>
      </c>
      <c r="M1405" s="90">
        <v>0</v>
      </c>
      <c r="N1405" s="90">
        <v>50588.852257763705</v>
      </c>
      <c r="O1405" s="90">
        <v>0</v>
      </c>
      <c r="P1405" s="90">
        <v>0</v>
      </c>
      <c r="Q1405" s="90">
        <v>0</v>
      </c>
      <c r="R1405" s="90">
        <v>73640</v>
      </c>
    </row>
    <row r="1406" spans="1:18">
      <c r="A1406" s="90" t="s">
        <v>239</v>
      </c>
      <c r="B1406" s="90" t="s">
        <v>1440</v>
      </c>
      <c r="C1406" s="90" t="str">
        <f t="shared" si="21"/>
        <v>Tenakee SpringsHealth Care - Hospitals</v>
      </c>
      <c r="D1406" s="90">
        <v>1</v>
      </c>
      <c r="E1406" s="90">
        <v>900</v>
      </c>
      <c r="F1406" s="90">
        <v>283</v>
      </c>
      <c r="G1406" s="90">
        <v>0</v>
      </c>
      <c r="H1406" s="90">
        <v>2200</v>
      </c>
      <c r="I1406" s="90">
        <v>0</v>
      </c>
      <c r="J1406" s="90">
        <v>0</v>
      </c>
      <c r="K1406" s="90">
        <v>0</v>
      </c>
      <c r="L1406" s="90">
        <v>209.42</v>
      </c>
      <c r="M1406" s="90">
        <v>0</v>
      </c>
      <c r="N1406" s="90">
        <v>1628</v>
      </c>
      <c r="O1406" s="90">
        <v>0</v>
      </c>
      <c r="P1406" s="90">
        <v>0</v>
      </c>
      <c r="Q1406" s="90">
        <v>0</v>
      </c>
      <c r="R1406" s="90">
        <v>6300</v>
      </c>
    </row>
    <row r="1407" spans="1:18">
      <c r="A1407" s="90" t="s">
        <v>239</v>
      </c>
      <c r="B1407" s="90" t="s">
        <v>665</v>
      </c>
      <c r="C1407" s="90" t="str">
        <f t="shared" si="21"/>
        <v>Tenakee SpringsOffice</v>
      </c>
      <c r="D1407" s="90">
        <v>1</v>
      </c>
      <c r="E1407" s="90">
        <v>600</v>
      </c>
      <c r="F1407" s="90">
        <v>275</v>
      </c>
      <c r="G1407" s="90">
        <v>0</v>
      </c>
      <c r="H1407" s="90">
        <v>2100</v>
      </c>
      <c r="I1407" s="90">
        <v>0</v>
      </c>
      <c r="J1407" s="90">
        <v>0</v>
      </c>
      <c r="K1407" s="90">
        <v>0</v>
      </c>
      <c r="L1407" s="90">
        <v>203.5</v>
      </c>
      <c r="M1407" s="90">
        <v>0</v>
      </c>
      <c r="N1407" s="90">
        <v>1554</v>
      </c>
      <c r="O1407" s="90">
        <v>0</v>
      </c>
      <c r="P1407" s="90">
        <v>0</v>
      </c>
      <c r="Q1407" s="90">
        <v>0</v>
      </c>
      <c r="R1407" s="90">
        <v>4200</v>
      </c>
    </row>
    <row r="1408" spans="1:18">
      <c r="A1408" s="90" t="s">
        <v>239</v>
      </c>
      <c r="B1408" s="90" t="s">
        <v>643</v>
      </c>
      <c r="C1408" s="90" t="str">
        <f t="shared" si="21"/>
        <v>Tenakee SpringsOther</v>
      </c>
      <c r="D1408" s="90">
        <v>1</v>
      </c>
      <c r="E1408" s="90">
        <v>400</v>
      </c>
      <c r="F1408" s="90">
        <v>100</v>
      </c>
      <c r="G1408" s="90">
        <v>0</v>
      </c>
      <c r="H1408" s="90">
        <v>180</v>
      </c>
      <c r="I1408" s="90">
        <v>0</v>
      </c>
      <c r="J1408" s="90">
        <v>0</v>
      </c>
      <c r="K1408" s="90">
        <v>0</v>
      </c>
      <c r="L1408" s="90">
        <v>74</v>
      </c>
      <c r="M1408" s="90">
        <v>0</v>
      </c>
      <c r="N1408" s="90">
        <v>133.19999999999999</v>
      </c>
      <c r="O1408" s="90">
        <v>0</v>
      </c>
      <c r="P1408" s="90">
        <v>0</v>
      </c>
      <c r="Q1408" s="90">
        <v>0</v>
      </c>
      <c r="R1408" s="90">
        <v>2800</v>
      </c>
    </row>
    <row r="1409" spans="1:18">
      <c r="A1409" s="90" t="s">
        <v>239</v>
      </c>
      <c r="B1409" s="90" t="s">
        <v>1227</v>
      </c>
      <c r="C1409" s="90" t="str">
        <f t="shared" si="21"/>
        <v>Tenakee SpringsPublic Assembly</v>
      </c>
      <c r="D1409" s="90">
        <v>1</v>
      </c>
      <c r="E1409" s="90">
        <v>3000</v>
      </c>
      <c r="F1409" s="90">
        <v>848</v>
      </c>
      <c r="G1409" s="90">
        <v>0</v>
      </c>
      <c r="H1409" s="90">
        <v>5073</v>
      </c>
      <c r="I1409" s="90">
        <v>0</v>
      </c>
      <c r="J1409" s="90">
        <v>0</v>
      </c>
      <c r="K1409" s="90">
        <v>0</v>
      </c>
      <c r="L1409" s="90">
        <v>627.52</v>
      </c>
      <c r="M1409" s="90">
        <v>0</v>
      </c>
      <c r="N1409" s="90">
        <v>3754.02</v>
      </c>
      <c r="O1409" s="90">
        <v>0</v>
      </c>
      <c r="P1409" s="90">
        <v>0</v>
      </c>
      <c r="Q1409" s="90">
        <v>0</v>
      </c>
      <c r="R1409" s="90">
        <v>21000</v>
      </c>
    </row>
    <row r="1410" spans="1:18">
      <c r="A1410" s="90" t="s">
        <v>239</v>
      </c>
      <c r="B1410" s="90" t="s">
        <v>1475</v>
      </c>
      <c r="C1410" s="90" t="str">
        <f t="shared" si="21"/>
        <v>Tenakee SpringsPublic Safety</v>
      </c>
      <c r="D1410" s="90">
        <v>3</v>
      </c>
      <c r="E1410" s="90">
        <v>8636</v>
      </c>
      <c r="F1410" s="90">
        <v>2299.5036496350367</v>
      </c>
      <c r="G1410" s="90">
        <v>0</v>
      </c>
      <c r="H1410" s="90">
        <v>51570.260141836035</v>
      </c>
      <c r="I1410" s="90">
        <v>0</v>
      </c>
      <c r="J1410" s="90">
        <v>0</v>
      </c>
      <c r="K1410" s="90">
        <v>0</v>
      </c>
      <c r="L1410" s="90">
        <v>1701.6327007299274</v>
      </c>
      <c r="M1410" s="90">
        <v>0</v>
      </c>
      <c r="N1410" s="90">
        <v>38161.992504958667</v>
      </c>
      <c r="O1410" s="90">
        <v>0</v>
      </c>
      <c r="P1410" s="90">
        <v>0</v>
      </c>
      <c r="Q1410" s="90">
        <v>0</v>
      </c>
      <c r="R1410" s="90">
        <v>60452</v>
      </c>
    </row>
    <row r="1411" spans="1:18">
      <c r="A1411" s="90" t="s">
        <v>66</v>
      </c>
      <c r="B1411" s="90" t="s">
        <v>1439</v>
      </c>
      <c r="C1411" s="90" t="str">
        <f t="shared" ref="C1411:C1474" si="22">CONCATENATE(A1411,B1411)</f>
        <v>TetlinEducation - K - 12</v>
      </c>
      <c r="D1411" s="90">
        <v>1</v>
      </c>
      <c r="E1411" s="90">
        <v>11776</v>
      </c>
      <c r="F1411" s="90">
        <v>10545.162043795621</v>
      </c>
      <c r="G1411" s="90">
        <v>0</v>
      </c>
      <c r="H1411" s="90">
        <v>84983.104835200007</v>
      </c>
      <c r="I1411" s="90">
        <v>0</v>
      </c>
      <c r="J1411" s="90">
        <v>874.85901639344263</v>
      </c>
      <c r="K1411" s="90">
        <v>0</v>
      </c>
      <c r="L1411" s="90">
        <v>7803.419912408759</v>
      </c>
      <c r="M1411" s="90">
        <v>0</v>
      </c>
      <c r="N1411" s="90">
        <v>62887.497578048002</v>
      </c>
      <c r="O1411" s="90">
        <v>0</v>
      </c>
      <c r="P1411" s="90">
        <v>647.39567213114753</v>
      </c>
      <c r="Q1411" s="90">
        <v>0</v>
      </c>
      <c r="R1411" s="90">
        <v>82432</v>
      </c>
    </row>
    <row r="1412" spans="1:18">
      <c r="A1412" s="90" t="s">
        <v>66</v>
      </c>
      <c r="B1412" s="90" t="s">
        <v>643</v>
      </c>
      <c r="C1412" s="90" t="str">
        <f t="shared" si="22"/>
        <v>TetlinOther</v>
      </c>
      <c r="D1412" s="90">
        <v>2</v>
      </c>
      <c r="E1412" s="90">
        <v>2259.9204545454545</v>
      </c>
      <c r="F1412" s="90">
        <v>1954.5404460159564</v>
      </c>
      <c r="G1412" s="90">
        <v>0</v>
      </c>
      <c r="H1412" s="90">
        <v>16447.673307195335</v>
      </c>
      <c r="I1412" s="90">
        <v>0</v>
      </c>
      <c r="J1412" s="90">
        <v>0</v>
      </c>
      <c r="K1412" s="90">
        <v>0</v>
      </c>
      <c r="L1412" s="90">
        <v>1446.3599300518079</v>
      </c>
      <c r="M1412" s="90">
        <v>0</v>
      </c>
      <c r="N1412" s="90">
        <v>12171.278247324548</v>
      </c>
      <c r="O1412" s="90">
        <v>0</v>
      </c>
      <c r="P1412" s="90">
        <v>0</v>
      </c>
      <c r="Q1412" s="90">
        <v>0</v>
      </c>
      <c r="R1412" s="90">
        <v>15819.443181818182</v>
      </c>
    </row>
    <row r="1413" spans="1:18">
      <c r="A1413" s="90" t="s">
        <v>66</v>
      </c>
      <c r="B1413" s="90" t="s">
        <v>1227</v>
      </c>
      <c r="C1413" s="90" t="str">
        <f t="shared" si="22"/>
        <v>TetlinPublic Assembly</v>
      </c>
      <c r="D1413" s="90">
        <v>2</v>
      </c>
      <c r="E1413" s="90">
        <v>6273.4423076923076</v>
      </c>
      <c r="F1413" s="90">
        <v>3914.3618829991747</v>
      </c>
      <c r="G1413" s="90">
        <v>0</v>
      </c>
      <c r="H1413" s="90">
        <v>23599.031226791769</v>
      </c>
      <c r="I1413" s="90">
        <v>0</v>
      </c>
      <c r="J1413" s="90">
        <v>0</v>
      </c>
      <c r="K1413" s="90">
        <v>0</v>
      </c>
      <c r="L1413" s="90">
        <v>2896.627793419389</v>
      </c>
      <c r="M1413" s="90">
        <v>0</v>
      </c>
      <c r="N1413" s="90">
        <v>17463.283107825908</v>
      </c>
      <c r="O1413" s="90">
        <v>0</v>
      </c>
      <c r="P1413" s="90">
        <v>0</v>
      </c>
      <c r="Q1413" s="90">
        <v>0</v>
      </c>
      <c r="R1413" s="90">
        <v>43914.096153846156</v>
      </c>
    </row>
    <row r="1414" spans="1:18">
      <c r="A1414" s="90" t="s">
        <v>66</v>
      </c>
      <c r="B1414" s="90" t="s">
        <v>951</v>
      </c>
      <c r="C1414" s="90" t="str">
        <f t="shared" si="22"/>
        <v>TetlinWarehousing</v>
      </c>
      <c r="D1414" s="90">
        <v>1</v>
      </c>
      <c r="E1414" s="90">
        <v>2000</v>
      </c>
      <c r="F1414" s="90">
        <v>2507.0608133743608</v>
      </c>
      <c r="G1414" s="90">
        <v>0</v>
      </c>
      <c r="H1414" s="90">
        <v>23730.297572586016</v>
      </c>
      <c r="I1414" s="90">
        <v>0</v>
      </c>
      <c r="J1414" s="90">
        <v>0</v>
      </c>
      <c r="K1414" s="90">
        <v>0</v>
      </c>
      <c r="L1414" s="90">
        <v>1855.2250018970269</v>
      </c>
      <c r="M1414" s="90">
        <v>0</v>
      </c>
      <c r="N1414" s="90">
        <v>17560.420203713653</v>
      </c>
      <c r="O1414" s="90">
        <v>0</v>
      </c>
      <c r="P1414" s="90">
        <v>0</v>
      </c>
      <c r="Q1414" s="90">
        <v>0</v>
      </c>
      <c r="R1414" s="90">
        <v>14000</v>
      </c>
    </row>
    <row r="1415" spans="1:18">
      <c r="A1415" s="90" t="s">
        <v>423</v>
      </c>
      <c r="B1415" s="90" t="s">
        <v>1447</v>
      </c>
      <c r="C1415" s="90" t="str">
        <f t="shared" si="22"/>
        <v>Thorne BayAccomodation Services</v>
      </c>
      <c r="D1415" s="90">
        <v>7</v>
      </c>
      <c r="E1415" s="90">
        <v>28402.1875</v>
      </c>
      <c r="F1415" s="90">
        <v>28293.771840154248</v>
      </c>
      <c r="G1415" s="90">
        <v>0</v>
      </c>
      <c r="H1415" s="90">
        <v>619146.45731463586</v>
      </c>
      <c r="I1415" s="90">
        <v>0</v>
      </c>
      <c r="J1415" s="90">
        <v>0</v>
      </c>
      <c r="K1415" s="90">
        <v>0</v>
      </c>
      <c r="L1415" s="90">
        <v>20937.391161714142</v>
      </c>
      <c r="M1415" s="90">
        <v>0</v>
      </c>
      <c r="N1415" s="90">
        <v>458168.37841283047</v>
      </c>
      <c r="O1415" s="90">
        <v>0</v>
      </c>
      <c r="P1415" s="90">
        <v>0</v>
      </c>
      <c r="Q1415" s="90">
        <v>0</v>
      </c>
      <c r="R1415" s="90">
        <v>198815.3125</v>
      </c>
    </row>
    <row r="1416" spans="1:18">
      <c r="A1416" s="90" t="s">
        <v>423</v>
      </c>
      <c r="B1416" s="90" t="s">
        <v>1439</v>
      </c>
      <c r="C1416" s="90" t="str">
        <f t="shared" si="22"/>
        <v>Thorne BayEducation - K - 12</v>
      </c>
      <c r="D1416" s="90">
        <v>3</v>
      </c>
      <c r="E1416" s="90">
        <v>49879</v>
      </c>
      <c r="F1416" s="90">
        <v>12156.80496350365</v>
      </c>
      <c r="G1416" s="90">
        <v>0</v>
      </c>
      <c r="H1416" s="90">
        <v>268236.88322497805</v>
      </c>
      <c r="I1416" s="90">
        <v>0</v>
      </c>
      <c r="J1416" s="90">
        <v>0</v>
      </c>
      <c r="K1416" s="90">
        <v>316.0429825821725</v>
      </c>
      <c r="L1416" s="90">
        <v>8996.0356729927007</v>
      </c>
      <c r="M1416" s="90">
        <v>0</v>
      </c>
      <c r="N1416" s="90">
        <v>198495.29358648375</v>
      </c>
      <c r="O1416" s="90">
        <v>0</v>
      </c>
      <c r="P1416" s="90">
        <v>0</v>
      </c>
      <c r="Q1416" s="90">
        <v>233.87180711080762</v>
      </c>
      <c r="R1416" s="90">
        <v>349153</v>
      </c>
    </row>
    <row r="1417" spans="1:18">
      <c r="A1417" s="90" t="s">
        <v>423</v>
      </c>
      <c r="B1417" s="90" t="s">
        <v>1469</v>
      </c>
      <c r="C1417" s="90" t="str">
        <f t="shared" si="22"/>
        <v>Thorne BayFood Service and Drinking Places</v>
      </c>
      <c r="D1417" s="90">
        <v>1</v>
      </c>
      <c r="E1417" s="90">
        <v>560</v>
      </c>
      <c r="F1417" s="90">
        <v>419.60792267669547</v>
      </c>
      <c r="G1417" s="90">
        <v>0</v>
      </c>
      <c r="H1417" s="90">
        <v>4086.3756608403451</v>
      </c>
      <c r="I1417" s="90">
        <v>0</v>
      </c>
      <c r="J1417" s="90">
        <v>0</v>
      </c>
      <c r="K1417" s="90">
        <v>0</v>
      </c>
      <c r="L1417" s="90">
        <v>310.50986278075464</v>
      </c>
      <c r="M1417" s="90">
        <v>0</v>
      </c>
      <c r="N1417" s="90">
        <v>3023.9179890218552</v>
      </c>
      <c r="O1417" s="90">
        <v>0</v>
      </c>
      <c r="P1417" s="90">
        <v>0</v>
      </c>
      <c r="Q1417" s="90">
        <v>0</v>
      </c>
      <c r="R1417" s="90">
        <v>3920</v>
      </c>
    </row>
    <row r="1418" spans="1:18">
      <c r="A1418" s="90" t="s">
        <v>423</v>
      </c>
      <c r="B1418" s="90" t="s">
        <v>665</v>
      </c>
      <c r="C1418" s="90" t="str">
        <f t="shared" si="22"/>
        <v>Thorne BayOffice</v>
      </c>
      <c r="D1418" s="90">
        <v>2</v>
      </c>
      <c r="E1418" s="90">
        <v>3135.1690647482014</v>
      </c>
      <c r="F1418" s="90">
        <v>2609.873284518832</v>
      </c>
      <c r="G1418" s="90">
        <v>0</v>
      </c>
      <c r="H1418" s="90">
        <v>17787.878196960253</v>
      </c>
      <c r="I1418" s="90">
        <v>0</v>
      </c>
      <c r="J1418" s="90">
        <v>0</v>
      </c>
      <c r="K1418" s="90">
        <v>0</v>
      </c>
      <c r="L1418" s="90">
        <v>1931.3062305439355</v>
      </c>
      <c r="M1418" s="90">
        <v>0</v>
      </c>
      <c r="N1418" s="90">
        <v>13163.029865750588</v>
      </c>
      <c r="O1418" s="90">
        <v>0</v>
      </c>
      <c r="P1418" s="90">
        <v>0</v>
      </c>
      <c r="Q1418" s="90">
        <v>0</v>
      </c>
      <c r="R1418" s="90">
        <v>21946.183453237409</v>
      </c>
    </row>
    <row r="1419" spans="1:18">
      <c r="A1419" s="90" t="s">
        <v>423</v>
      </c>
      <c r="B1419" s="90" t="s">
        <v>643</v>
      </c>
      <c r="C1419" s="90" t="str">
        <f t="shared" si="22"/>
        <v>Thorne BayOther</v>
      </c>
      <c r="D1419" s="90">
        <v>9</v>
      </c>
      <c r="E1419" s="90">
        <v>18726.072519083969</v>
      </c>
      <c r="F1419" s="90">
        <v>19684.733337054276</v>
      </c>
      <c r="G1419" s="90">
        <v>0</v>
      </c>
      <c r="H1419" s="90">
        <v>139004.44632347257</v>
      </c>
      <c r="I1419" s="90">
        <v>0</v>
      </c>
      <c r="J1419" s="90">
        <v>0</v>
      </c>
      <c r="K1419" s="90">
        <v>0</v>
      </c>
      <c r="L1419" s="90">
        <v>14566.702669420165</v>
      </c>
      <c r="M1419" s="90">
        <v>0</v>
      </c>
      <c r="N1419" s="90">
        <v>102863.29027936974</v>
      </c>
      <c r="O1419" s="90">
        <v>0</v>
      </c>
      <c r="P1419" s="90">
        <v>0</v>
      </c>
      <c r="Q1419" s="90">
        <v>0</v>
      </c>
      <c r="R1419" s="90">
        <v>131082.50763358781</v>
      </c>
    </row>
    <row r="1420" spans="1:18">
      <c r="A1420" s="90" t="s">
        <v>423</v>
      </c>
      <c r="B1420" s="90" t="s">
        <v>1227</v>
      </c>
      <c r="C1420" s="90" t="str">
        <f t="shared" si="22"/>
        <v>Thorne BayPublic Assembly</v>
      </c>
      <c r="D1420" s="90">
        <v>6</v>
      </c>
      <c r="E1420" s="90">
        <v>20756.256179775282</v>
      </c>
      <c r="F1420" s="90">
        <v>12235.512618242094</v>
      </c>
      <c r="G1420" s="90">
        <v>0</v>
      </c>
      <c r="H1420" s="90">
        <v>79006.37606212715</v>
      </c>
      <c r="I1420" s="90">
        <v>0</v>
      </c>
      <c r="J1420" s="90">
        <v>0</v>
      </c>
      <c r="K1420" s="90">
        <v>0</v>
      </c>
      <c r="L1420" s="90">
        <v>9054.2793374991488</v>
      </c>
      <c r="M1420" s="90">
        <v>0</v>
      </c>
      <c r="N1420" s="90">
        <v>58464.718285974086</v>
      </c>
      <c r="O1420" s="90">
        <v>0</v>
      </c>
      <c r="P1420" s="90">
        <v>0</v>
      </c>
      <c r="Q1420" s="90">
        <v>0</v>
      </c>
      <c r="R1420" s="90">
        <v>145293.79325842694</v>
      </c>
    </row>
    <row r="1421" spans="1:18">
      <c r="A1421" s="90" t="s">
        <v>423</v>
      </c>
      <c r="B1421" s="90" t="s">
        <v>1475</v>
      </c>
      <c r="C1421" s="90" t="str">
        <f t="shared" si="22"/>
        <v>Thorne BayPublic Safety</v>
      </c>
      <c r="D1421" s="90">
        <v>2</v>
      </c>
      <c r="E1421" s="90">
        <v>2650</v>
      </c>
      <c r="F1421" s="90">
        <v>1875.8352671706257</v>
      </c>
      <c r="G1421" s="90">
        <v>0</v>
      </c>
      <c r="H1421" s="90">
        <v>21915.717095394866</v>
      </c>
      <c r="I1421" s="90">
        <v>0</v>
      </c>
      <c r="J1421" s="90">
        <v>0</v>
      </c>
      <c r="K1421" s="90">
        <v>0</v>
      </c>
      <c r="L1421" s="90">
        <v>1388.1180977062629</v>
      </c>
      <c r="M1421" s="90">
        <v>0</v>
      </c>
      <c r="N1421" s="90">
        <v>16217.6306505922</v>
      </c>
      <c r="O1421" s="90">
        <v>0</v>
      </c>
      <c r="P1421" s="90">
        <v>0</v>
      </c>
      <c r="Q1421" s="90">
        <v>0</v>
      </c>
      <c r="R1421" s="90">
        <v>18550</v>
      </c>
    </row>
    <row r="1422" spans="1:18">
      <c r="A1422" s="90" t="s">
        <v>423</v>
      </c>
      <c r="B1422" s="90" t="s">
        <v>1442</v>
      </c>
      <c r="C1422" s="90" t="str">
        <f t="shared" si="22"/>
        <v>Thorne BayResidential - Multi-Family</v>
      </c>
      <c r="D1422" s="90">
        <v>4</v>
      </c>
      <c r="E1422" s="90">
        <v>19069.642857142859</v>
      </c>
      <c r="F1422" s="90">
        <v>19509.715737389844</v>
      </c>
      <c r="G1422" s="90">
        <v>0</v>
      </c>
      <c r="H1422" s="90">
        <v>78816.445338519261</v>
      </c>
      <c r="I1422" s="90">
        <v>0</v>
      </c>
      <c r="J1422" s="90">
        <v>0</v>
      </c>
      <c r="K1422" s="90">
        <v>0</v>
      </c>
      <c r="L1422" s="90">
        <v>14437.189645668488</v>
      </c>
      <c r="M1422" s="90">
        <v>0</v>
      </c>
      <c r="N1422" s="90">
        <v>58324.169550504259</v>
      </c>
      <c r="O1422" s="90">
        <v>0</v>
      </c>
      <c r="P1422" s="90">
        <v>0</v>
      </c>
      <c r="Q1422" s="90">
        <v>0</v>
      </c>
      <c r="R1422" s="90">
        <v>133487.5</v>
      </c>
    </row>
    <row r="1423" spans="1:18">
      <c r="A1423" s="90" t="s">
        <v>423</v>
      </c>
      <c r="B1423" s="90" t="s">
        <v>1485</v>
      </c>
      <c r="C1423" s="90" t="str">
        <f t="shared" si="22"/>
        <v>Thorne BayRetail - Other</v>
      </c>
      <c r="D1423" s="90">
        <v>5</v>
      </c>
      <c r="E1423" s="90">
        <v>12400</v>
      </c>
      <c r="F1423" s="90">
        <v>20597.008292791637</v>
      </c>
      <c r="G1423" s="90">
        <v>0</v>
      </c>
      <c r="H1423" s="90">
        <v>302537.42273069342</v>
      </c>
      <c r="I1423" s="90">
        <v>0</v>
      </c>
      <c r="J1423" s="90">
        <v>900</v>
      </c>
      <c r="K1423" s="90">
        <v>0</v>
      </c>
      <c r="L1423" s="90">
        <v>15241.786136665811</v>
      </c>
      <c r="M1423" s="90">
        <v>0</v>
      </c>
      <c r="N1423" s="90">
        <v>223877.69282071316</v>
      </c>
      <c r="O1423" s="90">
        <v>0</v>
      </c>
      <c r="P1423" s="90">
        <v>666</v>
      </c>
      <c r="Q1423" s="90">
        <v>0</v>
      </c>
      <c r="R1423" s="90">
        <v>86800</v>
      </c>
    </row>
    <row r="1424" spans="1:18">
      <c r="A1424" s="90" t="s">
        <v>423</v>
      </c>
      <c r="B1424" s="90" t="s">
        <v>951</v>
      </c>
      <c r="C1424" s="90" t="str">
        <f t="shared" si="22"/>
        <v>Thorne BayWarehousing</v>
      </c>
      <c r="D1424" s="90">
        <v>3</v>
      </c>
      <c r="E1424" s="90">
        <v>8179.6985294117649</v>
      </c>
      <c r="F1424" s="90">
        <v>14275.974463780716</v>
      </c>
      <c r="G1424" s="90">
        <v>0</v>
      </c>
      <c r="H1424" s="90">
        <v>374783.29227948893</v>
      </c>
      <c r="I1424" s="90">
        <v>0</v>
      </c>
      <c r="J1424" s="90">
        <v>0</v>
      </c>
      <c r="K1424" s="90">
        <v>0</v>
      </c>
      <c r="L1424" s="90">
        <v>10564.221103197731</v>
      </c>
      <c r="M1424" s="90">
        <v>0</v>
      </c>
      <c r="N1424" s="90">
        <v>277339.6362868218</v>
      </c>
      <c r="O1424" s="90">
        <v>0</v>
      </c>
      <c r="P1424" s="90">
        <v>0</v>
      </c>
      <c r="Q1424" s="90">
        <v>0</v>
      </c>
      <c r="R1424" s="90">
        <v>57257.889705882357</v>
      </c>
    </row>
    <row r="1425" spans="1:18">
      <c r="A1425" s="90" t="s">
        <v>107</v>
      </c>
      <c r="B1425" s="90" t="s">
        <v>1439</v>
      </c>
      <c r="C1425" s="90" t="str">
        <f t="shared" si="22"/>
        <v>TogiakEducation - K - 12</v>
      </c>
      <c r="D1425" s="90">
        <v>5</v>
      </c>
      <c r="E1425" s="90">
        <v>136492.4479144385</v>
      </c>
      <c r="F1425" s="90">
        <v>100271.59718128531</v>
      </c>
      <c r="G1425" s="90">
        <v>0</v>
      </c>
      <c r="H1425" s="90">
        <v>966465.05396474805</v>
      </c>
      <c r="I1425" s="90">
        <v>0</v>
      </c>
      <c r="J1425" s="90">
        <v>0</v>
      </c>
      <c r="K1425" s="90">
        <v>0</v>
      </c>
      <c r="L1425" s="90">
        <v>74200.981914151125</v>
      </c>
      <c r="M1425" s="90">
        <v>0</v>
      </c>
      <c r="N1425" s="90">
        <v>715184.13993391348</v>
      </c>
      <c r="O1425" s="90">
        <v>0</v>
      </c>
      <c r="P1425" s="90">
        <v>0</v>
      </c>
      <c r="Q1425" s="90">
        <v>0</v>
      </c>
      <c r="R1425" s="90">
        <v>955447.13540106954</v>
      </c>
    </row>
    <row r="1426" spans="1:18">
      <c r="A1426" s="90" t="s">
        <v>107</v>
      </c>
      <c r="B1426" s="90" t="s">
        <v>1440</v>
      </c>
      <c r="C1426" s="90" t="str">
        <f t="shared" si="22"/>
        <v>TogiakHealth Care - Hospitals</v>
      </c>
      <c r="D1426" s="90">
        <v>3</v>
      </c>
      <c r="E1426" s="90">
        <v>8811.1850000000013</v>
      </c>
      <c r="F1426" s="90">
        <v>7937.2586145918358</v>
      </c>
      <c r="G1426" s="90">
        <v>0</v>
      </c>
      <c r="H1426" s="90">
        <v>203861.94411977421</v>
      </c>
      <c r="I1426" s="90">
        <v>0</v>
      </c>
      <c r="J1426" s="90">
        <v>0</v>
      </c>
      <c r="K1426" s="90">
        <v>0</v>
      </c>
      <c r="L1426" s="90">
        <v>5873.5713747979571</v>
      </c>
      <c r="M1426" s="90">
        <v>0</v>
      </c>
      <c r="N1426" s="90">
        <v>150857.83864863293</v>
      </c>
      <c r="O1426" s="90">
        <v>0</v>
      </c>
      <c r="P1426" s="90">
        <v>0</v>
      </c>
      <c r="Q1426" s="90">
        <v>0</v>
      </c>
      <c r="R1426" s="90">
        <v>61678.295000000013</v>
      </c>
    </row>
    <row r="1427" spans="1:18">
      <c r="A1427" s="90" t="s">
        <v>107</v>
      </c>
      <c r="B1427" s="90" t="s">
        <v>665</v>
      </c>
      <c r="C1427" s="90" t="str">
        <f t="shared" si="22"/>
        <v>TogiakOffice</v>
      </c>
      <c r="D1427" s="90">
        <v>3</v>
      </c>
      <c r="E1427" s="90">
        <v>5285.169064748201</v>
      </c>
      <c r="F1427" s="90">
        <v>4701.2309850819292</v>
      </c>
      <c r="G1427" s="90">
        <v>0</v>
      </c>
      <c r="H1427" s="90">
        <v>26573.658625498676</v>
      </c>
      <c r="I1427" s="90">
        <v>0</v>
      </c>
      <c r="J1427" s="90">
        <v>0</v>
      </c>
      <c r="K1427" s="90">
        <v>0</v>
      </c>
      <c r="L1427" s="90">
        <v>3478.9109289606272</v>
      </c>
      <c r="M1427" s="90">
        <v>0</v>
      </c>
      <c r="N1427" s="90">
        <v>19664.507382869022</v>
      </c>
      <c r="O1427" s="90">
        <v>0</v>
      </c>
      <c r="P1427" s="90">
        <v>0</v>
      </c>
      <c r="Q1427" s="90">
        <v>0</v>
      </c>
      <c r="R1427" s="90">
        <v>36996.183453237405</v>
      </c>
    </row>
    <row r="1428" spans="1:18">
      <c r="A1428" s="90" t="s">
        <v>107</v>
      </c>
      <c r="B1428" s="90" t="s">
        <v>643</v>
      </c>
      <c r="C1428" s="90" t="str">
        <f t="shared" si="22"/>
        <v>TogiakOther</v>
      </c>
      <c r="D1428" s="90">
        <v>18</v>
      </c>
      <c r="E1428" s="90">
        <v>70209.980916030516</v>
      </c>
      <c r="F1428" s="90">
        <v>72066.931752126766</v>
      </c>
      <c r="G1428" s="90">
        <v>0</v>
      </c>
      <c r="H1428" s="90">
        <v>462372.07547805534</v>
      </c>
      <c r="I1428" s="90">
        <v>0</v>
      </c>
      <c r="J1428" s="90">
        <v>0</v>
      </c>
      <c r="K1428" s="90">
        <v>0</v>
      </c>
      <c r="L1428" s="90">
        <v>53329.529496573799</v>
      </c>
      <c r="M1428" s="90">
        <v>0</v>
      </c>
      <c r="N1428" s="90">
        <v>342155.33585376106</v>
      </c>
      <c r="O1428" s="90">
        <v>0</v>
      </c>
      <c r="P1428" s="90">
        <v>0</v>
      </c>
      <c r="Q1428" s="90">
        <v>0</v>
      </c>
      <c r="R1428" s="90">
        <v>491469.86641221365</v>
      </c>
    </row>
    <row r="1429" spans="1:18">
      <c r="A1429" s="90" t="s">
        <v>107</v>
      </c>
      <c r="B1429" s="90" t="s">
        <v>1227</v>
      </c>
      <c r="C1429" s="90" t="str">
        <f t="shared" si="22"/>
        <v>TogiakPublic Assembly</v>
      </c>
      <c r="D1429" s="90">
        <v>5</v>
      </c>
      <c r="E1429" s="90">
        <v>14706.256179775279</v>
      </c>
      <c r="F1429" s="90">
        <v>10170.999626135139</v>
      </c>
      <c r="G1429" s="90">
        <v>0</v>
      </c>
      <c r="H1429" s="90">
        <v>68190.344146139119</v>
      </c>
      <c r="I1429" s="90">
        <v>0</v>
      </c>
      <c r="J1429" s="90">
        <v>0</v>
      </c>
      <c r="K1429" s="90">
        <v>0</v>
      </c>
      <c r="L1429" s="90">
        <v>7526.5397233400017</v>
      </c>
      <c r="M1429" s="90">
        <v>0</v>
      </c>
      <c r="N1429" s="90">
        <v>50460.854668142936</v>
      </c>
      <c r="O1429" s="90">
        <v>0</v>
      </c>
      <c r="P1429" s="90">
        <v>0</v>
      </c>
      <c r="Q1429" s="90">
        <v>0</v>
      </c>
      <c r="R1429" s="90">
        <v>102943.79325842696</v>
      </c>
    </row>
    <row r="1430" spans="1:18">
      <c r="A1430" s="90" t="s">
        <v>107</v>
      </c>
      <c r="B1430" s="90" t="s">
        <v>1475</v>
      </c>
      <c r="C1430" s="90" t="str">
        <f t="shared" si="22"/>
        <v>TogiakPublic Safety</v>
      </c>
      <c r="D1430" s="90">
        <v>2</v>
      </c>
      <c r="E1430" s="90">
        <v>4287</v>
      </c>
      <c r="F1430" s="90">
        <v>3418.8812286864986</v>
      </c>
      <c r="G1430" s="90">
        <v>0</v>
      </c>
      <c r="H1430" s="90">
        <v>25713.677357421908</v>
      </c>
      <c r="I1430" s="90">
        <v>0</v>
      </c>
      <c r="J1430" s="90">
        <v>0</v>
      </c>
      <c r="K1430" s="90">
        <v>0</v>
      </c>
      <c r="L1430" s="90">
        <v>2529.9721092280088</v>
      </c>
      <c r="M1430" s="90">
        <v>0</v>
      </c>
      <c r="N1430" s="90">
        <v>19028.121244492213</v>
      </c>
      <c r="O1430" s="90">
        <v>0</v>
      </c>
      <c r="P1430" s="90">
        <v>0</v>
      </c>
      <c r="Q1430" s="90">
        <v>0</v>
      </c>
      <c r="R1430" s="90">
        <v>30009</v>
      </c>
    </row>
    <row r="1431" spans="1:18">
      <c r="A1431" s="90" t="s">
        <v>107</v>
      </c>
      <c r="B1431" s="90" t="s">
        <v>1485</v>
      </c>
      <c r="C1431" s="90" t="str">
        <f t="shared" si="22"/>
        <v>TogiakRetail - Other</v>
      </c>
      <c r="D1431" s="90">
        <v>2</v>
      </c>
      <c r="E1431" s="90">
        <v>17562.365853658535</v>
      </c>
      <c r="F1431" s="90">
        <v>29171.951220068189</v>
      </c>
      <c r="G1431" s="90">
        <v>0</v>
      </c>
      <c r="H1431" s="90">
        <v>428489.75019511196</v>
      </c>
      <c r="I1431" s="90">
        <v>0</v>
      </c>
      <c r="J1431" s="90">
        <v>0</v>
      </c>
      <c r="K1431" s="90">
        <v>0</v>
      </c>
      <c r="L1431" s="90">
        <v>21587.24390285046</v>
      </c>
      <c r="M1431" s="90">
        <v>0</v>
      </c>
      <c r="N1431" s="90">
        <v>317082.41514438286</v>
      </c>
      <c r="O1431" s="90">
        <v>0</v>
      </c>
      <c r="P1431" s="90">
        <v>0</v>
      </c>
      <c r="Q1431" s="90">
        <v>0</v>
      </c>
      <c r="R1431" s="90">
        <v>122936.56097560975</v>
      </c>
    </row>
    <row r="1432" spans="1:18">
      <c r="A1432" s="90" t="s">
        <v>107</v>
      </c>
      <c r="B1432" s="90" t="s">
        <v>951</v>
      </c>
      <c r="C1432" s="90" t="str">
        <f t="shared" si="22"/>
        <v>TogiakWarehousing</v>
      </c>
      <c r="D1432" s="90">
        <v>1</v>
      </c>
      <c r="E1432" s="90">
        <v>1600</v>
      </c>
      <c r="F1432" s="90">
        <v>2792.469558617312</v>
      </c>
      <c r="G1432" s="90">
        <v>0</v>
      </c>
      <c r="H1432" s="90">
        <v>73309.947242066119</v>
      </c>
      <c r="I1432" s="90">
        <v>0</v>
      </c>
      <c r="J1432" s="90">
        <v>0</v>
      </c>
      <c r="K1432" s="90">
        <v>0</v>
      </c>
      <c r="L1432" s="90">
        <v>2066.4274733768107</v>
      </c>
      <c r="M1432" s="90">
        <v>0</v>
      </c>
      <c r="N1432" s="90">
        <v>54249.360959128928</v>
      </c>
      <c r="O1432" s="90">
        <v>0</v>
      </c>
      <c r="P1432" s="90">
        <v>0</v>
      </c>
      <c r="Q1432" s="90">
        <v>0</v>
      </c>
      <c r="R1432" s="90">
        <v>11200</v>
      </c>
    </row>
    <row r="1433" spans="1:18">
      <c r="A1433" s="90" t="s">
        <v>13</v>
      </c>
      <c r="B1433" s="90" t="s">
        <v>1439</v>
      </c>
      <c r="C1433" s="90" t="str">
        <f t="shared" si="22"/>
        <v>TokEducation - K - 12</v>
      </c>
      <c r="D1433" s="90">
        <v>7</v>
      </c>
      <c r="E1433" s="90">
        <v>113886.5</v>
      </c>
      <c r="F1433" s="90">
        <v>83410.201313868616</v>
      </c>
      <c r="G1433" s="90">
        <v>0</v>
      </c>
      <c r="H1433" s="90">
        <v>545109.94596879999</v>
      </c>
      <c r="I1433" s="90">
        <v>0</v>
      </c>
      <c r="J1433" s="90">
        <v>5249.1540983606556</v>
      </c>
      <c r="K1433" s="90">
        <v>895.09301153484205</v>
      </c>
      <c r="L1433" s="90">
        <v>61723.548972262783</v>
      </c>
      <c r="M1433" s="90">
        <v>0</v>
      </c>
      <c r="N1433" s="90">
        <v>403381.36001691199</v>
      </c>
      <c r="O1433" s="90">
        <v>0</v>
      </c>
      <c r="P1433" s="90">
        <v>3884.374032786885</v>
      </c>
      <c r="Q1433" s="90">
        <v>662.368828535783</v>
      </c>
      <c r="R1433" s="90">
        <v>797205.5</v>
      </c>
    </row>
    <row r="1434" spans="1:18">
      <c r="A1434" s="90" t="s">
        <v>13</v>
      </c>
      <c r="B1434" s="90" t="s">
        <v>1440</v>
      </c>
      <c r="C1434" s="90" t="str">
        <f t="shared" si="22"/>
        <v>TokHealth Care - Hospitals</v>
      </c>
      <c r="D1434" s="90">
        <v>1</v>
      </c>
      <c r="E1434" s="90">
        <v>28894.125</v>
      </c>
      <c r="F1434" s="90">
        <v>18707.718606238115</v>
      </c>
      <c r="G1434" s="90">
        <v>0</v>
      </c>
      <c r="H1434" s="90">
        <v>158757.76913876188</v>
      </c>
      <c r="I1434" s="90">
        <v>0</v>
      </c>
      <c r="J1434" s="90">
        <v>0</v>
      </c>
      <c r="K1434" s="90">
        <v>0</v>
      </c>
      <c r="L1434" s="90">
        <v>13843.711768616206</v>
      </c>
      <c r="M1434" s="90">
        <v>0</v>
      </c>
      <c r="N1434" s="90">
        <v>117480.74916268379</v>
      </c>
      <c r="O1434" s="90">
        <v>0</v>
      </c>
      <c r="P1434" s="90">
        <v>0</v>
      </c>
      <c r="Q1434" s="90">
        <v>0</v>
      </c>
      <c r="R1434" s="90">
        <v>202258.875</v>
      </c>
    </row>
    <row r="1435" spans="1:18">
      <c r="A1435" s="90" t="s">
        <v>13</v>
      </c>
      <c r="B1435" s="90" t="s">
        <v>665</v>
      </c>
      <c r="C1435" s="90" t="str">
        <f t="shared" si="22"/>
        <v>TokOffice</v>
      </c>
      <c r="D1435" s="90">
        <v>1</v>
      </c>
      <c r="E1435" s="90">
        <v>1674</v>
      </c>
      <c r="F1435" s="90">
        <v>1357.6248175182482</v>
      </c>
      <c r="G1435" s="90">
        <v>0</v>
      </c>
      <c r="H1435" s="90">
        <v>8928.6803574000005</v>
      </c>
      <c r="I1435" s="90">
        <v>0</v>
      </c>
      <c r="J1435" s="90">
        <v>0</v>
      </c>
      <c r="K1435" s="90">
        <v>0</v>
      </c>
      <c r="L1435" s="90">
        <v>1004.6423649635036</v>
      </c>
      <c r="M1435" s="90">
        <v>0</v>
      </c>
      <c r="N1435" s="90">
        <v>6607.2234644760001</v>
      </c>
      <c r="O1435" s="90">
        <v>0</v>
      </c>
      <c r="P1435" s="90">
        <v>0</v>
      </c>
      <c r="Q1435" s="90">
        <v>0</v>
      </c>
      <c r="R1435" s="90">
        <v>11718</v>
      </c>
    </row>
    <row r="1436" spans="1:18">
      <c r="A1436" s="90" t="s">
        <v>13</v>
      </c>
      <c r="B1436" s="90" t="s">
        <v>643</v>
      </c>
      <c r="C1436" s="90" t="str">
        <f t="shared" si="22"/>
        <v>TokOther</v>
      </c>
      <c r="D1436" s="90">
        <v>10</v>
      </c>
      <c r="E1436" s="90">
        <v>59964.275974025972</v>
      </c>
      <c r="F1436" s="90">
        <v>34830.410030096209</v>
      </c>
      <c r="G1436" s="90">
        <v>0</v>
      </c>
      <c r="H1436" s="90">
        <v>551672.32076475944</v>
      </c>
      <c r="I1436" s="90">
        <v>0</v>
      </c>
      <c r="J1436" s="90">
        <v>0</v>
      </c>
      <c r="K1436" s="90">
        <v>0</v>
      </c>
      <c r="L1436" s="90">
        <v>25774.503422271202</v>
      </c>
      <c r="M1436" s="90">
        <v>0</v>
      </c>
      <c r="N1436" s="90">
        <v>408237.5173659221</v>
      </c>
      <c r="O1436" s="90">
        <v>0</v>
      </c>
      <c r="P1436" s="90">
        <v>0</v>
      </c>
      <c r="Q1436" s="90">
        <v>0</v>
      </c>
      <c r="R1436" s="90">
        <v>419749.93181818177</v>
      </c>
    </row>
    <row r="1437" spans="1:18">
      <c r="A1437" s="90" t="s">
        <v>13</v>
      </c>
      <c r="B1437" s="90" t="s">
        <v>1227</v>
      </c>
      <c r="C1437" s="90" t="str">
        <f t="shared" si="22"/>
        <v>TokPublic Assembly</v>
      </c>
      <c r="D1437" s="90">
        <v>1</v>
      </c>
      <c r="E1437" s="90">
        <v>12071.75</v>
      </c>
      <c r="F1437" s="90">
        <v>13597.384652005281</v>
      </c>
      <c r="G1437" s="90">
        <v>0</v>
      </c>
      <c r="H1437" s="90">
        <v>180869.09144372467</v>
      </c>
      <c r="I1437" s="90">
        <v>0</v>
      </c>
      <c r="J1437" s="90">
        <v>0</v>
      </c>
      <c r="K1437" s="90">
        <v>0</v>
      </c>
      <c r="L1437" s="90">
        <v>10062.064642483909</v>
      </c>
      <c r="M1437" s="90">
        <v>0</v>
      </c>
      <c r="N1437" s="90">
        <v>133843.12766835626</v>
      </c>
      <c r="O1437" s="90">
        <v>0</v>
      </c>
      <c r="P1437" s="90">
        <v>0</v>
      </c>
      <c r="Q1437" s="90">
        <v>0</v>
      </c>
      <c r="R1437" s="90">
        <v>84502.25</v>
      </c>
    </row>
    <row r="1438" spans="1:18">
      <c r="A1438" s="90" t="s">
        <v>13</v>
      </c>
      <c r="B1438" s="90" t="s">
        <v>1475</v>
      </c>
      <c r="C1438" s="90" t="str">
        <f t="shared" si="22"/>
        <v>TokPublic Safety</v>
      </c>
      <c r="D1438" s="90">
        <v>1</v>
      </c>
      <c r="E1438" s="90">
        <v>12843.666666666666</v>
      </c>
      <c r="F1438" s="90">
        <v>6805.3350526365484</v>
      </c>
      <c r="G1438" s="90">
        <v>0</v>
      </c>
      <c r="H1438" s="90">
        <v>251936.12526147731</v>
      </c>
      <c r="I1438" s="90">
        <v>0</v>
      </c>
      <c r="J1438" s="90">
        <v>0</v>
      </c>
      <c r="K1438" s="90">
        <v>0</v>
      </c>
      <c r="L1438" s="90">
        <v>5035.9479389510461</v>
      </c>
      <c r="M1438" s="90">
        <v>0</v>
      </c>
      <c r="N1438" s="90">
        <v>186432.73269349322</v>
      </c>
      <c r="O1438" s="90">
        <v>0</v>
      </c>
      <c r="P1438" s="90">
        <v>0</v>
      </c>
      <c r="Q1438" s="90">
        <v>0</v>
      </c>
      <c r="R1438" s="90">
        <v>89905.666666666657</v>
      </c>
    </row>
    <row r="1439" spans="1:18">
      <c r="A1439" s="90" t="s">
        <v>13</v>
      </c>
      <c r="B1439" s="90" t="s">
        <v>951</v>
      </c>
      <c r="C1439" s="90" t="str">
        <f t="shared" si="22"/>
        <v>TokWarehousing</v>
      </c>
      <c r="D1439" s="90">
        <v>1</v>
      </c>
      <c r="E1439" s="90">
        <v>8660</v>
      </c>
      <c r="F1439" s="90">
        <v>12984.907403963591</v>
      </c>
      <c r="G1439" s="90">
        <v>0</v>
      </c>
      <c r="H1439" s="90">
        <v>249771.13896849015</v>
      </c>
      <c r="I1439" s="90">
        <v>0</v>
      </c>
      <c r="J1439" s="90">
        <v>0</v>
      </c>
      <c r="K1439" s="90">
        <v>0</v>
      </c>
      <c r="L1439" s="90">
        <v>9608.8314789330561</v>
      </c>
      <c r="M1439" s="90">
        <v>0</v>
      </c>
      <c r="N1439" s="90">
        <v>184830.6428366827</v>
      </c>
      <c r="O1439" s="90">
        <v>0</v>
      </c>
      <c r="P1439" s="90">
        <v>0</v>
      </c>
      <c r="Q1439" s="90">
        <v>0</v>
      </c>
      <c r="R1439" s="90">
        <v>60620</v>
      </c>
    </row>
    <row r="1440" spans="1:18">
      <c r="A1440" s="90" t="s">
        <v>108</v>
      </c>
      <c r="B1440" s="90" t="s">
        <v>1439</v>
      </c>
      <c r="C1440" s="90" t="str">
        <f t="shared" si="22"/>
        <v>Toksook BayEducation - K - 12</v>
      </c>
      <c r="D1440" s="90">
        <v>3</v>
      </c>
      <c r="E1440" s="90">
        <v>34451</v>
      </c>
      <c r="F1440" s="90">
        <v>25308.776033219925</v>
      </c>
      <c r="G1440" s="90">
        <v>0</v>
      </c>
      <c r="H1440" s="90">
        <v>243937.94735816613</v>
      </c>
      <c r="I1440" s="90">
        <v>0</v>
      </c>
      <c r="J1440" s="90">
        <v>0</v>
      </c>
      <c r="K1440" s="90">
        <v>0</v>
      </c>
      <c r="L1440" s="90">
        <v>18728.494264582743</v>
      </c>
      <c r="M1440" s="90">
        <v>0</v>
      </c>
      <c r="N1440" s="90">
        <v>180514.08104504293</v>
      </c>
      <c r="O1440" s="90">
        <v>0</v>
      </c>
      <c r="P1440" s="90">
        <v>0</v>
      </c>
      <c r="Q1440" s="90">
        <v>0</v>
      </c>
      <c r="R1440" s="90">
        <v>241157</v>
      </c>
    </row>
    <row r="1441" spans="1:18">
      <c r="A1441" s="90" t="s">
        <v>108</v>
      </c>
      <c r="B1441" s="90" t="s">
        <v>1440</v>
      </c>
      <c r="C1441" s="90" t="str">
        <f t="shared" si="22"/>
        <v>Toksook BayHealth Care - Hospitals</v>
      </c>
      <c r="D1441" s="90">
        <v>1</v>
      </c>
      <c r="E1441" s="90">
        <v>10416</v>
      </c>
      <c r="F1441" s="90">
        <v>8156.9191240875907</v>
      </c>
      <c r="G1441" s="90">
        <v>0</v>
      </c>
      <c r="H1441" s="90">
        <v>135593.220328</v>
      </c>
      <c r="I1441" s="90">
        <v>0</v>
      </c>
      <c r="J1441" s="90">
        <v>0</v>
      </c>
      <c r="K1441" s="90">
        <v>0</v>
      </c>
      <c r="L1441" s="90">
        <v>6036.1201518248172</v>
      </c>
      <c r="M1441" s="90">
        <v>0</v>
      </c>
      <c r="N1441" s="90">
        <v>100338.98304271999</v>
      </c>
      <c r="O1441" s="90">
        <v>0</v>
      </c>
      <c r="P1441" s="90">
        <v>0</v>
      </c>
      <c r="Q1441" s="90">
        <v>0</v>
      </c>
      <c r="R1441" s="90">
        <v>72912</v>
      </c>
    </row>
    <row r="1442" spans="1:18">
      <c r="A1442" s="90" t="s">
        <v>108</v>
      </c>
      <c r="B1442" s="90" t="s">
        <v>665</v>
      </c>
      <c r="C1442" s="90" t="str">
        <f t="shared" si="22"/>
        <v>Toksook BayOffice</v>
      </c>
      <c r="D1442" s="90">
        <v>1</v>
      </c>
      <c r="E1442" s="90">
        <v>2885.1690647482014</v>
      </c>
      <c r="F1442" s="90">
        <v>2401.7606412594769</v>
      </c>
      <c r="G1442" s="90">
        <v>0</v>
      </c>
      <c r="H1442" s="90">
        <v>16369.463605147095</v>
      </c>
      <c r="I1442" s="90">
        <v>0</v>
      </c>
      <c r="J1442" s="90">
        <v>0</v>
      </c>
      <c r="K1442" s="90">
        <v>0</v>
      </c>
      <c r="L1442" s="90">
        <v>1777.3028745320128</v>
      </c>
      <c r="M1442" s="90">
        <v>0</v>
      </c>
      <c r="N1442" s="90">
        <v>12113.403067808851</v>
      </c>
      <c r="O1442" s="90">
        <v>0</v>
      </c>
      <c r="P1442" s="90">
        <v>0</v>
      </c>
      <c r="Q1442" s="90">
        <v>0</v>
      </c>
      <c r="R1442" s="90">
        <v>20196.183453237409</v>
      </c>
    </row>
    <row r="1443" spans="1:18">
      <c r="A1443" s="90" t="s">
        <v>108</v>
      </c>
      <c r="B1443" s="90" t="s">
        <v>643</v>
      </c>
      <c r="C1443" s="90" t="str">
        <f t="shared" si="22"/>
        <v>Toksook BayOther</v>
      </c>
      <c r="D1443" s="90">
        <v>3</v>
      </c>
      <c r="E1443" s="90">
        <v>123104</v>
      </c>
      <c r="F1443" s="90">
        <v>130836.75076573095</v>
      </c>
      <c r="G1443" s="90">
        <v>0</v>
      </c>
      <c r="H1443" s="90">
        <v>913806.31698214984</v>
      </c>
      <c r="I1443" s="90">
        <v>0</v>
      </c>
      <c r="J1443" s="90">
        <v>0</v>
      </c>
      <c r="K1443" s="90">
        <v>0</v>
      </c>
      <c r="L1443" s="90">
        <v>96819.19556664089</v>
      </c>
      <c r="M1443" s="90">
        <v>0</v>
      </c>
      <c r="N1443" s="90">
        <v>676216.67456679081</v>
      </c>
      <c r="O1443" s="90">
        <v>0</v>
      </c>
      <c r="P1443" s="90">
        <v>0</v>
      </c>
      <c r="Q1443" s="90">
        <v>0</v>
      </c>
      <c r="R1443" s="90">
        <v>861728</v>
      </c>
    </row>
    <row r="1444" spans="1:18">
      <c r="A1444" s="90" t="s">
        <v>108</v>
      </c>
      <c r="B1444" s="90" t="s">
        <v>1227</v>
      </c>
      <c r="C1444" s="90" t="str">
        <f t="shared" si="22"/>
        <v>Toksook BayPublic Assembly</v>
      </c>
      <c r="D1444" s="90">
        <v>1</v>
      </c>
      <c r="E1444" s="90">
        <v>4530</v>
      </c>
      <c r="F1444" s="90">
        <v>2529.1970802919709</v>
      </c>
      <c r="G1444" s="90">
        <v>0</v>
      </c>
      <c r="H1444" s="90">
        <v>10118.090476000001</v>
      </c>
      <c r="I1444" s="90">
        <v>0</v>
      </c>
      <c r="J1444" s="90">
        <v>0</v>
      </c>
      <c r="K1444" s="90">
        <v>0</v>
      </c>
      <c r="L1444" s="90">
        <v>1871.6058394160584</v>
      </c>
      <c r="M1444" s="90">
        <v>0</v>
      </c>
      <c r="N1444" s="90">
        <v>7487.3869522400009</v>
      </c>
      <c r="O1444" s="90">
        <v>0</v>
      </c>
      <c r="P1444" s="90">
        <v>0</v>
      </c>
      <c r="Q1444" s="90">
        <v>0</v>
      </c>
      <c r="R1444" s="90">
        <v>31710</v>
      </c>
    </row>
    <row r="1445" spans="1:18">
      <c r="A1445" s="90" t="s">
        <v>108</v>
      </c>
      <c r="B1445" s="90" t="s">
        <v>951</v>
      </c>
      <c r="C1445" s="90" t="str">
        <f t="shared" si="22"/>
        <v>Toksook BayWarehousing</v>
      </c>
      <c r="D1445" s="90">
        <v>2</v>
      </c>
      <c r="E1445" s="90">
        <v>2560</v>
      </c>
      <c r="F1445" s="90">
        <v>4467.9512937876989</v>
      </c>
      <c r="G1445" s="90">
        <v>0</v>
      </c>
      <c r="H1445" s="90">
        <v>117295.91558730579</v>
      </c>
      <c r="I1445" s="90">
        <v>0</v>
      </c>
      <c r="J1445" s="90">
        <v>0</v>
      </c>
      <c r="K1445" s="90">
        <v>0</v>
      </c>
      <c r="L1445" s="90">
        <v>3306.2839574028972</v>
      </c>
      <c r="M1445" s="90">
        <v>0</v>
      </c>
      <c r="N1445" s="90">
        <v>86798.977534606282</v>
      </c>
      <c r="O1445" s="90">
        <v>0</v>
      </c>
      <c r="P1445" s="90">
        <v>0</v>
      </c>
      <c r="Q1445" s="90">
        <v>0</v>
      </c>
      <c r="R1445" s="90">
        <v>17920</v>
      </c>
    </row>
    <row r="1446" spans="1:18">
      <c r="A1446" s="90" t="s">
        <v>1079</v>
      </c>
      <c r="B1446" s="90" t="s">
        <v>1439</v>
      </c>
      <c r="C1446" s="90" t="str">
        <f t="shared" si="22"/>
        <v>Trapper CreekEducation - K - 12</v>
      </c>
      <c r="D1446" s="90">
        <v>1</v>
      </c>
      <c r="E1446" s="90">
        <v>16080</v>
      </c>
      <c r="F1446" s="90">
        <v>11812.868091323224</v>
      </c>
      <c r="G1446" s="90">
        <v>0</v>
      </c>
      <c r="H1446" s="90">
        <v>113858.00683635632</v>
      </c>
      <c r="I1446" s="90">
        <v>0</v>
      </c>
      <c r="J1446" s="90">
        <v>0</v>
      </c>
      <c r="K1446" s="90">
        <v>0</v>
      </c>
      <c r="L1446" s="90">
        <v>8741.5223875791853</v>
      </c>
      <c r="M1446" s="90">
        <v>0</v>
      </c>
      <c r="N1446" s="90">
        <v>84254.925058903682</v>
      </c>
      <c r="O1446" s="90">
        <v>0</v>
      </c>
      <c r="P1446" s="90">
        <v>0</v>
      </c>
      <c r="Q1446" s="90">
        <v>0</v>
      </c>
      <c r="R1446" s="90">
        <v>112560</v>
      </c>
    </row>
    <row r="1447" spans="1:18">
      <c r="A1447" s="90" t="s">
        <v>241</v>
      </c>
      <c r="B1447" s="90" t="s">
        <v>1439</v>
      </c>
      <c r="C1447" s="90" t="str">
        <f t="shared" si="22"/>
        <v>TuluksakEducation - K - 12</v>
      </c>
      <c r="D1447" s="90">
        <v>3</v>
      </c>
      <c r="E1447" s="90">
        <v>45044</v>
      </c>
      <c r="F1447" s="90">
        <v>33090.723277709163</v>
      </c>
      <c r="G1447" s="90">
        <v>0</v>
      </c>
      <c r="H1447" s="90">
        <v>318944.03357816132</v>
      </c>
      <c r="I1447" s="90">
        <v>0</v>
      </c>
      <c r="J1447" s="90">
        <v>0</v>
      </c>
      <c r="K1447" s="90">
        <v>0</v>
      </c>
      <c r="L1447" s="90">
        <v>24487.135225504779</v>
      </c>
      <c r="M1447" s="90">
        <v>0</v>
      </c>
      <c r="N1447" s="90">
        <v>236018.58484783937</v>
      </c>
      <c r="O1447" s="90">
        <v>0</v>
      </c>
      <c r="P1447" s="90">
        <v>0</v>
      </c>
      <c r="Q1447" s="90">
        <v>0</v>
      </c>
      <c r="R1447" s="90">
        <v>315308</v>
      </c>
    </row>
    <row r="1448" spans="1:18">
      <c r="A1448" s="90" t="s">
        <v>241</v>
      </c>
      <c r="B1448" s="90" t="s">
        <v>1444</v>
      </c>
      <c r="C1448" s="90" t="str">
        <f t="shared" si="22"/>
        <v>TuluksakHealth Care - Nursing/Residential Care</v>
      </c>
      <c r="D1448" s="90">
        <v>1</v>
      </c>
      <c r="E1448" s="90">
        <v>768</v>
      </c>
      <c r="F1448" s="90">
        <v>544.37956204379566</v>
      </c>
      <c r="G1448" s="90">
        <v>0</v>
      </c>
      <c r="H1448" s="90">
        <v>9010.0810899999997</v>
      </c>
      <c r="I1448" s="90">
        <v>0</v>
      </c>
      <c r="J1448" s="90">
        <v>0</v>
      </c>
      <c r="K1448" s="90">
        <v>0</v>
      </c>
      <c r="L1448" s="90">
        <v>402.84087591240876</v>
      </c>
      <c r="M1448" s="90">
        <v>0</v>
      </c>
      <c r="N1448" s="90">
        <v>6667.4600065999994</v>
      </c>
      <c r="O1448" s="90">
        <v>0</v>
      </c>
      <c r="P1448" s="90">
        <v>0</v>
      </c>
      <c r="Q1448" s="90">
        <v>0</v>
      </c>
      <c r="R1448" s="90">
        <v>5376</v>
      </c>
    </row>
    <row r="1449" spans="1:18">
      <c r="A1449" s="90" t="s">
        <v>241</v>
      </c>
      <c r="B1449" s="90" t="s">
        <v>665</v>
      </c>
      <c r="C1449" s="90" t="str">
        <f t="shared" si="22"/>
        <v>TuluksakOffice</v>
      </c>
      <c r="D1449" s="90">
        <v>1</v>
      </c>
      <c r="E1449" s="90">
        <v>1800</v>
      </c>
      <c r="F1449" s="90">
        <v>895</v>
      </c>
      <c r="G1449" s="90">
        <v>0</v>
      </c>
      <c r="H1449" s="90">
        <v>6570</v>
      </c>
      <c r="I1449" s="90">
        <v>0</v>
      </c>
      <c r="J1449" s="90">
        <v>0</v>
      </c>
      <c r="K1449" s="90">
        <v>0</v>
      </c>
      <c r="L1449" s="90">
        <v>662.3</v>
      </c>
      <c r="M1449" s="90">
        <v>0</v>
      </c>
      <c r="N1449" s="90">
        <v>4861.8</v>
      </c>
      <c r="O1449" s="90">
        <v>0</v>
      </c>
      <c r="P1449" s="90">
        <v>0</v>
      </c>
      <c r="Q1449" s="90">
        <v>0</v>
      </c>
      <c r="R1449" s="90">
        <v>12600</v>
      </c>
    </row>
    <row r="1450" spans="1:18">
      <c r="A1450" s="90" t="s">
        <v>241</v>
      </c>
      <c r="B1450" s="90" t="s">
        <v>643</v>
      </c>
      <c r="C1450" s="90" t="str">
        <f t="shared" si="22"/>
        <v>TuluksakOther</v>
      </c>
      <c r="D1450" s="90">
        <v>2</v>
      </c>
      <c r="E1450" s="90">
        <v>1536</v>
      </c>
      <c r="F1450" s="90">
        <v>1569.2417515928107</v>
      </c>
      <c r="G1450" s="90">
        <v>0</v>
      </c>
      <c r="H1450" s="90">
        <v>6870.0166630000003</v>
      </c>
      <c r="I1450" s="90">
        <v>0</v>
      </c>
      <c r="J1450" s="90">
        <v>0</v>
      </c>
      <c r="K1450" s="90">
        <v>0</v>
      </c>
      <c r="L1450" s="90">
        <v>1161.2388961786801</v>
      </c>
      <c r="M1450" s="90">
        <v>0</v>
      </c>
      <c r="N1450" s="90">
        <v>5083.8123306199996</v>
      </c>
      <c r="O1450" s="90">
        <v>0</v>
      </c>
      <c r="P1450" s="90">
        <v>0</v>
      </c>
      <c r="Q1450" s="90">
        <v>0</v>
      </c>
      <c r="R1450" s="90">
        <v>10752</v>
      </c>
    </row>
    <row r="1451" spans="1:18">
      <c r="A1451" s="90" t="s">
        <v>241</v>
      </c>
      <c r="B1451" s="90" t="s">
        <v>1227</v>
      </c>
      <c r="C1451" s="90" t="str">
        <f t="shared" si="22"/>
        <v>TuluksakPublic Assembly</v>
      </c>
      <c r="D1451" s="90">
        <v>3</v>
      </c>
      <c r="E1451" s="90">
        <v>6378.5640449438197</v>
      </c>
      <c r="F1451" s="90">
        <v>3856.7460167464087</v>
      </c>
      <c r="G1451" s="90">
        <v>0</v>
      </c>
      <c r="H1451" s="90">
        <v>31676.66561235995</v>
      </c>
      <c r="I1451" s="90">
        <v>0</v>
      </c>
      <c r="J1451" s="90">
        <v>0</v>
      </c>
      <c r="K1451" s="90">
        <v>0</v>
      </c>
      <c r="L1451" s="90">
        <v>2853.992052392342</v>
      </c>
      <c r="M1451" s="90">
        <v>0</v>
      </c>
      <c r="N1451" s="90">
        <v>23440.732553146365</v>
      </c>
      <c r="O1451" s="90">
        <v>0</v>
      </c>
      <c r="P1451" s="90">
        <v>0</v>
      </c>
      <c r="Q1451" s="90">
        <v>0</v>
      </c>
      <c r="R1451" s="90">
        <v>44649.948314606736</v>
      </c>
    </row>
    <row r="1452" spans="1:18">
      <c r="A1452" s="90" t="s">
        <v>241</v>
      </c>
      <c r="B1452" s="90" t="s">
        <v>1475</v>
      </c>
      <c r="C1452" s="90" t="str">
        <f t="shared" si="22"/>
        <v>TuluksakPublic Safety</v>
      </c>
      <c r="D1452" s="90">
        <v>1</v>
      </c>
      <c r="E1452" s="90">
        <v>360</v>
      </c>
      <c r="F1452" s="90">
        <v>386</v>
      </c>
      <c r="G1452" s="90">
        <v>0</v>
      </c>
      <c r="H1452" s="90">
        <v>405</v>
      </c>
      <c r="I1452" s="90">
        <v>0</v>
      </c>
      <c r="J1452" s="90">
        <v>0</v>
      </c>
      <c r="K1452" s="90">
        <v>0</v>
      </c>
      <c r="L1452" s="90">
        <v>285.64</v>
      </c>
      <c r="M1452" s="90">
        <v>0</v>
      </c>
      <c r="N1452" s="90">
        <v>299.7</v>
      </c>
      <c r="O1452" s="90">
        <v>0</v>
      </c>
      <c r="P1452" s="90">
        <v>0</v>
      </c>
      <c r="Q1452" s="90">
        <v>0</v>
      </c>
      <c r="R1452" s="90">
        <v>2520</v>
      </c>
    </row>
    <row r="1453" spans="1:18">
      <c r="A1453" s="90" t="s">
        <v>1492</v>
      </c>
      <c r="B1453" s="90" t="s">
        <v>665</v>
      </c>
      <c r="C1453" s="90" t="str">
        <f t="shared" si="22"/>
        <v>TuntutliakOffice</v>
      </c>
      <c r="D1453" s="90">
        <v>1</v>
      </c>
      <c r="E1453" s="90">
        <v>1947</v>
      </c>
      <c r="F1453" s="90">
        <v>1838</v>
      </c>
      <c r="G1453" s="90">
        <v>0</v>
      </c>
      <c r="H1453" s="90">
        <v>11333</v>
      </c>
      <c r="I1453" s="90">
        <v>0</v>
      </c>
      <c r="J1453" s="90">
        <v>0</v>
      </c>
      <c r="K1453" s="90">
        <v>0</v>
      </c>
      <c r="L1453" s="90">
        <v>1360.12</v>
      </c>
      <c r="M1453" s="90">
        <v>0</v>
      </c>
      <c r="N1453" s="90">
        <v>8386.42</v>
      </c>
      <c r="O1453" s="90">
        <v>0</v>
      </c>
      <c r="P1453" s="90">
        <v>0</v>
      </c>
      <c r="Q1453" s="90">
        <v>0</v>
      </c>
      <c r="R1453" s="90">
        <v>13629</v>
      </c>
    </row>
    <row r="1454" spans="1:18">
      <c r="A1454" s="90" t="s">
        <v>1492</v>
      </c>
      <c r="B1454" s="90" t="s">
        <v>1475</v>
      </c>
      <c r="C1454" s="90" t="str">
        <f t="shared" si="22"/>
        <v>TuntutliakPublic Safety</v>
      </c>
      <c r="D1454" s="90">
        <v>1</v>
      </c>
      <c r="E1454" s="90">
        <v>1365</v>
      </c>
      <c r="F1454" s="90">
        <v>799</v>
      </c>
      <c r="G1454" s="90">
        <v>0</v>
      </c>
      <c r="H1454" s="90">
        <v>5196</v>
      </c>
      <c r="I1454" s="90">
        <v>0</v>
      </c>
      <c r="J1454" s="90">
        <v>0</v>
      </c>
      <c r="K1454" s="90">
        <v>0</v>
      </c>
      <c r="L1454" s="90">
        <v>591.26</v>
      </c>
      <c r="M1454" s="90">
        <v>0</v>
      </c>
      <c r="N1454" s="90">
        <v>3845.04</v>
      </c>
      <c r="O1454" s="90">
        <v>0</v>
      </c>
      <c r="P1454" s="90">
        <v>0</v>
      </c>
      <c r="Q1454" s="90">
        <v>0</v>
      </c>
      <c r="R1454" s="90">
        <v>9555</v>
      </c>
    </row>
    <row r="1455" spans="1:18">
      <c r="A1455" s="90" t="s">
        <v>243</v>
      </c>
      <c r="B1455" s="90" t="s">
        <v>1439</v>
      </c>
      <c r="C1455" s="90" t="str">
        <f t="shared" si="22"/>
        <v>TuntutuliakEducation - K - 12</v>
      </c>
      <c r="D1455" s="90">
        <v>1</v>
      </c>
      <c r="E1455" s="90">
        <v>19822</v>
      </c>
      <c r="F1455" s="90">
        <v>14561.857668296576</v>
      </c>
      <c r="G1455" s="90">
        <v>0</v>
      </c>
      <c r="H1455" s="90">
        <v>140354.06787999099</v>
      </c>
      <c r="I1455" s="90">
        <v>0</v>
      </c>
      <c r="J1455" s="90">
        <v>0</v>
      </c>
      <c r="K1455" s="90">
        <v>0</v>
      </c>
      <c r="L1455" s="90">
        <v>10775.774674539465</v>
      </c>
      <c r="M1455" s="90">
        <v>0</v>
      </c>
      <c r="N1455" s="90">
        <v>103862.01023119333</v>
      </c>
      <c r="O1455" s="90">
        <v>0</v>
      </c>
      <c r="P1455" s="90">
        <v>0</v>
      </c>
      <c r="Q1455" s="90">
        <v>0</v>
      </c>
      <c r="R1455" s="90">
        <v>138754</v>
      </c>
    </row>
    <row r="1456" spans="1:18">
      <c r="A1456" s="90" t="s">
        <v>243</v>
      </c>
      <c r="B1456" s="90" t="s">
        <v>1440</v>
      </c>
      <c r="C1456" s="90" t="str">
        <f t="shared" si="22"/>
        <v>TuntutuliakHealth Care - Hospitals</v>
      </c>
      <c r="D1456" s="90">
        <v>1</v>
      </c>
      <c r="E1456" s="90">
        <v>2214</v>
      </c>
      <c r="F1456" s="90">
        <v>1399.4151428632558</v>
      </c>
      <c r="G1456" s="90">
        <v>0</v>
      </c>
      <c r="H1456" s="90">
        <v>21986.19846</v>
      </c>
      <c r="I1456" s="90">
        <v>0</v>
      </c>
      <c r="J1456" s="90">
        <v>0</v>
      </c>
      <c r="K1456" s="90">
        <v>0</v>
      </c>
      <c r="L1456" s="90">
        <v>1035.5672057188092</v>
      </c>
      <c r="M1456" s="90">
        <v>0</v>
      </c>
      <c r="N1456" s="90">
        <v>16269.7868604</v>
      </c>
      <c r="O1456" s="90">
        <v>0</v>
      </c>
      <c r="P1456" s="90">
        <v>0</v>
      </c>
      <c r="Q1456" s="90">
        <v>0</v>
      </c>
      <c r="R1456" s="90">
        <v>15498</v>
      </c>
    </row>
    <row r="1457" spans="1:18">
      <c r="A1457" s="90" t="s">
        <v>243</v>
      </c>
      <c r="B1457" s="90" t="s">
        <v>951</v>
      </c>
      <c r="C1457" s="90" t="str">
        <f t="shared" si="22"/>
        <v>TuntutuliakWarehousing</v>
      </c>
      <c r="D1457" s="90">
        <v>2</v>
      </c>
      <c r="E1457" s="90">
        <v>1920</v>
      </c>
      <c r="F1457" s="90">
        <v>3350.9634703407742</v>
      </c>
      <c r="G1457" s="90">
        <v>0</v>
      </c>
      <c r="H1457" s="90">
        <v>87971.936690479342</v>
      </c>
      <c r="I1457" s="90">
        <v>0</v>
      </c>
      <c r="J1457" s="90">
        <v>0</v>
      </c>
      <c r="K1457" s="90">
        <v>0</v>
      </c>
      <c r="L1457" s="90">
        <v>2479.712968052173</v>
      </c>
      <c r="M1457" s="90">
        <v>0</v>
      </c>
      <c r="N1457" s="90">
        <v>65099.233150954715</v>
      </c>
      <c r="O1457" s="90">
        <v>0</v>
      </c>
      <c r="P1457" s="90">
        <v>0</v>
      </c>
      <c r="Q1457" s="90">
        <v>0</v>
      </c>
      <c r="R1457" s="90">
        <v>13440</v>
      </c>
    </row>
    <row r="1458" spans="1:18">
      <c r="A1458" s="90" t="s">
        <v>1080</v>
      </c>
      <c r="B1458" s="90" t="s">
        <v>1439</v>
      </c>
      <c r="C1458" s="90" t="str">
        <f t="shared" si="22"/>
        <v>TununakEducation - K - 12</v>
      </c>
      <c r="D1458" s="90">
        <v>1</v>
      </c>
      <c r="E1458" s="90">
        <v>19382</v>
      </c>
      <c r="F1458" s="90">
        <v>14238.619984205641</v>
      </c>
      <c r="G1458" s="90">
        <v>0</v>
      </c>
      <c r="H1458" s="90">
        <v>137238.55027999118</v>
      </c>
      <c r="I1458" s="90">
        <v>0</v>
      </c>
      <c r="J1458" s="90">
        <v>0</v>
      </c>
      <c r="K1458" s="90">
        <v>0</v>
      </c>
      <c r="L1458" s="90">
        <v>10536.578788312174</v>
      </c>
      <c r="M1458" s="90">
        <v>0</v>
      </c>
      <c r="N1458" s="90">
        <v>101556.52720719347</v>
      </c>
      <c r="O1458" s="90">
        <v>0</v>
      </c>
      <c r="P1458" s="90">
        <v>0</v>
      </c>
      <c r="Q1458" s="90">
        <v>0</v>
      </c>
      <c r="R1458" s="90">
        <v>135674</v>
      </c>
    </row>
    <row r="1459" spans="1:18">
      <c r="A1459" s="90" t="s">
        <v>1080</v>
      </c>
      <c r="B1459" s="90" t="s">
        <v>1440</v>
      </c>
      <c r="C1459" s="90" t="str">
        <f t="shared" si="22"/>
        <v>TununakHealth Care - Hospitals</v>
      </c>
      <c r="D1459" s="90">
        <v>1</v>
      </c>
      <c r="E1459" s="90">
        <v>2422</v>
      </c>
      <c r="F1459" s="90">
        <v>801</v>
      </c>
      <c r="G1459" s="90">
        <v>0</v>
      </c>
      <c r="H1459" s="90">
        <v>26391</v>
      </c>
      <c r="I1459" s="90">
        <v>0</v>
      </c>
      <c r="J1459" s="90">
        <v>0</v>
      </c>
      <c r="K1459" s="90">
        <v>0</v>
      </c>
      <c r="L1459" s="90">
        <v>592.74</v>
      </c>
      <c r="M1459" s="90">
        <v>0</v>
      </c>
      <c r="N1459" s="90">
        <v>19529.34</v>
      </c>
      <c r="O1459" s="90">
        <v>0</v>
      </c>
      <c r="P1459" s="90">
        <v>0</v>
      </c>
      <c r="Q1459" s="90">
        <v>0</v>
      </c>
      <c r="R1459" s="90">
        <v>16954</v>
      </c>
    </row>
    <row r="1460" spans="1:18">
      <c r="A1460" s="90" t="s">
        <v>1080</v>
      </c>
      <c r="B1460" s="90" t="s">
        <v>665</v>
      </c>
      <c r="C1460" s="90" t="str">
        <f t="shared" si="22"/>
        <v>TununakOffice</v>
      </c>
      <c r="D1460" s="90">
        <v>2</v>
      </c>
      <c r="E1460" s="90">
        <v>4484.169064748201</v>
      </c>
      <c r="F1460" s="90">
        <v>3852.7606412594769</v>
      </c>
      <c r="G1460" s="90">
        <v>0</v>
      </c>
      <c r="H1460" s="90">
        <v>21207.463605147095</v>
      </c>
      <c r="I1460" s="90">
        <v>0</v>
      </c>
      <c r="J1460" s="90">
        <v>0</v>
      </c>
      <c r="K1460" s="90">
        <v>0</v>
      </c>
      <c r="L1460" s="90">
        <v>2851.0428745320128</v>
      </c>
      <c r="M1460" s="90">
        <v>0</v>
      </c>
      <c r="N1460" s="90">
        <v>15693.523067808852</v>
      </c>
      <c r="O1460" s="90">
        <v>0</v>
      </c>
      <c r="P1460" s="90">
        <v>0</v>
      </c>
      <c r="Q1460" s="90">
        <v>0</v>
      </c>
      <c r="R1460" s="90">
        <v>31389.183453237409</v>
      </c>
    </row>
    <row r="1461" spans="1:18">
      <c r="A1461" s="90" t="s">
        <v>1080</v>
      </c>
      <c r="B1461" s="90" t="s">
        <v>643</v>
      </c>
      <c r="C1461" s="90" t="str">
        <f t="shared" si="22"/>
        <v>TununakOther</v>
      </c>
      <c r="D1461" s="90">
        <v>2</v>
      </c>
      <c r="E1461" s="90">
        <v>692</v>
      </c>
      <c r="F1461" s="90">
        <v>735.46782825810544</v>
      </c>
      <c r="G1461" s="90">
        <v>0</v>
      </c>
      <c r="H1461" s="90">
        <v>5136.7459331268492</v>
      </c>
      <c r="I1461" s="90">
        <v>0</v>
      </c>
      <c r="J1461" s="90">
        <v>0</v>
      </c>
      <c r="K1461" s="90">
        <v>0</v>
      </c>
      <c r="L1461" s="90">
        <v>544.24619291099805</v>
      </c>
      <c r="M1461" s="90">
        <v>0</v>
      </c>
      <c r="N1461" s="90">
        <v>3801.1919905138684</v>
      </c>
      <c r="O1461" s="90">
        <v>0</v>
      </c>
      <c r="P1461" s="90">
        <v>0</v>
      </c>
      <c r="Q1461" s="90">
        <v>0</v>
      </c>
      <c r="R1461" s="90">
        <v>4844</v>
      </c>
    </row>
    <row r="1462" spans="1:18">
      <c r="A1462" s="90" t="s">
        <v>1080</v>
      </c>
      <c r="B1462" s="90" t="s">
        <v>1227</v>
      </c>
      <c r="C1462" s="90" t="str">
        <f t="shared" si="22"/>
        <v>TununakPublic Assembly</v>
      </c>
      <c r="D1462" s="90">
        <v>1</v>
      </c>
      <c r="E1462" s="90">
        <v>3426.5640449438201</v>
      </c>
      <c r="F1462" s="90">
        <v>2369.8473081123934</v>
      </c>
      <c r="G1462" s="90">
        <v>0</v>
      </c>
      <c r="H1462" s="90">
        <v>15888.37965333717</v>
      </c>
      <c r="I1462" s="90">
        <v>0</v>
      </c>
      <c r="J1462" s="90">
        <v>0</v>
      </c>
      <c r="K1462" s="90">
        <v>0</v>
      </c>
      <c r="L1462" s="90">
        <v>1753.6870080031711</v>
      </c>
      <c r="M1462" s="90">
        <v>0</v>
      </c>
      <c r="N1462" s="90">
        <v>11757.400943469505</v>
      </c>
      <c r="O1462" s="90">
        <v>0</v>
      </c>
      <c r="P1462" s="90">
        <v>0</v>
      </c>
      <c r="Q1462" s="90">
        <v>0</v>
      </c>
      <c r="R1462" s="90">
        <v>23985.94831460674</v>
      </c>
    </row>
    <row r="1463" spans="1:18">
      <c r="A1463" s="90" t="s">
        <v>1080</v>
      </c>
      <c r="B1463" s="90" t="s">
        <v>1475</v>
      </c>
      <c r="C1463" s="90" t="str">
        <f t="shared" si="22"/>
        <v>TununakPublic Safety</v>
      </c>
      <c r="D1463" s="90">
        <v>1</v>
      </c>
      <c r="E1463" s="90">
        <v>768</v>
      </c>
      <c r="F1463" s="90">
        <v>784</v>
      </c>
      <c r="G1463" s="90">
        <v>0</v>
      </c>
      <c r="H1463" s="90">
        <v>1792</v>
      </c>
      <c r="I1463" s="90">
        <v>0</v>
      </c>
      <c r="J1463" s="90">
        <v>0</v>
      </c>
      <c r="K1463" s="90">
        <v>0</v>
      </c>
      <c r="L1463" s="90">
        <v>580.16</v>
      </c>
      <c r="M1463" s="90">
        <v>0</v>
      </c>
      <c r="N1463" s="90">
        <v>1326.08</v>
      </c>
      <c r="O1463" s="90">
        <v>0</v>
      </c>
      <c r="P1463" s="90">
        <v>0</v>
      </c>
      <c r="Q1463" s="90">
        <v>0</v>
      </c>
      <c r="R1463" s="90">
        <v>5376</v>
      </c>
    </row>
    <row r="1464" spans="1:18">
      <c r="A1464" s="90" t="s">
        <v>1080</v>
      </c>
      <c r="B1464" s="90" t="s">
        <v>951</v>
      </c>
      <c r="C1464" s="90" t="str">
        <f t="shared" si="22"/>
        <v>TununakWarehousing</v>
      </c>
      <c r="D1464" s="90">
        <v>1</v>
      </c>
      <c r="E1464" s="90">
        <v>960</v>
      </c>
      <c r="F1464" s="90">
        <v>1675.4817351703871</v>
      </c>
      <c r="G1464" s="90">
        <v>0</v>
      </c>
      <c r="H1464" s="90">
        <v>43985.968345239671</v>
      </c>
      <c r="I1464" s="90">
        <v>0</v>
      </c>
      <c r="J1464" s="90">
        <v>0</v>
      </c>
      <c r="K1464" s="90">
        <v>0</v>
      </c>
      <c r="L1464" s="90">
        <v>1239.8564840260865</v>
      </c>
      <c r="M1464" s="90">
        <v>0</v>
      </c>
      <c r="N1464" s="90">
        <v>32549.616575477357</v>
      </c>
      <c r="O1464" s="90">
        <v>0</v>
      </c>
      <c r="P1464" s="90">
        <v>0</v>
      </c>
      <c r="Q1464" s="90">
        <v>0</v>
      </c>
      <c r="R1464" s="90">
        <v>6720</v>
      </c>
    </row>
    <row r="1465" spans="1:18">
      <c r="A1465" s="90" t="s">
        <v>245</v>
      </c>
      <c r="B1465" s="90" t="s">
        <v>1439</v>
      </c>
      <c r="C1465" s="90" t="str">
        <f t="shared" si="22"/>
        <v>Twin HillsEducation - K - 12</v>
      </c>
      <c r="D1465" s="90">
        <v>3</v>
      </c>
      <c r="E1465" s="90">
        <v>27835.831111111111</v>
      </c>
      <c r="F1465" s="90">
        <v>30204.665157771182</v>
      </c>
      <c r="G1465" s="90">
        <v>0</v>
      </c>
      <c r="H1465" s="90">
        <v>153625.69386175115</v>
      </c>
      <c r="I1465" s="90">
        <v>0</v>
      </c>
      <c r="J1465" s="90">
        <v>0</v>
      </c>
      <c r="K1465" s="90">
        <v>0</v>
      </c>
      <c r="L1465" s="90">
        <v>22351.452216750673</v>
      </c>
      <c r="M1465" s="90">
        <v>0</v>
      </c>
      <c r="N1465" s="90">
        <v>113683.01345769585</v>
      </c>
      <c r="O1465" s="90">
        <v>0</v>
      </c>
      <c r="P1465" s="90">
        <v>0</v>
      </c>
      <c r="Q1465" s="90">
        <v>0</v>
      </c>
      <c r="R1465" s="90">
        <v>194850.81777777779</v>
      </c>
    </row>
    <row r="1466" spans="1:18">
      <c r="A1466" s="90" t="s">
        <v>245</v>
      </c>
      <c r="B1466" s="90" t="s">
        <v>1440</v>
      </c>
      <c r="C1466" s="90" t="str">
        <f t="shared" si="22"/>
        <v>Twin HillsHealth Care - Hospitals</v>
      </c>
      <c r="D1466" s="90">
        <v>1</v>
      </c>
      <c r="E1466" s="90">
        <v>1604</v>
      </c>
      <c r="F1466" s="90">
        <v>1117.9452318882779</v>
      </c>
      <c r="G1466" s="90">
        <v>0</v>
      </c>
      <c r="H1466" s="90">
        <v>12065.979805710191</v>
      </c>
      <c r="I1466" s="90">
        <v>0</v>
      </c>
      <c r="J1466" s="90">
        <v>0</v>
      </c>
      <c r="K1466" s="90">
        <v>0</v>
      </c>
      <c r="L1466" s="90">
        <v>827.27947159732571</v>
      </c>
      <c r="M1466" s="90">
        <v>0</v>
      </c>
      <c r="N1466" s="90">
        <v>8928.8250562255416</v>
      </c>
      <c r="O1466" s="90">
        <v>0</v>
      </c>
      <c r="P1466" s="90">
        <v>0</v>
      </c>
      <c r="Q1466" s="90">
        <v>0</v>
      </c>
      <c r="R1466" s="90">
        <v>11228</v>
      </c>
    </row>
    <row r="1467" spans="1:18">
      <c r="A1467" s="90" t="s">
        <v>245</v>
      </c>
      <c r="B1467" s="90" t="s">
        <v>665</v>
      </c>
      <c r="C1467" s="90" t="str">
        <f t="shared" si="22"/>
        <v>Twin HillsOffice</v>
      </c>
      <c r="D1467" s="90">
        <v>2</v>
      </c>
      <c r="E1467" s="90">
        <v>4433.2585034013609</v>
      </c>
      <c r="F1467" s="90">
        <v>5899.1743951375956</v>
      </c>
      <c r="G1467" s="90">
        <v>0</v>
      </c>
      <c r="H1467" s="90">
        <v>35537.134216172533</v>
      </c>
      <c r="I1467" s="90">
        <v>0</v>
      </c>
      <c r="J1467" s="90">
        <v>0</v>
      </c>
      <c r="K1467" s="90">
        <v>0</v>
      </c>
      <c r="L1467" s="90">
        <v>4365.3890524018207</v>
      </c>
      <c r="M1467" s="90">
        <v>0</v>
      </c>
      <c r="N1467" s="90">
        <v>26297.479319967671</v>
      </c>
      <c r="O1467" s="90">
        <v>0</v>
      </c>
      <c r="P1467" s="90">
        <v>0</v>
      </c>
      <c r="Q1467" s="90">
        <v>0</v>
      </c>
      <c r="R1467" s="90">
        <v>31032.809523809523</v>
      </c>
    </row>
    <row r="1468" spans="1:18">
      <c r="A1468" s="90" t="s">
        <v>245</v>
      </c>
      <c r="B1468" s="90" t="s">
        <v>643</v>
      </c>
      <c r="C1468" s="90" t="str">
        <f t="shared" si="22"/>
        <v>Twin HillsOther</v>
      </c>
      <c r="D1468" s="90">
        <v>8</v>
      </c>
      <c r="E1468" s="90">
        <v>13075.602272727272</v>
      </c>
      <c r="F1468" s="90">
        <v>10836.03300105955</v>
      </c>
      <c r="G1468" s="90">
        <v>0</v>
      </c>
      <c r="H1468" s="90">
        <v>95164.07271949554</v>
      </c>
      <c r="I1468" s="90">
        <v>0</v>
      </c>
      <c r="J1468" s="90">
        <v>0</v>
      </c>
      <c r="K1468" s="90">
        <v>0</v>
      </c>
      <c r="L1468" s="90">
        <v>8018.6644207840682</v>
      </c>
      <c r="M1468" s="90">
        <v>0</v>
      </c>
      <c r="N1468" s="90">
        <v>70421.41381242669</v>
      </c>
      <c r="O1468" s="90">
        <v>0</v>
      </c>
      <c r="P1468" s="90">
        <v>0</v>
      </c>
      <c r="Q1468" s="90">
        <v>0</v>
      </c>
      <c r="R1468" s="90">
        <v>91529.215909090897</v>
      </c>
    </row>
    <row r="1469" spans="1:18">
      <c r="A1469" s="90" t="s">
        <v>245</v>
      </c>
      <c r="B1469" s="90" t="s">
        <v>1227</v>
      </c>
      <c r="C1469" s="90" t="str">
        <f t="shared" si="22"/>
        <v>Twin HillsPublic Assembly</v>
      </c>
      <c r="D1469" s="90">
        <v>2</v>
      </c>
      <c r="E1469" s="90">
        <v>3696.7211538461538</v>
      </c>
      <c r="F1469" s="90">
        <v>2306.5971865157758</v>
      </c>
      <c r="G1469" s="90">
        <v>0</v>
      </c>
      <c r="H1469" s="90">
        <v>13906.087546128731</v>
      </c>
      <c r="I1469" s="90">
        <v>0</v>
      </c>
      <c r="J1469" s="90">
        <v>0</v>
      </c>
      <c r="K1469" s="90">
        <v>0</v>
      </c>
      <c r="L1469" s="90">
        <v>1706.881918021674</v>
      </c>
      <c r="M1469" s="90">
        <v>0</v>
      </c>
      <c r="N1469" s="90">
        <v>10290.504784135261</v>
      </c>
      <c r="O1469" s="90">
        <v>0</v>
      </c>
      <c r="P1469" s="90">
        <v>0</v>
      </c>
      <c r="Q1469" s="90">
        <v>0</v>
      </c>
      <c r="R1469" s="90">
        <v>25877.048076923078</v>
      </c>
    </row>
    <row r="1470" spans="1:18">
      <c r="A1470" s="90" t="s">
        <v>245</v>
      </c>
      <c r="B1470" s="90" t="s">
        <v>951</v>
      </c>
      <c r="C1470" s="90" t="str">
        <f t="shared" si="22"/>
        <v>Twin HillsWarehousing</v>
      </c>
      <c r="D1470" s="90">
        <v>2</v>
      </c>
      <c r="E1470" s="90">
        <v>2887.9572649572647</v>
      </c>
      <c r="F1470" s="90">
        <v>3620.1422448370777</v>
      </c>
      <c r="G1470" s="90">
        <v>0</v>
      </c>
      <c r="H1470" s="90">
        <v>34266.042637173763</v>
      </c>
      <c r="I1470" s="90">
        <v>0</v>
      </c>
      <c r="J1470" s="90">
        <v>0</v>
      </c>
      <c r="K1470" s="90">
        <v>0</v>
      </c>
      <c r="L1470" s="90">
        <v>2678.9052611794373</v>
      </c>
      <c r="M1470" s="90">
        <v>0</v>
      </c>
      <c r="N1470" s="90">
        <v>25356.871551508586</v>
      </c>
      <c r="O1470" s="90">
        <v>0</v>
      </c>
      <c r="P1470" s="90">
        <v>0</v>
      </c>
      <c r="Q1470" s="90">
        <v>0</v>
      </c>
      <c r="R1470" s="90">
        <v>20215.700854700852</v>
      </c>
    </row>
    <row r="1471" spans="1:18">
      <c r="A1471" s="90" t="s">
        <v>1081</v>
      </c>
      <c r="B1471" s="90" t="s">
        <v>1439</v>
      </c>
      <c r="C1471" s="90" t="str">
        <f t="shared" si="22"/>
        <v>TyonekEducation - K - 12</v>
      </c>
      <c r="D1471" s="90">
        <v>1</v>
      </c>
      <c r="E1471" s="90">
        <v>25976</v>
      </c>
      <c r="F1471" s="90">
        <v>22021.529197316711</v>
      </c>
      <c r="G1471" s="90">
        <v>0</v>
      </c>
      <c r="H1471" s="90">
        <v>168802.79856228421</v>
      </c>
      <c r="I1471" s="90">
        <v>0</v>
      </c>
      <c r="J1471" s="90">
        <v>0</v>
      </c>
      <c r="K1471" s="90">
        <v>0</v>
      </c>
      <c r="L1471" s="90">
        <v>16295.931606014366</v>
      </c>
      <c r="M1471" s="90">
        <v>0</v>
      </c>
      <c r="N1471" s="90">
        <v>124914.07093609031</v>
      </c>
      <c r="O1471" s="90">
        <v>0</v>
      </c>
      <c r="P1471" s="90">
        <v>0</v>
      </c>
      <c r="Q1471" s="90">
        <v>0</v>
      </c>
      <c r="R1471" s="90">
        <v>181832</v>
      </c>
    </row>
    <row r="1472" spans="1:18">
      <c r="A1472" s="90" t="s">
        <v>1081</v>
      </c>
      <c r="B1472" s="90" t="s">
        <v>1440</v>
      </c>
      <c r="C1472" s="90" t="str">
        <f t="shared" si="22"/>
        <v>TyonekHealth Care - Hospitals</v>
      </c>
      <c r="D1472" s="90">
        <v>1</v>
      </c>
      <c r="E1472" s="90">
        <v>1200</v>
      </c>
      <c r="F1472" s="90">
        <v>836.36800390644237</v>
      </c>
      <c r="G1472" s="90">
        <v>0</v>
      </c>
      <c r="H1472" s="90">
        <v>9026.9175603816875</v>
      </c>
      <c r="I1472" s="90">
        <v>0</v>
      </c>
      <c r="J1472" s="90">
        <v>0</v>
      </c>
      <c r="K1472" s="90">
        <v>0</v>
      </c>
      <c r="L1472" s="90">
        <v>618.91232289076731</v>
      </c>
      <c r="M1472" s="90">
        <v>0</v>
      </c>
      <c r="N1472" s="90">
        <v>6679.918994682449</v>
      </c>
      <c r="O1472" s="90">
        <v>0</v>
      </c>
      <c r="P1472" s="90">
        <v>0</v>
      </c>
      <c r="Q1472" s="90">
        <v>0</v>
      </c>
      <c r="R1472" s="90">
        <v>8400</v>
      </c>
    </row>
    <row r="1473" spans="1:18">
      <c r="A1473" s="90" t="s">
        <v>1081</v>
      </c>
      <c r="B1473" s="90" t="s">
        <v>643</v>
      </c>
      <c r="C1473" s="90" t="str">
        <f t="shared" si="22"/>
        <v>TyonekOther</v>
      </c>
      <c r="D1473" s="90">
        <v>1</v>
      </c>
      <c r="E1473" s="90">
        <v>2163.9204545454545</v>
      </c>
      <c r="F1473" s="90">
        <v>1871.5127967727569</v>
      </c>
      <c r="G1473" s="90">
        <v>0</v>
      </c>
      <c r="H1473" s="90">
        <v>15748.986486464588</v>
      </c>
      <c r="I1473" s="90">
        <v>0</v>
      </c>
      <c r="J1473" s="90">
        <v>0</v>
      </c>
      <c r="K1473" s="90">
        <v>0</v>
      </c>
      <c r="L1473" s="90">
        <v>1384.9194696118402</v>
      </c>
      <c r="M1473" s="90">
        <v>0</v>
      </c>
      <c r="N1473" s="90">
        <v>11654.249999983795</v>
      </c>
      <c r="O1473" s="90">
        <v>0</v>
      </c>
      <c r="P1473" s="90">
        <v>0</v>
      </c>
      <c r="Q1473" s="90">
        <v>0</v>
      </c>
      <c r="R1473" s="90">
        <v>15147.443181818182</v>
      </c>
    </row>
    <row r="1474" spans="1:18">
      <c r="A1474" s="90" t="s">
        <v>1082</v>
      </c>
      <c r="B1474" s="90" t="s">
        <v>643</v>
      </c>
      <c r="C1474" s="90" t="str">
        <f t="shared" si="22"/>
        <v>UgashikOther</v>
      </c>
      <c r="D1474" s="90">
        <v>1</v>
      </c>
      <c r="E1474" s="90">
        <v>3000</v>
      </c>
      <c r="F1474" s="90">
        <v>2594.6140388499821</v>
      </c>
      <c r="G1474" s="90">
        <v>0</v>
      </c>
      <c r="H1474" s="90">
        <v>21833.963147835901</v>
      </c>
      <c r="I1474" s="90">
        <v>0</v>
      </c>
      <c r="J1474" s="90">
        <v>0</v>
      </c>
      <c r="K1474" s="90">
        <v>0</v>
      </c>
      <c r="L1474" s="90">
        <v>1920.0143887489867</v>
      </c>
      <c r="M1474" s="90">
        <v>0</v>
      </c>
      <c r="N1474" s="90">
        <v>16157.132729398567</v>
      </c>
      <c r="O1474" s="90">
        <v>0</v>
      </c>
      <c r="P1474" s="90">
        <v>0</v>
      </c>
      <c r="Q1474" s="90">
        <v>0</v>
      </c>
      <c r="R1474" s="90">
        <v>21000</v>
      </c>
    </row>
    <row r="1475" spans="1:18">
      <c r="A1475" s="90" t="s">
        <v>1082</v>
      </c>
      <c r="B1475" s="90" t="s">
        <v>1227</v>
      </c>
      <c r="C1475" s="90" t="str">
        <f t="shared" ref="C1475:C1538" si="23">CONCATENATE(A1475,B1475)</f>
        <v>UgashikPublic Assembly</v>
      </c>
      <c r="D1475" s="90">
        <v>1</v>
      </c>
      <c r="E1475" s="90">
        <v>2400</v>
      </c>
      <c r="F1475" s="90">
        <v>1400</v>
      </c>
      <c r="G1475" s="90">
        <v>0</v>
      </c>
      <c r="H1475" s="90">
        <v>9028.1654259979132</v>
      </c>
      <c r="I1475" s="90">
        <v>0</v>
      </c>
      <c r="J1475" s="90">
        <v>0</v>
      </c>
      <c r="K1475" s="90">
        <v>0</v>
      </c>
      <c r="L1475" s="90">
        <v>1036</v>
      </c>
      <c r="M1475" s="90">
        <v>0</v>
      </c>
      <c r="N1475" s="90">
        <v>6680.8424152384559</v>
      </c>
      <c r="O1475" s="90">
        <v>0</v>
      </c>
      <c r="P1475" s="90">
        <v>0</v>
      </c>
      <c r="Q1475" s="90">
        <v>0</v>
      </c>
      <c r="R1475" s="90">
        <v>16800</v>
      </c>
    </row>
    <row r="1476" spans="1:18">
      <c r="A1476" s="90" t="s">
        <v>1082</v>
      </c>
      <c r="B1476" s="90" t="s">
        <v>951</v>
      </c>
      <c r="C1476" s="90" t="str">
        <f t="shared" si="23"/>
        <v>UgashikWarehousing</v>
      </c>
      <c r="D1476" s="90">
        <v>2</v>
      </c>
      <c r="E1476" s="90">
        <v>11000</v>
      </c>
      <c r="F1476" s="90">
        <v>11521.182440123082</v>
      </c>
      <c r="G1476" s="90">
        <v>0</v>
      </c>
      <c r="H1476" s="90">
        <v>130516.63664922307</v>
      </c>
      <c r="I1476" s="90">
        <v>0</v>
      </c>
      <c r="J1476" s="90">
        <v>0</v>
      </c>
      <c r="K1476" s="90">
        <v>0</v>
      </c>
      <c r="L1476" s="90">
        <v>8525.6750056910805</v>
      </c>
      <c r="M1476" s="90">
        <v>0</v>
      </c>
      <c r="N1476" s="90">
        <v>96582.311120425089</v>
      </c>
      <c r="O1476" s="90">
        <v>0</v>
      </c>
      <c r="P1476" s="90">
        <v>0</v>
      </c>
      <c r="Q1476" s="90">
        <v>0</v>
      </c>
      <c r="R1476" s="90">
        <v>77000</v>
      </c>
    </row>
    <row r="1477" spans="1:18">
      <c r="A1477" s="90" t="s">
        <v>22</v>
      </c>
      <c r="B1477" s="90" t="s">
        <v>1439</v>
      </c>
      <c r="C1477" s="90" t="str">
        <f t="shared" si="23"/>
        <v>UnalakleetEducation - K - 12</v>
      </c>
      <c r="D1477" s="90">
        <v>5</v>
      </c>
      <c r="E1477" s="90">
        <v>85001</v>
      </c>
      <c r="F1477" s="90">
        <v>116387.14695933954</v>
      </c>
      <c r="G1477" s="90">
        <v>0</v>
      </c>
      <c r="H1477" s="90">
        <v>703778.86533179146</v>
      </c>
      <c r="I1477" s="90">
        <v>0</v>
      </c>
      <c r="J1477" s="90">
        <v>0</v>
      </c>
      <c r="K1477" s="90">
        <v>0</v>
      </c>
      <c r="L1477" s="90">
        <v>86126.488749911252</v>
      </c>
      <c r="M1477" s="90">
        <v>0</v>
      </c>
      <c r="N1477" s="90">
        <v>520796.36034552584</v>
      </c>
      <c r="O1477" s="90">
        <v>0</v>
      </c>
      <c r="P1477" s="90">
        <v>0</v>
      </c>
      <c r="Q1477" s="90">
        <v>0</v>
      </c>
      <c r="R1477" s="90">
        <v>595007</v>
      </c>
    </row>
    <row r="1478" spans="1:18">
      <c r="A1478" s="90" t="s">
        <v>22</v>
      </c>
      <c r="B1478" s="90" t="s">
        <v>665</v>
      </c>
      <c r="C1478" s="90" t="str">
        <f t="shared" si="23"/>
        <v>UnalakleetOffice</v>
      </c>
      <c r="D1478" s="90">
        <v>9</v>
      </c>
      <c r="E1478" s="90">
        <v>37070.845323741014</v>
      </c>
      <c r="F1478" s="90">
        <v>33364.148510238912</v>
      </c>
      <c r="G1478" s="90">
        <v>0</v>
      </c>
      <c r="H1478" s="90">
        <v>210327.31175217137</v>
      </c>
      <c r="I1478" s="90">
        <v>0</v>
      </c>
      <c r="J1478" s="90">
        <v>0</v>
      </c>
      <c r="K1478" s="90">
        <v>0</v>
      </c>
      <c r="L1478" s="90">
        <v>24689.469897576793</v>
      </c>
      <c r="M1478" s="90">
        <v>0</v>
      </c>
      <c r="N1478" s="90">
        <v>155642.21069660687</v>
      </c>
      <c r="O1478" s="90">
        <v>0</v>
      </c>
      <c r="P1478" s="90">
        <v>0</v>
      </c>
      <c r="Q1478" s="90">
        <v>0</v>
      </c>
      <c r="R1478" s="90">
        <v>259495.91726618703</v>
      </c>
    </row>
    <row r="1479" spans="1:18">
      <c r="A1479" s="90" t="s">
        <v>22</v>
      </c>
      <c r="B1479" s="90" t="s">
        <v>643</v>
      </c>
      <c r="C1479" s="90" t="str">
        <f t="shared" si="23"/>
        <v>UnalakleetOther</v>
      </c>
      <c r="D1479" s="90">
        <v>18</v>
      </c>
      <c r="E1479" s="90">
        <v>88011.671755725154</v>
      </c>
      <c r="F1479" s="90">
        <v>79074.935771297707</v>
      </c>
      <c r="G1479" s="90">
        <v>0</v>
      </c>
      <c r="H1479" s="90">
        <v>630842.48379306507</v>
      </c>
      <c r="I1479" s="90">
        <v>0</v>
      </c>
      <c r="J1479" s="90">
        <v>0</v>
      </c>
      <c r="K1479" s="90">
        <v>0</v>
      </c>
      <c r="L1479" s="90">
        <v>58515.452470760305</v>
      </c>
      <c r="M1479" s="90">
        <v>0</v>
      </c>
      <c r="N1479" s="90">
        <v>466823.43800686818</v>
      </c>
      <c r="O1479" s="90">
        <v>0</v>
      </c>
      <c r="P1479" s="90">
        <v>0</v>
      </c>
      <c r="Q1479" s="90">
        <v>0</v>
      </c>
      <c r="R1479" s="90">
        <v>616081.70229007641</v>
      </c>
    </row>
    <row r="1480" spans="1:18">
      <c r="A1480" s="90" t="s">
        <v>22</v>
      </c>
      <c r="B1480" s="90" t="s">
        <v>1227</v>
      </c>
      <c r="C1480" s="90" t="str">
        <f t="shared" si="23"/>
        <v>UnalakleetPublic Assembly</v>
      </c>
      <c r="D1480" s="90">
        <v>7</v>
      </c>
      <c r="E1480" s="90">
        <v>20606.256179775279</v>
      </c>
      <c r="F1480" s="90">
        <v>16362.610019820702</v>
      </c>
      <c r="G1480" s="90">
        <v>0</v>
      </c>
      <c r="H1480" s="90">
        <v>95547.614789602667</v>
      </c>
      <c r="I1480" s="90">
        <v>0</v>
      </c>
      <c r="J1480" s="90">
        <v>0</v>
      </c>
      <c r="K1480" s="90">
        <v>0</v>
      </c>
      <c r="L1480" s="90">
        <v>12108.33141466732</v>
      </c>
      <c r="M1480" s="90">
        <v>0</v>
      </c>
      <c r="N1480" s="90">
        <v>70705.234944305965</v>
      </c>
      <c r="O1480" s="90">
        <v>0</v>
      </c>
      <c r="P1480" s="90">
        <v>0</v>
      </c>
      <c r="Q1480" s="90">
        <v>0</v>
      </c>
      <c r="R1480" s="90">
        <v>144243.79325842694</v>
      </c>
    </row>
    <row r="1481" spans="1:18">
      <c r="A1481" s="90" t="s">
        <v>22</v>
      </c>
      <c r="B1481" s="90" t="s">
        <v>1475</v>
      </c>
      <c r="C1481" s="90" t="str">
        <f t="shared" si="23"/>
        <v>UnalakleetPublic Safety</v>
      </c>
      <c r="D1481" s="90">
        <v>1</v>
      </c>
      <c r="E1481" s="90">
        <v>200</v>
      </c>
      <c r="F1481" s="90">
        <v>500</v>
      </c>
      <c r="G1481" s="90">
        <v>0</v>
      </c>
      <c r="H1481" s="90">
        <v>1654.016384558103</v>
      </c>
      <c r="I1481" s="90">
        <v>0</v>
      </c>
      <c r="J1481" s="90">
        <v>0</v>
      </c>
      <c r="K1481" s="90">
        <v>0</v>
      </c>
      <c r="L1481" s="90">
        <v>370</v>
      </c>
      <c r="M1481" s="90">
        <v>0</v>
      </c>
      <c r="N1481" s="90">
        <v>1223.9721245729963</v>
      </c>
      <c r="O1481" s="90">
        <v>0</v>
      </c>
      <c r="P1481" s="90">
        <v>0</v>
      </c>
      <c r="Q1481" s="90">
        <v>0</v>
      </c>
      <c r="R1481" s="90">
        <v>1400</v>
      </c>
    </row>
    <row r="1482" spans="1:18">
      <c r="A1482" s="90" t="s">
        <v>22</v>
      </c>
      <c r="B1482" s="90" t="s">
        <v>1485</v>
      </c>
      <c r="C1482" s="90" t="str">
        <f t="shared" si="23"/>
        <v>UnalakleetRetail - Other</v>
      </c>
      <c r="D1482" s="90">
        <v>1</v>
      </c>
      <c r="E1482" s="90">
        <v>10840</v>
      </c>
      <c r="F1482" s="90">
        <v>18005.771765633977</v>
      </c>
      <c r="G1482" s="90">
        <v>0</v>
      </c>
      <c r="H1482" s="90">
        <v>264476.26309683203</v>
      </c>
      <c r="I1482" s="90">
        <v>0</v>
      </c>
      <c r="J1482" s="90">
        <v>0</v>
      </c>
      <c r="K1482" s="90">
        <v>0</v>
      </c>
      <c r="L1482" s="90">
        <v>13324.271106569144</v>
      </c>
      <c r="M1482" s="90">
        <v>0</v>
      </c>
      <c r="N1482" s="90">
        <v>195712.43469165571</v>
      </c>
      <c r="O1482" s="90">
        <v>0</v>
      </c>
      <c r="P1482" s="90">
        <v>0</v>
      </c>
      <c r="Q1482" s="90">
        <v>0</v>
      </c>
      <c r="R1482" s="90">
        <v>75880</v>
      </c>
    </row>
    <row r="1483" spans="1:18">
      <c r="A1483" s="90" t="s">
        <v>22</v>
      </c>
      <c r="B1483" s="90" t="s">
        <v>951</v>
      </c>
      <c r="C1483" s="90" t="str">
        <f t="shared" si="23"/>
        <v>UnalakleetWarehousing</v>
      </c>
      <c r="D1483" s="90">
        <v>5</v>
      </c>
      <c r="E1483" s="90">
        <v>16683</v>
      </c>
      <c r="F1483" s="90">
        <v>29116.731029007886</v>
      </c>
      <c r="G1483" s="90">
        <v>0</v>
      </c>
      <c r="H1483" s="90">
        <v>764393.65614961821</v>
      </c>
      <c r="I1483" s="90">
        <v>0</v>
      </c>
      <c r="J1483" s="90">
        <v>0</v>
      </c>
      <c r="K1483" s="90">
        <v>0</v>
      </c>
      <c r="L1483" s="90">
        <v>21546.380961465835</v>
      </c>
      <c r="M1483" s="90">
        <v>0</v>
      </c>
      <c r="N1483" s="90">
        <v>565651.3055507174</v>
      </c>
      <c r="O1483" s="90">
        <v>0</v>
      </c>
      <c r="P1483" s="90">
        <v>0</v>
      </c>
      <c r="Q1483" s="90">
        <v>0</v>
      </c>
      <c r="R1483" s="90">
        <v>116781</v>
      </c>
    </row>
    <row r="1484" spans="1:18">
      <c r="A1484" s="90" t="s">
        <v>36</v>
      </c>
      <c r="B1484" s="90" t="s">
        <v>1447</v>
      </c>
      <c r="C1484" s="90" t="str">
        <f t="shared" si="23"/>
        <v>UnalaskaAccomodation Services</v>
      </c>
      <c r="D1484" s="90">
        <v>2</v>
      </c>
      <c r="E1484" s="90">
        <v>14519.333333333334</v>
      </c>
      <c r="F1484" s="90">
        <v>12032.45638717669</v>
      </c>
      <c r="G1484" s="90">
        <v>0</v>
      </c>
      <c r="H1484" s="90">
        <v>211520.15438297336</v>
      </c>
      <c r="I1484" s="90">
        <v>0</v>
      </c>
      <c r="J1484" s="90">
        <v>0</v>
      </c>
      <c r="K1484" s="90">
        <v>0</v>
      </c>
      <c r="L1484" s="90">
        <v>8904.0177265107504</v>
      </c>
      <c r="M1484" s="90">
        <v>0</v>
      </c>
      <c r="N1484" s="90">
        <v>156524.91424340027</v>
      </c>
      <c r="O1484" s="90">
        <v>0</v>
      </c>
      <c r="P1484" s="90">
        <v>0</v>
      </c>
      <c r="Q1484" s="90">
        <v>0</v>
      </c>
      <c r="R1484" s="90">
        <v>101635.33333333334</v>
      </c>
    </row>
    <row r="1485" spans="1:18">
      <c r="A1485" s="90" t="s">
        <v>36</v>
      </c>
      <c r="B1485" s="90" t="s">
        <v>1439</v>
      </c>
      <c r="C1485" s="90" t="str">
        <f t="shared" si="23"/>
        <v>UnalaskaEducation - K - 12</v>
      </c>
      <c r="D1485" s="90">
        <v>5</v>
      </c>
      <c r="E1485" s="90">
        <v>402422.77192982455</v>
      </c>
      <c r="F1485" s="90">
        <v>531833.10806919949</v>
      </c>
      <c r="G1485" s="90">
        <v>0</v>
      </c>
      <c r="H1485" s="90">
        <v>3504900.6225188882</v>
      </c>
      <c r="I1485" s="90">
        <v>0</v>
      </c>
      <c r="J1485" s="90">
        <v>0</v>
      </c>
      <c r="K1485" s="90">
        <v>0</v>
      </c>
      <c r="L1485" s="90">
        <v>393556.4999712077</v>
      </c>
      <c r="M1485" s="90">
        <v>0</v>
      </c>
      <c r="N1485" s="90">
        <v>2593626.4606639771</v>
      </c>
      <c r="O1485" s="90">
        <v>0</v>
      </c>
      <c r="P1485" s="90">
        <v>0</v>
      </c>
      <c r="Q1485" s="90">
        <v>0</v>
      </c>
      <c r="R1485" s="90">
        <v>2816959.4035087717</v>
      </c>
    </row>
    <row r="1486" spans="1:18">
      <c r="A1486" s="90" t="s">
        <v>36</v>
      </c>
      <c r="B1486" s="90" t="s">
        <v>1450</v>
      </c>
      <c r="C1486" s="90" t="str">
        <f t="shared" si="23"/>
        <v>UnalaskaEducation - University</v>
      </c>
      <c r="D1486" s="90">
        <v>1</v>
      </c>
      <c r="E1486" s="90">
        <v>20842.909090909092</v>
      </c>
      <c r="F1486" s="90">
        <v>22870.22362595173</v>
      </c>
      <c r="G1486" s="90">
        <v>0</v>
      </c>
      <c r="H1486" s="90">
        <v>248371.01829856823</v>
      </c>
      <c r="I1486" s="90">
        <v>0</v>
      </c>
      <c r="J1486" s="90">
        <v>0</v>
      </c>
      <c r="K1486" s="90">
        <v>0</v>
      </c>
      <c r="L1486" s="90">
        <v>16923.96548320428</v>
      </c>
      <c r="M1486" s="90">
        <v>0</v>
      </c>
      <c r="N1486" s="90">
        <v>183794.55354094048</v>
      </c>
      <c r="O1486" s="90">
        <v>0</v>
      </c>
      <c r="P1486" s="90">
        <v>0</v>
      </c>
      <c r="Q1486" s="90">
        <v>0</v>
      </c>
      <c r="R1486" s="90">
        <v>145900.36363636365</v>
      </c>
    </row>
    <row r="1487" spans="1:18">
      <c r="A1487" s="90" t="s">
        <v>36</v>
      </c>
      <c r="B1487" s="90" t="s">
        <v>665</v>
      </c>
      <c r="C1487" s="90" t="str">
        <f t="shared" si="23"/>
        <v>UnalaskaOffice</v>
      </c>
      <c r="D1487" s="90">
        <v>4</v>
      </c>
      <c r="E1487" s="90">
        <v>53944.000013559322</v>
      </c>
      <c r="F1487" s="90">
        <v>24322.760690948933</v>
      </c>
      <c r="G1487" s="90">
        <v>0</v>
      </c>
      <c r="H1487" s="90">
        <v>761542.01089958998</v>
      </c>
      <c r="I1487" s="90">
        <v>0</v>
      </c>
      <c r="J1487" s="90">
        <v>0</v>
      </c>
      <c r="K1487" s="90">
        <v>0</v>
      </c>
      <c r="L1487" s="90">
        <v>17998.84291130221</v>
      </c>
      <c r="M1487" s="90">
        <v>0</v>
      </c>
      <c r="N1487" s="90">
        <v>563541.08806569653</v>
      </c>
      <c r="O1487" s="90">
        <v>0</v>
      </c>
      <c r="P1487" s="90">
        <v>0</v>
      </c>
      <c r="Q1487" s="90">
        <v>0</v>
      </c>
      <c r="R1487" s="90">
        <v>377608.00009491527</v>
      </c>
    </row>
    <row r="1488" spans="1:18">
      <c r="A1488" s="90" t="s">
        <v>36</v>
      </c>
      <c r="B1488" s="90" t="s">
        <v>643</v>
      </c>
      <c r="C1488" s="90" t="str">
        <f t="shared" si="23"/>
        <v>UnalaskaOther</v>
      </c>
      <c r="D1488" s="90">
        <v>28</v>
      </c>
      <c r="E1488" s="90">
        <v>171534.43506493515</v>
      </c>
      <c r="F1488" s="90">
        <v>104897.25431872462</v>
      </c>
      <c r="G1488" s="90">
        <v>0</v>
      </c>
      <c r="H1488" s="90">
        <v>1578119.6111553945</v>
      </c>
      <c r="I1488" s="90">
        <v>0</v>
      </c>
      <c r="J1488" s="90">
        <v>0</v>
      </c>
      <c r="K1488" s="90">
        <v>0</v>
      </c>
      <c r="L1488" s="90">
        <v>77623.968195856272</v>
      </c>
      <c r="M1488" s="90">
        <v>0</v>
      </c>
      <c r="N1488" s="90">
        <v>1167808.5122549925</v>
      </c>
      <c r="O1488" s="90">
        <v>0</v>
      </c>
      <c r="P1488" s="90">
        <v>0</v>
      </c>
      <c r="Q1488" s="90">
        <v>0</v>
      </c>
      <c r="R1488" s="90">
        <v>1200741.0454545456</v>
      </c>
    </row>
    <row r="1489" spans="1:18">
      <c r="A1489" s="90" t="s">
        <v>36</v>
      </c>
      <c r="B1489" s="90" t="s">
        <v>1227</v>
      </c>
      <c r="C1489" s="90" t="str">
        <f t="shared" si="23"/>
        <v>UnalaskaPublic Assembly</v>
      </c>
      <c r="D1489" s="90">
        <v>5</v>
      </c>
      <c r="E1489" s="90">
        <v>60358.75</v>
      </c>
      <c r="F1489" s="90">
        <v>67986.923260026408</v>
      </c>
      <c r="G1489" s="90">
        <v>0</v>
      </c>
      <c r="H1489" s="90">
        <v>904345.45721862337</v>
      </c>
      <c r="I1489" s="90">
        <v>0</v>
      </c>
      <c r="J1489" s="90">
        <v>0</v>
      </c>
      <c r="K1489" s="90">
        <v>0</v>
      </c>
      <c r="L1489" s="90">
        <v>50310.323212419542</v>
      </c>
      <c r="M1489" s="90">
        <v>0</v>
      </c>
      <c r="N1489" s="90">
        <v>669215.63834178133</v>
      </c>
      <c r="O1489" s="90">
        <v>0</v>
      </c>
      <c r="P1489" s="90">
        <v>0</v>
      </c>
      <c r="Q1489" s="90">
        <v>0</v>
      </c>
      <c r="R1489" s="90">
        <v>422511.25</v>
      </c>
    </row>
    <row r="1490" spans="1:18">
      <c r="A1490" s="90" t="s">
        <v>36</v>
      </c>
      <c r="B1490" s="90" t="s">
        <v>1475</v>
      </c>
      <c r="C1490" s="90" t="str">
        <f t="shared" si="23"/>
        <v>UnalaskaPublic Safety</v>
      </c>
      <c r="D1490" s="90">
        <v>3</v>
      </c>
      <c r="E1490" s="90">
        <v>38531</v>
      </c>
      <c r="F1490" s="90">
        <v>20416.005157909647</v>
      </c>
      <c r="G1490" s="90">
        <v>0</v>
      </c>
      <c r="H1490" s="90">
        <v>755808.37578443193</v>
      </c>
      <c r="I1490" s="90">
        <v>0</v>
      </c>
      <c r="J1490" s="90">
        <v>0</v>
      </c>
      <c r="K1490" s="90">
        <v>0</v>
      </c>
      <c r="L1490" s="90">
        <v>15107.843816853139</v>
      </c>
      <c r="M1490" s="90">
        <v>0</v>
      </c>
      <c r="N1490" s="90">
        <v>559298.19808047963</v>
      </c>
      <c r="O1490" s="90">
        <v>0</v>
      </c>
      <c r="P1490" s="90">
        <v>0</v>
      </c>
      <c r="Q1490" s="90">
        <v>0</v>
      </c>
      <c r="R1490" s="90">
        <v>269717</v>
      </c>
    </row>
    <row r="1491" spans="1:18">
      <c r="A1491" s="90" t="s">
        <v>36</v>
      </c>
      <c r="B1491" s="90" t="s">
        <v>1442</v>
      </c>
      <c r="C1491" s="90" t="str">
        <f t="shared" si="23"/>
        <v>UnalaskaResidential - Multi-Family</v>
      </c>
      <c r="D1491" s="90">
        <v>2</v>
      </c>
      <c r="E1491" s="90">
        <v>20812.76923076923</v>
      </c>
      <c r="F1491" s="90">
        <v>8460.2587450711926</v>
      </c>
      <c r="G1491" s="90">
        <v>0</v>
      </c>
      <c r="H1491" s="90">
        <v>241506.45181629961</v>
      </c>
      <c r="I1491" s="90">
        <v>0</v>
      </c>
      <c r="J1491" s="90">
        <v>0</v>
      </c>
      <c r="K1491" s="90">
        <v>0</v>
      </c>
      <c r="L1491" s="90">
        <v>6260.5914713526827</v>
      </c>
      <c r="M1491" s="90">
        <v>0</v>
      </c>
      <c r="N1491" s="90">
        <v>178714.77434406171</v>
      </c>
      <c r="O1491" s="90">
        <v>0</v>
      </c>
      <c r="P1491" s="90">
        <v>0</v>
      </c>
      <c r="Q1491" s="90">
        <v>0</v>
      </c>
      <c r="R1491" s="90">
        <v>145689.38461538462</v>
      </c>
    </row>
    <row r="1492" spans="1:18">
      <c r="A1492" s="90" t="s">
        <v>36</v>
      </c>
      <c r="B1492" s="90" t="s">
        <v>951</v>
      </c>
      <c r="C1492" s="90" t="str">
        <f t="shared" si="23"/>
        <v>UnalaskaWarehousing</v>
      </c>
      <c r="D1492" s="90">
        <v>1</v>
      </c>
      <c r="E1492" s="90">
        <v>6092.5806451612907</v>
      </c>
      <c r="F1492" s="90">
        <v>9135.288167274839</v>
      </c>
      <c r="G1492" s="90">
        <v>0</v>
      </c>
      <c r="H1492" s="90">
        <v>175721.80219391617</v>
      </c>
      <c r="I1492" s="90">
        <v>0</v>
      </c>
      <c r="J1492" s="90">
        <v>0</v>
      </c>
      <c r="K1492" s="90">
        <v>0</v>
      </c>
      <c r="L1492" s="90">
        <v>6760.1132437833812</v>
      </c>
      <c r="M1492" s="90">
        <v>0</v>
      </c>
      <c r="N1492" s="90">
        <v>130034.13362349797</v>
      </c>
      <c r="O1492" s="90">
        <v>0</v>
      </c>
      <c r="P1492" s="90">
        <v>0</v>
      </c>
      <c r="Q1492" s="90">
        <v>0</v>
      </c>
      <c r="R1492" s="90">
        <v>42648.064516129038</v>
      </c>
    </row>
    <row r="1493" spans="1:18">
      <c r="A1493" s="90" t="s">
        <v>1083</v>
      </c>
      <c r="B1493" s="90" t="s">
        <v>1439</v>
      </c>
      <c r="C1493" s="90" t="str">
        <f t="shared" si="23"/>
        <v>Upper KalskagEducation - K - 12</v>
      </c>
      <c r="D1493" s="90">
        <v>1</v>
      </c>
      <c r="E1493" s="90">
        <v>6696</v>
      </c>
      <c r="F1493" s="90">
        <v>5676.6307170169657</v>
      </c>
      <c r="G1493" s="90">
        <v>0</v>
      </c>
      <c r="H1493" s="90">
        <v>43513.379241340277</v>
      </c>
      <c r="I1493" s="90">
        <v>0</v>
      </c>
      <c r="J1493" s="90">
        <v>0</v>
      </c>
      <c r="K1493" s="90">
        <v>0</v>
      </c>
      <c r="L1493" s="90">
        <v>4200.7067305925548</v>
      </c>
      <c r="M1493" s="90">
        <v>0</v>
      </c>
      <c r="N1493" s="90">
        <v>32199.900638591804</v>
      </c>
      <c r="O1493" s="90">
        <v>0</v>
      </c>
      <c r="P1493" s="90">
        <v>0</v>
      </c>
      <c r="Q1493" s="90">
        <v>0</v>
      </c>
      <c r="R1493" s="90">
        <v>46872</v>
      </c>
    </row>
    <row r="1494" spans="1:18">
      <c r="A1494" s="90" t="s">
        <v>1083</v>
      </c>
      <c r="B1494" s="90" t="s">
        <v>1440</v>
      </c>
      <c r="C1494" s="90" t="str">
        <f t="shared" si="23"/>
        <v>Upper KalskagHealth Care - Hospitals</v>
      </c>
      <c r="D1494" s="90">
        <v>2</v>
      </c>
      <c r="E1494" s="90">
        <v>4885</v>
      </c>
      <c r="F1494" s="90">
        <v>1977.3005749391727</v>
      </c>
      <c r="G1494" s="90">
        <v>0</v>
      </c>
      <c r="H1494" s="90">
        <v>34297.155222999994</v>
      </c>
      <c r="I1494" s="90">
        <v>0</v>
      </c>
      <c r="J1494" s="90">
        <v>0</v>
      </c>
      <c r="K1494" s="90">
        <v>0</v>
      </c>
      <c r="L1494" s="90">
        <v>1463.2024254549879</v>
      </c>
      <c r="M1494" s="90">
        <v>0</v>
      </c>
      <c r="N1494" s="90">
        <v>25379.894865019996</v>
      </c>
      <c r="O1494" s="90">
        <v>0</v>
      </c>
      <c r="P1494" s="90">
        <v>0</v>
      </c>
      <c r="Q1494" s="90">
        <v>0</v>
      </c>
      <c r="R1494" s="90">
        <v>34195</v>
      </c>
    </row>
    <row r="1495" spans="1:18">
      <c r="A1495" s="90" t="s">
        <v>1083</v>
      </c>
      <c r="B1495" s="90" t="s">
        <v>665</v>
      </c>
      <c r="C1495" s="90" t="str">
        <f t="shared" si="23"/>
        <v>Upper KalskagOffice</v>
      </c>
      <c r="D1495" s="90">
        <v>2</v>
      </c>
      <c r="E1495" s="90">
        <v>7336</v>
      </c>
      <c r="F1495" s="90">
        <v>5447.4805647569701</v>
      </c>
      <c r="G1495" s="90">
        <v>0</v>
      </c>
      <c r="H1495" s="90">
        <v>12233.609222499999</v>
      </c>
      <c r="I1495" s="90">
        <v>0</v>
      </c>
      <c r="J1495" s="90">
        <v>0</v>
      </c>
      <c r="K1495" s="90">
        <v>0</v>
      </c>
      <c r="L1495" s="90">
        <v>4031.135617920158</v>
      </c>
      <c r="M1495" s="90">
        <v>0</v>
      </c>
      <c r="N1495" s="90">
        <v>9052.8708246499991</v>
      </c>
      <c r="O1495" s="90">
        <v>0</v>
      </c>
      <c r="P1495" s="90">
        <v>0</v>
      </c>
      <c r="Q1495" s="90">
        <v>0</v>
      </c>
      <c r="R1495" s="90">
        <v>51352</v>
      </c>
    </row>
    <row r="1496" spans="1:18">
      <c r="A1496" s="90" t="s">
        <v>1083</v>
      </c>
      <c r="B1496" s="90" t="s">
        <v>1227</v>
      </c>
      <c r="C1496" s="90" t="str">
        <f t="shared" si="23"/>
        <v>Upper KalskagPublic Assembly</v>
      </c>
      <c r="D1496" s="90">
        <v>2</v>
      </c>
      <c r="E1496" s="90">
        <v>4294.7211538461543</v>
      </c>
      <c r="F1496" s="90">
        <v>3179.8670728864486</v>
      </c>
      <c r="G1496" s="90">
        <v>0</v>
      </c>
      <c r="H1496" s="90">
        <v>12217.519521895885</v>
      </c>
      <c r="I1496" s="90">
        <v>0</v>
      </c>
      <c r="J1496" s="90">
        <v>0</v>
      </c>
      <c r="K1496" s="90">
        <v>0</v>
      </c>
      <c r="L1496" s="90">
        <v>2353.1016339359717</v>
      </c>
      <c r="M1496" s="90">
        <v>0</v>
      </c>
      <c r="N1496" s="90">
        <v>9040.9644462029537</v>
      </c>
      <c r="O1496" s="90">
        <v>0</v>
      </c>
      <c r="P1496" s="90">
        <v>0</v>
      </c>
      <c r="Q1496" s="90">
        <v>0</v>
      </c>
      <c r="R1496" s="90">
        <v>30063.048076923078</v>
      </c>
    </row>
    <row r="1497" spans="1:18">
      <c r="A1497" s="90" t="s">
        <v>1083</v>
      </c>
      <c r="B1497" s="90" t="s">
        <v>1475</v>
      </c>
      <c r="C1497" s="90" t="str">
        <f t="shared" si="23"/>
        <v>Upper KalskagPublic Safety</v>
      </c>
      <c r="D1497" s="90">
        <v>2</v>
      </c>
      <c r="E1497" s="90">
        <v>1296</v>
      </c>
      <c r="F1497" s="90">
        <v>1260.1978106551569</v>
      </c>
      <c r="G1497" s="90">
        <v>0</v>
      </c>
      <c r="H1497" s="90">
        <v>7133.7334360290006</v>
      </c>
      <c r="I1497" s="90">
        <v>0</v>
      </c>
      <c r="J1497" s="90">
        <v>0</v>
      </c>
      <c r="K1497" s="90">
        <v>0</v>
      </c>
      <c r="L1497" s="90">
        <v>932.54637988481602</v>
      </c>
      <c r="M1497" s="90">
        <v>0</v>
      </c>
      <c r="N1497" s="90">
        <v>5278.9627426614607</v>
      </c>
      <c r="O1497" s="90">
        <v>0</v>
      </c>
      <c r="P1497" s="90">
        <v>0</v>
      </c>
      <c r="Q1497" s="90">
        <v>0</v>
      </c>
      <c r="R1497" s="90">
        <v>9072</v>
      </c>
    </row>
    <row r="1498" spans="1:18">
      <c r="A1498" s="90" t="s">
        <v>1084</v>
      </c>
      <c r="B1498" s="90" t="s">
        <v>1439</v>
      </c>
      <c r="C1498" s="90" t="str">
        <f t="shared" si="23"/>
        <v>ValdezEducation - K - 12</v>
      </c>
      <c r="D1498" s="90">
        <v>1</v>
      </c>
      <c r="E1498" s="90">
        <v>248692</v>
      </c>
      <c r="F1498" s="90">
        <v>328665.89203607407</v>
      </c>
      <c r="G1498" s="90">
        <v>0</v>
      </c>
      <c r="H1498" s="90">
        <v>2165982.6590714557</v>
      </c>
      <c r="I1498" s="90">
        <v>0</v>
      </c>
      <c r="J1498" s="90">
        <v>0</v>
      </c>
      <c r="K1498" s="90">
        <v>0</v>
      </c>
      <c r="L1498" s="90">
        <v>243212.7601066948</v>
      </c>
      <c r="M1498" s="90">
        <v>0</v>
      </c>
      <c r="N1498" s="90">
        <v>1602827.1677128773</v>
      </c>
      <c r="O1498" s="90">
        <v>0</v>
      </c>
      <c r="P1498" s="90">
        <v>0</v>
      </c>
      <c r="Q1498" s="90">
        <v>0</v>
      </c>
      <c r="R1498" s="90">
        <v>1740844</v>
      </c>
    </row>
    <row r="1499" spans="1:18">
      <c r="A1499" s="90" t="s">
        <v>1084</v>
      </c>
      <c r="B1499" s="90" t="s">
        <v>665</v>
      </c>
      <c r="C1499" s="90" t="str">
        <f t="shared" si="23"/>
        <v>ValdezOffice</v>
      </c>
      <c r="D1499" s="90">
        <v>1</v>
      </c>
      <c r="E1499" s="90">
        <v>5888</v>
      </c>
      <c r="F1499" s="90">
        <v>4241.2948905109479</v>
      </c>
      <c r="G1499" s="90">
        <v>0</v>
      </c>
      <c r="H1499" s="90">
        <v>83122.485522944189</v>
      </c>
      <c r="I1499" s="90">
        <v>0</v>
      </c>
      <c r="J1499" s="90">
        <v>0</v>
      </c>
      <c r="K1499" s="90">
        <v>0</v>
      </c>
      <c r="L1499" s="90">
        <v>3138.5582189781012</v>
      </c>
      <c r="M1499" s="90">
        <v>0</v>
      </c>
      <c r="N1499" s="90">
        <v>61510.639286978701</v>
      </c>
      <c r="O1499" s="90">
        <v>0</v>
      </c>
      <c r="P1499" s="90">
        <v>0</v>
      </c>
      <c r="Q1499" s="90">
        <v>0</v>
      </c>
      <c r="R1499" s="90">
        <v>41216</v>
      </c>
    </row>
    <row r="1500" spans="1:18">
      <c r="A1500" s="90" t="s">
        <v>1084</v>
      </c>
      <c r="B1500" s="90" t="s">
        <v>643</v>
      </c>
      <c r="C1500" s="90" t="str">
        <f t="shared" si="23"/>
        <v>ValdezOther</v>
      </c>
      <c r="D1500" s="90">
        <v>200</v>
      </c>
      <c r="E1500" s="90">
        <v>1288014.4870129819</v>
      </c>
      <c r="F1500" s="90">
        <v>790810.71490834141</v>
      </c>
      <c r="G1500" s="90">
        <v>0</v>
      </c>
      <c r="H1500" s="90">
        <v>12062289.383231169</v>
      </c>
      <c r="I1500" s="90">
        <v>0</v>
      </c>
      <c r="J1500" s="90">
        <v>0</v>
      </c>
      <c r="K1500" s="90">
        <v>0</v>
      </c>
      <c r="L1500" s="90">
        <v>585199.92903216905</v>
      </c>
      <c r="M1500" s="90">
        <v>0</v>
      </c>
      <c r="N1500" s="90">
        <v>8926094.1435910538</v>
      </c>
      <c r="O1500" s="90">
        <v>0</v>
      </c>
      <c r="P1500" s="90">
        <v>0</v>
      </c>
      <c r="Q1500" s="90">
        <v>0</v>
      </c>
      <c r="R1500" s="90">
        <v>9016101.409090938</v>
      </c>
    </row>
    <row r="1501" spans="1:18">
      <c r="A1501" s="90" t="s">
        <v>1084</v>
      </c>
      <c r="B1501" s="90" t="s">
        <v>1227</v>
      </c>
      <c r="C1501" s="90" t="str">
        <f t="shared" si="23"/>
        <v>ValdezPublic Assembly</v>
      </c>
      <c r="D1501" s="90">
        <v>1</v>
      </c>
      <c r="E1501" s="90">
        <v>4000</v>
      </c>
      <c r="F1501" s="90">
        <v>4505.5222820238268</v>
      </c>
      <c r="G1501" s="90">
        <v>0</v>
      </c>
      <c r="H1501" s="90">
        <v>59931.357572423112</v>
      </c>
      <c r="I1501" s="90">
        <v>0</v>
      </c>
      <c r="J1501" s="90">
        <v>0</v>
      </c>
      <c r="K1501" s="90">
        <v>0</v>
      </c>
      <c r="L1501" s="90">
        <v>3334.0864886976319</v>
      </c>
      <c r="M1501" s="90">
        <v>0</v>
      </c>
      <c r="N1501" s="90">
        <v>44349.204603593105</v>
      </c>
      <c r="O1501" s="90">
        <v>0</v>
      </c>
      <c r="P1501" s="90">
        <v>0</v>
      </c>
      <c r="Q1501" s="90">
        <v>0</v>
      </c>
      <c r="R1501" s="90">
        <v>28000</v>
      </c>
    </row>
    <row r="1502" spans="1:18">
      <c r="A1502" s="90" t="s">
        <v>1084</v>
      </c>
      <c r="B1502" s="90" t="s">
        <v>951</v>
      </c>
      <c r="C1502" s="90" t="str">
        <f t="shared" si="23"/>
        <v>ValdezWarehousing</v>
      </c>
      <c r="D1502" s="90">
        <v>3</v>
      </c>
      <c r="E1502" s="90">
        <v>6464</v>
      </c>
      <c r="F1502" s="90">
        <v>10849.399157498035</v>
      </c>
      <c r="G1502" s="90">
        <v>0</v>
      </c>
      <c r="H1502" s="90">
        <v>34824.152079533727</v>
      </c>
      <c r="I1502" s="90">
        <v>0</v>
      </c>
      <c r="J1502" s="90">
        <v>0</v>
      </c>
      <c r="K1502" s="90">
        <v>0</v>
      </c>
      <c r="L1502" s="90">
        <v>8028.5553765485465</v>
      </c>
      <c r="M1502" s="90">
        <v>0</v>
      </c>
      <c r="N1502" s="90">
        <v>25769.872538854957</v>
      </c>
      <c r="O1502" s="90">
        <v>0</v>
      </c>
      <c r="P1502" s="90">
        <v>0</v>
      </c>
      <c r="Q1502" s="90">
        <v>0</v>
      </c>
      <c r="R1502" s="90">
        <v>45248</v>
      </c>
    </row>
    <row r="1503" spans="1:18">
      <c r="A1503" s="90" t="s">
        <v>414</v>
      </c>
      <c r="B1503" s="90" t="s">
        <v>1439</v>
      </c>
      <c r="C1503" s="90" t="str">
        <f t="shared" si="23"/>
        <v>VenetieEducation - K - 12</v>
      </c>
      <c r="D1503" s="90">
        <v>1</v>
      </c>
      <c r="E1503" s="90">
        <v>21920</v>
      </c>
      <c r="F1503" s="90">
        <v>25055.17372262774</v>
      </c>
      <c r="G1503" s="90">
        <v>0</v>
      </c>
      <c r="H1503" s="90">
        <v>54900.494100000004</v>
      </c>
      <c r="I1503" s="90">
        <v>0</v>
      </c>
      <c r="J1503" s="90">
        <v>401.31147540983608</v>
      </c>
      <c r="K1503" s="90">
        <v>0</v>
      </c>
      <c r="L1503" s="90">
        <v>18540.828554744527</v>
      </c>
      <c r="M1503" s="90">
        <v>0</v>
      </c>
      <c r="N1503" s="90">
        <v>40626.365634000002</v>
      </c>
      <c r="O1503" s="90">
        <v>0</v>
      </c>
      <c r="P1503" s="90">
        <v>296.97049180327872</v>
      </c>
      <c r="Q1503" s="90">
        <v>0</v>
      </c>
      <c r="R1503" s="90">
        <v>153440</v>
      </c>
    </row>
    <row r="1504" spans="1:18">
      <c r="A1504" s="90" t="s">
        <v>414</v>
      </c>
      <c r="B1504" s="90" t="s">
        <v>1440</v>
      </c>
      <c r="C1504" s="90" t="str">
        <f t="shared" si="23"/>
        <v>VenetieHealth Care - Hospitals</v>
      </c>
      <c r="D1504" s="90">
        <v>1</v>
      </c>
      <c r="E1504" s="90">
        <v>2256.9250000000002</v>
      </c>
      <c r="F1504" s="90">
        <v>1573.0165476804564</v>
      </c>
      <c r="G1504" s="90">
        <v>0</v>
      </c>
      <c r="H1504" s="90">
        <v>16977.563262470368</v>
      </c>
      <c r="I1504" s="90">
        <v>0</v>
      </c>
      <c r="J1504" s="90">
        <v>0</v>
      </c>
      <c r="K1504" s="90">
        <v>0</v>
      </c>
      <c r="L1504" s="90">
        <v>1164.0322452835378</v>
      </c>
      <c r="M1504" s="90">
        <v>0</v>
      </c>
      <c r="N1504" s="90">
        <v>12563.396814228072</v>
      </c>
      <c r="O1504" s="90">
        <v>0</v>
      </c>
      <c r="P1504" s="90">
        <v>0</v>
      </c>
      <c r="Q1504" s="90">
        <v>0</v>
      </c>
      <c r="R1504" s="90">
        <v>15798.475000000002</v>
      </c>
    </row>
    <row r="1505" spans="1:18">
      <c r="A1505" s="90" t="s">
        <v>414</v>
      </c>
      <c r="B1505" s="90" t="s">
        <v>1227</v>
      </c>
      <c r="C1505" s="90" t="str">
        <f t="shared" si="23"/>
        <v>VenetiePublic Assembly</v>
      </c>
      <c r="D1505" s="90">
        <v>1</v>
      </c>
      <c r="E1505" s="90">
        <v>3136.7211538461538</v>
      </c>
      <c r="F1505" s="90">
        <v>1957.1809414995873</v>
      </c>
      <c r="G1505" s="90">
        <v>0</v>
      </c>
      <c r="H1505" s="90">
        <v>11799.515613395884</v>
      </c>
      <c r="I1505" s="90">
        <v>0</v>
      </c>
      <c r="J1505" s="90">
        <v>0</v>
      </c>
      <c r="K1505" s="90">
        <v>0</v>
      </c>
      <c r="L1505" s="90">
        <v>1448.3138967096945</v>
      </c>
      <c r="M1505" s="90">
        <v>0</v>
      </c>
      <c r="N1505" s="90">
        <v>8731.6415539129539</v>
      </c>
      <c r="O1505" s="90">
        <v>0</v>
      </c>
      <c r="P1505" s="90">
        <v>0</v>
      </c>
      <c r="Q1505" s="90">
        <v>0</v>
      </c>
      <c r="R1505" s="90">
        <v>21957.048076923078</v>
      </c>
    </row>
    <row r="1506" spans="1:18">
      <c r="A1506" s="90" t="s">
        <v>414</v>
      </c>
      <c r="B1506" s="90" t="s">
        <v>1485</v>
      </c>
      <c r="C1506" s="90" t="str">
        <f t="shared" si="23"/>
        <v>VenetieRetail - Other</v>
      </c>
      <c r="D1506" s="90">
        <v>1</v>
      </c>
      <c r="E1506" s="90">
        <v>1500</v>
      </c>
      <c r="F1506" s="90">
        <v>1585.8569677871149</v>
      </c>
      <c r="G1506" s="90">
        <v>0</v>
      </c>
      <c r="H1506" s="90">
        <v>35332.858253536928</v>
      </c>
      <c r="I1506" s="90">
        <v>0</v>
      </c>
      <c r="J1506" s="90">
        <v>0</v>
      </c>
      <c r="K1506" s="90">
        <v>0</v>
      </c>
      <c r="L1506" s="90">
        <v>1173.534156162465</v>
      </c>
      <c r="M1506" s="90">
        <v>0</v>
      </c>
      <c r="N1506" s="90">
        <v>26146.315107617327</v>
      </c>
      <c r="O1506" s="90">
        <v>0</v>
      </c>
      <c r="P1506" s="90">
        <v>0</v>
      </c>
      <c r="Q1506" s="90">
        <v>0</v>
      </c>
      <c r="R1506" s="90">
        <v>10500</v>
      </c>
    </row>
    <row r="1507" spans="1:18">
      <c r="A1507" s="90" t="s">
        <v>212</v>
      </c>
      <c r="B1507" s="90" t="s">
        <v>1439</v>
      </c>
      <c r="C1507" s="90" t="str">
        <f t="shared" si="23"/>
        <v>WainwrightEducation - K - 12</v>
      </c>
      <c r="D1507" s="90">
        <v>5</v>
      </c>
      <c r="E1507" s="90">
        <v>159358</v>
      </c>
      <c r="F1507" s="90">
        <v>96175.077861394442</v>
      </c>
      <c r="G1507" s="90">
        <v>0</v>
      </c>
      <c r="H1507" s="90">
        <v>1307821.2814755891</v>
      </c>
      <c r="I1507" s="90">
        <v>0</v>
      </c>
      <c r="J1507" s="90">
        <v>0</v>
      </c>
      <c r="K1507" s="90">
        <v>0</v>
      </c>
      <c r="L1507" s="90">
        <v>71169.557617431885</v>
      </c>
      <c r="M1507" s="90">
        <v>0</v>
      </c>
      <c r="N1507" s="90">
        <v>967787.74829193624</v>
      </c>
      <c r="O1507" s="90">
        <v>0</v>
      </c>
      <c r="P1507" s="90">
        <v>0</v>
      </c>
      <c r="Q1507" s="90">
        <v>0</v>
      </c>
      <c r="R1507" s="90">
        <v>1115506</v>
      </c>
    </row>
    <row r="1508" spans="1:18">
      <c r="A1508" s="90" t="s">
        <v>212</v>
      </c>
      <c r="B1508" s="90" t="s">
        <v>1440</v>
      </c>
      <c r="C1508" s="90" t="str">
        <f t="shared" si="23"/>
        <v>WainwrightHealth Care - Hospitals</v>
      </c>
      <c r="D1508" s="90">
        <v>1</v>
      </c>
      <c r="E1508" s="90">
        <v>6430</v>
      </c>
      <c r="F1508" s="90">
        <v>4064.2454239434214</v>
      </c>
      <c r="G1508" s="90">
        <v>0</v>
      </c>
      <c r="H1508" s="90">
        <v>4940</v>
      </c>
      <c r="I1508" s="90">
        <v>0</v>
      </c>
      <c r="J1508" s="90">
        <v>0</v>
      </c>
      <c r="K1508" s="90">
        <v>0</v>
      </c>
      <c r="L1508" s="90">
        <v>3007.5416137181319</v>
      </c>
      <c r="M1508" s="90">
        <v>0</v>
      </c>
      <c r="N1508" s="90">
        <v>3655.6</v>
      </c>
      <c r="O1508" s="90">
        <v>0</v>
      </c>
      <c r="P1508" s="90">
        <v>0</v>
      </c>
      <c r="Q1508" s="90">
        <v>0</v>
      </c>
      <c r="R1508" s="90">
        <v>45010</v>
      </c>
    </row>
    <row r="1509" spans="1:18">
      <c r="A1509" s="90" t="s">
        <v>212</v>
      </c>
      <c r="B1509" s="90" t="s">
        <v>665</v>
      </c>
      <c r="C1509" s="90" t="str">
        <f t="shared" si="23"/>
        <v>WainwrightOffice</v>
      </c>
      <c r="D1509" s="90">
        <v>3</v>
      </c>
      <c r="E1509" s="90">
        <v>7128</v>
      </c>
      <c r="F1509" s="90">
        <v>6467.7472261807925</v>
      </c>
      <c r="G1509" s="90">
        <v>0</v>
      </c>
      <c r="H1509" s="90">
        <v>30850.163492802109</v>
      </c>
      <c r="I1509" s="90">
        <v>0</v>
      </c>
      <c r="J1509" s="90">
        <v>0</v>
      </c>
      <c r="K1509" s="90">
        <v>0</v>
      </c>
      <c r="L1509" s="90">
        <v>4786.132947373786</v>
      </c>
      <c r="M1509" s="90">
        <v>0</v>
      </c>
      <c r="N1509" s="90">
        <v>22829.120984673558</v>
      </c>
      <c r="O1509" s="90">
        <v>0</v>
      </c>
      <c r="P1509" s="90">
        <v>0</v>
      </c>
      <c r="Q1509" s="90">
        <v>0</v>
      </c>
      <c r="R1509" s="90">
        <v>49896</v>
      </c>
    </row>
    <row r="1510" spans="1:18">
      <c r="A1510" s="90" t="s">
        <v>212</v>
      </c>
      <c r="B1510" s="90" t="s">
        <v>643</v>
      </c>
      <c r="C1510" s="90" t="str">
        <f t="shared" si="23"/>
        <v>WainwrightOther</v>
      </c>
      <c r="D1510" s="90">
        <v>6</v>
      </c>
      <c r="E1510" s="90">
        <v>58164</v>
      </c>
      <c r="F1510" s="90">
        <v>61817.558905786769</v>
      </c>
      <c r="G1510" s="90">
        <v>0</v>
      </c>
      <c r="H1510" s="90">
        <v>446146.13381704967</v>
      </c>
      <c r="I1510" s="90">
        <v>0</v>
      </c>
      <c r="J1510" s="90">
        <v>0</v>
      </c>
      <c r="K1510" s="90">
        <v>0</v>
      </c>
      <c r="L1510" s="90">
        <v>45744.993590282225</v>
      </c>
      <c r="M1510" s="90">
        <v>0</v>
      </c>
      <c r="N1510" s="90">
        <v>330148.13902461686</v>
      </c>
      <c r="O1510" s="90">
        <v>0</v>
      </c>
      <c r="P1510" s="90">
        <v>0</v>
      </c>
      <c r="Q1510" s="90">
        <v>0</v>
      </c>
      <c r="R1510" s="90">
        <v>407148</v>
      </c>
    </row>
    <row r="1511" spans="1:18">
      <c r="A1511" s="90" t="s">
        <v>212</v>
      </c>
      <c r="B1511" s="90" t="s">
        <v>1227</v>
      </c>
      <c r="C1511" s="90" t="str">
        <f t="shared" si="23"/>
        <v>WainwrightPublic Assembly</v>
      </c>
      <c r="D1511" s="90">
        <v>2</v>
      </c>
      <c r="E1511" s="90">
        <v>6748</v>
      </c>
      <c r="F1511" s="90">
        <v>4666.986936590185</v>
      </c>
      <c r="G1511" s="90">
        <v>0</v>
      </c>
      <c r="H1511" s="90">
        <v>44669.537229161731</v>
      </c>
      <c r="I1511" s="90">
        <v>0</v>
      </c>
      <c r="J1511" s="90">
        <v>0</v>
      </c>
      <c r="K1511" s="90">
        <v>0</v>
      </c>
      <c r="L1511" s="90">
        <v>3453.5703330767369</v>
      </c>
      <c r="M1511" s="90">
        <v>0</v>
      </c>
      <c r="N1511" s="90">
        <v>33055.457549579682</v>
      </c>
      <c r="O1511" s="90">
        <v>0</v>
      </c>
      <c r="P1511" s="90">
        <v>0</v>
      </c>
      <c r="Q1511" s="90">
        <v>0</v>
      </c>
      <c r="R1511" s="90">
        <v>47236</v>
      </c>
    </row>
    <row r="1512" spans="1:18">
      <c r="A1512" s="90" t="s">
        <v>212</v>
      </c>
      <c r="B1512" s="90" t="s">
        <v>1475</v>
      </c>
      <c r="C1512" s="90" t="str">
        <f t="shared" si="23"/>
        <v>WainwrightPublic Safety</v>
      </c>
      <c r="D1512" s="90">
        <v>3</v>
      </c>
      <c r="E1512" s="90">
        <v>8080</v>
      </c>
      <c r="F1512" s="90">
        <v>5719.5279089579835</v>
      </c>
      <c r="G1512" s="90">
        <v>0</v>
      </c>
      <c r="H1512" s="90">
        <v>64800.742095499998</v>
      </c>
      <c r="I1512" s="90">
        <v>0</v>
      </c>
      <c r="J1512" s="90">
        <v>0</v>
      </c>
      <c r="K1512" s="90">
        <v>0</v>
      </c>
      <c r="L1512" s="90">
        <v>4232.4506526289078</v>
      </c>
      <c r="M1512" s="90">
        <v>0</v>
      </c>
      <c r="N1512" s="90">
        <v>47952.549150669991</v>
      </c>
      <c r="O1512" s="90">
        <v>0</v>
      </c>
      <c r="P1512" s="90">
        <v>0</v>
      </c>
      <c r="Q1512" s="90">
        <v>0</v>
      </c>
      <c r="R1512" s="90">
        <v>56560</v>
      </c>
    </row>
    <row r="1513" spans="1:18">
      <c r="A1513" s="90" t="s">
        <v>212</v>
      </c>
      <c r="B1513" s="90" t="s">
        <v>1442</v>
      </c>
      <c r="C1513" s="90" t="str">
        <f t="shared" si="23"/>
        <v>WainwrightResidential - Multi-Family</v>
      </c>
      <c r="D1513" s="90">
        <v>1</v>
      </c>
      <c r="E1513" s="90">
        <v>5184</v>
      </c>
      <c r="F1513" s="90">
        <v>5303.6319106912842</v>
      </c>
      <c r="G1513" s="90">
        <v>0</v>
      </c>
      <c r="H1513" s="90">
        <v>46165.915489499996</v>
      </c>
      <c r="I1513" s="90">
        <v>0</v>
      </c>
      <c r="J1513" s="90">
        <v>0</v>
      </c>
      <c r="K1513" s="90">
        <v>0</v>
      </c>
      <c r="L1513" s="90">
        <v>3924.6876139115502</v>
      </c>
      <c r="M1513" s="90">
        <v>0</v>
      </c>
      <c r="N1513" s="90">
        <v>34162.777462229998</v>
      </c>
      <c r="O1513" s="90">
        <v>0</v>
      </c>
      <c r="P1513" s="90">
        <v>0</v>
      </c>
      <c r="Q1513" s="90">
        <v>0</v>
      </c>
      <c r="R1513" s="90">
        <v>36288</v>
      </c>
    </row>
    <row r="1514" spans="1:18">
      <c r="A1514" s="90" t="s">
        <v>212</v>
      </c>
      <c r="B1514" s="90" t="s">
        <v>1485</v>
      </c>
      <c r="C1514" s="90" t="str">
        <f t="shared" si="23"/>
        <v>WainwrightRetail - Other</v>
      </c>
      <c r="D1514" s="90">
        <v>1</v>
      </c>
      <c r="E1514" s="90">
        <v>6276.3658536585363</v>
      </c>
      <c r="F1514" s="90">
        <v>10425.351575516059</v>
      </c>
      <c r="G1514" s="90">
        <v>0</v>
      </c>
      <c r="H1514" s="90">
        <v>153131.89915167599</v>
      </c>
      <c r="I1514" s="90">
        <v>0</v>
      </c>
      <c r="J1514" s="90">
        <v>0</v>
      </c>
      <c r="K1514" s="90">
        <v>0</v>
      </c>
      <c r="L1514" s="90">
        <v>7714.760165881883</v>
      </c>
      <c r="M1514" s="90">
        <v>0</v>
      </c>
      <c r="N1514" s="90">
        <v>113317.60537224023</v>
      </c>
      <c r="O1514" s="90">
        <v>0</v>
      </c>
      <c r="P1514" s="90">
        <v>0</v>
      </c>
      <c r="Q1514" s="90">
        <v>0</v>
      </c>
      <c r="R1514" s="90">
        <v>43934.560975609755</v>
      </c>
    </row>
    <row r="1515" spans="1:18">
      <c r="A1515" s="90" t="s">
        <v>110</v>
      </c>
      <c r="B1515" s="90" t="s">
        <v>1439</v>
      </c>
      <c r="C1515" s="90" t="str">
        <f t="shared" si="23"/>
        <v>WalesEducation - K - 12</v>
      </c>
      <c r="D1515" s="90">
        <v>1</v>
      </c>
      <c r="E1515" s="90">
        <v>13182</v>
      </c>
      <c r="F1515" s="90">
        <v>16847</v>
      </c>
      <c r="G1515" s="90">
        <v>0</v>
      </c>
      <c r="H1515" s="90">
        <v>104408</v>
      </c>
      <c r="I1515" s="90">
        <v>0</v>
      </c>
      <c r="J1515" s="90">
        <v>0</v>
      </c>
      <c r="K1515" s="90">
        <v>0</v>
      </c>
      <c r="L1515" s="90">
        <v>12466.78</v>
      </c>
      <c r="M1515" s="90">
        <v>0</v>
      </c>
      <c r="N1515" s="90">
        <v>77261.919999999998</v>
      </c>
      <c r="O1515" s="90">
        <v>0</v>
      </c>
      <c r="P1515" s="90">
        <v>0</v>
      </c>
      <c r="Q1515" s="90">
        <v>0</v>
      </c>
      <c r="R1515" s="90">
        <v>92274</v>
      </c>
    </row>
    <row r="1516" spans="1:18">
      <c r="A1516" s="90" t="s">
        <v>110</v>
      </c>
      <c r="B1516" s="90" t="s">
        <v>1440</v>
      </c>
      <c r="C1516" s="90" t="str">
        <f t="shared" si="23"/>
        <v>WalesHealth Care - Hospitals</v>
      </c>
      <c r="D1516" s="90">
        <v>1</v>
      </c>
      <c r="E1516" s="90">
        <v>2256.9250000000002</v>
      </c>
      <c r="F1516" s="90">
        <v>1573.0165476804564</v>
      </c>
      <c r="G1516" s="90">
        <v>0</v>
      </c>
      <c r="H1516" s="90">
        <v>16977.563262470368</v>
      </c>
      <c r="I1516" s="90">
        <v>0</v>
      </c>
      <c r="J1516" s="90">
        <v>0</v>
      </c>
      <c r="K1516" s="90">
        <v>0</v>
      </c>
      <c r="L1516" s="90">
        <v>1164.0322452835378</v>
      </c>
      <c r="M1516" s="90">
        <v>0</v>
      </c>
      <c r="N1516" s="90">
        <v>12563.396814228072</v>
      </c>
      <c r="O1516" s="90">
        <v>0</v>
      </c>
      <c r="P1516" s="90">
        <v>0</v>
      </c>
      <c r="Q1516" s="90">
        <v>0</v>
      </c>
      <c r="R1516" s="90">
        <v>15798.475000000002</v>
      </c>
    </row>
    <row r="1517" spans="1:18">
      <c r="A1517" s="90" t="s">
        <v>110</v>
      </c>
      <c r="B1517" s="90" t="s">
        <v>665</v>
      </c>
      <c r="C1517" s="90" t="str">
        <f t="shared" si="23"/>
        <v>WalesOffice</v>
      </c>
      <c r="D1517" s="90">
        <v>4</v>
      </c>
      <c r="E1517" s="90">
        <v>7533.2585034013609</v>
      </c>
      <c r="F1517" s="90">
        <v>13805.582472296264</v>
      </c>
      <c r="G1517" s="90">
        <v>0</v>
      </c>
      <c r="H1517" s="90">
        <v>58812.40073979069</v>
      </c>
      <c r="I1517" s="90">
        <v>0</v>
      </c>
      <c r="J1517" s="90">
        <v>0</v>
      </c>
      <c r="K1517" s="90">
        <v>0</v>
      </c>
      <c r="L1517" s="90">
        <v>10216.131029499236</v>
      </c>
      <c r="M1517" s="90">
        <v>0</v>
      </c>
      <c r="N1517" s="90">
        <v>43521.176547445109</v>
      </c>
      <c r="O1517" s="90">
        <v>0</v>
      </c>
      <c r="P1517" s="90">
        <v>0</v>
      </c>
      <c r="Q1517" s="90">
        <v>0</v>
      </c>
      <c r="R1517" s="90">
        <v>52732.809523809527</v>
      </c>
    </row>
    <row r="1518" spans="1:18">
      <c r="A1518" s="90" t="s">
        <v>110</v>
      </c>
      <c r="B1518" s="90" t="s">
        <v>643</v>
      </c>
      <c r="C1518" s="90" t="str">
        <f t="shared" si="23"/>
        <v>WalesOther</v>
      </c>
      <c r="D1518" s="90">
        <v>9</v>
      </c>
      <c r="E1518" s="90">
        <v>17607.44318181818</v>
      </c>
      <c r="F1518" s="90">
        <v>14184.093227044334</v>
      </c>
      <c r="G1518" s="90">
        <v>0</v>
      </c>
      <c r="H1518" s="90">
        <v>118058.02129091385</v>
      </c>
      <c r="I1518" s="90">
        <v>0</v>
      </c>
      <c r="J1518" s="90">
        <v>0</v>
      </c>
      <c r="K1518" s="90">
        <v>0</v>
      </c>
      <c r="L1518" s="90">
        <v>10496.228988012808</v>
      </c>
      <c r="M1518" s="90">
        <v>0</v>
      </c>
      <c r="N1518" s="90">
        <v>87362.935755276223</v>
      </c>
      <c r="O1518" s="90">
        <v>0</v>
      </c>
      <c r="P1518" s="90">
        <v>0</v>
      </c>
      <c r="Q1518" s="90">
        <v>0</v>
      </c>
      <c r="R1518" s="90">
        <v>123252.10227272726</v>
      </c>
    </row>
    <row r="1519" spans="1:18">
      <c r="A1519" s="90" t="s">
        <v>110</v>
      </c>
      <c r="B1519" s="90" t="s">
        <v>1227</v>
      </c>
      <c r="C1519" s="90" t="str">
        <f t="shared" si="23"/>
        <v>WalesPublic Assembly</v>
      </c>
      <c r="D1519" s="90">
        <v>1</v>
      </c>
      <c r="E1519" s="90">
        <v>3136.7211538461538</v>
      </c>
      <c r="F1519" s="90">
        <v>1957.1809414995873</v>
      </c>
      <c r="G1519" s="90">
        <v>0</v>
      </c>
      <c r="H1519" s="90">
        <v>11799.515613395884</v>
      </c>
      <c r="I1519" s="90">
        <v>0</v>
      </c>
      <c r="J1519" s="90">
        <v>0</v>
      </c>
      <c r="K1519" s="90">
        <v>0</v>
      </c>
      <c r="L1519" s="90">
        <v>1448.3138967096945</v>
      </c>
      <c r="M1519" s="90">
        <v>0</v>
      </c>
      <c r="N1519" s="90">
        <v>8731.6415539129539</v>
      </c>
      <c r="O1519" s="90">
        <v>0</v>
      </c>
      <c r="P1519" s="90">
        <v>0</v>
      </c>
      <c r="Q1519" s="90">
        <v>0</v>
      </c>
      <c r="R1519" s="90">
        <v>21957.048076923078</v>
      </c>
    </row>
    <row r="1520" spans="1:18">
      <c r="A1520" s="90" t="s">
        <v>110</v>
      </c>
      <c r="B1520" s="90" t="s">
        <v>1442</v>
      </c>
      <c r="C1520" s="90" t="str">
        <f t="shared" si="23"/>
        <v>WalesResidential - Multi-Family</v>
      </c>
      <c r="D1520" s="90">
        <v>1</v>
      </c>
      <c r="E1520" s="90">
        <v>2751</v>
      </c>
      <c r="F1520" s="90">
        <v>2078.4427930376196</v>
      </c>
      <c r="G1520" s="90">
        <v>0</v>
      </c>
      <c r="H1520" s="90">
        <v>14404.176521930009</v>
      </c>
      <c r="I1520" s="90">
        <v>0</v>
      </c>
      <c r="J1520" s="90">
        <v>0</v>
      </c>
      <c r="K1520" s="90">
        <v>0</v>
      </c>
      <c r="L1520" s="90">
        <v>1538.0476668478384</v>
      </c>
      <c r="M1520" s="90">
        <v>0</v>
      </c>
      <c r="N1520" s="90">
        <v>10659.090626228206</v>
      </c>
      <c r="O1520" s="90">
        <v>0</v>
      </c>
      <c r="P1520" s="90">
        <v>0</v>
      </c>
      <c r="Q1520" s="90">
        <v>0</v>
      </c>
      <c r="R1520" s="90">
        <v>19257</v>
      </c>
    </row>
    <row r="1521" spans="1:18">
      <c r="A1521" s="90" t="s">
        <v>110</v>
      </c>
      <c r="B1521" s="90" t="s">
        <v>1485</v>
      </c>
      <c r="C1521" s="90" t="str">
        <f t="shared" si="23"/>
        <v>WalesRetail - Other</v>
      </c>
      <c r="D1521" s="90">
        <v>1</v>
      </c>
      <c r="E1521" s="90">
        <v>2105.2800000000002</v>
      </c>
      <c r="F1521" s="90">
        <v>2225.7819714285715</v>
      </c>
      <c r="G1521" s="90">
        <v>0</v>
      </c>
      <c r="H1521" s="90">
        <v>49590.373216004155</v>
      </c>
      <c r="I1521" s="90">
        <v>0</v>
      </c>
      <c r="J1521" s="90">
        <v>0</v>
      </c>
      <c r="K1521" s="90">
        <v>0</v>
      </c>
      <c r="L1521" s="90">
        <v>1647.078658857143</v>
      </c>
      <c r="M1521" s="90">
        <v>0</v>
      </c>
      <c r="N1521" s="90">
        <v>36696.876179843071</v>
      </c>
      <c r="O1521" s="90">
        <v>0</v>
      </c>
      <c r="P1521" s="90">
        <v>0</v>
      </c>
      <c r="Q1521" s="90">
        <v>0</v>
      </c>
      <c r="R1521" s="90">
        <v>14736.960000000001</v>
      </c>
    </row>
    <row r="1522" spans="1:18">
      <c r="A1522" s="90" t="s">
        <v>110</v>
      </c>
      <c r="B1522" s="90" t="s">
        <v>951</v>
      </c>
      <c r="C1522" s="90" t="str">
        <f t="shared" si="23"/>
        <v>WalesWarehousing</v>
      </c>
      <c r="D1522" s="90">
        <v>2</v>
      </c>
      <c r="E1522" s="90">
        <v>1810</v>
      </c>
      <c r="F1522" s="90">
        <v>2268.8900361037968</v>
      </c>
      <c r="G1522" s="90">
        <v>0</v>
      </c>
      <c r="H1522" s="90">
        <v>21475.919303190345</v>
      </c>
      <c r="I1522" s="90">
        <v>0</v>
      </c>
      <c r="J1522" s="90">
        <v>0</v>
      </c>
      <c r="K1522" s="90">
        <v>0</v>
      </c>
      <c r="L1522" s="90">
        <v>1678.9786267168095</v>
      </c>
      <c r="M1522" s="90">
        <v>0</v>
      </c>
      <c r="N1522" s="90">
        <v>15892.180284360855</v>
      </c>
      <c r="O1522" s="90">
        <v>0</v>
      </c>
      <c r="P1522" s="90">
        <v>0</v>
      </c>
      <c r="Q1522" s="90">
        <v>0</v>
      </c>
      <c r="R1522" s="90">
        <v>12670</v>
      </c>
    </row>
    <row r="1523" spans="1:18">
      <c r="A1523" s="90" t="s">
        <v>68</v>
      </c>
      <c r="B1523" s="90" t="s">
        <v>1439</v>
      </c>
      <c r="C1523" s="90" t="str">
        <f t="shared" si="23"/>
        <v>Whale PassEducation - K - 12</v>
      </c>
      <c r="D1523" s="90">
        <v>1</v>
      </c>
      <c r="E1523" s="90">
        <v>4360</v>
      </c>
      <c r="F1523" s="90">
        <v>3696.2529758354194</v>
      </c>
      <c r="G1523" s="90">
        <v>0</v>
      </c>
      <c r="H1523" s="90">
        <v>2245.0702054499998</v>
      </c>
      <c r="I1523" s="90">
        <v>0</v>
      </c>
      <c r="J1523" s="90">
        <v>0</v>
      </c>
      <c r="K1523" s="90">
        <v>0</v>
      </c>
      <c r="L1523" s="90">
        <v>2735.2272021182102</v>
      </c>
      <c r="M1523" s="90">
        <v>0</v>
      </c>
      <c r="N1523" s="90">
        <v>1661.3519520329999</v>
      </c>
      <c r="O1523" s="90">
        <v>0</v>
      </c>
      <c r="P1523" s="90">
        <v>0</v>
      </c>
      <c r="Q1523" s="90">
        <v>0</v>
      </c>
      <c r="R1523" s="90">
        <v>30520</v>
      </c>
    </row>
    <row r="1524" spans="1:18">
      <c r="A1524" s="90" t="s">
        <v>68</v>
      </c>
      <c r="B1524" s="90" t="s">
        <v>665</v>
      </c>
      <c r="C1524" s="90" t="str">
        <f t="shared" si="23"/>
        <v>Whale PassOffice</v>
      </c>
      <c r="D1524" s="90">
        <v>1</v>
      </c>
      <c r="E1524" s="90">
        <v>160</v>
      </c>
      <c r="F1524" s="90">
        <v>212.90612818942205</v>
      </c>
      <c r="G1524" s="90">
        <v>0</v>
      </c>
      <c r="H1524" s="90">
        <v>1282.5648380813209</v>
      </c>
      <c r="I1524" s="90">
        <v>0</v>
      </c>
      <c r="J1524" s="90">
        <v>0</v>
      </c>
      <c r="K1524" s="90">
        <v>0</v>
      </c>
      <c r="L1524" s="90">
        <v>157.55053486017232</v>
      </c>
      <c r="M1524" s="90">
        <v>0</v>
      </c>
      <c r="N1524" s="90">
        <v>949.0979801801775</v>
      </c>
      <c r="O1524" s="90">
        <v>0</v>
      </c>
      <c r="P1524" s="90">
        <v>0</v>
      </c>
      <c r="Q1524" s="90">
        <v>0</v>
      </c>
      <c r="R1524" s="90">
        <v>1120</v>
      </c>
    </row>
    <row r="1525" spans="1:18">
      <c r="A1525" s="90" t="s">
        <v>68</v>
      </c>
      <c r="B1525" s="90" t="s">
        <v>643</v>
      </c>
      <c r="C1525" s="90" t="str">
        <f t="shared" si="23"/>
        <v>Whale PassOther</v>
      </c>
      <c r="D1525" s="90">
        <v>2</v>
      </c>
      <c r="E1525" s="90">
        <v>2463.9204545454545</v>
      </c>
      <c r="F1525" s="90">
        <v>2130.9742006577553</v>
      </c>
      <c r="G1525" s="90">
        <v>0</v>
      </c>
      <c r="H1525" s="90">
        <v>17932.382801248179</v>
      </c>
      <c r="I1525" s="90">
        <v>0</v>
      </c>
      <c r="J1525" s="90">
        <v>0</v>
      </c>
      <c r="K1525" s="90">
        <v>0</v>
      </c>
      <c r="L1525" s="90">
        <v>1576.9209084867389</v>
      </c>
      <c r="M1525" s="90">
        <v>0</v>
      </c>
      <c r="N1525" s="90">
        <v>13269.963272923651</v>
      </c>
      <c r="O1525" s="90">
        <v>0</v>
      </c>
      <c r="P1525" s="90">
        <v>0</v>
      </c>
      <c r="Q1525" s="90">
        <v>0</v>
      </c>
      <c r="R1525" s="90">
        <v>17247.443181818184</v>
      </c>
    </row>
    <row r="1526" spans="1:18">
      <c r="A1526" s="90" t="s">
        <v>68</v>
      </c>
      <c r="B1526" s="90" t="s">
        <v>1227</v>
      </c>
      <c r="C1526" s="90" t="str">
        <f t="shared" si="23"/>
        <v>Whale PassPublic Assembly</v>
      </c>
      <c r="D1526" s="90">
        <v>3</v>
      </c>
      <c r="E1526" s="90">
        <v>2050</v>
      </c>
      <c r="F1526" s="90">
        <v>1174.1660643088405</v>
      </c>
      <c r="G1526" s="90">
        <v>0</v>
      </c>
      <c r="H1526" s="90">
        <v>7711.5579680398841</v>
      </c>
      <c r="I1526" s="90">
        <v>0</v>
      </c>
      <c r="J1526" s="90">
        <v>0</v>
      </c>
      <c r="K1526" s="90">
        <v>0</v>
      </c>
      <c r="L1526" s="90">
        <v>868.88288758854196</v>
      </c>
      <c r="M1526" s="90">
        <v>0</v>
      </c>
      <c r="N1526" s="90">
        <v>5706.5528963495144</v>
      </c>
      <c r="O1526" s="90">
        <v>0</v>
      </c>
      <c r="P1526" s="90">
        <v>0</v>
      </c>
      <c r="Q1526" s="90">
        <v>0</v>
      </c>
      <c r="R1526" s="90">
        <v>14350</v>
      </c>
    </row>
    <row r="1527" spans="1:18">
      <c r="A1527" s="90" t="s">
        <v>68</v>
      </c>
      <c r="B1527" s="90" t="s">
        <v>1475</v>
      </c>
      <c r="C1527" s="90" t="str">
        <f t="shared" si="23"/>
        <v>Whale PassPublic Safety</v>
      </c>
      <c r="D1527" s="90">
        <v>1</v>
      </c>
      <c r="E1527" s="90">
        <v>1536</v>
      </c>
      <c r="F1527" s="90">
        <v>1493.567775591297</v>
      </c>
      <c r="G1527" s="90">
        <v>0</v>
      </c>
      <c r="H1527" s="90">
        <v>12396.205928595202</v>
      </c>
      <c r="I1527" s="90">
        <v>0</v>
      </c>
      <c r="J1527" s="90">
        <v>0</v>
      </c>
      <c r="K1527" s="90">
        <v>0</v>
      </c>
      <c r="L1527" s="90">
        <v>1105.2401539375599</v>
      </c>
      <c r="M1527" s="90">
        <v>0</v>
      </c>
      <c r="N1527" s="90">
        <v>9173.1923871604486</v>
      </c>
      <c r="O1527" s="90">
        <v>0</v>
      </c>
      <c r="P1527" s="90">
        <v>0</v>
      </c>
      <c r="Q1527" s="90">
        <v>0</v>
      </c>
      <c r="R1527" s="90">
        <v>10752</v>
      </c>
    </row>
    <row r="1528" spans="1:18">
      <c r="A1528" s="90" t="s">
        <v>68</v>
      </c>
      <c r="B1528" s="90" t="s">
        <v>1485</v>
      </c>
      <c r="C1528" s="90" t="str">
        <f t="shared" si="23"/>
        <v>Whale PassRetail - Other</v>
      </c>
      <c r="D1528" s="90">
        <v>1</v>
      </c>
      <c r="E1528" s="90">
        <v>2105.2800000000002</v>
      </c>
      <c r="F1528" s="90">
        <v>2225.7819714285715</v>
      </c>
      <c r="G1528" s="90">
        <v>0</v>
      </c>
      <c r="H1528" s="90">
        <v>49590.373216004155</v>
      </c>
      <c r="I1528" s="90">
        <v>0</v>
      </c>
      <c r="J1528" s="90">
        <v>0</v>
      </c>
      <c r="K1528" s="90">
        <v>0</v>
      </c>
      <c r="L1528" s="90">
        <v>1647.078658857143</v>
      </c>
      <c r="M1528" s="90">
        <v>0</v>
      </c>
      <c r="N1528" s="90">
        <v>36696.876179843071</v>
      </c>
      <c r="O1528" s="90">
        <v>0</v>
      </c>
      <c r="P1528" s="90">
        <v>0</v>
      </c>
      <c r="Q1528" s="90">
        <v>0</v>
      </c>
      <c r="R1528" s="90">
        <v>14736.960000000001</v>
      </c>
    </row>
    <row r="1529" spans="1:18">
      <c r="A1529" s="90" t="s">
        <v>261</v>
      </c>
      <c r="B1529" s="90" t="s">
        <v>1439</v>
      </c>
      <c r="C1529" s="90" t="str">
        <f t="shared" si="23"/>
        <v>White MountainEducation - K - 12</v>
      </c>
      <c r="D1529" s="90">
        <v>4</v>
      </c>
      <c r="E1529" s="90">
        <v>39973.831111111111</v>
      </c>
      <c r="F1529" s="90">
        <v>51600.231403097387</v>
      </c>
      <c r="G1529" s="90">
        <v>0</v>
      </c>
      <c r="H1529" s="90">
        <v>259766.49833737523</v>
      </c>
      <c r="I1529" s="90">
        <v>0</v>
      </c>
      <c r="J1529" s="90">
        <v>0</v>
      </c>
      <c r="K1529" s="90">
        <v>0</v>
      </c>
      <c r="L1529" s="90">
        <v>38184.171238292067</v>
      </c>
      <c r="M1529" s="90">
        <v>0</v>
      </c>
      <c r="N1529" s="90">
        <v>192227.20876965765</v>
      </c>
      <c r="O1529" s="90">
        <v>0</v>
      </c>
      <c r="P1529" s="90">
        <v>0</v>
      </c>
      <c r="Q1529" s="90">
        <v>0</v>
      </c>
      <c r="R1529" s="90">
        <v>279816.81777777779</v>
      </c>
    </row>
    <row r="1530" spans="1:18">
      <c r="A1530" s="90" t="s">
        <v>261</v>
      </c>
      <c r="B1530" s="90" t="s">
        <v>1440</v>
      </c>
      <c r="C1530" s="90" t="str">
        <f t="shared" si="23"/>
        <v>White MountainHealth Care - Hospitals</v>
      </c>
      <c r="D1530" s="90">
        <v>2</v>
      </c>
      <c r="E1530" s="90">
        <v>4826.9250000000002</v>
      </c>
      <c r="F1530" s="90">
        <v>2884.0165476804564</v>
      </c>
      <c r="G1530" s="90">
        <v>0</v>
      </c>
      <c r="H1530" s="90">
        <v>33441.563262470372</v>
      </c>
      <c r="I1530" s="90">
        <v>0</v>
      </c>
      <c r="J1530" s="90">
        <v>0</v>
      </c>
      <c r="K1530" s="90">
        <v>0</v>
      </c>
      <c r="L1530" s="90">
        <v>2134.1722452835379</v>
      </c>
      <c r="M1530" s="90">
        <v>0</v>
      </c>
      <c r="N1530" s="90">
        <v>24746.756814228072</v>
      </c>
      <c r="O1530" s="90">
        <v>0</v>
      </c>
      <c r="P1530" s="90">
        <v>0</v>
      </c>
      <c r="Q1530" s="90">
        <v>0</v>
      </c>
      <c r="R1530" s="90">
        <v>33788.475000000006</v>
      </c>
    </row>
    <row r="1531" spans="1:18">
      <c r="A1531" s="90" t="s">
        <v>261</v>
      </c>
      <c r="B1531" s="90" t="s">
        <v>665</v>
      </c>
      <c r="C1531" s="90" t="str">
        <f t="shared" si="23"/>
        <v>White MountainOffice</v>
      </c>
      <c r="D1531" s="90">
        <v>4</v>
      </c>
      <c r="E1531" s="90">
        <v>8517.2585034013609</v>
      </c>
      <c r="F1531" s="90">
        <v>6260.5824722962652</v>
      </c>
      <c r="G1531" s="90">
        <v>0</v>
      </c>
      <c r="H1531" s="90">
        <v>47760.279787757667</v>
      </c>
      <c r="I1531" s="90">
        <v>0</v>
      </c>
      <c r="J1531" s="90">
        <v>0</v>
      </c>
      <c r="K1531" s="90">
        <v>0</v>
      </c>
      <c r="L1531" s="90">
        <v>4632.8310294992361</v>
      </c>
      <c r="M1531" s="90">
        <v>0</v>
      </c>
      <c r="N1531" s="90">
        <v>35342.607042940675</v>
      </c>
      <c r="O1531" s="90">
        <v>0</v>
      </c>
      <c r="P1531" s="90">
        <v>0</v>
      </c>
      <c r="Q1531" s="90">
        <v>0</v>
      </c>
      <c r="R1531" s="90">
        <v>59620.809523809527</v>
      </c>
    </row>
    <row r="1532" spans="1:18">
      <c r="A1532" s="90" t="s">
        <v>261</v>
      </c>
      <c r="B1532" s="90" t="s">
        <v>643</v>
      </c>
      <c r="C1532" s="90" t="str">
        <f t="shared" si="23"/>
        <v>White MountainOther</v>
      </c>
      <c r="D1532" s="90">
        <v>5</v>
      </c>
      <c r="E1532" s="90">
        <v>6903.8409090909081</v>
      </c>
      <c r="F1532" s="90">
        <v>5204.6951386397468</v>
      </c>
      <c r="G1532" s="90">
        <v>0</v>
      </c>
      <c r="H1532" s="90">
        <v>37831.113166313669</v>
      </c>
      <c r="I1532" s="90">
        <v>0</v>
      </c>
      <c r="J1532" s="90">
        <v>0</v>
      </c>
      <c r="K1532" s="90">
        <v>0</v>
      </c>
      <c r="L1532" s="90">
        <v>3851.4744025934128</v>
      </c>
      <c r="M1532" s="90">
        <v>0</v>
      </c>
      <c r="N1532" s="90">
        <v>27995.023743072114</v>
      </c>
      <c r="O1532" s="90">
        <v>0</v>
      </c>
      <c r="P1532" s="90">
        <v>0</v>
      </c>
      <c r="Q1532" s="90">
        <v>0</v>
      </c>
      <c r="R1532" s="90">
        <v>48326.886363636368</v>
      </c>
    </row>
    <row r="1533" spans="1:18">
      <c r="A1533" s="90" t="s">
        <v>261</v>
      </c>
      <c r="B1533" s="90" t="s">
        <v>1227</v>
      </c>
      <c r="C1533" s="90" t="str">
        <f t="shared" si="23"/>
        <v>White MountainPublic Assembly</v>
      </c>
      <c r="D1533" s="90">
        <v>1</v>
      </c>
      <c r="E1533" s="90">
        <v>900</v>
      </c>
      <c r="F1533" s="90">
        <v>500</v>
      </c>
      <c r="G1533" s="90">
        <v>0</v>
      </c>
      <c r="H1533" s="90">
        <v>3385.5620347492172</v>
      </c>
      <c r="I1533" s="90">
        <v>0</v>
      </c>
      <c r="J1533" s="90">
        <v>0</v>
      </c>
      <c r="K1533" s="90">
        <v>0</v>
      </c>
      <c r="L1533" s="90">
        <v>370</v>
      </c>
      <c r="M1533" s="90">
        <v>0</v>
      </c>
      <c r="N1533" s="90">
        <v>2505.3159057144208</v>
      </c>
      <c r="O1533" s="90">
        <v>0</v>
      </c>
      <c r="P1533" s="90">
        <v>0</v>
      </c>
      <c r="Q1533" s="90">
        <v>0</v>
      </c>
      <c r="R1533" s="90">
        <v>6300</v>
      </c>
    </row>
    <row r="1534" spans="1:18">
      <c r="A1534" s="90" t="s">
        <v>261</v>
      </c>
      <c r="B1534" s="90" t="s">
        <v>1475</v>
      </c>
      <c r="C1534" s="90" t="str">
        <f t="shared" si="23"/>
        <v>White MountainPublic Safety</v>
      </c>
      <c r="D1534" s="90">
        <v>2</v>
      </c>
      <c r="E1534" s="90">
        <v>3864.4749999999999</v>
      </c>
      <c r="F1534" s="90">
        <v>3073.774623927618</v>
      </c>
      <c r="G1534" s="90">
        <v>0</v>
      </c>
      <c r="H1534" s="90">
        <v>23730.642306328533</v>
      </c>
      <c r="I1534" s="90">
        <v>0</v>
      </c>
      <c r="J1534" s="90">
        <v>0</v>
      </c>
      <c r="K1534" s="90">
        <v>0</v>
      </c>
      <c r="L1534" s="90">
        <v>2274.5932217064374</v>
      </c>
      <c r="M1534" s="90">
        <v>0</v>
      </c>
      <c r="N1534" s="90">
        <v>17560.675306683115</v>
      </c>
      <c r="O1534" s="90">
        <v>0</v>
      </c>
      <c r="P1534" s="90">
        <v>0</v>
      </c>
      <c r="Q1534" s="90">
        <v>0</v>
      </c>
      <c r="R1534" s="90">
        <v>27051.325000000001</v>
      </c>
    </row>
    <row r="1535" spans="1:18">
      <c r="A1535" s="90" t="s">
        <v>261</v>
      </c>
      <c r="B1535" s="90" t="s">
        <v>1485</v>
      </c>
      <c r="C1535" s="90" t="str">
        <f t="shared" si="23"/>
        <v>White MountainRetail - Other</v>
      </c>
      <c r="D1535" s="90">
        <v>1</v>
      </c>
      <c r="E1535" s="90">
        <v>3400</v>
      </c>
      <c r="F1535" s="90">
        <v>1000</v>
      </c>
      <c r="G1535" s="90">
        <v>0</v>
      </c>
      <c r="H1535" s="90">
        <v>80087.812041350364</v>
      </c>
      <c r="I1535" s="90">
        <v>0</v>
      </c>
      <c r="J1535" s="90">
        <v>0</v>
      </c>
      <c r="K1535" s="90">
        <v>0</v>
      </c>
      <c r="L1535" s="90">
        <v>740</v>
      </c>
      <c r="M1535" s="90">
        <v>0</v>
      </c>
      <c r="N1535" s="90">
        <v>59264.980910599268</v>
      </c>
      <c r="O1535" s="90">
        <v>0</v>
      </c>
      <c r="P1535" s="90">
        <v>0</v>
      </c>
      <c r="Q1535" s="90">
        <v>0</v>
      </c>
      <c r="R1535" s="90">
        <v>23800</v>
      </c>
    </row>
    <row r="1536" spans="1:18">
      <c r="A1536" s="90" t="s">
        <v>261</v>
      </c>
      <c r="B1536" s="90" t="s">
        <v>951</v>
      </c>
      <c r="C1536" s="90" t="str">
        <f t="shared" si="23"/>
        <v>White MountainWarehousing</v>
      </c>
      <c r="D1536" s="90">
        <v>2</v>
      </c>
      <c r="E1536" s="90">
        <v>2960</v>
      </c>
      <c r="F1536" s="90">
        <v>3710.4500037940543</v>
      </c>
      <c r="G1536" s="90">
        <v>0</v>
      </c>
      <c r="H1536" s="90">
        <v>35120.840407427298</v>
      </c>
      <c r="I1536" s="90">
        <v>0</v>
      </c>
      <c r="J1536" s="90">
        <v>0</v>
      </c>
      <c r="K1536" s="90">
        <v>0</v>
      </c>
      <c r="L1536" s="90">
        <v>2745.7330028075999</v>
      </c>
      <c r="M1536" s="90">
        <v>0</v>
      </c>
      <c r="N1536" s="90">
        <v>25989.421901496204</v>
      </c>
      <c r="O1536" s="90">
        <v>0</v>
      </c>
      <c r="P1536" s="90">
        <v>0</v>
      </c>
      <c r="Q1536" s="90">
        <v>0</v>
      </c>
      <c r="R1536" s="90">
        <v>20720</v>
      </c>
    </row>
    <row r="1537" spans="1:18">
      <c r="A1537" s="90" t="s">
        <v>1086</v>
      </c>
      <c r="B1537" s="90" t="s">
        <v>1439</v>
      </c>
      <c r="C1537" s="90" t="str">
        <f t="shared" si="23"/>
        <v>WhittierEducation - K - 12</v>
      </c>
      <c r="D1537" s="90">
        <v>1</v>
      </c>
      <c r="E1537" s="90">
        <v>22793</v>
      </c>
      <c r="F1537" s="90">
        <v>19323.094972068055</v>
      </c>
      <c r="G1537" s="90">
        <v>0</v>
      </c>
      <c r="H1537" s="90">
        <v>148118.34722937111</v>
      </c>
      <c r="I1537" s="90">
        <v>0</v>
      </c>
      <c r="J1537" s="90">
        <v>0</v>
      </c>
      <c r="K1537" s="90">
        <v>0</v>
      </c>
      <c r="L1537" s="90">
        <v>14299.090279330359</v>
      </c>
      <c r="M1537" s="90">
        <v>0</v>
      </c>
      <c r="N1537" s="90">
        <v>109607.57694973462</v>
      </c>
      <c r="O1537" s="90">
        <v>0</v>
      </c>
      <c r="P1537" s="90">
        <v>0</v>
      </c>
      <c r="Q1537" s="90">
        <v>0</v>
      </c>
      <c r="R1537" s="90">
        <v>159551</v>
      </c>
    </row>
    <row r="1538" spans="1:18">
      <c r="A1538" s="90" t="s">
        <v>1087</v>
      </c>
      <c r="B1538" s="90" t="s">
        <v>1439</v>
      </c>
      <c r="C1538" s="90" t="str">
        <f t="shared" si="23"/>
        <v>WillowEducation - K - 12</v>
      </c>
      <c r="D1538" s="90">
        <v>1</v>
      </c>
      <c r="E1538" s="90">
        <v>33797</v>
      </c>
      <c r="F1538" s="90">
        <v>44665.373848548385</v>
      </c>
      <c r="G1538" s="90">
        <v>0</v>
      </c>
      <c r="H1538" s="90">
        <v>294354.92870151834</v>
      </c>
      <c r="I1538" s="90">
        <v>0</v>
      </c>
      <c r="J1538" s="90">
        <v>0</v>
      </c>
      <c r="K1538" s="90">
        <v>0</v>
      </c>
      <c r="L1538" s="90">
        <v>33052.376647925805</v>
      </c>
      <c r="M1538" s="90">
        <v>0</v>
      </c>
      <c r="N1538" s="90">
        <v>217822.64723912356</v>
      </c>
      <c r="O1538" s="90">
        <v>0</v>
      </c>
      <c r="P1538" s="90">
        <v>0</v>
      </c>
      <c r="Q1538" s="90">
        <v>0</v>
      </c>
      <c r="R1538" s="90">
        <v>236579</v>
      </c>
    </row>
    <row r="1539" spans="1:18">
      <c r="A1539" s="90" t="s">
        <v>1169</v>
      </c>
      <c r="B1539" s="90" t="s">
        <v>1485</v>
      </c>
      <c r="C1539" s="90" t="str">
        <f t="shared" ref="C1539:C1553" si="24">CONCATENATE(A1539,B1539)</f>
        <v>Willow CreekRetail - Other</v>
      </c>
      <c r="D1539" s="90">
        <v>1</v>
      </c>
      <c r="E1539" s="90">
        <v>2105.2800000000002</v>
      </c>
      <c r="F1539" s="90">
        <v>2225.7819714285715</v>
      </c>
      <c r="G1539" s="90">
        <v>0</v>
      </c>
      <c r="H1539" s="90">
        <v>49590.373216004155</v>
      </c>
      <c r="I1539" s="90">
        <v>0</v>
      </c>
      <c r="J1539" s="90">
        <v>0</v>
      </c>
      <c r="K1539" s="90">
        <v>0</v>
      </c>
      <c r="L1539" s="90">
        <v>1647.078658857143</v>
      </c>
      <c r="M1539" s="90">
        <v>0</v>
      </c>
      <c r="N1539" s="90">
        <v>36696.876179843071</v>
      </c>
      <c r="O1539" s="90">
        <v>0</v>
      </c>
      <c r="P1539" s="90">
        <v>0</v>
      </c>
      <c r="Q1539" s="90">
        <v>0</v>
      </c>
      <c r="R1539" s="90">
        <v>14736.960000000001</v>
      </c>
    </row>
    <row r="1540" spans="1:18">
      <c r="A1540" s="90" t="s">
        <v>1088</v>
      </c>
      <c r="B1540" s="90" t="s">
        <v>1227</v>
      </c>
      <c r="C1540" s="90" t="str">
        <f t="shared" si="24"/>
        <v>WisemanPublic Assembly</v>
      </c>
      <c r="D1540" s="90">
        <v>1</v>
      </c>
      <c r="E1540" s="90">
        <v>3136.7211538461538</v>
      </c>
      <c r="F1540" s="90">
        <v>1957.1809414995873</v>
      </c>
      <c r="G1540" s="90">
        <v>0</v>
      </c>
      <c r="H1540" s="90">
        <v>11799.515613395884</v>
      </c>
      <c r="I1540" s="90">
        <v>0</v>
      </c>
      <c r="J1540" s="90">
        <v>0</v>
      </c>
      <c r="K1540" s="90">
        <v>0</v>
      </c>
      <c r="L1540" s="90">
        <v>1448.3138967096945</v>
      </c>
      <c r="M1540" s="90">
        <v>0</v>
      </c>
      <c r="N1540" s="90">
        <v>8731.6415539129539</v>
      </c>
      <c r="O1540" s="90">
        <v>0</v>
      </c>
      <c r="P1540" s="90">
        <v>0</v>
      </c>
      <c r="Q1540" s="90">
        <v>0</v>
      </c>
      <c r="R1540" s="90">
        <v>21957.048076923078</v>
      </c>
    </row>
    <row r="1541" spans="1:18">
      <c r="A1541" s="90" t="s">
        <v>1171</v>
      </c>
      <c r="B1541" s="90" t="s">
        <v>1475</v>
      </c>
      <c r="C1541" s="90" t="str">
        <f t="shared" si="24"/>
        <v>Womens BayPublic Safety</v>
      </c>
      <c r="D1541" s="90">
        <v>1</v>
      </c>
      <c r="E1541" s="90">
        <v>3204</v>
      </c>
      <c r="F1541" s="90">
        <v>2161.6204379562046</v>
      </c>
      <c r="G1541" s="90">
        <v>0</v>
      </c>
      <c r="H1541" s="90">
        <v>14214.794598666667</v>
      </c>
      <c r="I1541" s="90">
        <v>0</v>
      </c>
      <c r="J1541" s="90">
        <v>0</v>
      </c>
      <c r="K1541" s="90">
        <v>0</v>
      </c>
      <c r="L1541" s="90">
        <v>1599.5991240875915</v>
      </c>
      <c r="M1541" s="90">
        <v>0</v>
      </c>
      <c r="N1541" s="90">
        <v>10518.948003013335</v>
      </c>
      <c r="O1541" s="90">
        <v>0</v>
      </c>
      <c r="P1541" s="90">
        <v>0</v>
      </c>
      <c r="Q1541" s="90">
        <v>0</v>
      </c>
      <c r="R1541" s="90">
        <v>22428</v>
      </c>
    </row>
    <row r="1542" spans="1:18">
      <c r="A1542" s="90" t="s">
        <v>552</v>
      </c>
      <c r="B1542" s="90" t="s">
        <v>1439</v>
      </c>
      <c r="C1542" s="90" t="str">
        <f t="shared" si="24"/>
        <v>WrangellEducation - K - 12</v>
      </c>
      <c r="D1542" s="90">
        <v>4</v>
      </c>
      <c r="E1542" s="90">
        <v>124596</v>
      </c>
      <c r="F1542" s="90">
        <v>90801.408759124097</v>
      </c>
      <c r="G1542" s="90">
        <v>0</v>
      </c>
      <c r="H1542" s="90">
        <v>892684.3671273333</v>
      </c>
      <c r="I1542" s="90">
        <v>0</v>
      </c>
      <c r="J1542" s="90">
        <v>0</v>
      </c>
      <c r="K1542" s="90">
        <v>0</v>
      </c>
      <c r="L1542" s="90">
        <v>67193.042481751836</v>
      </c>
      <c r="M1542" s="90">
        <v>0</v>
      </c>
      <c r="N1542" s="90">
        <v>660586.43167422665</v>
      </c>
      <c r="O1542" s="90">
        <v>0</v>
      </c>
      <c r="P1542" s="90">
        <v>0</v>
      </c>
      <c r="Q1542" s="90">
        <v>0</v>
      </c>
      <c r="R1542" s="90">
        <v>872172</v>
      </c>
    </row>
    <row r="1543" spans="1:18">
      <c r="A1543" s="90" t="s">
        <v>552</v>
      </c>
      <c r="B1543" s="90" t="s">
        <v>643</v>
      </c>
      <c r="C1543" s="90" t="str">
        <f t="shared" si="24"/>
        <v>WrangellOther</v>
      </c>
      <c r="D1543" s="90">
        <v>3</v>
      </c>
      <c r="E1543" s="90">
        <v>7580</v>
      </c>
      <c r="F1543" s="90">
        <v>12563.150402630221</v>
      </c>
      <c r="G1543" s="90">
        <v>0</v>
      </c>
      <c r="H1543" s="90">
        <v>127052.97679983333</v>
      </c>
      <c r="I1543" s="90">
        <v>0</v>
      </c>
      <c r="J1543" s="90">
        <v>0</v>
      </c>
      <c r="K1543" s="90">
        <v>0</v>
      </c>
      <c r="L1543" s="90">
        <v>9296.7312979463622</v>
      </c>
      <c r="M1543" s="90">
        <v>0</v>
      </c>
      <c r="N1543" s="90">
        <v>94019.202831876653</v>
      </c>
      <c r="O1543" s="90">
        <v>0</v>
      </c>
      <c r="P1543" s="90">
        <v>0</v>
      </c>
      <c r="Q1543" s="90">
        <v>0</v>
      </c>
      <c r="R1543" s="90">
        <v>53060</v>
      </c>
    </row>
    <row r="1544" spans="1:18">
      <c r="A1544" s="90" t="s">
        <v>552</v>
      </c>
      <c r="B1544" s="90" t="s">
        <v>951</v>
      </c>
      <c r="C1544" s="90" t="str">
        <f t="shared" si="24"/>
        <v>WrangellWarehousing</v>
      </c>
      <c r="D1544" s="90">
        <v>1</v>
      </c>
      <c r="E1544" s="90">
        <v>6000</v>
      </c>
      <c r="F1544" s="90">
        <v>7045.1810218978098</v>
      </c>
      <c r="G1544" s="90">
        <v>0</v>
      </c>
      <c r="H1544" s="90">
        <v>78780.709019999995</v>
      </c>
      <c r="I1544" s="90">
        <v>0</v>
      </c>
      <c r="J1544" s="90">
        <v>0</v>
      </c>
      <c r="K1544" s="90">
        <v>0</v>
      </c>
      <c r="L1544" s="90">
        <v>5213.4339562043788</v>
      </c>
      <c r="M1544" s="90">
        <v>0</v>
      </c>
      <c r="N1544" s="90">
        <v>58297.724674799996</v>
      </c>
      <c r="O1544" s="90">
        <v>0</v>
      </c>
      <c r="P1544" s="90">
        <v>0</v>
      </c>
      <c r="Q1544" s="90">
        <v>0</v>
      </c>
      <c r="R1544" s="90">
        <v>42000</v>
      </c>
    </row>
    <row r="1545" spans="1:18">
      <c r="A1545" s="90" t="s">
        <v>25</v>
      </c>
      <c r="B1545" s="90" t="s">
        <v>1447</v>
      </c>
      <c r="C1545" s="90" t="str">
        <f t="shared" si="24"/>
        <v>YakutatAccomodation Services</v>
      </c>
      <c r="D1545" s="90">
        <v>6</v>
      </c>
      <c r="E1545" s="90">
        <v>43560.375</v>
      </c>
      <c r="F1545" s="90">
        <v>44911.911164771867</v>
      </c>
      <c r="G1545" s="90">
        <v>0</v>
      </c>
      <c r="H1545" s="90">
        <v>949583.61430953268</v>
      </c>
      <c r="I1545" s="90">
        <v>0</v>
      </c>
      <c r="J1545" s="90">
        <v>0</v>
      </c>
      <c r="K1545" s="90">
        <v>0</v>
      </c>
      <c r="L1545" s="90">
        <v>33234.814261931177</v>
      </c>
      <c r="M1545" s="90">
        <v>0</v>
      </c>
      <c r="N1545" s="90">
        <v>702691.87458905415</v>
      </c>
      <c r="O1545" s="90">
        <v>0</v>
      </c>
      <c r="P1545" s="90">
        <v>0</v>
      </c>
      <c r="Q1545" s="90">
        <v>0</v>
      </c>
      <c r="R1545" s="90">
        <v>304922.625</v>
      </c>
    </row>
    <row r="1546" spans="1:18">
      <c r="A1546" s="90" t="s">
        <v>25</v>
      </c>
      <c r="B1546" s="90" t="s">
        <v>1439</v>
      </c>
      <c r="C1546" s="90" t="str">
        <f t="shared" si="24"/>
        <v>YakutatEducation - K - 12</v>
      </c>
      <c r="D1546" s="90">
        <v>4</v>
      </c>
      <c r="E1546" s="90">
        <v>74825</v>
      </c>
      <c r="F1546" s="90">
        <v>38963.574016248916</v>
      </c>
      <c r="G1546" s="90">
        <v>0</v>
      </c>
      <c r="H1546" s="90">
        <v>431423.41962513328</v>
      </c>
      <c r="I1546" s="90">
        <v>0</v>
      </c>
      <c r="J1546" s="90">
        <v>0</v>
      </c>
      <c r="K1546" s="90">
        <v>0</v>
      </c>
      <c r="L1546" s="90">
        <v>28833.044772024201</v>
      </c>
      <c r="M1546" s="90">
        <v>0</v>
      </c>
      <c r="N1546" s="90">
        <v>319253.33052259864</v>
      </c>
      <c r="O1546" s="90">
        <v>0</v>
      </c>
      <c r="P1546" s="90">
        <v>0</v>
      </c>
      <c r="Q1546" s="90">
        <v>0</v>
      </c>
      <c r="R1546" s="90">
        <v>523775</v>
      </c>
    </row>
    <row r="1547" spans="1:18">
      <c r="A1547" s="90" t="s">
        <v>25</v>
      </c>
      <c r="B1547" s="90" t="s">
        <v>665</v>
      </c>
      <c r="C1547" s="90" t="str">
        <f t="shared" si="24"/>
        <v>YakutatOffice</v>
      </c>
      <c r="D1547" s="90">
        <v>3</v>
      </c>
      <c r="E1547" s="90">
        <v>10003.169064748201</v>
      </c>
      <c r="F1547" s="90">
        <v>6411.8006412594768</v>
      </c>
      <c r="G1547" s="90">
        <v>0</v>
      </c>
      <c r="H1547" s="90">
        <v>55484.815640147091</v>
      </c>
      <c r="I1547" s="90">
        <v>0</v>
      </c>
      <c r="J1547" s="90">
        <v>0</v>
      </c>
      <c r="K1547" s="90">
        <v>0</v>
      </c>
      <c r="L1547" s="90">
        <v>4744.7324745320129</v>
      </c>
      <c r="M1547" s="90">
        <v>0</v>
      </c>
      <c r="N1547" s="90">
        <v>41058.763573708849</v>
      </c>
      <c r="O1547" s="90">
        <v>0</v>
      </c>
      <c r="P1547" s="90">
        <v>0</v>
      </c>
      <c r="Q1547" s="90">
        <v>0</v>
      </c>
      <c r="R1547" s="90">
        <v>70022.183453237405</v>
      </c>
    </row>
    <row r="1548" spans="1:18">
      <c r="A1548" s="90" t="s">
        <v>25</v>
      </c>
      <c r="B1548" s="90" t="s">
        <v>643</v>
      </c>
      <c r="C1548" s="90" t="str">
        <f t="shared" si="24"/>
        <v>YakutatOther</v>
      </c>
      <c r="D1548" s="90">
        <v>66</v>
      </c>
      <c r="E1548" s="90">
        <v>305736.21374045813</v>
      </c>
      <c r="F1548" s="90">
        <v>323491.15877710865</v>
      </c>
      <c r="G1548" s="90">
        <v>0</v>
      </c>
      <c r="H1548" s="90">
        <v>2269493.1395099703</v>
      </c>
      <c r="I1548" s="90">
        <v>0</v>
      </c>
      <c r="J1548" s="90">
        <v>0</v>
      </c>
      <c r="K1548" s="90">
        <v>0</v>
      </c>
      <c r="L1548" s="90">
        <v>239383.45749506028</v>
      </c>
      <c r="M1548" s="90">
        <v>0</v>
      </c>
      <c r="N1548" s="90">
        <v>1679424.923237378</v>
      </c>
      <c r="O1548" s="90">
        <v>0</v>
      </c>
      <c r="P1548" s="90">
        <v>0</v>
      </c>
      <c r="Q1548" s="90">
        <v>0</v>
      </c>
      <c r="R1548" s="90">
        <v>2140153.4961832045</v>
      </c>
    </row>
    <row r="1549" spans="1:18">
      <c r="A1549" s="90" t="s">
        <v>25</v>
      </c>
      <c r="B1549" s="90" t="s">
        <v>1227</v>
      </c>
      <c r="C1549" s="90" t="str">
        <f t="shared" si="24"/>
        <v>YakutatPublic Assembly</v>
      </c>
      <c r="D1549" s="90">
        <v>6</v>
      </c>
      <c r="E1549" s="90">
        <v>20559.384269662922</v>
      </c>
      <c r="F1549" s="90">
        <v>14219.083848674361</v>
      </c>
      <c r="G1549" s="90">
        <v>0</v>
      </c>
      <c r="H1549" s="90">
        <v>95330.277920023014</v>
      </c>
      <c r="I1549" s="90">
        <v>0</v>
      </c>
      <c r="J1549" s="90">
        <v>0</v>
      </c>
      <c r="K1549" s="90">
        <v>0</v>
      </c>
      <c r="L1549" s="90">
        <v>10522.122048019026</v>
      </c>
      <c r="M1549" s="90">
        <v>0</v>
      </c>
      <c r="N1549" s="90">
        <v>70544.405660817036</v>
      </c>
      <c r="O1549" s="90">
        <v>0</v>
      </c>
      <c r="P1549" s="90">
        <v>0</v>
      </c>
      <c r="Q1549" s="90">
        <v>0</v>
      </c>
      <c r="R1549" s="90">
        <v>143915.68988764044</v>
      </c>
    </row>
    <row r="1550" spans="1:18">
      <c r="A1550" s="90" t="s">
        <v>25</v>
      </c>
      <c r="B1550" s="90" t="s">
        <v>1475</v>
      </c>
      <c r="C1550" s="90" t="str">
        <f t="shared" si="24"/>
        <v>YakutatPublic Safety</v>
      </c>
      <c r="D1550" s="90">
        <v>2</v>
      </c>
      <c r="E1550" s="90">
        <v>5394.8178787878787</v>
      </c>
      <c r="F1550" s="90">
        <v>3818.7885422614822</v>
      </c>
      <c r="G1550" s="90">
        <v>0</v>
      </c>
      <c r="H1550" s="90">
        <v>44615.58581611071</v>
      </c>
      <c r="I1550" s="90">
        <v>0</v>
      </c>
      <c r="J1550" s="90">
        <v>0</v>
      </c>
      <c r="K1550" s="90">
        <v>0</v>
      </c>
      <c r="L1550" s="90">
        <v>2825.9035212734966</v>
      </c>
      <c r="M1550" s="90">
        <v>0</v>
      </c>
      <c r="N1550" s="90">
        <v>33015.533503921928</v>
      </c>
      <c r="O1550" s="90">
        <v>0</v>
      </c>
      <c r="P1550" s="90">
        <v>0</v>
      </c>
      <c r="Q1550" s="90">
        <v>0</v>
      </c>
      <c r="R1550" s="90">
        <v>37763.725151515151</v>
      </c>
    </row>
    <row r="1551" spans="1:18">
      <c r="A1551" s="90" t="s">
        <v>25</v>
      </c>
      <c r="B1551" s="90" t="s">
        <v>1442</v>
      </c>
      <c r="C1551" s="90" t="str">
        <f t="shared" si="24"/>
        <v>YakutatResidential - Multi-Family</v>
      </c>
      <c r="D1551" s="90">
        <v>1</v>
      </c>
      <c r="E1551" s="90">
        <v>5023.2142857142853</v>
      </c>
      <c r="F1551" s="90">
        <v>0</v>
      </c>
      <c r="G1551" s="90">
        <v>0</v>
      </c>
      <c r="H1551" s="90">
        <v>20761.369111082939</v>
      </c>
      <c r="I1551" s="90">
        <v>0</v>
      </c>
      <c r="J1551" s="90">
        <v>0</v>
      </c>
      <c r="K1551" s="90">
        <v>44.325045597436059</v>
      </c>
      <c r="L1551" s="90">
        <v>0</v>
      </c>
      <c r="M1551" s="90">
        <v>0</v>
      </c>
      <c r="N1551" s="90">
        <v>15363.413142201374</v>
      </c>
      <c r="O1551" s="90">
        <v>0</v>
      </c>
      <c r="P1551" s="90">
        <v>0</v>
      </c>
      <c r="Q1551" s="90">
        <v>32.800533742102687</v>
      </c>
      <c r="R1551" s="90">
        <v>35162.5</v>
      </c>
    </row>
    <row r="1552" spans="1:18">
      <c r="A1552" s="90" t="s">
        <v>25</v>
      </c>
      <c r="B1552" s="90" t="s">
        <v>1485</v>
      </c>
      <c r="C1552" s="90" t="str">
        <f t="shared" si="24"/>
        <v>YakutatRetail - Other</v>
      </c>
      <c r="D1552" s="90">
        <v>2</v>
      </c>
      <c r="E1552" s="90">
        <v>12552.731707317073</v>
      </c>
      <c r="F1552" s="90">
        <v>20850.703151032118</v>
      </c>
      <c r="G1552" s="90">
        <v>0</v>
      </c>
      <c r="H1552" s="90">
        <v>306263.79830335197</v>
      </c>
      <c r="I1552" s="90">
        <v>0</v>
      </c>
      <c r="J1552" s="90">
        <v>0</v>
      </c>
      <c r="K1552" s="90">
        <v>0</v>
      </c>
      <c r="L1552" s="90">
        <v>15429.520331763766</v>
      </c>
      <c r="M1552" s="90">
        <v>0</v>
      </c>
      <c r="N1552" s="90">
        <v>226635.21074448046</v>
      </c>
      <c r="O1552" s="90">
        <v>0</v>
      </c>
      <c r="P1552" s="90">
        <v>0</v>
      </c>
      <c r="Q1552" s="90">
        <v>0</v>
      </c>
      <c r="R1552" s="90">
        <v>87869.121951219509</v>
      </c>
    </row>
    <row r="1553" spans="1:18">
      <c r="A1553" s="90" t="s">
        <v>25</v>
      </c>
      <c r="B1553" s="90" t="s">
        <v>951</v>
      </c>
      <c r="C1553" s="90" t="str">
        <f t="shared" si="24"/>
        <v>YakutatWarehousing</v>
      </c>
      <c r="D1553" s="90">
        <v>1</v>
      </c>
      <c r="E1553" s="90">
        <v>2726.5661764705883</v>
      </c>
      <c r="F1553" s="90">
        <v>4758.6581545935724</v>
      </c>
      <c r="G1553" s="90">
        <v>0</v>
      </c>
      <c r="H1553" s="90">
        <v>124927.76409316297</v>
      </c>
      <c r="I1553" s="90">
        <v>0</v>
      </c>
      <c r="J1553" s="90">
        <v>0</v>
      </c>
      <c r="K1553" s="90">
        <v>0</v>
      </c>
      <c r="L1553" s="90">
        <v>3521.4070343992435</v>
      </c>
      <c r="M1553" s="90">
        <v>0</v>
      </c>
      <c r="N1553" s="90">
        <v>92446.545428940604</v>
      </c>
      <c r="O1553" s="90">
        <v>0</v>
      </c>
      <c r="P1553" s="90">
        <v>0</v>
      </c>
      <c r="Q1553" s="90">
        <v>0</v>
      </c>
      <c r="R1553" s="90">
        <v>19085.963235294119</v>
      </c>
    </row>
  </sheetData>
  <autoFilter ref="A1:Q1246"/>
  <sortState ref="A2:N468">
    <sortCondition ref="D2:D46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pageSetUpPr fitToPage="1"/>
  </sheetPr>
  <dimension ref="A1:Q227"/>
  <sheetViews>
    <sheetView topLeftCell="A121" workbookViewId="0">
      <selection activeCell="P154" sqref="P154"/>
    </sheetView>
  </sheetViews>
  <sheetFormatPr defaultRowHeight="12.75"/>
  <cols>
    <col min="1" max="1" width="17.7109375" customWidth="1"/>
    <col min="3" max="3" width="10.28515625" bestFit="1" customWidth="1"/>
    <col min="5" max="5" width="10.28515625" bestFit="1" customWidth="1"/>
    <col min="11" max="13" width="9.140625" style="90"/>
    <col min="14" max="14" width="16" bestFit="1" customWidth="1"/>
    <col min="15" max="15" width="17.5703125" bestFit="1" customWidth="1"/>
    <col min="16" max="16" width="9.5703125" bestFit="1" customWidth="1"/>
    <col min="17" max="17" width="20.28515625" bestFit="1" customWidth="1"/>
  </cols>
  <sheetData>
    <row r="1" spans="1:16" ht="37.5" customHeight="1">
      <c r="A1" s="93"/>
      <c r="B1" s="2036" t="s">
        <v>1493</v>
      </c>
      <c r="C1" s="2036"/>
      <c r="D1" s="2036"/>
      <c r="E1" s="2036" t="s">
        <v>1494</v>
      </c>
      <c r="F1" s="2036"/>
      <c r="G1" s="2036"/>
      <c r="H1" s="2036" t="s">
        <v>1495</v>
      </c>
      <c r="I1" s="2036"/>
      <c r="J1" s="2036"/>
      <c r="K1" s="2039" t="s">
        <v>2095</v>
      </c>
      <c r="L1" s="2039"/>
      <c r="M1" s="2039"/>
      <c r="O1" s="2037" t="s">
        <v>1183</v>
      </c>
      <c r="P1" s="2037"/>
    </row>
    <row r="2" spans="1:16" ht="25.5">
      <c r="A2" s="90"/>
      <c r="B2" s="721" t="s">
        <v>1228</v>
      </c>
      <c r="C2" s="721" t="s">
        <v>1496</v>
      </c>
      <c r="D2" s="721" t="s">
        <v>1497</v>
      </c>
      <c r="E2" s="721" t="s">
        <v>1228</v>
      </c>
      <c r="F2" s="721" t="s">
        <v>1496</v>
      </c>
      <c r="G2" s="721" t="s">
        <v>1497</v>
      </c>
      <c r="H2" s="721" t="s">
        <v>1228</v>
      </c>
      <c r="I2" s="721" t="s">
        <v>1229</v>
      </c>
      <c r="J2" s="721" t="s">
        <v>1497</v>
      </c>
      <c r="K2" s="721" t="s">
        <v>1228</v>
      </c>
      <c r="L2" s="721" t="s">
        <v>1229</v>
      </c>
      <c r="M2" s="721" t="s">
        <v>2096</v>
      </c>
      <c r="O2" t="s">
        <v>375</v>
      </c>
      <c r="P2" t="s">
        <v>1166</v>
      </c>
    </row>
    <row r="3" spans="1:16">
      <c r="A3" s="90" t="s">
        <v>1447</v>
      </c>
      <c r="B3" s="1681">
        <v>0.62641250394373782</v>
      </c>
      <c r="C3" s="1681">
        <v>1.031026733924395</v>
      </c>
      <c r="D3" s="1682">
        <f>AVERAGE(B3:C3)</f>
        <v>0.82871961893406643</v>
      </c>
      <c r="E3" s="1679">
        <v>7.337092731829574</v>
      </c>
      <c r="F3" s="1679">
        <v>21.799252515836528</v>
      </c>
      <c r="G3" s="1680">
        <f>AVERAGE(E3:F3)</f>
        <v>14.568172623833052</v>
      </c>
      <c r="H3" s="60">
        <v>4770.8148148148148</v>
      </c>
      <c r="I3" s="60">
        <v>7260.0625</v>
      </c>
      <c r="J3" s="60">
        <v>7259.666666666667</v>
      </c>
      <c r="K3" s="1678">
        <v>11648.057142857142</v>
      </c>
      <c r="L3" s="1678">
        <v>13700.111111111111</v>
      </c>
      <c r="M3" s="1678">
        <v>13700.111111111111</v>
      </c>
      <c r="O3" t="s">
        <v>969</v>
      </c>
      <c r="P3" s="216">
        <v>41.662033879819774</v>
      </c>
    </row>
    <row r="4" spans="1:16">
      <c r="A4" s="90" t="s">
        <v>1439</v>
      </c>
      <c r="B4" s="1681">
        <v>0.84776444399894946</v>
      </c>
      <c r="C4" s="1681">
        <v>0.73463110020666811</v>
      </c>
      <c r="D4" s="1681">
        <v>1.3215780645781692</v>
      </c>
      <c r="E4" s="1679">
        <v>6.4984138651941876</v>
      </c>
      <c r="F4" s="1679">
        <v>7.0807218181813631</v>
      </c>
      <c r="G4" s="1679">
        <v>8.7094987336603342</v>
      </c>
      <c r="H4" s="60">
        <v>10668.415555555555</v>
      </c>
      <c r="I4" s="60">
        <v>20928.223957219252</v>
      </c>
      <c r="J4" s="60">
        <v>80660.692982456138</v>
      </c>
      <c r="K4" s="216">
        <v>13118.275675675675</v>
      </c>
      <c r="L4" s="216">
        <v>13433.160975609757</v>
      </c>
      <c r="M4" s="216">
        <v>13433.160975609757</v>
      </c>
      <c r="O4" t="s">
        <v>970</v>
      </c>
      <c r="P4" s="216">
        <v>12.588703865344145</v>
      </c>
    </row>
    <row r="5" spans="1:16">
      <c r="A5" s="1590" t="s">
        <v>1450</v>
      </c>
      <c r="B5" s="1681"/>
      <c r="C5" s="1681"/>
      <c r="D5" s="1681">
        <v>1.0972663905120077</v>
      </c>
      <c r="E5" s="1679"/>
      <c r="F5" s="1679"/>
      <c r="G5" s="1679">
        <v>11.91633169896128</v>
      </c>
      <c r="H5" s="60"/>
      <c r="I5" s="60"/>
      <c r="J5" s="60">
        <v>20842.909090909092</v>
      </c>
      <c r="K5" s="216"/>
      <c r="L5" s="216"/>
      <c r="M5" s="216">
        <v>10475.5</v>
      </c>
      <c r="O5" t="s">
        <v>49</v>
      </c>
      <c r="P5" s="216">
        <v>43.341746112860157</v>
      </c>
    </row>
    <row r="6" spans="1:16">
      <c r="A6" s="90" t="s">
        <v>1469</v>
      </c>
      <c r="B6" s="1681">
        <v>0.40133333333333332</v>
      </c>
      <c r="C6" s="1682">
        <f>AVERAGE(B6,D6)</f>
        <v>0.74929986192267051</v>
      </c>
      <c r="D6" s="1681">
        <v>1.0972663905120077</v>
      </c>
      <c r="E6" s="1679">
        <v>2.6778670897542391</v>
      </c>
      <c r="F6" s="1680">
        <f>AVERAGE(E6,G6)</f>
        <v>7.2970993943577591</v>
      </c>
      <c r="G6" s="1679">
        <v>11.91633169896128</v>
      </c>
      <c r="H6" s="60">
        <v>2640.5384615384614</v>
      </c>
      <c r="I6" s="60">
        <v>4750</v>
      </c>
      <c r="J6" s="60">
        <v>8223.3529411764703</v>
      </c>
      <c r="K6" s="216">
        <v>13573.846153846154</v>
      </c>
      <c r="L6" s="216">
        <v>10475.5</v>
      </c>
      <c r="M6" s="216">
        <v>13335.173913043478</v>
      </c>
      <c r="O6" t="s">
        <v>51</v>
      </c>
      <c r="P6" s="216">
        <v>28.054691390158375</v>
      </c>
    </row>
    <row r="7" spans="1:16">
      <c r="A7" s="90" t="s">
        <v>1440</v>
      </c>
      <c r="B7" s="1681">
        <v>0.69697333658870197</v>
      </c>
      <c r="C7" s="1681">
        <v>0.63207549361484006</v>
      </c>
      <c r="D7" s="1681">
        <v>0.64745752315524752</v>
      </c>
      <c r="E7" s="1679">
        <v>7.5224313003180736</v>
      </c>
      <c r="F7" s="1679">
        <v>8.8158127249289588</v>
      </c>
      <c r="G7" s="1679">
        <v>5.4944653675708084</v>
      </c>
      <c r="H7" s="60">
        <v>2256.9250000000002</v>
      </c>
      <c r="I7" s="60">
        <v>3905.5925000000002</v>
      </c>
      <c r="J7" s="60">
        <v>28894.125</v>
      </c>
      <c r="K7" s="216">
        <v>13629.507246376812</v>
      </c>
      <c r="L7" s="216">
        <v>13335.173913043478</v>
      </c>
      <c r="M7" s="216">
        <v>15014.4</v>
      </c>
      <c r="O7" t="s">
        <v>53</v>
      </c>
      <c r="P7" s="216">
        <v>18.5002361605831</v>
      </c>
    </row>
    <row r="8" spans="1:16">
      <c r="A8" s="90" t="s">
        <v>1444</v>
      </c>
      <c r="B8" s="1681">
        <v>0.55827224956234256</v>
      </c>
      <c r="C8" s="1681">
        <v>0.70692045243417712</v>
      </c>
      <c r="D8" s="1681">
        <v>0.85478345871820183</v>
      </c>
      <c r="E8" s="1679">
        <v>4.874105299611541</v>
      </c>
      <c r="F8" s="1679">
        <v>5.7104127995699736</v>
      </c>
      <c r="G8" s="1679">
        <v>19.475070996810089</v>
      </c>
      <c r="H8" s="60">
        <v>3882</v>
      </c>
      <c r="I8" s="60">
        <v>6307.25</v>
      </c>
      <c r="J8" s="60">
        <v>20815</v>
      </c>
      <c r="K8" s="216">
        <v>15794.4</v>
      </c>
      <c r="L8" s="216">
        <v>15014.4</v>
      </c>
      <c r="M8" s="216">
        <v>13219.699453551913</v>
      </c>
      <c r="O8" t="s">
        <v>70</v>
      </c>
      <c r="P8" s="216">
        <v>38.941779758226325</v>
      </c>
    </row>
    <row r="9" spans="1:16">
      <c r="A9" s="90" t="s">
        <v>665</v>
      </c>
      <c r="B9" s="1681">
        <v>1.3306633011838878</v>
      </c>
      <c r="C9" s="1681">
        <v>0.83245057303741987</v>
      </c>
      <c r="D9" s="1681">
        <v>0.45088908284211743</v>
      </c>
      <c r="E9" s="1679">
        <v>8.0160302380082555</v>
      </c>
      <c r="F9" s="1679">
        <v>5.6736583672526359</v>
      </c>
      <c r="G9" s="1679">
        <v>14.117269959739161</v>
      </c>
      <c r="H9" s="60">
        <v>2033.2585034013605</v>
      </c>
      <c r="I9" s="60">
        <v>2885.1690647482014</v>
      </c>
      <c r="J9" s="60">
        <v>13486.00000338983</v>
      </c>
      <c r="K9" s="216">
        <v>13352.826666666666</v>
      </c>
      <c r="L9" s="216">
        <v>13219.699453551913</v>
      </c>
      <c r="M9" s="216">
        <v>13558.0625</v>
      </c>
      <c r="O9" t="s">
        <v>972</v>
      </c>
      <c r="P9" s="216">
        <v>27.160397330367836</v>
      </c>
    </row>
    <row r="10" spans="1:16">
      <c r="A10" s="90" t="s">
        <v>643</v>
      </c>
      <c r="B10" s="1681">
        <v>0.8648713462833274</v>
      </c>
      <c r="C10" s="1681">
        <v>1.0628147807198056</v>
      </c>
      <c r="D10" s="1681">
        <v>0.58085267376834993</v>
      </c>
      <c r="E10" s="1679">
        <v>7.2779877159452999</v>
      </c>
      <c r="F10" s="1679">
        <v>7.4230432559636554</v>
      </c>
      <c r="G10" s="1679">
        <v>9.2000163731439191</v>
      </c>
      <c r="H10" s="60">
        <v>2163.9204545454545</v>
      </c>
      <c r="I10" s="60">
        <v>4488.6908396946565</v>
      </c>
      <c r="J10" s="60">
        <v>6322.0551948051952</v>
      </c>
      <c r="K10" s="216">
        <v>13255.615384615385</v>
      </c>
      <c r="L10" s="216">
        <v>13558.0625</v>
      </c>
      <c r="M10" s="216">
        <v>13067.960629921259</v>
      </c>
      <c r="O10" t="s">
        <v>973</v>
      </c>
      <c r="P10" s="216">
        <v>14.921719108212425</v>
      </c>
    </row>
    <row r="11" spans="1:16">
      <c r="A11" s="90" t="s">
        <v>1227</v>
      </c>
      <c r="B11" s="1681">
        <v>0.62395758038605076</v>
      </c>
      <c r="C11" s="1681">
        <v>0.69161039368556387</v>
      </c>
      <c r="D11" s="1681">
        <v>1.1263805705059566</v>
      </c>
      <c r="E11" s="1679">
        <v>3.7617355941657968</v>
      </c>
      <c r="F11" s="1679">
        <v>4.6368255327904331</v>
      </c>
      <c r="G11" s="1679">
        <v>14.982839393105778</v>
      </c>
      <c r="H11" s="60">
        <v>3136.7211538461538</v>
      </c>
      <c r="I11" s="60">
        <v>3426.5640449438201</v>
      </c>
      <c r="J11" s="60">
        <v>12071.75</v>
      </c>
      <c r="K11" s="216">
        <v>12517.127272727274</v>
      </c>
      <c r="L11" s="216">
        <v>13067.960629921259</v>
      </c>
      <c r="M11" s="216">
        <v>13345.280898876405</v>
      </c>
      <c r="O11" t="s">
        <v>30</v>
      </c>
      <c r="P11" s="216">
        <v>24.907745083747699</v>
      </c>
    </row>
    <row r="12" spans="1:16" ht="35.25" customHeight="1">
      <c r="A12" s="90" t="s">
        <v>1475</v>
      </c>
      <c r="B12" s="1681">
        <v>0.97237485390058398</v>
      </c>
      <c r="C12" s="1681">
        <v>0.7078623649700474</v>
      </c>
      <c r="D12" s="1681">
        <v>0.52985920837532496</v>
      </c>
      <c r="E12" s="1679">
        <v>8.0704465680958339</v>
      </c>
      <c r="F12" s="1679">
        <v>8.2700819227905153</v>
      </c>
      <c r="G12" s="1679">
        <v>19.615592011222962</v>
      </c>
      <c r="H12" s="60">
        <v>2595.4749999999999</v>
      </c>
      <c r="I12" s="60">
        <v>2697.4089393939394</v>
      </c>
      <c r="J12" s="60">
        <v>12843.666666666666</v>
      </c>
      <c r="K12" s="216">
        <v>14084.74</v>
      </c>
      <c r="L12" s="216">
        <v>13345.280898876405</v>
      </c>
      <c r="M12" s="216">
        <v>15909.944444444445</v>
      </c>
      <c r="O12" t="s">
        <v>206</v>
      </c>
      <c r="P12" s="216">
        <v>32.715917004575239</v>
      </c>
    </row>
    <row r="13" spans="1:16">
      <c r="A13" s="90" t="s">
        <v>1442</v>
      </c>
      <c r="B13" s="1681">
        <v>0.75552264377957812</v>
      </c>
      <c r="C13" s="1681">
        <v>1.0230771432660657</v>
      </c>
      <c r="D13" s="1681">
        <v>0.61089142759839832</v>
      </c>
      <c r="E13" s="1679">
        <v>5.2359783794729218</v>
      </c>
      <c r="F13" s="1679">
        <v>4.1330845013176134</v>
      </c>
      <c r="G13" s="1679">
        <v>11.603763494348495</v>
      </c>
      <c r="H13" s="60">
        <v>2751</v>
      </c>
      <c r="I13" s="60">
        <v>5023.2142857142853</v>
      </c>
      <c r="J13" s="60">
        <v>10406.384615384615</v>
      </c>
      <c r="K13" s="216">
        <v>14055.9375</v>
      </c>
      <c r="L13" s="216">
        <v>15909.944444444445</v>
      </c>
      <c r="M13" s="216">
        <v>13737.363636363636</v>
      </c>
      <c r="O13" t="s">
        <v>40</v>
      </c>
      <c r="P13" s="216">
        <v>29.092233632194741</v>
      </c>
    </row>
    <row r="14" spans="1:16">
      <c r="A14" s="90" t="s">
        <v>1485</v>
      </c>
      <c r="B14" s="1681">
        <v>1.0572379785247432</v>
      </c>
      <c r="C14" s="1681">
        <v>1.6610490558702933</v>
      </c>
      <c r="D14" s="1681">
        <v>0.33576608119924145</v>
      </c>
      <c r="E14" s="1679">
        <v>23.555238835691284</v>
      </c>
      <c r="F14" s="1679">
        <v>24.398179252475277</v>
      </c>
      <c r="G14" s="1679">
        <v>4.2988944317001421</v>
      </c>
      <c r="H14" s="60">
        <v>2105.2800000000002</v>
      </c>
      <c r="I14" s="60">
        <v>6276.3658536585363</v>
      </c>
      <c r="J14" s="60">
        <v>12780.5</v>
      </c>
      <c r="K14" s="216">
        <v>14228.085714285715</v>
      </c>
      <c r="L14" s="216">
        <v>13737.363636363636</v>
      </c>
      <c r="M14" s="216">
        <v>13312.944444444445</v>
      </c>
      <c r="O14" t="s">
        <v>115</v>
      </c>
      <c r="P14" s="216">
        <v>42.924314649125741</v>
      </c>
    </row>
    <row r="15" spans="1:16">
      <c r="A15" s="90" t="s">
        <v>951</v>
      </c>
      <c r="B15" s="1681">
        <v>1.2535304066871804</v>
      </c>
      <c r="C15" s="1681">
        <v>1.7452934741358199</v>
      </c>
      <c r="D15" s="1682">
        <f>AVERAGE(B15:C15)</f>
        <v>1.4994119404115001</v>
      </c>
      <c r="E15" s="1679">
        <v>11.865148786293007</v>
      </c>
      <c r="F15" s="1679">
        <v>45.818717026291324</v>
      </c>
      <c r="G15" s="1680">
        <f>AVERAGE(E15:F15)</f>
        <v>28.841932906292165</v>
      </c>
      <c r="H15" s="60">
        <v>1783.9572649572649</v>
      </c>
      <c r="I15" s="60">
        <v>2726.5661764705883</v>
      </c>
      <c r="J15" s="60">
        <v>6092.5806451612907</v>
      </c>
      <c r="K15" s="1678">
        <v>13255.740506329113</v>
      </c>
      <c r="L15" s="1678">
        <v>13312.944444444445</v>
      </c>
      <c r="M15" s="1678">
        <v>13509.133500613871</v>
      </c>
      <c r="O15" t="s">
        <v>71</v>
      </c>
      <c r="P15" s="216">
        <v>12.850335565706583</v>
      </c>
    </row>
    <row r="16" spans="1:16">
      <c r="A16" s="90" t="s">
        <v>758</v>
      </c>
      <c r="B16" s="1681">
        <f t="shared" ref="B16:G16" si="0">AVERAGE(B3:B15)</f>
        <v>0.83240949818103471</v>
      </c>
      <c r="C16" s="1681">
        <f t="shared" si="0"/>
        <v>0.96484261898231394</v>
      </c>
      <c r="D16" s="1681">
        <f t="shared" si="0"/>
        <v>0.84470172547004507</v>
      </c>
      <c r="E16" s="1679">
        <f t="shared" si="0"/>
        <v>8.0577063670316686</v>
      </c>
      <c r="F16" s="1679">
        <f t="shared" si="0"/>
        <v>12.588074092646337</v>
      </c>
      <c r="G16" s="1679">
        <f t="shared" si="0"/>
        <v>13.441552283796113</v>
      </c>
      <c r="H16" s="1692">
        <v>2341.2951807228915</v>
      </c>
      <c r="I16" s="1692">
        <v>8148.4202563445861</v>
      </c>
      <c r="J16" s="1692">
        <v>3843.7172116603292</v>
      </c>
      <c r="K16" s="216">
        <v>13542.84660528166</v>
      </c>
      <c r="L16" s="216">
        <v>13509.133500613871</v>
      </c>
      <c r="M16" s="216">
        <v>13509.133500613872</v>
      </c>
      <c r="O16" t="s">
        <v>398</v>
      </c>
      <c r="P16" s="216">
        <v>18.083308522270102</v>
      </c>
    </row>
    <row r="17" spans="1:16" ht="75" customHeight="1">
      <c r="A17" s="2038" t="s">
        <v>1231</v>
      </c>
      <c r="B17" s="2038"/>
      <c r="C17" s="2038"/>
      <c r="D17" s="2038"/>
      <c r="E17" s="2038"/>
      <c r="F17" s="2038"/>
      <c r="G17" s="2038"/>
      <c r="H17" s="2038"/>
      <c r="I17" s="2038"/>
      <c r="J17" s="2038"/>
      <c r="K17" s="2038"/>
      <c r="L17" s="2038"/>
      <c r="M17" s="2038"/>
      <c r="O17" t="s">
        <v>24</v>
      </c>
      <c r="P17" s="216">
        <v>24.63443138356833</v>
      </c>
    </row>
    <row r="18" spans="1:16">
      <c r="O18" t="s">
        <v>117</v>
      </c>
      <c r="P18" s="216">
        <v>30.162255863324759</v>
      </c>
    </row>
    <row r="19" spans="1:16">
      <c r="O19" t="s">
        <v>207</v>
      </c>
      <c r="P19" s="216">
        <v>31.160304578108423</v>
      </c>
    </row>
    <row r="20" spans="1:16">
      <c r="O20" t="s">
        <v>978</v>
      </c>
      <c r="P20" s="216">
        <v>194.77125045411748</v>
      </c>
    </row>
    <row r="21" spans="1:16">
      <c r="O21" t="s">
        <v>119</v>
      </c>
      <c r="P21" s="216">
        <v>12.943037576390502</v>
      </c>
    </row>
    <row r="22" spans="1:16">
      <c r="O22" t="s">
        <v>26</v>
      </c>
      <c r="P22" s="216">
        <v>254</v>
      </c>
    </row>
    <row r="23" spans="1:16">
      <c r="O23" t="s">
        <v>979</v>
      </c>
      <c r="P23" s="216">
        <v>27.946047362253577</v>
      </c>
    </row>
    <row r="24" spans="1:16">
      <c r="D24" s="1379"/>
      <c r="E24" s="1379"/>
      <c r="F24" s="1379"/>
      <c r="G24" s="1379"/>
      <c r="H24" s="1379"/>
      <c r="I24" s="1379"/>
      <c r="O24" t="s">
        <v>399</v>
      </c>
      <c r="P24" s="216">
        <v>5.2378360833769371</v>
      </c>
    </row>
    <row r="25" spans="1:16">
      <c r="O25" t="s">
        <v>72</v>
      </c>
      <c r="P25" s="216">
        <v>29.947212432824628</v>
      </c>
    </row>
    <row r="26" spans="1:16">
      <c r="O26" t="s">
        <v>41</v>
      </c>
      <c r="P26" s="216">
        <v>36.011030185126337</v>
      </c>
    </row>
    <row r="27" spans="1:16">
      <c r="O27" t="s">
        <v>123</v>
      </c>
      <c r="P27" s="216">
        <v>20.779558341339854</v>
      </c>
    </row>
    <row r="28" spans="1:16">
      <c r="O28" t="s">
        <v>985</v>
      </c>
      <c r="P28" s="216">
        <v>17.985271860810137</v>
      </c>
    </row>
    <row r="29" spans="1:16">
      <c r="O29" t="s">
        <v>199</v>
      </c>
      <c r="P29" s="216">
        <v>35.227033961728978</v>
      </c>
    </row>
    <row r="30" spans="1:16">
      <c r="O30" t="s">
        <v>125</v>
      </c>
      <c r="P30" s="216">
        <v>20.573493615497405</v>
      </c>
    </row>
    <row r="31" spans="1:16">
      <c r="O31" t="s">
        <v>73</v>
      </c>
      <c r="P31" s="216">
        <v>51.299603943924282</v>
      </c>
    </row>
    <row r="32" spans="1:16">
      <c r="O32" t="s">
        <v>990</v>
      </c>
      <c r="P32" s="216">
        <v>36.985137407633857</v>
      </c>
    </row>
    <row r="33" spans="15:16">
      <c r="O33" t="s">
        <v>9</v>
      </c>
      <c r="P33" s="216">
        <v>45.519328200782361</v>
      </c>
    </row>
    <row r="34" spans="15:16">
      <c r="O34" t="s">
        <v>255</v>
      </c>
      <c r="P34" s="216">
        <v>27.57017582819368</v>
      </c>
    </row>
    <row r="35" spans="15:16">
      <c r="O35" t="s">
        <v>10</v>
      </c>
      <c r="P35" s="216">
        <v>14.144480337981694</v>
      </c>
    </row>
    <row r="36" spans="15:16">
      <c r="O36" t="s">
        <v>992</v>
      </c>
      <c r="P36" s="216">
        <v>18.54161950463957</v>
      </c>
    </row>
    <row r="37" spans="15:16">
      <c r="O37" t="s">
        <v>188</v>
      </c>
      <c r="P37" s="216">
        <v>27.084701113303584</v>
      </c>
    </row>
    <row r="38" spans="15:16">
      <c r="O38" t="s">
        <v>132</v>
      </c>
      <c r="P38" s="216">
        <v>12.373076257510128</v>
      </c>
    </row>
    <row r="39" spans="15:16">
      <c r="O39" t="s">
        <v>996</v>
      </c>
      <c r="P39" s="216">
        <v>11.912917316767121</v>
      </c>
    </row>
    <row r="40" spans="15:16">
      <c r="O40" t="s">
        <v>12</v>
      </c>
      <c r="P40" s="216">
        <v>18.855847874590424</v>
      </c>
    </row>
    <row r="41" spans="15:16">
      <c r="O41" t="s">
        <v>145</v>
      </c>
      <c r="P41" s="216">
        <v>23.576215875007847</v>
      </c>
    </row>
    <row r="42" spans="15:16">
      <c r="O42" t="s">
        <v>1000</v>
      </c>
      <c r="P42" s="216">
        <v>28.085738527221839</v>
      </c>
    </row>
    <row r="43" spans="15:16">
      <c r="O43" t="s">
        <v>11</v>
      </c>
      <c r="P43" s="216">
        <v>117.06741987707269</v>
      </c>
    </row>
    <row r="44" spans="15:16">
      <c r="O44" t="s">
        <v>1173</v>
      </c>
      <c r="P44" s="216">
        <v>16.298227171768545</v>
      </c>
    </row>
    <row r="45" spans="15:16">
      <c r="O45" t="s">
        <v>57</v>
      </c>
      <c r="P45" s="216">
        <v>65.189227106309119</v>
      </c>
    </row>
    <row r="46" spans="15:16">
      <c r="O46" t="s">
        <v>189</v>
      </c>
      <c r="P46" s="216">
        <v>17.537223440815019</v>
      </c>
    </row>
    <row r="47" spans="15:16">
      <c r="O47" t="s">
        <v>42</v>
      </c>
      <c r="P47" s="216">
        <v>23.052353222489671</v>
      </c>
    </row>
    <row r="48" spans="15:16">
      <c r="O48" t="s">
        <v>23</v>
      </c>
      <c r="P48" s="216">
        <v>111.15206945474398</v>
      </c>
    </row>
    <row r="49" spans="15:16">
      <c r="O49" t="s">
        <v>135</v>
      </c>
      <c r="P49" s="216">
        <v>20.349280672800237</v>
      </c>
    </row>
    <row r="50" spans="15:16">
      <c r="O50" t="s">
        <v>1177</v>
      </c>
      <c r="P50" s="216">
        <v>11.969564779414908</v>
      </c>
    </row>
    <row r="51" spans="15:16">
      <c r="O51" t="s">
        <v>1004</v>
      </c>
      <c r="P51" s="216">
        <v>22.286019784728623</v>
      </c>
    </row>
    <row r="52" spans="15:16">
      <c r="O52" t="s">
        <v>1006</v>
      </c>
      <c r="P52" s="216">
        <v>18.179993536150441</v>
      </c>
    </row>
    <row r="53" spans="15:16">
      <c r="O53" t="s">
        <v>1178</v>
      </c>
      <c r="P53" s="216">
        <v>9.5066480421816202</v>
      </c>
    </row>
    <row r="54" spans="15:16">
      <c r="O54" t="s">
        <v>74</v>
      </c>
      <c r="P54" s="216">
        <v>28.124491368199621</v>
      </c>
    </row>
    <row r="55" spans="15:16">
      <c r="O55" t="s">
        <v>137</v>
      </c>
      <c r="P55" s="216">
        <v>32.818604563425978</v>
      </c>
    </row>
    <row r="56" spans="15:16">
      <c r="O56" t="s">
        <v>139</v>
      </c>
      <c r="P56" s="216">
        <v>17.125229568856032</v>
      </c>
    </row>
    <row r="57" spans="15:16">
      <c r="O57" t="s">
        <v>141</v>
      </c>
      <c r="P57" s="216">
        <v>17.372276754332919</v>
      </c>
    </row>
    <row r="58" spans="15:16">
      <c r="O58" t="s">
        <v>75</v>
      </c>
      <c r="P58" s="216">
        <v>27.678814001342772</v>
      </c>
    </row>
    <row r="59" spans="15:16">
      <c r="O59" t="s">
        <v>76</v>
      </c>
      <c r="P59" s="216">
        <v>49.852089884112821</v>
      </c>
    </row>
    <row r="60" spans="15:16">
      <c r="O60" t="s">
        <v>1010</v>
      </c>
      <c r="P60" s="216">
        <v>12.850199985980668</v>
      </c>
    </row>
    <row r="61" spans="15:16">
      <c r="O61" t="s">
        <v>143</v>
      </c>
      <c r="P61" s="216">
        <v>18.438451561992434</v>
      </c>
    </row>
    <row r="62" spans="15:16">
      <c r="O62" t="s">
        <v>17</v>
      </c>
      <c r="P62" s="216">
        <v>34.586023105689023</v>
      </c>
    </row>
    <row r="63" spans="15:16">
      <c r="O63" t="s">
        <v>1012</v>
      </c>
      <c r="P63" s="216">
        <v>43.098881150489049</v>
      </c>
    </row>
    <row r="64" spans="15:16">
      <c r="O64" t="s">
        <v>256</v>
      </c>
      <c r="P64" s="216">
        <v>39.733716886519701</v>
      </c>
    </row>
    <row r="65" spans="14:17">
      <c r="O65" t="s">
        <v>77</v>
      </c>
      <c r="P65" s="216">
        <v>38.608608917204201</v>
      </c>
    </row>
    <row r="66" spans="14:17">
      <c r="O66" t="s">
        <v>1167</v>
      </c>
      <c r="P66" s="216">
        <v>36.733501259873449</v>
      </c>
    </row>
    <row r="67" spans="14:17">
      <c r="O67" t="s">
        <v>148</v>
      </c>
      <c r="P67" s="216">
        <v>19.638847304118251</v>
      </c>
    </row>
    <row r="68" spans="14:17">
      <c r="O68" t="s">
        <v>78</v>
      </c>
      <c r="P68" s="216">
        <v>18.624262322538012</v>
      </c>
    </row>
    <row r="69" spans="14:17">
      <c r="O69" t="s">
        <v>79</v>
      </c>
      <c r="P69" s="216">
        <v>17.1459580631936</v>
      </c>
    </row>
    <row r="70" spans="14:17">
      <c r="O70" t="s">
        <v>1015</v>
      </c>
      <c r="P70" s="216">
        <v>23.089290743820442</v>
      </c>
    </row>
    <row r="71" spans="14:17">
      <c r="O71" t="s">
        <v>8</v>
      </c>
      <c r="P71" s="216">
        <v>37.807499786906078</v>
      </c>
    </row>
    <row r="72" spans="14:17">
      <c r="N72" s="93" t="s">
        <v>2246</v>
      </c>
      <c r="O72" s="93" t="s">
        <v>2247</v>
      </c>
      <c r="P72" s="216">
        <v>142</v>
      </c>
      <c r="Q72" s="93" t="s">
        <v>2249</v>
      </c>
    </row>
    <row r="73" spans="14:17">
      <c r="O73" t="s">
        <v>1017</v>
      </c>
      <c r="P73" s="216">
        <v>73.336064392823857</v>
      </c>
    </row>
    <row r="74" spans="14:17">
      <c r="O74" t="s">
        <v>61</v>
      </c>
      <c r="P74" s="216">
        <v>18.028618666289045</v>
      </c>
    </row>
    <row r="75" spans="14:17">
      <c r="O75" t="s">
        <v>80</v>
      </c>
      <c r="P75" s="216">
        <v>20.472973740196075</v>
      </c>
    </row>
    <row r="76" spans="14:17">
      <c r="O76" t="s">
        <v>14</v>
      </c>
      <c r="P76" s="216">
        <v>48.005924445339275</v>
      </c>
    </row>
    <row r="77" spans="14:17">
      <c r="O77" t="s">
        <v>19</v>
      </c>
      <c r="P77" s="216">
        <v>54.897745560879706</v>
      </c>
    </row>
    <row r="78" spans="14:17">
      <c r="O78" t="s">
        <v>152</v>
      </c>
      <c r="P78" s="216">
        <v>15.99106424804658</v>
      </c>
    </row>
    <row r="79" spans="14:17">
      <c r="O79" t="s">
        <v>81</v>
      </c>
      <c r="P79" s="216">
        <v>23.283054948709346</v>
      </c>
    </row>
    <row r="80" spans="14:17">
      <c r="O80" t="s">
        <v>37</v>
      </c>
      <c r="P80" s="216">
        <v>29.545032525632017</v>
      </c>
    </row>
    <row r="81" spans="15:16">
      <c r="O81" t="s">
        <v>1021</v>
      </c>
      <c r="P81" s="216">
        <v>13.377274806501518</v>
      </c>
    </row>
    <row r="82" spans="15:16">
      <c r="O82" t="s">
        <v>154</v>
      </c>
      <c r="P82" s="216">
        <v>14.967087967875218</v>
      </c>
    </row>
    <row r="83" spans="15:16">
      <c r="O83" t="s">
        <v>1022</v>
      </c>
      <c r="P83" s="216">
        <v>35.357619254683655</v>
      </c>
    </row>
    <row r="84" spans="15:16">
      <c r="O84" t="s">
        <v>294</v>
      </c>
      <c r="P84" s="216">
        <v>1221.2329176062319</v>
      </c>
    </row>
    <row r="85" spans="15:16">
      <c r="O85" t="s">
        <v>15</v>
      </c>
      <c r="P85" s="216">
        <v>36.949964127816159</v>
      </c>
    </row>
    <row r="86" spans="15:16">
      <c r="O86" t="s">
        <v>208</v>
      </c>
      <c r="P86" s="216">
        <v>27.547483019895576</v>
      </c>
    </row>
    <row r="87" spans="15:16">
      <c r="O87" t="s">
        <v>82</v>
      </c>
      <c r="P87" s="216">
        <v>17.872050580133227</v>
      </c>
    </row>
    <row r="88" spans="15:16">
      <c r="O88" t="s">
        <v>112</v>
      </c>
      <c r="P88" s="216">
        <v>10.712854669200379</v>
      </c>
    </row>
    <row r="89" spans="15:16">
      <c r="O89" t="s">
        <v>1028</v>
      </c>
      <c r="P89" s="216">
        <v>19.700360743257093</v>
      </c>
    </row>
    <row r="90" spans="15:16">
      <c r="O90" t="s">
        <v>83</v>
      </c>
      <c r="P90" s="216">
        <v>38.280557647857833</v>
      </c>
    </row>
    <row r="91" spans="15:16">
      <c r="O91" t="s">
        <v>1030</v>
      </c>
      <c r="P91" s="216">
        <v>41.851562338865648</v>
      </c>
    </row>
    <row r="92" spans="15:16">
      <c r="O92" t="s">
        <v>296</v>
      </c>
      <c r="P92" s="216">
        <v>319.45464253085999</v>
      </c>
    </row>
    <row r="93" spans="15:16">
      <c r="O93" t="s">
        <v>46</v>
      </c>
      <c r="P93" s="216">
        <v>30.228356559670921</v>
      </c>
    </row>
    <row r="94" spans="15:16">
      <c r="O94" t="s">
        <v>162</v>
      </c>
      <c r="P94" s="216">
        <v>56.831204714942459</v>
      </c>
    </row>
    <row r="95" spans="15:16">
      <c r="O95" t="s">
        <v>1031</v>
      </c>
      <c r="P95" s="216">
        <v>42.269767980139612</v>
      </c>
    </row>
    <row r="96" spans="15:16">
      <c r="O96" t="s">
        <v>257</v>
      </c>
      <c r="P96" s="216">
        <v>37.956453378033359</v>
      </c>
    </row>
    <row r="97" spans="15:16">
      <c r="O97" t="s">
        <v>84</v>
      </c>
      <c r="P97" s="216">
        <v>36.444991230965726</v>
      </c>
    </row>
    <row r="98" spans="15:16">
      <c r="O98" t="s">
        <v>62</v>
      </c>
      <c r="P98" s="216">
        <v>43.192470284147113</v>
      </c>
    </row>
    <row r="99" spans="15:16">
      <c r="O99" t="s">
        <v>159</v>
      </c>
      <c r="P99" s="216">
        <v>22.75973046541532</v>
      </c>
    </row>
    <row r="100" spans="15:16">
      <c r="O100" t="s">
        <v>43</v>
      </c>
      <c r="P100" s="216">
        <v>24.33586801663083</v>
      </c>
    </row>
    <row r="101" spans="15:16">
      <c r="O101" t="s">
        <v>549</v>
      </c>
      <c r="P101" s="216">
        <v>250.50303319412441</v>
      </c>
    </row>
    <row r="102" spans="15:16">
      <c r="O102" t="s">
        <v>1170</v>
      </c>
      <c r="P102" s="216">
        <v>66.724043248575413</v>
      </c>
    </row>
    <row r="103" spans="15:16">
      <c r="O103" t="s">
        <v>44</v>
      </c>
      <c r="P103" s="216">
        <v>19.332794164904811</v>
      </c>
    </row>
    <row r="104" spans="15:16">
      <c r="O104" t="s">
        <v>167</v>
      </c>
      <c r="P104" s="216">
        <v>31.546444529298377</v>
      </c>
    </row>
    <row r="105" spans="15:16">
      <c r="O105" t="s">
        <v>38</v>
      </c>
      <c r="P105" s="216">
        <v>29.821561758762062</v>
      </c>
    </row>
    <row r="106" spans="15:16">
      <c r="O106" t="s">
        <v>169</v>
      </c>
      <c r="P106" s="216">
        <v>38.153070724933137</v>
      </c>
    </row>
    <row r="107" spans="15:16">
      <c r="O107" t="s">
        <v>33</v>
      </c>
      <c r="P107" s="216">
        <v>144.52829578474197</v>
      </c>
    </row>
    <row r="108" spans="15:16">
      <c r="O108" t="s">
        <v>85</v>
      </c>
      <c r="P108" s="216">
        <v>24.372131789011537</v>
      </c>
    </row>
    <row r="109" spans="15:16">
      <c r="O109" t="s">
        <v>258</v>
      </c>
      <c r="P109" s="216">
        <v>12.672823053574815</v>
      </c>
    </row>
    <row r="110" spans="15:16">
      <c r="O110" t="s">
        <v>1032</v>
      </c>
      <c r="P110" s="216">
        <v>16.156690538234447</v>
      </c>
    </row>
    <row r="111" spans="15:16">
      <c r="O111" t="s">
        <v>173</v>
      </c>
      <c r="P111" s="216">
        <v>45.026115098047022</v>
      </c>
    </row>
    <row r="112" spans="15:16">
      <c r="O112" t="s">
        <v>1033</v>
      </c>
      <c r="P112" s="216">
        <v>28.10639923169645</v>
      </c>
    </row>
    <row r="113" spans="15:16">
      <c r="O113" t="s">
        <v>1179</v>
      </c>
      <c r="P113" s="216">
        <v>16.46065049105524</v>
      </c>
    </row>
    <row r="114" spans="15:16">
      <c r="O114" t="s">
        <v>177</v>
      </c>
      <c r="P114" s="216">
        <v>20.811839963062244</v>
      </c>
    </row>
    <row r="115" spans="15:16">
      <c r="O115" t="s">
        <v>179</v>
      </c>
      <c r="P115" s="216">
        <v>17.835922387478433</v>
      </c>
    </row>
    <row r="116" spans="15:16">
      <c r="O116" t="s">
        <v>181</v>
      </c>
      <c r="P116" s="216">
        <v>50.538462937726159</v>
      </c>
    </row>
    <row r="117" spans="15:16">
      <c r="O117" t="s">
        <v>86</v>
      </c>
      <c r="P117" s="216">
        <v>22.943448039568253</v>
      </c>
    </row>
    <row r="118" spans="15:16">
      <c r="O118" t="s">
        <v>1034</v>
      </c>
      <c r="P118" s="216">
        <v>21.374331586343693</v>
      </c>
    </row>
    <row r="119" spans="15:16">
      <c r="O119" t="s">
        <v>185</v>
      </c>
      <c r="P119" s="216">
        <v>31.613815691375798</v>
      </c>
    </row>
    <row r="120" spans="15:16">
      <c r="O120" t="s">
        <v>87</v>
      </c>
      <c r="P120" s="216">
        <v>31.77370056900768</v>
      </c>
    </row>
    <row r="121" spans="15:16">
      <c r="O121" t="s">
        <v>1035</v>
      </c>
      <c r="P121" s="216">
        <v>36.322006233720479</v>
      </c>
    </row>
    <row r="122" spans="15:16">
      <c r="O122" t="s">
        <v>16</v>
      </c>
      <c r="P122" s="216">
        <v>35.329733230091122</v>
      </c>
    </row>
    <row r="123" spans="15:16">
      <c r="O123" t="s">
        <v>28</v>
      </c>
      <c r="P123" s="216">
        <v>21.832845938302036</v>
      </c>
    </row>
    <row r="124" spans="15:16">
      <c r="O124" t="s">
        <v>63</v>
      </c>
      <c r="P124" s="216">
        <v>15.893430983418554</v>
      </c>
    </row>
    <row r="125" spans="15:16">
      <c r="O125" t="s">
        <v>867</v>
      </c>
      <c r="P125" s="216">
        <v>71.932859588558102</v>
      </c>
    </row>
    <row r="126" spans="15:16">
      <c r="O126" t="s">
        <v>88</v>
      </c>
      <c r="P126" s="216">
        <v>18.819990841387451</v>
      </c>
    </row>
    <row r="127" spans="15:16">
      <c r="O127" t="s">
        <v>1174</v>
      </c>
      <c r="P127" s="216">
        <v>24.457603477359932</v>
      </c>
    </row>
    <row r="128" spans="15:16">
      <c r="O128" t="s">
        <v>89</v>
      </c>
      <c r="P128" s="216">
        <v>49.452746361997669</v>
      </c>
    </row>
    <row r="129" spans="15:17">
      <c r="O129" t="s">
        <v>1041</v>
      </c>
      <c r="P129" s="216">
        <v>47.189858359576206</v>
      </c>
    </row>
    <row r="130" spans="15:17">
      <c r="O130" t="s">
        <v>196</v>
      </c>
      <c r="P130" s="216">
        <v>26.231568588573232</v>
      </c>
    </row>
    <row r="131" spans="15:17">
      <c r="O131" t="s">
        <v>39</v>
      </c>
      <c r="P131" s="216">
        <v>29.879221919674698</v>
      </c>
    </row>
    <row r="132" spans="15:17">
      <c r="O132" t="s">
        <v>1176</v>
      </c>
      <c r="P132" s="216">
        <v>22.073749144326904</v>
      </c>
    </row>
    <row r="133" spans="15:17">
      <c r="O133" t="s">
        <v>201</v>
      </c>
      <c r="P133" s="216">
        <v>21.497691559180453</v>
      </c>
    </row>
    <row r="134" spans="15:17">
      <c r="O134" t="s">
        <v>1180</v>
      </c>
      <c r="P134" s="216">
        <v>19.447978907004163</v>
      </c>
    </row>
    <row r="135" spans="15:17">
      <c r="O135" t="s">
        <v>90</v>
      </c>
      <c r="P135" s="216">
        <v>34.487794784151596</v>
      </c>
    </row>
    <row r="136" spans="15:17">
      <c r="O136" t="s">
        <v>1044</v>
      </c>
      <c r="P136" s="216">
        <v>24.81253644019959</v>
      </c>
    </row>
    <row r="137" spans="15:17">
      <c r="O137" t="s">
        <v>250</v>
      </c>
      <c r="P137" s="216">
        <v>31.30849655374567</v>
      </c>
    </row>
    <row r="138" spans="15:17">
      <c r="O138" t="s">
        <v>91</v>
      </c>
      <c r="P138" s="216">
        <v>30.341448115377624</v>
      </c>
    </row>
    <row r="139" spans="15:17">
      <c r="O139" t="s">
        <v>203</v>
      </c>
      <c r="P139" s="216">
        <v>16.203402678311257</v>
      </c>
    </row>
    <row r="140" spans="15:17">
      <c r="O140" t="s">
        <v>35</v>
      </c>
      <c r="P140" s="216">
        <v>11.418416206635605</v>
      </c>
    </row>
    <row r="141" spans="15:17">
      <c r="O141" t="s">
        <v>31</v>
      </c>
      <c r="P141" s="216">
        <v>41.919008828035729</v>
      </c>
    </row>
    <row r="142" spans="15:17">
      <c r="O142" t="s">
        <v>21</v>
      </c>
      <c r="P142" s="216">
        <v>128</v>
      </c>
      <c r="Q142" s="93" t="s">
        <v>2249</v>
      </c>
    </row>
    <row r="143" spans="15:17">
      <c r="O143" t="s">
        <v>1048</v>
      </c>
      <c r="P143" s="216">
        <v>16.678261636988708</v>
      </c>
    </row>
    <row r="144" spans="15:17">
      <c r="O144" t="s">
        <v>92</v>
      </c>
      <c r="P144" s="216">
        <v>43.521951063177866</v>
      </c>
    </row>
    <row r="145" spans="15:16">
      <c r="O145" t="s">
        <v>1050</v>
      </c>
      <c r="P145" s="216">
        <v>34.256829435709804</v>
      </c>
    </row>
    <row r="146" spans="15:16">
      <c r="O146" t="s">
        <v>1181</v>
      </c>
      <c r="P146" s="216">
        <v>17.696835476521073</v>
      </c>
    </row>
    <row r="147" spans="15:16">
      <c r="O147" t="s">
        <v>1182</v>
      </c>
      <c r="P147" s="216">
        <v>11.101952363272394</v>
      </c>
    </row>
    <row r="148" spans="15:16">
      <c r="O148" t="s">
        <v>209</v>
      </c>
      <c r="P148" s="216">
        <v>49.56304339105715</v>
      </c>
    </row>
    <row r="149" spans="15:16">
      <c r="O149" t="s">
        <v>93</v>
      </c>
      <c r="P149" s="216">
        <v>23.429576404129197</v>
      </c>
    </row>
    <row r="150" spans="15:16">
      <c r="O150" t="s">
        <v>214</v>
      </c>
      <c r="P150" s="216">
        <v>25.206376240548153</v>
      </c>
    </row>
    <row r="151" spans="15:16">
      <c r="O151" t="s">
        <v>94</v>
      </c>
      <c r="P151" s="216">
        <v>36.219555513121037</v>
      </c>
    </row>
    <row r="152" spans="15:16">
      <c r="O152" t="s">
        <v>29</v>
      </c>
      <c r="P152" s="216">
        <v>24.224734067590855</v>
      </c>
    </row>
    <row r="153" spans="15:16">
      <c r="O153" t="s">
        <v>1052</v>
      </c>
      <c r="P153" s="216">
        <v>8</v>
      </c>
    </row>
    <row r="154" spans="15:16">
      <c r="O154" t="s">
        <v>217</v>
      </c>
      <c r="P154" s="216">
        <v>21.772438941325916</v>
      </c>
    </row>
    <row r="155" spans="15:16">
      <c r="O155" t="s">
        <v>45</v>
      </c>
      <c r="P155" s="216">
        <v>18.711426312857018</v>
      </c>
    </row>
    <row r="156" spans="15:16">
      <c r="O156" t="s">
        <v>1054</v>
      </c>
      <c r="P156" s="216">
        <v>34.440923645326052</v>
      </c>
    </row>
    <row r="157" spans="15:16">
      <c r="O157" t="s">
        <v>1055</v>
      </c>
      <c r="P157" s="216">
        <v>17.606961483749007</v>
      </c>
    </row>
    <row r="158" spans="15:16">
      <c r="O158" t="s">
        <v>550</v>
      </c>
      <c r="P158" s="216">
        <v>130.80055862495777</v>
      </c>
    </row>
    <row r="159" spans="15:16">
      <c r="O159" t="s">
        <v>220</v>
      </c>
      <c r="P159" s="216">
        <v>13.895849668891486</v>
      </c>
    </row>
    <row r="160" spans="15:16">
      <c r="O160" t="s">
        <v>95</v>
      </c>
      <c r="P160" s="216">
        <v>39.303642587568952</v>
      </c>
    </row>
    <row r="161" spans="15:16">
      <c r="O161" t="s">
        <v>96</v>
      </c>
      <c r="P161" s="216">
        <v>21.461834525977483</v>
      </c>
    </row>
    <row r="162" spans="15:16">
      <c r="O162" t="s">
        <v>259</v>
      </c>
      <c r="P162" s="216">
        <v>18.06251223806958</v>
      </c>
    </row>
    <row r="163" spans="15:16">
      <c r="O163" t="s">
        <v>1056</v>
      </c>
      <c r="P163" s="216">
        <v>9.5525977368324959</v>
      </c>
    </row>
    <row r="164" spans="15:16">
      <c r="O164" t="s">
        <v>210</v>
      </c>
      <c r="P164" s="216">
        <v>50.660480414880404</v>
      </c>
    </row>
    <row r="165" spans="15:16">
      <c r="O165" t="s">
        <v>211</v>
      </c>
      <c r="P165" s="216">
        <v>34.188683243554735</v>
      </c>
    </row>
    <row r="166" spans="15:16">
      <c r="O166" t="s">
        <v>1057</v>
      </c>
      <c r="P166" s="216">
        <v>23.393182906778279</v>
      </c>
    </row>
    <row r="167" spans="15:16">
      <c r="O167" t="s">
        <v>233</v>
      </c>
      <c r="P167" s="216">
        <v>27.070746806463859</v>
      </c>
    </row>
    <row r="168" spans="15:16">
      <c r="O168" t="s">
        <v>223</v>
      </c>
      <c r="P168" s="216">
        <v>24.73227053019513</v>
      </c>
    </row>
    <row r="169" spans="15:16">
      <c r="O169" t="s">
        <v>1059</v>
      </c>
      <c r="P169" s="216">
        <v>29.264745440647641</v>
      </c>
    </row>
    <row r="170" spans="15:16">
      <c r="O170" t="s">
        <v>1060</v>
      </c>
      <c r="P170" s="216">
        <v>13.949391246881785</v>
      </c>
    </row>
    <row r="171" spans="15:16">
      <c r="O171" t="s">
        <v>27</v>
      </c>
      <c r="P171" s="216">
        <v>36</v>
      </c>
    </row>
    <row r="172" spans="15:16">
      <c r="O172" t="s">
        <v>409</v>
      </c>
      <c r="P172" s="216">
        <v>18.551746487288007</v>
      </c>
    </row>
    <row r="173" spans="15:16">
      <c r="O173" t="s">
        <v>190</v>
      </c>
      <c r="P173" s="216">
        <v>20.055639362705335</v>
      </c>
    </row>
    <row r="174" spans="15:16">
      <c r="O174" t="s">
        <v>34</v>
      </c>
      <c r="P174" s="216">
        <v>18.081056314526528</v>
      </c>
    </row>
    <row r="175" spans="15:16">
      <c r="O175" t="s">
        <v>97</v>
      </c>
      <c r="P175" s="216">
        <v>27.240960353859045</v>
      </c>
    </row>
    <row r="176" spans="15:16">
      <c r="O176" t="s">
        <v>227</v>
      </c>
      <c r="P176" s="216">
        <v>62.296849566441892</v>
      </c>
    </row>
    <row r="177" spans="15:17">
      <c r="O177" t="s">
        <v>98</v>
      </c>
      <c r="P177" s="216">
        <v>39.217717276792783</v>
      </c>
    </row>
    <row r="178" spans="15:17">
      <c r="O178" t="s">
        <v>1066</v>
      </c>
      <c r="P178" s="216">
        <v>32.618151502567102</v>
      </c>
    </row>
    <row r="179" spans="15:17">
      <c r="O179" t="s">
        <v>99</v>
      </c>
      <c r="P179" s="216">
        <v>31.65521242741768</v>
      </c>
    </row>
    <row r="180" spans="15:17">
      <c r="O180" t="s">
        <v>100</v>
      </c>
      <c r="P180" s="216">
        <v>45.824582015755041</v>
      </c>
    </row>
    <row r="181" spans="15:17">
      <c r="O181" t="s">
        <v>101</v>
      </c>
      <c r="P181" s="216">
        <v>13.97815939223085</v>
      </c>
    </row>
    <row r="182" spans="15:17">
      <c r="O182" t="s">
        <v>102</v>
      </c>
      <c r="P182" s="216">
        <v>25.196181468036762</v>
      </c>
    </row>
    <row r="183" spans="15:17">
      <c r="O183" t="s">
        <v>103</v>
      </c>
      <c r="P183" s="216">
        <v>36.307194032480737</v>
      </c>
    </row>
    <row r="184" spans="15:17">
      <c r="O184" t="s">
        <v>32</v>
      </c>
      <c r="P184" s="216">
        <v>29.805828965885759</v>
      </c>
    </row>
    <row r="185" spans="15:17">
      <c r="O185" t="s">
        <v>1168</v>
      </c>
      <c r="P185" s="216">
        <v>33.560158713790081</v>
      </c>
    </row>
    <row r="186" spans="15:17">
      <c r="O186" t="s">
        <v>551</v>
      </c>
      <c r="P186" s="216">
        <v>276</v>
      </c>
      <c r="Q186" s="93" t="s">
        <v>2249</v>
      </c>
    </row>
    <row r="187" spans="15:17">
      <c r="O187" t="s">
        <v>20</v>
      </c>
      <c r="P187" s="216">
        <v>59.316380714723088</v>
      </c>
    </row>
    <row r="188" spans="15:17">
      <c r="O188" t="s">
        <v>253</v>
      </c>
      <c r="P188" s="216">
        <v>15.86714771178266</v>
      </c>
    </row>
    <row r="189" spans="15:17">
      <c r="O189" t="s">
        <v>191</v>
      </c>
      <c r="P189" s="216">
        <v>15.889112373253155</v>
      </c>
    </row>
    <row r="190" spans="15:17">
      <c r="O190" t="s">
        <v>1072</v>
      </c>
      <c r="P190" s="216">
        <v>26.931524315780585</v>
      </c>
    </row>
    <row r="191" spans="15:17">
      <c r="O191" t="s">
        <v>260</v>
      </c>
      <c r="P191" s="216">
        <v>20.828444019721776</v>
      </c>
    </row>
    <row r="192" spans="15:17">
      <c r="O192" t="s">
        <v>1172</v>
      </c>
      <c r="P192" s="216">
        <v>35.876221708378147</v>
      </c>
    </row>
    <row r="193" spans="15:16">
      <c r="O193" t="s">
        <v>105</v>
      </c>
      <c r="P193" s="216">
        <v>28.395854169006064</v>
      </c>
    </row>
    <row r="194" spans="15:16">
      <c r="O194" t="s">
        <v>229</v>
      </c>
      <c r="P194" s="216">
        <v>31.722054662576859</v>
      </c>
    </row>
    <row r="195" spans="15:16">
      <c r="O195" t="s">
        <v>106</v>
      </c>
      <c r="P195" s="216">
        <v>36.100246333343655</v>
      </c>
    </row>
    <row r="196" spans="15:16">
      <c r="O196" t="s">
        <v>411</v>
      </c>
      <c r="P196" s="216">
        <v>11.104323416410669</v>
      </c>
    </row>
    <row r="197" spans="15:16">
      <c r="O197" t="s">
        <v>192</v>
      </c>
      <c r="P197" s="216">
        <v>9.6003627511303833</v>
      </c>
    </row>
    <row r="198" spans="15:16">
      <c r="O198" t="s">
        <v>231</v>
      </c>
      <c r="P198" s="216">
        <v>25.577042848802215</v>
      </c>
    </row>
    <row r="199" spans="15:16">
      <c r="O199" t="s">
        <v>1076</v>
      </c>
      <c r="P199" s="216">
        <v>23.207784740166147</v>
      </c>
    </row>
    <row r="200" spans="15:16">
      <c r="O200" t="s">
        <v>235</v>
      </c>
      <c r="P200" s="216">
        <v>25.978983382731428</v>
      </c>
    </row>
    <row r="201" spans="15:16">
      <c r="O201" t="s">
        <v>237</v>
      </c>
      <c r="P201" s="216">
        <v>17.454913717475655</v>
      </c>
    </row>
    <row r="202" spans="15:16">
      <c r="O202" t="s">
        <v>1077</v>
      </c>
      <c r="P202" s="216">
        <v>34.019889133602135</v>
      </c>
    </row>
    <row r="203" spans="15:16">
      <c r="O203" t="s">
        <v>254</v>
      </c>
      <c r="P203" s="216">
        <v>19.820138597319467</v>
      </c>
    </row>
    <row r="204" spans="15:16">
      <c r="O204" t="s">
        <v>239</v>
      </c>
      <c r="P204" s="216">
        <v>28.206524077331451</v>
      </c>
    </row>
    <row r="205" spans="15:16">
      <c r="O205" t="s">
        <v>66</v>
      </c>
      <c r="P205" s="216">
        <v>14.004081102862841</v>
      </c>
    </row>
    <row r="206" spans="15:16">
      <c r="O206" t="s">
        <v>423</v>
      </c>
      <c r="P206" s="216">
        <v>37.463604393916214</v>
      </c>
    </row>
    <row r="207" spans="15:16">
      <c r="O207" t="s">
        <v>107</v>
      </c>
      <c r="P207" s="216">
        <v>49.1776273692087</v>
      </c>
    </row>
    <row r="208" spans="15:16">
      <c r="O208" t="s">
        <v>13</v>
      </c>
      <c r="P208" s="216">
        <v>64.025913662341495</v>
      </c>
    </row>
    <row r="209" spans="14:17">
      <c r="O209" t="s">
        <v>108</v>
      </c>
      <c r="P209" s="216">
        <v>46.317025943168446</v>
      </c>
    </row>
    <row r="210" spans="14:17">
      <c r="O210" t="s">
        <v>241</v>
      </c>
      <c r="P210" s="216">
        <v>24.751374512425045</v>
      </c>
    </row>
    <row r="211" spans="14:17">
      <c r="O211" t="s">
        <v>243</v>
      </c>
      <c r="P211" s="216">
        <v>29.620628314106789</v>
      </c>
    </row>
    <row r="212" spans="14:17">
      <c r="O212" t="s">
        <v>1080</v>
      </c>
      <c r="P212" s="216">
        <v>24.264097869873346</v>
      </c>
    </row>
    <row r="213" spans="14:17">
      <c r="O213" t="s">
        <v>245</v>
      </c>
      <c r="P213" s="216">
        <v>15.935429483663638</v>
      </c>
    </row>
    <row r="214" spans="14:17">
      <c r="O214" t="s">
        <v>1082</v>
      </c>
      <c r="P214" s="216">
        <v>20.678829241693947</v>
      </c>
    </row>
    <row r="215" spans="14:17">
      <c r="O215" t="s">
        <v>22</v>
      </c>
      <c r="P215" s="216">
        <v>44.546878106506824</v>
      </c>
    </row>
    <row r="216" spans="14:17">
      <c r="O216" t="s">
        <v>36</v>
      </c>
      <c r="P216" s="216">
        <v>202.55623493832704</v>
      </c>
    </row>
    <row r="217" spans="14:17">
      <c r="O217" t="s">
        <v>1083</v>
      </c>
      <c r="P217" s="216">
        <v>22.876988294628095</v>
      </c>
    </row>
    <row r="218" spans="14:17">
      <c r="O218" t="s">
        <v>1084</v>
      </c>
      <c r="P218" s="216">
        <v>205</v>
      </c>
      <c r="Q218" s="93" t="s">
        <v>2248</v>
      </c>
    </row>
    <row r="219" spans="14:17">
      <c r="O219" t="s">
        <v>414</v>
      </c>
      <c r="P219" s="216">
        <v>15.060061138010965</v>
      </c>
    </row>
    <row r="220" spans="14:17">
      <c r="O220" t="s">
        <v>212</v>
      </c>
      <c r="P220" s="216">
        <v>42.398993213144657</v>
      </c>
    </row>
    <row r="221" spans="14:17">
      <c r="O221" t="s">
        <v>110</v>
      </c>
      <c r="P221" s="216">
        <v>20.476141559960809</v>
      </c>
    </row>
    <row r="222" spans="14:17">
      <c r="O222" t="s">
        <v>261</v>
      </c>
      <c r="P222" s="216">
        <v>18.796162317148102</v>
      </c>
    </row>
    <row r="223" spans="14:17">
      <c r="O223" t="s">
        <v>1169</v>
      </c>
      <c r="P223" s="216">
        <v>15.550246150386984</v>
      </c>
    </row>
    <row r="224" spans="14:17">
      <c r="N224" s="93" t="s">
        <v>549</v>
      </c>
      <c r="O224" t="s">
        <v>1171</v>
      </c>
      <c r="P224" s="216">
        <v>65.0818870354002</v>
      </c>
    </row>
    <row r="225" spans="15:17">
      <c r="O225" t="s">
        <v>552</v>
      </c>
      <c r="P225" s="216">
        <v>106.21825575196324</v>
      </c>
    </row>
    <row r="226" spans="15:17">
      <c r="O226" t="s">
        <v>25</v>
      </c>
      <c r="P226" s="216">
        <v>84</v>
      </c>
      <c r="Q226" s="93" t="s">
        <v>2249</v>
      </c>
    </row>
    <row r="227" spans="15:17">
      <c r="P227" s="216">
        <v>9818.9362196535203</v>
      </c>
    </row>
  </sheetData>
  <sortState ref="O3:P227">
    <sortCondition ref="O3:O227"/>
  </sortState>
  <mergeCells count="6">
    <mergeCell ref="B1:D1"/>
    <mergeCell ref="E1:G1"/>
    <mergeCell ref="H1:J1"/>
    <mergeCell ref="O1:P1"/>
    <mergeCell ref="A17:M17"/>
    <mergeCell ref="K1:M1"/>
  </mergeCells>
  <pageMargins left="0.7" right="0.7" top="0.75" bottom="0.75" header="0.3" footer="0.3"/>
  <pageSetup paperSize="5" scale="66"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20"/>
  <sheetViews>
    <sheetView topLeftCell="A9" workbookViewId="0">
      <selection activeCell="A82" sqref="A82:XFD82"/>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22" style="120" customWidth="1"/>
    <col min="10" max="10" width="21" style="120" customWidth="1"/>
    <col min="11" max="11" width="16.5703125" style="120" customWidth="1"/>
    <col min="12" max="12" width="21.7109375" style="120" customWidth="1"/>
    <col min="13" max="13" width="17.42578125" style="120" customWidth="1"/>
    <col min="14" max="14" width="10" style="120" bestFit="1" customWidth="1"/>
    <col min="15" max="15" width="11.7109375" style="120" bestFit="1" customWidth="1"/>
    <col min="16" max="17" width="10" style="120" bestFit="1" customWidth="1"/>
    <col min="18" max="18" width="10" style="120" customWidth="1"/>
    <col min="19" max="19" width="10" style="136" customWidth="1"/>
    <col min="20" max="20" width="11.140625" style="136" customWidth="1"/>
    <col min="21" max="22" width="10" style="136" customWidth="1"/>
    <col min="23" max="23" width="6.140625" style="136" customWidth="1"/>
    <col min="24"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 style="136" customWidth="1"/>
    <col min="61" max="61" width="10.42578125" style="136" bestFit="1"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B1" s="1989" t="s">
        <v>1159</v>
      </c>
      <c r="C1" s="1989"/>
      <c r="D1" s="1989"/>
      <c r="E1" s="1989"/>
      <c r="F1" s="1989"/>
      <c r="G1" s="1989"/>
      <c r="H1" s="1989"/>
      <c r="I1" s="1989"/>
      <c r="J1" s="1989"/>
      <c r="K1" s="1989"/>
      <c r="L1" s="1989"/>
      <c r="M1" s="1989"/>
      <c r="N1" s="1989"/>
      <c r="O1" s="1989"/>
      <c r="P1" s="1989"/>
      <c r="Q1" s="1989"/>
      <c r="R1" s="1989"/>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2008" t="s">
        <v>334</v>
      </c>
      <c r="C2" s="2008"/>
      <c r="D2" s="2008"/>
      <c r="E2" s="2008"/>
      <c r="G2" s="221"/>
      <c r="H2" s="2040" t="s">
        <v>618</v>
      </c>
      <c r="I2" s="2041"/>
      <c r="J2" s="2041"/>
      <c r="K2" s="2041"/>
      <c r="L2" s="2041"/>
      <c r="M2" s="2041"/>
      <c r="N2" s="2041"/>
      <c r="O2" s="2041"/>
      <c r="P2" s="2041"/>
      <c r="Q2" s="2041"/>
      <c r="R2" s="204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77"/>
      <c r="I3" s="122" t="s">
        <v>926</v>
      </c>
      <c r="J3" s="685">
        <f>'Community data'!B12</f>
        <v>14593</v>
      </c>
      <c r="K3" s="122"/>
      <c r="L3" s="122"/>
      <c r="M3" s="122"/>
      <c r="N3" s="122"/>
      <c r="O3" s="122"/>
      <c r="P3" s="122"/>
      <c r="Q3" s="122"/>
      <c r="R3" s="956"/>
      <c r="S3" s="122"/>
      <c r="T3" s="122"/>
      <c r="U3" s="122"/>
      <c r="V3" s="122"/>
      <c r="W3" s="122"/>
      <c r="X3" s="122"/>
      <c r="Y3" s="122"/>
      <c r="Z3" s="122"/>
      <c r="AA3" s="122"/>
      <c r="AB3" s="122"/>
      <c r="AC3" s="122"/>
      <c r="AD3" s="122"/>
      <c r="AE3" s="122"/>
      <c r="AF3" s="122"/>
      <c r="AG3" s="122"/>
      <c r="AH3" s="122"/>
      <c r="AI3" s="122"/>
      <c r="AJ3" s="122"/>
      <c r="AK3" s="122"/>
      <c r="AL3" s="122"/>
      <c r="AM3" s="122"/>
      <c r="AN3" s="122"/>
      <c r="AO3" s="122"/>
      <c r="AP3" s="122"/>
      <c r="AQ3" s="122"/>
      <c r="AR3" s="122"/>
      <c r="AS3" s="122"/>
      <c r="AT3" s="122"/>
      <c r="AU3" s="122"/>
      <c r="AV3" s="122"/>
      <c r="AW3" s="122"/>
      <c r="AX3" s="122"/>
      <c r="AY3" s="122"/>
      <c r="AZ3" s="122"/>
      <c r="BA3" s="122"/>
      <c r="BB3" s="122"/>
      <c r="BC3" s="122"/>
      <c r="BD3" s="122"/>
      <c r="BE3" s="122"/>
      <c r="BF3" s="122"/>
      <c r="BG3" s="122"/>
      <c r="BH3" s="122"/>
      <c r="BI3" s="122"/>
      <c r="BJ3" s="125"/>
      <c r="BK3" s="125"/>
      <c r="BL3" s="125"/>
      <c r="BM3" s="125"/>
      <c r="BN3" s="125"/>
      <c r="BO3" s="125"/>
    </row>
    <row r="4" spans="1:67" ht="12.75">
      <c r="B4" s="126" t="s">
        <v>331</v>
      </c>
      <c r="C4" s="489"/>
      <c r="D4" s="121"/>
      <c r="E4" s="916" t="s">
        <v>1211</v>
      </c>
      <c r="F4" s="1204"/>
      <c r="G4" s="219"/>
      <c r="H4" s="957"/>
      <c r="I4" s="460" t="s">
        <v>644</v>
      </c>
      <c r="J4" s="686">
        <f>'Community data'!B10</f>
        <v>89</v>
      </c>
      <c r="K4" s="460"/>
      <c r="L4" s="460"/>
      <c r="M4" s="460"/>
      <c r="N4" s="460"/>
      <c r="O4" s="2043"/>
      <c r="P4" s="2043"/>
      <c r="Q4" s="2043"/>
      <c r="R4" s="2044"/>
      <c r="S4" s="691"/>
      <c r="T4" s="121"/>
      <c r="U4" s="121"/>
      <c r="V4" s="121"/>
      <c r="W4" s="121"/>
      <c r="X4" s="122"/>
      <c r="Y4" s="122"/>
      <c r="Z4" s="12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5"/>
      <c r="BK4" s="125"/>
      <c r="BL4" s="125"/>
      <c r="BM4" s="125"/>
      <c r="BN4" s="118"/>
      <c r="BO4" s="118"/>
    </row>
    <row r="5" spans="1:67" ht="12.75">
      <c r="B5" s="128" t="s">
        <v>375</v>
      </c>
      <c r="C5" s="587" t="str">
        <f>Community_Name</f>
        <v>Manley Hot Springs</v>
      </c>
      <c r="D5" s="125"/>
      <c r="E5" s="47" t="s">
        <v>1209</v>
      </c>
      <c r="F5" s="1205"/>
      <c r="G5" s="219"/>
      <c r="H5" s="958"/>
      <c r="I5" s="456"/>
      <c r="J5" s="456"/>
      <c r="K5" s="455"/>
      <c r="L5" s="456"/>
      <c r="M5" s="456"/>
      <c r="N5" s="455"/>
      <c r="O5" s="454"/>
      <c r="P5" s="456"/>
      <c r="Q5" s="456"/>
      <c r="R5" s="959"/>
      <c r="S5" s="457"/>
      <c r="T5" s="121"/>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5"/>
      <c r="BK5" s="118"/>
      <c r="BL5" s="118"/>
      <c r="BM5" s="118"/>
      <c r="BN5" s="118"/>
      <c r="BO5" s="118"/>
    </row>
    <row r="6" spans="1:67" ht="12.75">
      <c r="B6" s="128" t="s">
        <v>376</v>
      </c>
      <c r="C6" s="587" t="str">
        <f>'Community data'!B3</f>
        <v>Manley Hot Springs</v>
      </c>
      <c r="D6" s="125"/>
      <c r="E6" s="47" t="s">
        <v>1210</v>
      </c>
      <c r="F6" s="1207" t="str">
        <f>IF(J20="No", "Medium", "High")</f>
        <v>Medium</v>
      </c>
      <c r="G6" s="219"/>
      <c r="H6" s="47"/>
      <c r="I6" s="702" t="s">
        <v>933</v>
      </c>
      <c r="J6" s="847" t="str">
        <f>VLOOKUP(C5,'Water &amp; Sewer Data'!$A$2:$J$400,2,FALSE)</f>
        <v>Watering Point</v>
      </c>
      <c r="K6" s="437"/>
      <c r="L6" s="458"/>
      <c r="M6" s="441"/>
      <c r="N6" s="441"/>
      <c r="O6" s="840"/>
      <c r="P6" s="441"/>
      <c r="Q6" s="459"/>
      <c r="R6" s="960"/>
      <c r="S6" s="435"/>
      <c r="T6" s="121"/>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1"/>
      <c r="BK6" s="118"/>
      <c r="BL6" s="118"/>
      <c r="BM6" s="118"/>
      <c r="BN6" s="118"/>
      <c r="BO6" s="118"/>
    </row>
    <row r="7" spans="1:67" ht="13.5" thickBot="1">
      <c r="B7" s="128" t="s">
        <v>332</v>
      </c>
      <c r="C7" s="587" t="s">
        <v>291</v>
      </c>
      <c r="D7" s="125"/>
      <c r="E7" s="488" t="s">
        <v>1215</v>
      </c>
      <c r="F7" s="1206" t="str">
        <f>IF(J9="Yes", "High", "Medium")</f>
        <v>Medium</v>
      </c>
      <c r="G7" s="219"/>
      <c r="H7" s="47"/>
      <c r="I7" s="436"/>
      <c r="J7" s="841"/>
      <c r="K7" s="437"/>
      <c r="L7" s="458"/>
      <c r="M7" s="441"/>
      <c r="N7" s="441"/>
      <c r="O7" s="840"/>
      <c r="P7" s="389"/>
      <c r="Q7" s="459"/>
      <c r="R7" s="960"/>
      <c r="S7" s="435"/>
      <c r="T7" s="121"/>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1"/>
      <c r="BK7" s="118"/>
      <c r="BL7" s="118"/>
      <c r="BM7" s="118"/>
      <c r="BN7" s="118"/>
      <c r="BO7" s="118"/>
    </row>
    <row r="8" spans="1:67" ht="12.75">
      <c r="B8" s="128" t="s">
        <v>569</v>
      </c>
      <c r="C8" s="587" t="s">
        <v>690</v>
      </c>
      <c r="D8" s="125"/>
      <c r="E8" s="118"/>
      <c r="G8" s="219"/>
      <c r="H8" s="47"/>
      <c r="I8" s="2047" t="s">
        <v>904</v>
      </c>
      <c r="J8" s="2048"/>
      <c r="K8" s="841"/>
      <c r="L8" s="458"/>
      <c r="M8" s="441"/>
      <c r="N8" s="441"/>
      <c r="O8" s="840"/>
      <c r="P8" s="389"/>
      <c r="Q8" s="459"/>
      <c r="R8" s="960"/>
      <c r="S8" s="435"/>
      <c r="T8" s="121"/>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1"/>
      <c r="BK8" s="118"/>
      <c r="BL8" s="118"/>
      <c r="BM8" s="118"/>
      <c r="BN8" s="118"/>
      <c r="BO8" s="118"/>
    </row>
    <row r="9" spans="1:67" ht="12.75">
      <c r="B9" s="128" t="s">
        <v>570</v>
      </c>
      <c r="C9" s="490"/>
      <c r="D9" s="125"/>
      <c r="E9" s="118"/>
      <c r="G9" s="219"/>
      <c r="H9" s="47"/>
      <c r="I9" s="394" t="s">
        <v>897</v>
      </c>
      <c r="J9" s="293" t="str">
        <f>IF(OR(ISNA(VLOOKUP(C5,'Water &amp; Sewer Data'!$A$2:$H$400,6,FALSE)),VLOOKUP(C5,'Water &amp; Sewer Data'!$A$2:$H$400,6,FALSE)=0),"No","Yes")</f>
        <v>No</v>
      </c>
      <c r="K9" s="841"/>
      <c r="L9" s="458"/>
      <c r="M9" s="441"/>
      <c r="N9" s="441"/>
      <c r="O9" s="840"/>
      <c r="P9" s="389"/>
      <c r="Q9" s="459"/>
      <c r="R9" s="960"/>
      <c r="S9" s="435"/>
      <c r="T9" s="121"/>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1"/>
      <c r="BK9" s="118"/>
      <c r="BL9" s="118"/>
      <c r="BM9" s="118"/>
      <c r="BN9" s="118"/>
      <c r="BO9" s="118"/>
    </row>
    <row r="10" spans="1:67" ht="13.5" thickBot="1">
      <c r="B10" s="128"/>
      <c r="C10" s="587"/>
      <c r="D10" s="125"/>
      <c r="E10" s="118"/>
      <c r="G10" s="219"/>
      <c r="H10" s="47"/>
      <c r="I10" s="395" t="s">
        <v>902</v>
      </c>
      <c r="J10" s="293" t="str">
        <f>IF(VLOOKUP($C$5,'Water &amp; Sewer Data'!$A$2:$K$262,11,FALSE)="Yes", "Yes", "No")</f>
        <v>No</v>
      </c>
      <c r="K10" s="656"/>
      <c r="L10" s="2046" t="s">
        <v>1155</v>
      </c>
      <c r="M10" s="2046"/>
      <c r="N10" s="2046"/>
      <c r="O10" s="2046"/>
      <c r="P10" s="389"/>
      <c r="Q10" s="459"/>
      <c r="R10" s="960"/>
      <c r="S10" s="435"/>
      <c r="T10" s="121"/>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1"/>
      <c r="BK10" s="118"/>
      <c r="BL10" s="118"/>
      <c r="BM10" s="118"/>
      <c r="BN10" s="118"/>
      <c r="BO10" s="118"/>
    </row>
    <row r="11" spans="1:67" ht="26.25" thickBot="1">
      <c r="B11" s="128"/>
      <c r="C11" s="588"/>
      <c r="D11" s="125"/>
      <c r="E11" s="118"/>
      <c r="F11" s="135"/>
      <c r="G11" s="219"/>
      <c r="H11" s="1818" t="s">
        <v>2345</v>
      </c>
      <c r="I11" s="1822" t="s">
        <v>2336</v>
      </c>
      <c r="J11" s="1823" t="str">
        <f>IF(VLOOKUP($C$5,'Water &amp; Sewer Data'!$A$2:$L$262,12,FALSE)="Yes", "Yes", "No")</f>
        <v>No</v>
      </c>
      <c r="L11" s="1355"/>
      <c r="M11" s="1356" t="s">
        <v>1156</v>
      </c>
      <c r="N11" s="1356" t="s">
        <v>1157</v>
      </c>
      <c r="O11" s="1357" t="s">
        <v>1101</v>
      </c>
      <c r="P11" s="389"/>
      <c r="Q11" s="459"/>
      <c r="R11" s="960"/>
      <c r="S11" s="435"/>
      <c r="T11" s="121"/>
      <c r="U11" s="12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1"/>
      <c r="BK11" s="118"/>
      <c r="BL11" s="118"/>
      <c r="BM11" s="118"/>
      <c r="BN11" s="118"/>
      <c r="BO11" s="118"/>
    </row>
    <row r="12" spans="1:67" ht="14.25">
      <c r="B12" s="137" t="s">
        <v>360</v>
      </c>
      <c r="C12" s="320" t="s">
        <v>384</v>
      </c>
      <c r="D12" s="306"/>
      <c r="E12" s="306"/>
      <c r="F12" s="118"/>
      <c r="G12" s="219"/>
      <c r="H12" s="47"/>
      <c r="I12" s="394" t="s">
        <v>898</v>
      </c>
      <c r="J12" s="1829">
        <f>IF(J9="Yes",VLOOKUP(C5,'Water &amp; Sewer Data'!$A$2:$H$400,6,FALSE),0)</f>
        <v>0</v>
      </c>
      <c r="K12" s="841"/>
      <c r="L12" s="1358" t="s">
        <v>583</v>
      </c>
      <c r="M12" s="413">
        <f>IF(J9="No",Sanitation_Estimated_Electricity,Sanitation_Actual_Electricity)</f>
        <v>7497.0678019441166</v>
      </c>
      <c r="N12" s="1345">
        <f>M12-O12</f>
        <v>5622.800851458087</v>
      </c>
      <c r="O12" s="1359">
        <f>IF(J20="No",J26,J21)</f>
        <v>1874.2669504860291</v>
      </c>
      <c r="P12" s="389"/>
      <c r="Q12" s="459"/>
      <c r="R12" s="960"/>
      <c r="S12" s="435"/>
      <c r="T12" s="121"/>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1"/>
      <c r="BK12" s="118"/>
      <c r="BL12" s="118"/>
      <c r="BM12" s="118"/>
      <c r="BN12" s="118"/>
      <c r="BO12" s="118"/>
    </row>
    <row r="13" spans="1:67" ht="13.5" thickBot="1">
      <c r="B13" s="128" t="s">
        <v>262</v>
      </c>
      <c r="C13" s="322">
        <f>BI59</f>
        <v>44891.444911090664</v>
      </c>
      <c r="D13" s="136"/>
      <c r="E13" s="136"/>
      <c r="F13" s="118"/>
      <c r="G13" s="219"/>
      <c r="H13" s="957"/>
      <c r="I13" s="394" t="s">
        <v>899</v>
      </c>
      <c r="J13" s="293">
        <f>IF(AND(J9="Yes",J11="Yes"),0,VLOOKUP(C5,'Water &amp; Sewer Data'!$A$2:$H$400,4,FALSE))</f>
        <v>0</v>
      </c>
      <c r="K13" s="9"/>
      <c r="L13" s="1360" t="s">
        <v>1226</v>
      </c>
      <c r="M13" s="1361">
        <f>IF(J9="No",Sanitation_Estimated_Heating_Fuel,Sanitation_Actual_Heating_Fuel)</f>
        <v>1219.9914569861271</v>
      </c>
      <c r="N13" s="1362">
        <f>M13-O13</f>
        <v>792.99444704098266</v>
      </c>
      <c r="O13" s="1363">
        <f>IF(J20="No",J27,J22)</f>
        <v>426.99700994514444</v>
      </c>
      <c r="P13" s="841"/>
      <c r="Q13" s="386"/>
      <c r="R13" s="961"/>
      <c r="S13" s="386"/>
      <c r="T13" s="121"/>
      <c r="U13" s="121"/>
      <c r="V13" s="121"/>
      <c r="W13" s="121"/>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5"/>
      <c r="BK13" s="125"/>
      <c r="BL13" s="125"/>
      <c r="BM13" s="118"/>
      <c r="BN13" s="118"/>
      <c r="BO13" s="118"/>
    </row>
    <row r="14" spans="1:67" ht="12.75">
      <c r="B14" s="128" t="s">
        <v>278</v>
      </c>
      <c r="C14" s="322">
        <f>BI55</f>
        <v>55077.709283606579</v>
      </c>
      <c r="D14" s="136"/>
      <c r="E14" s="136"/>
      <c r="F14" s="118"/>
      <c r="G14" s="219"/>
      <c r="H14" s="957"/>
      <c r="I14" s="466" t="s">
        <v>903</v>
      </c>
      <c r="J14" s="1364">
        <f>IF(J9="Yes",VLOOKUP(C5,'Water &amp; Sewer Data'!$A$2:$J$400,9,FALSE),0)</f>
        <v>0</v>
      </c>
      <c r="K14" s="121"/>
      <c r="L14" s="467"/>
      <c r="M14" s="841"/>
      <c r="N14" s="841"/>
      <c r="O14" s="385"/>
      <c r="P14" s="841"/>
      <c r="Q14" s="841"/>
      <c r="R14" s="961"/>
      <c r="S14" s="121"/>
      <c r="T14" s="121"/>
      <c r="U14" s="121"/>
      <c r="V14" s="121"/>
      <c r="W14" s="121"/>
      <c r="X14" s="121"/>
      <c r="Y14" s="121"/>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2"/>
      <c r="BJ14" s="125"/>
      <c r="BK14" s="125"/>
      <c r="BL14" s="125"/>
      <c r="BM14" s="125"/>
      <c r="BN14" s="125"/>
      <c r="BO14" s="118"/>
    </row>
    <row r="15" spans="1:67" ht="13.5" thickBot="1">
      <c r="B15" s="128" t="s">
        <v>759</v>
      </c>
      <c r="C15" s="323">
        <f>IF(Eff_WW_NPV_Capital_Costs&gt;0,C13/C14,0)</f>
        <v>0.81505649917165723</v>
      </c>
      <c r="D15" s="136"/>
      <c r="E15" s="136"/>
      <c r="F15" s="118"/>
      <c r="G15" s="219"/>
      <c r="H15" s="957"/>
      <c r="I15" s="395"/>
      <c r="J15" s="1365"/>
      <c r="K15" s="121"/>
      <c r="L15" s="467"/>
      <c r="M15" s="9"/>
      <c r="N15" s="387"/>
      <c r="O15" s="387"/>
      <c r="P15" s="9"/>
      <c r="Q15" s="9"/>
      <c r="R15" s="962"/>
      <c r="S15" s="121"/>
      <c r="T15" s="1987"/>
      <c r="U15" s="1987"/>
      <c r="V15" s="121"/>
      <c r="W15" s="121"/>
      <c r="X15" s="121"/>
      <c r="Y15" s="121"/>
      <c r="Z15" s="121"/>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2"/>
      <c r="BJ15" s="125"/>
      <c r="BK15" s="125"/>
      <c r="BL15" s="125"/>
      <c r="BM15" s="125"/>
      <c r="BN15" s="125"/>
      <c r="BO15" s="125"/>
    </row>
    <row r="16" spans="1:67" ht="12.75">
      <c r="A16" s="121"/>
      <c r="B16" s="140" t="s">
        <v>290</v>
      </c>
      <c r="C16" s="207">
        <f>BI62</f>
        <v>-10186.264372515927</v>
      </c>
      <c r="D16" s="136"/>
      <c r="E16" s="136"/>
      <c r="F16" s="118"/>
      <c r="G16" s="219"/>
      <c r="H16" s="377"/>
      <c r="I16" s="394" t="s">
        <v>900</v>
      </c>
      <c r="J16" s="665">
        <f>IF(AND(J9="No",OR(J6="Circulating/Gravity",J6="Circulating/Pressure",J6="Circulating/ST/DF")),J3*Assumptions!B82+Assumptions!B83*'Eff (W &amp; WW)'!J4,IF(AND(J9="No",OR(J6="Circulating/Vacuum",J6="Closed Haul/Vacuum")),J3*Assumptions!D82+Assumptions!D83*'Eff (W &amp; WW)'!J4,IF(AND(J9="No",OR(J6="Watering Point",J6="Closed Haul/Closed Haul")),J3*Assumptions!F82+Assumptions!F83*'Eff (W &amp; WW)'!J4,IF(AND(J9="No",OR(J6="Pressure/Gravity",J6="Pressure/NA",J6="Pressure/ST/DF")),J3*Assumptions!H82+Assumptions!H83*'Eff (W &amp; WW)'!J4,IF(AND(J9="No",OR(J6="Washeteria",J6="Washeteria/Honey Bucket")),J3*Assumptions!J82+Assumptions!J83*'Eff (W &amp; WW)'!J4,IF(AND(J9="No",OR(J6="Wells/NA",J6="Wells/ST/DF",J6="Wells/ST/OF",J6="Wells/Gravity")),"N/A"))))))</f>
        <v>7497.0678019441166</v>
      </c>
      <c r="K16" s="1791">
        <f>IF(J6="Circulating/Gravity",Assumptions!B83, IF(J6="Circulating/Vacuum",Assumptions!D83,IF(OR(J6="Watering Point",J6="Haul"),Assumptions!F83,IF(J6="Pressure/Gravity",Assumptions!H83,IF(J6="Washeteria/Honey Bucket",Assumptions!J83)))))</f>
        <v>84.236716875776594</v>
      </c>
      <c r="L16" s="467"/>
      <c r="M16" s="136"/>
      <c r="N16" s="136"/>
      <c r="O16" s="136"/>
      <c r="P16" s="136"/>
      <c r="Q16" s="136"/>
      <c r="R16" s="351"/>
      <c r="X16" s="121"/>
      <c r="Y16" s="121"/>
      <c r="Z16" s="121"/>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5"/>
      <c r="BK16" s="125"/>
      <c r="BL16" s="125"/>
      <c r="BM16" s="125"/>
      <c r="BN16" s="125"/>
      <c r="BO16" s="125"/>
    </row>
    <row r="17" spans="1:67" ht="13.5" thickBot="1">
      <c r="A17" s="121"/>
      <c r="B17" s="324"/>
      <c r="C17" s="325"/>
      <c r="D17" s="136"/>
      <c r="E17" s="136"/>
      <c r="F17" s="118"/>
      <c r="G17" s="219"/>
      <c r="H17" s="377"/>
      <c r="I17" s="1725" t="s">
        <v>901</v>
      </c>
      <c r="J17" s="1826">
        <f>IF(AND(J9="No",OR(J6="Circulating/Pressure",J6="Circulating/ST/DF",J6="Circulating/Gravity")),J3*Assumptions!C82+Assumptions!C83*'Eff (W &amp; WW)'!J4, IF(AND(J9="No",OR(J6="Closed Haul/Vacuum",J6="Circulating/Vacuum")),J3*Assumptions!E82+Assumptions!E83*'Eff (W &amp; WW)'!J4,IF(AND(J9="No",OR(J6="Watering Point",J6="Closed Haul/Closed Haul")),J3*Assumptions!G82+Assumptions!G83*'Eff (W &amp; WW)'!J4,IF(AND(J9="No",OR(J6="Presure/NA",J6="Pressure/ST/DF",J6="Pressure/Gravity")),J3*Assumptions!I82+Assumptions!I83*'Eff (W &amp; WW)'!J4,IF(AND(J9="No",J6="Washeteria"),J3*Assumptions!K82+Assumptions!K83*'Eff (W &amp; WW)'!J4,IF(AND(J9="No",OR(J6="Wells/NA",J6="Wells/ST/DF",J6="Wells/ST/OF",J6="None",J6="Wells/Gravity")),"N/A"))))))*IF(J10="Yes",0.5,1)*IF(J11="Yes",0,1)</f>
        <v>1219.9914569861271</v>
      </c>
      <c r="K17" s="1791">
        <f>IF(J6="Circulating/Gravity",Assumptions!C83,IF(J6="Circulating/Vacuum",Assumptions!E83,IF(OR(J6="Watering Point",J6="Haul"),Assumptions!G83,IF(J6="Pressure/Gravity",Assumptions!I83,IF(J6="Washeteria/Honey Bucket",Assumptions!K83)))))*IF(J10="Yes",0.5,1)</f>
        <v>13.707769179619405</v>
      </c>
      <c r="L17" s="467"/>
      <c r="M17" s="136"/>
      <c r="N17" s="136"/>
      <c r="O17" s="136"/>
      <c r="P17" s="136"/>
      <c r="Q17" s="136"/>
      <c r="R17" s="351"/>
      <c r="X17" s="121"/>
      <c r="Y17" s="121"/>
      <c r="Z17" s="121"/>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2"/>
      <c r="BJ17" s="125"/>
      <c r="BK17" s="125"/>
      <c r="BL17" s="125"/>
      <c r="BM17" s="125"/>
      <c r="BN17" s="125"/>
      <c r="BO17" s="125"/>
    </row>
    <row r="18" spans="1:67" ht="27" thickBot="1">
      <c r="B18" s="138"/>
      <c r="C18" s="145"/>
      <c r="D18" s="136"/>
      <c r="E18" s="136"/>
      <c r="F18" s="118"/>
      <c r="G18" s="219"/>
      <c r="H18" s="1818" t="s">
        <v>2345</v>
      </c>
      <c r="I18" s="1827" t="s">
        <v>2338</v>
      </c>
      <c r="J18" s="1830">
        <f>IF(AND(VLOOKUP(C5,'Water &amp; Sewer Data'!$A$2:$H$400,4,FALSE)&gt;0,J11="Yes"),VLOOKUP(C5,'Water &amp; Sewer Data'!$A$2:$H$400,4,FALSE)*0.138/16,IF(AND(J9="No",OR(J6="Circulating/Pressure",J6="Circulating/ST/DF",J6="Circulating/Gravity")),J3*Assumptions!C82+Assumptions!C83*'Eff (W &amp; WW)'!J4,IF(AND(J9="No",OR(J6="Closed Haul/Vacuum",J6="Circulating/Vacuum")),J3*Assumptions!E82+Assumptions!E83*'Eff (W &amp; WW)'!J4,IF(AND(J9="No",OR(J6="Watering Point",J6="Closed Haul/Closed Haul")),J3*Assumptions!G82+Assumptions!G83*'Eff (W &amp; WW)'!J4,IF(AND(J9="No",OR(J6="Presure/NA",J6="Pressure/ST/DF",J6="Pressure/Gravity")),J3*Assumptions!I82+Assumptions!I83*'Eff (W &amp; WW)'!J4,IF(AND(J9="No",J6="Washeteria"),J3*Assumptions!K82+Assumptions!K83*'Eff (W &amp; WW)'!J4,IF(AND(J9="No",OR(J6="Wells/NA",J6="Wells/ST/DF",J6="Wells/ST/OF",J6="None",J6="Wells/Gravity")),"N/A"))))))*IF(J11="Yes",0.138/16,0))</f>
        <v>0</v>
      </c>
      <c r="K18" s="1790"/>
      <c r="L18" s="839"/>
      <c r="M18" s="136"/>
      <c r="N18" s="136"/>
      <c r="O18" s="136"/>
      <c r="P18" s="136"/>
      <c r="Q18" s="136"/>
      <c r="R18" s="351"/>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2"/>
      <c r="BJ18" s="125"/>
      <c r="BK18" s="125"/>
      <c r="BL18" s="125"/>
      <c r="BM18" s="125"/>
      <c r="BN18" s="125"/>
      <c r="BO18" s="125"/>
    </row>
    <row r="19" spans="1:67">
      <c r="B19" s="137" t="s">
        <v>361</v>
      </c>
      <c r="C19" s="314" t="s">
        <v>271</v>
      </c>
      <c r="D19" s="315" t="s">
        <v>384</v>
      </c>
      <c r="E19" s="307"/>
      <c r="F19" s="306"/>
      <c r="G19" s="219"/>
      <c r="H19" s="377"/>
      <c r="I19" s="1789" t="s">
        <v>905</v>
      </c>
      <c r="J19" s="1789"/>
      <c r="K19" s="121"/>
      <c r="L19" s="839"/>
      <c r="M19" s="136"/>
      <c r="N19" s="136"/>
      <c r="O19" s="136"/>
      <c r="P19" s="136"/>
      <c r="Q19" s="136"/>
      <c r="R19" s="351"/>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2"/>
      <c r="BJ19" s="125"/>
      <c r="BK19" s="125"/>
      <c r="BL19" s="125"/>
      <c r="BM19" s="125"/>
      <c r="BN19" s="125"/>
      <c r="BO19" s="125"/>
    </row>
    <row r="20" spans="1:67" ht="12.75">
      <c r="B20" s="316" t="s">
        <v>362</v>
      </c>
      <c r="C20" s="208" t="s">
        <v>266</v>
      </c>
      <c r="D20" s="606">
        <f>IF(SUM(F67:BH67)&gt;0,SUM(F67:BH67)/COUNTIF(F67:BH67,"&gt;0"),0)</f>
        <v>5659.6242255736543</v>
      </c>
      <c r="E20" s="121"/>
      <c r="F20" s="136"/>
      <c r="G20" s="219"/>
      <c r="H20" s="377"/>
      <c r="I20" s="1347" t="s">
        <v>906</v>
      </c>
      <c r="J20" s="226" t="str">
        <f>IF(ISNA(VLOOKUP(C5,'Water &amp; Sewer Data'!$A$2:$H$63,5,FALSE)),"No",IF(VLOOKUP(C5,'Water &amp; Sewer Data'!$A$2:$H$63,5,FALSE)=0,"No","Yes"))</f>
        <v>No</v>
      </c>
      <c r="K20" s="121"/>
      <c r="L20" s="841"/>
      <c r="M20" s="841"/>
      <c r="N20" s="2045"/>
      <c r="O20" s="2045"/>
      <c r="P20" s="286"/>
      <c r="Q20" s="286"/>
      <c r="R20" s="956"/>
      <c r="S20" s="421"/>
      <c r="T20" s="421"/>
      <c r="U20" s="138"/>
      <c r="V20" s="138"/>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5"/>
      <c r="BK20" s="125"/>
      <c r="BL20" s="125"/>
      <c r="BM20" s="125"/>
      <c r="BN20" s="125"/>
      <c r="BO20" s="125"/>
    </row>
    <row r="21" spans="1:67" ht="26.25" thickBot="1">
      <c r="B21" s="316" t="s">
        <v>362</v>
      </c>
      <c r="C21" s="209" t="s">
        <v>363</v>
      </c>
      <c r="D21" s="607">
        <f>SUM(F67:BH67)</f>
        <v>84894.36338360481</v>
      </c>
      <c r="E21" s="121"/>
      <c r="F21" s="136"/>
      <c r="G21" s="219"/>
      <c r="H21" s="377"/>
      <c r="I21" s="1347" t="s">
        <v>907</v>
      </c>
      <c r="J21" s="1348">
        <f>IF($J$20="Yes",Sanitation_Actual_Electricity-VLOOKUP($C$5,'Water &amp; Sewer Data'!$A$2:$H$63,7,FALSE),0)</f>
        <v>0</v>
      </c>
      <c r="K21" s="121"/>
      <c r="L21" s="122"/>
      <c r="M21" s="122"/>
      <c r="N21" s="450"/>
      <c r="O21" s="450"/>
      <c r="P21" s="450"/>
      <c r="Q21" s="450"/>
      <c r="R21" s="963"/>
      <c r="S21" s="450"/>
      <c r="T21" s="450"/>
      <c r="U21" s="450"/>
      <c r="V21" s="450"/>
      <c r="W21" s="450"/>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5"/>
      <c r="BK21" s="125"/>
      <c r="BL21" s="125"/>
      <c r="BM21" s="125"/>
      <c r="BN21" s="125"/>
      <c r="BO21" s="125"/>
    </row>
    <row r="22" spans="1:67" ht="25.5">
      <c r="B22" s="316" t="s">
        <v>364</v>
      </c>
      <c r="C22" s="209" t="s">
        <v>268</v>
      </c>
      <c r="D22" s="606" t="e">
        <f>#REF!</f>
        <v>#REF!</v>
      </c>
      <c r="E22" s="121"/>
      <c r="F22" s="136"/>
      <c r="G22" s="219"/>
      <c r="H22" s="377"/>
      <c r="I22" s="1347" t="s">
        <v>908</v>
      </c>
      <c r="J22" s="1348">
        <f>IF($J$20="Yes",Sanitation_Actual_Heating_Fuel-VLOOKUP($C$5,'Water &amp; Sewer Data'!$A$2:$H$63,5,FALSE),0)</f>
        <v>0</v>
      </c>
      <c r="K22" s="122"/>
      <c r="L22" s="1984" t="s">
        <v>835</v>
      </c>
      <c r="M22" s="1985"/>
      <c r="N22" s="1986"/>
      <c r="O22" s="121"/>
      <c r="P22" s="122"/>
      <c r="Q22" s="122"/>
      <c r="R22" s="956"/>
      <c r="S22" s="138"/>
      <c r="T22" s="138"/>
      <c r="U22" s="138"/>
      <c r="V22" s="138"/>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5"/>
      <c r="BK22" s="125"/>
      <c r="BL22" s="125"/>
      <c r="BM22" s="125"/>
      <c r="BN22" s="125"/>
      <c r="BO22" s="125"/>
    </row>
    <row r="23" spans="1:67" ht="64.5" thickBot="1">
      <c r="B23" s="318" t="s">
        <v>364</v>
      </c>
      <c r="C23" s="319" t="s">
        <v>365</v>
      </c>
      <c r="D23" s="1208" t="e">
        <f>D22*#REF!</f>
        <v>#REF!</v>
      </c>
      <c r="E23" s="121"/>
      <c r="F23" s="136"/>
      <c r="G23" s="219"/>
      <c r="H23" s="377"/>
      <c r="I23" s="1349" t="s">
        <v>1089</v>
      </c>
      <c r="J23" s="1348">
        <f>IF($J$20="Yes",VLOOKUP($C$5,'Water &amp; Sewer Data'!$A$2:$H$63,8,FALSE),0)</f>
        <v>0</v>
      </c>
      <c r="K23" s="121"/>
      <c r="L23" s="937" t="s">
        <v>332</v>
      </c>
      <c r="M23" s="728" t="s">
        <v>1312</v>
      </c>
      <c r="N23" s="938" t="s">
        <v>1154</v>
      </c>
      <c r="O23" s="121"/>
      <c r="P23" s="454" t="s">
        <v>1313</v>
      </c>
      <c r="Q23" s="122"/>
      <c r="R23" s="956"/>
      <c r="S23" s="138"/>
      <c r="T23" s="138"/>
      <c r="U23" s="693"/>
      <c r="V23" s="138"/>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c r="AX23" s="122"/>
      <c r="AY23" s="122"/>
      <c r="AZ23" s="122"/>
      <c r="BA23" s="122"/>
      <c r="BB23" s="122"/>
      <c r="BC23" s="122"/>
      <c r="BD23" s="122"/>
      <c r="BE23" s="122"/>
      <c r="BF23" s="122"/>
      <c r="BG23" s="122"/>
      <c r="BH23" s="122"/>
      <c r="BI23" s="122"/>
      <c r="BJ23" s="125"/>
      <c r="BK23" s="125"/>
      <c r="BL23" s="125"/>
      <c r="BM23" s="125"/>
      <c r="BN23" s="125"/>
      <c r="BO23" s="125"/>
    </row>
    <row r="24" spans="1:67" thickBot="1">
      <c r="B24" s="138"/>
      <c r="D24" s="1388"/>
      <c r="E24" s="122"/>
      <c r="F24" s="125"/>
      <c r="G24" s="145"/>
      <c r="H24" s="377"/>
      <c r="I24" s="121"/>
      <c r="J24" s="121"/>
      <c r="K24" s="121"/>
      <c r="L24" s="512" t="s">
        <v>728</v>
      </c>
      <c r="M24" s="729">
        <f>N24*$P$24</f>
        <v>503.99999999999994</v>
      </c>
      <c r="N24" s="939">
        <v>1.4</v>
      </c>
      <c r="O24" s="121"/>
      <c r="P24" s="1409">
        <f>450/1.25</f>
        <v>360</v>
      </c>
      <c r="Q24" s="122"/>
      <c r="R24" s="956"/>
      <c r="S24" s="422"/>
      <c r="T24" s="422"/>
      <c r="U24" s="693"/>
      <c r="V24" s="138"/>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c r="AX24" s="122"/>
      <c r="AY24" s="122"/>
      <c r="AZ24" s="122"/>
      <c r="BA24" s="122"/>
      <c r="BB24" s="122"/>
      <c r="BC24" s="122"/>
      <c r="BD24" s="122"/>
      <c r="BE24" s="122"/>
      <c r="BF24" s="122"/>
      <c r="BG24" s="122"/>
      <c r="BH24" s="122"/>
      <c r="BI24" s="122"/>
      <c r="BJ24" s="125"/>
      <c r="BK24" s="125"/>
      <c r="BL24" s="125"/>
      <c r="BM24" s="125"/>
      <c r="BN24" s="125"/>
      <c r="BO24" s="125"/>
    </row>
    <row r="25" spans="1:67" ht="12.75">
      <c r="B25" s="138"/>
      <c r="C25" s="145"/>
      <c r="D25" s="450"/>
      <c r="E25" s="121"/>
      <c r="F25" s="136"/>
      <c r="G25" s="219"/>
      <c r="H25" s="377"/>
      <c r="I25" s="481" t="s">
        <v>911</v>
      </c>
      <c r="J25" s="483"/>
      <c r="K25" s="121"/>
      <c r="L25" s="512" t="s">
        <v>729</v>
      </c>
      <c r="M25" s="729">
        <f t="shared" ref="M25:M32" si="0">N25*$P$24</f>
        <v>648</v>
      </c>
      <c r="N25" s="940">
        <v>1.8</v>
      </c>
      <c r="O25" s="121"/>
      <c r="P25" s="122"/>
      <c r="Q25" s="122"/>
      <c r="R25" s="956"/>
      <c r="S25" s="421"/>
      <c r="T25" s="421"/>
      <c r="U25" s="421"/>
      <c r="V25" s="138"/>
      <c r="W25" s="122"/>
      <c r="X25" s="122"/>
      <c r="Y25" s="122"/>
      <c r="Z25" s="122"/>
      <c r="AA25" s="122"/>
      <c r="AB25" s="122"/>
      <c r="AC25" s="122"/>
      <c r="AD25" s="122"/>
      <c r="AE25" s="122"/>
      <c r="AF25" s="122"/>
      <c r="AG25" s="122"/>
      <c r="AH25" s="122"/>
      <c r="AI25" s="122"/>
      <c r="AJ25" s="122"/>
      <c r="AK25" s="122"/>
      <c r="AL25" s="122"/>
      <c r="AM25" s="122"/>
      <c r="AN25" s="122"/>
      <c r="AO25" s="122"/>
      <c r="AP25" s="122"/>
      <c r="AQ25" s="122"/>
      <c r="AR25" s="122"/>
      <c r="AS25" s="122"/>
      <c r="AT25" s="122"/>
      <c r="AU25" s="122"/>
      <c r="AV25" s="122"/>
      <c r="AW25" s="122"/>
      <c r="AX25" s="122"/>
      <c r="AY25" s="122"/>
      <c r="AZ25" s="122"/>
      <c r="BA25" s="122"/>
      <c r="BB25" s="122"/>
      <c r="BC25" s="122"/>
      <c r="BD25" s="122"/>
      <c r="BE25" s="122"/>
      <c r="BF25" s="122"/>
      <c r="BG25" s="122"/>
      <c r="BH25" s="122"/>
      <c r="BI25" s="122"/>
      <c r="BJ25" s="125"/>
      <c r="BK25" s="125"/>
      <c r="BL25" s="125"/>
      <c r="BM25" s="125"/>
      <c r="BN25" s="125"/>
      <c r="BO25" s="125"/>
    </row>
    <row r="26" spans="1:67" ht="25.5">
      <c r="B26" s="138"/>
      <c r="C26" s="145"/>
      <c r="D26" s="450" t="e">
        <f>D22*'[1]Carbon Pricing'!$C$26+D24*'[1]Carbon Pricing'!$C$27</f>
        <v>#REF!</v>
      </c>
      <c r="E26" s="121"/>
      <c r="F26" s="136"/>
      <c r="G26" s="219"/>
      <c r="H26" s="377"/>
      <c r="I26" s="1350" t="s">
        <v>928</v>
      </c>
      <c r="J26" s="1351">
        <f>IF(AND(J20="No",J9="No"),J16*0.25, IF(AND(J9="Yes",J20="No"), J12*0.25,0))</f>
        <v>1874.2669504860291</v>
      </c>
      <c r="K26" s="121"/>
      <c r="L26" s="512" t="s">
        <v>730</v>
      </c>
      <c r="M26" s="729">
        <f t="shared" si="0"/>
        <v>450</v>
      </c>
      <c r="N26" s="940">
        <v>1.25</v>
      </c>
      <c r="O26" s="121"/>
      <c r="P26" s="122"/>
      <c r="Q26" s="122"/>
      <c r="R26" s="956"/>
      <c r="S26" s="690"/>
      <c r="T26" s="690"/>
      <c r="U26" s="453"/>
      <c r="V26" s="453"/>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5"/>
      <c r="BK26" s="125"/>
      <c r="BL26" s="125"/>
      <c r="BM26" s="125"/>
      <c r="BN26" s="125"/>
      <c r="BO26" s="125"/>
    </row>
    <row r="27" spans="1:67" ht="26.25" thickBot="1">
      <c r="B27" s="138"/>
      <c r="C27" s="145"/>
      <c r="D27" s="450" t="e">
        <f>D23*'[1]Carbon Pricing'!$C$26+D25*'[1]Carbon Pricing'!$C$27</f>
        <v>#REF!</v>
      </c>
      <c r="E27" s="121"/>
      <c r="F27" s="136"/>
      <c r="G27" s="219"/>
      <c r="H27" s="377"/>
      <c r="I27" s="1350" t="s">
        <v>929</v>
      </c>
      <c r="J27" s="1351">
        <f>IF(AND(J9="No",J20="No"),J17*0.35,IF(AND(J9="Yes",J20="No"),J13*0.35,0))</f>
        <v>426.99700994514444</v>
      </c>
      <c r="K27" s="726"/>
      <c r="L27" s="512" t="s">
        <v>731</v>
      </c>
      <c r="M27" s="729">
        <f t="shared" si="0"/>
        <v>396.00000000000006</v>
      </c>
      <c r="N27" s="940">
        <v>1.1000000000000001</v>
      </c>
      <c r="O27" s="121"/>
      <c r="P27" s="122"/>
      <c r="Q27" s="122"/>
      <c r="R27" s="956"/>
      <c r="S27" s="453"/>
      <c r="T27" s="453"/>
      <c r="U27" s="138"/>
      <c r="V27" s="138"/>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c r="AX27" s="122"/>
      <c r="AY27" s="122"/>
      <c r="AZ27" s="122"/>
      <c r="BA27" s="122"/>
      <c r="BB27" s="122"/>
      <c r="BC27" s="122"/>
      <c r="BD27" s="122"/>
      <c r="BE27" s="122"/>
      <c r="BF27" s="122"/>
      <c r="BG27" s="122"/>
      <c r="BH27" s="122"/>
      <c r="BI27" s="122"/>
      <c r="BJ27" s="125"/>
      <c r="BK27" s="125"/>
      <c r="BL27" s="125"/>
      <c r="BM27" s="125"/>
      <c r="BN27" s="125"/>
      <c r="BO27" s="125"/>
    </row>
    <row r="28" spans="1:67" ht="26.25" thickBot="1">
      <c r="B28" s="143"/>
      <c r="C28" s="143"/>
      <c r="D28" s="1646"/>
      <c r="E28" s="121"/>
      <c r="F28" s="136"/>
      <c r="G28" s="219"/>
      <c r="H28" s="1818" t="s">
        <v>2345</v>
      </c>
      <c r="I28" s="1824" t="s">
        <v>2337</v>
      </c>
      <c r="J28" s="1825">
        <f>J18*0.35</f>
        <v>0</v>
      </c>
      <c r="K28" s="96"/>
      <c r="L28" s="512" t="s">
        <v>549</v>
      </c>
      <c r="M28" s="729">
        <f t="shared" si="0"/>
        <v>424.79999999999995</v>
      </c>
      <c r="N28" s="940">
        <v>1.18</v>
      </c>
      <c r="O28" s="121"/>
      <c r="P28" s="122"/>
      <c r="Q28" s="122"/>
      <c r="R28" s="956"/>
      <c r="S28" s="138"/>
      <c r="T28" s="138"/>
      <c r="U28" s="138"/>
      <c r="V28" s="121"/>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c r="AX28" s="122"/>
      <c r="AY28" s="122"/>
      <c r="AZ28" s="122"/>
      <c r="BA28" s="122"/>
      <c r="BB28" s="122"/>
      <c r="BC28" s="122"/>
      <c r="BD28" s="122"/>
      <c r="BE28" s="122"/>
      <c r="BF28" s="122"/>
      <c r="BG28" s="122"/>
      <c r="BH28" s="122"/>
      <c r="BI28" s="122"/>
      <c r="BJ28" s="125"/>
      <c r="BK28" s="125"/>
      <c r="BL28" s="125"/>
      <c r="BM28" s="125"/>
      <c r="BN28" s="125"/>
      <c r="BO28" s="125"/>
    </row>
    <row r="29" spans="1:67" ht="25.5">
      <c r="B29" s="149" t="s">
        <v>366</v>
      </c>
      <c r="C29" s="150" t="s">
        <v>271</v>
      </c>
      <c r="D29" s="1647" t="s">
        <v>384</v>
      </c>
      <c r="E29" s="307"/>
      <c r="F29" s="306"/>
      <c r="G29" s="219"/>
      <c r="H29" s="377"/>
      <c r="I29" s="1352" t="s">
        <v>909</v>
      </c>
      <c r="J29" s="1353">
        <f>IF(J20="No",10000,0)</f>
        <v>10000</v>
      </c>
      <c r="K29" s="387"/>
      <c r="L29" s="512" t="s">
        <v>732</v>
      </c>
      <c r="M29" s="729">
        <f t="shared" si="0"/>
        <v>576</v>
      </c>
      <c r="N29" s="940">
        <v>1.6</v>
      </c>
      <c r="O29" s="391"/>
      <c r="P29" s="122"/>
      <c r="Q29" s="122"/>
      <c r="R29" s="956"/>
      <c r="S29" s="138"/>
      <c r="T29" s="138"/>
      <c r="U29" s="138"/>
      <c r="V29" s="121"/>
      <c r="W29" s="122"/>
      <c r="X29" s="122"/>
      <c r="Y29" s="122"/>
      <c r="Z29" s="122"/>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c r="AX29" s="122"/>
      <c r="AY29" s="122"/>
      <c r="AZ29" s="122"/>
      <c r="BA29" s="122"/>
      <c r="BB29" s="122"/>
      <c r="BC29" s="122"/>
      <c r="BD29" s="122"/>
      <c r="BE29" s="122"/>
      <c r="BF29" s="122"/>
      <c r="BG29" s="122"/>
      <c r="BH29" s="122"/>
      <c r="BI29" s="122"/>
      <c r="BJ29" s="125"/>
      <c r="BK29" s="125"/>
      <c r="BL29" s="125"/>
      <c r="BM29" s="125"/>
      <c r="BN29" s="125"/>
      <c r="BO29" s="125"/>
    </row>
    <row r="30" spans="1:67" ht="12.75">
      <c r="B30" s="128" t="s">
        <v>6</v>
      </c>
      <c r="C30" s="138" t="s">
        <v>287</v>
      </c>
      <c r="D30" s="590">
        <f>IF(J20="No",J30,J23)</f>
        <v>54855.999999999993</v>
      </c>
      <c r="E30" s="121"/>
      <c r="F30" s="136"/>
      <c r="G30" s="219"/>
      <c r="H30" s="377"/>
      <c r="I30" s="1350" t="s">
        <v>967</v>
      </c>
      <c r="J30" s="1354">
        <f>IF(J20="No",J4*M38)+J29</f>
        <v>54855.999999999993</v>
      </c>
      <c r="K30" s="329"/>
      <c r="L30" s="512" t="s">
        <v>733</v>
      </c>
      <c r="M30" s="729">
        <f t="shared" si="0"/>
        <v>648</v>
      </c>
      <c r="N30" s="940">
        <v>1.8</v>
      </c>
      <c r="O30" s="391"/>
      <c r="P30" s="122"/>
      <c r="Q30" s="122"/>
      <c r="R30" s="956"/>
      <c r="S30" s="138"/>
      <c r="T30" s="138"/>
      <c r="U30" s="138"/>
      <c r="V30" s="121"/>
      <c r="W30" s="122"/>
      <c r="X30" s="122"/>
      <c r="Y30" s="122"/>
      <c r="Z30" s="12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c r="AX30" s="122"/>
      <c r="AY30" s="122"/>
      <c r="AZ30" s="122"/>
      <c r="BA30" s="122"/>
      <c r="BB30" s="122"/>
      <c r="BC30" s="122"/>
      <c r="BD30" s="122"/>
      <c r="BE30" s="122"/>
      <c r="BF30" s="122"/>
      <c r="BG30" s="122"/>
      <c r="BH30" s="122"/>
      <c r="BI30" s="122"/>
      <c r="BJ30" s="125"/>
      <c r="BK30" s="125"/>
      <c r="BL30" s="125"/>
      <c r="BM30" s="125"/>
      <c r="BN30" s="125"/>
      <c r="BO30" s="125"/>
    </row>
    <row r="31" spans="1:67" ht="12.75">
      <c r="B31" s="128" t="s">
        <v>286</v>
      </c>
      <c r="C31" s="138" t="s">
        <v>333</v>
      </c>
      <c r="D31" s="589">
        <v>2015</v>
      </c>
      <c r="E31" s="118"/>
      <c r="G31" s="219"/>
      <c r="H31" s="377"/>
      <c r="K31" s="136"/>
      <c r="L31" s="512" t="s">
        <v>734</v>
      </c>
      <c r="M31" s="729">
        <f t="shared" si="0"/>
        <v>612</v>
      </c>
      <c r="N31" s="940">
        <v>1.7</v>
      </c>
      <c r="O31" s="392"/>
      <c r="P31" s="122"/>
      <c r="Q31" s="122"/>
      <c r="R31" s="956"/>
      <c r="S31" s="138"/>
      <c r="T31" s="138"/>
      <c r="U31" s="121"/>
      <c r="V31" s="121"/>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c r="AX31" s="122"/>
      <c r="AY31" s="122"/>
      <c r="AZ31" s="122"/>
      <c r="BA31" s="122"/>
      <c r="BB31" s="122"/>
      <c r="BC31" s="122"/>
      <c r="BD31" s="122"/>
      <c r="BE31" s="122"/>
      <c r="BF31" s="122"/>
      <c r="BG31" s="122"/>
      <c r="BH31" s="122"/>
      <c r="BI31" s="122"/>
      <c r="BJ31" s="125"/>
      <c r="BK31" s="125"/>
      <c r="BL31" s="125"/>
      <c r="BM31" s="125"/>
      <c r="BN31" s="125"/>
      <c r="BO31" s="125"/>
    </row>
    <row r="32" spans="1:67" ht="12.75">
      <c r="B32" s="128" t="s">
        <v>279</v>
      </c>
      <c r="C32" s="138" t="s">
        <v>280</v>
      </c>
      <c r="D32" s="610">
        <v>15</v>
      </c>
      <c r="E32" s="118"/>
      <c r="G32" s="219"/>
      <c r="H32" s="377"/>
      <c r="I32" s="136"/>
      <c r="J32" s="136"/>
      <c r="K32" s="136"/>
      <c r="L32" s="512" t="s">
        <v>476</v>
      </c>
      <c r="M32" s="729">
        <f t="shared" si="0"/>
        <v>413.99999999999994</v>
      </c>
      <c r="N32" s="940">
        <v>1.1499999999999999</v>
      </c>
      <c r="O32" s="121"/>
      <c r="P32" s="122"/>
      <c r="Q32" s="122"/>
      <c r="R32" s="956"/>
      <c r="S32" s="138"/>
      <c r="T32" s="138"/>
      <c r="U32" s="454"/>
      <c r="V32" s="121"/>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c r="BJ32" s="125"/>
      <c r="BK32" s="125"/>
      <c r="BL32" s="125"/>
      <c r="BM32" s="125"/>
      <c r="BN32" s="125"/>
      <c r="BO32" s="125"/>
    </row>
    <row r="33" spans="2:67" ht="12.75">
      <c r="B33" s="128" t="s">
        <v>387</v>
      </c>
      <c r="C33" s="138" t="s">
        <v>388</v>
      </c>
      <c r="D33" s="596"/>
      <c r="E33" s="118"/>
      <c r="G33" s="219"/>
      <c r="H33" s="377"/>
      <c r="I33" s="125"/>
      <c r="J33" s="136"/>
      <c r="K33" s="136"/>
      <c r="L33" s="9"/>
      <c r="M33" s="9"/>
      <c r="N33" s="9"/>
      <c r="O33" s="387"/>
      <c r="P33" s="121"/>
      <c r="Q33" s="121"/>
      <c r="R33" s="487"/>
      <c r="S33" s="125"/>
      <c r="T33" s="125"/>
      <c r="U33" s="125"/>
      <c r="V33" s="125"/>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2.75">
      <c r="B34" s="128" t="s">
        <v>389</v>
      </c>
      <c r="C34" s="138" t="s">
        <v>352</v>
      </c>
      <c r="D34" s="595"/>
      <c r="E34" s="118"/>
      <c r="G34" s="219"/>
      <c r="H34" s="377"/>
      <c r="I34" s="125"/>
      <c r="J34" s="136"/>
      <c r="K34" s="136"/>
      <c r="L34" s="9"/>
      <c r="M34" s="9"/>
      <c r="N34" s="9"/>
      <c r="O34" s="392"/>
      <c r="P34" s="121"/>
      <c r="Q34" s="121"/>
      <c r="R34" s="487"/>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390</v>
      </c>
      <c r="C35" s="138" t="s">
        <v>392</v>
      </c>
      <c r="D35" s="597"/>
      <c r="E35" s="118"/>
      <c r="G35" s="219"/>
      <c r="H35" s="377"/>
      <c r="I35" s="125"/>
      <c r="J35" s="136"/>
      <c r="K35" s="136"/>
      <c r="L35" s="9"/>
      <c r="M35" s="9"/>
      <c r="N35" s="9"/>
      <c r="O35" s="392"/>
      <c r="P35" s="121"/>
      <c r="Q35" s="121"/>
      <c r="R35" s="487"/>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391</v>
      </c>
      <c r="C36" s="152" t="s">
        <v>352</v>
      </c>
      <c r="D36" s="597"/>
      <c r="E36" s="118"/>
      <c r="G36" s="219"/>
      <c r="H36" s="377"/>
      <c r="I36" s="125"/>
      <c r="J36" s="136"/>
      <c r="K36" s="136"/>
      <c r="L36" s="9"/>
      <c r="M36" s="9"/>
      <c r="N36" s="9"/>
      <c r="O36" s="9"/>
      <c r="P36" s="121"/>
      <c r="Q36" s="121"/>
      <c r="R36" s="487"/>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27" thickBot="1">
      <c r="B37" s="128" t="s">
        <v>367</v>
      </c>
      <c r="C37" s="151" t="s">
        <v>266</v>
      </c>
      <c r="D37" s="591">
        <f>O12</f>
        <v>1874.2669504860291</v>
      </c>
      <c r="E37" s="118"/>
      <c r="G37" s="219"/>
      <c r="H37" s="377"/>
      <c r="I37" s="269"/>
      <c r="J37" s="9"/>
      <c r="K37" s="9"/>
      <c r="L37" s="514" t="s">
        <v>736</v>
      </c>
      <c r="M37" s="729">
        <f>N37*$P$24</f>
        <v>503.99999999999994</v>
      </c>
      <c r="N37" s="942">
        <v>1.4</v>
      </c>
      <c r="O37" s="440"/>
      <c r="P37" s="122"/>
      <c r="Q37" s="122"/>
      <c r="R37" s="956"/>
      <c r="S37" s="138"/>
      <c r="T37" s="138"/>
      <c r="U37" s="138"/>
      <c r="V37" s="121"/>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c r="AX37" s="122"/>
      <c r="AY37" s="122"/>
      <c r="AZ37" s="122"/>
      <c r="BA37" s="122"/>
      <c r="BB37" s="122"/>
      <c r="BC37" s="122"/>
      <c r="BD37" s="122"/>
      <c r="BE37" s="122"/>
      <c r="BF37" s="122"/>
      <c r="BG37" s="122"/>
      <c r="BH37" s="122"/>
      <c r="BI37" s="122"/>
      <c r="BJ37" s="125"/>
      <c r="BK37" s="125"/>
      <c r="BL37" s="125"/>
      <c r="BM37" s="125"/>
      <c r="BN37" s="125"/>
      <c r="BO37" s="125"/>
    </row>
    <row r="38" spans="2:67" ht="25.5">
      <c r="B38" s="128" t="s">
        <v>368</v>
      </c>
      <c r="C38" s="138" t="str">
        <f>IF(C7="Railbelt South of Alaska Range","mmBtu displaced per year", "gallons displaced per year")</f>
        <v>gallons displaced per year</v>
      </c>
      <c r="D38" s="592">
        <f>O13</f>
        <v>426.99700994514444</v>
      </c>
      <c r="E38" s="118"/>
      <c r="G38" s="219"/>
      <c r="H38" s="377"/>
      <c r="I38" s="273"/>
      <c r="J38" s="9"/>
      <c r="K38" s="9"/>
      <c r="L38" s="9"/>
      <c r="M38" s="1410">
        <f>VLOOKUP(Energy_Region,'Eff (W &amp; WW)'!L24:M37,2)</f>
        <v>503.99999999999994</v>
      </c>
      <c r="N38" s="9"/>
      <c r="O38" s="9"/>
      <c r="P38" s="122"/>
      <c r="Q38" s="122"/>
      <c r="R38" s="956"/>
      <c r="S38" s="122"/>
      <c r="T38" s="122"/>
      <c r="U38" s="122"/>
      <c r="V38" s="122"/>
      <c r="W38" s="122"/>
      <c r="X38" s="122"/>
      <c r="Y38" s="122"/>
      <c r="Z38" s="122"/>
      <c r="AA38" s="122"/>
      <c r="AB38" s="122"/>
      <c r="AC38" s="122"/>
      <c r="AD38" s="122"/>
      <c r="AE38" s="122"/>
      <c r="AF38" s="122"/>
      <c r="AG38" s="122"/>
      <c r="AH38" s="122"/>
      <c r="AI38" s="122"/>
      <c r="AJ38" s="122"/>
      <c r="AK38" s="122"/>
      <c r="AL38" s="122"/>
      <c r="AM38" s="122"/>
      <c r="AN38" s="122"/>
      <c r="AO38" s="122"/>
      <c r="AP38" s="122"/>
      <c r="AQ38" s="122"/>
      <c r="AR38" s="122"/>
      <c r="AS38" s="122"/>
      <c r="AT38" s="122"/>
      <c r="AU38" s="122"/>
      <c r="AV38" s="122"/>
      <c r="AW38" s="122"/>
      <c r="AX38" s="122"/>
      <c r="AY38" s="122"/>
      <c r="AZ38" s="122"/>
      <c r="BA38" s="122"/>
      <c r="BB38" s="122"/>
      <c r="BC38" s="122"/>
      <c r="BD38" s="122"/>
      <c r="BE38" s="122"/>
      <c r="BF38" s="122"/>
      <c r="BG38" s="122"/>
      <c r="BH38" s="122"/>
      <c r="BI38" s="122"/>
      <c r="BJ38" s="125"/>
      <c r="BK38" s="125"/>
      <c r="BL38" s="125"/>
      <c r="BM38" s="125"/>
      <c r="BN38" s="125"/>
      <c r="BO38" s="125"/>
    </row>
    <row r="39" spans="2:67" ht="25.5">
      <c r="B39" s="128" t="s">
        <v>369</v>
      </c>
      <c r="C39" s="138" t="s">
        <v>315</v>
      </c>
      <c r="D39" s="593"/>
      <c r="E39" s="118"/>
      <c r="G39" s="219"/>
      <c r="H39" s="377"/>
      <c r="I39" s="274"/>
      <c r="J39" s="272"/>
      <c r="K39" s="272"/>
      <c r="L39" s="272"/>
      <c r="M39" s="271"/>
      <c r="N39" s="1988"/>
      <c r="O39" s="1988"/>
      <c r="P39" s="121"/>
      <c r="Q39" s="121"/>
      <c r="R39" s="487"/>
      <c r="S39" s="122"/>
      <c r="T39" s="122"/>
      <c r="U39" s="122"/>
      <c r="V39" s="122"/>
      <c r="W39" s="122"/>
      <c r="X39" s="122"/>
      <c r="Y39" s="122"/>
      <c r="Z39" s="122"/>
      <c r="AA39" s="122"/>
      <c r="AB39" s="122"/>
      <c r="AC39" s="122"/>
      <c r="AD39" s="122"/>
      <c r="AE39" s="122"/>
      <c r="AF39" s="122"/>
      <c r="AG39" s="122"/>
      <c r="AH39" s="122"/>
      <c r="AI39" s="122"/>
      <c r="AJ39" s="122"/>
      <c r="AK39" s="122"/>
      <c r="AL39" s="122"/>
      <c r="AM39" s="122"/>
      <c r="AN39" s="122"/>
      <c r="AO39" s="122"/>
      <c r="AP39" s="122"/>
      <c r="AQ39" s="122"/>
      <c r="AR39" s="122"/>
      <c r="AS39" s="122"/>
      <c r="AT39" s="122"/>
      <c r="AU39" s="122"/>
      <c r="AV39" s="122"/>
      <c r="AW39" s="122"/>
      <c r="AX39" s="122"/>
      <c r="AY39" s="122"/>
      <c r="AZ39" s="122"/>
      <c r="BA39" s="122"/>
      <c r="BB39" s="122"/>
      <c r="BC39" s="122"/>
      <c r="BD39" s="122"/>
      <c r="BE39" s="122"/>
      <c r="BF39" s="122"/>
      <c r="BG39" s="122"/>
      <c r="BH39" s="122"/>
      <c r="BI39" s="122"/>
      <c r="BJ39" s="125"/>
      <c r="BK39" s="125"/>
      <c r="BL39" s="125"/>
      <c r="BM39" s="125"/>
      <c r="BN39" s="125"/>
      <c r="BO39" s="125"/>
    </row>
    <row r="40" spans="2:67" ht="13.5" thickBot="1">
      <c r="B40" s="128" t="s">
        <v>321</v>
      </c>
      <c r="C40" s="152" t="s">
        <v>265</v>
      </c>
      <c r="D40" s="594"/>
      <c r="E40" s="118"/>
      <c r="G40" s="219"/>
      <c r="H40" s="377"/>
      <c r="I40" s="125"/>
      <c r="J40" s="136"/>
      <c r="K40" s="136"/>
      <c r="L40" s="841"/>
      <c r="M40" s="9"/>
      <c r="N40" s="180"/>
      <c r="O40" s="12"/>
      <c r="P40" s="121"/>
      <c r="Q40" s="121"/>
      <c r="R40" s="487"/>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19"/>
      <c r="H41" s="377"/>
      <c r="I41" s="125"/>
      <c r="J41" s="136"/>
      <c r="K41" s="136"/>
      <c r="L41" s="9"/>
      <c r="M41" s="9"/>
      <c r="N41" s="9"/>
      <c r="O41" s="9"/>
      <c r="P41" s="121"/>
      <c r="Q41" s="121"/>
      <c r="R41" s="487"/>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156" t="s">
        <v>327</v>
      </c>
      <c r="C42" s="157" t="s">
        <v>271</v>
      </c>
      <c r="D42" s="506" t="s">
        <v>272</v>
      </c>
      <c r="E42" s="118"/>
      <c r="G42" s="219"/>
      <c r="H42" s="377"/>
      <c r="I42" s="125"/>
      <c r="J42" s="136"/>
      <c r="K42" s="136"/>
      <c r="L42" s="9"/>
      <c r="M42" s="9"/>
      <c r="N42" s="9"/>
      <c r="O42" s="122"/>
      <c r="P42" s="121"/>
      <c r="Q42" s="121"/>
      <c r="R42" s="487"/>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158" t="s">
        <v>276</v>
      </c>
      <c r="C43" s="138" t="s">
        <v>265</v>
      </c>
      <c r="D43" s="599">
        <v>0.02</v>
      </c>
      <c r="E43" s="118"/>
      <c r="F43" s="159"/>
      <c r="G43" s="219"/>
      <c r="H43" s="377"/>
      <c r="I43" s="125"/>
      <c r="J43" s="136"/>
      <c r="K43" s="136"/>
      <c r="L43" s="9"/>
      <c r="M43" s="9"/>
      <c r="N43" s="9"/>
      <c r="O43" s="122"/>
      <c r="P43" s="121"/>
      <c r="Q43" s="121"/>
      <c r="R43" s="487"/>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160" t="s">
        <v>328</v>
      </c>
      <c r="C44" s="143" t="s">
        <v>281</v>
      </c>
      <c r="D44" s="600">
        <f>'Community data'!B21</f>
        <v>10.802351555020987</v>
      </c>
      <c r="E44" s="118"/>
      <c r="F44" s="159"/>
      <c r="G44" s="219"/>
      <c r="H44" s="377"/>
      <c r="I44" s="125"/>
      <c r="J44" s="136"/>
      <c r="K44" s="136"/>
      <c r="L44" s="9"/>
      <c r="M44" s="9"/>
      <c r="N44" s="9"/>
      <c r="O44" s="122"/>
      <c r="P44" s="121"/>
      <c r="Q44" s="121"/>
      <c r="R44" s="487"/>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19"/>
      <c r="H45" s="377"/>
      <c r="I45" s="125"/>
      <c r="J45" s="136"/>
      <c r="K45" s="136"/>
      <c r="L45" s="122"/>
      <c r="M45" s="122"/>
      <c r="N45" s="9"/>
      <c r="O45" s="122"/>
      <c r="P45" s="121"/>
      <c r="Q45" s="121"/>
      <c r="R45" s="487"/>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0" t="s">
        <v>272</v>
      </c>
      <c r="E46" s="118"/>
      <c r="F46" s="159"/>
      <c r="G46" s="219"/>
      <c r="H46" s="377"/>
      <c r="I46" s="125"/>
      <c r="J46" s="136"/>
      <c r="K46" s="136"/>
      <c r="L46" s="122"/>
      <c r="M46" s="122"/>
      <c r="N46" s="9"/>
      <c r="O46" s="122"/>
      <c r="P46" s="121"/>
      <c r="Q46" s="121"/>
      <c r="R46" s="487"/>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5" thickBot="1">
      <c r="B47" s="311" t="s">
        <v>282</v>
      </c>
      <c r="C47" s="138" t="s">
        <v>269</v>
      </c>
      <c r="D47" s="601">
        <f>VLOOKUP(Energy_Region,Assumptions!$A$28:$B$38,2,FALSE)</f>
        <v>1.5507921943016665</v>
      </c>
      <c r="E47" s="118"/>
      <c r="F47" s="136"/>
      <c r="G47" s="219"/>
      <c r="H47" s="378"/>
      <c r="I47" s="381"/>
      <c r="J47" s="382"/>
      <c r="K47" s="382"/>
      <c r="L47" s="381" t="s">
        <v>814</v>
      </c>
      <c r="M47" s="955"/>
      <c r="N47" s="954"/>
      <c r="O47" s="955"/>
      <c r="P47" s="379"/>
      <c r="Q47" s="379"/>
      <c r="R47" s="573"/>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02">
        <f>Assumptions!B26</f>
        <v>0</v>
      </c>
      <c r="E48" s="118"/>
      <c r="F48" s="159"/>
      <c r="G48" s="159"/>
      <c r="H48" s="159"/>
      <c r="I48" s="159"/>
      <c r="J48" s="159"/>
      <c r="L48" s="125"/>
      <c r="M48" s="122"/>
      <c r="N48" s="122"/>
      <c r="O48" s="122"/>
      <c r="P48" s="118"/>
      <c r="Q48" s="118"/>
      <c r="R48" s="118"/>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1645" t="s">
        <v>355</v>
      </c>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63"/>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BH54" si="1">F54+1</f>
        <v>2015</v>
      </c>
      <c r="H54" s="171">
        <f t="shared" si="1"/>
        <v>2016</v>
      </c>
      <c r="I54" s="171">
        <f t="shared" si="1"/>
        <v>2017</v>
      </c>
      <c r="J54" s="171">
        <f t="shared" si="1"/>
        <v>2018</v>
      </c>
      <c r="K54" s="171">
        <f t="shared" si="1"/>
        <v>2019</v>
      </c>
      <c r="L54" s="171">
        <f t="shared" si="1"/>
        <v>2020</v>
      </c>
      <c r="M54" s="171">
        <f t="shared" si="1"/>
        <v>2021</v>
      </c>
      <c r="N54" s="171">
        <f t="shared" si="1"/>
        <v>2022</v>
      </c>
      <c r="O54" s="171">
        <f t="shared" si="1"/>
        <v>2023</v>
      </c>
      <c r="P54" s="171">
        <f t="shared" si="1"/>
        <v>2024</v>
      </c>
      <c r="Q54" s="171">
        <f t="shared" si="1"/>
        <v>2025</v>
      </c>
      <c r="R54" s="171">
        <f t="shared" si="1"/>
        <v>2026</v>
      </c>
      <c r="S54" s="306">
        <f t="shared" si="1"/>
        <v>2027</v>
      </c>
      <c r="T54" s="306">
        <f t="shared" si="1"/>
        <v>2028</v>
      </c>
      <c r="U54" s="306">
        <f t="shared" si="1"/>
        <v>2029</v>
      </c>
      <c r="V54" s="306">
        <f t="shared" si="1"/>
        <v>2030</v>
      </c>
      <c r="W54" s="306">
        <f t="shared" si="1"/>
        <v>2031</v>
      </c>
      <c r="X54" s="306">
        <f t="shared" si="1"/>
        <v>2032</v>
      </c>
      <c r="Y54" s="306">
        <f t="shared" si="1"/>
        <v>2033</v>
      </c>
      <c r="Z54" s="306">
        <f t="shared" si="1"/>
        <v>2034</v>
      </c>
      <c r="AA54" s="306">
        <f t="shared" si="1"/>
        <v>2035</v>
      </c>
      <c r="AB54" s="306">
        <f t="shared" si="1"/>
        <v>2036</v>
      </c>
      <c r="AC54" s="306">
        <f t="shared" si="1"/>
        <v>2037</v>
      </c>
      <c r="AD54" s="306">
        <f t="shared" si="1"/>
        <v>2038</v>
      </c>
      <c r="AE54" s="306">
        <f t="shared" si="1"/>
        <v>2039</v>
      </c>
      <c r="AF54" s="306">
        <f t="shared" si="1"/>
        <v>2040</v>
      </c>
      <c r="AG54" s="306">
        <f t="shared" si="1"/>
        <v>2041</v>
      </c>
      <c r="AH54" s="306">
        <f t="shared" si="1"/>
        <v>2042</v>
      </c>
      <c r="AI54" s="306">
        <f t="shared" si="1"/>
        <v>2043</v>
      </c>
      <c r="AJ54" s="306">
        <f t="shared" si="1"/>
        <v>2044</v>
      </c>
      <c r="AK54" s="306">
        <f t="shared" si="1"/>
        <v>2045</v>
      </c>
      <c r="AL54" s="306">
        <f t="shared" si="1"/>
        <v>2046</v>
      </c>
      <c r="AM54" s="306">
        <f t="shared" si="1"/>
        <v>2047</v>
      </c>
      <c r="AN54" s="306">
        <f t="shared" si="1"/>
        <v>2048</v>
      </c>
      <c r="AO54" s="306">
        <f t="shared" si="1"/>
        <v>2049</v>
      </c>
      <c r="AP54" s="306">
        <f t="shared" si="1"/>
        <v>2050</v>
      </c>
      <c r="AQ54" s="306">
        <f t="shared" si="1"/>
        <v>2051</v>
      </c>
      <c r="AR54" s="306">
        <f t="shared" si="1"/>
        <v>2052</v>
      </c>
      <c r="AS54" s="306">
        <f t="shared" si="1"/>
        <v>2053</v>
      </c>
      <c r="AT54" s="306">
        <f t="shared" si="1"/>
        <v>2054</v>
      </c>
      <c r="AU54" s="306">
        <f t="shared" si="1"/>
        <v>2055</v>
      </c>
      <c r="AV54" s="306">
        <f t="shared" si="1"/>
        <v>2056</v>
      </c>
      <c r="AW54" s="306">
        <f t="shared" si="1"/>
        <v>2057</v>
      </c>
      <c r="AX54" s="306">
        <f t="shared" si="1"/>
        <v>2058</v>
      </c>
      <c r="AY54" s="306">
        <f t="shared" si="1"/>
        <v>2059</v>
      </c>
      <c r="AZ54" s="306">
        <f t="shared" si="1"/>
        <v>2060</v>
      </c>
      <c r="BA54" s="306">
        <f t="shared" si="1"/>
        <v>2061</v>
      </c>
      <c r="BB54" s="306">
        <f t="shared" si="1"/>
        <v>2062</v>
      </c>
      <c r="BC54" s="306">
        <f t="shared" si="1"/>
        <v>2063</v>
      </c>
      <c r="BD54" s="306">
        <f t="shared" si="1"/>
        <v>2064</v>
      </c>
      <c r="BE54" s="306">
        <f t="shared" si="1"/>
        <v>2065</v>
      </c>
      <c r="BF54" s="306">
        <f t="shared" si="1"/>
        <v>2066</v>
      </c>
      <c r="BG54" s="306">
        <f t="shared" si="1"/>
        <v>2067</v>
      </c>
      <c r="BH54" s="306">
        <f t="shared" si="1"/>
        <v>2068</v>
      </c>
      <c r="BI54" s="69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5284.9525290927086</v>
      </c>
      <c r="H55" s="174">
        <f>IF(AND(H$54&gt;=$D$31,H$54&lt;=($D$31+$D$32)),-PMT(0.05,$D$32,$D$30)*'Fuel Price Worksheet'!H23,0)</f>
        <v>5161.0864541920982</v>
      </c>
      <c r="I55" s="174">
        <f>IF(AND(I$54&gt;=$D$31,I$54&lt;=($D$31+$D$32)),-PMT(0.05,$D$32,$D$30)*'Fuel Price Worksheet'!I23,0)</f>
        <v>5040.12349042197</v>
      </c>
      <c r="J55" s="174">
        <f>IF(AND(J$54&gt;=$D$31,J$54&lt;=($D$31+$D$32)),-PMT(0.05,$D$32,$D$30)*'Fuel Price Worksheet'!J23,0)</f>
        <v>4921.9955961152045</v>
      </c>
      <c r="K55" s="174">
        <f>IF(AND(K$54&gt;=$D$31,K$54&lt;=($D$31+$D$32)),-PMT(0.05,$D$32,$D$30)*'Fuel Price Worksheet'!K23,0)</f>
        <v>4806.6363243312535</v>
      </c>
      <c r="L55" s="174">
        <f>IF(AND(L$54&gt;=$D$31,L$54&lt;=($D$31+$D$32)),-PMT(0.05,$D$32,$D$30)*'Fuel Price Worksheet'!L23,0)</f>
        <v>4693.9807854797436</v>
      </c>
      <c r="M55" s="174">
        <f>IF(AND(M$54&gt;=$D$31,M$54&lt;=($D$31+$D$32)),-PMT(0.05,$D$32,$D$30)*'Fuel Price Worksheet'!M23,0)</f>
        <v>4583.9656108200679</v>
      </c>
      <c r="N55" s="174">
        <f>IF(AND(N$54&gt;=$D$31,N$54&lt;=($D$31+$D$32)),-PMT(0.05,$D$32,$D$30)*'Fuel Price Worksheet'!N23,0)</f>
        <v>4476.5289168164836</v>
      </c>
      <c r="O55" s="174">
        <f>IF(AND(O$54&gt;=$D$31,O$54&lt;=($D$31+$D$32)),-PMT(0.05,$D$32,$D$30)*'Fuel Price Worksheet'!O23,0)</f>
        <v>4371.6102703286115</v>
      </c>
      <c r="P55" s="174">
        <f>IF(AND(P$54&gt;=$D$31,P$54&lt;=($D$31+$D$32)),-PMT(0.05,$D$32,$D$30)*'Fuel Price Worksheet'!P23,0)</f>
        <v>4269.1506546178025</v>
      </c>
      <c r="Q55" s="174">
        <f>IF(AND(Q$54&gt;=$D$31,Q$54&lt;=($D$31+$D$32)),-PMT(0.05,$D$32,$D$30)*'Fuel Price Worksheet'!Q23,0)</f>
        <v>4169.0924361502175</v>
      </c>
      <c r="R55" s="174">
        <f>IF(AND(R$54&gt;=$D$31,R$54&lt;=($D$31+$D$32)),-PMT(0.05,$D$32,$D$30)*'Fuel Price Worksheet'!R23,0)</f>
        <v>4071.3793321779708</v>
      </c>
      <c r="S55" s="174">
        <f>IF(AND(S$54&gt;=$D$31,S$54&lt;=($D$31+$D$32)),-PMT(0.05,$D$32,$D$30)*'Fuel Price Worksheet'!S23,0)</f>
        <v>3975.9563790800762</v>
      </c>
      <c r="T55" s="174">
        <f>IF(AND(T$54&gt;=$D$31,T$54&lt;=($D$31+$D$32)),-PMT(0.05,$D$32,$D$30)*'Fuel Price Worksheet'!T23,0)</f>
        <v>3882.769901445417</v>
      </c>
      <c r="U55" s="174">
        <f>IF(AND(U$54&gt;=$D$31,U$54&lt;=($D$31+$D$32)),-PMT(0.05,$D$32,$D$30)*'Fuel Price Worksheet'!U23,0)</f>
        <v>3791.7674818803212</v>
      </c>
      <c r="V55" s="174">
        <f>IF(AND(V$54&gt;=$D$31,V$54&lt;=($D$31+$D$32)),-PMT(0.05,$D$32,$D$30)*'Fuel Price Worksheet'!V23,0)</f>
        <v>3702.8979315237857</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55077.709283606579</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F75-F70</f>
        <v>0</v>
      </c>
      <c r="G57" s="410">
        <f>G75</f>
        <v>1227.0928838378293</v>
      </c>
      <c r="H57" s="410">
        <f t="shared" ref="H57:BH57" si="2">H75</f>
        <v>1308.3460799548143</v>
      </c>
      <c r="I57" s="410">
        <f t="shared" si="2"/>
        <v>1336.4839229798085</v>
      </c>
      <c r="J57" s="410">
        <f t="shared" si="2"/>
        <v>1337.9412290104769</v>
      </c>
      <c r="K57" s="410">
        <f t="shared" si="2"/>
        <v>1347.0871906743339</v>
      </c>
      <c r="L57" s="410">
        <f t="shared" si="2"/>
        <v>1356.2750551921806</v>
      </c>
      <c r="M57" s="410">
        <f t="shared" si="2"/>
        <v>1368.9452750461496</v>
      </c>
      <c r="N57" s="410">
        <f t="shared" si="2"/>
        <v>1382.5611561076942</v>
      </c>
      <c r="O57" s="410">
        <f t="shared" si="2"/>
        <v>1396.6733213815942</v>
      </c>
      <c r="P57" s="410">
        <f t="shared" si="2"/>
        <v>1411.0847783581062</v>
      </c>
      <c r="Q57" s="410">
        <f t="shared" si="2"/>
        <v>1425.5527319468858</v>
      </c>
      <c r="R57" s="410">
        <f t="shared" si="2"/>
        <v>1440.9953690366353</v>
      </c>
      <c r="S57" s="410">
        <f t="shared" si="2"/>
        <v>1456.8171166206544</v>
      </c>
      <c r="T57" s="410">
        <f t="shared" si="2"/>
        <v>1473.0272343444437</v>
      </c>
      <c r="U57" s="410">
        <f t="shared" si="2"/>
        <v>1489.6351538335573</v>
      </c>
      <c r="V57" s="410">
        <f t="shared" si="2"/>
        <v>6026.6020141999215</v>
      </c>
      <c r="W57" s="410">
        <f t="shared" si="2"/>
        <v>0</v>
      </c>
      <c r="X57" s="410">
        <f t="shared" si="2"/>
        <v>0</v>
      </c>
      <c r="Y57" s="410">
        <f t="shared" si="2"/>
        <v>0</v>
      </c>
      <c r="Z57" s="410">
        <f t="shared" si="2"/>
        <v>0</v>
      </c>
      <c r="AA57" s="410">
        <f t="shared" si="2"/>
        <v>0</v>
      </c>
      <c r="AB57" s="410">
        <f t="shared" si="2"/>
        <v>0</v>
      </c>
      <c r="AC57" s="410">
        <f t="shared" si="2"/>
        <v>0</v>
      </c>
      <c r="AD57" s="410">
        <f t="shared" si="2"/>
        <v>0</v>
      </c>
      <c r="AE57" s="410">
        <f t="shared" si="2"/>
        <v>0</v>
      </c>
      <c r="AF57" s="410">
        <f t="shared" si="2"/>
        <v>0</v>
      </c>
      <c r="AG57" s="410">
        <f t="shared" si="2"/>
        <v>0</v>
      </c>
      <c r="AH57" s="410">
        <f t="shared" si="2"/>
        <v>0</v>
      </c>
      <c r="AI57" s="410">
        <f t="shared" si="2"/>
        <v>0</v>
      </c>
      <c r="AJ57" s="410">
        <f t="shared" si="2"/>
        <v>0</v>
      </c>
      <c r="AK57" s="410">
        <f t="shared" si="2"/>
        <v>0</v>
      </c>
      <c r="AL57" s="410">
        <f t="shared" si="2"/>
        <v>0</v>
      </c>
      <c r="AM57" s="410">
        <f t="shared" si="2"/>
        <v>0</v>
      </c>
      <c r="AN57" s="410">
        <f t="shared" si="2"/>
        <v>0</v>
      </c>
      <c r="AO57" s="410">
        <f t="shared" si="2"/>
        <v>0</v>
      </c>
      <c r="AP57" s="410">
        <f t="shared" si="2"/>
        <v>0</v>
      </c>
      <c r="AQ57" s="410">
        <f t="shared" si="2"/>
        <v>0</v>
      </c>
      <c r="AR57" s="410">
        <f t="shared" si="2"/>
        <v>0</v>
      </c>
      <c r="AS57" s="410">
        <f t="shared" si="2"/>
        <v>0</v>
      </c>
      <c r="AT57" s="410">
        <f t="shared" si="2"/>
        <v>0</v>
      </c>
      <c r="AU57" s="410">
        <f t="shared" si="2"/>
        <v>0</v>
      </c>
      <c r="AV57" s="410">
        <f t="shared" si="2"/>
        <v>0</v>
      </c>
      <c r="AW57" s="410">
        <f t="shared" si="2"/>
        <v>0</v>
      </c>
      <c r="AX57" s="410">
        <f t="shared" si="2"/>
        <v>0</v>
      </c>
      <c r="AY57" s="410">
        <f t="shared" si="2"/>
        <v>0</v>
      </c>
      <c r="AZ57" s="410">
        <f t="shared" si="2"/>
        <v>0</v>
      </c>
      <c r="BA57" s="410">
        <f t="shared" si="2"/>
        <v>0</v>
      </c>
      <c r="BB57" s="410">
        <f t="shared" si="2"/>
        <v>0</v>
      </c>
      <c r="BC57" s="410">
        <f t="shared" si="2"/>
        <v>0</v>
      </c>
      <c r="BD57" s="410">
        <f t="shared" si="2"/>
        <v>0</v>
      </c>
      <c r="BE57" s="410">
        <f t="shared" si="2"/>
        <v>0</v>
      </c>
      <c r="BF57" s="410">
        <f t="shared" si="2"/>
        <v>0</v>
      </c>
      <c r="BG57" s="410">
        <f t="shared" si="2"/>
        <v>0</v>
      </c>
      <c r="BH57" s="410">
        <f t="shared" si="2"/>
        <v>0</v>
      </c>
      <c r="BI57" s="175">
        <f>NPV($D$49,F57:BH57)</f>
        <v>19589.607435080248</v>
      </c>
      <c r="BJ57" s="121"/>
      <c r="BK57" s="121"/>
      <c r="BL57" s="121"/>
      <c r="BM57" s="121"/>
      <c r="BN57" s="121"/>
      <c r="BO57" s="121"/>
    </row>
    <row r="58" spans="2:67" ht="12.75">
      <c r="C58" s="177"/>
      <c r="D58" s="136" t="s">
        <v>626</v>
      </c>
      <c r="E58" s="121" t="s">
        <v>264</v>
      </c>
      <c r="F58" s="410">
        <f>F97</f>
        <v>0</v>
      </c>
      <c r="G58" s="410">
        <f>G97</f>
        <v>1813.8257144280428</v>
      </c>
      <c r="H58" s="410">
        <f t="shared" ref="H58:BH58" si="3">H97</f>
        <v>2014.3727560589182</v>
      </c>
      <c r="I58" s="410">
        <f t="shared" si="3"/>
        <v>2084.2026079512648</v>
      </c>
      <c r="J58" s="410">
        <f t="shared" si="3"/>
        <v>2088.3713646351089</v>
      </c>
      <c r="K58" s="410">
        <f t="shared" si="3"/>
        <v>2111.4616248754219</v>
      </c>
      <c r="L58" s="410">
        <f t="shared" si="3"/>
        <v>2134.6547267538999</v>
      </c>
      <c r="M58" s="410">
        <f t="shared" si="3"/>
        <v>2166.4176255238831</v>
      </c>
      <c r="N58" s="410">
        <f t="shared" si="3"/>
        <v>2200.5075159215403</v>
      </c>
      <c r="O58" s="410">
        <f t="shared" si="3"/>
        <v>2235.8184810938446</v>
      </c>
      <c r="P58" s="410">
        <f t="shared" si="3"/>
        <v>2271.8657225208271</v>
      </c>
      <c r="Q58" s="410">
        <f t="shared" si="3"/>
        <v>2308.0517215108248</v>
      </c>
      <c r="R58" s="410">
        <f t="shared" si="3"/>
        <v>2346.6361365485936</v>
      </c>
      <c r="S58" s="410">
        <f t="shared" si="3"/>
        <v>2386.1532623303528</v>
      </c>
      <c r="T58" s="410">
        <f t="shared" si="3"/>
        <v>2426.6258869833728</v>
      </c>
      <c r="U58" s="410">
        <f t="shared" si="3"/>
        <v>2468.0772218778438</v>
      </c>
      <c r="V58" s="410">
        <f t="shared" si="3"/>
        <v>0</v>
      </c>
      <c r="W58" s="410">
        <f t="shared" si="3"/>
        <v>0</v>
      </c>
      <c r="X58" s="410">
        <f t="shared" si="3"/>
        <v>0</v>
      </c>
      <c r="Y58" s="410">
        <f t="shared" si="3"/>
        <v>0</v>
      </c>
      <c r="Z58" s="410">
        <f t="shared" si="3"/>
        <v>0</v>
      </c>
      <c r="AA58" s="410">
        <f t="shared" si="3"/>
        <v>0</v>
      </c>
      <c r="AB58" s="410">
        <f t="shared" si="3"/>
        <v>0</v>
      </c>
      <c r="AC58" s="410">
        <f t="shared" si="3"/>
        <v>0</v>
      </c>
      <c r="AD58" s="410">
        <f t="shared" si="3"/>
        <v>0</v>
      </c>
      <c r="AE58" s="410">
        <f t="shared" si="3"/>
        <v>0</v>
      </c>
      <c r="AF58" s="410">
        <f t="shared" si="3"/>
        <v>0</v>
      </c>
      <c r="AG58" s="410">
        <f t="shared" si="3"/>
        <v>0</v>
      </c>
      <c r="AH58" s="410">
        <f t="shared" si="3"/>
        <v>0</v>
      </c>
      <c r="AI58" s="410">
        <f t="shared" si="3"/>
        <v>0</v>
      </c>
      <c r="AJ58" s="410">
        <f t="shared" si="3"/>
        <v>0</v>
      </c>
      <c r="AK58" s="410">
        <f t="shared" si="3"/>
        <v>0</v>
      </c>
      <c r="AL58" s="410">
        <f t="shared" si="3"/>
        <v>0</v>
      </c>
      <c r="AM58" s="410">
        <f t="shared" si="3"/>
        <v>0</v>
      </c>
      <c r="AN58" s="410">
        <f t="shared" si="3"/>
        <v>0</v>
      </c>
      <c r="AO58" s="410">
        <f t="shared" si="3"/>
        <v>0</v>
      </c>
      <c r="AP58" s="410">
        <f t="shared" si="3"/>
        <v>0</v>
      </c>
      <c r="AQ58" s="410">
        <f t="shared" si="3"/>
        <v>0</v>
      </c>
      <c r="AR58" s="410">
        <f t="shared" si="3"/>
        <v>0</v>
      </c>
      <c r="AS58" s="410">
        <f t="shared" si="3"/>
        <v>0</v>
      </c>
      <c r="AT58" s="410">
        <f t="shared" si="3"/>
        <v>0</v>
      </c>
      <c r="AU58" s="410">
        <f t="shared" si="3"/>
        <v>0</v>
      </c>
      <c r="AV58" s="410">
        <f t="shared" si="3"/>
        <v>0</v>
      </c>
      <c r="AW58" s="410">
        <f t="shared" si="3"/>
        <v>0</v>
      </c>
      <c r="AX58" s="410">
        <f t="shared" si="3"/>
        <v>0</v>
      </c>
      <c r="AY58" s="410">
        <f t="shared" si="3"/>
        <v>0</v>
      </c>
      <c r="AZ58" s="410">
        <f t="shared" si="3"/>
        <v>0</v>
      </c>
      <c r="BA58" s="410">
        <f t="shared" si="3"/>
        <v>0</v>
      </c>
      <c r="BB58" s="410">
        <f t="shared" si="3"/>
        <v>0</v>
      </c>
      <c r="BC58" s="410">
        <f t="shared" si="3"/>
        <v>0</v>
      </c>
      <c r="BD58" s="410">
        <f t="shared" si="3"/>
        <v>0</v>
      </c>
      <c r="BE58" s="410">
        <f t="shared" si="3"/>
        <v>0</v>
      </c>
      <c r="BF58" s="410">
        <f t="shared" si="3"/>
        <v>0</v>
      </c>
      <c r="BG58" s="410">
        <f t="shared" si="3"/>
        <v>0</v>
      </c>
      <c r="BH58" s="410">
        <f t="shared" si="3"/>
        <v>0</v>
      </c>
      <c r="BI58" s="175">
        <f>NPV($D$49,F58:BH58)</f>
        <v>25301.837476010413</v>
      </c>
      <c r="BJ58" s="121"/>
      <c r="BK58" s="121"/>
      <c r="BL58" s="121"/>
      <c r="BM58" s="121"/>
      <c r="BN58" s="121"/>
      <c r="BO58" s="121"/>
    </row>
    <row r="59" spans="2:67" ht="12.75">
      <c r="C59" s="177"/>
      <c r="D59" s="179" t="s">
        <v>627</v>
      </c>
      <c r="E59" s="180" t="s">
        <v>264</v>
      </c>
      <c r="F59" s="178">
        <f t="shared" ref="F59:BH59" si="4">F57+F58</f>
        <v>0</v>
      </c>
      <c r="G59" s="178">
        <f t="shared" si="4"/>
        <v>3040.9185982658719</v>
      </c>
      <c r="H59" s="178">
        <f t="shared" si="4"/>
        <v>3322.7188360137325</v>
      </c>
      <c r="I59" s="178">
        <f t="shared" si="4"/>
        <v>3420.6865309310733</v>
      </c>
      <c r="J59" s="178">
        <f t="shared" si="4"/>
        <v>3426.3125936455858</v>
      </c>
      <c r="K59" s="178">
        <f t="shared" si="4"/>
        <v>3458.548815549756</v>
      </c>
      <c r="L59" s="178">
        <f t="shared" si="4"/>
        <v>3490.9297819460808</v>
      </c>
      <c r="M59" s="178">
        <f t="shared" si="4"/>
        <v>3535.3629005700327</v>
      </c>
      <c r="N59" s="178">
        <f t="shared" si="4"/>
        <v>3583.0686720292342</v>
      </c>
      <c r="O59" s="178">
        <f t="shared" si="4"/>
        <v>3632.4918024754388</v>
      </c>
      <c r="P59" s="178">
        <f t="shared" si="4"/>
        <v>3682.9505008789333</v>
      </c>
      <c r="Q59" s="178">
        <f t="shared" si="4"/>
        <v>3733.6044534577104</v>
      </c>
      <c r="R59" s="178">
        <f t="shared" si="4"/>
        <v>3787.6315055852292</v>
      </c>
      <c r="S59" s="178">
        <f t="shared" si="4"/>
        <v>3842.9703789510072</v>
      </c>
      <c r="T59" s="178">
        <f t="shared" si="4"/>
        <v>3899.6531213278167</v>
      </c>
      <c r="U59" s="178">
        <f t="shared" si="4"/>
        <v>3957.7123757114014</v>
      </c>
      <c r="V59" s="178">
        <f t="shared" si="4"/>
        <v>6026.6020141999215</v>
      </c>
      <c r="W59" s="178">
        <f t="shared" si="4"/>
        <v>0</v>
      </c>
      <c r="X59" s="178">
        <f t="shared" si="4"/>
        <v>0</v>
      </c>
      <c r="Y59" s="178">
        <f t="shared" si="4"/>
        <v>0</v>
      </c>
      <c r="Z59" s="178">
        <f t="shared" si="4"/>
        <v>0</v>
      </c>
      <c r="AA59" s="178">
        <f t="shared" si="4"/>
        <v>0</v>
      </c>
      <c r="AB59" s="178">
        <f t="shared" si="4"/>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44891.444911090664</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5">F59-F55</f>
        <v>0</v>
      </c>
      <c r="G62" s="185">
        <f t="shared" si="5"/>
        <v>-2244.0339308268367</v>
      </c>
      <c r="H62" s="185">
        <f t="shared" si="5"/>
        <v>-1838.3676181783658</v>
      </c>
      <c r="I62" s="185">
        <f t="shared" si="5"/>
        <v>-1619.4369594908967</v>
      </c>
      <c r="J62" s="185">
        <f t="shared" si="5"/>
        <v>-1495.6830024696187</v>
      </c>
      <c r="K62" s="185">
        <f t="shared" si="5"/>
        <v>-1348.0875087814975</v>
      </c>
      <c r="L62" s="185">
        <f t="shared" si="5"/>
        <v>-1203.0510035336629</v>
      </c>
      <c r="M62" s="185">
        <f t="shared" si="5"/>
        <v>-1048.6027102500352</v>
      </c>
      <c r="N62" s="185">
        <f t="shared" si="5"/>
        <v>-893.46024478724939</v>
      </c>
      <c r="O62" s="185">
        <f t="shared" si="5"/>
        <v>-739.11846785317266</v>
      </c>
      <c r="P62" s="185">
        <f t="shared" si="5"/>
        <v>-586.20015373886918</v>
      </c>
      <c r="Q62" s="185">
        <f t="shared" si="5"/>
        <v>-435.4879826925071</v>
      </c>
      <c r="R62" s="185">
        <f t="shared" si="5"/>
        <v>-283.7478265927416</v>
      </c>
      <c r="S62" s="696">
        <f t="shared" si="5"/>
        <v>-132.986000129069</v>
      </c>
      <c r="T62" s="696">
        <f t="shared" si="5"/>
        <v>16.883219882399771</v>
      </c>
      <c r="U62" s="696">
        <f t="shared" si="5"/>
        <v>165.94489383108021</v>
      </c>
      <c r="V62" s="696">
        <f t="shared" si="5"/>
        <v>2323.7040826761358</v>
      </c>
      <c r="W62" s="696">
        <f t="shared" si="5"/>
        <v>0</v>
      </c>
      <c r="X62" s="696">
        <f t="shared" si="5"/>
        <v>0</v>
      </c>
      <c r="Y62" s="696">
        <f t="shared" si="5"/>
        <v>0</v>
      </c>
      <c r="Z62" s="696">
        <f t="shared" si="5"/>
        <v>0</v>
      </c>
      <c r="AA62" s="696">
        <f t="shared" si="5"/>
        <v>0</v>
      </c>
      <c r="AB62" s="696">
        <f t="shared" si="5"/>
        <v>0</v>
      </c>
      <c r="AC62" s="696">
        <f t="shared" si="5"/>
        <v>0</v>
      </c>
      <c r="AD62" s="696">
        <f t="shared" si="5"/>
        <v>0</v>
      </c>
      <c r="AE62" s="696">
        <f t="shared" si="5"/>
        <v>0</v>
      </c>
      <c r="AF62" s="696">
        <f t="shared" si="5"/>
        <v>0</v>
      </c>
      <c r="AG62" s="696">
        <f t="shared" si="5"/>
        <v>0</v>
      </c>
      <c r="AH62" s="696">
        <f t="shared" si="5"/>
        <v>0</v>
      </c>
      <c r="AI62" s="696">
        <f t="shared" si="5"/>
        <v>0</v>
      </c>
      <c r="AJ62" s="696">
        <f t="shared" si="5"/>
        <v>0</v>
      </c>
      <c r="AK62" s="696">
        <f t="shared" si="5"/>
        <v>0</v>
      </c>
      <c r="AL62" s="696">
        <f t="shared" si="5"/>
        <v>0</v>
      </c>
      <c r="AM62" s="696">
        <f t="shared" si="5"/>
        <v>0</v>
      </c>
      <c r="AN62" s="696">
        <f t="shared" si="5"/>
        <v>0</v>
      </c>
      <c r="AO62" s="696">
        <f t="shared" si="5"/>
        <v>0</v>
      </c>
      <c r="AP62" s="696">
        <f t="shared" si="5"/>
        <v>0</v>
      </c>
      <c r="AQ62" s="696">
        <f t="shared" si="5"/>
        <v>0</v>
      </c>
      <c r="AR62" s="696">
        <f t="shared" si="5"/>
        <v>0</v>
      </c>
      <c r="AS62" s="696">
        <f t="shared" si="5"/>
        <v>0</v>
      </c>
      <c r="AT62" s="696">
        <f t="shared" si="5"/>
        <v>0</v>
      </c>
      <c r="AU62" s="696">
        <f t="shared" si="5"/>
        <v>0</v>
      </c>
      <c r="AV62" s="696">
        <f t="shared" si="5"/>
        <v>0</v>
      </c>
      <c r="AW62" s="696">
        <f t="shared" si="5"/>
        <v>0</v>
      </c>
      <c r="AX62" s="696">
        <f t="shared" si="5"/>
        <v>0</v>
      </c>
      <c r="AY62" s="696">
        <f t="shared" si="5"/>
        <v>0</v>
      </c>
      <c r="AZ62" s="696">
        <f t="shared" si="5"/>
        <v>0</v>
      </c>
      <c r="BA62" s="696">
        <f t="shared" si="5"/>
        <v>0</v>
      </c>
      <c r="BB62" s="696">
        <f t="shared" si="5"/>
        <v>0</v>
      </c>
      <c r="BC62" s="696">
        <f t="shared" si="5"/>
        <v>0</v>
      </c>
      <c r="BD62" s="696">
        <f t="shared" si="5"/>
        <v>0</v>
      </c>
      <c r="BE62" s="696">
        <f t="shared" si="5"/>
        <v>0</v>
      </c>
      <c r="BF62" s="696">
        <f t="shared" si="5"/>
        <v>0</v>
      </c>
      <c r="BG62" s="696">
        <f t="shared" si="5"/>
        <v>0</v>
      </c>
      <c r="BH62" s="696">
        <f t="shared" si="5"/>
        <v>0</v>
      </c>
      <c r="BI62" s="175">
        <f>NPV($D$49,F62:BH62)</f>
        <v>-10186.264372515927</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6">F65+1</f>
        <v>2015</v>
      </c>
      <c r="H65" s="171">
        <f t="shared" si="6"/>
        <v>2016</v>
      </c>
      <c r="I65" s="171">
        <f t="shared" si="6"/>
        <v>2017</v>
      </c>
      <c r="J65" s="171">
        <f t="shared" si="6"/>
        <v>2018</v>
      </c>
      <c r="K65" s="171">
        <f t="shared" si="6"/>
        <v>2019</v>
      </c>
      <c r="L65" s="171">
        <f t="shared" si="6"/>
        <v>2020</v>
      </c>
      <c r="M65" s="171">
        <f t="shared" si="6"/>
        <v>2021</v>
      </c>
      <c r="N65" s="171">
        <f t="shared" si="6"/>
        <v>2022</v>
      </c>
      <c r="O65" s="171">
        <f t="shared" si="6"/>
        <v>2023</v>
      </c>
      <c r="P65" s="171">
        <f t="shared" si="6"/>
        <v>2024</v>
      </c>
      <c r="Q65" s="171">
        <f t="shared" si="6"/>
        <v>2025</v>
      </c>
      <c r="R65" s="171">
        <f t="shared" si="6"/>
        <v>2026</v>
      </c>
      <c r="S65" s="306">
        <f t="shared" si="6"/>
        <v>2027</v>
      </c>
      <c r="T65" s="306">
        <f t="shared" si="6"/>
        <v>2028</v>
      </c>
      <c r="U65" s="306">
        <f t="shared" si="6"/>
        <v>2029</v>
      </c>
      <c r="V65" s="306">
        <f t="shared" si="6"/>
        <v>2030</v>
      </c>
      <c r="W65" s="306">
        <f t="shared" si="6"/>
        <v>2031</v>
      </c>
      <c r="X65" s="306">
        <f t="shared" si="6"/>
        <v>2032</v>
      </c>
      <c r="Y65" s="306">
        <f t="shared" si="6"/>
        <v>2033</v>
      </c>
      <c r="Z65" s="306">
        <f t="shared" si="6"/>
        <v>2034</v>
      </c>
      <c r="AA65" s="306">
        <f t="shared" si="6"/>
        <v>2035</v>
      </c>
      <c r="AB65" s="306">
        <f t="shared" si="6"/>
        <v>2036</v>
      </c>
      <c r="AC65" s="306">
        <f t="shared" si="6"/>
        <v>2037</v>
      </c>
      <c r="AD65" s="306">
        <f t="shared" si="6"/>
        <v>2038</v>
      </c>
      <c r="AE65" s="306">
        <f t="shared" si="6"/>
        <v>2039</v>
      </c>
      <c r="AF65" s="306">
        <f t="shared" si="6"/>
        <v>2040</v>
      </c>
      <c r="AG65" s="306">
        <f t="shared" si="6"/>
        <v>2041</v>
      </c>
      <c r="AH65" s="306">
        <f t="shared" si="6"/>
        <v>2042</v>
      </c>
      <c r="AI65" s="306">
        <f t="shared" si="6"/>
        <v>2043</v>
      </c>
      <c r="AJ65" s="306">
        <f t="shared" si="6"/>
        <v>2044</v>
      </c>
      <c r="AK65" s="306">
        <f t="shared" si="6"/>
        <v>2045</v>
      </c>
      <c r="AL65" s="306">
        <f t="shared" si="6"/>
        <v>2046</v>
      </c>
      <c r="AM65" s="306">
        <f t="shared" si="6"/>
        <v>2047</v>
      </c>
      <c r="AN65" s="306">
        <f t="shared" si="6"/>
        <v>2048</v>
      </c>
      <c r="AO65" s="306">
        <f t="shared" si="6"/>
        <v>2049</v>
      </c>
      <c r="AP65" s="306">
        <f t="shared" si="6"/>
        <v>2050</v>
      </c>
      <c r="AQ65" s="306">
        <f t="shared" si="6"/>
        <v>2051</v>
      </c>
      <c r="AR65" s="306">
        <f t="shared" si="6"/>
        <v>2052</v>
      </c>
      <c r="AS65" s="306">
        <f t="shared" si="6"/>
        <v>2053</v>
      </c>
      <c r="AT65" s="306">
        <f t="shared" si="6"/>
        <v>2054</v>
      </c>
      <c r="AU65" s="306">
        <f t="shared" si="6"/>
        <v>2055</v>
      </c>
      <c r="AV65" s="306">
        <f t="shared" si="6"/>
        <v>2056</v>
      </c>
      <c r="AW65" s="306">
        <f t="shared" si="6"/>
        <v>2057</v>
      </c>
      <c r="AX65" s="306">
        <f t="shared" si="6"/>
        <v>2058</v>
      </c>
      <c r="AY65" s="306">
        <f t="shared" si="6"/>
        <v>2059</v>
      </c>
      <c r="AZ65" s="306">
        <f t="shared" si="6"/>
        <v>2060</v>
      </c>
      <c r="BA65" s="306">
        <f t="shared" si="6"/>
        <v>2061</v>
      </c>
      <c r="BB65" s="306">
        <f t="shared" si="6"/>
        <v>2062</v>
      </c>
      <c r="BC65" s="306">
        <f t="shared" si="6"/>
        <v>2063</v>
      </c>
      <c r="BD65" s="306">
        <f t="shared" si="6"/>
        <v>2064</v>
      </c>
      <c r="BE65" s="306">
        <f t="shared" si="6"/>
        <v>2065</v>
      </c>
      <c r="BF65" s="306">
        <f t="shared" si="6"/>
        <v>2066</v>
      </c>
      <c r="BG65" s="306">
        <f t="shared" si="6"/>
        <v>2067</v>
      </c>
      <c r="BH65" s="306">
        <f t="shared" si="6"/>
        <v>2068</v>
      </c>
      <c r="BI65" s="695" t="s">
        <v>4</v>
      </c>
      <c r="BJ65" s="121"/>
      <c r="BK65" s="121"/>
      <c r="BL65" s="121"/>
      <c r="BM65" s="121"/>
      <c r="BN65" s="121"/>
      <c r="BO65" s="121"/>
    </row>
    <row r="66" spans="2:67" ht="12.75">
      <c r="C66" s="2005" t="s">
        <v>284</v>
      </c>
      <c r="D66" s="2006"/>
      <c r="E66" s="200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21" t="s">
        <v>879</v>
      </c>
      <c r="E67" s="121" t="s">
        <v>266</v>
      </c>
      <c r="F67" s="189">
        <f>IF(AND(F65+1&gt;$D$31,F65&lt;$D$31+$D$32),$N$12,0)</f>
        <v>0</v>
      </c>
      <c r="G67" s="189">
        <f>IF(AND(G65&gt;=$D$31,G65&lt;$D$31+$D$32),G73*0.75,0)</f>
        <v>5678.7961476270611</v>
      </c>
      <c r="H67" s="189">
        <f t="shared" ref="H67:BH67" si="7">IF(AND(H65&gt;=$D$31,H65&lt;$D$31+$D$32),H73*0.75,0)</f>
        <v>5676.0515619095586</v>
      </c>
      <c r="I67" s="189">
        <f t="shared" si="7"/>
        <v>5673.3083026617096</v>
      </c>
      <c r="J67" s="189">
        <f t="shared" si="7"/>
        <v>5670.566369242425</v>
      </c>
      <c r="K67" s="189">
        <f t="shared" si="7"/>
        <v>5667.8257610109285</v>
      </c>
      <c r="L67" s="189">
        <f t="shared" si="7"/>
        <v>5665.0864773267504</v>
      </c>
      <c r="M67" s="189">
        <f t="shared" si="7"/>
        <v>5662.3485175497326</v>
      </c>
      <c r="N67" s="189">
        <f t="shared" si="7"/>
        <v>5659.611881040023</v>
      </c>
      <c r="O67" s="189">
        <f t="shared" si="7"/>
        <v>5656.8765671580823</v>
      </c>
      <c r="P67" s="189">
        <f t="shared" si="7"/>
        <v>5654.1425752646792</v>
      </c>
      <c r="Q67" s="189">
        <f t="shared" si="7"/>
        <v>5651.4099047208902</v>
      </c>
      <c r="R67" s="189">
        <f t="shared" si="7"/>
        <v>5648.6785548881035</v>
      </c>
      <c r="S67" s="189">
        <f t="shared" si="7"/>
        <v>5645.9485251280121</v>
      </c>
      <c r="T67" s="189">
        <f t="shared" si="7"/>
        <v>5643.21981480262</v>
      </c>
      <c r="U67" s="189">
        <f t="shared" si="7"/>
        <v>5640.4924232742396</v>
      </c>
      <c r="V67" s="189">
        <f t="shared" si="7"/>
        <v>0</v>
      </c>
      <c r="W67" s="189">
        <f t="shared" si="7"/>
        <v>0</v>
      </c>
      <c r="X67" s="189">
        <f t="shared" si="7"/>
        <v>0</v>
      </c>
      <c r="Y67" s="189">
        <f t="shared" si="7"/>
        <v>0</v>
      </c>
      <c r="Z67" s="189">
        <f t="shared" si="7"/>
        <v>0</v>
      </c>
      <c r="AA67" s="189">
        <f t="shared" si="7"/>
        <v>0</v>
      </c>
      <c r="AB67" s="189">
        <f t="shared" si="7"/>
        <v>0</v>
      </c>
      <c r="AC67" s="189">
        <f t="shared" si="7"/>
        <v>0</v>
      </c>
      <c r="AD67" s="189">
        <f t="shared" si="7"/>
        <v>0</v>
      </c>
      <c r="AE67" s="189">
        <f t="shared" si="7"/>
        <v>0</v>
      </c>
      <c r="AF67" s="189">
        <f t="shared" si="7"/>
        <v>0</v>
      </c>
      <c r="AG67" s="189">
        <f t="shared" si="7"/>
        <v>0</v>
      </c>
      <c r="AH67" s="189">
        <f t="shared" si="7"/>
        <v>0</v>
      </c>
      <c r="AI67" s="189">
        <f t="shared" si="7"/>
        <v>0</v>
      </c>
      <c r="AJ67" s="189">
        <f t="shared" si="7"/>
        <v>0</v>
      </c>
      <c r="AK67" s="189">
        <f t="shared" si="7"/>
        <v>0</v>
      </c>
      <c r="AL67" s="189">
        <f t="shared" si="7"/>
        <v>0</v>
      </c>
      <c r="AM67" s="189">
        <f t="shared" si="7"/>
        <v>0</v>
      </c>
      <c r="AN67" s="189">
        <f t="shared" si="7"/>
        <v>0</v>
      </c>
      <c r="AO67" s="189">
        <f t="shared" si="7"/>
        <v>0</v>
      </c>
      <c r="AP67" s="189">
        <f t="shared" si="7"/>
        <v>0</v>
      </c>
      <c r="AQ67" s="189">
        <f t="shared" si="7"/>
        <v>0</v>
      </c>
      <c r="AR67" s="189">
        <f t="shared" si="7"/>
        <v>0</v>
      </c>
      <c r="AS67" s="189">
        <f t="shared" si="7"/>
        <v>0</v>
      </c>
      <c r="AT67" s="189">
        <f t="shared" si="7"/>
        <v>0</v>
      </c>
      <c r="AU67" s="189">
        <f t="shared" si="7"/>
        <v>0</v>
      </c>
      <c r="AV67" s="189">
        <f t="shared" si="7"/>
        <v>0</v>
      </c>
      <c r="AW67" s="189">
        <f t="shared" si="7"/>
        <v>0</v>
      </c>
      <c r="AX67" s="189">
        <f t="shared" si="7"/>
        <v>0</v>
      </c>
      <c r="AY67" s="189">
        <f t="shared" si="7"/>
        <v>0</v>
      </c>
      <c r="AZ67" s="189">
        <f t="shared" si="7"/>
        <v>0</v>
      </c>
      <c r="BA67" s="189">
        <f t="shared" si="7"/>
        <v>0</v>
      </c>
      <c r="BB67" s="189">
        <f t="shared" si="7"/>
        <v>0</v>
      </c>
      <c r="BC67" s="189">
        <f t="shared" si="7"/>
        <v>0</v>
      </c>
      <c r="BD67" s="189">
        <f t="shared" si="7"/>
        <v>0</v>
      </c>
      <c r="BE67" s="189">
        <f t="shared" si="7"/>
        <v>0</v>
      </c>
      <c r="BF67" s="189">
        <f t="shared" si="7"/>
        <v>0</v>
      </c>
      <c r="BG67" s="189">
        <f t="shared" si="7"/>
        <v>0</v>
      </c>
      <c r="BH67" s="189">
        <f t="shared" si="7"/>
        <v>0</v>
      </c>
      <c r="BI67" s="188"/>
      <c r="BJ67" s="121"/>
      <c r="BK67" s="121"/>
      <c r="BL67" s="121"/>
      <c r="BM67" s="121"/>
      <c r="BN67" s="121"/>
      <c r="BO67" s="121"/>
    </row>
    <row r="68" spans="2:67" ht="12.75">
      <c r="B68" s="119" t="s">
        <v>814</v>
      </c>
      <c r="C68" s="172" t="s">
        <v>277</v>
      </c>
      <c r="D68" s="121" t="s">
        <v>564</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67" s="192" customFormat="1" ht="12.75">
      <c r="B70" s="193"/>
      <c r="C70" s="177"/>
      <c r="D70" s="180" t="s">
        <v>371</v>
      </c>
      <c r="E70" s="180" t="s">
        <v>264</v>
      </c>
      <c r="F70" s="194">
        <f>F68+F69</f>
        <v>0</v>
      </c>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194"/>
      <c r="AK70" s="194"/>
      <c r="AL70" s="194"/>
      <c r="AM70" s="194"/>
      <c r="AN70" s="194"/>
      <c r="AO70" s="194"/>
      <c r="AP70" s="194"/>
      <c r="AQ70" s="194"/>
      <c r="AR70" s="194"/>
      <c r="AS70" s="194"/>
      <c r="AT70" s="194"/>
      <c r="AU70" s="194"/>
      <c r="AV70" s="194"/>
      <c r="AW70" s="194"/>
      <c r="AX70" s="194"/>
      <c r="AY70" s="194"/>
      <c r="AZ70" s="194"/>
      <c r="BA70" s="194"/>
      <c r="BB70" s="194"/>
      <c r="BC70" s="194"/>
      <c r="BD70" s="194"/>
      <c r="BE70" s="194"/>
      <c r="BF70" s="194"/>
      <c r="BG70" s="194"/>
      <c r="BH70" s="194"/>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2005" t="s">
        <v>285</v>
      </c>
      <c r="D72" s="2006"/>
      <c r="E72" s="2006"/>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1158</v>
      </c>
      <c r="E73" s="121" t="s">
        <v>266</v>
      </c>
      <c r="F73" s="687">
        <f>IF(AND(F$54&gt;=$D$31,F$54&lt;=($D$31+$D$32)),$M$12,0)</f>
        <v>0</v>
      </c>
      <c r="G73" s="687">
        <f>IF(AND(G$54&gt;=$D$31,G$54&lt;=($D$31+$D$32)),$M$12+(INDEX(Forecast!$C38:$C58,COLUMN()-6,1)-'Eff (W &amp; WW)'!$J$4)*'Eff (W &amp; WW)'!$K$16,0)</f>
        <v>7571.7281968360821</v>
      </c>
      <c r="H73" s="687">
        <f>IF(AND(H$54&gt;=$D$31,H$54&lt;=($D$31+$D$32)),$M$12+(INDEX(Forecast!$C38:$C58,COLUMN()-6,1)-'Eff (W &amp; WW)'!$J$4)*'Eff (W &amp; WW)'!$K$16,0)</f>
        <v>7568.0687492127454</v>
      </c>
      <c r="I73" s="687">
        <f>IF(AND(I$54&gt;=$D$31,I$54&lt;=($D$31+$D$32)),$M$12+(INDEX(Forecast!$C38:$C58,COLUMN()-6,1)-'Eff (W &amp; WW)'!$J$4)*'Eff (W &amp; WW)'!$K$16,0)</f>
        <v>7564.4110702156122</v>
      </c>
      <c r="J73" s="687">
        <f>IF(AND(J$54&gt;=$D$31,J$54&lt;=($D$31+$D$32)),$M$12+(INDEX(Forecast!$C38:$C58,COLUMN()-6,1)-'Eff (W &amp; WW)'!$J$4)*'Eff (W &amp; WW)'!$K$16,0)</f>
        <v>7560.7551589899003</v>
      </c>
      <c r="K73" s="687">
        <f>IF(AND(K$54&gt;=$D$31,K$54&lt;=($D$31+$D$32)),$M$12+(INDEX(Forecast!$C38:$C58,COLUMN()-6,1)-'Eff (W &amp; WW)'!$J$4)*'Eff (W &amp; WW)'!$K$16,0)</f>
        <v>7557.1010146812387</v>
      </c>
      <c r="L73" s="687">
        <f>IF(AND(L$54&gt;=$D$31,L$54&lt;=($D$31+$D$32)),$M$12+(INDEX(Forecast!$C38:$C58,COLUMN()-6,1)-'Eff (W &amp; WW)'!$J$4)*'Eff (W &amp; WW)'!$K$16,0)</f>
        <v>7553.4486364356671</v>
      </c>
      <c r="M73" s="687">
        <f>IF(AND(M$54&gt;=$D$31,M$54&lt;=($D$31+$D$32)),$M$12+(INDEX(Forecast!$C38:$C58,COLUMN()-6,1)-'Eff (W &amp; WW)'!$J$4)*'Eff (W &amp; WW)'!$K$16,0)</f>
        <v>7549.7980233996432</v>
      </c>
      <c r="N73" s="687">
        <f>IF(AND(N$54&gt;=$D$31,N$54&lt;=($D$31+$D$32)),$M$12+(INDEX(Forecast!$C38:$C58,COLUMN()-6,1)-'Eff (W &amp; WW)'!$J$4)*'Eff (W &amp; WW)'!$K$16,0)</f>
        <v>7546.1491747200307</v>
      </c>
      <c r="O73" s="687">
        <f>IF(AND(O$54&gt;=$D$31,O$54&lt;=($D$31+$D$32)),$M$12+(INDEX(Forecast!$C38:$C58,COLUMN()-6,1)-'Eff (W &amp; WW)'!$J$4)*'Eff (W &amp; WW)'!$K$16,0)</f>
        <v>7542.5020895441103</v>
      </c>
      <c r="P73" s="687">
        <f>IF(AND(P$54&gt;=$D$31,P$54&lt;=($D$31+$D$32)),$M$12+(INDEX(Forecast!$C38:$C58,COLUMN()-6,1)-'Eff (W &amp; WW)'!$J$4)*'Eff (W &amp; WW)'!$K$16,0)</f>
        <v>7538.8567670195716</v>
      </c>
      <c r="Q73" s="687">
        <f>IF(AND(Q$54&gt;=$D$31,Q$54&lt;=($D$31+$D$32)),$M$12+(INDEX(Forecast!$C38:$C58,COLUMN()-6,1)-'Eff (W &amp; WW)'!$J$4)*'Eff (W &amp; WW)'!$K$16,0)</f>
        <v>7535.2132062945202</v>
      </c>
      <c r="R73" s="687">
        <f>IF(AND(R$54&gt;=$D$31,R$54&lt;=($D$31+$D$32)),$M$12+(INDEX(Forecast!$C38:$C58,COLUMN()-6,1)-'Eff (W &amp; WW)'!$J$4)*'Eff (W &amp; WW)'!$K$16,0)</f>
        <v>7531.5714065174716</v>
      </c>
      <c r="S73" s="687">
        <f>IF(AND(S$54&gt;=$D$31,S$54&lt;=($D$31+$D$32)),$M$12+(INDEX(Forecast!$C38:$C58,COLUMN()-6,1)-'Eff (W &amp; WW)'!$J$4)*'Eff (W &amp; WW)'!$K$16,0)</f>
        <v>7527.9313668373497</v>
      </c>
      <c r="T73" s="687">
        <f>IF(AND(T$54&gt;=$D$31,T$54&lt;=($D$31+$D$32)),$M$12+(INDEX(Forecast!$C38:$C58,COLUMN()-6,1)-'Eff (W &amp; WW)'!$J$4)*'Eff (W &amp; WW)'!$K$16,0)</f>
        <v>7524.2930864034934</v>
      </c>
      <c r="U73" s="687">
        <f>IF(AND(U$54&gt;=$D$31,U$54&lt;=($D$31+$D$32)),$M$12+(INDEX(Forecast!$C38:$C58,COLUMN()-6,1)-'Eff (W &amp; WW)'!$J$4)*'Eff (W &amp; WW)'!$K$16,0)</f>
        <v>7520.6565643656531</v>
      </c>
      <c r="V73" s="687">
        <f>IF(AND(V$54&gt;=$D$31,V$54&lt;=($D$31+$D$32)),$M$12+(INDEX(Forecast!$C38:$C58,COLUMN()-6,1)-'Eff (W &amp; WW)'!$J$4)*'Eff (W &amp; WW)'!$K$16,0)</f>
        <v>7517.0217998739854</v>
      </c>
      <c r="W73" s="687">
        <f>IF(AND(W$54&gt;=$D$31,W$54&lt;=($D$31+$D$32)),$M$12+(INDEX(Forecast!$C38:$C58,COLUMN()-6,1)-'Eff (W &amp; WW)'!$J$4)*'Eff (W &amp; WW)'!$K$16,0)</f>
        <v>0</v>
      </c>
      <c r="X73" s="687">
        <f>IF(AND(X$54&gt;=$D$31,X$54&lt;=($D$31+$D$32)),$M$12+(INDEX(Forecast!$C38:$C58,COLUMN()-6,1)-'Eff (W &amp; WW)'!$J$4)*'Eff (W &amp; WW)'!$K$16,0)</f>
        <v>0</v>
      </c>
      <c r="Y73" s="687">
        <f>IF(AND(Y$54&gt;=$D$31,Y$54&lt;=($D$31+$D$32)),$M$12+(INDEX(Forecast!$C38:$C58,COLUMN()-6,1)-'Eff (W &amp; WW)'!$J$4)*'Eff (W &amp; WW)'!$K$16,0)</f>
        <v>0</v>
      </c>
      <c r="Z73" s="687">
        <f>IF(AND(Z$54&gt;=$D$31,Z$54&lt;=($D$31+$D$32)),$M$12+(INDEX(Forecast!$C38:$C58,COLUMN()-6,1)-'Eff (W &amp; WW)'!$J$4)*'Eff (W &amp; WW)'!$K$16,0)</f>
        <v>0</v>
      </c>
      <c r="AA73" s="687">
        <f>IF(AND(AA$54&gt;=$D$31,AA$54&lt;=($D$31+$D$32)),$M$12+(INDEX(Forecast!$C38:$C58,COLUMN()-6,1)-'Eff (W &amp; WW)'!$J$4)*'Eff (W &amp; WW)'!$K$16,0)</f>
        <v>0</v>
      </c>
      <c r="AB73" s="687">
        <f>IF(AND(AB$54&gt;=$D$31,AB$54&lt;=($D$31+$D$32)),$M$12+(INDEX(Forecast!$C38:$C58,COLUMN()-6,1)-'Eff (W &amp; WW)'!$J$4)*'Eff (W &amp; WW)'!$K$16,0)</f>
        <v>0</v>
      </c>
      <c r="AC73" s="687">
        <f>IF(AND(AC$54&gt;=$D$31,AC$54&lt;=($D$31+$D$32)),$M$12+(INDEX(Forecast!$C38:$C58,COLUMN()-6,1)-'Eff (W &amp; WW)'!$J$4)*'Eff (W &amp; WW)'!$K$16,0)</f>
        <v>0</v>
      </c>
      <c r="AD73" s="687">
        <f>IF(AND(AD$54&gt;=$D$31,AD$54&lt;=($D$31+$D$32)),$M$12+(INDEX(Forecast!$C38:$C58,COLUMN()-6,1)-'Eff (W &amp; WW)'!$J$4)*'Eff (W &amp; WW)'!$K$16,0)</f>
        <v>0</v>
      </c>
      <c r="AE73" s="687">
        <f>IF(AND(AE$54&gt;=$D$31,AE$54&lt;=($D$31+$D$32)),$M$12+(INDEX(Forecast!$C38:$C58,COLUMN()-6,1)-'Eff (W &amp; WW)'!$J$4)*'Eff (W &amp; WW)'!$K$16,0)</f>
        <v>0</v>
      </c>
      <c r="AF73" s="687">
        <f>IF(AND(AF$54&gt;=$D$31,AF$54&lt;=($D$31+$D$32)),$M$12+(INDEX(Forecast!$C38:$C58,COLUMN()-6,1)-'Eff (W &amp; WW)'!$J$4)*'Eff (W &amp; WW)'!$K$16,0)</f>
        <v>0</v>
      </c>
      <c r="AG73" s="687">
        <f>IF(AND(AG$54&gt;=$D$31,AG$54&lt;=($D$31+$D$32)),$M$12+(INDEX(Forecast!$C38:$C58,COLUMN()-6,1)-'Eff (W &amp; WW)'!$J$4)*'Eff (W &amp; WW)'!$K$16,0)</f>
        <v>0</v>
      </c>
      <c r="AH73" s="687">
        <f>IF(AND(AH$54&gt;=$D$31,AH$54&lt;=($D$31+$D$32)),$M$12+(INDEX(Forecast!$C38:$C58,COLUMN()-6,1)-'Eff (W &amp; WW)'!$J$4)*'Eff (W &amp; WW)'!$K$16,0)</f>
        <v>0</v>
      </c>
      <c r="AI73" s="687">
        <f>IF(AND(AI$54&gt;=$D$31,AI$54&lt;=($D$31+$D$32)),$M$12+(INDEX(Forecast!$C38:$C58,COLUMN()-6,1)-'Eff (W &amp; WW)'!$J$4)*'Eff (W &amp; WW)'!$K$16,0)</f>
        <v>0</v>
      </c>
      <c r="AJ73" s="687">
        <f>IF(AND(AJ$54&gt;=$D$31,AJ$54&lt;=($D$31+$D$32)),$M$12+(INDEX(Forecast!$C38:$C58,COLUMN()-6,1)-'Eff (W &amp; WW)'!$J$4)*'Eff (W &amp; WW)'!$K$16,0)</f>
        <v>0</v>
      </c>
      <c r="AK73" s="687">
        <f>IF(AND(AK$54&gt;=$D$31,AK$54&lt;=($D$31+$D$32)),$M$12+(INDEX(Forecast!$C38:$C58,COLUMN()-6,1)-'Eff (W &amp; WW)'!$J$4)*'Eff (W &amp; WW)'!$K$16,0)</f>
        <v>0</v>
      </c>
      <c r="AL73" s="687">
        <f>IF(AND(AL$54&gt;=$D$31,AL$54&lt;=($D$31+$D$32)),$M$12+(INDEX(Forecast!$C38:$C58,COLUMN()-6,1)-'Eff (W &amp; WW)'!$J$4)*'Eff (W &amp; WW)'!$K$16,0)</f>
        <v>0</v>
      </c>
      <c r="AM73" s="687">
        <f>IF(AND(AM$54&gt;=$D$31,AM$54&lt;=($D$31+$D$32)),$M$12+(INDEX(Forecast!$C38:$C58,COLUMN()-6,1)-'Eff (W &amp; WW)'!$J$4)*'Eff (W &amp; WW)'!$K$16,0)</f>
        <v>0</v>
      </c>
      <c r="AN73" s="687">
        <f>IF(AND(AN$54&gt;=$D$31,AN$54&lt;=($D$31+$D$32)),$M$12+(INDEX(Forecast!$C38:$C58,COLUMN()-6,1)-'Eff (W &amp; WW)'!$J$4)*'Eff (W &amp; WW)'!$K$16,0)</f>
        <v>0</v>
      </c>
      <c r="AO73" s="687">
        <f>IF(AND(AO$54&gt;=$D$31,AO$54&lt;=($D$31+$D$32)),$M$12+(INDEX(Forecast!$C38:$C58,COLUMN()-6,1)-'Eff (W &amp; WW)'!$J$4)*'Eff (W &amp; WW)'!$K$16,0)</f>
        <v>0</v>
      </c>
      <c r="AP73" s="687">
        <f>IF(AND(AP$54&gt;=$D$31,AP$54&lt;=($D$31+$D$32)),$M$12+(INDEX(Forecast!$C38:$C58,COLUMN()-6,1)-'Eff (W &amp; WW)'!$J$4)*'Eff (W &amp; WW)'!$K$16,0)</f>
        <v>0</v>
      </c>
      <c r="AQ73" s="687">
        <f>IF(AND(AQ$54&gt;=$D$31,AQ$54&lt;=($D$31+$D$32)),$M$12+(INDEX(Forecast!$C38:$C58,COLUMN()-6,1)-'Eff (W &amp; WW)'!$J$4)*'Eff (W &amp; WW)'!$K$16,0)</f>
        <v>0</v>
      </c>
      <c r="AR73" s="687">
        <f>IF(AND(AR$54&gt;=$D$31,AR$54&lt;=($D$31+$D$32)),$M$12+(INDEX(Forecast!$C38:$C58,COLUMN()-6,1)-'Eff (W &amp; WW)'!$J$4)*'Eff (W &amp; WW)'!$K$16,0)</f>
        <v>0</v>
      </c>
      <c r="AS73" s="687">
        <f>IF(AND(AS$54&gt;=$D$31,AS$54&lt;=($D$31+$D$32)),$M$12+(INDEX(Forecast!$C38:$C58,COLUMN()-6,1)-'Eff (W &amp; WW)'!$J$4)*'Eff (W &amp; WW)'!$K$16,0)</f>
        <v>0</v>
      </c>
      <c r="AT73" s="687">
        <f>IF(AND(AT$54&gt;=$D$31,AT$54&lt;=($D$31+$D$32)),$M$12+(INDEX(Forecast!$C38:$C58,COLUMN()-6,1)-'Eff (W &amp; WW)'!$J$4)*'Eff (W &amp; WW)'!$K$16,0)</f>
        <v>0</v>
      </c>
      <c r="AU73" s="687">
        <f>IF(AND(AU$54&gt;=$D$31,AU$54&lt;=($D$31+$D$32)),$M$12+(INDEX(Forecast!$C38:$C58,COLUMN()-6,1)-'Eff (W &amp; WW)'!$J$4)*'Eff (W &amp; WW)'!$K$16,0)</f>
        <v>0</v>
      </c>
      <c r="AV73" s="687">
        <f>IF(AND(AV$54&gt;=$D$31,AV$54&lt;=($D$31+$D$32)),$M$12+(INDEX(Forecast!$C38:$C58,COLUMN()-6,1)-'Eff (W &amp; WW)'!$J$4)*'Eff (W &amp; WW)'!$K$16,0)</f>
        <v>0</v>
      </c>
      <c r="AW73" s="687">
        <f>IF(AND(AW$54&gt;=$D$31,AW$54&lt;=($D$31+$D$32)),$M$12+(INDEX(Forecast!$C38:$C58,COLUMN()-6,1)-'Eff (W &amp; WW)'!$J$4)*'Eff (W &amp; WW)'!$K$16,0)</f>
        <v>0</v>
      </c>
      <c r="AX73" s="687">
        <f>IF(AND(AX$54&gt;=$D$31,AX$54&lt;=($D$31+$D$32)),$M$12+(INDEX(Forecast!$C38:$C58,COLUMN()-6,1)-'Eff (W &amp; WW)'!$J$4)*'Eff (W &amp; WW)'!$K$16,0)</f>
        <v>0</v>
      </c>
      <c r="AY73" s="687">
        <f>IF(AND(AY$54&gt;=$D$31,AY$54&lt;=($D$31+$D$32)),$M$12+(INDEX(Forecast!$C38:$C58,COLUMN()-6,1)-'Eff (W &amp; WW)'!$J$4)*'Eff (W &amp; WW)'!$K$16,0)</f>
        <v>0</v>
      </c>
      <c r="AZ73" s="687">
        <f>IF(AND(AZ$54&gt;=$D$31,AZ$54&lt;=($D$31+$D$32)),$M$12+(INDEX(Forecast!$C38:$C58,COLUMN()-6,1)-'Eff (W &amp; WW)'!$J$4)*'Eff (W &amp; WW)'!$K$16,0)</f>
        <v>0</v>
      </c>
      <c r="BA73" s="687">
        <f>IF(AND(BA$54&gt;=$D$31,BA$54&lt;=($D$31+$D$32)),$M$12+(INDEX(Forecast!$C38:$C58,COLUMN()-6,1)-'Eff (W &amp; WW)'!$J$4)*'Eff (W &amp; WW)'!$K$16,0)</f>
        <v>0</v>
      </c>
      <c r="BB73" s="687">
        <f>IF(AND(BB$54&gt;=$D$31,BB$54&lt;=($D$31+$D$32)),$M$12+(INDEX(Forecast!$C38:$C58,COLUMN()-6,1)-'Eff (W &amp; WW)'!$J$4)*'Eff (W &amp; WW)'!$K$16,0)</f>
        <v>0</v>
      </c>
      <c r="BC73" s="687">
        <f>IF(AND(BC$54&gt;=$D$31,BC$54&lt;=($D$31+$D$32)),$M$12+(INDEX(Forecast!$C38:$C58,COLUMN()-6,1)-'Eff (W &amp; WW)'!$J$4)*'Eff (W &amp; WW)'!$K$16,0)</f>
        <v>0</v>
      </c>
      <c r="BD73" s="687">
        <f>IF(AND(BD$54&gt;=$D$31,BD$54&lt;=($D$31+$D$32)),$M$12+(INDEX(Forecast!$C38:$C58,COLUMN()-6,1)-'Eff (W &amp; WW)'!$J$4)*'Eff (W &amp; WW)'!$K$16,0)</f>
        <v>0</v>
      </c>
      <c r="BE73" s="687">
        <f>IF(AND(BE$54&gt;=$D$31,BE$54&lt;=($D$31+$D$32)),$M$12+(INDEX(Forecast!$C38:$C58,COLUMN()-6,1)-'Eff (W &amp; WW)'!$J$4)*'Eff (W &amp; WW)'!$K$16,0)</f>
        <v>0</v>
      </c>
      <c r="BF73" s="687">
        <f>IF(AND(BF$54&gt;=$D$31,BF$54&lt;=($D$31+$D$32)),$M$12+(INDEX(Forecast!$C38:$C58,COLUMN()-6,1)-'Eff (W &amp; WW)'!$J$4)*'Eff (W &amp; WW)'!$K$16,0)</f>
        <v>0</v>
      </c>
      <c r="BG73" s="687">
        <f>IF(AND(BG$54&gt;=$D$31,BG$54&lt;=($D$31+$D$32)),$M$12+(INDEX(Forecast!$C38:$C58,COLUMN()-6,1)-'Eff (W &amp; WW)'!$J$4)*'Eff (W &amp; WW)'!$K$16,0)</f>
        <v>0</v>
      </c>
      <c r="BH73" s="687">
        <f>IF(AND(BH$54&gt;=$D$31,BH$54&lt;=($D$31+$D$32)),$M$12+(INDEX(Forecast!$C38:$C58,COLUMN()-6,1)-'Eff (W &amp; WW)'!$J$4)*'Eff (W &amp; WW)'!$K$16,0)</f>
        <v>0</v>
      </c>
      <c r="BI73" s="188"/>
      <c r="BJ73" s="121"/>
      <c r="BK73" s="121"/>
      <c r="BL73" s="121"/>
      <c r="BM73" s="121"/>
      <c r="BN73" s="121"/>
      <c r="BO73" s="121"/>
    </row>
    <row r="74" spans="2:67" s="121" customFormat="1" ht="12.75">
      <c r="B74" s="688"/>
      <c r="C74" s="177"/>
      <c r="D74" s="121" t="s">
        <v>878</v>
      </c>
      <c r="E74" s="121" t="s">
        <v>672</v>
      </c>
      <c r="F74" s="187"/>
      <c r="G74" s="187">
        <f>'Community data'!$L$23+'Community data'!$B$26/Generation_total*VLOOKUP($C$6,'Diesel Fuel Prices'!$D$7:$BN$183,-6+G53,0)/Generation_Efficiency</f>
        <v>0.64824983250221857</v>
      </c>
      <c r="H74" s="187">
        <f>'Community data'!$L$23+'Community data'!$B$26/Generation_total*VLOOKUP($C$6,'Diesel Fuel Prices'!$D$7:$BN$183,-6+H53,0)/Generation_Efficiency</f>
        <v>0.69150855961286672</v>
      </c>
      <c r="I74" s="187">
        <f>'Community data'!$L$23+'Community data'!$B$26/Generation_total*VLOOKUP($C$6,'Diesel Fuel Prices'!$D$7:$BN$183,-6+I53,0)/Generation_Efficiency</f>
        <v>0.70672199623953769</v>
      </c>
      <c r="J74" s="187">
        <f>'Community data'!$L$23+'Community data'!$B$26/Generation_total*VLOOKUP($C$6,'Diesel Fuel Prices'!$D$7:$BN$183,-6+J53,0)/Generation_Efficiency</f>
        <v>0.70783470744698618</v>
      </c>
      <c r="K74" s="187">
        <f>'Community data'!$L$23+'Community data'!$B$26/Generation_total*VLOOKUP($C$6,'Diesel Fuel Prices'!$D$7:$BN$183,-6+K53,0)/Generation_Efficiency</f>
        <v>0.71301796181225408</v>
      </c>
      <c r="L74" s="187">
        <f>'Community data'!$L$23+'Community data'!$B$26/Generation_total*VLOOKUP($C$6,'Diesel Fuel Prices'!$D$7:$BN$183,-6+L53,0)/Generation_Efficiency</f>
        <v>0.7182282533304849</v>
      </c>
      <c r="M74" s="187">
        <f>'Community data'!$L$23+'Community data'!$B$26/Generation_total*VLOOKUP($C$6,'Diesel Fuel Prices'!$D$7:$BN$183,-6+M53,0)/Generation_Efficiency</f>
        <v>0.7252884227118539</v>
      </c>
      <c r="N74" s="187">
        <f>'Community data'!$L$23+'Community data'!$B$26/Generation_total*VLOOKUP($C$6,'Diesel Fuel Prices'!$D$7:$BN$183,-6+N53,0)/Generation_Efficiency</f>
        <v>0.73285652011192237</v>
      </c>
      <c r="O74" s="187">
        <f>'Community data'!$L$23+'Community data'!$B$26/Generation_total*VLOOKUP($C$6,'Diesel Fuel Prices'!$D$7:$BN$183,-6+O53,0)/Generation_Efficiency</f>
        <v>0.7406949602666999</v>
      </c>
      <c r="P74" s="187">
        <f>'Community data'!$L$23+'Community data'!$B$26/Generation_total*VLOOKUP($C$6,'Diesel Fuel Prices'!$D$7:$BN$183,-6+P53,0)/Generation_Efficiency</f>
        <v>0.74869960895461762</v>
      </c>
      <c r="Q74" s="187">
        <f>'Community data'!$L$23+'Community data'!$B$26/Generation_total*VLOOKUP($C$6,'Diesel Fuel Prices'!$D$7:$BN$183,-6+Q53,0)/Generation_Efficiency</f>
        <v>0.75674181627989201</v>
      </c>
      <c r="R74" s="187">
        <f>'Community data'!$L$23+'Community data'!$B$26/Generation_total*VLOOKUP($C$6,'Diesel Fuel Prices'!$D$7:$BN$183,-6+R53,0)/Generation_Efficiency</f>
        <v>0.76530927810877014</v>
      </c>
      <c r="S74" s="187">
        <f>'Community data'!$L$23+'Community data'!$B$26/Generation_total*VLOOKUP($C$6,'Diesel Fuel Prices'!$D$7:$BN$183,-6+S53,0)/Generation_Efficiency</f>
        <v>0.77408629044538979</v>
      </c>
      <c r="T74" s="187">
        <f>'Community data'!$L$23+'Community data'!$B$26/Generation_total*VLOOKUP($C$6,'Diesel Fuel Prices'!$D$7:$BN$183,-6+T53,0)/Generation_Efficiency</f>
        <v>0.78307807387579054</v>
      </c>
      <c r="U74" s="187">
        <f>'Community data'!$L$23+'Community data'!$B$26/Generation_total*VLOOKUP($C$6,'Diesel Fuel Prices'!$D$7:$BN$183,-6+U53,0)/Generation_Efficiency</f>
        <v>0.79228995026404525</v>
      </c>
      <c r="V74" s="187">
        <f>'Community data'!$L$23+'Community data'!$B$26/Generation_total*VLOOKUP($C$6,'Diesel Fuel Prices'!$D$7:$BN$183,-6+V53,0)/Generation_Efficiency</f>
        <v>0.80172735621186453</v>
      </c>
      <c r="W74" s="187">
        <f>'Community data'!$L$23+'Community data'!$B$26/Generation_total*VLOOKUP($C$6,'Diesel Fuel Prices'!$D$7:$BN$183,-6+W53,0)/Generation_Efficiency</f>
        <v>0.81139592315879205</v>
      </c>
      <c r="X74" s="187">
        <f>'Community data'!$L$23+'Community data'!$B$26/Generation_total*VLOOKUP($C$6,'Diesel Fuel Prices'!$D$7:$BN$183,-6+X53,0)/Generation_Efficiency</f>
        <v>0.82130136625896211</v>
      </c>
      <c r="Y74" s="187">
        <f>'Community data'!$L$23+'Community data'!$B$26/Generation_total*VLOOKUP($C$6,'Diesel Fuel Prices'!$D$7:$BN$183,-6+Y53,0)/Generation_Efficiency</f>
        <v>0.83143575511738965</v>
      </c>
      <c r="Z74" s="187">
        <f>'Community data'!$L$23+'Community data'!$B$26/Generation_total*VLOOKUP($C$6,'Diesel Fuel Prices'!$D$7:$BN$183,-6+Z53,0)/Generation_Efficiency</f>
        <v>0.84139664911985468</v>
      </c>
      <c r="AA74" s="187">
        <f>'Community data'!$L$23+'Community data'!$B$26/Generation_total*VLOOKUP($C$6,'Diesel Fuel Prices'!$D$7:$BN$183,-6+AA53,0)/Generation_Efficiency</f>
        <v>0.85187634672094026</v>
      </c>
      <c r="AB74" s="187">
        <f>'Community data'!$L$23+'Community data'!$B$26/Generation_total*VLOOKUP($C$6,'Diesel Fuel Prices'!$D$7:$BN$183,-6+AB53,0)/Generation_Efficiency</f>
        <v>0.86264515591032009</v>
      </c>
      <c r="AC74" s="187">
        <f>'Community data'!$L$23+'Community data'!$B$26/Generation_total*VLOOKUP($C$6,'Diesel Fuel Prices'!$D$7:$BN$183,-6+AC53,0)/Generation_Efficiency</f>
        <v>0.87320651537009186</v>
      </c>
      <c r="AD74" s="187">
        <f>'Community data'!$L$23+'Community data'!$B$26/Generation_total*VLOOKUP($C$6,'Diesel Fuel Prices'!$D$7:$BN$183,-6+AD53,0)/Generation_Efficiency</f>
        <v>0.88456163991227732</v>
      </c>
      <c r="AE74" s="187">
        <f>'Community data'!$L$23+'Community data'!$B$26/Generation_total*VLOOKUP($C$6,'Diesel Fuel Prices'!$D$7:$BN$183,-6+AE53,0)/Generation_Efficiency</f>
        <v>0.89681230392344746</v>
      </c>
      <c r="AF74" s="187">
        <f>'Community data'!$L$23+'Community data'!$B$26/Generation_total*VLOOKUP($C$6,'Diesel Fuel Prices'!$D$7:$BN$183,-6+AF53,0)/Generation_Efficiency</f>
        <v>0.90823147518846659</v>
      </c>
      <c r="AG74" s="187">
        <f>'Community data'!$L$23+'Community data'!$B$26/Generation_total*VLOOKUP($C$6,'Diesel Fuel Prices'!$D$7:$BN$183,-6+AG53,0)/Generation_Efficiency</f>
        <v>0.90823147518846659</v>
      </c>
      <c r="AH74" s="187">
        <f>'Community data'!$L$23+'Community data'!$B$26/Generation_total*VLOOKUP($C$6,'Diesel Fuel Prices'!$D$7:$BN$183,-6+AH53,0)/Generation_Efficiency</f>
        <v>0.90823147518846659</v>
      </c>
      <c r="AI74" s="187">
        <f>'Community data'!$L$23+'Community data'!$B$26/Generation_total*VLOOKUP($C$6,'Diesel Fuel Prices'!$D$7:$BN$183,-6+AI53,0)/Generation_Efficiency</f>
        <v>0.90823147518846659</v>
      </c>
      <c r="AJ74" s="187">
        <f>'Community data'!$L$23+'Community data'!$B$26/Generation_total*VLOOKUP($C$6,'Diesel Fuel Prices'!$D$7:$BN$183,-6+AJ53,0)/Generation_Efficiency</f>
        <v>0.90823147518846659</v>
      </c>
      <c r="AK74" s="187">
        <f>'Community data'!$L$23+'Community data'!$B$26/Generation_total*VLOOKUP($C$6,'Diesel Fuel Prices'!$D$7:$BN$183,-6+AK53,0)/Generation_Efficiency</f>
        <v>0.90823147518846659</v>
      </c>
      <c r="AL74" s="187">
        <f>'Community data'!$L$23+'Community data'!$B$26/Generation_total*VLOOKUP($C$6,'Diesel Fuel Prices'!$D$7:$BN$183,-6+AL53,0)/Generation_Efficiency</f>
        <v>0.90823147518846659</v>
      </c>
      <c r="AM74" s="187">
        <f>'Community data'!$L$23+'Community data'!$B$26/Generation_total*VLOOKUP($C$6,'Diesel Fuel Prices'!$D$7:$BN$183,-6+AM53,0)/Generation_Efficiency</f>
        <v>0.90823147518846659</v>
      </c>
      <c r="AN74" s="187">
        <f>'Community data'!$L$23+'Community data'!$B$26/Generation_total*VLOOKUP($C$6,'Diesel Fuel Prices'!$D$7:$BN$183,-6+AN53,0)/Generation_Efficiency</f>
        <v>0.90823147518846659</v>
      </c>
      <c r="AO74" s="187">
        <f>'Community data'!$L$23+'Community data'!$B$26/Generation_total*VLOOKUP($C$6,'Diesel Fuel Prices'!$D$7:$BN$183,-6+AO53,0)/Generation_Efficiency</f>
        <v>0.90823147518846659</v>
      </c>
      <c r="AP74" s="187">
        <f>'Community data'!$L$23+'Community data'!$B$26/Generation_total*VLOOKUP($C$6,'Diesel Fuel Prices'!$D$7:$BN$183,-6+AP53,0)/Generation_Efficiency</f>
        <v>0.90823147518846659</v>
      </c>
      <c r="AQ74" s="187">
        <f>'Community data'!$L$23+'Community data'!$B$26/Generation_total*VLOOKUP($C$6,'Diesel Fuel Prices'!$D$7:$BN$183,-6+AQ53,0)/Generation_Efficiency</f>
        <v>0.90823147518846659</v>
      </c>
      <c r="AR74" s="187">
        <f>'Community data'!$L$23+'Community data'!$B$26/Generation_total*VLOOKUP($C$6,'Diesel Fuel Prices'!$D$7:$BN$183,-6+AR53,0)/Generation_Efficiency</f>
        <v>0.90823147518846659</v>
      </c>
      <c r="AS74" s="187">
        <f>'Community data'!$L$23+'Community data'!$B$26/Generation_total*VLOOKUP($C$6,'Diesel Fuel Prices'!$D$7:$BN$183,-6+AS53,0)/Generation_Efficiency</f>
        <v>0.90823147518846659</v>
      </c>
      <c r="AT74" s="187">
        <f>'Community data'!$L$23+'Community data'!$B$26/Generation_total*VLOOKUP($C$6,'Diesel Fuel Prices'!$D$7:$BN$183,-6+AT53,0)/Generation_Efficiency</f>
        <v>0.90823147518846659</v>
      </c>
      <c r="AU74" s="187">
        <f>'Community data'!$L$23+'Community data'!$B$26/Generation_total*VLOOKUP($C$6,'Diesel Fuel Prices'!$D$7:$BN$183,-6+AU53,0)/Generation_Efficiency</f>
        <v>0.90823147518846659</v>
      </c>
      <c r="AV74" s="187">
        <f>'Community data'!$L$23+'Community data'!$B$26/Generation_total*VLOOKUP($C$6,'Diesel Fuel Prices'!$D$7:$BN$183,-6+AV53,0)/Generation_Efficiency</f>
        <v>0.90823147518846659</v>
      </c>
      <c r="AW74" s="187">
        <f>'Community data'!$L$23+'Community data'!$B$26/Generation_total*VLOOKUP($C$6,'Diesel Fuel Prices'!$D$7:$BN$183,-6+AW53,0)/Generation_Efficiency</f>
        <v>0.90823147518846659</v>
      </c>
      <c r="AX74" s="187">
        <f>'Community data'!$L$23+'Community data'!$B$26/Generation_total*VLOOKUP($C$6,'Diesel Fuel Prices'!$D$7:$BN$183,-6+AX53,0)/Generation_Efficiency</f>
        <v>0.90823147518846659</v>
      </c>
      <c r="AY74" s="187">
        <f>'Community data'!$L$23+'Community data'!$B$26/Generation_total*VLOOKUP($C$6,'Diesel Fuel Prices'!$D$7:$BN$183,-6+AY53,0)/Generation_Efficiency</f>
        <v>0.90823147518846659</v>
      </c>
      <c r="AZ74" s="187">
        <f>'Community data'!$L$23+'Community data'!$B$26/Generation_total*VLOOKUP($C$6,'Diesel Fuel Prices'!$D$7:$BN$183,-6+AZ53,0)/Generation_Efficiency</f>
        <v>0.90823147518846659</v>
      </c>
      <c r="BA74" s="187">
        <f>'Community data'!$L$23+'Community data'!$B$26/Generation_total*VLOOKUP($C$6,'Diesel Fuel Prices'!$D$7:$BN$183,-6+BA53,0)/Generation_Efficiency</f>
        <v>0.90823147518846659</v>
      </c>
      <c r="BB74" s="187">
        <f>'Community data'!$L$23+'Community data'!$B$26/Generation_total*VLOOKUP($C$6,'Diesel Fuel Prices'!$D$7:$BN$183,-6+BB53,0)/Generation_Efficiency</f>
        <v>0.90823147518846659</v>
      </c>
      <c r="BC74" s="187">
        <f>'Community data'!$L$23+'Community data'!$B$26/Generation_total*VLOOKUP($C$6,'Diesel Fuel Prices'!$D$7:$BN$183,-6+BC53,0)/Generation_Efficiency</f>
        <v>0.90823147518846659</v>
      </c>
      <c r="BD74" s="187">
        <f>'Community data'!$L$23+'Community data'!$B$26/Generation_total*VLOOKUP($C$6,'Diesel Fuel Prices'!$D$7:$BN$183,-6+BD53,0)/Generation_Efficiency</f>
        <v>0.90823147518846659</v>
      </c>
      <c r="BE74" s="187">
        <f>'Community data'!$L$23+'Community data'!$B$26/Generation_total*VLOOKUP($C$6,'Diesel Fuel Prices'!$D$7:$BN$183,-6+BE53,0)/Generation_Efficiency</f>
        <v>0.90823147518846659</v>
      </c>
      <c r="BF74" s="187">
        <f>'Community data'!$L$23+'Community data'!$B$26/Generation_total*VLOOKUP($C$6,'Diesel Fuel Prices'!$D$7:$BN$183,-6+BF53,0)/Generation_Efficiency</f>
        <v>0.90823147518846659</v>
      </c>
      <c r="BG74" s="187">
        <f>'Community data'!$L$23+'Community data'!$B$26/Generation_total*VLOOKUP($C$6,'Diesel Fuel Prices'!$D$7:$BN$183,-6+BG53,0)/Generation_Efficiency</f>
        <v>0.90823147518846659</v>
      </c>
      <c r="BH74" s="187">
        <f>'Community data'!$L$23+'Community data'!$B$26/Generation_total*VLOOKUP($C$6,'Diesel Fuel Prices'!$D$7:$BN$183,-6+BH53,0)/Generation_Efficiency</f>
        <v>0.90823147518846659</v>
      </c>
      <c r="BI74" s="175"/>
    </row>
    <row r="75" spans="2:67" s="192" customFormat="1" ht="12.75">
      <c r="B75" s="193"/>
      <c r="C75" s="182"/>
      <c r="D75" s="184" t="s">
        <v>1165</v>
      </c>
      <c r="E75" s="184" t="s">
        <v>264</v>
      </c>
      <c r="F75" s="197"/>
      <c r="G75" s="197">
        <f>G74*(G73-G67)</f>
        <v>1227.0928838378293</v>
      </c>
      <c r="H75" s="197">
        <f t="shared" ref="H75:BH75" si="8">H74*(H73-H67)</f>
        <v>1308.3460799548143</v>
      </c>
      <c r="I75" s="197">
        <f t="shared" si="8"/>
        <v>1336.4839229798085</v>
      </c>
      <c r="J75" s="197">
        <f t="shared" si="8"/>
        <v>1337.9412290104769</v>
      </c>
      <c r="K75" s="197">
        <f t="shared" si="8"/>
        <v>1347.0871906743339</v>
      </c>
      <c r="L75" s="197">
        <f t="shared" si="8"/>
        <v>1356.2750551921806</v>
      </c>
      <c r="M75" s="197">
        <f t="shared" si="8"/>
        <v>1368.9452750461496</v>
      </c>
      <c r="N75" s="197">
        <f t="shared" si="8"/>
        <v>1382.5611561076942</v>
      </c>
      <c r="O75" s="197">
        <f t="shared" si="8"/>
        <v>1396.6733213815942</v>
      </c>
      <c r="P75" s="197">
        <f t="shared" si="8"/>
        <v>1411.0847783581062</v>
      </c>
      <c r="Q75" s="197">
        <f t="shared" si="8"/>
        <v>1425.5527319468858</v>
      </c>
      <c r="R75" s="197">
        <f t="shared" si="8"/>
        <v>1440.9953690366353</v>
      </c>
      <c r="S75" s="197">
        <f t="shared" si="8"/>
        <v>1456.8171166206544</v>
      </c>
      <c r="T75" s="197">
        <f t="shared" si="8"/>
        <v>1473.0272343444437</v>
      </c>
      <c r="U75" s="197">
        <f t="shared" si="8"/>
        <v>1489.6351538335573</v>
      </c>
      <c r="V75" s="197">
        <f t="shared" si="8"/>
        <v>6026.6020141999215</v>
      </c>
      <c r="W75" s="197">
        <f t="shared" si="8"/>
        <v>0</v>
      </c>
      <c r="X75" s="197">
        <f t="shared" si="8"/>
        <v>0</v>
      </c>
      <c r="Y75" s="197">
        <f t="shared" si="8"/>
        <v>0</v>
      </c>
      <c r="Z75" s="197">
        <f t="shared" si="8"/>
        <v>0</v>
      </c>
      <c r="AA75" s="197">
        <f t="shared" si="8"/>
        <v>0</v>
      </c>
      <c r="AB75" s="197">
        <f t="shared" si="8"/>
        <v>0</v>
      </c>
      <c r="AC75" s="197">
        <f t="shared" si="8"/>
        <v>0</v>
      </c>
      <c r="AD75" s="197">
        <f t="shared" si="8"/>
        <v>0</v>
      </c>
      <c r="AE75" s="197">
        <f t="shared" si="8"/>
        <v>0</v>
      </c>
      <c r="AF75" s="197">
        <f t="shared" si="8"/>
        <v>0</v>
      </c>
      <c r="AG75" s="197">
        <f t="shared" si="8"/>
        <v>0</v>
      </c>
      <c r="AH75" s="197">
        <f t="shared" si="8"/>
        <v>0</v>
      </c>
      <c r="AI75" s="197">
        <f t="shared" si="8"/>
        <v>0</v>
      </c>
      <c r="AJ75" s="197">
        <f t="shared" si="8"/>
        <v>0</v>
      </c>
      <c r="AK75" s="197">
        <f t="shared" si="8"/>
        <v>0</v>
      </c>
      <c r="AL75" s="197">
        <f t="shared" si="8"/>
        <v>0</v>
      </c>
      <c r="AM75" s="197">
        <f t="shared" si="8"/>
        <v>0</v>
      </c>
      <c r="AN75" s="197">
        <f t="shared" si="8"/>
        <v>0</v>
      </c>
      <c r="AO75" s="197">
        <f t="shared" si="8"/>
        <v>0</v>
      </c>
      <c r="AP75" s="197">
        <f t="shared" si="8"/>
        <v>0</v>
      </c>
      <c r="AQ75" s="197">
        <f t="shared" si="8"/>
        <v>0</v>
      </c>
      <c r="AR75" s="197">
        <f t="shared" si="8"/>
        <v>0</v>
      </c>
      <c r="AS75" s="197">
        <f t="shared" si="8"/>
        <v>0</v>
      </c>
      <c r="AT75" s="197">
        <f t="shared" si="8"/>
        <v>0</v>
      </c>
      <c r="AU75" s="197">
        <f t="shared" si="8"/>
        <v>0</v>
      </c>
      <c r="AV75" s="197">
        <f t="shared" si="8"/>
        <v>0</v>
      </c>
      <c r="AW75" s="197">
        <f t="shared" si="8"/>
        <v>0</v>
      </c>
      <c r="AX75" s="197">
        <f t="shared" si="8"/>
        <v>0</v>
      </c>
      <c r="AY75" s="197">
        <f t="shared" si="8"/>
        <v>0</v>
      </c>
      <c r="AZ75" s="197">
        <f t="shared" si="8"/>
        <v>0</v>
      </c>
      <c r="BA75" s="197">
        <f t="shared" si="8"/>
        <v>0</v>
      </c>
      <c r="BB75" s="197">
        <f t="shared" si="8"/>
        <v>0</v>
      </c>
      <c r="BC75" s="197">
        <f t="shared" si="8"/>
        <v>0</v>
      </c>
      <c r="BD75" s="197">
        <f t="shared" si="8"/>
        <v>0</v>
      </c>
      <c r="BE75" s="197">
        <f t="shared" si="8"/>
        <v>0</v>
      </c>
      <c r="BF75" s="197">
        <f t="shared" si="8"/>
        <v>0</v>
      </c>
      <c r="BG75" s="197">
        <f t="shared" si="8"/>
        <v>0</v>
      </c>
      <c r="BH75" s="197">
        <f t="shared" si="8"/>
        <v>0</v>
      </c>
      <c r="BI75" s="175">
        <f>NPV($D$49,F75:BH75)</f>
        <v>20177.295658132654</v>
      </c>
      <c r="BJ75" s="180"/>
      <c r="BK75" s="180"/>
      <c r="BL75" s="180"/>
      <c r="BM75" s="180"/>
      <c r="BN75" s="180"/>
      <c r="BO75" s="180"/>
    </row>
    <row r="76" spans="2:67"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67"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67"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67" ht="12.75">
      <c r="C79" s="168" t="s">
        <v>353</v>
      </c>
      <c r="D79" s="198"/>
      <c r="E79" s="170" t="s">
        <v>263</v>
      </c>
      <c r="F79" s="199">
        <v>2014</v>
      </c>
      <c r="G79" s="199">
        <f t="shared" ref="G79:BH79" si="9">F79+1</f>
        <v>2015</v>
      </c>
      <c r="H79" s="199">
        <f t="shared" si="9"/>
        <v>2016</v>
      </c>
      <c r="I79" s="199">
        <f t="shared" si="9"/>
        <v>2017</v>
      </c>
      <c r="J79" s="199">
        <f t="shared" si="9"/>
        <v>2018</v>
      </c>
      <c r="K79" s="199">
        <f t="shared" si="9"/>
        <v>2019</v>
      </c>
      <c r="L79" s="199">
        <f t="shared" si="9"/>
        <v>2020</v>
      </c>
      <c r="M79" s="199">
        <f t="shared" si="9"/>
        <v>2021</v>
      </c>
      <c r="N79" s="199">
        <f t="shared" si="9"/>
        <v>2022</v>
      </c>
      <c r="O79" s="199">
        <f t="shared" si="9"/>
        <v>2023</v>
      </c>
      <c r="P79" s="199">
        <f t="shared" si="9"/>
        <v>2024</v>
      </c>
      <c r="Q79" s="199">
        <f t="shared" si="9"/>
        <v>2025</v>
      </c>
      <c r="R79" s="199">
        <f t="shared" si="9"/>
        <v>2026</v>
      </c>
      <c r="S79" s="691">
        <f t="shared" si="9"/>
        <v>2027</v>
      </c>
      <c r="T79" s="691">
        <f t="shared" si="9"/>
        <v>2028</v>
      </c>
      <c r="U79" s="691">
        <f t="shared" si="9"/>
        <v>2029</v>
      </c>
      <c r="V79" s="691">
        <f t="shared" si="9"/>
        <v>2030</v>
      </c>
      <c r="W79" s="691">
        <f t="shared" si="9"/>
        <v>2031</v>
      </c>
      <c r="X79" s="691">
        <f t="shared" si="9"/>
        <v>2032</v>
      </c>
      <c r="Y79" s="691">
        <f t="shared" si="9"/>
        <v>2033</v>
      </c>
      <c r="Z79" s="691">
        <f t="shared" si="9"/>
        <v>2034</v>
      </c>
      <c r="AA79" s="691">
        <f t="shared" si="9"/>
        <v>2035</v>
      </c>
      <c r="AB79" s="691">
        <f t="shared" si="9"/>
        <v>2036</v>
      </c>
      <c r="AC79" s="691">
        <f t="shared" si="9"/>
        <v>2037</v>
      </c>
      <c r="AD79" s="691">
        <f t="shared" si="9"/>
        <v>2038</v>
      </c>
      <c r="AE79" s="691">
        <f t="shared" si="9"/>
        <v>2039</v>
      </c>
      <c r="AF79" s="691">
        <f t="shared" si="9"/>
        <v>2040</v>
      </c>
      <c r="AG79" s="691">
        <f t="shared" si="9"/>
        <v>2041</v>
      </c>
      <c r="AH79" s="691">
        <f t="shared" si="9"/>
        <v>2042</v>
      </c>
      <c r="AI79" s="691">
        <f t="shared" si="9"/>
        <v>2043</v>
      </c>
      <c r="AJ79" s="691">
        <f t="shared" si="9"/>
        <v>2044</v>
      </c>
      <c r="AK79" s="691">
        <f t="shared" si="9"/>
        <v>2045</v>
      </c>
      <c r="AL79" s="691">
        <f t="shared" si="9"/>
        <v>2046</v>
      </c>
      <c r="AM79" s="691">
        <f t="shared" si="9"/>
        <v>2047</v>
      </c>
      <c r="AN79" s="691">
        <f t="shared" si="9"/>
        <v>2048</v>
      </c>
      <c r="AO79" s="691">
        <f t="shared" si="9"/>
        <v>2049</v>
      </c>
      <c r="AP79" s="691">
        <f t="shared" si="9"/>
        <v>2050</v>
      </c>
      <c r="AQ79" s="691">
        <f t="shared" si="9"/>
        <v>2051</v>
      </c>
      <c r="AR79" s="691">
        <f t="shared" si="9"/>
        <v>2052</v>
      </c>
      <c r="AS79" s="691">
        <f t="shared" si="9"/>
        <v>2053</v>
      </c>
      <c r="AT79" s="691">
        <f t="shared" si="9"/>
        <v>2054</v>
      </c>
      <c r="AU79" s="691">
        <f t="shared" si="9"/>
        <v>2055</v>
      </c>
      <c r="AV79" s="691">
        <f t="shared" si="9"/>
        <v>2056</v>
      </c>
      <c r="AW79" s="691">
        <f t="shared" si="9"/>
        <v>2057</v>
      </c>
      <c r="AX79" s="691">
        <f t="shared" si="9"/>
        <v>2058</v>
      </c>
      <c r="AY79" s="691">
        <f t="shared" si="9"/>
        <v>2059</v>
      </c>
      <c r="AZ79" s="691">
        <f t="shared" si="9"/>
        <v>2060</v>
      </c>
      <c r="BA79" s="691">
        <f t="shared" si="9"/>
        <v>2061</v>
      </c>
      <c r="BB79" s="691">
        <f t="shared" si="9"/>
        <v>2062</v>
      </c>
      <c r="BC79" s="691">
        <f t="shared" si="9"/>
        <v>2063</v>
      </c>
      <c r="BD79" s="691">
        <f t="shared" si="9"/>
        <v>2064</v>
      </c>
      <c r="BE79" s="691">
        <f t="shared" si="9"/>
        <v>2065</v>
      </c>
      <c r="BF79" s="691">
        <f t="shared" si="9"/>
        <v>2066</v>
      </c>
      <c r="BG79" s="691">
        <f t="shared" si="9"/>
        <v>2067</v>
      </c>
      <c r="BH79" s="691">
        <f t="shared" si="9"/>
        <v>2068</v>
      </c>
      <c r="BI79" s="697" t="s">
        <v>4</v>
      </c>
      <c r="BJ79" s="121"/>
      <c r="BK79" s="121"/>
      <c r="BL79" s="121"/>
      <c r="BM79" s="121"/>
      <c r="BN79" s="121"/>
      <c r="BO79" s="121"/>
    </row>
    <row r="80" spans="2:67" ht="12.75">
      <c r="C80" s="2005" t="s">
        <v>284</v>
      </c>
      <c r="D80" s="2007"/>
      <c r="E80" s="2007"/>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200"/>
      <c r="BJ80" s="121"/>
      <c r="BK80" s="121"/>
      <c r="BL80" s="121"/>
      <c r="BM80" s="121"/>
      <c r="BN80" s="121"/>
      <c r="BO80" s="121"/>
    </row>
    <row r="81" spans="2:67" ht="12.75">
      <c r="C81" s="201"/>
      <c r="D81" s="121" t="s">
        <v>879</v>
      </c>
      <c r="E81" s="121" t="s">
        <v>706</v>
      </c>
      <c r="F81" s="196">
        <f>IF(AND(F54&gt;=$D$31,F54&lt;=($D$31+$D$32)),$N$12,0)</f>
        <v>0</v>
      </c>
      <c r="G81" s="196">
        <f>IF(AND(G54&gt;=$D$31,G54&lt;=($D$31+$D$32)),G90*0.65,0)</f>
        <v>800.8915716405312</v>
      </c>
      <c r="H81" s="196">
        <f t="shared" ref="H81:BH81" si="10">IF(AND(H54&gt;=$D$31,H54&lt;=($D$31+$D$32)),H90*0.65,0)</f>
        <v>800.50449742415663</v>
      </c>
      <c r="I81" s="196">
        <f t="shared" si="10"/>
        <v>800.11761028235537</v>
      </c>
      <c r="J81" s="196">
        <f t="shared" si="10"/>
        <v>799.73091012471343</v>
      </c>
      <c r="K81" s="196">
        <f t="shared" si="10"/>
        <v>799.34439686086068</v>
      </c>
      <c r="L81" s="196">
        <f t="shared" si="10"/>
        <v>798.95807040047021</v>
      </c>
      <c r="M81" s="196">
        <f t="shared" si="10"/>
        <v>798.57193065325976</v>
      </c>
      <c r="N81" s="196">
        <f t="shared" si="10"/>
        <v>798.18597752898961</v>
      </c>
      <c r="O81" s="196">
        <f t="shared" si="10"/>
        <v>797.80021093746427</v>
      </c>
      <c r="P81" s="196">
        <f t="shared" si="10"/>
        <v>797.41463078853155</v>
      </c>
      <c r="Q81" s="196">
        <f t="shared" si="10"/>
        <v>797.02923699208316</v>
      </c>
      <c r="R81" s="196">
        <f t="shared" si="10"/>
        <v>796.64402945805409</v>
      </c>
      <c r="S81" s="196">
        <f t="shared" si="10"/>
        <v>796.25900809642303</v>
      </c>
      <c r="T81" s="196">
        <f t="shared" si="10"/>
        <v>795.87417281721184</v>
      </c>
      <c r="U81" s="196">
        <f t="shared" si="10"/>
        <v>795.48952353048651</v>
      </c>
      <c r="V81" s="196">
        <f t="shared" si="10"/>
        <v>795.10506014635575</v>
      </c>
      <c r="W81" s="196">
        <f t="shared" si="10"/>
        <v>0</v>
      </c>
      <c r="X81" s="196">
        <f t="shared" si="10"/>
        <v>0</v>
      </c>
      <c r="Y81" s="196">
        <f t="shared" si="10"/>
        <v>0</v>
      </c>
      <c r="Z81" s="196">
        <f t="shared" si="10"/>
        <v>0</v>
      </c>
      <c r="AA81" s="196">
        <f t="shared" si="10"/>
        <v>0</v>
      </c>
      <c r="AB81" s="196">
        <f t="shared" si="10"/>
        <v>0</v>
      </c>
      <c r="AC81" s="196">
        <f t="shared" si="10"/>
        <v>0</v>
      </c>
      <c r="AD81" s="196">
        <f t="shared" si="10"/>
        <v>0</v>
      </c>
      <c r="AE81" s="196">
        <f t="shared" si="10"/>
        <v>0</v>
      </c>
      <c r="AF81" s="196">
        <f t="shared" si="10"/>
        <v>0</v>
      </c>
      <c r="AG81" s="196">
        <f t="shared" si="10"/>
        <v>0</v>
      </c>
      <c r="AH81" s="196">
        <f t="shared" si="10"/>
        <v>0</v>
      </c>
      <c r="AI81" s="196">
        <f t="shared" si="10"/>
        <v>0</v>
      </c>
      <c r="AJ81" s="196">
        <f t="shared" si="10"/>
        <v>0</v>
      </c>
      <c r="AK81" s="196">
        <f t="shared" si="10"/>
        <v>0</v>
      </c>
      <c r="AL81" s="196">
        <f t="shared" si="10"/>
        <v>0</v>
      </c>
      <c r="AM81" s="196">
        <f t="shared" si="10"/>
        <v>0</v>
      </c>
      <c r="AN81" s="196">
        <f t="shared" si="10"/>
        <v>0</v>
      </c>
      <c r="AO81" s="196">
        <f t="shared" si="10"/>
        <v>0</v>
      </c>
      <c r="AP81" s="196">
        <f t="shared" si="10"/>
        <v>0</v>
      </c>
      <c r="AQ81" s="196">
        <f t="shared" si="10"/>
        <v>0</v>
      </c>
      <c r="AR81" s="196">
        <f t="shared" si="10"/>
        <v>0</v>
      </c>
      <c r="AS81" s="196">
        <f t="shared" si="10"/>
        <v>0</v>
      </c>
      <c r="AT81" s="196">
        <f t="shared" si="10"/>
        <v>0</v>
      </c>
      <c r="AU81" s="196">
        <f t="shared" si="10"/>
        <v>0</v>
      </c>
      <c r="AV81" s="196">
        <f t="shared" si="10"/>
        <v>0</v>
      </c>
      <c r="AW81" s="196">
        <f t="shared" si="10"/>
        <v>0</v>
      </c>
      <c r="AX81" s="196">
        <f t="shared" si="10"/>
        <v>0</v>
      </c>
      <c r="AY81" s="196">
        <f t="shared" si="10"/>
        <v>0</v>
      </c>
      <c r="AZ81" s="196">
        <f t="shared" si="10"/>
        <v>0</v>
      </c>
      <c r="BA81" s="196">
        <f t="shared" si="10"/>
        <v>0</v>
      </c>
      <c r="BB81" s="196">
        <f t="shared" si="10"/>
        <v>0</v>
      </c>
      <c r="BC81" s="196">
        <f t="shared" si="10"/>
        <v>0</v>
      </c>
      <c r="BD81" s="196">
        <f t="shared" si="10"/>
        <v>0</v>
      </c>
      <c r="BE81" s="196">
        <f t="shared" si="10"/>
        <v>0</v>
      </c>
      <c r="BF81" s="196">
        <f t="shared" si="10"/>
        <v>0</v>
      </c>
      <c r="BG81" s="196">
        <f t="shared" si="10"/>
        <v>0</v>
      </c>
      <c r="BH81" s="196">
        <f t="shared" si="10"/>
        <v>0</v>
      </c>
      <c r="BI81" s="175"/>
      <c r="BJ81" s="121"/>
      <c r="BK81" s="121"/>
      <c r="BL81" s="121"/>
      <c r="BM81" s="121"/>
      <c r="BN81" s="121"/>
      <c r="BO81" s="121"/>
    </row>
    <row r="82" spans="2:67" ht="12.75">
      <c r="C82" s="1828" t="s">
        <v>2343</v>
      </c>
      <c r="D82" s="121"/>
      <c r="E82" s="1792" t="s">
        <v>2339</v>
      </c>
      <c r="F82" s="196"/>
      <c r="G82" s="196">
        <f>IF(AND(G54&gt;=$D$31,G54&lt;=($D$31+$D$32)),G91*0.65,0)</f>
        <v>0</v>
      </c>
      <c r="H82" s="196">
        <f t="shared" ref="H82:BH82" si="11">IF(AND(H54&gt;=$D$31,H54&lt;=($D$31+$D$32)),H91*0.65,0)</f>
        <v>0</v>
      </c>
      <c r="I82" s="196">
        <f t="shared" si="11"/>
        <v>0</v>
      </c>
      <c r="J82" s="196">
        <f t="shared" si="11"/>
        <v>0</v>
      </c>
      <c r="K82" s="196">
        <f t="shared" si="11"/>
        <v>0</v>
      </c>
      <c r="L82" s="196">
        <f t="shared" si="11"/>
        <v>0</v>
      </c>
      <c r="M82" s="196">
        <f t="shared" si="11"/>
        <v>0</v>
      </c>
      <c r="N82" s="196">
        <f t="shared" si="11"/>
        <v>0</v>
      </c>
      <c r="O82" s="196">
        <f t="shared" si="11"/>
        <v>0</v>
      </c>
      <c r="P82" s="196">
        <f t="shared" si="11"/>
        <v>0</v>
      </c>
      <c r="Q82" s="196">
        <f t="shared" si="11"/>
        <v>0</v>
      </c>
      <c r="R82" s="196">
        <f t="shared" si="11"/>
        <v>0</v>
      </c>
      <c r="S82" s="196">
        <f t="shared" si="11"/>
        <v>0</v>
      </c>
      <c r="T82" s="196">
        <f t="shared" si="11"/>
        <v>0</v>
      </c>
      <c r="U82" s="196">
        <f t="shared" si="11"/>
        <v>0</v>
      </c>
      <c r="V82" s="196">
        <f t="shared" si="11"/>
        <v>0</v>
      </c>
      <c r="W82" s="196">
        <f t="shared" si="11"/>
        <v>0</v>
      </c>
      <c r="X82" s="196">
        <f t="shared" si="11"/>
        <v>0</v>
      </c>
      <c r="Y82" s="196">
        <f t="shared" si="11"/>
        <v>0</v>
      </c>
      <c r="Z82" s="196">
        <f t="shared" si="11"/>
        <v>0</v>
      </c>
      <c r="AA82" s="196">
        <f t="shared" si="11"/>
        <v>0</v>
      </c>
      <c r="AB82" s="196">
        <f t="shared" si="11"/>
        <v>0</v>
      </c>
      <c r="AC82" s="196">
        <f t="shared" si="11"/>
        <v>0</v>
      </c>
      <c r="AD82" s="196">
        <f t="shared" si="11"/>
        <v>0</v>
      </c>
      <c r="AE82" s="196">
        <f t="shared" si="11"/>
        <v>0</v>
      </c>
      <c r="AF82" s="196">
        <f t="shared" si="11"/>
        <v>0</v>
      </c>
      <c r="AG82" s="196">
        <f t="shared" si="11"/>
        <v>0</v>
      </c>
      <c r="AH82" s="196">
        <f t="shared" si="11"/>
        <v>0</v>
      </c>
      <c r="AI82" s="196">
        <f t="shared" si="11"/>
        <v>0</v>
      </c>
      <c r="AJ82" s="196">
        <f t="shared" si="11"/>
        <v>0</v>
      </c>
      <c r="AK82" s="196">
        <f t="shared" si="11"/>
        <v>0</v>
      </c>
      <c r="AL82" s="196">
        <f t="shared" si="11"/>
        <v>0</v>
      </c>
      <c r="AM82" s="196">
        <f t="shared" si="11"/>
        <v>0</v>
      </c>
      <c r="AN82" s="196">
        <f t="shared" si="11"/>
        <v>0</v>
      </c>
      <c r="AO82" s="196">
        <f t="shared" si="11"/>
        <v>0</v>
      </c>
      <c r="AP82" s="196">
        <f t="shared" si="11"/>
        <v>0</v>
      </c>
      <c r="AQ82" s="196">
        <f t="shared" si="11"/>
        <v>0</v>
      </c>
      <c r="AR82" s="196">
        <f t="shared" si="11"/>
        <v>0</v>
      </c>
      <c r="AS82" s="196">
        <f t="shared" si="11"/>
        <v>0</v>
      </c>
      <c r="AT82" s="196">
        <f t="shared" si="11"/>
        <v>0</v>
      </c>
      <c r="AU82" s="196">
        <f t="shared" si="11"/>
        <v>0</v>
      </c>
      <c r="AV82" s="196">
        <f t="shared" si="11"/>
        <v>0</v>
      </c>
      <c r="AW82" s="196">
        <f t="shared" si="11"/>
        <v>0</v>
      </c>
      <c r="AX82" s="196">
        <f t="shared" si="11"/>
        <v>0</v>
      </c>
      <c r="AY82" s="196">
        <f t="shared" si="11"/>
        <v>0</v>
      </c>
      <c r="AZ82" s="196">
        <f t="shared" si="11"/>
        <v>0</v>
      </c>
      <c r="BA82" s="196">
        <f t="shared" si="11"/>
        <v>0</v>
      </c>
      <c r="BB82" s="196">
        <f t="shared" si="11"/>
        <v>0</v>
      </c>
      <c r="BC82" s="196">
        <f t="shared" si="11"/>
        <v>0</v>
      </c>
      <c r="BD82" s="196">
        <f t="shared" si="11"/>
        <v>0</v>
      </c>
      <c r="BE82" s="196">
        <f t="shared" si="11"/>
        <v>0</v>
      </c>
      <c r="BF82" s="196">
        <f t="shared" si="11"/>
        <v>0</v>
      </c>
      <c r="BG82" s="196">
        <f t="shared" si="11"/>
        <v>0</v>
      </c>
      <c r="BH82" s="196">
        <f t="shared" si="11"/>
        <v>0</v>
      </c>
      <c r="BI82" s="175"/>
      <c r="BJ82" s="121"/>
      <c r="BK82" s="121"/>
      <c r="BL82" s="121"/>
      <c r="BM82" s="121"/>
      <c r="BN82" s="121"/>
      <c r="BO82" s="121"/>
    </row>
    <row r="83" spans="2:67" ht="12.75">
      <c r="C83" s="201"/>
      <c r="D83" s="121" t="s">
        <v>568</v>
      </c>
      <c r="E83" s="121" t="s">
        <v>264</v>
      </c>
      <c r="F83" s="176">
        <v>0</v>
      </c>
      <c r="G83" s="176"/>
      <c r="H83" s="176"/>
      <c r="I83" s="176"/>
      <c r="J83" s="176"/>
      <c r="K83" s="176"/>
      <c r="L83" s="176"/>
      <c r="M83" s="176"/>
      <c r="N83" s="176"/>
      <c r="O83" s="176"/>
      <c r="P83" s="176"/>
      <c r="Q83" s="176"/>
      <c r="R83" s="176"/>
      <c r="S83" s="176"/>
      <c r="T83" s="176"/>
      <c r="U83" s="176"/>
      <c r="V83" s="176"/>
      <c r="W83" s="176"/>
      <c r="X83" s="176"/>
      <c r="Y83" s="176"/>
      <c r="Z83" s="176"/>
      <c r="AA83" s="176"/>
      <c r="AB83" s="176">
        <v>0</v>
      </c>
      <c r="AC83" s="176">
        <v>0</v>
      </c>
      <c r="AD83" s="176">
        <v>0</v>
      </c>
      <c r="AE83" s="176">
        <v>0</v>
      </c>
      <c r="AF83" s="176">
        <v>0</v>
      </c>
      <c r="AG83" s="176">
        <v>0</v>
      </c>
      <c r="AH83" s="176">
        <v>0</v>
      </c>
      <c r="AI83" s="176">
        <v>0</v>
      </c>
      <c r="AJ83" s="176">
        <v>0</v>
      </c>
      <c r="AK83" s="176">
        <v>0</v>
      </c>
      <c r="AL83" s="176">
        <v>0</v>
      </c>
      <c r="AM83" s="176">
        <v>0</v>
      </c>
      <c r="AN83" s="176">
        <v>0</v>
      </c>
      <c r="AO83" s="176">
        <v>0</v>
      </c>
      <c r="AP83" s="176">
        <v>0</v>
      </c>
      <c r="AQ83" s="176">
        <v>0</v>
      </c>
      <c r="AR83" s="176">
        <v>0</v>
      </c>
      <c r="AS83" s="176">
        <v>0</v>
      </c>
      <c r="AT83" s="176">
        <v>0</v>
      </c>
      <c r="AU83" s="176">
        <v>0</v>
      </c>
      <c r="AV83" s="176">
        <v>0</v>
      </c>
      <c r="AW83" s="176">
        <v>0</v>
      </c>
      <c r="AX83" s="176">
        <v>0</v>
      </c>
      <c r="AY83" s="176">
        <v>0</v>
      </c>
      <c r="AZ83" s="176">
        <v>0</v>
      </c>
      <c r="BA83" s="176">
        <v>0</v>
      </c>
      <c r="BB83" s="176">
        <v>0</v>
      </c>
      <c r="BC83" s="176">
        <v>0</v>
      </c>
      <c r="BD83" s="176">
        <v>0</v>
      </c>
      <c r="BE83" s="176">
        <v>0</v>
      </c>
      <c r="BF83" s="176">
        <v>0</v>
      </c>
      <c r="BG83" s="176">
        <v>0</v>
      </c>
      <c r="BH83" s="176">
        <v>0</v>
      </c>
      <c r="BI83" s="175">
        <f>NPV($D$49,F83:BH83)</f>
        <v>0</v>
      </c>
      <c r="BJ83" s="121"/>
      <c r="BK83" s="121"/>
      <c r="BL83" s="121"/>
      <c r="BM83" s="121"/>
      <c r="BN83" s="121"/>
      <c r="BO83" s="121"/>
    </row>
    <row r="84" spans="2:67" ht="12.75">
      <c r="C84" s="201"/>
      <c r="D84" s="121" t="s">
        <v>567</v>
      </c>
      <c r="E84" s="121" t="s">
        <v>264</v>
      </c>
      <c r="F84" s="176">
        <v>0</v>
      </c>
      <c r="G84" s="176"/>
      <c r="H84" s="176"/>
      <c r="I84" s="176"/>
      <c r="J84" s="176"/>
      <c r="K84" s="176"/>
      <c r="L84" s="176"/>
      <c r="M84" s="176"/>
      <c r="N84" s="176"/>
      <c r="O84" s="176"/>
      <c r="P84" s="176"/>
      <c r="Q84" s="176"/>
      <c r="R84" s="176"/>
      <c r="S84" s="176"/>
      <c r="T84" s="176"/>
      <c r="U84" s="176"/>
      <c r="V84" s="176"/>
      <c r="W84" s="176"/>
      <c r="X84" s="176"/>
      <c r="Y84" s="176"/>
      <c r="Z84" s="176"/>
      <c r="AA84" s="176"/>
      <c r="AB84" s="176"/>
      <c r="AC84" s="176"/>
      <c r="AD84" s="176"/>
      <c r="AE84" s="176"/>
      <c r="AF84" s="176"/>
      <c r="AG84" s="176"/>
      <c r="AH84" s="176"/>
      <c r="AI84" s="176"/>
      <c r="AJ84" s="176"/>
      <c r="AK84" s="176"/>
      <c r="AL84" s="176"/>
      <c r="AM84" s="176"/>
      <c r="AN84" s="176"/>
      <c r="AO84" s="176"/>
      <c r="AP84" s="176"/>
      <c r="AQ84" s="176"/>
      <c r="AR84" s="176"/>
      <c r="AS84" s="176"/>
      <c r="AT84" s="176"/>
      <c r="AU84" s="176"/>
      <c r="AV84" s="176"/>
      <c r="AW84" s="176"/>
      <c r="AX84" s="176"/>
      <c r="AY84" s="176"/>
      <c r="AZ84" s="176"/>
      <c r="BA84" s="176"/>
      <c r="BB84" s="176"/>
      <c r="BC84" s="176"/>
      <c r="BD84" s="176"/>
      <c r="BE84" s="176"/>
      <c r="BF84" s="176"/>
      <c r="BG84" s="176"/>
      <c r="BH84" s="176"/>
      <c r="BI84" s="175">
        <f>NPV($D$49,F84:BH84)</f>
        <v>0</v>
      </c>
      <c r="BJ84" s="121"/>
      <c r="BK84" s="121"/>
      <c r="BL84" s="121"/>
      <c r="BM84" s="121"/>
      <c r="BN84" s="121"/>
      <c r="BO84" s="121"/>
    </row>
    <row r="85" spans="2:67" ht="12.75">
      <c r="C85" s="201"/>
      <c r="D85" s="121" t="s">
        <v>710</v>
      </c>
      <c r="E85" s="121" t="s">
        <v>269</v>
      </c>
      <c r="F85" s="176"/>
      <c r="G85" s="282">
        <f>G92</f>
        <v>4.2059794220983502</v>
      </c>
      <c r="H85" s="282">
        <f t="shared" ref="H85:AA85" si="12">H92</f>
        <v>4.6732754001702883</v>
      </c>
      <c r="I85" s="282">
        <f t="shared" si="12"/>
        <v>4.8376162909716216</v>
      </c>
      <c r="J85" s="282">
        <f t="shared" si="12"/>
        <v>4.8496361886136912</v>
      </c>
      <c r="K85" s="282">
        <f t="shared" si="12"/>
        <v>4.9056275244664125</v>
      </c>
      <c r="L85" s="282">
        <f t="shared" si="12"/>
        <v>4.9619109251504847</v>
      </c>
      <c r="M85" s="282">
        <f t="shared" si="12"/>
        <v>5.0381773568460284</v>
      </c>
      <c r="N85" s="282">
        <f t="shared" si="12"/>
        <v>5.1199306055642086</v>
      </c>
      <c r="O85" s="282">
        <f t="shared" si="12"/>
        <v>5.2046041917591079</v>
      </c>
      <c r="P85" s="282">
        <f t="shared" si="12"/>
        <v>5.2910732209604339</v>
      </c>
      <c r="Q85" s="282">
        <f t="shared" si="12"/>
        <v>5.377947971766412</v>
      </c>
      <c r="R85" s="282">
        <f t="shared" si="12"/>
        <v>5.4704967063761769</v>
      </c>
      <c r="S85" s="282">
        <f t="shared" si="12"/>
        <v>5.5653090792390989</v>
      </c>
      <c r="T85" s="282">
        <f t="shared" si="12"/>
        <v>5.6624414849609002</v>
      </c>
      <c r="U85" s="282">
        <f t="shared" si="12"/>
        <v>5.7619514121882238</v>
      </c>
      <c r="V85" s="282">
        <f t="shared" si="12"/>
        <v>5.863897589004015</v>
      </c>
      <c r="W85" s="282">
        <f t="shared" si="12"/>
        <v>5.9683408481979816</v>
      </c>
      <c r="X85" s="282">
        <f t="shared" si="12"/>
        <v>6.075342926874276</v>
      </c>
      <c r="Y85" s="282">
        <f t="shared" si="12"/>
        <v>6.184818158118297</v>
      </c>
      <c r="Z85" s="282">
        <f t="shared" si="12"/>
        <v>6.292419236935225</v>
      </c>
      <c r="AA85" s="282">
        <f t="shared" si="12"/>
        <v>6.4056246146124609</v>
      </c>
      <c r="AB85" s="176"/>
      <c r="AC85" s="176"/>
      <c r="AD85" s="176"/>
      <c r="AE85" s="176"/>
      <c r="AF85" s="176"/>
      <c r="AG85" s="176"/>
      <c r="AH85" s="176"/>
      <c r="AI85" s="176"/>
      <c r="AJ85" s="176"/>
      <c r="AK85" s="176"/>
      <c r="AL85" s="176"/>
      <c r="AM85" s="176"/>
      <c r="AN85" s="176"/>
      <c r="AO85" s="176"/>
      <c r="AP85" s="176"/>
      <c r="AQ85" s="176"/>
      <c r="AR85" s="176"/>
      <c r="AS85" s="176"/>
      <c r="AT85" s="176"/>
      <c r="AU85" s="176"/>
      <c r="AV85" s="176"/>
      <c r="AW85" s="176"/>
      <c r="AX85" s="176"/>
      <c r="AY85" s="176"/>
      <c r="AZ85" s="176"/>
      <c r="BA85" s="176"/>
      <c r="BB85" s="176"/>
      <c r="BC85" s="176"/>
      <c r="BD85" s="176"/>
      <c r="BE85" s="176"/>
      <c r="BF85" s="176"/>
      <c r="BG85" s="176"/>
      <c r="BH85" s="176"/>
      <c r="BI85" s="175"/>
      <c r="BJ85" s="121"/>
      <c r="BK85" s="121"/>
      <c r="BL85" s="121"/>
      <c r="BM85" s="121"/>
      <c r="BN85" s="121"/>
      <c r="BO85" s="121"/>
    </row>
    <row r="86" spans="2:67" ht="12.75">
      <c r="C86" s="1828" t="s">
        <v>2344</v>
      </c>
      <c r="D86" s="121" t="s">
        <v>711</v>
      </c>
      <c r="E86" s="121" t="s">
        <v>264</v>
      </c>
      <c r="F86" s="176"/>
      <c r="G86" s="282">
        <f>IF(AND(G65&gt;=$D$31,G65&lt;$D$31+$D$32),G85*G81+G82*G93,0)</f>
        <v>3368.5334696520808</v>
      </c>
      <c r="H86" s="282">
        <f t="shared" ref="H86:BH86" si="13">IF(AND(H65&gt;=$D$31,H65&lt;$D$31+$D$32),H85*H81+H82*H93,0)</f>
        <v>3740.9779755379909</v>
      </c>
      <c r="I86" s="282">
        <f t="shared" si="13"/>
        <v>3870.6619861952054</v>
      </c>
      <c r="J86" s="282">
        <f t="shared" si="13"/>
        <v>3878.4039628937735</v>
      </c>
      <c r="K86" s="282">
        <f t="shared" si="13"/>
        <v>3921.2858747686414</v>
      </c>
      <c r="L86" s="282">
        <f t="shared" si="13"/>
        <v>3964.3587782572431</v>
      </c>
      <c r="M86" s="282">
        <f t="shared" si="13"/>
        <v>4023.3470188300703</v>
      </c>
      <c r="N86" s="282">
        <f t="shared" si="13"/>
        <v>4086.6568152828595</v>
      </c>
      <c r="O86" s="282">
        <f t="shared" si="13"/>
        <v>4152.2343220314269</v>
      </c>
      <c r="P86" s="282">
        <f t="shared" si="13"/>
        <v>4219.1791989672511</v>
      </c>
      <c r="Q86" s="282">
        <f t="shared" si="13"/>
        <v>4286.3817685201047</v>
      </c>
      <c r="R86" s="282">
        <f t="shared" si="13"/>
        <v>4358.0385393045308</v>
      </c>
      <c r="S86" s="282">
        <f t="shared" si="13"/>
        <v>4431.427487184942</v>
      </c>
      <c r="T86" s="282">
        <f t="shared" si="13"/>
        <v>4506.5909329691212</v>
      </c>
      <c r="U86" s="282">
        <f t="shared" si="13"/>
        <v>4583.5719834874244</v>
      </c>
      <c r="V86" s="282">
        <f t="shared" si="13"/>
        <v>0</v>
      </c>
      <c r="W86" s="282">
        <f t="shared" si="13"/>
        <v>0</v>
      </c>
      <c r="X86" s="282">
        <f t="shared" si="13"/>
        <v>0</v>
      </c>
      <c r="Y86" s="282">
        <f t="shared" si="13"/>
        <v>0</v>
      </c>
      <c r="Z86" s="282">
        <f t="shared" si="13"/>
        <v>0</v>
      </c>
      <c r="AA86" s="282">
        <f t="shared" si="13"/>
        <v>0</v>
      </c>
      <c r="AB86" s="282">
        <f t="shared" si="13"/>
        <v>0</v>
      </c>
      <c r="AC86" s="282">
        <f t="shared" si="13"/>
        <v>0</v>
      </c>
      <c r="AD86" s="282">
        <f t="shared" si="13"/>
        <v>0</v>
      </c>
      <c r="AE86" s="282">
        <f t="shared" si="13"/>
        <v>0</v>
      </c>
      <c r="AF86" s="282">
        <f t="shared" si="13"/>
        <v>0</v>
      </c>
      <c r="AG86" s="282">
        <f t="shared" si="13"/>
        <v>0</v>
      </c>
      <c r="AH86" s="282">
        <f t="shared" si="13"/>
        <v>0</v>
      </c>
      <c r="AI86" s="282">
        <f t="shared" si="13"/>
        <v>0</v>
      </c>
      <c r="AJ86" s="282">
        <f t="shared" si="13"/>
        <v>0</v>
      </c>
      <c r="AK86" s="282">
        <f t="shared" si="13"/>
        <v>0</v>
      </c>
      <c r="AL86" s="282">
        <f t="shared" si="13"/>
        <v>0</v>
      </c>
      <c r="AM86" s="282">
        <f t="shared" si="13"/>
        <v>0</v>
      </c>
      <c r="AN86" s="282">
        <f t="shared" si="13"/>
        <v>0</v>
      </c>
      <c r="AO86" s="282">
        <f t="shared" si="13"/>
        <v>0</v>
      </c>
      <c r="AP86" s="282">
        <f t="shared" si="13"/>
        <v>0</v>
      </c>
      <c r="AQ86" s="282">
        <f t="shared" si="13"/>
        <v>0</v>
      </c>
      <c r="AR86" s="282">
        <f t="shared" si="13"/>
        <v>0</v>
      </c>
      <c r="AS86" s="282">
        <f t="shared" si="13"/>
        <v>0</v>
      </c>
      <c r="AT86" s="282">
        <f t="shared" si="13"/>
        <v>0</v>
      </c>
      <c r="AU86" s="282">
        <f t="shared" si="13"/>
        <v>0</v>
      </c>
      <c r="AV86" s="282">
        <f t="shared" si="13"/>
        <v>0</v>
      </c>
      <c r="AW86" s="282">
        <f t="shared" si="13"/>
        <v>0</v>
      </c>
      <c r="AX86" s="282">
        <f t="shared" si="13"/>
        <v>0</v>
      </c>
      <c r="AY86" s="282">
        <f t="shared" si="13"/>
        <v>0</v>
      </c>
      <c r="AZ86" s="282">
        <f t="shared" si="13"/>
        <v>0</v>
      </c>
      <c r="BA86" s="282">
        <f t="shared" si="13"/>
        <v>0</v>
      </c>
      <c r="BB86" s="282">
        <f t="shared" si="13"/>
        <v>0</v>
      </c>
      <c r="BC86" s="282">
        <f t="shared" si="13"/>
        <v>0</v>
      </c>
      <c r="BD86" s="282">
        <f t="shared" si="13"/>
        <v>0</v>
      </c>
      <c r="BE86" s="282">
        <f t="shared" si="13"/>
        <v>0</v>
      </c>
      <c r="BF86" s="282">
        <f t="shared" si="13"/>
        <v>0</v>
      </c>
      <c r="BG86" s="282">
        <f t="shared" si="13"/>
        <v>0</v>
      </c>
      <c r="BH86" s="282">
        <f t="shared" si="13"/>
        <v>0</v>
      </c>
      <c r="BI86" s="175"/>
      <c r="BJ86" s="121"/>
      <c r="BK86" s="121"/>
      <c r="BL86" s="121"/>
      <c r="BM86" s="121"/>
      <c r="BN86" s="121"/>
      <c r="BO86" s="121"/>
    </row>
    <row r="87" spans="2:67" s="192" customFormat="1" ht="12.75">
      <c r="B87" s="193"/>
      <c r="C87" s="190"/>
      <c r="D87" s="180" t="s">
        <v>373</v>
      </c>
      <c r="E87" s="180" t="s">
        <v>264</v>
      </c>
      <c r="F87" s="194">
        <f>F83+F84</f>
        <v>0</v>
      </c>
      <c r="G87" s="828">
        <f>G86+G84+G83</f>
        <v>3368.5334696520808</v>
      </c>
      <c r="H87" s="828">
        <f t="shared" ref="H87:BH87" si="14">H86+H84+H83</f>
        <v>3740.9779755379909</v>
      </c>
      <c r="I87" s="828">
        <f t="shared" si="14"/>
        <v>3870.6619861952054</v>
      </c>
      <c r="J87" s="828">
        <f t="shared" si="14"/>
        <v>3878.4039628937735</v>
      </c>
      <c r="K87" s="828">
        <f t="shared" si="14"/>
        <v>3921.2858747686414</v>
      </c>
      <c r="L87" s="828">
        <f t="shared" si="14"/>
        <v>3964.3587782572431</v>
      </c>
      <c r="M87" s="828">
        <f t="shared" si="14"/>
        <v>4023.3470188300703</v>
      </c>
      <c r="N87" s="828">
        <f t="shared" si="14"/>
        <v>4086.6568152828595</v>
      </c>
      <c r="O87" s="828">
        <f t="shared" si="14"/>
        <v>4152.2343220314269</v>
      </c>
      <c r="P87" s="828">
        <f t="shared" si="14"/>
        <v>4219.1791989672511</v>
      </c>
      <c r="Q87" s="828">
        <f t="shared" si="14"/>
        <v>4286.3817685201047</v>
      </c>
      <c r="R87" s="828">
        <f t="shared" si="14"/>
        <v>4358.0385393045308</v>
      </c>
      <c r="S87" s="828">
        <f t="shared" si="14"/>
        <v>4431.427487184942</v>
      </c>
      <c r="T87" s="828">
        <f t="shared" si="14"/>
        <v>4506.5909329691212</v>
      </c>
      <c r="U87" s="828">
        <f t="shared" si="14"/>
        <v>4583.5719834874244</v>
      </c>
      <c r="V87" s="828">
        <f t="shared" si="14"/>
        <v>0</v>
      </c>
      <c r="W87" s="828">
        <f t="shared" si="14"/>
        <v>0</v>
      </c>
      <c r="X87" s="828">
        <f t="shared" si="14"/>
        <v>0</v>
      </c>
      <c r="Y87" s="828">
        <f t="shared" si="14"/>
        <v>0</v>
      </c>
      <c r="Z87" s="828">
        <f t="shared" si="14"/>
        <v>0</v>
      </c>
      <c r="AA87" s="828">
        <f t="shared" si="14"/>
        <v>0</v>
      </c>
      <c r="AB87" s="828">
        <f t="shared" si="14"/>
        <v>0</v>
      </c>
      <c r="AC87" s="828">
        <f t="shared" si="14"/>
        <v>0</v>
      </c>
      <c r="AD87" s="828">
        <f t="shared" si="14"/>
        <v>0</v>
      </c>
      <c r="AE87" s="828">
        <f t="shared" si="14"/>
        <v>0</v>
      </c>
      <c r="AF87" s="828">
        <f t="shared" si="14"/>
        <v>0</v>
      </c>
      <c r="AG87" s="828">
        <f t="shared" si="14"/>
        <v>0</v>
      </c>
      <c r="AH87" s="828">
        <f t="shared" si="14"/>
        <v>0</v>
      </c>
      <c r="AI87" s="828">
        <f t="shared" si="14"/>
        <v>0</v>
      </c>
      <c r="AJ87" s="828">
        <f t="shared" si="14"/>
        <v>0</v>
      </c>
      <c r="AK87" s="828">
        <f t="shared" si="14"/>
        <v>0</v>
      </c>
      <c r="AL87" s="828">
        <f t="shared" si="14"/>
        <v>0</v>
      </c>
      <c r="AM87" s="828">
        <f t="shared" si="14"/>
        <v>0</v>
      </c>
      <c r="AN87" s="828">
        <f t="shared" si="14"/>
        <v>0</v>
      </c>
      <c r="AO87" s="828">
        <f t="shared" si="14"/>
        <v>0</v>
      </c>
      <c r="AP87" s="828">
        <f t="shared" si="14"/>
        <v>0</v>
      </c>
      <c r="AQ87" s="828">
        <f t="shared" si="14"/>
        <v>0</v>
      </c>
      <c r="AR87" s="828">
        <f t="shared" si="14"/>
        <v>0</v>
      </c>
      <c r="AS87" s="828">
        <f t="shared" si="14"/>
        <v>0</v>
      </c>
      <c r="AT87" s="828">
        <f t="shared" si="14"/>
        <v>0</v>
      </c>
      <c r="AU87" s="828">
        <f t="shared" si="14"/>
        <v>0</v>
      </c>
      <c r="AV87" s="828">
        <f t="shared" si="14"/>
        <v>0</v>
      </c>
      <c r="AW87" s="828">
        <f t="shared" si="14"/>
        <v>0</v>
      </c>
      <c r="AX87" s="828">
        <f t="shared" si="14"/>
        <v>0</v>
      </c>
      <c r="AY87" s="828">
        <f t="shared" si="14"/>
        <v>0</v>
      </c>
      <c r="AZ87" s="828">
        <f t="shared" si="14"/>
        <v>0</v>
      </c>
      <c r="BA87" s="828">
        <f t="shared" si="14"/>
        <v>0</v>
      </c>
      <c r="BB87" s="828">
        <f t="shared" si="14"/>
        <v>0</v>
      </c>
      <c r="BC87" s="828">
        <f t="shared" si="14"/>
        <v>0</v>
      </c>
      <c r="BD87" s="828">
        <f t="shared" si="14"/>
        <v>0</v>
      </c>
      <c r="BE87" s="828">
        <f t="shared" si="14"/>
        <v>0</v>
      </c>
      <c r="BF87" s="828">
        <f t="shared" si="14"/>
        <v>0</v>
      </c>
      <c r="BG87" s="828">
        <f t="shared" si="14"/>
        <v>0</v>
      </c>
      <c r="BH87" s="828">
        <f t="shared" si="14"/>
        <v>0</v>
      </c>
      <c r="BI87" s="175">
        <f>NPV($D$49,F87:BH87)</f>
        <v>46989.12674116221</v>
      </c>
      <c r="BJ87" s="180"/>
      <c r="BK87" s="180"/>
      <c r="BL87" s="180"/>
      <c r="BM87" s="180"/>
      <c r="BN87" s="180"/>
      <c r="BO87" s="180"/>
    </row>
    <row r="88" spans="2:67" ht="12.75">
      <c r="C88" s="190"/>
      <c r="D88" s="121"/>
      <c r="E88" s="121"/>
      <c r="F88" s="195"/>
      <c r="G88" s="195"/>
      <c r="H88" s="195"/>
      <c r="I88" s="195"/>
      <c r="J88" s="195"/>
      <c r="K88" s="195"/>
      <c r="L88" s="195"/>
      <c r="M88" s="195"/>
      <c r="N88" s="195"/>
      <c r="O88" s="195"/>
      <c r="P88" s="195"/>
      <c r="Q88" s="195"/>
      <c r="R88" s="195"/>
      <c r="S88" s="195"/>
      <c r="T88" s="195"/>
      <c r="U88" s="195"/>
      <c r="V88" s="195"/>
      <c r="W88" s="195"/>
      <c r="X88" s="195"/>
      <c r="Y88" s="195"/>
      <c r="Z88" s="195"/>
      <c r="AA88" s="195"/>
      <c r="AB88" s="195"/>
      <c r="AC88" s="195"/>
      <c r="AD88" s="195"/>
      <c r="AE88" s="195"/>
      <c r="AF88" s="195"/>
      <c r="AG88" s="195"/>
      <c r="AH88" s="195"/>
      <c r="AI88" s="195"/>
      <c r="AJ88" s="195"/>
      <c r="AK88" s="195"/>
      <c r="AL88" s="195"/>
      <c r="AM88" s="195"/>
      <c r="AN88" s="195"/>
      <c r="AO88" s="195"/>
      <c r="AP88" s="195"/>
      <c r="AQ88" s="195"/>
      <c r="AR88" s="195"/>
      <c r="AS88" s="195"/>
      <c r="AT88" s="195"/>
      <c r="AU88" s="195"/>
      <c r="AV88" s="195"/>
      <c r="AW88" s="195"/>
      <c r="AX88" s="195"/>
      <c r="AY88" s="195"/>
      <c r="AZ88" s="195"/>
      <c r="BA88" s="195"/>
      <c r="BB88" s="195"/>
      <c r="BC88" s="195"/>
      <c r="BD88" s="195"/>
      <c r="BE88" s="195"/>
      <c r="BF88" s="195"/>
      <c r="BG88" s="195"/>
      <c r="BH88" s="195"/>
      <c r="BI88" s="175"/>
      <c r="BJ88" s="121"/>
      <c r="BK88" s="121"/>
      <c r="BL88" s="121"/>
      <c r="BM88" s="121"/>
      <c r="BN88" s="121"/>
      <c r="BO88" s="121"/>
    </row>
    <row r="89" spans="2:67" ht="12.75">
      <c r="C89" s="2005" t="s">
        <v>285</v>
      </c>
      <c r="D89" s="2007"/>
      <c r="E89" s="2007"/>
      <c r="F89" s="121"/>
      <c r="G89" s="121"/>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200"/>
      <c r="BJ89" s="121"/>
      <c r="BK89" s="121"/>
      <c r="BL89" s="121"/>
      <c r="BM89" s="121"/>
      <c r="BN89" s="121"/>
      <c r="BO89" s="121"/>
    </row>
    <row r="90" spans="2:67" ht="12.75">
      <c r="C90" s="201"/>
      <c r="D90" s="121" t="s">
        <v>712</v>
      </c>
      <c r="E90" s="121" t="str">
        <f>IF(C7="railbelt south of Alaska Range","mmBtu per year","gallons per year")</f>
        <v>gallons per year</v>
      </c>
      <c r="F90" s="196">
        <f>IF(AND(F65+1&gt;$D$31,F65&lt;$D$31+$D$32),$M$13,0)</f>
        <v>0</v>
      </c>
      <c r="G90" s="196">
        <f>$M$13+$K$17*(INDEX(Forecast!$C38:$C472,COLUMN()-6,1)-'Eff (W &amp; WW)'!$J$4)</f>
        <v>1232.140879446971</v>
      </c>
      <c r="H90" s="196">
        <f>$M$13+$K$17*(INDEX(Forecast!$C38:$C472,COLUMN()-6,1)-'Eff (W &amp; WW)'!$J$4)</f>
        <v>1231.5453806525486</v>
      </c>
      <c r="I90" s="196">
        <f>$M$13+$K$17*(INDEX(Forecast!$C38:$C472,COLUMN()-6,1)-'Eff (W &amp; WW)'!$J$4)</f>
        <v>1230.9501696651621</v>
      </c>
      <c r="J90" s="196">
        <f>$M$13+$K$17*(INDEX(Forecast!$C38:$C472,COLUMN()-6,1)-'Eff (W &amp; WW)'!$J$4)</f>
        <v>1230.3552463457129</v>
      </c>
      <c r="K90" s="196">
        <f>$M$13+$K$17*(INDEX(Forecast!$C38:$C472,COLUMN()-6,1)-'Eff (W &amp; WW)'!$J$4)</f>
        <v>1229.7606105551702</v>
      </c>
      <c r="L90" s="196">
        <f>$M$13+$K$17*(INDEX(Forecast!$C38:$C472,COLUMN()-6,1)-'Eff (W &amp; WW)'!$J$4)</f>
        <v>1229.1662621545695</v>
      </c>
      <c r="M90" s="196">
        <f>$M$13+$K$17*(INDEX(Forecast!$C38:$C472,COLUMN()-6,1)-'Eff (W &amp; WW)'!$J$4)</f>
        <v>1228.5722010050149</v>
      </c>
      <c r="N90" s="196">
        <f>$M$13+$K$17*(INDEX(Forecast!$C38:$C472,COLUMN()-6,1)-'Eff (W &amp; WW)'!$J$4)</f>
        <v>1227.9784269676763</v>
      </c>
      <c r="O90" s="196">
        <f>$M$13+$K$17*(INDEX(Forecast!$C38:$C472,COLUMN()-6,1)-'Eff (W &amp; WW)'!$J$4)</f>
        <v>1227.3849399037911</v>
      </c>
      <c r="P90" s="196">
        <f>$M$13+$K$17*(INDEX(Forecast!$C38:$C472,COLUMN()-6,1)-'Eff (W &amp; WW)'!$J$4)</f>
        <v>1226.7917396746639</v>
      </c>
      <c r="Q90" s="196">
        <f>$M$13+$K$17*(INDEX(Forecast!$C38:$C472,COLUMN()-6,1)-'Eff (W &amp; WW)'!$J$4)</f>
        <v>1226.1988261416664</v>
      </c>
      <c r="R90" s="196">
        <f>$M$13+$K$17*(INDEX(Forecast!$C38:$C472,COLUMN()-6,1)-'Eff (W &amp; WW)'!$J$4)</f>
        <v>1225.606199166237</v>
      </c>
      <c r="S90" s="196">
        <f>$M$13+$K$17*(INDEX(Forecast!$C38:$C472,COLUMN()-6,1)-'Eff (W &amp; WW)'!$J$4)</f>
        <v>1225.0138586098815</v>
      </c>
      <c r="T90" s="196">
        <f>$M$13+$K$17*(INDEX(Forecast!$C38:$C472,COLUMN()-6,1)-'Eff (W &amp; WW)'!$J$4)</f>
        <v>1224.4218043341721</v>
      </c>
      <c r="U90" s="196">
        <f>$M$13+$K$17*(INDEX(Forecast!$C38:$C472,COLUMN()-6,1)-'Eff (W &amp; WW)'!$J$4)</f>
        <v>1223.8300362007485</v>
      </c>
      <c r="V90" s="196">
        <f>$M$13+$K$17*(INDEX(Forecast!$C38:$C472,COLUMN()-6,1)-'Eff (W &amp; WW)'!$J$4)</f>
        <v>1223.2385540713165</v>
      </c>
      <c r="W90" s="196">
        <f>$M$13+$K$17*(INDEX(Forecast!$C38:$C472,COLUMN()-6,1)-'Eff (W &amp; WW)'!$J$4)</f>
        <v>1222.6473578076493</v>
      </c>
      <c r="X90" s="196">
        <f>$M$13+$K$17*(INDEX(Forecast!$C38:$C472,COLUMN()-6,1)-'Eff (W &amp; WW)'!$J$4)</f>
        <v>1222.0564472715873</v>
      </c>
      <c r="Y90" s="196">
        <f>$M$13+$K$17*(INDEX(Forecast!$C38:$C472,COLUMN()-6,1)-'Eff (W &amp; WW)'!$J$4)</f>
        <v>1221.4658223250367</v>
      </c>
      <c r="Z90" s="196">
        <f>$M$13+$K$17*(INDEX(Forecast!$C38:$C472,COLUMN()-6,1)-'Eff (W &amp; WW)'!$J$4)</f>
        <v>1220.8754828299709</v>
      </c>
      <c r="AA90" s="196">
        <f>$M$13+$K$17*(INDEX(Forecast!$C38:$C472,COLUMN()-6,1)-'Eff (W &amp; WW)'!$J$4)</f>
        <v>1220.2854286484301</v>
      </c>
      <c r="AB90" s="196">
        <f>$M$13+$K$17*(INDEX(Forecast!$C38:$C472,COLUMN()-6,1)-'Eff (W &amp; WW)'!$J$4)</f>
        <v>1219.6956596425209</v>
      </c>
      <c r="AC90" s="196">
        <f>$M$13+$K$17*(INDEX(Forecast!$C38:$C472,COLUMN()-6,1)-'Eff (W &amp; WW)'!$J$4)</f>
        <v>1219.1061756744173</v>
      </c>
      <c r="AD90" s="196">
        <f>$M$13+$K$17*(INDEX(Forecast!$C38:$C472,COLUMN()-6,1)-'Eff (W &amp; WW)'!$J$4)</f>
        <v>1218.5169766063586</v>
      </c>
      <c r="AE90" s="196">
        <f>$M$13+$K$17*(INDEX(Forecast!$C38:$C472,COLUMN()-6,1)-'Eff (W &amp; WW)'!$J$4)</f>
        <v>1217.9280623006521</v>
      </c>
      <c r="AF90" s="196">
        <f>$M$13+$K$17*(INDEX(Forecast!$C38:$C472,COLUMN()-6,1)-'Eff (W &amp; WW)'!$J$4)</f>
        <v>1217.3394326196706</v>
      </c>
      <c r="AG90" s="196">
        <f>$M$13+$K$17*(INDEX(Forecast!$C38:$C472,COLUMN()-6,1)-'Eff (W &amp; WW)'!$J$4)</f>
        <v>1216.7510874258537</v>
      </c>
      <c r="AH90" s="196">
        <f>$M$13+$K$17*(INDEX(Forecast!$C38:$C472,COLUMN()-6,1)-'Eff (W &amp; WW)'!$J$4)</f>
        <v>1216.1630265817078</v>
      </c>
      <c r="AI90" s="196">
        <f>$M$13+$K$17*(INDEX(Forecast!$C38:$C472,COLUMN()-6,1)-'Eff (W &amp; WW)'!$J$4)</f>
        <v>1215.5752499498058</v>
      </c>
      <c r="AJ90" s="196">
        <f>$M$13+$K$17*(INDEX(Forecast!$C38:$C472,COLUMN()-6,1)-'Eff (W &amp; WW)'!$J$4)</f>
        <v>1214.9877573927861</v>
      </c>
      <c r="AK90" s="196">
        <f>$M$13+$K$17*(INDEX(Forecast!$C38:$C472,COLUMN()-6,1)-'Eff (W &amp; WW)'!$J$4)</f>
        <v>1214.4005487733543</v>
      </c>
      <c r="AL90" s="196">
        <f>$M$13+$K$17*(INDEX(Forecast!$C38:$C472,COLUMN()-6,1)-'Eff (W &amp; WW)'!$J$4)</f>
        <v>1213.8136239542825</v>
      </c>
      <c r="AM90" s="196">
        <f>$M$13+$K$17*(INDEX(Forecast!$C38:$C472,COLUMN()-6,1)-'Eff (W &amp; WW)'!$J$4)</f>
        <v>1213.2269827984087</v>
      </c>
      <c r="AN90" s="196">
        <f>$M$13+$K$17*(INDEX(Forecast!$C38:$C472,COLUMN()-6,1)-'Eff (W &amp; WW)'!$J$4)</f>
        <v>1212.6406251686371</v>
      </c>
      <c r="AO90" s="196">
        <f>$M$13+$K$17*(INDEX(Forecast!$C38:$C472,COLUMN()-6,1)-'Eff (W &amp; WW)'!$J$4)</f>
        <v>1212.0545509279389</v>
      </c>
      <c r="AP90" s="196">
        <f>$M$13+$K$17*(INDEX(Forecast!$C38:$C472,COLUMN()-6,1)-'Eff (W &amp; WW)'!$J$4)</f>
        <v>1211.4687599393501</v>
      </c>
      <c r="AQ90" s="196">
        <f>$M$13+$K$17*(INDEX(Forecast!$C38:$C472,COLUMN()-6,1)-'Eff (W &amp; WW)'!$J$4)</f>
        <v>1210.8832520659744</v>
      </c>
      <c r="AR90" s="196">
        <f>$M$13+$K$17*(INDEX(Forecast!$C38:$C472,COLUMN()-6,1)-'Eff (W &amp; WW)'!$J$4)</f>
        <v>1210.298027170981</v>
      </c>
      <c r="AS90" s="196">
        <f>$M$13+$K$17*(INDEX(Forecast!$C38:$C472,COLUMN()-6,1)-'Eff (W &amp; WW)'!$J$4)</f>
        <v>1209.713085117605</v>
      </c>
      <c r="AT90" s="196">
        <f>$M$13+$K$17*(INDEX(Forecast!$C38:$C472,COLUMN()-6,1)-'Eff (W &amp; WW)'!$J$4)</f>
        <v>0</v>
      </c>
      <c r="AU90" s="196">
        <f>$M$13+$K$17*(INDEX(Forecast!$C38:$C472,COLUMN()-6,1)-'Eff (W &amp; WW)'!$J$4)</f>
        <v>0</v>
      </c>
      <c r="AV90" s="196">
        <f>$M$13+$K$17*(INDEX(Forecast!$C38:$C472,COLUMN()-6,1)-'Eff (W &amp; WW)'!$J$4)</f>
        <v>0</v>
      </c>
      <c r="AW90" s="196">
        <f>$M$13+$K$17*(INDEX(Forecast!$C38:$C472,COLUMN()-6,1)-'Eff (W &amp; WW)'!$J$4)</f>
        <v>0</v>
      </c>
      <c r="AX90" s="196">
        <f>$M$13+$K$17*(INDEX(Forecast!$C38:$C472,COLUMN()-6,1)-'Eff (W &amp; WW)'!$J$4)</f>
        <v>0</v>
      </c>
      <c r="AY90" s="196">
        <f>$M$13+$K$17*(INDEX(Forecast!$C38:$C472,COLUMN()-6,1)-'Eff (W &amp; WW)'!$J$4)</f>
        <v>0</v>
      </c>
      <c r="AZ90" s="196">
        <f>$M$13+$K$17*(INDEX(Forecast!$C38:$C472,COLUMN()-6,1)-'Eff (W &amp; WW)'!$J$4)</f>
        <v>0</v>
      </c>
      <c r="BA90" s="196">
        <f>$M$13+$K$17*(INDEX(Forecast!$C38:$C472,COLUMN()-6,1)-'Eff (W &amp; WW)'!$J$4)</f>
        <v>0</v>
      </c>
      <c r="BB90" s="196">
        <f>$M$13+$K$17*(INDEX(Forecast!$C38:$C472,COLUMN()-6,1)-'Eff (W &amp; WW)'!$J$4)</f>
        <v>0</v>
      </c>
      <c r="BC90" s="196">
        <f>$M$13+$K$17*(INDEX(Forecast!$C38:$C472,COLUMN()-6,1)-'Eff (W &amp; WW)'!$J$4)</f>
        <v>0</v>
      </c>
      <c r="BD90" s="196">
        <f>$M$13+$K$17*(INDEX(Forecast!$C38:$C472,COLUMN()-6,1)-'Eff (W &amp; WW)'!$J$4)</f>
        <v>0</v>
      </c>
      <c r="BE90" s="196">
        <f>$M$13+$K$17*(INDEX(Forecast!$C38:$C472,COLUMN()-6,1)-'Eff (W &amp; WW)'!$J$4)</f>
        <v>0</v>
      </c>
      <c r="BF90" s="196">
        <f>$M$13+$K$17*(INDEX(Forecast!$C38:$C472,COLUMN()-6,1)-'Eff (W &amp; WW)'!$J$4)</f>
        <v>0</v>
      </c>
      <c r="BG90" s="196">
        <f>$M$13+$K$17*(INDEX(Forecast!$C38:$C472,COLUMN()-6,1)-'Eff (W &amp; WW)'!$J$4)</f>
        <v>0</v>
      </c>
      <c r="BH90" s="196">
        <f>$M$13+$K$17*(INDEX(Forecast!$C38:$C472,COLUMN()-6,1)-'Eff (W &amp; WW)'!$J$4)</f>
        <v>0</v>
      </c>
      <c r="BI90" s="175"/>
      <c r="BJ90" s="121"/>
      <c r="BK90" s="121"/>
      <c r="BL90" s="121"/>
      <c r="BM90" s="121"/>
      <c r="BN90" s="121"/>
      <c r="BO90" s="121"/>
    </row>
    <row r="91" spans="2:67" ht="12.75">
      <c r="C91" s="1828" t="s">
        <v>2343</v>
      </c>
      <c r="D91" s="1792" t="s">
        <v>2340</v>
      </c>
      <c r="E91" s="121" t="s">
        <v>2339</v>
      </c>
      <c r="F91" s="196"/>
      <c r="G91" s="196">
        <f>($J$18+$K$17*0.138/16*(INDEX(Forecast!$C38:$C472,COLUMN()-6,1)-'Eff (W &amp; WW)'!$J$4))*IF($J$11="Yes",1,0)</f>
        <v>0</v>
      </c>
      <c r="H91" s="196">
        <f>($J$18+$K$17*0.138/16*(INDEX(Forecast!$C38:$C472,COLUMN()-6,1)-'Eff (W &amp; WW)'!$J$4))*IF($J$11="Yes",1,0)</f>
        <v>0</v>
      </c>
      <c r="I91" s="196">
        <f>($J$18+$K$17*0.138/16*(INDEX(Forecast!$C38:$C472,COLUMN()-6,1)-'Eff (W &amp; WW)'!$J$4))*IF($J$11="Yes",1,0)</f>
        <v>0</v>
      </c>
      <c r="J91" s="196">
        <f>($J$18+$K$17*0.138/16*(INDEX(Forecast!$C38:$C472,COLUMN()-6,1)-'Eff (W &amp; WW)'!$J$4))*IF($J$11="Yes",1,0)</f>
        <v>0</v>
      </c>
      <c r="K91" s="196">
        <f>($J$18+$K$17*0.138/16*(INDEX(Forecast!$C38:$C472,COLUMN()-6,1)-'Eff (W &amp; WW)'!$J$4))*IF($J$11="Yes",1,0)</f>
        <v>0</v>
      </c>
      <c r="L91" s="196">
        <f>($J$18+$K$17*0.138/16*(INDEX(Forecast!$C38:$C472,COLUMN()-6,1)-'Eff (W &amp; WW)'!$J$4))*IF($J$11="Yes",1,0)</f>
        <v>0</v>
      </c>
      <c r="M91" s="196">
        <f>($J$18+$K$17*0.138/16*(INDEX(Forecast!$C38:$C472,COLUMN()-6,1)-'Eff (W &amp; WW)'!$J$4))*IF($J$11="Yes",1,0)</f>
        <v>0</v>
      </c>
      <c r="N91" s="196">
        <f>($J$18+$K$17*0.138/16*(INDEX(Forecast!$C38:$C472,COLUMN()-6,1)-'Eff (W &amp; WW)'!$J$4))*IF($J$11="Yes",1,0)</f>
        <v>0</v>
      </c>
      <c r="O91" s="196">
        <f>($J$18+$K$17*0.138/16*(INDEX(Forecast!$C38:$C472,COLUMN()-6,1)-'Eff (W &amp; WW)'!$J$4))*IF($J$11="Yes",1,0)</f>
        <v>0</v>
      </c>
      <c r="P91" s="196">
        <f>($J$18+$K$17*0.138/16*(INDEX(Forecast!$C38:$C472,COLUMN()-6,1)-'Eff (W &amp; WW)'!$J$4))*IF($J$11="Yes",1,0)</f>
        <v>0</v>
      </c>
      <c r="Q91" s="196">
        <f>($J$18+$K$17*0.138/16*(INDEX(Forecast!$C38:$C472,COLUMN()-6,1)-'Eff (W &amp; WW)'!$J$4))*IF($J$11="Yes",1,0)</f>
        <v>0</v>
      </c>
      <c r="R91" s="196">
        <f>($J$18+$K$17*0.138/16*(INDEX(Forecast!$C38:$C472,COLUMN()-6,1)-'Eff (W &amp; WW)'!$J$4))*IF($J$11="Yes",1,0)</f>
        <v>0</v>
      </c>
      <c r="S91" s="196">
        <f>($J$18+$K$17*0.138/16*(INDEX(Forecast!$C38:$C472,COLUMN()-6,1)-'Eff (W &amp; WW)'!$J$4))*IF($J$11="Yes",1,0)</f>
        <v>0</v>
      </c>
      <c r="T91" s="196">
        <f>($J$18+$K$17*0.138/16*(INDEX(Forecast!$C38:$C472,COLUMN()-6,1)-'Eff (W &amp; WW)'!$J$4))*IF($J$11="Yes",1,0)</f>
        <v>0</v>
      </c>
      <c r="U91" s="196">
        <f>($J$18+$K$17*0.138/16*(INDEX(Forecast!$C38:$C472,COLUMN()-6,1)-'Eff (W &amp; WW)'!$J$4))*IF($J$11="Yes",1,0)</f>
        <v>0</v>
      </c>
      <c r="V91" s="196">
        <f>($J$18+$K$17*0.138/16*(INDEX(Forecast!$C38:$C472,COLUMN()-6,1)-'Eff (W &amp; WW)'!$J$4))*IF($J$11="Yes",1,0)</f>
        <v>0</v>
      </c>
      <c r="W91" s="196">
        <f>($J$18+$K$17*0.138/16*(INDEX(Forecast!$C38:$C472,COLUMN()-6,1)-'Eff (W &amp; WW)'!$J$4))*IF($J$11="Yes",1,0)</f>
        <v>0</v>
      </c>
      <c r="X91" s="196">
        <f>($J$18+$K$17*0.138/16*(INDEX(Forecast!$C38:$C472,COLUMN()-6,1)-'Eff (W &amp; WW)'!$J$4))*IF($J$11="Yes",1,0)</f>
        <v>0</v>
      </c>
      <c r="Y91" s="196">
        <f>($J$18+$K$17*0.138/16*(INDEX(Forecast!$C38:$C472,COLUMN()-6,1)-'Eff (W &amp; WW)'!$J$4))*IF($J$11="Yes",1,0)</f>
        <v>0</v>
      </c>
      <c r="Z91" s="196">
        <f>($J$18+$K$17*0.138/16*(INDEX(Forecast!$C38:$C472,COLUMN()-6,1)-'Eff (W &amp; WW)'!$J$4))*IF($J$11="Yes",1,0)</f>
        <v>0</v>
      </c>
      <c r="AA91" s="196">
        <f>($J$18+$K$17*0.138/16*(INDEX(Forecast!$C38:$C472,COLUMN()-6,1)-'Eff (W &amp; WW)'!$J$4))*IF($J$11="Yes",1,0)</f>
        <v>0</v>
      </c>
      <c r="AB91" s="196">
        <f>($J$18+$K$17*0.138/16*(INDEX(Forecast!$C38:$C472,COLUMN()-6,1)-'Eff (W &amp; WW)'!$J$4))*IF($J$11="Yes",1,0)</f>
        <v>0</v>
      </c>
      <c r="AC91" s="196">
        <f>($J$18+$K$17*0.138/16*(INDEX(Forecast!$C38:$C472,COLUMN()-6,1)-'Eff (W &amp; WW)'!$J$4))*IF($J$11="Yes",1,0)</f>
        <v>0</v>
      </c>
      <c r="AD91" s="196">
        <f>($J$18+$K$17*0.138/16*(INDEX(Forecast!$C38:$C472,COLUMN()-6,1)-'Eff (W &amp; WW)'!$J$4))*IF($J$11="Yes",1,0)</f>
        <v>0</v>
      </c>
      <c r="AE91" s="196">
        <f>($J$18+$K$17*0.138/16*(INDEX(Forecast!$C38:$C472,COLUMN()-6,1)-'Eff (W &amp; WW)'!$J$4))*IF($J$11="Yes",1,0)</f>
        <v>0</v>
      </c>
      <c r="AF91" s="196">
        <f>($J$18+$K$17*0.138/16*(INDEX(Forecast!$C38:$C472,COLUMN()-6,1)-'Eff (W &amp; WW)'!$J$4))*IF($J$11="Yes",1,0)</f>
        <v>0</v>
      </c>
      <c r="AG91" s="196">
        <f>($J$18+$K$17*0.138/16*(INDEX(Forecast!$C38:$C472,COLUMN()-6,1)-'Eff (W &amp; WW)'!$J$4))*IF($J$11="Yes",1,0)</f>
        <v>0</v>
      </c>
      <c r="AH91" s="196">
        <f>($J$18+$K$17*0.138/16*(INDEX(Forecast!$C38:$C472,COLUMN()-6,1)-'Eff (W &amp; WW)'!$J$4))*IF($J$11="Yes",1,0)</f>
        <v>0</v>
      </c>
      <c r="AI91" s="196">
        <f>($J$18+$K$17*0.138/16*(INDEX(Forecast!$C38:$C472,COLUMN()-6,1)-'Eff (W &amp; WW)'!$J$4))*IF($J$11="Yes",1,0)</f>
        <v>0</v>
      </c>
      <c r="AJ91" s="196">
        <f>($J$18+$K$17*0.138/16*(INDEX(Forecast!$C38:$C472,COLUMN()-6,1)-'Eff (W &amp; WW)'!$J$4))*IF($J$11="Yes",1,0)</f>
        <v>0</v>
      </c>
      <c r="AK91" s="196">
        <f>($J$18+$K$17*0.138/16*(INDEX(Forecast!$C38:$C472,COLUMN()-6,1)-'Eff (W &amp; WW)'!$J$4))*IF($J$11="Yes",1,0)</f>
        <v>0</v>
      </c>
      <c r="AL91" s="196">
        <f>($J$18+$K$17*0.138/16*(INDEX(Forecast!$C38:$C472,COLUMN()-6,1)-'Eff (W &amp; WW)'!$J$4))*IF($J$11="Yes",1,0)</f>
        <v>0</v>
      </c>
      <c r="AM91" s="196">
        <f>($J$18+$K$17*0.138/16*(INDEX(Forecast!$C38:$C472,COLUMN()-6,1)-'Eff (W &amp; WW)'!$J$4))*IF($J$11="Yes",1,0)</f>
        <v>0</v>
      </c>
      <c r="AN91" s="196">
        <f>($J$18+$K$17*0.138/16*(INDEX(Forecast!$C38:$C472,COLUMN()-6,1)-'Eff (W &amp; WW)'!$J$4))*IF($J$11="Yes",1,0)</f>
        <v>0</v>
      </c>
      <c r="AO91" s="196">
        <f>($J$18+$K$17*0.138/16*(INDEX(Forecast!$C38:$C472,COLUMN()-6,1)-'Eff (W &amp; WW)'!$J$4))*IF($J$11="Yes",1,0)</f>
        <v>0</v>
      </c>
      <c r="AP91" s="196">
        <f>($J$18+$K$17*0.138/16*(INDEX(Forecast!$C38:$C472,COLUMN()-6,1)-'Eff (W &amp; WW)'!$J$4))*IF($J$11="Yes",1,0)</f>
        <v>0</v>
      </c>
      <c r="AQ91" s="196">
        <f>($J$18+$K$17*0.138/16*(INDEX(Forecast!$C38:$C472,COLUMN()-6,1)-'Eff (W &amp; WW)'!$J$4))*IF($J$11="Yes",1,0)</f>
        <v>0</v>
      </c>
      <c r="AR91" s="196">
        <f>($J$18+$K$17*0.138/16*(INDEX(Forecast!$C38:$C472,COLUMN()-6,1)-'Eff (W &amp; WW)'!$J$4))*IF($J$11="Yes",1,0)</f>
        <v>0</v>
      </c>
      <c r="AS91" s="196">
        <f>($J$18+$K$17*0.138/16*(INDEX(Forecast!$C38:$C472,COLUMN()-6,1)-'Eff (W &amp; WW)'!$J$4))*IF($J$11="Yes",1,0)</f>
        <v>0</v>
      </c>
      <c r="AT91" s="196">
        <f>($J$18+$K$17*0.138/16*(INDEX(Forecast!$C38:$C472,COLUMN()-6,1)-'Eff (W &amp; WW)'!$J$4))*IF($J$11="Yes",1,0)</f>
        <v>0</v>
      </c>
      <c r="AU91" s="196">
        <f>($J$18+$K$17*0.138/16*(INDEX(Forecast!$C38:$C472,COLUMN()-6,1)-'Eff (W &amp; WW)'!$J$4))*IF($J$11="Yes",1,0)</f>
        <v>0</v>
      </c>
      <c r="AV91" s="196">
        <f>($J$18+$K$17*0.138/16*(INDEX(Forecast!$C38:$C472,COLUMN()-6,1)-'Eff (W &amp; WW)'!$J$4))*IF($J$11="Yes",1,0)</f>
        <v>0</v>
      </c>
      <c r="AW91" s="196">
        <f>($J$18+$K$17*0.138/16*(INDEX(Forecast!$C38:$C472,COLUMN()-6,1)-'Eff (W &amp; WW)'!$J$4))*IF($J$11="Yes",1,0)</f>
        <v>0</v>
      </c>
      <c r="AX91" s="196">
        <f>($J$18+$K$17*0.138/16*(INDEX(Forecast!$C38:$C472,COLUMN()-6,1)-'Eff (W &amp; WW)'!$J$4))*IF($J$11="Yes",1,0)</f>
        <v>0</v>
      </c>
      <c r="AY91" s="196">
        <f>($J$18+$K$17*0.138/16*(INDEX(Forecast!$C38:$C472,COLUMN()-6,1)-'Eff (W &amp; WW)'!$J$4))*IF($J$11="Yes",1,0)</f>
        <v>0</v>
      </c>
      <c r="AZ91" s="196">
        <f>($J$18+$K$17*0.138/16*(INDEX(Forecast!$C38:$C472,COLUMN()-6,1)-'Eff (W &amp; WW)'!$J$4))*IF($J$11="Yes",1,0)</f>
        <v>0</v>
      </c>
      <c r="BA91" s="196">
        <f>($J$18+$K$17*0.138/16*(INDEX(Forecast!$C38:$C472,COLUMN()-6,1)-'Eff (W &amp; WW)'!$J$4))*IF($J$11="Yes",1,0)</f>
        <v>0</v>
      </c>
      <c r="BB91" s="196">
        <f>($J$18+$K$17*0.138/16*(INDEX(Forecast!$C38:$C472,COLUMN()-6,1)-'Eff (W &amp; WW)'!$J$4))*IF($J$11="Yes",1,0)</f>
        <v>0</v>
      </c>
      <c r="BC91" s="196">
        <f>($J$18+$K$17*0.138/16*(INDEX(Forecast!$C38:$C472,COLUMN()-6,1)-'Eff (W &amp; WW)'!$J$4))*IF($J$11="Yes",1,0)</f>
        <v>0</v>
      </c>
      <c r="BD91" s="196">
        <f>($J$18+$K$17*0.138/16*(INDEX(Forecast!$C38:$C472,COLUMN()-6,1)-'Eff (W &amp; WW)'!$J$4))*IF($J$11="Yes",1,0)</f>
        <v>0</v>
      </c>
      <c r="BE91" s="196">
        <f>($J$18+$K$17*0.138/16*(INDEX(Forecast!$C38:$C472,COLUMN()-6,1)-'Eff (W &amp; WW)'!$J$4))*IF($J$11="Yes",1,0)</f>
        <v>0</v>
      </c>
      <c r="BF91" s="196">
        <f>($J$18+$K$17*0.138/16*(INDEX(Forecast!$C38:$C472,COLUMN()-6,1)-'Eff (W &amp; WW)'!$J$4))*IF($J$11="Yes",1,0)</f>
        <v>0</v>
      </c>
      <c r="BG91" s="196">
        <f>($J$18+$K$17*0.138/16*(INDEX(Forecast!$C38:$C472,COLUMN()-6,1)-'Eff (W &amp; WW)'!$J$4))*IF($J$11="Yes",1,0)</f>
        <v>0</v>
      </c>
      <c r="BH91" s="196">
        <f>($J$18+$K$17*0.138/16*(INDEX(Forecast!$C38:$C472,COLUMN()-6,1)-'Eff (W &amp; WW)'!$J$4))*IF($J$11="Yes",1,0)</f>
        <v>0</v>
      </c>
      <c r="BI91" s="175"/>
      <c r="BJ91" s="121"/>
      <c r="BK91" s="121"/>
      <c r="BL91" s="121"/>
      <c r="BM91" s="121"/>
      <c r="BN91" s="121"/>
      <c r="BO91" s="121"/>
    </row>
    <row r="92" spans="2:67" ht="12.75">
      <c r="C92" s="201"/>
      <c r="D92" s="121" t="s">
        <v>710</v>
      </c>
      <c r="E92" s="121" t="str">
        <f>IF(C7="railbelt south of alaska range","$ per mmBtu","$ per gallon")</f>
        <v>$ per gallon</v>
      </c>
      <c r="F92" s="187"/>
      <c r="G92" s="187">
        <f>VLOOKUP($C$6,'Diesel Fuel Prices'!$D$7:$BN$183,-6+G53,0)+$D$47</f>
        <v>4.2059794220983502</v>
      </c>
      <c r="H92" s="187">
        <f>VLOOKUP($C$6,'Diesel Fuel Prices'!$D$7:$BN$183,-6+H53,0)+$D$47</f>
        <v>4.6732754001702883</v>
      </c>
      <c r="I92" s="187">
        <f>VLOOKUP($C$6,'Diesel Fuel Prices'!$D$7:$BN$183,-6+I53,0)+$D$47</f>
        <v>4.8376162909716216</v>
      </c>
      <c r="J92" s="187">
        <f>VLOOKUP($C$6,'Diesel Fuel Prices'!$D$7:$BN$183,-6+J53,0)+$D$47</f>
        <v>4.8496361886136912</v>
      </c>
      <c r="K92" s="187">
        <f>VLOOKUP($C$6,'Diesel Fuel Prices'!$D$7:$BN$183,-6+K53,0)+$D$47</f>
        <v>4.9056275244664125</v>
      </c>
      <c r="L92" s="187">
        <f>VLOOKUP($C$6,'Diesel Fuel Prices'!$D$7:$BN$183,-6+L53,0)+$D$47</f>
        <v>4.9619109251504847</v>
      </c>
      <c r="M92" s="187">
        <f>VLOOKUP($C$6,'Diesel Fuel Prices'!$D$7:$BN$183,-6+M53,0)+$D$47</f>
        <v>5.0381773568460284</v>
      </c>
      <c r="N92" s="187">
        <f>VLOOKUP($C$6,'Diesel Fuel Prices'!$D$7:$BN$183,-6+N53,0)+$D$47</f>
        <v>5.1199306055642086</v>
      </c>
      <c r="O92" s="187">
        <f>VLOOKUP($C$6,'Diesel Fuel Prices'!$D$7:$BN$183,-6+O53,0)+$D$47</f>
        <v>5.2046041917591079</v>
      </c>
      <c r="P92" s="187">
        <f>VLOOKUP($C$6,'Diesel Fuel Prices'!$D$7:$BN$183,-6+P53,0)+$D$47</f>
        <v>5.2910732209604339</v>
      </c>
      <c r="Q92" s="187">
        <f>VLOOKUP($C$6,'Diesel Fuel Prices'!$D$7:$BN$183,-6+Q53,0)+$D$47</f>
        <v>5.377947971766412</v>
      </c>
      <c r="R92" s="187">
        <f>VLOOKUP($C$6,'Diesel Fuel Prices'!$D$7:$BN$183,-6+R53,0)+$D$47</f>
        <v>5.4704967063761769</v>
      </c>
      <c r="S92" s="187">
        <f>VLOOKUP($C$6,'Diesel Fuel Prices'!$D$7:$BN$183,-6+S53,0)+$D$47</f>
        <v>5.5653090792390989</v>
      </c>
      <c r="T92" s="187">
        <f>VLOOKUP($C$6,'Diesel Fuel Prices'!$D$7:$BN$183,-6+T53,0)+$D$47</f>
        <v>5.6624414849609002</v>
      </c>
      <c r="U92" s="187">
        <f>VLOOKUP($C$6,'Diesel Fuel Prices'!$D$7:$BN$183,-6+U53,0)+$D$47</f>
        <v>5.7619514121882238</v>
      </c>
      <c r="V92" s="187">
        <f>VLOOKUP($C$6,'Diesel Fuel Prices'!$D$7:$BN$183,-6+V53,0)+$D$47</f>
        <v>5.863897589004015</v>
      </c>
      <c r="W92" s="187">
        <f>VLOOKUP($C$6,'Diesel Fuel Prices'!$D$7:$BN$183,-6+W53,0)+$D$47</f>
        <v>5.9683408481979816</v>
      </c>
      <c r="X92" s="187">
        <f>VLOOKUP($C$6,'Diesel Fuel Prices'!$D$7:$BN$183,-6+X53,0)+$D$47</f>
        <v>6.075342926874276</v>
      </c>
      <c r="Y92" s="187">
        <f>VLOOKUP($C$6,'Diesel Fuel Prices'!$D$7:$BN$183,-6+Y53,0)+$D$47</f>
        <v>6.184818158118297</v>
      </c>
      <c r="Z92" s="187">
        <f>VLOOKUP($C$6,'Diesel Fuel Prices'!$D$7:$BN$183,-6+Z53,0)+$D$47</f>
        <v>6.292419236935225</v>
      </c>
      <c r="AA92" s="187">
        <f>VLOOKUP($C$6,'Diesel Fuel Prices'!$D$7:$BN$183,-6+AA53,0)+$D$47</f>
        <v>6.4056246146124609</v>
      </c>
      <c r="AB92" s="187">
        <f>VLOOKUP($C$6,'Diesel Fuel Prices'!$D$7:$BN$183,-6+AB53,0)+$D$47</f>
        <v>6.5219530773050831</v>
      </c>
      <c r="AC92" s="187">
        <f>VLOOKUP($C$6,'Diesel Fuel Prices'!$D$7:$BN$183,-6+AC53,0)+$D$47</f>
        <v>6.6360405950884838</v>
      </c>
      <c r="AD92" s="187">
        <f>VLOOKUP($C$6,'Diesel Fuel Prices'!$D$7:$BN$183,-6+AD53,0)+$D$47</f>
        <v>6.7587026423442191</v>
      </c>
      <c r="AE92" s="187">
        <f>VLOOKUP($C$6,'Diesel Fuel Prices'!$D$7:$BN$183,-6+AE53,0)+$D$47</f>
        <v>6.8910386217753219</v>
      </c>
      <c r="AF92" s="187">
        <f>VLOOKUP($C$6,'Diesel Fuel Prices'!$D$7:$BN$183,-6+AF53,0)+$D$47</f>
        <v>7.014392524247052</v>
      </c>
      <c r="AG92" s="187">
        <f>VLOOKUP($C$6,'Diesel Fuel Prices'!$D$7:$BN$183,-6+AG53,0)+$D$47</f>
        <v>7.014392524247052</v>
      </c>
      <c r="AH92" s="187">
        <f>VLOOKUP($C$6,'Diesel Fuel Prices'!$D$7:$BN$183,-6+AH53,0)+$D$47</f>
        <v>7.014392524247052</v>
      </c>
      <c r="AI92" s="187">
        <f>VLOOKUP($C$6,'Diesel Fuel Prices'!$D$7:$BN$183,-6+AI53,0)+$D$47</f>
        <v>7.014392524247052</v>
      </c>
      <c r="AJ92" s="187">
        <f>VLOOKUP($C$6,'Diesel Fuel Prices'!$D$7:$BN$183,-6+AJ53,0)+$D$47</f>
        <v>7.014392524247052</v>
      </c>
      <c r="AK92" s="187">
        <f>VLOOKUP($C$6,'Diesel Fuel Prices'!$D$7:$BN$183,-6+AK53,0)+$D$47</f>
        <v>7.014392524247052</v>
      </c>
      <c r="AL92" s="187">
        <f>VLOOKUP($C$6,'Diesel Fuel Prices'!$D$7:$BN$183,-6+AL53,0)+$D$47</f>
        <v>7.014392524247052</v>
      </c>
      <c r="AM92" s="187">
        <f>VLOOKUP($C$6,'Diesel Fuel Prices'!$D$7:$BN$183,-6+AM53,0)+$D$47</f>
        <v>7.014392524247052</v>
      </c>
      <c r="AN92" s="187">
        <f>VLOOKUP($C$6,'Diesel Fuel Prices'!$D$7:$BN$183,-6+AN53,0)+$D$47</f>
        <v>7.014392524247052</v>
      </c>
      <c r="AO92" s="187">
        <f>VLOOKUP($C$6,'Diesel Fuel Prices'!$D$7:$BN$183,-6+AO53,0)+$D$47</f>
        <v>7.014392524247052</v>
      </c>
      <c r="AP92" s="187">
        <f>VLOOKUP($C$6,'Diesel Fuel Prices'!$D$7:$BN$183,-6+AP53,0)+$D$47</f>
        <v>7.014392524247052</v>
      </c>
      <c r="AQ92" s="187">
        <f>VLOOKUP($C$6,'Diesel Fuel Prices'!$D$7:$BN$183,-6+AQ53,0)+$D$47</f>
        <v>7.014392524247052</v>
      </c>
      <c r="AR92" s="187">
        <f>VLOOKUP($C$6,'Diesel Fuel Prices'!$D$7:$BN$183,-6+AR53,0)+$D$47</f>
        <v>7.014392524247052</v>
      </c>
      <c r="AS92" s="187">
        <f>VLOOKUP($C$6,'Diesel Fuel Prices'!$D$7:$BN$183,-6+AS53,0)+$D$47</f>
        <v>7.014392524247052</v>
      </c>
      <c r="AT92" s="187">
        <f>VLOOKUP($C$6,'Diesel Fuel Prices'!$D$7:$BN$183,-6+AT53,0)+$D$47</f>
        <v>7.014392524247052</v>
      </c>
      <c r="AU92" s="187">
        <f>VLOOKUP($C$6,'Diesel Fuel Prices'!$D$7:$BN$183,-6+AU53,0)+$D$47</f>
        <v>7.014392524247052</v>
      </c>
      <c r="AV92" s="187">
        <f>VLOOKUP($C$6,'Diesel Fuel Prices'!$D$7:$BN$183,-6+AV53,0)+$D$47</f>
        <v>7.014392524247052</v>
      </c>
      <c r="AW92" s="187">
        <f>VLOOKUP($C$6,'Diesel Fuel Prices'!$D$7:$BN$183,-6+AW53,0)+$D$47</f>
        <v>7.014392524247052</v>
      </c>
      <c r="AX92" s="187">
        <f>VLOOKUP($C$6,'Diesel Fuel Prices'!$D$7:$BN$183,-6+AX53,0)+$D$47</f>
        <v>7.014392524247052</v>
      </c>
      <c r="AY92" s="187">
        <f>VLOOKUP($C$6,'Diesel Fuel Prices'!$D$7:$BN$183,-6+AY53,0)+$D$47</f>
        <v>7.014392524247052</v>
      </c>
      <c r="AZ92" s="187">
        <f>VLOOKUP($C$6,'Diesel Fuel Prices'!$D$7:$BN$183,-6+AZ53,0)+$D$47</f>
        <v>7.014392524247052</v>
      </c>
      <c r="BA92" s="187">
        <f>VLOOKUP($C$6,'Diesel Fuel Prices'!$D$7:$BN$183,-6+BA53,0)+$D$47</f>
        <v>7.014392524247052</v>
      </c>
      <c r="BB92" s="187">
        <f>VLOOKUP($C$6,'Diesel Fuel Prices'!$D$7:$BN$183,-6+BB53,0)+$D$47</f>
        <v>7.014392524247052</v>
      </c>
      <c r="BC92" s="187">
        <f>VLOOKUP($C$6,'Diesel Fuel Prices'!$D$7:$BN$183,-6+BC53,0)+$D$47</f>
        <v>7.014392524247052</v>
      </c>
      <c r="BD92" s="187">
        <f>VLOOKUP($C$6,'Diesel Fuel Prices'!$D$7:$BN$183,-6+BD53,0)+$D$47</f>
        <v>7.014392524247052</v>
      </c>
      <c r="BE92" s="187">
        <f>VLOOKUP($C$6,'Diesel Fuel Prices'!$D$7:$BN$183,-6+BE53,0)+$D$47</f>
        <v>7.014392524247052</v>
      </c>
      <c r="BF92" s="187">
        <f>VLOOKUP($C$6,'Diesel Fuel Prices'!$D$7:$BN$183,-6+BF53,0)+$D$47</f>
        <v>7.014392524247052</v>
      </c>
      <c r="BG92" s="187">
        <f>VLOOKUP($C$6,'Diesel Fuel Prices'!$D$7:$BN$183,-6+BG53,0)+$D$47</f>
        <v>7.014392524247052</v>
      </c>
      <c r="BH92" s="187">
        <f>VLOOKUP($C$6,'Diesel Fuel Prices'!$D$7:$BN$183,-6+BH53,0)+$D$47</f>
        <v>7.014392524247052</v>
      </c>
      <c r="BI92" s="175"/>
      <c r="BJ92" s="121"/>
      <c r="BK92" s="121"/>
      <c r="BL92" s="121"/>
      <c r="BM92" s="121"/>
      <c r="BN92" s="121"/>
      <c r="BO92" s="121"/>
    </row>
    <row r="93" spans="2:67" ht="12.75">
      <c r="C93" s="1828" t="s">
        <v>2343</v>
      </c>
      <c r="D93" s="1792" t="s">
        <v>2342</v>
      </c>
      <c r="E93" s="121" t="s">
        <v>2341</v>
      </c>
      <c r="F93" s="187"/>
      <c r="G93" s="187">
        <f t="shared" ref="G93:AL93" si="15">Biomass_price</f>
        <v>250</v>
      </c>
      <c r="H93" s="187">
        <f t="shared" si="15"/>
        <v>250</v>
      </c>
      <c r="I93" s="187">
        <f t="shared" si="15"/>
        <v>250</v>
      </c>
      <c r="J93" s="187">
        <f t="shared" si="15"/>
        <v>250</v>
      </c>
      <c r="K93" s="187">
        <f t="shared" si="15"/>
        <v>250</v>
      </c>
      <c r="L93" s="187">
        <f t="shared" si="15"/>
        <v>250</v>
      </c>
      <c r="M93" s="187">
        <f t="shared" si="15"/>
        <v>250</v>
      </c>
      <c r="N93" s="187">
        <f t="shared" si="15"/>
        <v>250</v>
      </c>
      <c r="O93" s="187">
        <f t="shared" si="15"/>
        <v>250</v>
      </c>
      <c r="P93" s="187">
        <f t="shared" si="15"/>
        <v>250</v>
      </c>
      <c r="Q93" s="187">
        <f t="shared" si="15"/>
        <v>250</v>
      </c>
      <c r="R93" s="187">
        <f t="shared" si="15"/>
        <v>250</v>
      </c>
      <c r="S93" s="187">
        <f t="shared" si="15"/>
        <v>250</v>
      </c>
      <c r="T93" s="187">
        <f t="shared" si="15"/>
        <v>250</v>
      </c>
      <c r="U93" s="187">
        <f t="shared" si="15"/>
        <v>250</v>
      </c>
      <c r="V93" s="187">
        <f t="shared" si="15"/>
        <v>250</v>
      </c>
      <c r="W93" s="187">
        <f t="shared" si="15"/>
        <v>250</v>
      </c>
      <c r="X93" s="187">
        <f t="shared" si="15"/>
        <v>250</v>
      </c>
      <c r="Y93" s="187">
        <f t="shared" si="15"/>
        <v>250</v>
      </c>
      <c r="Z93" s="187">
        <f t="shared" si="15"/>
        <v>250</v>
      </c>
      <c r="AA93" s="187">
        <f t="shared" si="15"/>
        <v>250</v>
      </c>
      <c r="AB93" s="187">
        <f t="shared" si="15"/>
        <v>250</v>
      </c>
      <c r="AC93" s="187">
        <f t="shared" si="15"/>
        <v>250</v>
      </c>
      <c r="AD93" s="187">
        <f t="shared" si="15"/>
        <v>250</v>
      </c>
      <c r="AE93" s="187">
        <f t="shared" si="15"/>
        <v>250</v>
      </c>
      <c r="AF93" s="187">
        <f t="shared" si="15"/>
        <v>250</v>
      </c>
      <c r="AG93" s="187">
        <f t="shared" si="15"/>
        <v>250</v>
      </c>
      <c r="AH93" s="187">
        <f t="shared" si="15"/>
        <v>250</v>
      </c>
      <c r="AI93" s="187">
        <f t="shared" si="15"/>
        <v>250</v>
      </c>
      <c r="AJ93" s="187">
        <f t="shared" si="15"/>
        <v>250</v>
      </c>
      <c r="AK93" s="187">
        <f t="shared" si="15"/>
        <v>250</v>
      </c>
      <c r="AL93" s="187">
        <f t="shared" si="15"/>
        <v>250</v>
      </c>
      <c r="AM93" s="187">
        <f t="shared" ref="AM93:BH93" si="16">Biomass_price</f>
        <v>250</v>
      </c>
      <c r="AN93" s="187">
        <f t="shared" si="16"/>
        <v>250</v>
      </c>
      <c r="AO93" s="187">
        <f t="shared" si="16"/>
        <v>250</v>
      </c>
      <c r="AP93" s="187">
        <f t="shared" si="16"/>
        <v>250</v>
      </c>
      <c r="AQ93" s="187">
        <f t="shared" si="16"/>
        <v>250</v>
      </c>
      <c r="AR93" s="187">
        <f t="shared" si="16"/>
        <v>250</v>
      </c>
      <c r="AS93" s="187">
        <f t="shared" si="16"/>
        <v>250</v>
      </c>
      <c r="AT93" s="187">
        <f t="shared" si="16"/>
        <v>250</v>
      </c>
      <c r="AU93" s="187">
        <f t="shared" si="16"/>
        <v>250</v>
      </c>
      <c r="AV93" s="187">
        <f t="shared" si="16"/>
        <v>250</v>
      </c>
      <c r="AW93" s="187">
        <f t="shared" si="16"/>
        <v>250</v>
      </c>
      <c r="AX93" s="187">
        <f t="shared" si="16"/>
        <v>250</v>
      </c>
      <c r="AY93" s="187">
        <f t="shared" si="16"/>
        <v>250</v>
      </c>
      <c r="AZ93" s="187">
        <f t="shared" si="16"/>
        <v>250</v>
      </c>
      <c r="BA93" s="187">
        <f t="shared" si="16"/>
        <v>250</v>
      </c>
      <c r="BB93" s="187">
        <f t="shared" si="16"/>
        <v>250</v>
      </c>
      <c r="BC93" s="187">
        <f t="shared" si="16"/>
        <v>250</v>
      </c>
      <c r="BD93" s="187">
        <f t="shared" si="16"/>
        <v>250</v>
      </c>
      <c r="BE93" s="187">
        <f t="shared" si="16"/>
        <v>250</v>
      </c>
      <c r="BF93" s="187">
        <f t="shared" si="16"/>
        <v>250</v>
      </c>
      <c r="BG93" s="187">
        <f t="shared" si="16"/>
        <v>250</v>
      </c>
      <c r="BH93" s="187">
        <f t="shared" si="16"/>
        <v>250</v>
      </c>
      <c r="BI93" s="175"/>
      <c r="BJ93" s="121"/>
      <c r="BK93" s="121"/>
      <c r="BL93" s="121"/>
      <c r="BM93" s="121"/>
      <c r="BN93" s="121"/>
      <c r="BO93" s="121"/>
    </row>
    <row r="94" spans="2:67" ht="12.75">
      <c r="C94" s="201"/>
      <c r="D94" s="121" t="s">
        <v>382</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201"/>
      <c r="D95" s="121" t="s">
        <v>316</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c r="AC95" s="176"/>
      <c r="AD95" s="176"/>
      <c r="AE95" s="176"/>
      <c r="AF95" s="176"/>
      <c r="AG95" s="176"/>
      <c r="AH95" s="176"/>
      <c r="AI95" s="176"/>
      <c r="AJ95" s="176"/>
      <c r="AK95" s="176"/>
      <c r="AL95" s="176"/>
      <c r="AM95" s="176"/>
      <c r="AN95" s="176"/>
      <c r="AO95" s="176"/>
      <c r="AP95" s="176"/>
      <c r="AQ95" s="176"/>
      <c r="AR95" s="176"/>
      <c r="AS95" s="176"/>
      <c r="AT95" s="176"/>
      <c r="AU95" s="176"/>
      <c r="AV95" s="176"/>
      <c r="AW95" s="176"/>
      <c r="AX95" s="176"/>
      <c r="AY95" s="176"/>
      <c r="AZ95" s="176"/>
      <c r="BA95" s="176"/>
      <c r="BB95" s="176"/>
      <c r="BC95" s="176"/>
      <c r="BD95" s="176"/>
      <c r="BE95" s="176"/>
      <c r="BF95" s="176"/>
      <c r="BG95" s="176"/>
      <c r="BH95" s="176"/>
      <c r="BI95" s="175">
        <f>NPV($D$49,F95:BH95)</f>
        <v>0</v>
      </c>
      <c r="BJ95" s="121"/>
      <c r="BK95" s="121"/>
      <c r="BL95" s="121"/>
      <c r="BM95" s="121"/>
      <c r="BN95" s="121"/>
      <c r="BO95" s="121"/>
    </row>
    <row r="96" spans="2:67" ht="12.75">
      <c r="C96" s="1828" t="s">
        <v>2344</v>
      </c>
      <c r="D96" s="121" t="s">
        <v>270</v>
      </c>
      <c r="E96" s="121" t="s">
        <v>264</v>
      </c>
      <c r="F96" s="191">
        <f>F90*F92</f>
        <v>0</v>
      </c>
      <c r="G96" s="1795">
        <f>IF(AND(G65&gt;=$D$31,G65&lt;$D$31+$D$32),G92*G90+G91*G93,0)</f>
        <v>5182.3591840801237</v>
      </c>
      <c r="H96" s="1795">
        <f>IF(AND(H65&gt;=$D$31,H65&lt;$D$31+$D$32),H92*H90+H91*H93,0)</f>
        <v>5755.3507315969091</v>
      </c>
      <c r="I96" s="1795">
        <f t="shared" ref="I96:BH96" si="17">IF(AND(I65&gt;=$D$31,I65&lt;$D$31+$D$32),I92*I90+I91*I93,0)</f>
        <v>5954.8645941464702</v>
      </c>
      <c r="J96" s="1795">
        <f t="shared" si="17"/>
        <v>5966.7753275288824</v>
      </c>
      <c r="K96" s="1795">
        <f t="shared" si="17"/>
        <v>6032.7474996440633</v>
      </c>
      <c r="L96" s="1795">
        <f t="shared" si="17"/>
        <v>6099.013505011143</v>
      </c>
      <c r="M96" s="1795">
        <f t="shared" si="17"/>
        <v>6189.7646443539534</v>
      </c>
      <c r="N96" s="1795">
        <f t="shared" si="17"/>
        <v>6287.1643312043998</v>
      </c>
      <c r="O96" s="1795">
        <f t="shared" si="17"/>
        <v>6388.0528031252716</v>
      </c>
      <c r="P96" s="1795">
        <f t="shared" si="17"/>
        <v>6491.0449214880782</v>
      </c>
      <c r="Q96" s="1795">
        <f t="shared" si="17"/>
        <v>6594.4334900309295</v>
      </c>
      <c r="R96" s="1795">
        <f t="shared" si="17"/>
        <v>6704.6746758531244</v>
      </c>
      <c r="S96" s="1795">
        <f t="shared" si="17"/>
        <v>6817.5807495152949</v>
      </c>
      <c r="T96" s="1795">
        <f t="shared" si="17"/>
        <v>6933.216819952494</v>
      </c>
      <c r="U96" s="1795">
        <f t="shared" si="17"/>
        <v>7051.6492053652682</v>
      </c>
      <c r="V96" s="1795">
        <f t="shared" si="17"/>
        <v>0</v>
      </c>
      <c r="W96" s="1795">
        <f t="shared" si="17"/>
        <v>0</v>
      </c>
      <c r="X96" s="1795">
        <f t="shared" si="17"/>
        <v>0</v>
      </c>
      <c r="Y96" s="1795">
        <f t="shared" si="17"/>
        <v>0</v>
      </c>
      <c r="Z96" s="1795">
        <f t="shared" si="17"/>
        <v>0</v>
      </c>
      <c r="AA96" s="1795">
        <f t="shared" si="17"/>
        <v>0</v>
      </c>
      <c r="AB96" s="1795">
        <f t="shared" si="17"/>
        <v>0</v>
      </c>
      <c r="AC96" s="1795">
        <f t="shared" si="17"/>
        <v>0</v>
      </c>
      <c r="AD96" s="1795">
        <f t="shared" si="17"/>
        <v>0</v>
      </c>
      <c r="AE96" s="1795">
        <f t="shared" si="17"/>
        <v>0</v>
      </c>
      <c r="AF96" s="1795">
        <f t="shared" si="17"/>
        <v>0</v>
      </c>
      <c r="AG96" s="1795">
        <f t="shared" si="17"/>
        <v>0</v>
      </c>
      <c r="AH96" s="1795">
        <f t="shared" si="17"/>
        <v>0</v>
      </c>
      <c r="AI96" s="1795">
        <f t="shared" si="17"/>
        <v>0</v>
      </c>
      <c r="AJ96" s="1795">
        <f t="shared" si="17"/>
        <v>0</v>
      </c>
      <c r="AK96" s="1795">
        <f t="shared" si="17"/>
        <v>0</v>
      </c>
      <c r="AL96" s="1795">
        <f t="shared" si="17"/>
        <v>0</v>
      </c>
      <c r="AM96" s="1795">
        <f t="shared" si="17"/>
        <v>0</v>
      </c>
      <c r="AN96" s="1795">
        <f t="shared" si="17"/>
        <v>0</v>
      </c>
      <c r="AO96" s="1795">
        <f t="shared" si="17"/>
        <v>0</v>
      </c>
      <c r="AP96" s="1795">
        <f t="shared" si="17"/>
        <v>0</v>
      </c>
      <c r="AQ96" s="1795">
        <f t="shared" si="17"/>
        <v>0</v>
      </c>
      <c r="AR96" s="1795">
        <f t="shared" si="17"/>
        <v>0</v>
      </c>
      <c r="AS96" s="1795">
        <f t="shared" si="17"/>
        <v>0</v>
      </c>
      <c r="AT96" s="1795">
        <f t="shared" si="17"/>
        <v>0</v>
      </c>
      <c r="AU96" s="1795">
        <f t="shared" si="17"/>
        <v>0</v>
      </c>
      <c r="AV96" s="1795">
        <f t="shared" si="17"/>
        <v>0</v>
      </c>
      <c r="AW96" s="1795">
        <f t="shared" si="17"/>
        <v>0</v>
      </c>
      <c r="AX96" s="1795">
        <f t="shared" si="17"/>
        <v>0</v>
      </c>
      <c r="AY96" s="1795">
        <f t="shared" si="17"/>
        <v>0</v>
      </c>
      <c r="AZ96" s="1795">
        <f t="shared" si="17"/>
        <v>0</v>
      </c>
      <c r="BA96" s="1795">
        <f t="shared" si="17"/>
        <v>0</v>
      </c>
      <c r="BB96" s="1795">
        <f t="shared" si="17"/>
        <v>0</v>
      </c>
      <c r="BC96" s="1795">
        <f t="shared" si="17"/>
        <v>0</v>
      </c>
      <c r="BD96" s="1795">
        <f t="shared" si="17"/>
        <v>0</v>
      </c>
      <c r="BE96" s="1795">
        <f t="shared" si="17"/>
        <v>0</v>
      </c>
      <c r="BF96" s="1795">
        <f t="shared" si="17"/>
        <v>0</v>
      </c>
      <c r="BG96" s="1795">
        <f t="shared" si="17"/>
        <v>0</v>
      </c>
      <c r="BH96" s="1795">
        <f t="shared" si="17"/>
        <v>0</v>
      </c>
      <c r="BI96" s="175">
        <f>NPV($D$49,F96:BH96)</f>
        <v>72290.96421717263</v>
      </c>
      <c r="BJ96" s="121"/>
      <c r="BK96" s="121"/>
      <c r="BL96" s="121"/>
      <c r="BM96" s="121"/>
      <c r="BN96" s="121"/>
      <c r="BO96" s="121"/>
    </row>
    <row r="97" spans="2:70" s="192" customFormat="1" ht="12.75">
      <c r="B97" s="193"/>
      <c r="C97" s="202"/>
      <c r="D97" s="184" t="s">
        <v>1164</v>
      </c>
      <c r="E97" s="184" t="s">
        <v>264</v>
      </c>
      <c r="F97" s="197">
        <f>F96+F95+F94</f>
        <v>0</v>
      </c>
      <c r="G97" s="197">
        <f t="shared" ref="G97:L97" si="18">G96-G87</f>
        <v>1813.8257144280428</v>
      </c>
      <c r="H97" s="197">
        <f t="shared" si="18"/>
        <v>2014.3727560589182</v>
      </c>
      <c r="I97" s="197">
        <f t="shared" si="18"/>
        <v>2084.2026079512648</v>
      </c>
      <c r="J97" s="197">
        <f t="shared" si="18"/>
        <v>2088.3713646351089</v>
      </c>
      <c r="K97" s="197">
        <f t="shared" si="18"/>
        <v>2111.4616248754219</v>
      </c>
      <c r="L97" s="197">
        <f t="shared" si="18"/>
        <v>2134.6547267538999</v>
      </c>
      <c r="M97" s="197">
        <f>M96-M87</f>
        <v>2166.4176255238831</v>
      </c>
      <c r="N97" s="197">
        <f>N96-N87</f>
        <v>2200.5075159215403</v>
      </c>
      <c r="O97" s="197">
        <f t="shared" ref="O97:AD97" si="19">O96-O87</f>
        <v>2235.8184810938446</v>
      </c>
      <c r="P97" s="197">
        <f t="shared" si="19"/>
        <v>2271.8657225208271</v>
      </c>
      <c r="Q97" s="197">
        <f t="shared" si="19"/>
        <v>2308.0517215108248</v>
      </c>
      <c r="R97" s="197">
        <f t="shared" si="19"/>
        <v>2346.6361365485936</v>
      </c>
      <c r="S97" s="197">
        <f t="shared" si="19"/>
        <v>2386.1532623303528</v>
      </c>
      <c r="T97" s="197">
        <f t="shared" si="19"/>
        <v>2426.6258869833728</v>
      </c>
      <c r="U97" s="197">
        <f t="shared" si="19"/>
        <v>2468.0772218778438</v>
      </c>
      <c r="V97" s="197">
        <f t="shared" si="19"/>
        <v>0</v>
      </c>
      <c r="W97" s="197">
        <f t="shared" si="19"/>
        <v>0</v>
      </c>
      <c r="X97" s="197">
        <f t="shared" si="19"/>
        <v>0</v>
      </c>
      <c r="Y97" s="197">
        <f t="shared" si="19"/>
        <v>0</v>
      </c>
      <c r="Z97" s="197">
        <f t="shared" si="19"/>
        <v>0</v>
      </c>
      <c r="AA97" s="197">
        <f t="shared" si="19"/>
        <v>0</v>
      </c>
      <c r="AB97" s="197">
        <f t="shared" si="19"/>
        <v>0</v>
      </c>
      <c r="AC97" s="197">
        <f t="shared" si="19"/>
        <v>0</v>
      </c>
      <c r="AD97" s="197">
        <f t="shared" si="19"/>
        <v>0</v>
      </c>
      <c r="AE97" s="197">
        <f t="shared" ref="AE97:BH97" si="20">AE96-AE87</f>
        <v>0</v>
      </c>
      <c r="AF97" s="197">
        <f t="shared" si="20"/>
        <v>0</v>
      </c>
      <c r="AG97" s="197">
        <f t="shared" si="20"/>
        <v>0</v>
      </c>
      <c r="AH97" s="197">
        <f t="shared" si="20"/>
        <v>0</v>
      </c>
      <c r="AI97" s="197">
        <f t="shared" si="20"/>
        <v>0</v>
      </c>
      <c r="AJ97" s="197">
        <f t="shared" si="20"/>
        <v>0</v>
      </c>
      <c r="AK97" s="197">
        <f t="shared" si="20"/>
        <v>0</v>
      </c>
      <c r="AL97" s="197">
        <f t="shared" si="20"/>
        <v>0</v>
      </c>
      <c r="AM97" s="197">
        <f t="shared" si="20"/>
        <v>0</v>
      </c>
      <c r="AN97" s="197">
        <f t="shared" si="20"/>
        <v>0</v>
      </c>
      <c r="AO97" s="197">
        <f t="shared" si="20"/>
        <v>0</v>
      </c>
      <c r="AP97" s="197">
        <f t="shared" si="20"/>
        <v>0</v>
      </c>
      <c r="AQ97" s="197">
        <f t="shared" si="20"/>
        <v>0</v>
      </c>
      <c r="AR97" s="197">
        <f t="shared" si="20"/>
        <v>0</v>
      </c>
      <c r="AS97" s="197">
        <f t="shared" si="20"/>
        <v>0</v>
      </c>
      <c r="AT97" s="197">
        <f t="shared" si="20"/>
        <v>0</v>
      </c>
      <c r="AU97" s="197">
        <f t="shared" si="20"/>
        <v>0</v>
      </c>
      <c r="AV97" s="197">
        <f t="shared" si="20"/>
        <v>0</v>
      </c>
      <c r="AW97" s="197">
        <f t="shared" si="20"/>
        <v>0</v>
      </c>
      <c r="AX97" s="197">
        <f t="shared" si="20"/>
        <v>0</v>
      </c>
      <c r="AY97" s="197">
        <f t="shared" si="20"/>
        <v>0</v>
      </c>
      <c r="AZ97" s="197">
        <f t="shared" si="20"/>
        <v>0</v>
      </c>
      <c r="BA97" s="197">
        <f t="shared" si="20"/>
        <v>0</v>
      </c>
      <c r="BB97" s="197">
        <f t="shared" si="20"/>
        <v>0</v>
      </c>
      <c r="BC97" s="197">
        <f t="shared" si="20"/>
        <v>0</v>
      </c>
      <c r="BD97" s="197">
        <f t="shared" si="20"/>
        <v>0</v>
      </c>
      <c r="BE97" s="197">
        <f t="shared" si="20"/>
        <v>0</v>
      </c>
      <c r="BF97" s="197">
        <f t="shared" si="20"/>
        <v>0</v>
      </c>
      <c r="BG97" s="197">
        <f t="shared" si="20"/>
        <v>0</v>
      </c>
      <c r="BH97" s="197">
        <f t="shared" si="20"/>
        <v>0</v>
      </c>
      <c r="BI97" s="175">
        <f>NPV($D$49,F97:BH97)</f>
        <v>25301.837476010413</v>
      </c>
      <c r="BJ97" s="180"/>
      <c r="BK97" s="180"/>
      <c r="BL97" s="180"/>
      <c r="BM97" s="180"/>
      <c r="BN97" s="180"/>
      <c r="BO97" s="180"/>
    </row>
    <row r="98" spans="2:70" ht="12.75">
      <c r="C98" s="186"/>
      <c r="D98" s="121"/>
      <c r="E98" s="121"/>
      <c r="F98" s="195"/>
      <c r="G98" s="195"/>
      <c r="H98" s="195"/>
      <c r="I98" s="195"/>
      <c r="J98" s="195"/>
      <c r="K98" s="195"/>
      <c r="L98" s="195"/>
      <c r="M98" s="195"/>
      <c r="N98" s="195"/>
      <c r="O98" s="195"/>
      <c r="P98" s="195"/>
      <c r="Q98" s="195"/>
      <c r="R98" s="195"/>
      <c r="S98" s="195"/>
      <c r="T98" s="195"/>
      <c r="U98" s="195"/>
      <c r="V98" s="195"/>
      <c r="W98" s="195"/>
      <c r="X98" s="195"/>
      <c r="Y98" s="195"/>
      <c r="Z98" s="195"/>
      <c r="AA98" s="195"/>
      <c r="AB98" s="195"/>
      <c r="AC98" s="195"/>
      <c r="AD98" s="195"/>
      <c r="AE98" s="195"/>
      <c r="AF98" s="195"/>
      <c r="AG98" s="195"/>
      <c r="AH98" s="195"/>
      <c r="AI98" s="195"/>
      <c r="AJ98" s="195"/>
      <c r="AK98" s="195"/>
      <c r="AL98" s="195"/>
      <c r="AM98" s="195"/>
      <c r="AN98" s="195"/>
      <c r="AO98" s="195"/>
      <c r="AP98" s="195"/>
      <c r="AQ98" s="195"/>
      <c r="AR98" s="195"/>
      <c r="AS98" s="195"/>
      <c r="AT98" s="195"/>
      <c r="AU98" s="195"/>
      <c r="AV98" s="195"/>
      <c r="AW98" s="195"/>
      <c r="AX98" s="195"/>
      <c r="AY98" s="195"/>
      <c r="AZ98" s="195"/>
      <c r="BA98" s="195"/>
      <c r="BB98" s="195"/>
      <c r="BC98" s="195"/>
      <c r="BD98" s="195"/>
      <c r="BE98" s="195"/>
      <c r="BF98" s="195"/>
      <c r="BG98" s="195"/>
      <c r="BH98" s="195"/>
      <c r="BI98" s="195"/>
      <c r="BJ98" s="195"/>
      <c r="BK98" s="195"/>
      <c r="BL98" s="195"/>
      <c r="BM98" s="195"/>
      <c r="BN98" s="195"/>
      <c r="BO98" s="175"/>
      <c r="BP98" s="121"/>
      <c r="BQ98" s="121"/>
      <c r="BR98" s="121"/>
    </row>
    <row r="99" spans="2:70" ht="12.75">
      <c r="C99" s="186"/>
      <c r="D99" s="136"/>
      <c r="E99" s="136"/>
      <c r="F99" s="136"/>
      <c r="G99" s="136"/>
      <c r="H99" s="136"/>
      <c r="I99" s="136"/>
      <c r="J99" s="136"/>
      <c r="K99" s="136"/>
      <c r="L99" s="136"/>
      <c r="M99" s="136"/>
      <c r="N99" s="136"/>
      <c r="O99" s="136"/>
      <c r="P99" s="136"/>
      <c r="Q99" s="136"/>
      <c r="R99" s="136"/>
      <c r="BO99" s="136"/>
      <c r="BP99" s="121"/>
      <c r="BQ99" s="121"/>
      <c r="BR99" s="121"/>
    </row>
    <row r="100" spans="2:70" ht="12.75">
      <c r="C100" s="1804"/>
      <c r="D100" s="1803" t="s">
        <v>2325</v>
      </c>
      <c r="E100" s="1797"/>
      <c r="F100" s="1797"/>
      <c r="G100" s="1798">
        <f>G90*0.138+G91*16</f>
        <v>170.035441363682</v>
      </c>
      <c r="H100" s="1798">
        <f t="shared" ref="H100:BH100" si="21">H90*0.138+H91*16</f>
        <v>169.95326253005172</v>
      </c>
      <c r="I100" s="1798">
        <f t="shared" si="21"/>
        <v>169.87112341379239</v>
      </c>
      <c r="J100" s="1798">
        <f t="shared" si="21"/>
        <v>169.78902399570839</v>
      </c>
      <c r="K100" s="1798">
        <f t="shared" si="21"/>
        <v>169.7069642566135</v>
      </c>
      <c r="L100" s="1798">
        <f t="shared" si="21"/>
        <v>169.6249441773306</v>
      </c>
      <c r="M100" s="1798">
        <f t="shared" si="21"/>
        <v>169.54296373869207</v>
      </c>
      <c r="N100" s="1798">
        <f t="shared" si="21"/>
        <v>169.46102292153935</v>
      </c>
      <c r="O100" s="1798">
        <f t="shared" si="21"/>
        <v>169.37912170672317</v>
      </c>
      <c r="P100" s="1798">
        <f t="shared" si="21"/>
        <v>169.29726007510362</v>
      </c>
      <c r="Q100" s="1798">
        <f t="shared" si="21"/>
        <v>169.21543800754998</v>
      </c>
      <c r="R100" s="1798">
        <f t="shared" si="21"/>
        <v>169.13365548494073</v>
      </c>
      <c r="S100" s="1798">
        <f t="shared" si="21"/>
        <v>169.05191248816365</v>
      </c>
      <c r="T100" s="1798">
        <f t="shared" si="21"/>
        <v>168.97020899811577</v>
      </c>
      <c r="U100" s="1798">
        <f t="shared" si="21"/>
        <v>168.88854499570331</v>
      </c>
      <c r="V100" s="1798">
        <f t="shared" si="21"/>
        <v>168.80692046184168</v>
      </c>
      <c r="W100" s="1798">
        <f t="shared" si="21"/>
        <v>168.72533537745562</v>
      </c>
      <c r="X100" s="1798">
        <f t="shared" si="21"/>
        <v>168.64378972347907</v>
      </c>
      <c r="Y100" s="1798">
        <f t="shared" si="21"/>
        <v>168.56228348085509</v>
      </c>
      <c r="Z100" s="1798">
        <f t="shared" si="21"/>
        <v>168.480816630536</v>
      </c>
      <c r="AA100" s="1798">
        <f t="shared" si="21"/>
        <v>168.39938915348336</v>
      </c>
      <c r="AB100" s="1798">
        <f t="shared" si="21"/>
        <v>168.31800103066792</v>
      </c>
      <c r="AC100" s="1798">
        <f t="shared" si="21"/>
        <v>168.23665224306959</v>
      </c>
      <c r="AD100" s="1798">
        <f t="shared" si="21"/>
        <v>168.15534277167751</v>
      </c>
      <c r="AE100" s="1798">
        <f t="shared" si="21"/>
        <v>168.07407259748999</v>
      </c>
      <c r="AF100" s="1798">
        <f t="shared" si="21"/>
        <v>167.99284170151455</v>
      </c>
      <c r="AG100" s="1798">
        <f t="shared" si="21"/>
        <v>167.91165006476783</v>
      </c>
      <c r="AH100" s="1798">
        <f t="shared" si="21"/>
        <v>167.83049766827568</v>
      </c>
      <c r="AI100" s="1798">
        <f t="shared" si="21"/>
        <v>167.74938449307322</v>
      </c>
      <c r="AJ100" s="1798">
        <f t="shared" si="21"/>
        <v>167.6683105202045</v>
      </c>
      <c r="AK100" s="1798">
        <f t="shared" si="21"/>
        <v>167.58727573072292</v>
      </c>
      <c r="AL100" s="1798">
        <f t="shared" si="21"/>
        <v>167.50628010569102</v>
      </c>
      <c r="AM100" s="1798">
        <f t="shared" si="21"/>
        <v>167.42532362618041</v>
      </c>
      <c r="AN100" s="1798">
        <f t="shared" si="21"/>
        <v>167.34440627327194</v>
      </c>
      <c r="AO100" s="1798">
        <f t="shared" si="21"/>
        <v>167.26352802805559</v>
      </c>
      <c r="AP100" s="1798">
        <f t="shared" si="21"/>
        <v>167.18268887163032</v>
      </c>
      <c r="AQ100" s="1798">
        <f t="shared" si="21"/>
        <v>167.10188878510448</v>
      </c>
      <c r="AR100" s="1798">
        <f t="shared" si="21"/>
        <v>167.02112774959539</v>
      </c>
      <c r="AS100" s="1798">
        <f t="shared" si="21"/>
        <v>166.94040574622952</v>
      </c>
      <c r="AT100" s="1798">
        <f t="shared" si="21"/>
        <v>0</v>
      </c>
      <c r="AU100" s="1798">
        <f t="shared" si="21"/>
        <v>0</v>
      </c>
      <c r="AV100" s="1798">
        <f t="shared" si="21"/>
        <v>0</v>
      </c>
      <c r="AW100" s="1798">
        <f t="shared" si="21"/>
        <v>0</v>
      </c>
      <c r="AX100" s="1798">
        <f t="shared" si="21"/>
        <v>0</v>
      </c>
      <c r="AY100" s="1798">
        <f t="shared" si="21"/>
        <v>0</v>
      </c>
      <c r="AZ100" s="1798">
        <f t="shared" si="21"/>
        <v>0</v>
      </c>
      <c r="BA100" s="1798">
        <f t="shared" si="21"/>
        <v>0</v>
      </c>
      <c r="BB100" s="1798">
        <f t="shared" si="21"/>
        <v>0</v>
      </c>
      <c r="BC100" s="1798">
        <f t="shared" si="21"/>
        <v>0</v>
      </c>
      <c r="BD100" s="1798">
        <f t="shared" si="21"/>
        <v>0</v>
      </c>
      <c r="BE100" s="1798">
        <f t="shared" si="21"/>
        <v>0</v>
      </c>
      <c r="BF100" s="1798">
        <f t="shared" si="21"/>
        <v>0</v>
      </c>
      <c r="BG100" s="1798">
        <f t="shared" si="21"/>
        <v>0</v>
      </c>
      <c r="BH100" s="1798">
        <f t="shared" si="21"/>
        <v>0</v>
      </c>
      <c r="BI100" s="1799"/>
      <c r="BO100" s="136"/>
      <c r="BP100" s="121"/>
      <c r="BQ100" s="121"/>
      <c r="BR100" s="121"/>
    </row>
    <row r="101" spans="2:70" ht="12.75">
      <c r="C101" s="1805"/>
      <c r="D101" s="1801"/>
      <c r="E101" s="1801"/>
      <c r="F101" s="1801"/>
      <c r="G101" s="1801"/>
      <c r="H101" s="1801"/>
      <c r="I101" s="1801"/>
      <c r="J101" s="1801"/>
      <c r="K101" s="1801"/>
      <c r="L101" s="1801"/>
      <c r="M101" s="1801"/>
      <c r="N101" s="1801"/>
      <c r="O101" s="1801"/>
      <c r="P101" s="1801"/>
      <c r="Q101" s="1801"/>
      <c r="R101" s="1801"/>
      <c r="S101" s="1801"/>
      <c r="T101" s="1801"/>
      <c r="U101" s="1801"/>
      <c r="V101" s="1801"/>
      <c r="W101" s="1801"/>
      <c r="X101" s="1801"/>
      <c r="Y101" s="1801"/>
      <c r="Z101" s="1801"/>
      <c r="AA101" s="1801"/>
      <c r="AB101" s="1801"/>
      <c r="AC101" s="1801"/>
      <c r="AD101" s="1801"/>
      <c r="AE101" s="1801"/>
      <c r="AF101" s="1801"/>
      <c r="AG101" s="1801"/>
      <c r="AH101" s="1801"/>
      <c r="AI101" s="1801"/>
      <c r="AJ101" s="1801"/>
      <c r="AK101" s="1801"/>
      <c r="AL101" s="1801"/>
      <c r="AM101" s="1801"/>
      <c r="AN101" s="1801"/>
      <c r="AO101" s="1801"/>
      <c r="AP101" s="1801"/>
      <c r="AQ101" s="1801"/>
      <c r="AR101" s="1801"/>
      <c r="AS101" s="1801"/>
      <c r="AT101" s="1801"/>
      <c r="AU101" s="1801"/>
      <c r="AV101" s="1801"/>
      <c r="AW101" s="1801"/>
      <c r="AX101" s="1801"/>
      <c r="AY101" s="1801"/>
      <c r="AZ101" s="1801"/>
      <c r="BA101" s="1801"/>
      <c r="BB101" s="1801"/>
      <c r="BC101" s="1801"/>
      <c r="BD101" s="1801"/>
      <c r="BE101" s="1801"/>
      <c r="BF101" s="1801"/>
      <c r="BG101" s="1801"/>
      <c r="BH101" s="1801"/>
      <c r="BI101" s="1802"/>
      <c r="BO101" s="136"/>
      <c r="BP101" s="121"/>
      <c r="BQ101" s="121"/>
      <c r="BR101" s="121"/>
    </row>
    <row r="102" spans="2: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2.7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ht="14.25">
      <c r="F106" s="136"/>
      <c r="K106" s="136"/>
      <c r="L106" s="136"/>
      <c r="M106" s="136"/>
      <c r="N106" s="136"/>
      <c r="O106" s="136"/>
      <c r="P106" s="136"/>
      <c r="Q106" s="136"/>
      <c r="R106" s="136"/>
      <c r="BO106" s="136"/>
      <c r="BP106" s="121"/>
      <c r="BQ106" s="121"/>
      <c r="BR106" s="121"/>
    </row>
    <row r="107" spans="2:70" ht="14.25">
      <c r="F107" s="136"/>
      <c r="K107" s="136"/>
      <c r="L107" s="136"/>
      <c r="M107" s="136"/>
      <c r="N107" s="136"/>
      <c r="O107" s="136"/>
      <c r="P107" s="136"/>
      <c r="Q107" s="136"/>
      <c r="R107" s="136"/>
      <c r="BO107" s="136"/>
      <c r="BP107" s="121"/>
      <c r="BQ107" s="121"/>
      <c r="BR107" s="121"/>
    </row>
    <row r="108" spans="2:70" ht="14.25">
      <c r="F108" s="136"/>
      <c r="K108" s="136"/>
      <c r="L108" s="136"/>
      <c r="M108" s="136"/>
      <c r="N108" s="136"/>
      <c r="O108" s="136"/>
      <c r="P108" s="136"/>
      <c r="Q108" s="136"/>
      <c r="R108" s="136"/>
      <c r="BO108" s="136"/>
      <c r="BP108" s="121"/>
      <c r="BQ108" s="121"/>
      <c r="BR108" s="121"/>
    </row>
    <row r="109" spans="2:70" ht="14.25">
      <c r="F109" s="136"/>
      <c r="K109" s="136"/>
      <c r="L109" s="136"/>
      <c r="M109" s="136"/>
      <c r="N109" s="136"/>
      <c r="O109" s="136"/>
      <c r="P109" s="136"/>
      <c r="Q109" s="136"/>
      <c r="R109" s="136"/>
      <c r="BO109" s="136"/>
      <c r="BP109" s="121"/>
      <c r="BQ109" s="121"/>
      <c r="BR109" s="121"/>
    </row>
    <row r="110" spans="2:70" ht="14.25">
      <c r="F110" s="136"/>
      <c r="K110" s="136"/>
      <c r="L110" s="136"/>
      <c r="M110" s="136"/>
      <c r="N110" s="136"/>
      <c r="O110" s="136"/>
      <c r="P110" s="136"/>
      <c r="Q110" s="136"/>
      <c r="R110" s="136"/>
      <c r="BO110" s="136"/>
      <c r="BP110" s="121"/>
      <c r="BQ110" s="121"/>
      <c r="BR110" s="121"/>
    </row>
    <row r="111" spans="2:70" ht="14.25">
      <c r="F111" s="136"/>
      <c r="K111" s="136"/>
      <c r="L111" s="136"/>
      <c r="M111" s="136"/>
      <c r="N111" s="136"/>
      <c r="O111" s="136"/>
      <c r="P111" s="136"/>
      <c r="Q111" s="136"/>
      <c r="R111" s="136"/>
      <c r="BO111" s="136"/>
      <c r="BP111" s="121"/>
      <c r="BQ111" s="121"/>
      <c r="BR111" s="121"/>
    </row>
    <row r="112" spans="2:70" ht="14.25">
      <c r="F112" s="136"/>
      <c r="K112" s="136"/>
      <c r="L112" s="136"/>
      <c r="M112" s="136"/>
      <c r="N112" s="136"/>
      <c r="O112" s="136"/>
      <c r="P112" s="136"/>
      <c r="Q112" s="136"/>
      <c r="R112" s="136"/>
      <c r="BO112" s="136"/>
      <c r="BP112" s="121"/>
      <c r="BQ112" s="121"/>
      <c r="BR112" s="121"/>
    </row>
    <row r="113" spans="3:70" ht="14.25">
      <c r="F113" s="136"/>
      <c r="K113" s="136"/>
      <c r="L113" s="136"/>
      <c r="M113" s="136"/>
      <c r="N113" s="136"/>
      <c r="O113" s="136"/>
      <c r="P113" s="136"/>
      <c r="Q113" s="136"/>
      <c r="R113" s="136"/>
      <c r="BO113" s="136"/>
      <c r="BP113" s="121"/>
      <c r="BQ113" s="121"/>
      <c r="BR113" s="121"/>
    </row>
    <row r="114" spans="3:70" ht="12.75">
      <c r="C114" s="186"/>
      <c r="D114" s="136"/>
      <c r="E114" s="136"/>
      <c r="F114" s="136"/>
      <c r="K114" s="136"/>
      <c r="L114" s="136"/>
      <c r="M114" s="136"/>
      <c r="N114" s="136"/>
      <c r="O114" s="136"/>
      <c r="P114" s="136"/>
      <c r="Q114" s="136"/>
      <c r="R114" s="136"/>
      <c r="BO114" s="136"/>
      <c r="BP114" s="121"/>
      <c r="BQ114" s="121"/>
      <c r="BR114" s="121"/>
    </row>
    <row r="115" spans="3:70" ht="12.75">
      <c r="C115" s="186"/>
      <c r="D115" s="136"/>
      <c r="E115" s="136"/>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ht="14.25">
      <c r="F119" s="136"/>
      <c r="K119" s="136"/>
      <c r="L119" s="136"/>
      <c r="M119" s="136"/>
      <c r="N119" s="136"/>
      <c r="O119" s="136"/>
      <c r="P119" s="136"/>
      <c r="Q119" s="136"/>
      <c r="R119" s="136"/>
      <c r="BO119" s="136"/>
      <c r="BP119" s="121"/>
      <c r="BQ119" s="121"/>
      <c r="BR119" s="121"/>
    </row>
    <row r="120" spans="3:70">
      <c r="F120" s="136"/>
      <c r="K120" s="136"/>
      <c r="L120" s="136"/>
      <c r="M120" s="136"/>
      <c r="N120" s="136"/>
      <c r="O120" s="136"/>
      <c r="P120" s="136"/>
      <c r="Q120" s="136"/>
      <c r="R120" s="136"/>
      <c r="BP120" s="121"/>
      <c r="BQ120" s="121"/>
      <c r="BR120" s="121"/>
    </row>
  </sheetData>
  <mergeCells count="14">
    <mergeCell ref="B1:R1"/>
    <mergeCell ref="B2:E2"/>
    <mergeCell ref="H2:R2"/>
    <mergeCell ref="O4:R4"/>
    <mergeCell ref="N20:O20"/>
    <mergeCell ref="L10:O10"/>
    <mergeCell ref="I8:J8"/>
    <mergeCell ref="T15:U15"/>
    <mergeCell ref="C80:E80"/>
    <mergeCell ref="L22:N22"/>
    <mergeCell ref="C89:E89"/>
    <mergeCell ref="N39:O39"/>
    <mergeCell ref="C66:E66"/>
    <mergeCell ref="C72:E72"/>
  </mergeCells>
  <dataValidations count="4">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C6:D6">
      <formula1>#REF!</formula1>
    </dataValidation>
    <dataValidation type="list" allowBlank="1" showInputMessage="1" showErrorMessage="1" sqref="F4:F5">
      <formula1>"High, Medium, Low"</formula1>
    </dataValidation>
  </dataValidations>
  <pageMargins left="0.7" right="0.7" top="0.75" bottom="0.75" header="0.3" footer="0.3"/>
  <pageSetup paperSize="5" scale="38"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Assumptions!$A$43:$A$46</xm:f>
          </x14:formula1>
          <xm:sqref>C9</xm:sqref>
        </x14:dataValidation>
        <x14:dataValidation type="list" allowBlank="1" showInputMessage="1" showErrorMessage="1">
          <x14:formula1>
            <xm:f>Assumptions!$B$76:$B$78</xm:f>
          </x14:formula1>
          <xm:sqref>J7</xm:sqref>
        </x14:dataValidation>
        <x14:dataValidation type="list" allowBlank="1" showInputMessage="1" showErrorMessage="1">
          <x14:formula1>
            <xm:f>Assumptions!$A$50:$A$51</xm:f>
          </x14:formula1>
          <xm:sqref>J10</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W365"/>
  <sheetViews>
    <sheetView topLeftCell="A102" workbookViewId="0">
      <selection activeCell="F128" sqref="F128"/>
    </sheetView>
  </sheetViews>
  <sheetFormatPr defaultRowHeight="12.75"/>
  <cols>
    <col min="1" max="1" width="18.28515625" style="98" bestFit="1" customWidth="1"/>
    <col min="2" max="2" width="22" style="1687" bestFit="1" customWidth="1"/>
    <col min="3" max="3" width="10.28515625" style="1692" bestFit="1" customWidth="1"/>
    <col min="4" max="6" width="12.140625" style="1692" bestFit="1" customWidth="1"/>
    <col min="7" max="7" width="14" style="1692" bestFit="1" customWidth="1"/>
    <col min="8" max="8" width="18.42578125" style="1693" bestFit="1" customWidth="1"/>
    <col min="9" max="9" width="12.140625" style="1692" bestFit="1" customWidth="1"/>
    <col min="10" max="10" width="13" style="1692" bestFit="1" customWidth="1"/>
    <col min="11" max="11" width="21.85546875" style="1687" bestFit="1" customWidth="1"/>
    <col min="12" max="12" width="9.140625" style="1820"/>
    <col min="15" max="16" width="22" bestFit="1" customWidth="1"/>
    <col min="17" max="17" width="18" bestFit="1" customWidth="1"/>
    <col min="18" max="18" width="15.7109375" bestFit="1" customWidth="1"/>
  </cols>
  <sheetData>
    <row r="1" spans="1:16" ht="25.5">
      <c r="A1" s="13" t="s">
        <v>375</v>
      </c>
      <c r="B1" s="97" t="s">
        <v>2114</v>
      </c>
      <c r="C1" s="1690" t="s">
        <v>1476</v>
      </c>
      <c r="D1" s="1690" t="s">
        <v>1481</v>
      </c>
      <c r="E1" s="1690" t="s">
        <v>1482</v>
      </c>
      <c r="F1" s="1690" t="s">
        <v>779</v>
      </c>
      <c r="G1" s="1690" t="s">
        <v>1483</v>
      </c>
      <c r="H1" s="1691" t="s">
        <v>1484</v>
      </c>
      <c r="I1" s="1690" t="s">
        <v>1479</v>
      </c>
      <c r="J1" s="1690" t="s">
        <v>1480</v>
      </c>
      <c r="K1" s="1690" t="s">
        <v>2127</v>
      </c>
      <c r="L1" s="1819" t="s">
        <v>2335</v>
      </c>
      <c r="O1" t="s">
        <v>2114</v>
      </c>
    </row>
    <row r="2" spans="1:16">
      <c r="A2" s="98" t="s">
        <v>969</v>
      </c>
      <c r="B2" s="1687" t="s">
        <v>921</v>
      </c>
      <c r="C2" s="1692" t="s">
        <v>1121</v>
      </c>
      <c r="D2" s="1692" t="s">
        <v>1121</v>
      </c>
      <c r="E2" s="1692" t="s">
        <v>1121</v>
      </c>
      <c r="F2" s="1692" t="s">
        <v>1121</v>
      </c>
      <c r="G2" s="1692" t="s">
        <v>1121</v>
      </c>
      <c r="H2" s="1693" t="s">
        <v>1121</v>
      </c>
      <c r="I2" s="1692" t="s">
        <v>1121</v>
      </c>
      <c r="J2" s="1692" t="s">
        <v>1121</v>
      </c>
      <c r="K2" s="1687">
        <v>0</v>
      </c>
    </row>
    <row r="3" spans="1:16">
      <c r="A3" s="98" t="s">
        <v>970</v>
      </c>
      <c r="B3" s="1687" t="s">
        <v>921</v>
      </c>
      <c r="C3" s="1692" t="s">
        <v>1121</v>
      </c>
      <c r="D3" s="1692" t="s">
        <v>1121</v>
      </c>
      <c r="E3" s="1692" t="s">
        <v>1121</v>
      </c>
      <c r="F3" s="1692" t="s">
        <v>1121</v>
      </c>
      <c r="G3" s="1692" t="s">
        <v>1121</v>
      </c>
      <c r="H3" s="1693" t="s">
        <v>1121</v>
      </c>
      <c r="I3" s="1692" t="s">
        <v>1121</v>
      </c>
      <c r="J3" s="1692" t="s">
        <v>1121</v>
      </c>
      <c r="K3" s="1695">
        <v>0</v>
      </c>
      <c r="O3" t="s">
        <v>918</v>
      </c>
      <c r="P3">
        <f>COUNTIF($B$2:$B$262,O3)</f>
        <v>54</v>
      </c>
    </row>
    <row r="4" spans="1:16">
      <c r="A4" s="98" t="s">
        <v>49</v>
      </c>
      <c r="C4" s="1692" t="s">
        <v>1121</v>
      </c>
      <c r="D4" s="1692" t="s">
        <v>1121</v>
      </c>
      <c r="E4" s="1692" t="s">
        <v>1121</v>
      </c>
      <c r="F4" s="1692" t="s">
        <v>1121</v>
      </c>
      <c r="G4" s="1692" t="s">
        <v>1121</v>
      </c>
      <c r="H4" s="1693" t="s">
        <v>1121</v>
      </c>
      <c r="I4" s="1692" t="s">
        <v>1121</v>
      </c>
      <c r="J4" s="1692" t="s">
        <v>1121</v>
      </c>
      <c r="K4" s="1695" t="s">
        <v>596</v>
      </c>
      <c r="O4" t="s">
        <v>2120</v>
      </c>
      <c r="P4" s="90">
        <f t="shared" ref="P4:P18" si="0">COUNTIF($B$2:$B$262,O4)</f>
        <v>5</v>
      </c>
    </row>
    <row r="5" spans="1:16">
      <c r="A5" s="98" t="s">
        <v>51</v>
      </c>
      <c r="B5" s="1687" t="s">
        <v>918</v>
      </c>
      <c r="C5" s="1692">
        <v>1280</v>
      </c>
      <c r="D5" s="1692">
        <v>711</v>
      </c>
      <c r="E5" s="1692">
        <v>601</v>
      </c>
      <c r="F5" s="1692">
        <v>98533</v>
      </c>
      <c r="G5" s="1692">
        <v>86541</v>
      </c>
      <c r="H5" s="1693">
        <v>18480</v>
      </c>
      <c r="I5" s="1692">
        <v>0</v>
      </c>
      <c r="J5" s="1692">
        <v>0</v>
      </c>
      <c r="K5" s="1695" t="s">
        <v>596</v>
      </c>
      <c r="O5" t="s">
        <v>2124</v>
      </c>
      <c r="P5" s="90">
        <f t="shared" si="0"/>
        <v>2</v>
      </c>
    </row>
    <row r="6" spans="1:16">
      <c r="A6" s="98" t="s">
        <v>53</v>
      </c>
      <c r="B6" s="1687" t="s">
        <v>921</v>
      </c>
      <c r="C6" s="1692" t="s">
        <v>1121</v>
      </c>
      <c r="D6" s="1692" t="s">
        <v>1121</v>
      </c>
      <c r="E6" s="1692" t="s">
        <v>1121</v>
      </c>
      <c r="F6" s="1692" t="s">
        <v>1121</v>
      </c>
      <c r="G6" s="1692" t="s">
        <v>1121</v>
      </c>
      <c r="H6" s="1693" t="s">
        <v>1121</v>
      </c>
      <c r="I6" s="1692" t="s">
        <v>1121</v>
      </c>
      <c r="J6" s="1692" t="s">
        <v>1121</v>
      </c>
      <c r="K6" s="1695">
        <v>0</v>
      </c>
      <c r="O6" t="s">
        <v>931</v>
      </c>
      <c r="P6" s="90">
        <f t="shared" si="0"/>
        <v>10</v>
      </c>
    </row>
    <row r="7" spans="1:16">
      <c r="A7" s="98" t="s">
        <v>70</v>
      </c>
      <c r="B7" s="1698" t="s">
        <v>931</v>
      </c>
      <c r="C7" s="1692">
        <v>9860</v>
      </c>
      <c r="D7" s="1692">
        <v>24327</v>
      </c>
      <c r="E7" s="1692">
        <v>17732</v>
      </c>
      <c r="F7" s="1692">
        <v>276196</v>
      </c>
      <c r="G7" s="1692">
        <v>204113</v>
      </c>
      <c r="H7" s="1693">
        <v>95220</v>
      </c>
      <c r="I7" s="1692">
        <v>0</v>
      </c>
      <c r="J7" s="1692">
        <v>0</v>
      </c>
      <c r="K7" s="1695" t="s">
        <v>596</v>
      </c>
      <c r="O7" t="s">
        <v>2119</v>
      </c>
      <c r="P7" s="90">
        <f t="shared" si="0"/>
        <v>15</v>
      </c>
    </row>
    <row r="8" spans="1:16">
      <c r="A8" s="98" t="s">
        <v>971</v>
      </c>
      <c r="B8" s="1687" t="s">
        <v>2115</v>
      </c>
      <c r="C8" s="1692" t="s">
        <v>1121</v>
      </c>
      <c r="D8" s="1692" t="s">
        <v>1121</v>
      </c>
      <c r="E8" s="1692" t="s">
        <v>1121</v>
      </c>
      <c r="F8" s="1692" t="s">
        <v>1121</v>
      </c>
      <c r="G8" s="1692" t="s">
        <v>1121</v>
      </c>
      <c r="H8" s="1693" t="s">
        <v>1121</v>
      </c>
      <c r="I8" s="1692" t="s">
        <v>1121</v>
      </c>
      <c r="J8" s="1692" t="s">
        <v>1121</v>
      </c>
      <c r="K8" s="1695">
        <v>0</v>
      </c>
      <c r="O8" t="s">
        <v>2244</v>
      </c>
      <c r="P8" s="90">
        <f t="shared" si="0"/>
        <v>1</v>
      </c>
    </row>
    <row r="9" spans="1:16">
      <c r="A9" s="98" t="s">
        <v>972</v>
      </c>
      <c r="B9" s="1687" t="s">
        <v>2116</v>
      </c>
      <c r="C9" s="1692" t="s">
        <v>1121</v>
      </c>
      <c r="D9" s="1692" t="s">
        <v>1121</v>
      </c>
      <c r="E9" s="1692" t="s">
        <v>1121</v>
      </c>
      <c r="F9" s="1692" t="s">
        <v>1121</v>
      </c>
      <c r="G9" s="1692" t="s">
        <v>1121</v>
      </c>
      <c r="H9" s="1693" t="s">
        <v>1121</v>
      </c>
      <c r="I9" s="1692" t="s">
        <v>1121</v>
      </c>
      <c r="J9" s="1692" t="s">
        <v>1121</v>
      </c>
      <c r="K9" s="1695">
        <v>0</v>
      </c>
      <c r="P9" s="90"/>
    </row>
    <row r="10" spans="1:16">
      <c r="A10" s="98" t="s">
        <v>973</v>
      </c>
      <c r="B10" s="1687" t="s">
        <v>2115</v>
      </c>
      <c r="C10" s="1692" t="s">
        <v>1121</v>
      </c>
      <c r="D10" s="1692" t="s">
        <v>1121</v>
      </c>
      <c r="E10" s="1692" t="s">
        <v>1121</v>
      </c>
      <c r="F10" s="1692" t="s">
        <v>1121</v>
      </c>
      <c r="G10" s="1692" t="s">
        <v>1121</v>
      </c>
      <c r="H10" s="1693" t="s">
        <v>1121</v>
      </c>
      <c r="I10" s="1692" t="s">
        <v>1121</v>
      </c>
      <c r="J10" s="1692" t="s">
        <v>1121</v>
      </c>
      <c r="K10" s="1695" t="s">
        <v>596</v>
      </c>
      <c r="O10" t="s">
        <v>921</v>
      </c>
      <c r="P10" s="90">
        <f t="shared" si="0"/>
        <v>66</v>
      </c>
    </row>
    <row r="11" spans="1:16">
      <c r="A11" s="1686" t="s">
        <v>30</v>
      </c>
      <c r="B11" s="1688" t="s">
        <v>918</v>
      </c>
      <c r="C11" s="1692" t="s">
        <v>1121</v>
      </c>
      <c r="D11" s="1692" t="s">
        <v>1121</v>
      </c>
      <c r="E11" s="1692" t="s">
        <v>1121</v>
      </c>
      <c r="F11" s="1692" t="s">
        <v>1121</v>
      </c>
      <c r="G11" s="1692" t="s">
        <v>1121</v>
      </c>
      <c r="H11" s="1693" t="s">
        <v>1121</v>
      </c>
      <c r="I11" s="1692" t="s">
        <v>1121</v>
      </c>
      <c r="J11" s="1692" t="s">
        <v>1121</v>
      </c>
      <c r="K11" s="1695">
        <v>0</v>
      </c>
      <c r="O11" t="s">
        <v>2117</v>
      </c>
      <c r="P11" s="90">
        <f t="shared" si="0"/>
        <v>4</v>
      </c>
    </row>
    <row r="12" spans="1:16">
      <c r="A12" s="1686" t="s">
        <v>1441</v>
      </c>
      <c r="B12" s="1694" t="s">
        <v>918</v>
      </c>
      <c r="C12" s="1692">
        <v>6373</v>
      </c>
      <c r="D12" s="1692">
        <v>0</v>
      </c>
      <c r="E12" s="1692">
        <v>0</v>
      </c>
      <c r="F12" s="1692">
        <v>260202.34179999999</v>
      </c>
      <c r="G12" s="1692">
        <v>0</v>
      </c>
      <c r="H12" s="1693">
        <v>0</v>
      </c>
      <c r="I12" s="1692">
        <v>0</v>
      </c>
      <c r="J12" s="1692">
        <v>0</v>
      </c>
      <c r="K12" s="1695">
        <v>0</v>
      </c>
      <c r="O12" t="s">
        <v>2126</v>
      </c>
      <c r="P12" s="90">
        <f t="shared" si="0"/>
        <v>1</v>
      </c>
    </row>
    <row r="13" spans="1:16">
      <c r="A13" s="98" t="s">
        <v>974</v>
      </c>
      <c r="B13" s="1687" t="s">
        <v>2117</v>
      </c>
      <c r="C13" s="1692" t="s">
        <v>1121</v>
      </c>
      <c r="D13" s="1692" t="s">
        <v>1121</v>
      </c>
      <c r="E13" s="1692" t="s">
        <v>1121</v>
      </c>
      <c r="F13" s="1692" t="s">
        <v>1121</v>
      </c>
      <c r="G13" s="1692" t="s">
        <v>1121</v>
      </c>
      <c r="H13" s="1693" t="s">
        <v>1121</v>
      </c>
      <c r="I13" s="1692" t="s">
        <v>1121</v>
      </c>
      <c r="J13" s="1692" t="s">
        <v>1121</v>
      </c>
      <c r="K13" s="1695">
        <v>0</v>
      </c>
      <c r="O13" t="s">
        <v>2115</v>
      </c>
      <c r="P13" s="90">
        <f t="shared" si="0"/>
        <v>30</v>
      </c>
    </row>
    <row r="14" spans="1:16">
      <c r="A14" s="98" t="s">
        <v>975</v>
      </c>
      <c r="B14" s="1687" t="s">
        <v>2118</v>
      </c>
      <c r="C14" s="1692" t="s">
        <v>1121</v>
      </c>
      <c r="D14" s="1692" t="s">
        <v>1121</v>
      </c>
      <c r="E14" s="1692" t="s">
        <v>1121</v>
      </c>
      <c r="F14" s="1692" t="s">
        <v>1121</v>
      </c>
      <c r="G14" s="1692" t="s">
        <v>1121</v>
      </c>
      <c r="H14" s="1693" t="s">
        <v>1121</v>
      </c>
      <c r="I14" s="1692" t="s">
        <v>1121</v>
      </c>
      <c r="J14" s="1692" t="s">
        <v>1121</v>
      </c>
      <c r="K14" s="1695">
        <v>0</v>
      </c>
      <c r="O14" t="s">
        <v>1478</v>
      </c>
      <c r="P14" s="90">
        <f t="shared" si="0"/>
        <v>9</v>
      </c>
    </row>
    <row r="15" spans="1:16">
      <c r="A15" s="98" t="s">
        <v>40</v>
      </c>
      <c r="B15" s="1687" t="s">
        <v>921</v>
      </c>
      <c r="C15" s="1692" t="s">
        <v>1121</v>
      </c>
      <c r="D15" s="1692" t="s">
        <v>1121</v>
      </c>
      <c r="E15" s="1692" t="s">
        <v>1121</v>
      </c>
      <c r="F15" s="1692" t="s">
        <v>1121</v>
      </c>
      <c r="G15" s="1692" t="s">
        <v>1121</v>
      </c>
      <c r="H15" s="1693" t="s">
        <v>1121</v>
      </c>
      <c r="I15" s="1692" t="s">
        <v>1121</v>
      </c>
      <c r="J15" s="1692" t="s">
        <v>1121</v>
      </c>
      <c r="K15" s="1695">
        <v>0</v>
      </c>
      <c r="O15" t="s">
        <v>2118</v>
      </c>
      <c r="P15" s="90">
        <f t="shared" si="0"/>
        <v>2</v>
      </c>
    </row>
    <row r="16" spans="1:16">
      <c r="A16" s="98" t="s">
        <v>115</v>
      </c>
      <c r="B16" s="1687" t="s">
        <v>2116</v>
      </c>
      <c r="C16" s="1692" t="s">
        <v>1121</v>
      </c>
      <c r="D16" s="1692" t="s">
        <v>1121</v>
      </c>
      <c r="E16" s="1692" t="s">
        <v>1121</v>
      </c>
      <c r="F16" s="1692" t="s">
        <v>1121</v>
      </c>
      <c r="G16" s="1692" t="s">
        <v>1121</v>
      </c>
      <c r="H16" s="1693" t="s">
        <v>1121</v>
      </c>
      <c r="I16" s="1692" t="s">
        <v>1121</v>
      </c>
      <c r="J16" s="1692" t="s">
        <v>1121</v>
      </c>
      <c r="K16" s="1695">
        <v>0</v>
      </c>
      <c r="O16" t="s">
        <v>2123</v>
      </c>
      <c r="P16" s="90">
        <f t="shared" si="0"/>
        <v>3</v>
      </c>
    </row>
    <row r="17" spans="1:23">
      <c r="A17" s="98" t="s">
        <v>71</v>
      </c>
      <c r="B17" s="1687" t="s">
        <v>918</v>
      </c>
      <c r="C17" s="1692" t="s">
        <v>1121</v>
      </c>
      <c r="D17" s="1692" t="s">
        <v>1121</v>
      </c>
      <c r="E17" s="1692" t="s">
        <v>1121</v>
      </c>
      <c r="F17" s="1692" t="s">
        <v>1121</v>
      </c>
      <c r="G17" s="1692" t="s">
        <v>1121</v>
      </c>
      <c r="H17" s="1693" t="s">
        <v>1121</v>
      </c>
      <c r="I17" s="1692" t="s">
        <v>1121</v>
      </c>
      <c r="J17" s="1692" t="s">
        <v>1121</v>
      </c>
      <c r="K17" s="1695">
        <v>0</v>
      </c>
      <c r="L17" s="1821" t="s">
        <v>596</v>
      </c>
      <c r="O17" t="s">
        <v>2116</v>
      </c>
      <c r="P17" s="90">
        <f t="shared" si="0"/>
        <v>48</v>
      </c>
    </row>
    <row r="18" spans="1:23">
      <c r="A18" s="98" t="s">
        <v>398</v>
      </c>
      <c r="B18" s="1687" t="s">
        <v>2115</v>
      </c>
      <c r="C18" s="1692" t="s">
        <v>1121</v>
      </c>
      <c r="D18" s="1692" t="s">
        <v>1121</v>
      </c>
      <c r="E18" s="1692" t="s">
        <v>1121</v>
      </c>
      <c r="F18" s="1692" t="s">
        <v>1121</v>
      </c>
      <c r="G18" s="1692" t="s">
        <v>1121</v>
      </c>
      <c r="H18" s="1693" t="s">
        <v>1121</v>
      </c>
      <c r="I18" s="1692" t="s">
        <v>1121</v>
      </c>
      <c r="J18" s="1692" t="s">
        <v>1121</v>
      </c>
      <c r="K18" s="1695">
        <v>0</v>
      </c>
      <c r="O18" t="s">
        <v>2121</v>
      </c>
      <c r="P18" s="90">
        <f t="shared" si="0"/>
        <v>1</v>
      </c>
    </row>
    <row r="19" spans="1:23">
      <c r="A19" s="98" t="s">
        <v>24</v>
      </c>
      <c r="B19" s="1687" t="s">
        <v>921</v>
      </c>
      <c r="C19" s="1692" t="s">
        <v>1121</v>
      </c>
      <c r="D19" s="1692" t="s">
        <v>1121</v>
      </c>
      <c r="E19" s="1692" t="s">
        <v>1121</v>
      </c>
      <c r="F19" s="1692" t="s">
        <v>1121</v>
      </c>
      <c r="G19" s="1692" t="s">
        <v>1121</v>
      </c>
      <c r="H19" s="1693" t="s">
        <v>1121</v>
      </c>
      <c r="I19" s="1692" t="s">
        <v>1121</v>
      </c>
      <c r="J19" s="1692" t="s">
        <v>1121</v>
      </c>
      <c r="K19" s="1695">
        <v>0</v>
      </c>
    </row>
    <row r="20" spans="1:23">
      <c r="A20" s="39" t="s">
        <v>117</v>
      </c>
      <c r="B20" s="1688" t="s">
        <v>2115</v>
      </c>
      <c r="C20" s="1692" t="s">
        <v>1121</v>
      </c>
      <c r="D20" s="1692" t="s">
        <v>1121</v>
      </c>
      <c r="E20" s="1692" t="s">
        <v>1121</v>
      </c>
      <c r="F20" s="1692" t="s">
        <v>1121</v>
      </c>
      <c r="G20" s="1692" t="s">
        <v>1121</v>
      </c>
      <c r="H20" s="1693" t="s">
        <v>1121</v>
      </c>
      <c r="I20" s="1692" t="s">
        <v>1121</v>
      </c>
      <c r="J20" s="1692" t="s">
        <v>1121</v>
      </c>
      <c r="K20" s="1695">
        <v>0</v>
      </c>
    </row>
    <row r="21" spans="1:23">
      <c r="A21" s="98" t="s">
        <v>1443</v>
      </c>
      <c r="B21" s="1687" t="s">
        <v>918</v>
      </c>
      <c r="C21" s="1692">
        <v>12237</v>
      </c>
      <c r="D21" s="1692">
        <v>0</v>
      </c>
      <c r="E21" s="1692">
        <v>0</v>
      </c>
      <c r="F21" s="1692">
        <v>415863.74274000002</v>
      </c>
      <c r="G21" s="1692">
        <v>0</v>
      </c>
      <c r="H21" s="1693">
        <v>0</v>
      </c>
      <c r="I21" s="1692">
        <v>0</v>
      </c>
      <c r="J21" s="1692">
        <v>0</v>
      </c>
      <c r="K21" s="1695">
        <v>0</v>
      </c>
      <c r="O21" s="90"/>
      <c r="Q21" s="90"/>
      <c r="S21" s="90"/>
      <c r="U21" s="90"/>
      <c r="V21" s="90"/>
      <c r="W21" s="90"/>
    </row>
    <row r="22" spans="1:23">
      <c r="A22" s="98" t="s">
        <v>978</v>
      </c>
      <c r="B22" s="1687" t="s">
        <v>918</v>
      </c>
      <c r="C22" s="1692" t="s">
        <v>1121</v>
      </c>
      <c r="D22" s="1692" t="s">
        <v>1121</v>
      </c>
      <c r="E22" s="1692" t="s">
        <v>1121</v>
      </c>
      <c r="F22" s="1692" t="s">
        <v>1121</v>
      </c>
      <c r="G22" s="1692" t="s">
        <v>1121</v>
      </c>
      <c r="H22" s="1693" t="s">
        <v>1121</v>
      </c>
      <c r="I22" s="1692" t="s">
        <v>1121</v>
      </c>
      <c r="J22" s="1692" t="s">
        <v>1121</v>
      </c>
      <c r="K22" s="1695">
        <v>0</v>
      </c>
    </row>
    <row r="23" spans="1:23">
      <c r="A23" s="98" t="s">
        <v>119</v>
      </c>
      <c r="B23" s="1687" t="s">
        <v>2119</v>
      </c>
      <c r="C23" s="1692" t="s">
        <v>1121</v>
      </c>
      <c r="D23" s="1692" t="s">
        <v>1121</v>
      </c>
      <c r="E23" s="1692" t="s">
        <v>1121</v>
      </c>
      <c r="F23" s="1692" t="s">
        <v>1121</v>
      </c>
      <c r="G23" s="1692" t="s">
        <v>1121</v>
      </c>
      <c r="H23" s="1693" t="s">
        <v>1121</v>
      </c>
      <c r="I23" s="1692" t="s">
        <v>1121</v>
      </c>
      <c r="J23" s="1692" t="s">
        <v>1121</v>
      </c>
      <c r="K23" s="1695" t="s">
        <v>596</v>
      </c>
    </row>
    <row r="24" spans="1:23">
      <c r="A24" s="98" t="s">
        <v>1446</v>
      </c>
      <c r="B24" s="1687" t="s">
        <v>918</v>
      </c>
      <c r="C24" s="1692">
        <v>35925</v>
      </c>
      <c r="D24" s="1692">
        <v>15192.65401459854</v>
      </c>
      <c r="E24" s="1692">
        <v>0</v>
      </c>
      <c r="F24" s="1692">
        <v>340683.06611999992</v>
      </c>
      <c r="G24" s="1692">
        <v>0</v>
      </c>
      <c r="H24" s="1693">
        <v>0</v>
      </c>
      <c r="I24" s="1692">
        <v>0</v>
      </c>
      <c r="J24" s="1692">
        <v>0</v>
      </c>
      <c r="K24" s="1695">
        <v>0</v>
      </c>
    </row>
    <row r="25" spans="1:23">
      <c r="A25" s="98" t="s">
        <v>979</v>
      </c>
      <c r="B25" s="1687" t="s">
        <v>2116</v>
      </c>
      <c r="C25" s="1692" t="s">
        <v>1121</v>
      </c>
      <c r="D25" s="1692" t="s">
        <v>1121</v>
      </c>
      <c r="E25" s="1692" t="s">
        <v>1121</v>
      </c>
      <c r="F25" s="1692" t="s">
        <v>1121</v>
      </c>
      <c r="G25" s="1692" t="s">
        <v>1121</v>
      </c>
      <c r="H25" s="1693" t="s">
        <v>1121</v>
      </c>
      <c r="I25" s="1692" t="s">
        <v>1121</v>
      </c>
      <c r="J25" s="1692" t="s">
        <v>1121</v>
      </c>
      <c r="K25" s="1695">
        <v>0</v>
      </c>
    </row>
    <row r="26" spans="1:23">
      <c r="A26" s="98" t="s">
        <v>399</v>
      </c>
      <c r="B26" s="1687" t="s">
        <v>2115</v>
      </c>
      <c r="C26" s="1692" t="s">
        <v>1121</v>
      </c>
      <c r="D26" s="1692" t="s">
        <v>1121</v>
      </c>
      <c r="E26" s="1692" t="s">
        <v>1121</v>
      </c>
      <c r="F26" s="1692" t="s">
        <v>1121</v>
      </c>
      <c r="G26" s="1692" t="s">
        <v>1121</v>
      </c>
      <c r="H26" s="1693" t="s">
        <v>1121</v>
      </c>
      <c r="I26" s="1692" t="s">
        <v>1121</v>
      </c>
      <c r="J26" s="1692" t="s">
        <v>1121</v>
      </c>
      <c r="K26" s="1695">
        <v>0</v>
      </c>
    </row>
    <row r="27" spans="1:23">
      <c r="A27" s="98" t="s">
        <v>72</v>
      </c>
      <c r="B27" s="1687" t="s">
        <v>918</v>
      </c>
      <c r="C27" s="1692">
        <v>2800</v>
      </c>
      <c r="D27" s="1692">
        <v>12811</v>
      </c>
      <c r="E27" s="1692">
        <v>2643</v>
      </c>
      <c r="F27" s="1692">
        <v>118202</v>
      </c>
      <c r="G27" s="1692">
        <v>89551</v>
      </c>
      <c r="H27" s="1693">
        <v>605160</v>
      </c>
      <c r="I27" s="1692">
        <v>0</v>
      </c>
      <c r="J27" s="1692">
        <v>0</v>
      </c>
      <c r="K27" s="1695">
        <v>0</v>
      </c>
    </row>
    <row r="28" spans="1:23">
      <c r="A28" s="98" t="s">
        <v>41</v>
      </c>
      <c r="B28" s="1687" t="s">
        <v>918</v>
      </c>
      <c r="C28" s="1692" t="s">
        <v>1121</v>
      </c>
      <c r="D28" s="1692" t="s">
        <v>1121</v>
      </c>
      <c r="E28" s="1692" t="s">
        <v>1121</v>
      </c>
      <c r="F28" s="1692" t="s">
        <v>1121</v>
      </c>
      <c r="G28" s="1692" t="s">
        <v>1121</v>
      </c>
      <c r="H28" s="1693" t="s">
        <v>1121</v>
      </c>
      <c r="I28" s="1692" t="s">
        <v>1121</v>
      </c>
      <c r="J28" s="1692" t="s">
        <v>1121</v>
      </c>
      <c r="K28" s="1695">
        <v>0</v>
      </c>
    </row>
    <row r="29" spans="1:23">
      <c r="A29" s="98" t="s">
        <v>984</v>
      </c>
      <c r="B29" s="1687" t="s">
        <v>2116</v>
      </c>
      <c r="C29" s="1692" t="s">
        <v>1121</v>
      </c>
      <c r="D29" s="1692" t="s">
        <v>1121</v>
      </c>
      <c r="E29" s="1692" t="s">
        <v>1121</v>
      </c>
      <c r="F29" s="1692" t="s">
        <v>1121</v>
      </c>
      <c r="G29" s="1692" t="s">
        <v>1121</v>
      </c>
      <c r="H29" s="1693" t="s">
        <v>1121</v>
      </c>
      <c r="I29" s="1692" t="s">
        <v>1121</v>
      </c>
      <c r="J29" s="1692" t="s">
        <v>1121</v>
      </c>
      <c r="K29" s="1695">
        <v>0</v>
      </c>
    </row>
    <row r="30" spans="1:23">
      <c r="A30" s="98" t="s">
        <v>123</v>
      </c>
      <c r="B30" s="1687" t="s">
        <v>2116</v>
      </c>
      <c r="C30" s="1692" t="s">
        <v>1121</v>
      </c>
      <c r="D30" s="1692" t="s">
        <v>1121</v>
      </c>
      <c r="E30" s="1692" t="s">
        <v>1121</v>
      </c>
      <c r="F30" s="1692" t="s">
        <v>1121</v>
      </c>
      <c r="G30" s="1692" t="s">
        <v>1121</v>
      </c>
      <c r="H30" s="1693" t="s">
        <v>1121</v>
      </c>
      <c r="I30" s="1692" t="s">
        <v>1121</v>
      </c>
      <c r="J30" s="1692" t="s">
        <v>1121</v>
      </c>
      <c r="K30" s="1695">
        <v>0</v>
      </c>
      <c r="O30" s="1696"/>
      <c r="P30" s="90"/>
      <c r="Q30" s="90"/>
      <c r="R30" s="90"/>
    </row>
    <row r="31" spans="1:23">
      <c r="A31" s="98" t="s">
        <v>985</v>
      </c>
      <c r="B31" s="1687" t="s">
        <v>2115</v>
      </c>
      <c r="C31" s="1692" t="s">
        <v>1121</v>
      </c>
      <c r="D31" s="1692" t="s">
        <v>1121</v>
      </c>
      <c r="E31" s="1692" t="s">
        <v>1121</v>
      </c>
      <c r="F31" s="1692" t="s">
        <v>1121</v>
      </c>
      <c r="G31" s="1692" t="s">
        <v>1121</v>
      </c>
      <c r="H31" s="1693" t="s">
        <v>1121</v>
      </c>
      <c r="I31" s="1692" t="s">
        <v>1121</v>
      </c>
      <c r="J31" s="1692" t="s">
        <v>1121</v>
      </c>
      <c r="K31" s="1695">
        <v>0</v>
      </c>
    </row>
    <row r="32" spans="1:23">
      <c r="A32" s="98" t="s">
        <v>1362</v>
      </c>
      <c r="B32" s="1687" t="s">
        <v>2116</v>
      </c>
      <c r="C32" s="1692" t="s">
        <v>1121</v>
      </c>
      <c r="D32" s="1692" t="s">
        <v>1121</v>
      </c>
      <c r="E32" s="1692" t="s">
        <v>1121</v>
      </c>
      <c r="F32" s="1692" t="s">
        <v>1121</v>
      </c>
      <c r="G32" s="1692" t="s">
        <v>1121</v>
      </c>
      <c r="H32" s="1693" t="s">
        <v>1121</v>
      </c>
      <c r="I32" s="1692" t="s">
        <v>1121</v>
      </c>
      <c r="J32" s="1692" t="s">
        <v>1121</v>
      </c>
      <c r="K32" s="1695">
        <v>0</v>
      </c>
    </row>
    <row r="33" spans="1:12">
      <c r="A33" s="98" t="s">
        <v>199</v>
      </c>
      <c r="B33" s="1687" t="s">
        <v>2115</v>
      </c>
      <c r="C33" s="1692">
        <v>950</v>
      </c>
      <c r="D33" s="1692">
        <v>2060</v>
      </c>
      <c r="E33" s="1692">
        <v>765</v>
      </c>
      <c r="F33" s="1692">
        <v>46022</v>
      </c>
      <c r="G33" s="1692">
        <v>30819</v>
      </c>
      <c r="H33" s="1693">
        <v>65358</v>
      </c>
      <c r="I33" s="1692">
        <v>0</v>
      </c>
      <c r="J33" s="1692">
        <v>0</v>
      </c>
      <c r="K33" s="1695" t="s">
        <v>596</v>
      </c>
    </row>
    <row r="34" spans="1:12">
      <c r="A34" s="98" t="s">
        <v>125</v>
      </c>
      <c r="B34" s="1687" t="s">
        <v>921</v>
      </c>
      <c r="C34" s="1692" t="s">
        <v>1121</v>
      </c>
      <c r="D34" s="1692" t="s">
        <v>1121</v>
      </c>
      <c r="E34" s="1692" t="s">
        <v>1121</v>
      </c>
      <c r="F34" s="1692" t="s">
        <v>1121</v>
      </c>
      <c r="G34" s="1692" t="s">
        <v>1121</v>
      </c>
      <c r="H34" s="1693" t="s">
        <v>1121</v>
      </c>
      <c r="I34" s="1692" t="s">
        <v>1121</v>
      </c>
      <c r="J34" s="1692" t="s">
        <v>1121</v>
      </c>
      <c r="K34" s="1695">
        <v>0</v>
      </c>
    </row>
    <row r="35" spans="1:12">
      <c r="A35" s="1686" t="s">
        <v>73</v>
      </c>
      <c r="B35" s="1688" t="s">
        <v>931</v>
      </c>
      <c r="C35" s="1692">
        <v>2584</v>
      </c>
      <c r="D35" s="1692">
        <v>12134</v>
      </c>
      <c r="E35" s="1692">
        <v>5727</v>
      </c>
      <c r="F35" s="1692">
        <v>265409</v>
      </c>
      <c r="G35" s="1692">
        <v>196045</v>
      </c>
      <c r="H35" s="1693">
        <v>333325</v>
      </c>
      <c r="I35" s="1692">
        <v>0</v>
      </c>
      <c r="J35" s="1692">
        <v>0</v>
      </c>
      <c r="K35" s="1695">
        <v>0</v>
      </c>
    </row>
    <row r="36" spans="1:12">
      <c r="A36" s="98" t="s">
        <v>988</v>
      </c>
      <c r="B36" s="1687" t="s">
        <v>2116</v>
      </c>
      <c r="C36" s="1692" t="s">
        <v>1121</v>
      </c>
      <c r="D36" s="1692" t="s">
        <v>1121</v>
      </c>
      <c r="E36" s="1692" t="s">
        <v>1121</v>
      </c>
      <c r="F36" s="1692" t="s">
        <v>1121</v>
      </c>
      <c r="G36" s="1692" t="s">
        <v>1121</v>
      </c>
      <c r="H36" s="1693" t="s">
        <v>1121</v>
      </c>
      <c r="I36" s="1692" t="s">
        <v>1121</v>
      </c>
      <c r="J36" s="1692" t="s">
        <v>1121</v>
      </c>
      <c r="K36" s="1695">
        <v>0</v>
      </c>
    </row>
    <row r="37" spans="1:12">
      <c r="A37" s="98" t="s">
        <v>990</v>
      </c>
      <c r="B37" s="1687" t="s">
        <v>918</v>
      </c>
      <c r="C37" s="1692" t="s">
        <v>1121</v>
      </c>
      <c r="D37" s="1692" t="s">
        <v>1121</v>
      </c>
      <c r="E37" s="1692" t="s">
        <v>1121</v>
      </c>
      <c r="F37" s="1692" t="s">
        <v>1121</v>
      </c>
      <c r="G37" s="1692" t="s">
        <v>1121</v>
      </c>
      <c r="H37" s="1693" t="s">
        <v>1121</v>
      </c>
      <c r="I37" s="1692" t="s">
        <v>1121</v>
      </c>
      <c r="J37" s="1692" t="s">
        <v>1121</v>
      </c>
      <c r="K37" s="1695">
        <v>0</v>
      </c>
    </row>
    <row r="38" spans="1:12">
      <c r="A38" s="98" t="s">
        <v>9</v>
      </c>
      <c r="B38" s="1687" t="s">
        <v>918</v>
      </c>
      <c r="C38" s="1692" t="s">
        <v>1121</v>
      </c>
      <c r="D38" s="1692" t="s">
        <v>1121</v>
      </c>
      <c r="E38" s="1692" t="s">
        <v>1121</v>
      </c>
      <c r="F38" s="1692" t="s">
        <v>1121</v>
      </c>
      <c r="G38" s="1692" t="s">
        <v>1121</v>
      </c>
      <c r="H38" s="1693" t="s">
        <v>1121</v>
      </c>
      <c r="I38" s="1692" t="s">
        <v>1121</v>
      </c>
      <c r="J38" s="1692" t="s">
        <v>1121</v>
      </c>
      <c r="K38" s="1695">
        <v>0</v>
      </c>
    </row>
    <row r="39" spans="1:12">
      <c r="A39" s="98" t="s">
        <v>255</v>
      </c>
      <c r="B39" s="1687" t="s">
        <v>918</v>
      </c>
      <c r="C39" s="1692" t="s">
        <v>1121</v>
      </c>
      <c r="D39" s="1692" t="s">
        <v>1121</v>
      </c>
      <c r="E39" s="1692" t="s">
        <v>1121</v>
      </c>
      <c r="F39" s="1692" t="s">
        <v>1121</v>
      </c>
      <c r="G39" s="1692" t="s">
        <v>1121</v>
      </c>
      <c r="H39" s="1693" t="s">
        <v>1121</v>
      </c>
      <c r="I39" s="1692" t="s">
        <v>1121</v>
      </c>
      <c r="J39" s="1692" t="s">
        <v>1121</v>
      </c>
      <c r="K39" s="1695">
        <v>0</v>
      </c>
    </row>
    <row r="40" spans="1:12">
      <c r="A40" s="98" t="s">
        <v>991</v>
      </c>
      <c r="B40" s="1688" t="s">
        <v>2116</v>
      </c>
      <c r="C40" s="1692" t="s">
        <v>1121</v>
      </c>
      <c r="D40" s="1692" t="s">
        <v>1121</v>
      </c>
      <c r="E40" s="1692" t="s">
        <v>1121</v>
      </c>
      <c r="F40" s="1692" t="s">
        <v>1121</v>
      </c>
      <c r="G40" s="1692" t="s">
        <v>1121</v>
      </c>
      <c r="H40" s="1693" t="s">
        <v>1121</v>
      </c>
      <c r="I40" s="1692" t="s">
        <v>1121</v>
      </c>
      <c r="J40" s="1692" t="s">
        <v>1121</v>
      </c>
      <c r="K40" s="1695">
        <v>0</v>
      </c>
    </row>
    <row r="41" spans="1:12">
      <c r="A41" s="1686" t="s">
        <v>10</v>
      </c>
      <c r="B41" s="1688" t="s">
        <v>2116</v>
      </c>
      <c r="C41" s="1692" t="s">
        <v>1121</v>
      </c>
      <c r="D41" s="1692" t="s">
        <v>1121</v>
      </c>
      <c r="E41" s="1692" t="s">
        <v>1121</v>
      </c>
      <c r="F41" s="1692" t="s">
        <v>1121</v>
      </c>
      <c r="G41" s="1692" t="s">
        <v>1121</v>
      </c>
      <c r="H41" s="1693" t="s">
        <v>1121</v>
      </c>
      <c r="I41" s="1692" t="s">
        <v>1121</v>
      </c>
      <c r="J41" s="1692" t="s">
        <v>1121</v>
      </c>
      <c r="K41" s="1695">
        <v>0</v>
      </c>
    </row>
    <row r="42" spans="1:12">
      <c r="A42" s="98" t="s">
        <v>992</v>
      </c>
      <c r="B42" s="1687" t="s">
        <v>1478</v>
      </c>
      <c r="C42" s="1692" t="s">
        <v>1121</v>
      </c>
      <c r="D42" s="1692" t="s">
        <v>1121</v>
      </c>
      <c r="E42" s="1692" t="s">
        <v>1121</v>
      </c>
      <c r="F42" s="1692" t="s">
        <v>1121</v>
      </c>
      <c r="G42" s="1692" t="s">
        <v>1121</v>
      </c>
      <c r="H42" s="1693" t="s">
        <v>1121</v>
      </c>
      <c r="I42" s="1692" t="s">
        <v>1121</v>
      </c>
      <c r="J42" s="1692" t="s">
        <v>1121</v>
      </c>
      <c r="K42" s="1695">
        <v>0</v>
      </c>
    </row>
    <row r="43" spans="1:12">
      <c r="A43" s="98" t="s">
        <v>188</v>
      </c>
      <c r="B43" s="1687" t="s">
        <v>918</v>
      </c>
      <c r="C43" s="1692">
        <v>971</v>
      </c>
      <c r="D43" s="1692">
        <v>2018</v>
      </c>
      <c r="E43" s="1692">
        <v>357</v>
      </c>
      <c r="F43" s="1692">
        <v>25982</v>
      </c>
      <c r="G43" s="1692">
        <v>24157</v>
      </c>
      <c r="H43" s="1693">
        <v>151210</v>
      </c>
      <c r="I43" s="1692">
        <v>0</v>
      </c>
      <c r="J43" s="1692">
        <v>0</v>
      </c>
      <c r="K43" s="1695">
        <v>0</v>
      </c>
    </row>
    <row r="44" spans="1:12">
      <c r="A44" s="98" t="s">
        <v>132</v>
      </c>
      <c r="B44" s="1687" t="s">
        <v>2115</v>
      </c>
      <c r="C44" s="1692" t="s">
        <v>1121</v>
      </c>
      <c r="D44" s="1692" t="s">
        <v>1121</v>
      </c>
      <c r="E44" s="1692" t="s">
        <v>1121</v>
      </c>
      <c r="F44" s="1692" t="s">
        <v>1121</v>
      </c>
      <c r="G44" s="1692" t="s">
        <v>1121</v>
      </c>
      <c r="H44" s="1693" t="s">
        <v>1121</v>
      </c>
      <c r="I44" s="1692" t="s">
        <v>1121</v>
      </c>
      <c r="J44" s="1692" t="s">
        <v>1121</v>
      </c>
      <c r="K44" s="1695">
        <v>0</v>
      </c>
    </row>
    <row r="45" spans="1:12">
      <c r="A45" s="98" t="s">
        <v>995</v>
      </c>
      <c r="B45" s="1687" t="s">
        <v>2116</v>
      </c>
      <c r="C45" s="1692" t="s">
        <v>1121</v>
      </c>
      <c r="D45" s="1692" t="s">
        <v>1121</v>
      </c>
      <c r="E45" s="1692" t="s">
        <v>1121</v>
      </c>
      <c r="F45" s="1692" t="s">
        <v>1121</v>
      </c>
      <c r="G45" s="1692" t="s">
        <v>1121</v>
      </c>
      <c r="H45" s="1693" t="s">
        <v>1121</v>
      </c>
      <c r="I45" s="1692" t="s">
        <v>1121</v>
      </c>
      <c r="J45" s="1692" t="s">
        <v>1121</v>
      </c>
      <c r="K45" s="1695">
        <v>0</v>
      </c>
    </row>
    <row r="46" spans="1:12">
      <c r="A46" s="39" t="s">
        <v>996</v>
      </c>
      <c r="B46" s="1687" t="s">
        <v>921</v>
      </c>
      <c r="C46" s="1692" t="s">
        <v>1121</v>
      </c>
      <c r="D46" s="1692" t="s">
        <v>1121</v>
      </c>
      <c r="E46" s="1692" t="s">
        <v>1121</v>
      </c>
      <c r="F46" s="1692" t="s">
        <v>1121</v>
      </c>
      <c r="G46" s="1692" t="s">
        <v>1121</v>
      </c>
      <c r="H46" s="1693" t="s">
        <v>1121</v>
      </c>
      <c r="I46" s="1692" t="s">
        <v>1121</v>
      </c>
      <c r="J46" s="1692" t="s">
        <v>1121</v>
      </c>
      <c r="K46" s="1695">
        <v>0</v>
      </c>
    </row>
    <row r="47" spans="1:12">
      <c r="A47" s="98" t="s">
        <v>12</v>
      </c>
      <c r="B47" s="1687" t="s">
        <v>921</v>
      </c>
      <c r="C47" s="1692" t="s">
        <v>1121</v>
      </c>
      <c r="D47" s="1692" t="s">
        <v>1121</v>
      </c>
      <c r="E47" s="1692" t="s">
        <v>1121</v>
      </c>
      <c r="F47" s="1692" t="s">
        <v>1121</v>
      </c>
      <c r="G47" s="1692" t="s">
        <v>1121</v>
      </c>
      <c r="H47" s="1693" t="s">
        <v>1121</v>
      </c>
      <c r="I47" s="1692" t="s">
        <v>1121</v>
      </c>
      <c r="J47" s="1692" t="s">
        <v>1121</v>
      </c>
      <c r="K47" s="1695">
        <v>0</v>
      </c>
    </row>
    <row r="48" spans="1:12">
      <c r="A48" s="98" t="s">
        <v>145</v>
      </c>
      <c r="B48" s="1687" t="s">
        <v>921</v>
      </c>
      <c r="C48" s="1692" t="s">
        <v>1121</v>
      </c>
      <c r="D48" s="1692" t="s">
        <v>1121</v>
      </c>
      <c r="E48" s="1692" t="s">
        <v>1121</v>
      </c>
      <c r="F48" s="1692" t="s">
        <v>1121</v>
      </c>
      <c r="G48" s="1692" t="s">
        <v>1121</v>
      </c>
      <c r="H48" s="1693" t="s">
        <v>1121</v>
      </c>
      <c r="I48" s="1692" t="s">
        <v>1121</v>
      </c>
      <c r="J48" s="1692" t="s">
        <v>1121</v>
      </c>
      <c r="K48" s="1695">
        <v>0</v>
      </c>
      <c r="L48" s="1821"/>
    </row>
    <row r="49" spans="1:11">
      <c r="A49" s="98" t="s">
        <v>999</v>
      </c>
      <c r="B49" s="1687" t="s">
        <v>2116</v>
      </c>
      <c r="C49" s="1692" t="s">
        <v>1121</v>
      </c>
      <c r="D49" s="1692" t="s">
        <v>1121</v>
      </c>
      <c r="E49" s="1692" t="s">
        <v>1121</v>
      </c>
      <c r="F49" s="1692" t="s">
        <v>1121</v>
      </c>
      <c r="G49" s="1692" t="s">
        <v>1121</v>
      </c>
      <c r="H49" s="1693" t="s">
        <v>1121</v>
      </c>
      <c r="I49" s="1692" t="s">
        <v>1121</v>
      </c>
      <c r="J49" s="1692" t="s">
        <v>1121</v>
      </c>
      <c r="K49" s="1695">
        <v>0</v>
      </c>
    </row>
    <row r="50" spans="1:11">
      <c r="A50" s="98" t="s">
        <v>1000</v>
      </c>
      <c r="B50" s="1687" t="s">
        <v>2116</v>
      </c>
      <c r="C50" s="1692" t="s">
        <v>1121</v>
      </c>
      <c r="D50" s="1692" t="s">
        <v>1121</v>
      </c>
      <c r="E50" s="1692" t="s">
        <v>1121</v>
      </c>
      <c r="F50" s="1692" t="s">
        <v>1121</v>
      </c>
      <c r="G50" s="1692" t="s">
        <v>1121</v>
      </c>
      <c r="H50" s="1693" t="s">
        <v>1121</v>
      </c>
      <c r="I50" s="1692" t="s">
        <v>1121</v>
      </c>
      <c r="J50" s="1692" t="s">
        <v>1121</v>
      </c>
      <c r="K50" s="1695">
        <v>0</v>
      </c>
    </row>
    <row r="51" spans="1:11">
      <c r="A51" s="98" t="s">
        <v>1389</v>
      </c>
      <c r="B51" s="1687" t="s">
        <v>2116</v>
      </c>
      <c r="C51" s="1692" t="s">
        <v>1121</v>
      </c>
      <c r="D51" s="1692" t="s">
        <v>1121</v>
      </c>
      <c r="E51" s="1692" t="s">
        <v>1121</v>
      </c>
      <c r="F51" s="1692" t="s">
        <v>1121</v>
      </c>
      <c r="G51" s="1692" t="s">
        <v>1121</v>
      </c>
      <c r="H51" s="1693" t="s">
        <v>1121</v>
      </c>
      <c r="I51" s="1692" t="s">
        <v>1121</v>
      </c>
      <c r="J51" s="1692" t="s">
        <v>1121</v>
      </c>
      <c r="K51" s="1695">
        <v>0</v>
      </c>
    </row>
    <row r="52" spans="1:11">
      <c r="A52" s="98" t="s">
        <v>11</v>
      </c>
      <c r="B52" s="1687" t="s">
        <v>921</v>
      </c>
      <c r="C52" s="1692" t="s">
        <v>1121</v>
      </c>
      <c r="D52" s="1692" t="s">
        <v>1121</v>
      </c>
      <c r="E52" s="1692" t="s">
        <v>1121</v>
      </c>
      <c r="F52" s="1692" t="s">
        <v>1121</v>
      </c>
      <c r="G52" s="1692" t="s">
        <v>1121</v>
      </c>
      <c r="H52" s="1693" t="s">
        <v>1121</v>
      </c>
      <c r="I52" s="1692" t="s">
        <v>1121</v>
      </c>
      <c r="J52" s="1692" t="s">
        <v>1121</v>
      </c>
      <c r="K52" s="1695">
        <v>0</v>
      </c>
    </row>
    <row r="53" spans="1:11">
      <c r="A53" s="98" t="s">
        <v>57</v>
      </c>
      <c r="B53" s="1687" t="s">
        <v>921</v>
      </c>
      <c r="C53" s="1692">
        <v>0</v>
      </c>
      <c r="D53" s="1692">
        <v>0</v>
      </c>
      <c r="E53" s="1692">
        <v>0</v>
      </c>
      <c r="F53" s="1692">
        <v>0</v>
      </c>
      <c r="G53" s="1692">
        <v>0</v>
      </c>
      <c r="H53" s="1693">
        <v>0</v>
      </c>
      <c r="I53" s="1692">
        <v>0</v>
      </c>
      <c r="J53" s="1692">
        <v>0</v>
      </c>
      <c r="K53" s="1695">
        <v>0</v>
      </c>
    </row>
    <row r="54" spans="1:11">
      <c r="A54" s="39" t="s">
        <v>189</v>
      </c>
      <c r="B54" s="1688" t="s">
        <v>2115</v>
      </c>
      <c r="C54" s="1692" t="s">
        <v>1121</v>
      </c>
      <c r="D54" s="1692" t="s">
        <v>1121</v>
      </c>
      <c r="E54" s="1692" t="s">
        <v>1121</v>
      </c>
      <c r="F54" s="1692" t="s">
        <v>1121</v>
      </c>
      <c r="G54" s="1692" t="s">
        <v>1121</v>
      </c>
      <c r="H54" s="1693" t="s">
        <v>1121</v>
      </c>
      <c r="I54" s="1692" t="s">
        <v>1121</v>
      </c>
      <c r="J54" s="1692" t="s">
        <v>1121</v>
      </c>
      <c r="K54" s="1695" t="s">
        <v>596</v>
      </c>
    </row>
    <row r="55" spans="1:11">
      <c r="A55" s="98" t="s">
        <v>1363</v>
      </c>
      <c r="B55" s="1687" t="s">
        <v>2116</v>
      </c>
      <c r="C55" s="1692" t="s">
        <v>1121</v>
      </c>
      <c r="D55" s="1692" t="s">
        <v>1121</v>
      </c>
      <c r="E55" s="1692" t="s">
        <v>1121</v>
      </c>
      <c r="F55" s="1692" t="s">
        <v>1121</v>
      </c>
      <c r="G55" s="1692" t="s">
        <v>1121</v>
      </c>
      <c r="H55" s="1693" t="s">
        <v>1121</v>
      </c>
      <c r="I55" s="1692" t="s">
        <v>1121</v>
      </c>
      <c r="J55" s="1692" t="s">
        <v>1121</v>
      </c>
      <c r="K55" s="1695">
        <v>0</v>
      </c>
    </row>
    <row r="56" spans="1:11">
      <c r="A56" s="98" t="s">
        <v>42</v>
      </c>
      <c r="B56" s="1687" t="s">
        <v>2244</v>
      </c>
      <c r="C56" s="1692" t="s">
        <v>1121</v>
      </c>
      <c r="D56" s="1692" t="s">
        <v>1121</v>
      </c>
      <c r="E56" s="1692" t="s">
        <v>1121</v>
      </c>
      <c r="F56" s="1692" t="s">
        <v>1121</v>
      </c>
      <c r="G56" s="1692" t="s">
        <v>1121</v>
      </c>
      <c r="H56" s="1693" t="s">
        <v>1121</v>
      </c>
      <c r="I56" s="1692" t="s">
        <v>1121</v>
      </c>
      <c r="J56" s="1692" t="s">
        <v>1121</v>
      </c>
      <c r="K56" s="1695">
        <v>0</v>
      </c>
    </row>
    <row r="57" spans="1:11">
      <c r="A57" s="98" t="s">
        <v>1001</v>
      </c>
      <c r="B57" s="1687" t="s">
        <v>2116</v>
      </c>
      <c r="C57" s="1692" t="s">
        <v>1121</v>
      </c>
      <c r="D57" s="1692" t="s">
        <v>1121</v>
      </c>
      <c r="E57" s="1692" t="s">
        <v>1121</v>
      </c>
      <c r="F57" s="1692" t="s">
        <v>1121</v>
      </c>
      <c r="G57" s="1692" t="s">
        <v>1121</v>
      </c>
      <c r="H57" s="1693" t="s">
        <v>1121</v>
      </c>
      <c r="I57" s="1692" t="s">
        <v>1121</v>
      </c>
      <c r="J57" s="1692" t="s">
        <v>1121</v>
      </c>
      <c r="K57" s="1695">
        <v>0</v>
      </c>
    </row>
    <row r="58" spans="1:11">
      <c r="A58" s="98" t="s">
        <v>23</v>
      </c>
      <c r="B58" s="1687" t="s">
        <v>921</v>
      </c>
      <c r="C58" s="1692">
        <v>0</v>
      </c>
      <c r="D58" s="1692">
        <v>0</v>
      </c>
      <c r="E58" s="1692">
        <v>0</v>
      </c>
      <c r="F58" s="1692">
        <v>0</v>
      </c>
      <c r="G58" s="1692">
        <v>0</v>
      </c>
      <c r="H58" s="1693">
        <v>0</v>
      </c>
      <c r="I58" s="1692">
        <v>0</v>
      </c>
      <c r="J58" s="1692">
        <v>0</v>
      </c>
      <c r="K58" s="1695">
        <v>0</v>
      </c>
    </row>
    <row r="59" spans="1:11">
      <c r="A59" s="98" t="s">
        <v>135</v>
      </c>
      <c r="B59" s="1687" t="s">
        <v>2115</v>
      </c>
      <c r="C59" s="1692" t="s">
        <v>1121</v>
      </c>
      <c r="D59" s="1692" t="s">
        <v>1121</v>
      </c>
      <c r="E59" s="1692" t="s">
        <v>1121</v>
      </c>
      <c r="F59" s="1692" t="s">
        <v>1121</v>
      </c>
      <c r="G59" s="1692" t="s">
        <v>1121</v>
      </c>
      <c r="H59" s="1693" t="s">
        <v>1121</v>
      </c>
      <c r="I59" s="1692" t="s">
        <v>1121</v>
      </c>
      <c r="J59" s="1692" t="s">
        <v>1121</v>
      </c>
      <c r="K59" s="1695">
        <v>0</v>
      </c>
    </row>
    <row r="60" spans="1:11">
      <c r="A60" s="98" t="s">
        <v>58</v>
      </c>
      <c r="B60" s="1687" t="s">
        <v>918</v>
      </c>
      <c r="C60" s="1692" t="s">
        <v>1121</v>
      </c>
      <c r="D60" s="1692" t="s">
        <v>1121</v>
      </c>
      <c r="E60" s="1692" t="s">
        <v>1121</v>
      </c>
      <c r="F60" s="1692" t="s">
        <v>1121</v>
      </c>
      <c r="G60" s="1692" t="s">
        <v>1121</v>
      </c>
      <c r="H60" s="1693" t="s">
        <v>1121</v>
      </c>
      <c r="I60" s="1692" t="s">
        <v>1121</v>
      </c>
      <c r="J60" s="1692" t="s">
        <v>1121</v>
      </c>
      <c r="K60" s="1695">
        <v>0</v>
      </c>
    </row>
    <row r="61" spans="1:11">
      <c r="A61" s="98" t="s">
        <v>1004</v>
      </c>
      <c r="B61" s="1687" t="s">
        <v>1478</v>
      </c>
      <c r="C61" s="1692" t="s">
        <v>1121</v>
      </c>
      <c r="D61" s="1692" t="s">
        <v>1121</v>
      </c>
      <c r="E61" s="1692" t="s">
        <v>1121</v>
      </c>
      <c r="F61" s="1692" t="s">
        <v>1121</v>
      </c>
      <c r="G61" s="1692" t="s">
        <v>1121</v>
      </c>
      <c r="H61" s="1693" t="s">
        <v>1121</v>
      </c>
      <c r="I61" s="1692" t="s">
        <v>1121</v>
      </c>
      <c r="J61" s="1692" t="s">
        <v>1121</v>
      </c>
      <c r="K61" s="1695">
        <v>0</v>
      </c>
    </row>
    <row r="62" spans="1:11">
      <c r="A62" s="98" t="s">
        <v>1451</v>
      </c>
      <c r="B62" s="1687" t="s">
        <v>1478</v>
      </c>
      <c r="C62" s="1692">
        <v>684</v>
      </c>
      <c r="D62" s="1692">
        <v>0</v>
      </c>
      <c r="E62" s="1692">
        <v>0</v>
      </c>
      <c r="F62" s="1692">
        <v>1176.5105884999998</v>
      </c>
      <c r="G62" s="1692">
        <v>0</v>
      </c>
      <c r="H62" s="1693">
        <v>0</v>
      </c>
      <c r="I62" s="1692">
        <v>0</v>
      </c>
      <c r="J62" s="1692">
        <v>0</v>
      </c>
      <c r="K62" s="1695">
        <v>0</v>
      </c>
    </row>
    <row r="63" spans="1:11">
      <c r="A63" s="1686" t="s">
        <v>1178</v>
      </c>
      <c r="B63" s="1688" t="s">
        <v>2115</v>
      </c>
      <c r="C63" s="1692" t="s">
        <v>1121</v>
      </c>
      <c r="D63" s="1692" t="s">
        <v>1121</v>
      </c>
      <c r="E63" s="1692" t="s">
        <v>1121</v>
      </c>
      <c r="F63" s="1692" t="s">
        <v>1121</v>
      </c>
      <c r="G63" s="1692" t="s">
        <v>1121</v>
      </c>
      <c r="H63" s="1693" t="s">
        <v>1121</v>
      </c>
      <c r="I63" s="1692" t="s">
        <v>1121</v>
      </c>
      <c r="J63" s="1692" t="s">
        <v>1121</v>
      </c>
      <c r="K63" s="1695">
        <v>0</v>
      </c>
    </row>
    <row r="64" spans="1:11">
      <c r="A64" s="98" t="s">
        <v>74</v>
      </c>
      <c r="B64" s="1687" t="s">
        <v>2120</v>
      </c>
      <c r="C64" s="1692">
        <v>2032</v>
      </c>
      <c r="D64" s="1692">
        <v>6965</v>
      </c>
      <c r="E64" s="1692">
        <v>5671</v>
      </c>
      <c r="F64" s="1692">
        <v>42891</v>
      </c>
      <c r="G64" s="1692">
        <v>33405</v>
      </c>
      <c r="H64" s="1693">
        <v>42000</v>
      </c>
      <c r="I64" s="1692">
        <v>0</v>
      </c>
      <c r="J64" s="1692">
        <v>0</v>
      </c>
      <c r="K64" s="1695">
        <v>0</v>
      </c>
    </row>
    <row r="65" spans="1:12">
      <c r="A65" s="98" t="s">
        <v>137</v>
      </c>
      <c r="B65" s="1687" t="s">
        <v>921</v>
      </c>
      <c r="C65" s="1692" t="s">
        <v>1121</v>
      </c>
      <c r="D65" s="1692" t="s">
        <v>1121</v>
      </c>
      <c r="E65" s="1692" t="s">
        <v>1121</v>
      </c>
      <c r="F65" s="1692" t="s">
        <v>1121</v>
      </c>
      <c r="G65" s="1692" t="s">
        <v>1121</v>
      </c>
      <c r="H65" s="1693" t="s">
        <v>1121</v>
      </c>
      <c r="I65" s="1692" t="s">
        <v>1121</v>
      </c>
      <c r="J65" s="1692" t="s">
        <v>1121</v>
      </c>
      <c r="K65" s="1695">
        <v>0</v>
      </c>
    </row>
    <row r="66" spans="1:12">
      <c r="A66" s="98" t="s">
        <v>1587</v>
      </c>
      <c r="B66" s="1687" t="s">
        <v>921</v>
      </c>
      <c r="C66" s="1692" t="s">
        <v>1121</v>
      </c>
      <c r="D66" s="1692" t="s">
        <v>1121</v>
      </c>
      <c r="E66" s="1692" t="s">
        <v>1121</v>
      </c>
      <c r="F66" s="1692" t="s">
        <v>1121</v>
      </c>
      <c r="G66" s="1692" t="s">
        <v>1121</v>
      </c>
      <c r="H66" s="1693" t="s">
        <v>1121</v>
      </c>
      <c r="I66" s="1692" t="s">
        <v>1121</v>
      </c>
      <c r="J66" s="1692" t="s">
        <v>1121</v>
      </c>
      <c r="K66" s="1695">
        <v>0</v>
      </c>
    </row>
    <row r="67" spans="1:12">
      <c r="A67" s="98" t="s">
        <v>139</v>
      </c>
      <c r="B67" s="1687" t="s">
        <v>2116</v>
      </c>
      <c r="C67" s="1692" t="s">
        <v>1121</v>
      </c>
      <c r="D67" s="1692" t="s">
        <v>1121</v>
      </c>
      <c r="E67" s="1692" t="s">
        <v>1121</v>
      </c>
      <c r="F67" s="1692" t="s">
        <v>1121</v>
      </c>
      <c r="G67" s="1692" t="s">
        <v>1121</v>
      </c>
      <c r="H67" s="1693" t="s">
        <v>1121</v>
      </c>
      <c r="I67" s="1692" t="s">
        <v>1121</v>
      </c>
      <c r="J67" s="1692" t="s">
        <v>1121</v>
      </c>
      <c r="K67" s="1695">
        <v>0</v>
      </c>
    </row>
    <row r="68" spans="1:12">
      <c r="A68" s="98" t="s">
        <v>141</v>
      </c>
      <c r="B68" s="1687" t="s">
        <v>2121</v>
      </c>
      <c r="C68" s="1692" t="s">
        <v>1121</v>
      </c>
      <c r="D68" s="1692" t="s">
        <v>1121</v>
      </c>
      <c r="E68" s="1692" t="s">
        <v>1121</v>
      </c>
      <c r="F68" s="1692" t="s">
        <v>1121</v>
      </c>
      <c r="G68" s="1692" t="s">
        <v>1121</v>
      </c>
      <c r="H68" s="1693" t="s">
        <v>1121</v>
      </c>
      <c r="I68" s="1692" t="s">
        <v>1121</v>
      </c>
      <c r="J68" s="1692" t="s">
        <v>1121</v>
      </c>
      <c r="K68" s="1695">
        <v>0</v>
      </c>
    </row>
    <row r="69" spans="1:12">
      <c r="A69" s="98" t="s">
        <v>75</v>
      </c>
      <c r="B69" s="1687" t="s">
        <v>918</v>
      </c>
      <c r="C69" s="1692">
        <v>1854</v>
      </c>
      <c r="D69" s="1692">
        <v>9363</v>
      </c>
      <c r="E69" s="1692">
        <v>3139</v>
      </c>
      <c r="F69" s="1692">
        <v>78148</v>
      </c>
      <c r="G69" s="1692">
        <v>54777</v>
      </c>
      <c r="H69" s="1693">
        <v>144030</v>
      </c>
      <c r="I69" s="1692">
        <v>0</v>
      </c>
      <c r="J69" s="1692">
        <v>0</v>
      </c>
      <c r="K69" s="1695">
        <v>0</v>
      </c>
      <c r="L69" s="1821" t="s">
        <v>596</v>
      </c>
    </row>
    <row r="70" spans="1:12">
      <c r="A70" s="39" t="s">
        <v>76</v>
      </c>
      <c r="B70" s="1688" t="s">
        <v>931</v>
      </c>
      <c r="C70" s="1692">
        <v>4952</v>
      </c>
      <c r="D70" s="1692">
        <v>18490</v>
      </c>
      <c r="E70" s="1692">
        <v>12086</v>
      </c>
      <c r="F70" s="1692">
        <v>446534</v>
      </c>
      <c r="G70" s="1692">
        <v>362954</v>
      </c>
      <c r="H70" s="1693">
        <v>150539</v>
      </c>
      <c r="I70" s="1692">
        <v>0</v>
      </c>
      <c r="J70" s="1692">
        <v>0</v>
      </c>
      <c r="K70" s="1695" t="s">
        <v>596</v>
      </c>
    </row>
    <row r="71" spans="1:12">
      <c r="A71" s="98" t="s">
        <v>1010</v>
      </c>
      <c r="B71" s="1687" t="s">
        <v>2116</v>
      </c>
      <c r="C71" s="1692" t="s">
        <v>1121</v>
      </c>
      <c r="D71" s="1692" t="s">
        <v>1121</v>
      </c>
      <c r="E71" s="1692" t="s">
        <v>1121</v>
      </c>
      <c r="F71" s="1692" t="s">
        <v>1121</v>
      </c>
      <c r="G71" s="1692" t="s">
        <v>1121</v>
      </c>
      <c r="H71" s="1693" t="s">
        <v>1121</v>
      </c>
      <c r="I71" s="1692" t="s">
        <v>1121</v>
      </c>
      <c r="J71" s="1692" t="s">
        <v>1121</v>
      </c>
      <c r="K71" s="1695">
        <v>0</v>
      </c>
      <c r="L71" s="1821"/>
    </row>
    <row r="72" spans="1:12">
      <c r="A72" s="1686" t="s">
        <v>143</v>
      </c>
      <c r="B72" s="1688" t="s">
        <v>2116</v>
      </c>
      <c r="C72" s="1692" t="s">
        <v>1121</v>
      </c>
      <c r="D72" s="1692" t="s">
        <v>1121</v>
      </c>
      <c r="E72" s="1692" t="s">
        <v>1121</v>
      </c>
      <c r="F72" s="1692" t="s">
        <v>1121</v>
      </c>
      <c r="G72" s="1692" t="s">
        <v>1121</v>
      </c>
      <c r="H72" s="1693" t="s">
        <v>1121</v>
      </c>
      <c r="I72" s="1692" t="s">
        <v>1121</v>
      </c>
      <c r="J72" s="1692" t="s">
        <v>1121</v>
      </c>
      <c r="K72" s="1695">
        <v>0</v>
      </c>
    </row>
    <row r="73" spans="1:12">
      <c r="A73" s="98" t="s">
        <v>1392</v>
      </c>
      <c r="B73" s="1687" t="s">
        <v>2116</v>
      </c>
      <c r="C73" s="1692" t="s">
        <v>1121</v>
      </c>
      <c r="D73" s="1692" t="s">
        <v>1121</v>
      </c>
      <c r="E73" s="1692" t="s">
        <v>1121</v>
      </c>
      <c r="F73" s="1692" t="s">
        <v>1121</v>
      </c>
      <c r="G73" s="1692" t="s">
        <v>1121</v>
      </c>
      <c r="H73" s="1693" t="s">
        <v>1121</v>
      </c>
      <c r="I73" s="1692" t="s">
        <v>1121</v>
      </c>
      <c r="J73" s="1692" t="s">
        <v>1121</v>
      </c>
      <c r="K73" s="1695">
        <v>0</v>
      </c>
    </row>
    <row r="74" spans="1:12">
      <c r="A74" s="98" t="s">
        <v>17</v>
      </c>
      <c r="B74" s="1687" t="s">
        <v>918</v>
      </c>
      <c r="C74" s="1692" t="s">
        <v>1121</v>
      </c>
      <c r="D74" s="1692" t="s">
        <v>1121</v>
      </c>
      <c r="E74" s="1692" t="s">
        <v>1121</v>
      </c>
      <c r="F74" s="1692" t="s">
        <v>1121</v>
      </c>
      <c r="G74" s="1692" t="s">
        <v>1121</v>
      </c>
      <c r="H74" s="1693" t="s">
        <v>1121</v>
      </c>
      <c r="I74" s="1692" t="s">
        <v>1121</v>
      </c>
      <c r="J74" s="1692" t="s">
        <v>1121</v>
      </c>
      <c r="K74" s="1695">
        <v>0</v>
      </c>
    </row>
    <row r="75" spans="1:12">
      <c r="A75" s="98" t="s">
        <v>1592</v>
      </c>
      <c r="B75" s="1687" t="s">
        <v>1478</v>
      </c>
      <c r="C75" s="1692" t="s">
        <v>1121</v>
      </c>
      <c r="D75" s="1692" t="s">
        <v>1121</v>
      </c>
      <c r="E75" s="1692" t="s">
        <v>1121</v>
      </c>
      <c r="F75" s="1692" t="s">
        <v>1121</v>
      </c>
      <c r="G75" s="1692" t="s">
        <v>1121</v>
      </c>
      <c r="H75" s="1693" t="s">
        <v>1121</v>
      </c>
      <c r="I75" s="1692" t="s">
        <v>1121</v>
      </c>
      <c r="J75" s="1692" t="s">
        <v>1121</v>
      </c>
      <c r="K75" s="1695">
        <v>0</v>
      </c>
    </row>
    <row r="76" spans="1:12">
      <c r="A76" s="98" t="s">
        <v>1593</v>
      </c>
      <c r="B76" s="1687" t="s">
        <v>2116</v>
      </c>
      <c r="C76" s="1692" t="s">
        <v>1121</v>
      </c>
      <c r="D76" s="1692" t="s">
        <v>1121</v>
      </c>
      <c r="E76" s="1692" t="s">
        <v>1121</v>
      </c>
      <c r="F76" s="1692" t="s">
        <v>1121</v>
      </c>
      <c r="G76" s="1692" t="s">
        <v>1121</v>
      </c>
      <c r="H76" s="1693" t="s">
        <v>1121</v>
      </c>
      <c r="I76" s="1692" t="s">
        <v>1121</v>
      </c>
      <c r="J76" s="1692" t="s">
        <v>1121</v>
      </c>
      <c r="K76" s="1695">
        <v>0</v>
      </c>
    </row>
    <row r="77" spans="1:12">
      <c r="A77" s="98" t="s">
        <v>1012</v>
      </c>
      <c r="B77" s="1687" t="s">
        <v>2116</v>
      </c>
      <c r="C77" s="1692" t="s">
        <v>1121</v>
      </c>
      <c r="D77" s="1692" t="s">
        <v>1121</v>
      </c>
      <c r="E77" s="1692" t="s">
        <v>1121</v>
      </c>
      <c r="F77" s="1692" t="s">
        <v>1121</v>
      </c>
      <c r="G77" s="1692" t="s">
        <v>1121</v>
      </c>
      <c r="H77" s="1693" t="s">
        <v>1121</v>
      </c>
      <c r="I77" s="1692" t="s">
        <v>1121</v>
      </c>
      <c r="J77" s="1692" t="s">
        <v>1121</v>
      </c>
      <c r="K77" s="1695">
        <v>0</v>
      </c>
    </row>
    <row r="78" spans="1:12">
      <c r="A78" s="98" t="s">
        <v>256</v>
      </c>
      <c r="B78" s="1687" t="s">
        <v>2119</v>
      </c>
      <c r="C78" s="1692" t="s">
        <v>1121</v>
      </c>
      <c r="D78" s="1692" t="s">
        <v>1121</v>
      </c>
      <c r="E78" s="1692" t="s">
        <v>1121</v>
      </c>
      <c r="F78" s="1692" t="s">
        <v>1121</v>
      </c>
      <c r="G78" s="1692" t="s">
        <v>1121</v>
      </c>
      <c r="H78" s="1693" t="s">
        <v>1121</v>
      </c>
      <c r="I78" s="1692" t="s">
        <v>1121</v>
      </c>
      <c r="J78" s="1692" t="s">
        <v>1121</v>
      </c>
      <c r="K78" s="1695" t="s">
        <v>596</v>
      </c>
    </row>
    <row r="79" spans="1:12">
      <c r="A79" s="98" t="s">
        <v>77</v>
      </c>
      <c r="B79" s="1687" t="s">
        <v>918</v>
      </c>
      <c r="C79" s="1692">
        <v>4664</v>
      </c>
      <c r="D79" s="1692">
        <v>16307</v>
      </c>
      <c r="E79" s="1692">
        <v>14262</v>
      </c>
      <c r="F79" s="1692">
        <v>107513</v>
      </c>
      <c r="G79" s="1692">
        <v>79008</v>
      </c>
      <c r="H79" s="1693">
        <v>8719</v>
      </c>
      <c r="I79" s="1692">
        <v>0</v>
      </c>
      <c r="J79" s="1692">
        <v>0</v>
      </c>
      <c r="K79" s="1695">
        <v>0</v>
      </c>
    </row>
    <row r="80" spans="1:12">
      <c r="A80" s="98" t="s">
        <v>1374</v>
      </c>
      <c r="B80" s="1687" t="s">
        <v>1478</v>
      </c>
      <c r="C80" s="1692" t="s">
        <v>1121</v>
      </c>
      <c r="D80" s="1692" t="s">
        <v>1121</v>
      </c>
      <c r="E80" s="1692" t="s">
        <v>1121</v>
      </c>
      <c r="F80" s="1692" t="s">
        <v>1121</v>
      </c>
      <c r="G80" s="1692" t="s">
        <v>1121</v>
      </c>
      <c r="H80" s="1693" t="s">
        <v>1121</v>
      </c>
      <c r="I80" s="1692" t="s">
        <v>1121</v>
      </c>
      <c r="J80" s="1692" t="s">
        <v>1121</v>
      </c>
      <c r="K80" s="1695">
        <v>0</v>
      </c>
    </row>
    <row r="81" spans="1:11">
      <c r="A81" s="39" t="s">
        <v>1167</v>
      </c>
      <c r="B81" s="1687" t="s">
        <v>2116</v>
      </c>
      <c r="C81" s="1692" t="s">
        <v>1121</v>
      </c>
      <c r="D81" s="1692" t="s">
        <v>1121</v>
      </c>
      <c r="E81" s="1692" t="s">
        <v>1121</v>
      </c>
      <c r="F81" s="1692" t="s">
        <v>1121</v>
      </c>
      <c r="G81" s="1692" t="s">
        <v>1121</v>
      </c>
      <c r="H81" s="1693" t="s">
        <v>1121</v>
      </c>
      <c r="I81" s="1692" t="s">
        <v>1121</v>
      </c>
      <c r="J81" s="1692" t="s">
        <v>1121</v>
      </c>
      <c r="K81" s="1695">
        <v>0</v>
      </c>
    </row>
    <row r="82" spans="1:11">
      <c r="A82" s="98" t="s">
        <v>148</v>
      </c>
      <c r="B82" s="1687" t="s">
        <v>918</v>
      </c>
      <c r="C82" s="1692" t="s">
        <v>1121</v>
      </c>
      <c r="D82" s="1692" t="s">
        <v>1121</v>
      </c>
      <c r="E82" s="1692" t="s">
        <v>1121</v>
      </c>
      <c r="F82" s="1692" t="s">
        <v>1121</v>
      </c>
      <c r="G82" s="1692" t="s">
        <v>1121</v>
      </c>
      <c r="H82" s="1693" t="s">
        <v>1121</v>
      </c>
      <c r="I82" s="1692" t="s">
        <v>1121</v>
      </c>
      <c r="J82" s="1692" t="s">
        <v>1121</v>
      </c>
      <c r="K82" s="1695">
        <v>0</v>
      </c>
    </row>
    <row r="83" spans="1:11">
      <c r="A83" s="98" t="s">
        <v>78</v>
      </c>
      <c r="B83" s="1687" t="s">
        <v>921</v>
      </c>
      <c r="C83" s="1692">
        <v>2196</v>
      </c>
      <c r="D83" s="1692">
        <v>5024</v>
      </c>
      <c r="E83" s="1692">
        <v>477</v>
      </c>
      <c r="F83" s="1692">
        <v>20944</v>
      </c>
      <c r="G83" s="1692">
        <v>19980</v>
      </c>
      <c r="H83" s="1693">
        <v>22400</v>
      </c>
      <c r="I83" s="1692">
        <v>0</v>
      </c>
      <c r="J83" s="1692">
        <v>0</v>
      </c>
      <c r="K83" s="1695">
        <v>0</v>
      </c>
    </row>
    <row r="84" spans="1:11">
      <c r="A84" s="98" t="s">
        <v>79</v>
      </c>
      <c r="B84" s="1687" t="s">
        <v>918</v>
      </c>
      <c r="C84" s="1692">
        <v>1536</v>
      </c>
      <c r="D84" s="1692">
        <v>6850</v>
      </c>
      <c r="E84" s="1692">
        <v>1747</v>
      </c>
      <c r="F84" s="1692">
        <v>91836</v>
      </c>
      <c r="G84" s="1692">
        <v>65099</v>
      </c>
      <c r="H84" s="1693">
        <v>397160</v>
      </c>
      <c r="I84" s="1692">
        <v>0</v>
      </c>
      <c r="J84" s="1692">
        <v>0</v>
      </c>
      <c r="K84" s="1695">
        <v>0</v>
      </c>
    </row>
    <row r="85" spans="1:11">
      <c r="A85" s="98" t="s">
        <v>1015</v>
      </c>
      <c r="B85" s="1687" t="s">
        <v>918</v>
      </c>
      <c r="C85" s="1692" t="s">
        <v>1121</v>
      </c>
      <c r="D85" s="1692" t="s">
        <v>1121</v>
      </c>
      <c r="E85" s="1692" t="s">
        <v>1121</v>
      </c>
      <c r="F85" s="1692" t="s">
        <v>1121</v>
      </c>
      <c r="G85" s="1692" t="s">
        <v>1121</v>
      </c>
      <c r="H85" s="1693" t="s">
        <v>1121</v>
      </c>
      <c r="I85" s="1692" t="s">
        <v>1121</v>
      </c>
      <c r="J85" s="1692" t="s">
        <v>1121</v>
      </c>
      <c r="K85" s="1695">
        <v>0</v>
      </c>
    </row>
    <row r="86" spans="1:11">
      <c r="A86" s="98" t="s">
        <v>8</v>
      </c>
      <c r="B86" s="1687" t="s">
        <v>2116</v>
      </c>
      <c r="C86" s="1692" t="s">
        <v>1121</v>
      </c>
      <c r="D86" s="1692" t="s">
        <v>1121</v>
      </c>
      <c r="E86" s="1692" t="s">
        <v>1121</v>
      </c>
      <c r="F86" s="1692" t="s">
        <v>1121</v>
      </c>
      <c r="G86" s="1692" t="s">
        <v>1121</v>
      </c>
      <c r="H86" s="1693" t="s">
        <v>1121</v>
      </c>
      <c r="I86" s="1692" t="s">
        <v>1121</v>
      </c>
      <c r="J86" s="1692" t="s">
        <v>1121</v>
      </c>
      <c r="K86" s="1695">
        <v>0</v>
      </c>
    </row>
    <row r="87" spans="1:11">
      <c r="A87" s="98" t="s">
        <v>18</v>
      </c>
      <c r="B87" s="1687" t="s">
        <v>921</v>
      </c>
      <c r="C87" s="1692">
        <v>0</v>
      </c>
      <c r="D87" s="1692">
        <v>6900</v>
      </c>
      <c r="E87" s="1692">
        <v>0</v>
      </c>
      <c r="F87" s="1692">
        <v>260000</v>
      </c>
      <c r="G87" s="1692">
        <v>0</v>
      </c>
      <c r="H87" s="1693">
        <v>0</v>
      </c>
      <c r="I87" s="1692">
        <v>0</v>
      </c>
      <c r="J87" s="1692">
        <v>0</v>
      </c>
      <c r="K87" s="1695">
        <v>0</v>
      </c>
    </row>
    <row r="88" spans="1:11">
      <c r="A88" s="98" t="s">
        <v>1016</v>
      </c>
      <c r="B88" s="1687" t="s">
        <v>1478</v>
      </c>
      <c r="C88" s="1692" t="s">
        <v>1121</v>
      </c>
      <c r="D88" s="1692" t="s">
        <v>1121</v>
      </c>
      <c r="E88" s="1692" t="s">
        <v>1121</v>
      </c>
      <c r="F88" s="1692" t="s">
        <v>1121</v>
      </c>
      <c r="G88" s="1692" t="s">
        <v>1121</v>
      </c>
      <c r="H88" s="1693" t="s">
        <v>1121</v>
      </c>
      <c r="I88" s="1692" t="s">
        <v>1121</v>
      </c>
      <c r="J88" s="1692" t="s">
        <v>1121</v>
      </c>
      <c r="K88" s="1695">
        <v>0</v>
      </c>
    </row>
    <row r="89" spans="1:11">
      <c r="A89" s="98" t="s">
        <v>1598</v>
      </c>
      <c r="B89" s="1687" t="s">
        <v>921</v>
      </c>
      <c r="C89" s="1692" t="s">
        <v>1121</v>
      </c>
      <c r="D89" s="1692" t="s">
        <v>1121</v>
      </c>
      <c r="E89" s="1692" t="s">
        <v>1121</v>
      </c>
      <c r="F89" s="1692" t="s">
        <v>1121</v>
      </c>
      <c r="G89" s="1692" t="s">
        <v>1121</v>
      </c>
      <c r="H89" s="1693" t="s">
        <v>1121</v>
      </c>
      <c r="I89" s="1692" t="s">
        <v>1121</v>
      </c>
      <c r="J89" s="1692" t="s">
        <v>1121</v>
      </c>
      <c r="K89" s="1695">
        <v>0</v>
      </c>
    </row>
    <row r="90" spans="1:11">
      <c r="A90" s="90" t="s">
        <v>1599</v>
      </c>
      <c r="B90" s="1687" t="s">
        <v>2116</v>
      </c>
      <c r="C90" s="1692" t="s">
        <v>1121</v>
      </c>
      <c r="D90" s="1692" t="s">
        <v>1121</v>
      </c>
      <c r="E90" s="1692" t="s">
        <v>1121</v>
      </c>
      <c r="F90" s="1692" t="s">
        <v>1121</v>
      </c>
      <c r="G90" s="1692" t="s">
        <v>1121</v>
      </c>
      <c r="H90" s="1693" t="s">
        <v>1121</v>
      </c>
      <c r="I90" s="1692" t="s">
        <v>1121</v>
      </c>
      <c r="J90" s="1692" t="s">
        <v>1121</v>
      </c>
      <c r="K90" s="1695">
        <v>0</v>
      </c>
    </row>
    <row r="91" spans="1:11">
      <c r="A91" s="98" t="s">
        <v>60</v>
      </c>
      <c r="B91" s="1687" t="s">
        <v>2115</v>
      </c>
      <c r="C91" s="1692" t="s">
        <v>1121</v>
      </c>
      <c r="D91" s="1692" t="s">
        <v>1121</v>
      </c>
      <c r="E91" s="1692" t="s">
        <v>1121</v>
      </c>
      <c r="F91" s="1692" t="s">
        <v>1121</v>
      </c>
      <c r="G91" s="1692" t="s">
        <v>1121</v>
      </c>
      <c r="H91" s="1693" t="s">
        <v>1121</v>
      </c>
      <c r="I91" s="1692" t="s">
        <v>1121</v>
      </c>
      <c r="J91" s="1692" t="s">
        <v>1121</v>
      </c>
      <c r="K91" s="1695">
        <v>0</v>
      </c>
    </row>
    <row r="92" spans="1:11">
      <c r="A92" s="98" t="s">
        <v>61</v>
      </c>
      <c r="B92" s="1687" t="s">
        <v>2122</v>
      </c>
      <c r="C92" s="1692" t="s">
        <v>1121</v>
      </c>
      <c r="D92" s="1692" t="s">
        <v>1121</v>
      </c>
      <c r="E92" s="1692" t="s">
        <v>1121</v>
      </c>
      <c r="F92" s="1692" t="s">
        <v>1121</v>
      </c>
      <c r="G92" s="1692" t="s">
        <v>1121</v>
      </c>
      <c r="H92" s="1693" t="s">
        <v>1121</v>
      </c>
      <c r="I92" s="1692" t="s">
        <v>1121</v>
      </c>
      <c r="J92" s="1692" t="s">
        <v>1121</v>
      </c>
      <c r="K92" s="1695">
        <v>0</v>
      </c>
    </row>
    <row r="93" spans="1:11">
      <c r="A93" s="98" t="s">
        <v>80</v>
      </c>
      <c r="B93" s="1687" t="s">
        <v>918</v>
      </c>
      <c r="C93" s="1692">
        <v>704</v>
      </c>
      <c r="D93" s="1692">
        <v>5812</v>
      </c>
      <c r="E93" s="1692">
        <v>758</v>
      </c>
      <c r="F93" s="1692">
        <v>65948</v>
      </c>
      <c r="G93" s="1692">
        <v>56710</v>
      </c>
      <c r="H93" s="1693">
        <v>395681</v>
      </c>
      <c r="I93" s="1692">
        <v>0</v>
      </c>
      <c r="J93" s="1692">
        <v>0</v>
      </c>
      <c r="K93" s="1695">
        <v>0</v>
      </c>
    </row>
    <row r="94" spans="1:11">
      <c r="A94" s="98" t="s">
        <v>1452</v>
      </c>
      <c r="B94" s="1687" t="s">
        <v>921</v>
      </c>
      <c r="C94" s="1692">
        <v>5880</v>
      </c>
      <c r="D94" s="1692">
        <v>2324.2357664233577</v>
      </c>
      <c r="E94" s="1692">
        <v>0</v>
      </c>
      <c r="F94" s="1692">
        <v>163503.15649904998</v>
      </c>
      <c r="G94" s="1692">
        <v>0</v>
      </c>
      <c r="H94" s="1693">
        <v>0</v>
      </c>
      <c r="I94" s="1692">
        <v>0</v>
      </c>
      <c r="J94" s="1692">
        <v>0</v>
      </c>
      <c r="K94" s="1695">
        <v>0</v>
      </c>
    </row>
    <row r="95" spans="1:11">
      <c r="A95" s="98" t="s">
        <v>19</v>
      </c>
      <c r="B95" s="1687" t="s">
        <v>931</v>
      </c>
      <c r="C95" s="1692">
        <v>33890</v>
      </c>
      <c r="D95" s="1692">
        <v>43350</v>
      </c>
      <c r="E95" s="1692">
        <v>0</v>
      </c>
      <c r="F95" s="1692">
        <v>430807.87664999999</v>
      </c>
      <c r="G95" s="1692">
        <v>0</v>
      </c>
      <c r="H95" s="1693">
        <v>0</v>
      </c>
      <c r="I95" s="1692">
        <v>0</v>
      </c>
      <c r="J95" s="1692">
        <v>0</v>
      </c>
      <c r="K95" s="1695">
        <v>0</v>
      </c>
    </row>
    <row r="96" spans="1:11">
      <c r="A96" s="98" t="s">
        <v>1019</v>
      </c>
      <c r="B96" s="1687" t="s">
        <v>2116</v>
      </c>
      <c r="C96" s="1692" t="s">
        <v>1121</v>
      </c>
      <c r="D96" s="1692" t="s">
        <v>1121</v>
      </c>
      <c r="E96" s="1692" t="s">
        <v>1121</v>
      </c>
      <c r="F96" s="1692" t="s">
        <v>1121</v>
      </c>
      <c r="G96" s="1692" t="s">
        <v>1121</v>
      </c>
      <c r="H96" s="1693" t="s">
        <v>1121</v>
      </c>
      <c r="I96" s="1692" t="s">
        <v>1121</v>
      </c>
      <c r="J96" s="1692" t="s">
        <v>1121</v>
      </c>
      <c r="K96" s="1695">
        <v>0</v>
      </c>
    </row>
    <row r="97" spans="1:12">
      <c r="A97" s="98" t="s">
        <v>152</v>
      </c>
      <c r="B97" s="1687" t="s">
        <v>2120</v>
      </c>
      <c r="C97" s="1692" t="s">
        <v>1121</v>
      </c>
      <c r="D97" s="1692" t="s">
        <v>1121</v>
      </c>
      <c r="E97" s="1692" t="s">
        <v>1121</v>
      </c>
      <c r="F97" s="1692" t="s">
        <v>1121</v>
      </c>
      <c r="G97" s="1692" t="s">
        <v>1121</v>
      </c>
      <c r="H97" s="1693" t="s">
        <v>1121</v>
      </c>
      <c r="I97" s="1692" t="s">
        <v>1121</v>
      </c>
      <c r="J97" s="1692" t="s">
        <v>1121</v>
      </c>
      <c r="K97" s="1695" t="s">
        <v>596</v>
      </c>
      <c r="L97" s="1821" t="s">
        <v>596</v>
      </c>
    </row>
    <row r="98" spans="1:12">
      <c r="A98" s="39" t="s">
        <v>81</v>
      </c>
      <c r="B98" s="1687" t="s">
        <v>918</v>
      </c>
      <c r="C98" s="1692">
        <v>4215</v>
      </c>
      <c r="D98" s="1692">
        <v>6614</v>
      </c>
      <c r="E98" s="1692">
        <v>1093</v>
      </c>
      <c r="F98" s="1692">
        <v>96387.418869000001</v>
      </c>
      <c r="G98" s="1692">
        <v>46357</v>
      </c>
      <c r="H98" s="1693">
        <v>285680</v>
      </c>
      <c r="I98" s="1692">
        <v>0</v>
      </c>
      <c r="J98" s="1692">
        <v>0</v>
      </c>
      <c r="K98" s="1695">
        <v>0</v>
      </c>
    </row>
    <row r="99" spans="1:12">
      <c r="A99" s="98" t="s">
        <v>37</v>
      </c>
      <c r="B99" s="1687" t="s">
        <v>921</v>
      </c>
      <c r="C99" s="1692" t="s">
        <v>1121</v>
      </c>
      <c r="D99" s="1692" t="s">
        <v>1121</v>
      </c>
      <c r="E99" s="1692" t="s">
        <v>1121</v>
      </c>
      <c r="F99" s="1692" t="s">
        <v>1121</v>
      </c>
      <c r="G99" s="1692" t="s">
        <v>1121</v>
      </c>
      <c r="H99" s="1693" t="s">
        <v>1121</v>
      </c>
      <c r="I99" s="1692" t="s">
        <v>1121</v>
      </c>
      <c r="J99" s="1692" t="s">
        <v>1121</v>
      </c>
      <c r="K99" s="1695">
        <v>0</v>
      </c>
      <c r="L99" s="1821"/>
    </row>
    <row r="100" spans="1:12">
      <c r="A100" s="98" t="s">
        <v>1021</v>
      </c>
      <c r="B100" s="1687" t="s">
        <v>2116</v>
      </c>
      <c r="C100" s="1692" t="s">
        <v>1121</v>
      </c>
      <c r="D100" s="1692" t="s">
        <v>1121</v>
      </c>
      <c r="E100" s="1692" t="s">
        <v>1121</v>
      </c>
      <c r="F100" s="1692" t="s">
        <v>1121</v>
      </c>
      <c r="G100" s="1692" t="s">
        <v>1121</v>
      </c>
      <c r="H100" s="1693" t="s">
        <v>1121</v>
      </c>
      <c r="I100" s="1692" t="s">
        <v>1121</v>
      </c>
      <c r="J100" s="1692" t="s">
        <v>1121</v>
      </c>
      <c r="K100" s="1695">
        <v>0</v>
      </c>
    </row>
    <row r="101" spans="1:12">
      <c r="A101" s="98" t="s">
        <v>154</v>
      </c>
      <c r="B101" s="1687" t="s">
        <v>2116</v>
      </c>
      <c r="C101" s="1692" t="s">
        <v>1121</v>
      </c>
      <c r="D101" s="1692" t="s">
        <v>1121</v>
      </c>
      <c r="E101" s="1692" t="s">
        <v>1121</v>
      </c>
      <c r="F101" s="1692" t="s">
        <v>1121</v>
      </c>
      <c r="G101" s="1692" t="s">
        <v>1121</v>
      </c>
      <c r="H101" s="1693" t="s">
        <v>1121</v>
      </c>
      <c r="I101" s="1692" t="s">
        <v>1121</v>
      </c>
      <c r="J101" s="1692" t="s">
        <v>1121</v>
      </c>
      <c r="K101" s="1695" t="s">
        <v>596</v>
      </c>
    </row>
    <row r="102" spans="1:12">
      <c r="A102" s="98" t="s">
        <v>1022</v>
      </c>
      <c r="B102" s="1687" t="s">
        <v>2116</v>
      </c>
      <c r="C102" s="1692" t="s">
        <v>1121</v>
      </c>
      <c r="D102" s="1692" t="s">
        <v>1121</v>
      </c>
      <c r="E102" s="1692" t="s">
        <v>1121</v>
      </c>
      <c r="F102" s="1692" t="s">
        <v>1121</v>
      </c>
      <c r="G102" s="1692" t="s">
        <v>1121</v>
      </c>
      <c r="H102" s="1693" t="s">
        <v>1121</v>
      </c>
      <c r="I102" s="1692" t="s">
        <v>1121</v>
      </c>
      <c r="J102" s="1692" t="s">
        <v>1121</v>
      </c>
      <c r="K102" s="1695">
        <v>0</v>
      </c>
      <c r="L102" s="1821"/>
    </row>
    <row r="103" spans="1:12">
      <c r="A103" s="98" t="s">
        <v>1453</v>
      </c>
      <c r="B103" s="1687" t="s">
        <v>921</v>
      </c>
      <c r="C103" s="1692">
        <v>50231</v>
      </c>
      <c r="D103" s="1692">
        <v>100753.57664233577</v>
      </c>
      <c r="E103" s="1692">
        <v>0</v>
      </c>
      <c r="F103" s="1692">
        <v>945058.50544999994</v>
      </c>
      <c r="G103" s="1692">
        <v>0</v>
      </c>
      <c r="H103" s="1693">
        <v>0</v>
      </c>
      <c r="I103" s="1692">
        <v>0</v>
      </c>
      <c r="J103" s="1692">
        <v>0</v>
      </c>
      <c r="K103" s="1695">
        <v>0</v>
      </c>
    </row>
    <row r="104" spans="1:12">
      <c r="A104" s="98" t="s">
        <v>1398</v>
      </c>
      <c r="B104" s="1687" t="s">
        <v>2119</v>
      </c>
      <c r="C104" s="1692" t="s">
        <v>1121</v>
      </c>
      <c r="D104" s="1692" t="s">
        <v>1121</v>
      </c>
      <c r="E104" s="1692" t="s">
        <v>1121</v>
      </c>
      <c r="F104" s="1692" t="s">
        <v>1121</v>
      </c>
      <c r="G104" s="1692" t="s">
        <v>1121</v>
      </c>
      <c r="H104" s="1693" t="s">
        <v>1121</v>
      </c>
      <c r="I104" s="1692" t="s">
        <v>1121</v>
      </c>
      <c r="J104" s="1692" t="s">
        <v>1121</v>
      </c>
      <c r="K104" s="1695">
        <v>0</v>
      </c>
    </row>
    <row r="105" spans="1:12">
      <c r="A105" s="98" t="s">
        <v>1454</v>
      </c>
      <c r="B105" s="1687" t="s">
        <v>921</v>
      </c>
      <c r="C105" s="1692">
        <v>1200</v>
      </c>
      <c r="D105" s="1692">
        <v>876.78832116788317</v>
      </c>
      <c r="E105" s="1692">
        <v>0</v>
      </c>
      <c r="F105" s="1692">
        <v>12463.778839666667</v>
      </c>
      <c r="G105" s="1692">
        <v>0</v>
      </c>
      <c r="H105" s="1693">
        <v>0</v>
      </c>
      <c r="I105" s="1692">
        <v>0</v>
      </c>
      <c r="J105" s="1692">
        <v>0</v>
      </c>
      <c r="K105" s="1695">
        <v>0</v>
      </c>
    </row>
    <row r="106" spans="1:12">
      <c r="A106" s="98" t="s">
        <v>1455</v>
      </c>
      <c r="B106" s="1687" t="s">
        <v>918</v>
      </c>
      <c r="C106" s="1692">
        <v>11320</v>
      </c>
      <c r="D106" s="1692">
        <v>0</v>
      </c>
      <c r="E106" s="1692">
        <v>0</v>
      </c>
      <c r="F106" s="1692">
        <v>532062.78852199996</v>
      </c>
      <c r="G106" s="1692">
        <v>0</v>
      </c>
      <c r="H106" s="1693">
        <v>0</v>
      </c>
      <c r="I106" s="1692">
        <v>0</v>
      </c>
      <c r="J106" s="1692">
        <v>0</v>
      </c>
      <c r="K106" s="1695">
        <v>0</v>
      </c>
    </row>
    <row r="107" spans="1:12">
      <c r="A107" s="98" t="s">
        <v>82</v>
      </c>
      <c r="B107" s="1687" t="s">
        <v>918</v>
      </c>
      <c r="C107" s="1692" t="s">
        <v>1121</v>
      </c>
      <c r="D107" s="1692" t="s">
        <v>1121</v>
      </c>
      <c r="E107" s="1692" t="s">
        <v>1121</v>
      </c>
      <c r="F107" s="1692" t="s">
        <v>1121</v>
      </c>
      <c r="G107" s="1692" t="s">
        <v>1121</v>
      </c>
      <c r="H107" s="1693" t="s">
        <v>1121</v>
      </c>
      <c r="I107" s="1692" t="s">
        <v>1121</v>
      </c>
      <c r="J107" s="1692" t="s">
        <v>1121</v>
      </c>
      <c r="K107" s="1695">
        <v>0</v>
      </c>
    </row>
    <row r="108" spans="1:12">
      <c r="A108" s="98" t="s">
        <v>112</v>
      </c>
      <c r="B108" s="1687" t="s">
        <v>921</v>
      </c>
      <c r="C108" s="1692" t="s">
        <v>1121</v>
      </c>
      <c r="D108" s="1692" t="s">
        <v>1121</v>
      </c>
      <c r="E108" s="1692" t="s">
        <v>1121</v>
      </c>
      <c r="F108" s="1692" t="s">
        <v>1121</v>
      </c>
      <c r="G108" s="1692" t="s">
        <v>1121</v>
      </c>
      <c r="H108" s="1693" t="s">
        <v>1121</v>
      </c>
      <c r="I108" s="1692" t="s">
        <v>1121</v>
      </c>
      <c r="J108" s="1692" t="s">
        <v>1121</v>
      </c>
      <c r="K108" s="1695">
        <v>0</v>
      </c>
    </row>
    <row r="109" spans="1:12">
      <c r="A109" s="98" t="s">
        <v>1028</v>
      </c>
      <c r="B109" s="1687" t="s">
        <v>921</v>
      </c>
      <c r="C109" s="1692" t="s">
        <v>1121</v>
      </c>
      <c r="D109" s="1692" t="s">
        <v>1121</v>
      </c>
      <c r="E109" s="1692" t="s">
        <v>1121</v>
      </c>
      <c r="F109" s="1692" t="s">
        <v>1121</v>
      </c>
      <c r="G109" s="1692" t="s">
        <v>1121</v>
      </c>
      <c r="H109" s="1693" t="s">
        <v>1121</v>
      </c>
      <c r="I109" s="1692" t="s">
        <v>1121</v>
      </c>
      <c r="J109" s="1692" t="s">
        <v>1121</v>
      </c>
      <c r="K109" s="1695">
        <v>0</v>
      </c>
    </row>
    <row r="110" spans="1:12">
      <c r="A110" s="98" t="s">
        <v>83</v>
      </c>
      <c r="B110" s="1687" t="s">
        <v>2120</v>
      </c>
      <c r="C110" s="1692" t="s">
        <v>1121</v>
      </c>
      <c r="D110" s="1692" t="s">
        <v>1121</v>
      </c>
      <c r="E110" s="1692" t="s">
        <v>1121</v>
      </c>
      <c r="F110" s="1692" t="s">
        <v>1121</v>
      </c>
      <c r="G110" s="1692" t="s">
        <v>1121</v>
      </c>
      <c r="H110" s="1693" t="s">
        <v>1121</v>
      </c>
      <c r="I110" s="1692" t="s">
        <v>1121</v>
      </c>
      <c r="J110" s="1692" t="s">
        <v>1121</v>
      </c>
      <c r="K110" s="1695">
        <v>0</v>
      </c>
    </row>
    <row r="111" spans="1:12">
      <c r="A111" s="98" t="s">
        <v>1029</v>
      </c>
      <c r="B111" s="1687" t="s">
        <v>2116</v>
      </c>
      <c r="C111" s="1692" t="s">
        <v>1121</v>
      </c>
      <c r="D111" s="1692" t="s">
        <v>1121</v>
      </c>
      <c r="E111" s="1692" t="s">
        <v>1121</v>
      </c>
      <c r="F111" s="1692" t="s">
        <v>1121</v>
      </c>
      <c r="G111" s="1692" t="s">
        <v>1121</v>
      </c>
      <c r="H111" s="1693" t="s">
        <v>1121</v>
      </c>
      <c r="I111" s="1692" t="s">
        <v>1121</v>
      </c>
      <c r="J111" s="1692" t="s">
        <v>1121</v>
      </c>
      <c r="K111" s="1695">
        <v>0</v>
      </c>
    </row>
    <row r="112" spans="1:12">
      <c r="A112" s="98" t="s">
        <v>1030</v>
      </c>
      <c r="B112" s="1687" t="s">
        <v>1478</v>
      </c>
      <c r="C112" s="1692" t="s">
        <v>1121</v>
      </c>
      <c r="D112" s="1692" t="s">
        <v>1121</v>
      </c>
      <c r="E112" s="1692" t="s">
        <v>1121</v>
      </c>
      <c r="F112" s="1692" t="s">
        <v>1121</v>
      </c>
      <c r="G112" s="1692" t="s">
        <v>1121</v>
      </c>
      <c r="H112" s="1693" t="s">
        <v>1121</v>
      </c>
      <c r="I112" s="1692" t="s">
        <v>1121</v>
      </c>
      <c r="J112" s="1692" t="s">
        <v>1121</v>
      </c>
      <c r="K112" s="1695">
        <v>0</v>
      </c>
    </row>
    <row r="113" spans="1:12">
      <c r="A113" s="98" t="s">
        <v>46</v>
      </c>
      <c r="B113" s="1687" t="s">
        <v>918</v>
      </c>
      <c r="C113" s="1692" t="s">
        <v>1121</v>
      </c>
      <c r="D113" s="1692" t="s">
        <v>1121</v>
      </c>
      <c r="E113" s="1692" t="s">
        <v>1121</v>
      </c>
      <c r="F113" s="1692" t="s">
        <v>1121</v>
      </c>
      <c r="G113" s="1692" t="s">
        <v>1121</v>
      </c>
      <c r="H113" s="1693" t="s">
        <v>1121</v>
      </c>
      <c r="I113" s="1692" t="s">
        <v>1121</v>
      </c>
      <c r="J113" s="1692" t="s">
        <v>1121</v>
      </c>
      <c r="K113" s="1695">
        <v>0</v>
      </c>
    </row>
    <row r="114" spans="1:12">
      <c r="A114" s="98" t="s">
        <v>162</v>
      </c>
      <c r="B114" s="1687" t="s">
        <v>921</v>
      </c>
      <c r="C114" s="1692" t="s">
        <v>1121</v>
      </c>
      <c r="D114" s="1692" t="s">
        <v>1121</v>
      </c>
      <c r="E114" s="1692" t="s">
        <v>1121</v>
      </c>
      <c r="F114" s="1692" t="s">
        <v>1121</v>
      </c>
      <c r="G114" s="1692" t="s">
        <v>1121</v>
      </c>
      <c r="H114" s="1693" t="s">
        <v>1121</v>
      </c>
      <c r="I114" s="1692" t="s">
        <v>1121</v>
      </c>
      <c r="J114" s="1692" t="s">
        <v>1121</v>
      </c>
      <c r="K114" s="1695">
        <v>0</v>
      </c>
    </row>
    <row r="115" spans="1:12">
      <c r="A115" s="98" t="s">
        <v>1031</v>
      </c>
      <c r="B115" s="1687" t="s">
        <v>921</v>
      </c>
      <c r="C115" s="1692" t="s">
        <v>1121</v>
      </c>
      <c r="D115" s="1692" t="s">
        <v>1121</v>
      </c>
      <c r="E115" s="1692" t="s">
        <v>1121</v>
      </c>
      <c r="F115" s="1692" t="s">
        <v>1121</v>
      </c>
      <c r="G115" s="1692" t="s">
        <v>1121</v>
      </c>
      <c r="H115" s="1693" t="s">
        <v>1121</v>
      </c>
      <c r="I115" s="1692" t="s">
        <v>1121</v>
      </c>
      <c r="J115" s="1692" t="s">
        <v>1121</v>
      </c>
      <c r="K115" s="1695">
        <v>0</v>
      </c>
    </row>
    <row r="116" spans="1:12">
      <c r="A116" s="98" t="s">
        <v>257</v>
      </c>
      <c r="B116" s="1687" t="s">
        <v>2115</v>
      </c>
      <c r="C116" s="1692">
        <v>1760</v>
      </c>
      <c r="D116" s="1692">
        <v>0</v>
      </c>
      <c r="E116" s="1692">
        <v>0</v>
      </c>
      <c r="F116" s="1692">
        <v>0</v>
      </c>
      <c r="G116" s="1692">
        <v>0</v>
      </c>
      <c r="H116" s="1693">
        <v>153200</v>
      </c>
      <c r="I116" s="1692">
        <v>0</v>
      </c>
      <c r="J116" s="1692">
        <v>0</v>
      </c>
      <c r="K116" s="1695">
        <v>0</v>
      </c>
    </row>
    <row r="117" spans="1:12">
      <c r="A117" s="98" t="s">
        <v>84</v>
      </c>
      <c r="B117" s="1687" t="s">
        <v>2115</v>
      </c>
      <c r="C117" s="1692" t="s">
        <v>1121</v>
      </c>
      <c r="D117" s="1692" t="s">
        <v>1121</v>
      </c>
      <c r="E117" s="1692" t="s">
        <v>1121</v>
      </c>
      <c r="F117" s="1692" t="s">
        <v>1121</v>
      </c>
      <c r="G117" s="1692" t="s">
        <v>1121</v>
      </c>
      <c r="H117" s="1693" t="s">
        <v>1121</v>
      </c>
      <c r="I117" s="1692" t="s">
        <v>1121</v>
      </c>
      <c r="J117" s="1692" t="s">
        <v>1121</v>
      </c>
      <c r="K117" s="1695">
        <v>0</v>
      </c>
    </row>
    <row r="118" spans="1:12">
      <c r="A118" s="98" t="s">
        <v>62</v>
      </c>
      <c r="B118" s="1687" t="s">
        <v>921</v>
      </c>
      <c r="C118" s="1692" t="s">
        <v>1121</v>
      </c>
      <c r="D118" s="1692" t="s">
        <v>1121</v>
      </c>
      <c r="E118" s="1692" t="s">
        <v>1121</v>
      </c>
      <c r="F118" s="1692" t="s">
        <v>1121</v>
      </c>
      <c r="G118" s="1692" t="s">
        <v>1121</v>
      </c>
      <c r="H118" s="1693" t="s">
        <v>1121</v>
      </c>
      <c r="I118" s="1692" t="s">
        <v>1121</v>
      </c>
      <c r="J118" s="1692" t="s">
        <v>1121</v>
      </c>
      <c r="K118" s="1695">
        <v>0</v>
      </c>
    </row>
    <row r="119" spans="1:12">
      <c r="A119" s="98" t="s">
        <v>159</v>
      </c>
      <c r="B119" s="1687" t="s">
        <v>921</v>
      </c>
      <c r="C119" s="1692" t="s">
        <v>1121</v>
      </c>
      <c r="D119" s="1692" t="s">
        <v>1121</v>
      </c>
      <c r="E119" s="1692" t="s">
        <v>1121</v>
      </c>
      <c r="F119" s="1692" t="s">
        <v>1121</v>
      </c>
      <c r="G119" s="1692" t="s">
        <v>1121</v>
      </c>
      <c r="H119" s="1693" t="s">
        <v>1121</v>
      </c>
      <c r="I119" s="1692" t="s">
        <v>1121</v>
      </c>
      <c r="J119" s="1692" t="s">
        <v>1121</v>
      </c>
      <c r="K119" s="1695">
        <v>0</v>
      </c>
    </row>
    <row r="120" spans="1:12">
      <c r="A120" s="98" t="s">
        <v>43</v>
      </c>
      <c r="B120" s="1687" t="s">
        <v>918</v>
      </c>
      <c r="C120" s="1692" t="s">
        <v>1121</v>
      </c>
      <c r="D120" s="1692" t="s">
        <v>1121</v>
      </c>
      <c r="E120" s="1692" t="s">
        <v>1121</v>
      </c>
      <c r="F120" s="1692" t="s">
        <v>1121</v>
      </c>
      <c r="G120" s="1692" t="s">
        <v>1121</v>
      </c>
      <c r="H120" s="1693" t="s">
        <v>1121</v>
      </c>
      <c r="I120" s="1692" t="s">
        <v>1121</v>
      </c>
      <c r="J120" s="1692" t="s">
        <v>1121</v>
      </c>
      <c r="K120" s="1695">
        <v>0</v>
      </c>
      <c r="L120" s="1821" t="s">
        <v>596</v>
      </c>
    </row>
    <row r="121" spans="1:12">
      <c r="A121" s="98" t="s">
        <v>1457</v>
      </c>
      <c r="B121" s="1687" t="s">
        <v>921</v>
      </c>
      <c r="C121" s="1692">
        <v>12100</v>
      </c>
      <c r="D121" s="1692">
        <v>16303.445255474453</v>
      </c>
      <c r="E121" s="1692">
        <v>0</v>
      </c>
      <c r="F121" s="1692">
        <v>491998.92795050004</v>
      </c>
      <c r="G121" s="1692">
        <v>0</v>
      </c>
      <c r="H121" s="1693">
        <v>0</v>
      </c>
      <c r="I121" s="1692">
        <v>0</v>
      </c>
      <c r="J121" s="1692">
        <v>0</v>
      </c>
      <c r="K121" s="1695">
        <v>0</v>
      </c>
    </row>
    <row r="122" spans="1:12">
      <c r="A122" s="98" t="s">
        <v>44</v>
      </c>
      <c r="B122" s="1687" t="s">
        <v>921</v>
      </c>
      <c r="C122" s="1692" t="s">
        <v>1121</v>
      </c>
      <c r="D122" s="1692" t="s">
        <v>1121</v>
      </c>
      <c r="E122" s="1692" t="s">
        <v>1121</v>
      </c>
      <c r="F122" s="1692" t="s">
        <v>1121</v>
      </c>
      <c r="G122" s="1692" t="s">
        <v>1121</v>
      </c>
      <c r="H122" s="1693" t="s">
        <v>1121</v>
      </c>
      <c r="I122" s="1692" t="s">
        <v>1121</v>
      </c>
      <c r="J122" s="1692" t="s">
        <v>1121</v>
      </c>
      <c r="K122" s="1695">
        <v>0</v>
      </c>
    </row>
    <row r="123" spans="1:12">
      <c r="A123" s="98" t="s">
        <v>167</v>
      </c>
      <c r="B123" s="1687" t="s">
        <v>921</v>
      </c>
      <c r="C123" s="1692" t="s">
        <v>1121</v>
      </c>
      <c r="D123" s="1692" t="s">
        <v>1121</v>
      </c>
      <c r="E123" s="1692" t="s">
        <v>1121</v>
      </c>
      <c r="F123" s="1692" t="s">
        <v>1121</v>
      </c>
      <c r="G123" s="1692" t="s">
        <v>1121</v>
      </c>
      <c r="H123" s="1693" t="s">
        <v>1121</v>
      </c>
      <c r="I123" s="1692" t="s">
        <v>1121</v>
      </c>
      <c r="J123" s="1692" t="s">
        <v>1121</v>
      </c>
      <c r="K123" s="1695">
        <v>0</v>
      </c>
    </row>
    <row r="124" spans="1:12">
      <c r="A124" s="98" t="s">
        <v>38</v>
      </c>
      <c r="B124" s="1687" t="s">
        <v>2115</v>
      </c>
      <c r="C124" s="1692">
        <v>8903</v>
      </c>
      <c r="D124" s="1692">
        <v>4581.9416058394163</v>
      </c>
      <c r="E124" s="1692">
        <v>0</v>
      </c>
      <c r="F124" s="1692">
        <v>36182.826374999997</v>
      </c>
      <c r="G124" s="1692">
        <v>0</v>
      </c>
      <c r="H124" s="1693">
        <v>0</v>
      </c>
      <c r="I124" s="1692">
        <v>0</v>
      </c>
      <c r="J124" s="1692">
        <v>0</v>
      </c>
      <c r="K124" s="1695" t="s">
        <v>596</v>
      </c>
    </row>
    <row r="125" spans="1:12">
      <c r="A125" s="98" t="s">
        <v>169</v>
      </c>
      <c r="B125" s="1687" t="s">
        <v>931</v>
      </c>
      <c r="C125" s="1692" t="s">
        <v>1121</v>
      </c>
      <c r="D125" s="1692" t="s">
        <v>1121</v>
      </c>
      <c r="E125" s="1692" t="s">
        <v>1121</v>
      </c>
      <c r="F125" s="1692" t="s">
        <v>1121</v>
      </c>
      <c r="G125" s="1692" t="s">
        <v>1121</v>
      </c>
      <c r="H125" s="1693" t="s">
        <v>1121</v>
      </c>
      <c r="I125" s="1692" t="s">
        <v>1121</v>
      </c>
      <c r="J125" s="1692" t="s">
        <v>1121</v>
      </c>
      <c r="K125" s="1695">
        <v>0</v>
      </c>
    </row>
    <row r="126" spans="1:12">
      <c r="A126" s="98" t="s">
        <v>33</v>
      </c>
      <c r="B126" s="1687" t="s">
        <v>918</v>
      </c>
      <c r="C126" s="1692" t="s">
        <v>1121</v>
      </c>
      <c r="D126" s="1692" t="s">
        <v>1121</v>
      </c>
      <c r="E126" s="1692" t="s">
        <v>1121</v>
      </c>
      <c r="F126" s="1692" t="s">
        <v>1121</v>
      </c>
      <c r="G126" s="1692" t="s">
        <v>1121</v>
      </c>
      <c r="H126" s="1693" t="s">
        <v>1121</v>
      </c>
      <c r="I126" s="1692" t="s">
        <v>1121</v>
      </c>
      <c r="J126" s="1692" t="s">
        <v>1121</v>
      </c>
      <c r="K126" s="1695">
        <v>0</v>
      </c>
    </row>
    <row r="127" spans="1:12">
      <c r="A127" s="98" t="s">
        <v>85</v>
      </c>
      <c r="B127" s="1687" t="s">
        <v>918</v>
      </c>
      <c r="C127" s="1692">
        <v>2753</v>
      </c>
      <c r="D127" s="1692">
        <v>13303</v>
      </c>
      <c r="E127" s="1692">
        <v>3378</v>
      </c>
      <c r="F127" s="1692">
        <v>90964</v>
      </c>
      <c r="G127" s="1692">
        <v>69040</v>
      </c>
      <c r="H127" s="1693">
        <v>476935</v>
      </c>
      <c r="I127" s="1692">
        <v>0</v>
      </c>
      <c r="J127" s="1692">
        <v>0</v>
      </c>
      <c r="K127" s="1695">
        <v>0</v>
      </c>
    </row>
    <row r="128" spans="1:12">
      <c r="A128" s="39" t="s">
        <v>258</v>
      </c>
      <c r="B128" s="1687" t="s">
        <v>2115</v>
      </c>
      <c r="C128" s="1692">
        <v>1089</v>
      </c>
      <c r="D128" s="1692">
        <v>1811.3868613138686</v>
      </c>
      <c r="E128" s="1692">
        <v>0</v>
      </c>
      <c r="F128" s="1692">
        <v>21248.191231999997</v>
      </c>
      <c r="G128" s="1692">
        <v>0</v>
      </c>
      <c r="H128" s="1693">
        <v>0</v>
      </c>
      <c r="I128" s="1692">
        <v>0</v>
      </c>
      <c r="J128" s="1692">
        <v>0</v>
      </c>
      <c r="K128" s="1695">
        <v>0</v>
      </c>
      <c r="L128" s="1821" t="s">
        <v>596</v>
      </c>
    </row>
    <row r="129" spans="1:11">
      <c r="A129" s="98" t="s">
        <v>173</v>
      </c>
      <c r="B129" s="1687" t="s">
        <v>2120</v>
      </c>
      <c r="C129" s="1692" t="s">
        <v>1121</v>
      </c>
      <c r="D129" s="1692" t="s">
        <v>1121</v>
      </c>
      <c r="E129" s="1692" t="s">
        <v>1121</v>
      </c>
      <c r="F129" s="1692" t="s">
        <v>1121</v>
      </c>
      <c r="G129" s="1692" t="s">
        <v>1121</v>
      </c>
      <c r="H129" s="1693" t="s">
        <v>1121</v>
      </c>
      <c r="I129" s="1692" t="s">
        <v>1121</v>
      </c>
      <c r="J129" s="1692" t="s">
        <v>1121</v>
      </c>
      <c r="K129" s="1695">
        <v>0</v>
      </c>
    </row>
    <row r="130" spans="1:11">
      <c r="A130" s="98" t="s">
        <v>1033</v>
      </c>
      <c r="B130" s="1687" t="s">
        <v>2119</v>
      </c>
      <c r="C130" s="1692" t="s">
        <v>1121</v>
      </c>
      <c r="D130" s="1692" t="s">
        <v>1121</v>
      </c>
      <c r="E130" s="1692" t="s">
        <v>1121</v>
      </c>
      <c r="F130" s="1692" t="s">
        <v>1121</v>
      </c>
      <c r="G130" s="1692" t="s">
        <v>1121</v>
      </c>
      <c r="H130" s="1693" t="s">
        <v>1121</v>
      </c>
      <c r="I130" s="1692" t="s">
        <v>1121</v>
      </c>
      <c r="J130" s="1692" t="s">
        <v>1121</v>
      </c>
      <c r="K130" s="1695" t="s">
        <v>596</v>
      </c>
    </row>
    <row r="131" spans="1:11">
      <c r="A131" s="98" t="s">
        <v>1179</v>
      </c>
      <c r="B131" s="1687" t="s">
        <v>2116</v>
      </c>
      <c r="C131" s="1692" t="s">
        <v>1121</v>
      </c>
      <c r="D131" s="1692" t="s">
        <v>1121</v>
      </c>
      <c r="E131" s="1692" t="s">
        <v>1121</v>
      </c>
      <c r="F131" s="1692" t="s">
        <v>1121</v>
      </c>
      <c r="G131" s="1692" t="s">
        <v>1121</v>
      </c>
      <c r="H131" s="1693" t="s">
        <v>1121</v>
      </c>
      <c r="I131" s="1692" t="s">
        <v>1121</v>
      </c>
      <c r="J131" s="1692" t="s">
        <v>1121</v>
      </c>
      <c r="K131" s="1695">
        <v>0</v>
      </c>
    </row>
    <row r="132" spans="1:11">
      <c r="A132" s="98" t="s">
        <v>177</v>
      </c>
      <c r="B132" s="1687" t="s">
        <v>921</v>
      </c>
      <c r="C132" s="1692" t="s">
        <v>1121</v>
      </c>
      <c r="D132" s="1692" t="s">
        <v>1121</v>
      </c>
      <c r="E132" s="1692" t="s">
        <v>1121</v>
      </c>
      <c r="F132" s="1692" t="s">
        <v>1121</v>
      </c>
      <c r="G132" s="1692" t="s">
        <v>1121</v>
      </c>
      <c r="H132" s="1693" t="s">
        <v>1121</v>
      </c>
      <c r="I132" s="1692" t="s">
        <v>1121</v>
      </c>
      <c r="J132" s="1692" t="s">
        <v>1121</v>
      </c>
      <c r="K132" s="1695">
        <v>0</v>
      </c>
    </row>
    <row r="133" spans="1:11">
      <c r="A133" s="98" t="s">
        <v>179</v>
      </c>
      <c r="B133" s="1687" t="s">
        <v>921</v>
      </c>
      <c r="C133" s="1692" t="s">
        <v>1121</v>
      </c>
      <c r="D133" s="1692" t="s">
        <v>1121</v>
      </c>
      <c r="E133" s="1692" t="s">
        <v>1121</v>
      </c>
      <c r="F133" s="1692" t="s">
        <v>1121</v>
      </c>
      <c r="G133" s="1692" t="s">
        <v>1121</v>
      </c>
      <c r="H133" s="1693" t="s">
        <v>1121</v>
      </c>
      <c r="I133" s="1692" t="s">
        <v>1121</v>
      </c>
      <c r="J133" s="1692" t="s">
        <v>1121</v>
      </c>
      <c r="K133" s="1695">
        <v>0</v>
      </c>
    </row>
    <row r="134" spans="1:11">
      <c r="A134" s="98" t="s">
        <v>181</v>
      </c>
      <c r="B134" s="1687" t="s">
        <v>2115</v>
      </c>
      <c r="C134" s="1692" t="s">
        <v>1121</v>
      </c>
      <c r="D134" s="1692" t="s">
        <v>1121</v>
      </c>
      <c r="E134" s="1692" t="s">
        <v>1121</v>
      </c>
      <c r="F134" s="1692" t="s">
        <v>1121</v>
      </c>
      <c r="G134" s="1692" t="s">
        <v>1121</v>
      </c>
      <c r="H134" s="1693" t="s">
        <v>1121</v>
      </c>
      <c r="I134" s="1692" t="s">
        <v>1121</v>
      </c>
      <c r="J134" s="1692" t="s">
        <v>1121</v>
      </c>
      <c r="K134" s="1695">
        <v>0</v>
      </c>
    </row>
    <row r="135" spans="1:11">
      <c r="A135" s="98" t="s">
        <v>1378</v>
      </c>
      <c r="B135" s="1687" t="s">
        <v>2116</v>
      </c>
      <c r="C135" s="1692" t="s">
        <v>1121</v>
      </c>
      <c r="D135" s="1692" t="s">
        <v>1121</v>
      </c>
      <c r="E135" s="1692" t="s">
        <v>1121</v>
      </c>
      <c r="F135" s="1692" t="s">
        <v>1121</v>
      </c>
      <c r="G135" s="1692" t="s">
        <v>1121</v>
      </c>
      <c r="H135" s="1693" t="s">
        <v>1121</v>
      </c>
      <c r="I135" s="1692" t="s">
        <v>1121</v>
      </c>
      <c r="J135" s="1692" t="s">
        <v>1121</v>
      </c>
      <c r="K135" s="1695">
        <v>0</v>
      </c>
    </row>
    <row r="136" spans="1:11">
      <c r="A136" s="98" t="s">
        <v>1404</v>
      </c>
      <c r="B136" s="1687" t="s">
        <v>2122</v>
      </c>
      <c r="C136" s="1692" t="s">
        <v>1121</v>
      </c>
      <c r="D136" s="1692" t="s">
        <v>1121</v>
      </c>
      <c r="E136" s="1692" t="s">
        <v>1121</v>
      </c>
      <c r="F136" s="1692" t="s">
        <v>1121</v>
      </c>
      <c r="G136" s="1692" t="s">
        <v>1121</v>
      </c>
      <c r="H136" s="1693" t="s">
        <v>1121</v>
      </c>
      <c r="I136" s="1692" t="s">
        <v>1121</v>
      </c>
      <c r="J136" s="1692" t="s">
        <v>1121</v>
      </c>
      <c r="K136" s="1695">
        <v>0</v>
      </c>
    </row>
    <row r="137" spans="1:11">
      <c r="A137" s="98" t="s">
        <v>86</v>
      </c>
      <c r="B137" s="1687" t="s">
        <v>918</v>
      </c>
      <c r="C137" s="1692">
        <v>1512</v>
      </c>
      <c r="D137" s="1692">
        <v>1946</v>
      </c>
      <c r="E137" s="1692">
        <v>179</v>
      </c>
      <c r="F137" s="1692">
        <v>71221</v>
      </c>
      <c r="G137" s="1692">
        <v>58232</v>
      </c>
      <c r="H137" s="1693">
        <v>13350</v>
      </c>
      <c r="I137" s="1692">
        <v>0</v>
      </c>
      <c r="J137" s="1692">
        <v>0</v>
      </c>
      <c r="K137" s="1695">
        <v>0</v>
      </c>
    </row>
    <row r="138" spans="1:11">
      <c r="A138" s="98" t="s">
        <v>1376</v>
      </c>
      <c r="B138" s="1687" t="s">
        <v>2116</v>
      </c>
      <c r="C138" s="1692" t="s">
        <v>1121</v>
      </c>
      <c r="D138" s="1692" t="s">
        <v>1121</v>
      </c>
      <c r="E138" s="1692" t="s">
        <v>1121</v>
      </c>
      <c r="F138" s="1692" t="s">
        <v>1121</v>
      </c>
      <c r="G138" s="1692" t="s">
        <v>1121</v>
      </c>
      <c r="H138" s="1693" t="s">
        <v>1121</v>
      </c>
      <c r="I138" s="1692" t="s">
        <v>1121</v>
      </c>
      <c r="J138" s="1692" t="s">
        <v>1121</v>
      </c>
      <c r="K138" s="1695">
        <v>0</v>
      </c>
    </row>
    <row r="139" spans="1:11">
      <c r="A139" s="98" t="s">
        <v>1034</v>
      </c>
      <c r="B139" s="1687" t="s">
        <v>1478</v>
      </c>
      <c r="C139" s="1692">
        <v>0</v>
      </c>
      <c r="D139" s="1692">
        <v>0</v>
      </c>
      <c r="E139" s="1692">
        <v>0</v>
      </c>
      <c r="F139" s="1692">
        <v>0</v>
      </c>
      <c r="G139" s="1692">
        <v>0</v>
      </c>
      <c r="H139" s="1693">
        <v>0</v>
      </c>
      <c r="I139" s="1692">
        <v>0</v>
      </c>
      <c r="J139" s="1692">
        <v>0</v>
      </c>
      <c r="K139" s="1695">
        <v>0</v>
      </c>
    </row>
    <row r="140" spans="1:11">
      <c r="A140" s="98" t="s">
        <v>185</v>
      </c>
      <c r="B140" s="1687" t="s">
        <v>921</v>
      </c>
      <c r="C140" s="1692" t="s">
        <v>1121</v>
      </c>
      <c r="D140" s="1692" t="s">
        <v>1121</v>
      </c>
      <c r="E140" s="1692" t="s">
        <v>1121</v>
      </c>
      <c r="F140" s="1692" t="s">
        <v>1121</v>
      </c>
      <c r="G140" s="1692" t="s">
        <v>1121</v>
      </c>
      <c r="H140" s="1693" t="s">
        <v>1121</v>
      </c>
      <c r="I140" s="1692" t="s">
        <v>1121</v>
      </c>
      <c r="J140" s="1692" t="s">
        <v>1121</v>
      </c>
      <c r="K140" s="1695">
        <v>0</v>
      </c>
    </row>
    <row r="141" spans="1:11">
      <c r="A141" s="98" t="s">
        <v>87</v>
      </c>
      <c r="B141" s="1687" t="s">
        <v>918</v>
      </c>
      <c r="C141" s="1692">
        <v>1560</v>
      </c>
      <c r="D141" s="1692">
        <v>6000</v>
      </c>
      <c r="E141" s="1692">
        <v>1457</v>
      </c>
      <c r="F141" s="1692">
        <v>96843</v>
      </c>
      <c r="G141" s="1692">
        <v>75377</v>
      </c>
      <c r="H141" s="1693">
        <v>80355</v>
      </c>
      <c r="I141" s="1692">
        <v>0</v>
      </c>
      <c r="J141" s="1692">
        <v>0</v>
      </c>
      <c r="K141" s="1695" t="s">
        <v>596</v>
      </c>
    </row>
    <row r="142" spans="1:11">
      <c r="A142" s="98" t="s">
        <v>1035</v>
      </c>
      <c r="B142" s="1687" t="s">
        <v>921</v>
      </c>
      <c r="C142" s="1692" t="s">
        <v>1121</v>
      </c>
      <c r="D142" s="1692" t="s">
        <v>1121</v>
      </c>
      <c r="E142" s="1692" t="s">
        <v>1121</v>
      </c>
      <c r="F142" s="1692" t="s">
        <v>1121</v>
      </c>
      <c r="G142" s="1692" t="s">
        <v>1121</v>
      </c>
      <c r="H142" s="1693" t="s">
        <v>1121</v>
      </c>
      <c r="I142" s="1692" t="s">
        <v>1121</v>
      </c>
      <c r="J142" s="1692" t="s">
        <v>1121</v>
      </c>
      <c r="K142" s="1695">
        <v>0</v>
      </c>
    </row>
    <row r="143" spans="1:11">
      <c r="A143" s="98" t="s">
        <v>16</v>
      </c>
      <c r="B143" s="1687" t="s">
        <v>918</v>
      </c>
      <c r="C143" s="1692" t="s">
        <v>1121</v>
      </c>
      <c r="D143" s="1692" t="s">
        <v>1121</v>
      </c>
      <c r="E143" s="1692" t="s">
        <v>1121</v>
      </c>
      <c r="F143" s="1692" t="s">
        <v>1121</v>
      </c>
      <c r="G143" s="1692" t="s">
        <v>1121</v>
      </c>
      <c r="H143" s="1693" t="s">
        <v>1121</v>
      </c>
      <c r="I143" s="1692" t="s">
        <v>1121</v>
      </c>
      <c r="J143" s="1692" t="s">
        <v>1121</v>
      </c>
      <c r="K143" s="1695">
        <v>0</v>
      </c>
    </row>
    <row r="144" spans="1:11">
      <c r="A144" s="98" t="s">
        <v>1367</v>
      </c>
      <c r="B144" s="1687" t="s">
        <v>921</v>
      </c>
      <c r="C144" s="1692" t="s">
        <v>1121</v>
      </c>
      <c r="D144" s="1692" t="s">
        <v>1121</v>
      </c>
      <c r="E144" s="1692" t="s">
        <v>1121</v>
      </c>
      <c r="F144" s="1692" t="s">
        <v>1121</v>
      </c>
      <c r="G144" s="1692" t="s">
        <v>1121</v>
      </c>
      <c r="H144" s="1693" t="s">
        <v>1121</v>
      </c>
      <c r="I144" s="1692" t="s">
        <v>1121</v>
      </c>
      <c r="J144" s="1692" t="s">
        <v>1121</v>
      </c>
      <c r="K144" s="1695">
        <v>0</v>
      </c>
    </row>
    <row r="145" spans="1:12">
      <c r="A145" s="98" t="s">
        <v>28</v>
      </c>
      <c r="B145" s="1687" t="s">
        <v>2119</v>
      </c>
      <c r="C145" s="1692" t="s">
        <v>1121</v>
      </c>
      <c r="D145" s="1692" t="s">
        <v>1121</v>
      </c>
      <c r="E145" s="1692" t="s">
        <v>1121</v>
      </c>
      <c r="F145" s="1692" t="s">
        <v>1121</v>
      </c>
      <c r="G145" s="1692" t="s">
        <v>1121</v>
      </c>
      <c r="H145" s="1693" t="s">
        <v>1121</v>
      </c>
      <c r="I145" s="1692" t="s">
        <v>1121</v>
      </c>
      <c r="J145" s="1692" t="s">
        <v>1121</v>
      </c>
      <c r="K145" s="1695">
        <v>0</v>
      </c>
    </row>
    <row r="146" spans="1:12">
      <c r="A146" s="98" t="s">
        <v>1357</v>
      </c>
      <c r="B146" s="1687" t="s">
        <v>2119</v>
      </c>
      <c r="C146" s="1692" t="s">
        <v>1121</v>
      </c>
      <c r="D146" s="1692" t="s">
        <v>1121</v>
      </c>
      <c r="E146" s="1692" t="s">
        <v>1121</v>
      </c>
      <c r="F146" s="1692" t="s">
        <v>1121</v>
      </c>
      <c r="G146" s="1692" t="s">
        <v>1121</v>
      </c>
      <c r="H146" s="1693" t="s">
        <v>1121</v>
      </c>
      <c r="I146" s="1692" t="s">
        <v>1121</v>
      </c>
      <c r="J146" s="1692" t="s">
        <v>1121</v>
      </c>
      <c r="K146" s="1695">
        <v>0</v>
      </c>
    </row>
    <row r="147" spans="1:12">
      <c r="A147" s="98" t="s">
        <v>1037</v>
      </c>
      <c r="B147" s="1687" t="s">
        <v>2116</v>
      </c>
      <c r="C147" s="1692" t="s">
        <v>1121</v>
      </c>
      <c r="D147" s="1692" t="s">
        <v>1121</v>
      </c>
      <c r="E147" s="1692" t="s">
        <v>1121</v>
      </c>
      <c r="F147" s="1692" t="s">
        <v>1121</v>
      </c>
      <c r="G147" s="1692" t="s">
        <v>1121</v>
      </c>
      <c r="H147" s="1693" t="s">
        <v>1121</v>
      </c>
      <c r="I147" s="1692" t="s">
        <v>1121</v>
      </c>
      <c r="J147" s="1692" t="s">
        <v>1121</v>
      </c>
      <c r="K147" s="1695">
        <v>0</v>
      </c>
    </row>
    <row r="148" spans="1:12">
      <c r="A148" s="98" t="s">
        <v>867</v>
      </c>
      <c r="B148" s="1687" t="s">
        <v>921</v>
      </c>
      <c r="C148" s="1692" t="s">
        <v>1121</v>
      </c>
      <c r="D148" s="1692" t="s">
        <v>1121</v>
      </c>
      <c r="E148" s="1692" t="s">
        <v>1121</v>
      </c>
      <c r="F148" s="1692" t="s">
        <v>1121</v>
      </c>
      <c r="G148" s="1692" t="s">
        <v>1121</v>
      </c>
      <c r="H148" s="1693" t="s">
        <v>1121</v>
      </c>
      <c r="I148" s="1692" t="s">
        <v>1121</v>
      </c>
      <c r="J148" s="1692" t="s">
        <v>1121</v>
      </c>
      <c r="K148" s="1695">
        <v>0</v>
      </c>
    </row>
    <row r="149" spans="1:12">
      <c r="A149" s="98" t="s">
        <v>88</v>
      </c>
      <c r="B149" s="1687" t="s">
        <v>918</v>
      </c>
      <c r="C149" s="1692" t="s">
        <v>1121</v>
      </c>
      <c r="D149" s="1692" t="s">
        <v>1121</v>
      </c>
      <c r="E149" s="1692" t="s">
        <v>1121</v>
      </c>
      <c r="F149" s="1692" t="s">
        <v>1121</v>
      </c>
      <c r="G149" s="1692" t="s">
        <v>1121</v>
      </c>
      <c r="H149" s="1693" t="s">
        <v>1121</v>
      </c>
      <c r="I149" s="1692" t="s">
        <v>1121</v>
      </c>
      <c r="J149" s="1692" t="s">
        <v>1121</v>
      </c>
      <c r="K149" s="1695" t="s">
        <v>596</v>
      </c>
    </row>
    <row r="150" spans="1:12">
      <c r="A150" s="98" t="s">
        <v>1608</v>
      </c>
      <c r="B150" s="1687" t="s">
        <v>2116</v>
      </c>
      <c r="C150" s="1692" t="s">
        <v>1121</v>
      </c>
      <c r="D150" s="1692" t="s">
        <v>1121</v>
      </c>
      <c r="E150" s="1692" t="s">
        <v>1121</v>
      </c>
      <c r="F150" s="1692" t="s">
        <v>1121</v>
      </c>
      <c r="G150" s="1692" t="s">
        <v>1121</v>
      </c>
      <c r="H150" s="1693" t="s">
        <v>1121</v>
      </c>
      <c r="I150" s="1692" t="s">
        <v>1121</v>
      </c>
      <c r="J150" s="1692" t="s">
        <v>1121</v>
      </c>
      <c r="K150" s="1695">
        <v>0</v>
      </c>
      <c r="L150" s="1821"/>
    </row>
    <row r="151" spans="1:12">
      <c r="A151" s="98" t="s">
        <v>1040</v>
      </c>
      <c r="B151" s="1687" t="s">
        <v>2116</v>
      </c>
      <c r="C151" s="1692" t="s">
        <v>1121</v>
      </c>
      <c r="D151" s="1692" t="s">
        <v>1121</v>
      </c>
      <c r="E151" s="1692" t="s">
        <v>1121</v>
      </c>
      <c r="F151" s="1692" t="s">
        <v>1121</v>
      </c>
      <c r="G151" s="1692" t="s">
        <v>1121</v>
      </c>
      <c r="H151" s="1693" t="s">
        <v>1121</v>
      </c>
      <c r="I151" s="1692" t="s">
        <v>1121</v>
      </c>
      <c r="J151" s="1692" t="s">
        <v>1121</v>
      </c>
      <c r="K151" s="1695">
        <v>0</v>
      </c>
    </row>
    <row r="152" spans="1:12">
      <c r="A152" s="98" t="s">
        <v>1174</v>
      </c>
      <c r="B152" s="1687" t="s">
        <v>2116</v>
      </c>
      <c r="C152" s="1692" t="s">
        <v>1121</v>
      </c>
      <c r="D152" s="1692" t="s">
        <v>1121</v>
      </c>
      <c r="E152" s="1692" t="s">
        <v>1121</v>
      </c>
      <c r="F152" s="1692" t="s">
        <v>1121</v>
      </c>
      <c r="G152" s="1692" t="s">
        <v>1121</v>
      </c>
      <c r="H152" s="1693" t="s">
        <v>1121</v>
      </c>
      <c r="I152" s="1692" t="s">
        <v>1121</v>
      </c>
      <c r="J152" s="1692" t="s">
        <v>1121</v>
      </c>
      <c r="K152" s="1695">
        <v>0</v>
      </c>
    </row>
    <row r="153" spans="1:12">
      <c r="A153" s="98" t="s">
        <v>89</v>
      </c>
      <c r="B153" s="1687" t="s">
        <v>921</v>
      </c>
      <c r="C153" s="1692" t="s">
        <v>1121</v>
      </c>
      <c r="D153" s="1692" t="s">
        <v>1121</v>
      </c>
      <c r="E153" s="1692" t="s">
        <v>1121</v>
      </c>
      <c r="F153" s="1692" t="s">
        <v>1121</v>
      </c>
      <c r="G153" s="1692" t="s">
        <v>1121</v>
      </c>
      <c r="H153" s="1693" t="s">
        <v>1121</v>
      </c>
      <c r="I153" s="1692" t="s">
        <v>1121</v>
      </c>
      <c r="J153" s="1692" t="s">
        <v>1121</v>
      </c>
      <c r="K153" s="1695">
        <v>0</v>
      </c>
    </row>
    <row r="154" spans="1:12">
      <c r="A154" s="98" t="s">
        <v>1041</v>
      </c>
      <c r="B154" s="1687" t="s">
        <v>2116</v>
      </c>
      <c r="C154" s="1692">
        <v>3020</v>
      </c>
      <c r="D154" s="1692">
        <v>1877</v>
      </c>
      <c r="E154" s="1692">
        <v>1352</v>
      </c>
      <c r="F154" s="1692">
        <v>5494</v>
      </c>
      <c r="G154" s="1692">
        <v>5012</v>
      </c>
      <c r="H154" s="1693">
        <v>9366</v>
      </c>
      <c r="I154" s="1692">
        <v>0</v>
      </c>
      <c r="J154" s="1692">
        <v>0</v>
      </c>
      <c r="K154" s="1695">
        <v>0</v>
      </c>
    </row>
    <row r="155" spans="1:12">
      <c r="A155" s="98" t="s">
        <v>1008</v>
      </c>
      <c r="B155" s="1687" t="s">
        <v>921</v>
      </c>
      <c r="C155" s="1692" t="s">
        <v>1121</v>
      </c>
      <c r="D155" s="1692" t="s">
        <v>1121</v>
      </c>
      <c r="E155" s="1692" t="s">
        <v>1121</v>
      </c>
      <c r="F155" s="1692" t="s">
        <v>1121</v>
      </c>
      <c r="G155" s="1692" t="s">
        <v>1121</v>
      </c>
      <c r="H155" s="1693" t="s">
        <v>1121</v>
      </c>
      <c r="I155" s="1692" t="s">
        <v>1121</v>
      </c>
      <c r="J155" s="1692" t="s">
        <v>1121</v>
      </c>
      <c r="K155" s="1695">
        <v>0</v>
      </c>
    </row>
    <row r="156" spans="1:12">
      <c r="A156" s="98" t="s">
        <v>196</v>
      </c>
      <c r="B156" s="1687" t="s">
        <v>2119</v>
      </c>
      <c r="C156" s="1692" t="s">
        <v>1121</v>
      </c>
      <c r="D156" s="1692" t="s">
        <v>1121</v>
      </c>
      <c r="E156" s="1692" t="s">
        <v>1121</v>
      </c>
      <c r="F156" s="1692" t="s">
        <v>1121</v>
      </c>
      <c r="G156" s="1692" t="s">
        <v>1121</v>
      </c>
      <c r="H156" s="1693" t="s">
        <v>1121</v>
      </c>
      <c r="I156" s="1692" t="s">
        <v>1121</v>
      </c>
      <c r="J156" s="1692" t="s">
        <v>1121</v>
      </c>
      <c r="K156" s="1695">
        <v>0</v>
      </c>
    </row>
    <row r="157" spans="1:12">
      <c r="A157" s="98" t="s">
        <v>39</v>
      </c>
      <c r="B157" s="1687" t="s">
        <v>2119</v>
      </c>
      <c r="C157" s="1692">
        <v>2961</v>
      </c>
      <c r="D157" s="1692">
        <v>9161</v>
      </c>
      <c r="E157" s="1692">
        <v>5839</v>
      </c>
      <c r="F157" s="1692">
        <v>55111</v>
      </c>
      <c r="G157" s="1692">
        <v>49028</v>
      </c>
      <c r="H157" s="1693">
        <v>17735</v>
      </c>
      <c r="I157" s="1692">
        <v>0</v>
      </c>
      <c r="J157" s="1692">
        <v>0</v>
      </c>
      <c r="K157" s="1695">
        <v>0</v>
      </c>
    </row>
    <row r="158" spans="1:12">
      <c r="A158" s="98" t="s">
        <v>1176</v>
      </c>
      <c r="B158" s="1687" t="s">
        <v>2122</v>
      </c>
      <c r="C158" s="1692" t="s">
        <v>1121</v>
      </c>
      <c r="D158" s="1692" t="s">
        <v>1121</v>
      </c>
      <c r="E158" s="1692" t="s">
        <v>1121</v>
      </c>
      <c r="F158" s="1692" t="s">
        <v>1121</v>
      </c>
      <c r="G158" s="1692" t="s">
        <v>1121</v>
      </c>
      <c r="H158" s="1693" t="s">
        <v>1121</v>
      </c>
      <c r="I158" s="1692" t="s">
        <v>1121</v>
      </c>
      <c r="J158" s="1692" t="s">
        <v>1121</v>
      </c>
      <c r="K158" s="1695">
        <v>0</v>
      </c>
    </row>
    <row r="159" spans="1:12">
      <c r="A159" s="98" t="s">
        <v>201</v>
      </c>
      <c r="B159" s="1687" t="s">
        <v>2117</v>
      </c>
      <c r="C159" s="1692" t="s">
        <v>1121</v>
      </c>
      <c r="D159" s="1692" t="s">
        <v>1121</v>
      </c>
      <c r="E159" s="1692" t="s">
        <v>1121</v>
      </c>
      <c r="F159" s="1692" t="s">
        <v>1121</v>
      </c>
      <c r="G159" s="1692" t="s">
        <v>1121</v>
      </c>
      <c r="H159" s="1693" t="s">
        <v>1121</v>
      </c>
      <c r="I159" s="1692" t="s">
        <v>1121</v>
      </c>
      <c r="J159" s="1692" t="s">
        <v>1121</v>
      </c>
      <c r="K159" s="1695">
        <v>0</v>
      </c>
    </row>
    <row r="160" spans="1:12">
      <c r="A160" s="98" t="s">
        <v>1043</v>
      </c>
      <c r="B160" s="1687" t="s">
        <v>918</v>
      </c>
      <c r="C160" s="1692" t="s">
        <v>1121</v>
      </c>
      <c r="D160" s="1692" t="s">
        <v>1121</v>
      </c>
      <c r="E160" s="1692" t="s">
        <v>1121</v>
      </c>
      <c r="F160" s="1692" t="s">
        <v>1121</v>
      </c>
      <c r="G160" s="1692" t="s">
        <v>1121</v>
      </c>
      <c r="H160" s="1693" t="s">
        <v>1121</v>
      </c>
      <c r="I160" s="1692" t="s">
        <v>1121</v>
      </c>
      <c r="J160" s="1692" t="s">
        <v>1121</v>
      </c>
      <c r="K160" s="1695">
        <v>0</v>
      </c>
    </row>
    <row r="161" spans="1:11">
      <c r="A161" s="98" t="s">
        <v>90</v>
      </c>
      <c r="B161" s="1687" t="s">
        <v>918</v>
      </c>
      <c r="C161" s="1692" t="s">
        <v>1121</v>
      </c>
      <c r="D161" s="1692" t="s">
        <v>1121</v>
      </c>
      <c r="E161" s="1692" t="s">
        <v>1121</v>
      </c>
      <c r="F161" s="1692" t="s">
        <v>1121</v>
      </c>
      <c r="G161" s="1692" t="s">
        <v>1121</v>
      </c>
      <c r="H161" s="1693" t="s">
        <v>1121</v>
      </c>
      <c r="I161" s="1692" t="s">
        <v>1121</v>
      </c>
      <c r="J161" s="1692" t="s">
        <v>1121</v>
      </c>
      <c r="K161" s="1695">
        <v>0</v>
      </c>
    </row>
    <row r="162" spans="1:11">
      <c r="A162" s="98" t="s">
        <v>1044</v>
      </c>
      <c r="B162" s="1687" t="s">
        <v>918</v>
      </c>
      <c r="C162" s="1692" t="s">
        <v>1121</v>
      </c>
      <c r="D162" s="1692" t="s">
        <v>1121</v>
      </c>
      <c r="E162" s="1692" t="s">
        <v>1121</v>
      </c>
      <c r="F162" s="1692" t="s">
        <v>1121</v>
      </c>
      <c r="G162" s="1692" t="s">
        <v>1121</v>
      </c>
      <c r="H162" s="1693" t="s">
        <v>1121</v>
      </c>
      <c r="I162" s="1692" t="s">
        <v>1121</v>
      </c>
      <c r="J162" s="1692" t="s">
        <v>1121</v>
      </c>
      <c r="K162" s="1695">
        <v>0</v>
      </c>
    </row>
    <row r="163" spans="1:11">
      <c r="A163" s="98" t="s">
        <v>250</v>
      </c>
      <c r="B163" s="1687" t="s">
        <v>2115</v>
      </c>
      <c r="C163" s="1692">
        <v>1568</v>
      </c>
      <c r="D163" s="1692">
        <v>0</v>
      </c>
      <c r="E163" s="1692">
        <v>0</v>
      </c>
      <c r="F163" s="1692">
        <v>22565.107929999998</v>
      </c>
      <c r="G163" s="1692">
        <v>9127</v>
      </c>
      <c r="H163" s="1693">
        <v>1500</v>
      </c>
      <c r="I163" s="1692">
        <v>0</v>
      </c>
      <c r="J163" s="1692">
        <v>0</v>
      </c>
      <c r="K163" s="1695" t="s">
        <v>596</v>
      </c>
    </row>
    <row r="164" spans="1:11">
      <c r="A164" s="98" t="s">
        <v>91</v>
      </c>
      <c r="B164" s="1687" t="s">
        <v>2119</v>
      </c>
      <c r="C164" s="1692">
        <v>450</v>
      </c>
      <c r="D164" s="1692">
        <v>0</v>
      </c>
      <c r="E164" s="1692">
        <v>0</v>
      </c>
      <c r="F164" s="1692">
        <v>21148</v>
      </c>
      <c r="G164" s="1692">
        <v>10156</v>
      </c>
      <c r="H164" s="1693">
        <v>4905</v>
      </c>
      <c r="I164" s="1692">
        <v>0</v>
      </c>
      <c r="J164" s="1692">
        <v>0</v>
      </c>
      <c r="K164" s="1695">
        <v>0</v>
      </c>
    </row>
    <row r="165" spans="1:11">
      <c r="A165" s="98" t="s">
        <v>1046</v>
      </c>
      <c r="B165" s="1687" t="s">
        <v>921</v>
      </c>
      <c r="C165" s="1692" t="s">
        <v>1121</v>
      </c>
      <c r="D165" s="1692" t="s">
        <v>1121</v>
      </c>
      <c r="E165" s="1692" t="s">
        <v>1121</v>
      </c>
      <c r="F165" s="1692" t="s">
        <v>1121</v>
      </c>
      <c r="G165" s="1692" t="s">
        <v>1121</v>
      </c>
      <c r="H165" s="1693" t="s">
        <v>1121</v>
      </c>
      <c r="I165" s="1692" t="s">
        <v>1121</v>
      </c>
      <c r="J165" s="1692" t="s">
        <v>1121</v>
      </c>
      <c r="K165" s="1695">
        <v>0</v>
      </c>
    </row>
    <row r="166" spans="1:11">
      <c r="A166" s="98" t="s">
        <v>203</v>
      </c>
      <c r="B166" s="1687" t="s">
        <v>2123</v>
      </c>
      <c r="C166" s="1692" t="s">
        <v>1121</v>
      </c>
      <c r="D166" s="1692" t="s">
        <v>1121</v>
      </c>
      <c r="E166" s="1692" t="s">
        <v>1121</v>
      </c>
      <c r="F166" s="1692" t="s">
        <v>1121</v>
      </c>
      <c r="G166" s="1692" t="s">
        <v>1121</v>
      </c>
      <c r="H166" s="1693" t="s">
        <v>1121</v>
      </c>
      <c r="I166" s="1692" t="s">
        <v>1121</v>
      </c>
      <c r="J166" s="1692" t="s">
        <v>1121</v>
      </c>
      <c r="K166" s="1695">
        <v>0</v>
      </c>
    </row>
    <row r="167" spans="1:11">
      <c r="A167" s="98" t="s">
        <v>35</v>
      </c>
      <c r="B167" s="1687" t="s">
        <v>2117</v>
      </c>
      <c r="C167" s="1692" t="s">
        <v>1121</v>
      </c>
      <c r="D167" s="1692" t="s">
        <v>1121</v>
      </c>
      <c r="E167" s="1692" t="s">
        <v>1121</v>
      </c>
      <c r="F167" s="1692" t="s">
        <v>1121</v>
      </c>
      <c r="G167" s="1692" t="s">
        <v>1121</v>
      </c>
      <c r="H167" s="1693" t="s">
        <v>1121</v>
      </c>
      <c r="I167" s="1692" t="s">
        <v>1121</v>
      </c>
      <c r="J167" s="1692" t="s">
        <v>1121</v>
      </c>
      <c r="K167" s="1695">
        <v>0</v>
      </c>
    </row>
    <row r="168" spans="1:11">
      <c r="A168" s="98" t="s">
        <v>1047</v>
      </c>
      <c r="B168" s="1687">
        <v>0</v>
      </c>
      <c r="C168" s="1692" t="s">
        <v>1121</v>
      </c>
      <c r="D168" s="1692" t="s">
        <v>1121</v>
      </c>
      <c r="E168" s="1692" t="s">
        <v>1121</v>
      </c>
      <c r="F168" s="1692" t="s">
        <v>1121</v>
      </c>
      <c r="G168" s="1692" t="s">
        <v>1121</v>
      </c>
      <c r="H168" s="1693" t="s">
        <v>1121</v>
      </c>
      <c r="I168" s="1692" t="s">
        <v>1121</v>
      </c>
      <c r="J168" s="1692" t="s">
        <v>1121</v>
      </c>
      <c r="K168" s="1695">
        <v>0</v>
      </c>
    </row>
    <row r="169" spans="1:11">
      <c r="A169" s="98" t="s">
        <v>31</v>
      </c>
      <c r="B169" s="1687" t="s">
        <v>918</v>
      </c>
      <c r="C169" s="1692" t="s">
        <v>1121</v>
      </c>
      <c r="D169" s="1692" t="s">
        <v>1121</v>
      </c>
      <c r="E169" s="1692" t="s">
        <v>1121</v>
      </c>
      <c r="F169" s="1692" t="s">
        <v>1121</v>
      </c>
      <c r="G169" s="1692" t="s">
        <v>1121</v>
      </c>
      <c r="H169" s="1693" t="s">
        <v>1121</v>
      </c>
      <c r="I169" s="1692" t="s">
        <v>1121</v>
      </c>
      <c r="J169" s="1692" t="s">
        <v>1121</v>
      </c>
      <c r="K169" s="1695">
        <v>0</v>
      </c>
    </row>
    <row r="170" spans="1:11">
      <c r="A170" s="98" t="s">
        <v>21</v>
      </c>
      <c r="B170" s="1687" t="s">
        <v>918</v>
      </c>
      <c r="C170" s="1692">
        <v>0</v>
      </c>
      <c r="D170" s="1692">
        <v>0</v>
      </c>
      <c r="E170" s="1692">
        <v>0</v>
      </c>
      <c r="F170" s="1692">
        <v>0</v>
      </c>
      <c r="G170" s="1692">
        <v>0</v>
      </c>
      <c r="H170" s="1693">
        <v>0</v>
      </c>
      <c r="I170" s="1692">
        <v>0</v>
      </c>
      <c r="J170" s="1692">
        <v>0</v>
      </c>
      <c r="K170" s="1695">
        <v>0</v>
      </c>
    </row>
    <row r="171" spans="1:11">
      <c r="A171" s="98" t="s">
        <v>1048</v>
      </c>
      <c r="B171" s="1687" t="s">
        <v>921</v>
      </c>
      <c r="C171" s="1692" t="s">
        <v>1121</v>
      </c>
      <c r="D171" s="1692" t="s">
        <v>1121</v>
      </c>
      <c r="E171" s="1692" t="s">
        <v>1121</v>
      </c>
      <c r="F171" s="1692" t="s">
        <v>1121</v>
      </c>
      <c r="G171" s="1692" t="s">
        <v>1121</v>
      </c>
      <c r="H171" s="1693" t="s">
        <v>1121</v>
      </c>
      <c r="I171" s="1692" t="s">
        <v>1121</v>
      </c>
      <c r="J171" s="1692" t="s">
        <v>1121</v>
      </c>
      <c r="K171" s="1695">
        <v>0</v>
      </c>
    </row>
    <row r="172" spans="1:11">
      <c r="A172" s="98" t="s">
        <v>92</v>
      </c>
      <c r="B172" s="1687" t="s">
        <v>931</v>
      </c>
      <c r="C172" s="1692" t="s">
        <v>1121</v>
      </c>
      <c r="D172" s="1692" t="s">
        <v>1121</v>
      </c>
      <c r="E172" s="1692" t="s">
        <v>1121</v>
      </c>
      <c r="F172" s="1692" t="s">
        <v>1121</v>
      </c>
      <c r="G172" s="1692" t="s">
        <v>1121</v>
      </c>
      <c r="H172" s="1693" t="s">
        <v>1121</v>
      </c>
      <c r="I172" s="1692" t="s">
        <v>1121</v>
      </c>
      <c r="J172" s="1692" t="s">
        <v>1121</v>
      </c>
      <c r="K172" s="1695">
        <v>0</v>
      </c>
    </row>
    <row r="173" spans="1:11">
      <c r="A173" s="98" t="s">
        <v>1461</v>
      </c>
      <c r="B173" s="1687" t="s">
        <v>2119</v>
      </c>
      <c r="C173" s="1692">
        <v>510</v>
      </c>
      <c r="D173" s="1692">
        <v>0</v>
      </c>
      <c r="E173" s="1692">
        <v>0</v>
      </c>
      <c r="F173" s="1692">
        <v>0</v>
      </c>
      <c r="G173" s="1692">
        <v>0</v>
      </c>
      <c r="H173" s="1693">
        <v>0</v>
      </c>
      <c r="I173" s="1692">
        <v>0</v>
      </c>
      <c r="J173" s="1692">
        <v>0</v>
      </c>
      <c r="K173" s="1695">
        <v>0</v>
      </c>
    </row>
    <row r="174" spans="1:11">
      <c r="A174" s="98" t="s">
        <v>1181</v>
      </c>
      <c r="B174" s="1687" t="s">
        <v>2116</v>
      </c>
      <c r="C174" s="1692" t="s">
        <v>1121</v>
      </c>
      <c r="D174" s="1692" t="s">
        <v>1121</v>
      </c>
      <c r="E174" s="1692" t="s">
        <v>1121</v>
      </c>
      <c r="F174" s="1692" t="s">
        <v>1121</v>
      </c>
      <c r="G174" s="1692" t="s">
        <v>1121</v>
      </c>
      <c r="H174" s="1693" t="s">
        <v>1121</v>
      </c>
      <c r="I174" s="1692" t="s">
        <v>1121</v>
      </c>
      <c r="J174" s="1692" t="s">
        <v>1121</v>
      </c>
      <c r="K174" s="1695">
        <v>0</v>
      </c>
    </row>
    <row r="175" spans="1:11">
      <c r="A175" s="98" t="s">
        <v>1182</v>
      </c>
      <c r="B175" s="1687" t="s">
        <v>2119</v>
      </c>
      <c r="C175" s="1692" t="s">
        <v>1121</v>
      </c>
      <c r="D175" s="1692" t="s">
        <v>1121</v>
      </c>
      <c r="E175" s="1692" t="s">
        <v>1121</v>
      </c>
      <c r="F175" s="1692" t="s">
        <v>1121</v>
      </c>
      <c r="G175" s="1692" t="s">
        <v>1121</v>
      </c>
      <c r="H175" s="1693" t="s">
        <v>1121</v>
      </c>
      <c r="I175" s="1692" t="s">
        <v>1121</v>
      </c>
      <c r="J175" s="1692" t="s">
        <v>1121</v>
      </c>
      <c r="K175" s="1695">
        <v>0</v>
      </c>
    </row>
    <row r="176" spans="1:11">
      <c r="A176" s="98" t="s">
        <v>1462</v>
      </c>
      <c r="B176" s="1687" t="s">
        <v>918</v>
      </c>
      <c r="C176" s="1692">
        <v>7566</v>
      </c>
      <c r="D176" s="1692">
        <v>0</v>
      </c>
      <c r="E176" s="1692">
        <v>0</v>
      </c>
      <c r="F176" s="1692">
        <v>535641.82073299994</v>
      </c>
      <c r="G176" s="1692">
        <v>0</v>
      </c>
      <c r="H176" s="1693">
        <v>0</v>
      </c>
      <c r="I176" s="1692">
        <v>0</v>
      </c>
      <c r="J176" s="1692">
        <v>0</v>
      </c>
      <c r="K176" s="1695">
        <v>0</v>
      </c>
    </row>
    <row r="177" spans="1:11">
      <c r="A177" s="98" t="s">
        <v>93</v>
      </c>
      <c r="B177" s="1687" t="s">
        <v>918</v>
      </c>
      <c r="C177" s="1692">
        <v>6941</v>
      </c>
      <c r="D177" s="1692">
        <v>12506</v>
      </c>
      <c r="E177" s="1692">
        <v>10896</v>
      </c>
      <c r="F177" s="1692">
        <v>143068</v>
      </c>
      <c r="G177" s="1692">
        <v>85565</v>
      </c>
      <c r="H177" s="1693">
        <v>37100</v>
      </c>
      <c r="I177" s="1692">
        <v>0</v>
      </c>
      <c r="J177" s="1692">
        <v>0</v>
      </c>
      <c r="K177" s="1695">
        <v>0</v>
      </c>
    </row>
    <row r="178" spans="1:11">
      <c r="A178" s="98" t="s">
        <v>214</v>
      </c>
      <c r="B178" s="1687" t="s">
        <v>931</v>
      </c>
      <c r="C178" s="1692">
        <v>4620</v>
      </c>
      <c r="D178" s="1692">
        <v>3857</v>
      </c>
      <c r="E178" s="1692">
        <v>1928</v>
      </c>
      <c r="F178" s="1692">
        <v>149965</v>
      </c>
      <c r="G178" s="1692">
        <v>111853</v>
      </c>
      <c r="H178" s="1693">
        <v>28220</v>
      </c>
      <c r="I178" s="1692">
        <v>7550.724637681159</v>
      </c>
      <c r="J178" s="1692">
        <v>3611.8032786885246</v>
      </c>
      <c r="K178" s="1695" t="s">
        <v>596</v>
      </c>
    </row>
    <row r="179" spans="1:11">
      <c r="A179" s="98" t="s">
        <v>94</v>
      </c>
      <c r="B179" s="1687" t="s">
        <v>2119</v>
      </c>
      <c r="C179" s="1692">
        <v>3270</v>
      </c>
      <c r="D179" s="1692">
        <v>7410</v>
      </c>
      <c r="E179" s="1692">
        <v>4684</v>
      </c>
      <c r="F179" s="1692">
        <v>33613</v>
      </c>
      <c r="G179" s="1692">
        <v>31010</v>
      </c>
      <c r="H179" s="1693">
        <v>16650</v>
      </c>
      <c r="I179" s="1692">
        <v>0</v>
      </c>
      <c r="J179" s="1692">
        <v>0</v>
      </c>
      <c r="K179" s="1695">
        <v>0</v>
      </c>
    </row>
    <row r="180" spans="1:11">
      <c r="A180" s="98" t="s">
        <v>29</v>
      </c>
      <c r="B180" s="1687" t="s">
        <v>921</v>
      </c>
      <c r="C180" s="1692" t="s">
        <v>1121</v>
      </c>
      <c r="D180" s="1692" t="s">
        <v>1121</v>
      </c>
      <c r="E180" s="1692" t="s">
        <v>1121</v>
      </c>
      <c r="F180" s="1692" t="s">
        <v>1121</v>
      </c>
      <c r="G180" s="1692" t="s">
        <v>1121</v>
      </c>
      <c r="H180" s="1693" t="s">
        <v>1121</v>
      </c>
      <c r="I180" s="1692" t="s">
        <v>1121</v>
      </c>
      <c r="J180" s="1692" t="s">
        <v>1121</v>
      </c>
      <c r="K180" s="1695">
        <v>0</v>
      </c>
    </row>
    <row r="181" spans="1:11">
      <c r="A181" s="98" t="s">
        <v>1052</v>
      </c>
      <c r="B181" s="1687" t="s">
        <v>2115</v>
      </c>
      <c r="C181" s="1692" t="s">
        <v>1121</v>
      </c>
      <c r="D181" s="1692" t="s">
        <v>1121</v>
      </c>
      <c r="E181" s="1692" t="s">
        <v>1121</v>
      </c>
      <c r="F181" s="1692" t="s">
        <v>1121</v>
      </c>
      <c r="G181" s="1692" t="s">
        <v>1121</v>
      </c>
      <c r="H181" s="1693" t="s">
        <v>1121</v>
      </c>
      <c r="I181" s="1692" t="s">
        <v>1121</v>
      </c>
      <c r="J181" s="1692" t="s">
        <v>1121</v>
      </c>
      <c r="K181" s="1695">
        <v>0</v>
      </c>
    </row>
    <row r="182" spans="1:11">
      <c r="A182" s="98" t="s">
        <v>217</v>
      </c>
      <c r="B182" s="1687" t="s">
        <v>921</v>
      </c>
      <c r="C182" s="1692" t="s">
        <v>1121</v>
      </c>
      <c r="D182" s="1692" t="s">
        <v>1121</v>
      </c>
      <c r="E182" s="1692" t="s">
        <v>1121</v>
      </c>
      <c r="F182" s="1692" t="s">
        <v>1121</v>
      </c>
      <c r="G182" s="1692" t="s">
        <v>1121</v>
      </c>
      <c r="H182" s="1693" t="s">
        <v>1121</v>
      </c>
      <c r="I182" s="1692" t="s">
        <v>1121</v>
      </c>
      <c r="J182" s="1692" t="s">
        <v>1121</v>
      </c>
      <c r="K182" s="1695">
        <v>0</v>
      </c>
    </row>
    <row r="183" spans="1:11">
      <c r="A183" s="98" t="s">
        <v>1053</v>
      </c>
      <c r="B183" s="1687" t="s">
        <v>2116</v>
      </c>
      <c r="C183" s="1692" t="s">
        <v>1121</v>
      </c>
      <c r="D183" s="1692" t="s">
        <v>1121</v>
      </c>
      <c r="E183" s="1692" t="s">
        <v>1121</v>
      </c>
      <c r="F183" s="1692" t="s">
        <v>1121</v>
      </c>
      <c r="G183" s="1692" t="s">
        <v>1121</v>
      </c>
      <c r="H183" s="1693" t="s">
        <v>1121</v>
      </c>
      <c r="I183" s="1692" t="s">
        <v>1121</v>
      </c>
      <c r="J183" s="1692" t="s">
        <v>1121</v>
      </c>
      <c r="K183" s="1695">
        <v>0</v>
      </c>
    </row>
    <row r="184" spans="1:11">
      <c r="A184" s="98" t="s">
        <v>45</v>
      </c>
      <c r="B184" s="1687" t="s">
        <v>2116</v>
      </c>
      <c r="C184" s="1692" t="s">
        <v>1121</v>
      </c>
      <c r="D184" s="1692" t="s">
        <v>1121</v>
      </c>
      <c r="E184" s="1692" t="s">
        <v>1121</v>
      </c>
      <c r="F184" s="1692" t="s">
        <v>1121</v>
      </c>
      <c r="G184" s="1692" t="s">
        <v>1121</v>
      </c>
      <c r="H184" s="1693" t="s">
        <v>1121</v>
      </c>
      <c r="I184" s="1692" t="s">
        <v>1121</v>
      </c>
      <c r="J184" s="1692" t="s">
        <v>1121</v>
      </c>
      <c r="K184" s="1695">
        <v>0</v>
      </c>
    </row>
    <row r="185" spans="1:11">
      <c r="A185" s="39" t="s">
        <v>1054</v>
      </c>
      <c r="B185" s="1687" t="s">
        <v>921</v>
      </c>
      <c r="C185" s="1692" t="s">
        <v>1121</v>
      </c>
      <c r="D185" s="1692" t="s">
        <v>1121</v>
      </c>
      <c r="E185" s="1692" t="s">
        <v>1121</v>
      </c>
      <c r="F185" s="1692" t="s">
        <v>1121</v>
      </c>
      <c r="G185" s="1692" t="s">
        <v>1121</v>
      </c>
      <c r="H185" s="1693" t="s">
        <v>1121</v>
      </c>
      <c r="I185" s="1692" t="s">
        <v>1121</v>
      </c>
      <c r="J185" s="1692" t="s">
        <v>1121</v>
      </c>
      <c r="K185" s="1695">
        <v>0</v>
      </c>
    </row>
    <row r="186" spans="1:11">
      <c r="A186" s="98" t="s">
        <v>1055</v>
      </c>
      <c r="B186" s="1687" t="s">
        <v>2117</v>
      </c>
      <c r="C186" s="1692" t="s">
        <v>1121</v>
      </c>
      <c r="D186" s="1692" t="s">
        <v>1121</v>
      </c>
      <c r="E186" s="1692" t="s">
        <v>1121</v>
      </c>
      <c r="F186" s="1692" t="s">
        <v>1121</v>
      </c>
      <c r="G186" s="1692" t="s">
        <v>1121</v>
      </c>
      <c r="H186" s="1693" t="s">
        <v>1121</v>
      </c>
      <c r="I186" s="1692" t="s">
        <v>1121</v>
      </c>
      <c r="J186" s="1692" t="s">
        <v>1121</v>
      </c>
      <c r="K186" s="1695">
        <v>0</v>
      </c>
    </row>
    <row r="187" spans="1:11">
      <c r="A187" s="98" t="s">
        <v>550</v>
      </c>
      <c r="B187" s="1687" t="s">
        <v>921</v>
      </c>
      <c r="C187" s="1692" t="s">
        <v>1121</v>
      </c>
      <c r="D187" s="1692" t="s">
        <v>1121</v>
      </c>
      <c r="E187" s="1692" t="s">
        <v>1121</v>
      </c>
      <c r="F187" s="1692" t="s">
        <v>1121</v>
      </c>
      <c r="G187" s="1692" t="s">
        <v>1121</v>
      </c>
      <c r="H187" s="1693" t="s">
        <v>1121</v>
      </c>
      <c r="I187" s="1692" t="s">
        <v>1121</v>
      </c>
      <c r="J187" s="1692" t="s">
        <v>1121</v>
      </c>
      <c r="K187" s="1695">
        <v>0</v>
      </c>
    </row>
    <row r="188" spans="1:11">
      <c r="A188" s="98" t="s">
        <v>220</v>
      </c>
      <c r="B188" s="1687" t="s">
        <v>921</v>
      </c>
      <c r="C188" s="1692" t="s">
        <v>1121</v>
      </c>
      <c r="D188" s="1692" t="s">
        <v>1121</v>
      </c>
      <c r="E188" s="1692" t="s">
        <v>1121</v>
      </c>
      <c r="F188" s="1692" t="s">
        <v>1121</v>
      </c>
      <c r="G188" s="1692" t="s">
        <v>1121</v>
      </c>
      <c r="H188" s="1693" t="s">
        <v>1121</v>
      </c>
      <c r="I188" s="1692" t="s">
        <v>1121</v>
      </c>
      <c r="J188" s="1692" t="s">
        <v>1121</v>
      </c>
      <c r="K188" s="1695">
        <v>0</v>
      </c>
    </row>
    <row r="189" spans="1:11">
      <c r="A189" s="98" t="s">
        <v>95</v>
      </c>
      <c r="B189" s="1687" t="s">
        <v>918</v>
      </c>
      <c r="C189" s="1692">
        <v>800</v>
      </c>
      <c r="D189" s="1692">
        <v>2687</v>
      </c>
      <c r="E189" s="1692">
        <v>1367</v>
      </c>
      <c r="F189" s="1692">
        <v>122398</v>
      </c>
      <c r="G189" s="1692">
        <v>71215</v>
      </c>
      <c r="H189" s="1693">
        <v>86637</v>
      </c>
      <c r="I189" s="1692">
        <v>0</v>
      </c>
      <c r="J189" s="1692">
        <v>0</v>
      </c>
      <c r="K189" s="1695">
        <v>0</v>
      </c>
    </row>
    <row r="190" spans="1:11">
      <c r="A190" s="98" t="s">
        <v>96</v>
      </c>
      <c r="B190" s="1687" t="s">
        <v>918</v>
      </c>
      <c r="C190" s="1692">
        <v>2160</v>
      </c>
      <c r="D190" s="1692">
        <v>5166</v>
      </c>
      <c r="E190" s="1692">
        <v>3356</v>
      </c>
      <c r="F190" s="1692">
        <v>79856</v>
      </c>
      <c r="G190" s="1692">
        <v>33046</v>
      </c>
      <c r="H190" s="1693">
        <v>38740</v>
      </c>
      <c r="I190" s="1692">
        <v>0</v>
      </c>
      <c r="J190" s="1692">
        <v>0</v>
      </c>
      <c r="K190" s="1695">
        <v>0</v>
      </c>
    </row>
    <row r="191" spans="1:11">
      <c r="A191" s="98" t="s">
        <v>259</v>
      </c>
      <c r="B191" s="1687" t="s">
        <v>2115</v>
      </c>
      <c r="C191" s="1692" t="s">
        <v>1121</v>
      </c>
      <c r="D191" s="1692" t="s">
        <v>1121</v>
      </c>
      <c r="E191" s="1692" t="s">
        <v>1121</v>
      </c>
      <c r="F191" s="1692" t="s">
        <v>1121</v>
      </c>
      <c r="G191" s="1692" t="s">
        <v>1121</v>
      </c>
      <c r="H191" s="1693" t="s">
        <v>1121</v>
      </c>
      <c r="I191" s="1692" t="s">
        <v>1121</v>
      </c>
      <c r="J191" s="1692" t="s">
        <v>1121</v>
      </c>
      <c r="K191" s="1695">
        <v>0</v>
      </c>
    </row>
    <row r="192" spans="1:11">
      <c r="A192" s="98" t="s">
        <v>1056</v>
      </c>
      <c r="B192" s="1687" t="s">
        <v>2116</v>
      </c>
      <c r="C192" s="1692" t="s">
        <v>1121</v>
      </c>
      <c r="D192" s="1692" t="s">
        <v>1121</v>
      </c>
      <c r="E192" s="1692" t="s">
        <v>1121</v>
      </c>
      <c r="F192" s="1692" t="s">
        <v>1121</v>
      </c>
      <c r="G192" s="1692" t="s">
        <v>1121</v>
      </c>
      <c r="H192" s="1693" t="s">
        <v>1121</v>
      </c>
      <c r="I192" s="1692" t="s">
        <v>1121</v>
      </c>
      <c r="J192" s="1692" t="s">
        <v>1121</v>
      </c>
      <c r="K192" s="1695">
        <v>0</v>
      </c>
    </row>
    <row r="193" spans="1:11">
      <c r="A193" s="98" t="s">
        <v>1464</v>
      </c>
      <c r="B193" s="1687" t="s">
        <v>918</v>
      </c>
      <c r="C193" s="1692">
        <v>11647</v>
      </c>
      <c r="D193" s="1692">
        <v>0</v>
      </c>
      <c r="E193" s="1692">
        <v>0</v>
      </c>
      <c r="F193" s="1692">
        <v>189313.20380349999</v>
      </c>
      <c r="G193" s="1692">
        <v>0</v>
      </c>
      <c r="H193" s="1693">
        <v>0</v>
      </c>
      <c r="I193" s="1692">
        <v>0</v>
      </c>
      <c r="J193" s="1692">
        <v>0</v>
      </c>
      <c r="K193" s="1695">
        <v>0</v>
      </c>
    </row>
    <row r="194" spans="1:11">
      <c r="A194" s="98" t="s">
        <v>1465</v>
      </c>
      <c r="B194" s="1687" t="s">
        <v>918</v>
      </c>
      <c r="C194" s="1692">
        <v>7537</v>
      </c>
      <c r="D194" s="1692">
        <v>0</v>
      </c>
      <c r="E194" s="1692">
        <v>0</v>
      </c>
      <c r="F194" s="1692">
        <v>198494.2864325</v>
      </c>
      <c r="G194" s="1692">
        <v>0</v>
      </c>
      <c r="H194" s="1693">
        <v>0</v>
      </c>
      <c r="I194" s="1692">
        <v>0</v>
      </c>
      <c r="J194" s="1692">
        <v>0</v>
      </c>
      <c r="K194" s="1695">
        <v>0</v>
      </c>
    </row>
    <row r="195" spans="1:11">
      <c r="A195" s="98" t="s">
        <v>1057</v>
      </c>
      <c r="B195" s="1687">
        <v>0</v>
      </c>
      <c r="C195" s="1692" t="s">
        <v>1121</v>
      </c>
      <c r="D195" s="1692" t="s">
        <v>1121</v>
      </c>
      <c r="E195" s="1692" t="s">
        <v>1121</v>
      </c>
      <c r="F195" s="1692" t="s">
        <v>1121</v>
      </c>
      <c r="G195" s="1692" t="s">
        <v>1121</v>
      </c>
      <c r="H195" s="1693" t="s">
        <v>1121</v>
      </c>
      <c r="I195" s="1692" t="s">
        <v>1121</v>
      </c>
      <c r="J195" s="1692" t="s">
        <v>1121</v>
      </c>
      <c r="K195" s="1695">
        <v>0</v>
      </c>
    </row>
    <row r="196" spans="1:11">
      <c r="A196" s="98" t="s">
        <v>1058</v>
      </c>
      <c r="B196" s="1687" t="s">
        <v>921</v>
      </c>
      <c r="C196" s="1692" t="s">
        <v>1121</v>
      </c>
      <c r="D196" s="1692" t="s">
        <v>1121</v>
      </c>
      <c r="E196" s="1692" t="s">
        <v>1121</v>
      </c>
      <c r="F196" s="1692" t="s">
        <v>1121</v>
      </c>
      <c r="G196" s="1692" t="s">
        <v>1121</v>
      </c>
      <c r="H196" s="1693" t="s">
        <v>1121</v>
      </c>
      <c r="I196" s="1692" t="s">
        <v>1121</v>
      </c>
      <c r="J196" s="1692" t="s">
        <v>1121</v>
      </c>
      <c r="K196" s="1695">
        <v>0</v>
      </c>
    </row>
    <row r="197" spans="1:11">
      <c r="A197" s="98" t="s">
        <v>223</v>
      </c>
      <c r="B197" s="1687" t="s">
        <v>2123</v>
      </c>
      <c r="C197" s="1692" t="s">
        <v>1121</v>
      </c>
      <c r="D197" s="1692" t="s">
        <v>1121</v>
      </c>
      <c r="E197" s="1692" t="s">
        <v>1121</v>
      </c>
      <c r="F197" s="1692" t="s">
        <v>1121</v>
      </c>
      <c r="G197" s="1692" t="s">
        <v>1121</v>
      </c>
      <c r="H197" s="1693" t="s">
        <v>1121</v>
      </c>
      <c r="I197" s="1692" t="s">
        <v>1121</v>
      </c>
      <c r="J197" s="1692" t="s">
        <v>1121</v>
      </c>
      <c r="K197" s="1695">
        <v>0</v>
      </c>
    </row>
    <row r="198" spans="1:11">
      <c r="A198" s="98" t="s">
        <v>1466</v>
      </c>
      <c r="B198" s="1687" t="s">
        <v>921</v>
      </c>
      <c r="C198" s="1692">
        <v>1200</v>
      </c>
      <c r="D198" s="1692">
        <v>534.26277372262768</v>
      </c>
      <c r="E198" s="1692">
        <v>0</v>
      </c>
      <c r="F198" s="1692">
        <v>13553.121977000001</v>
      </c>
      <c r="G198" s="1692">
        <v>0</v>
      </c>
      <c r="H198" s="1693">
        <v>0</v>
      </c>
      <c r="I198" s="1692">
        <v>0</v>
      </c>
      <c r="J198" s="1692">
        <v>0</v>
      </c>
      <c r="K198" s="1695">
        <v>0</v>
      </c>
    </row>
    <row r="199" spans="1:11">
      <c r="A199" s="98" t="s">
        <v>1060</v>
      </c>
      <c r="B199" s="1687" t="s">
        <v>2122</v>
      </c>
      <c r="C199" s="1692" t="s">
        <v>1121</v>
      </c>
      <c r="D199" s="1692" t="s">
        <v>1121</v>
      </c>
      <c r="E199" s="1692" t="s">
        <v>1121</v>
      </c>
      <c r="F199" s="1692" t="s">
        <v>1121</v>
      </c>
      <c r="G199" s="1692" t="s">
        <v>1121</v>
      </c>
      <c r="H199" s="1693" t="s">
        <v>1121</v>
      </c>
      <c r="I199" s="1692" t="s">
        <v>1121</v>
      </c>
      <c r="J199" s="1692" t="s">
        <v>1121</v>
      </c>
      <c r="K199" s="1695">
        <v>0</v>
      </c>
    </row>
    <row r="200" spans="1:11">
      <c r="A200" s="98" t="s">
        <v>1355</v>
      </c>
      <c r="B200" s="1687" t="s">
        <v>2122</v>
      </c>
      <c r="C200" s="1692" t="s">
        <v>1121</v>
      </c>
      <c r="D200" s="1692" t="s">
        <v>1121</v>
      </c>
      <c r="E200" s="1692" t="s">
        <v>1121</v>
      </c>
      <c r="F200" s="1692" t="s">
        <v>1121</v>
      </c>
      <c r="G200" s="1692" t="s">
        <v>1121</v>
      </c>
      <c r="H200" s="1693" t="s">
        <v>1121</v>
      </c>
      <c r="I200" s="1692" t="s">
        <v>1121</v>
      </c>
      <c r="J200" s="1692" t="s">
        <v>1121</v>
      </c>
      <c r="K200" s="1695">
        <v>0</v>
      </c>
    </row>
    <row r="201" spans="1:11">
      <c r="A201" s="98" t="s">
        <v>1612</v>
      </c>
      <c r="B201" s="1687" t="s">
        <v>2116</v>
      </c>
      <c r="C201" s="1692" t="s">
        <v>1121</v>
      </c>
      <c r="D201" s="1692" t="s">
        <v>1121</v>
      </c>
      <c r="E201" s="1692" t="s">
        <v>1121</v>
      </c>
      <c r="F201" s="1692" t="s">
        <v>1121</v>
      </c>
      <c r="G201" s="1692" t="s">
        <v>1121</v>
      </c>
      <c r="H201" s="1693" t="s">
        <v>1121</v>
      </c>
      <c r="I201" s="1692" t="s">
        <v>1121</v>
      </c>
      <c r="J201" s="1692" t="s">
        <v>1121</v>
      </c>
      <c r="K201" s="1695">
        <v>0</v>
      </c>
    </row>
    <row r="202" spans="1:11">
      <c r="A202" s="98" t="s">
        <v>1467</v>
      </c>
      <c r="B202" s="1687" t="s">
        <v>2120</v>
      </c>
      <c r="C202" s="1692">
        <v>3072</v>
      </c>
      <c r="D202" s="1692">
        <v>4645.3401459854013</v>
      </c>
      <c r="E202" s="1692">
        <v>0</v>
      </c>
      <c r="F202" s="1692">
        <v>88161.293444499985</v>
      </c>
      <c r="G202" s="1692">
        <v>0</v>
      </c>
      <c r="H202" s="1693">
        <v>0</v>
      </c>
      <c r="I202" s="1692">
        <v>0</v>
      </c>
      <c r="J202" s="1692">
        <v>0</v>
      </c>
      <c r="K202" s="1695">
        <v>0</v>
      </c>
    </row>
    <row r="203" spans="1:11">
      <c r="A203" s="98" t="s">
        <v>409</v>
      </c>
      <c r="B203" s="1687" t="s">
        <v>2115</v>
      </c>
      <c r="C203" s="1692" t="s">
        <v>1121</v>
      </c>
      <c r="D203" s="1692" t="s">
        <v>1121</v>
      </c>
      <c r="E203" s="1692" t="s">
        <v>1121</v>
      </c>
      <c r="F203" s="1692" t="s">
        <v>1121</v>
      </c>
      <c r="G203" s="1692" t="s">
        <v>1121</v>
      </c>
      <c r="H203" s="1693" t="s">
        <v>1121</v>
      </c>
      <c r="I203" s="1692" t="s">
        <v>1121</v>
      </c>
      <c r="J203" s="1692" t="s">
        <v>1121</v>
      </c>
      <c r="K203" s="1695">
        <v>0</v>
      </c>
    </row>
    <row r="204" spans="1:11">
      <c r="A204" s="98" t="s">
        <v>190</v>
      </c>
      <c r="B204" s="1687" t="s">
        <v>2123</v>
      </c>
      <c r="C204" s="1692" t="s">
        <v>1121</v>
      </c>
      <c r="D204" s="1692" t="s">
        <v>1121</v>
      </c>
      <c r="E204" s="1692" t="s">
        <v>1121</v>
      </c>
      <c r="F204" s="1692" t="s">
        <v>1121</v>
      </c>
      <c r="G204" s="1692" t="s">
        <v>1121</v>
      </c>
      <c r="H204" s="1693" t="s">
        <v>1121</v>
      </c>
      <c r="I204" s="1692" t="s">
        <v>1121</v>
      </c>
      <c r="J204" s="1692" t="s">
        <v>1121</v>
      </c>
      <c r="K204" s="1695">
        <v>0</v>
      </c>
    </row>
    <row r="205" spans="1:11">
      <c r="A205" s="98" t="s">
        <v>34</v>
      </c>
      <c r="B205" s="1687" t="s">
        <v>2115</v>
      </c>
      <c r="C205" s="1692" t="s">
        <v>1121</v>
      </c>
      <c r="D205" s="1692" t="s">
        <v>1121</v>
      </c>
      <c r="E205" s="1692" t="s">
        <v>1121</v>
      </c>
      <c r="F205" s="1692" t="s">
        <v>1121</v>
      </c>
      <c r="G205" s="1692" t="s">
        <v>1121</v>
      </c>
      <c r="H205" s="1693" t="s">
        <v>1121</v>
      </c>
      <c r="I205" s="1692" t="s">
        <v>1121</v>
      </c>
      <c r="J205" s="1692" t="s">
        <v>1121</v>
      </c>
      <c r="K205" s="1695" t="s">
        <v>596</v>
      </c>
    </row>
    <row r="206" spans="1:11">
      <c r="A206" s="98" t="s">
        <v>97</v>
      </c>
      <c r="B206" s="1687" t="s">
        <v>918</v>
      </c>
      <c r="C206" s="1692">
        <v>944</v>
      </c>
      <c r="D206" s="1692">
        <v>2340</v>
      </c>
      <c r="E206" s="1692">
        <v>457</v>
      </c>
      <c r="F206" s="1692">
        <v>33713</v>
      </c>
      <c r="G206" s="1692">
        <v>29762</v>
      </c>
      <c r="H206" s="1693">
        <v>5546</v>
      </c>
      <c r="I206" s="1692">
        <v>0</v>
      </c>
      <c r="J206" s="1692">
        <v>0</v>
      </c>
      <c r="K206" s="1695">
        <v>0</v>
      </c>
    </row>
    <row r="207" spans="1:11">
      <c r="A207" s="98" t="s">
        <v>1061</v>
      </c>
      <c r="B207" s="1687" t="s">
        <v>921</v>
      </c>
      <c r="C207" s="1692" t="s">
        <v>1121</v>
      </c>
      <c r="D207" s="1692" t="s">
        <v>1121</v>
      </c>
      <c r="E207" s="1692" t="s">
        <v>1121</v>
      </c>
      <c r="F207" s="1692" t="s">
        <v>1121</v>
      </c>
      <c r="G207" s="1692" t="s">
        <v>1121</v>
      </c>
      <c r="H207" s="1693" t="s">
        <v>1121</v>
      </c>
      <c r="I207" s="1692" t="s">
        <v>1121</v>
      </c>
      <c r="J207" s="1692" t="s">
        <v>1121</v>
      </c>
      <c r="K207" s="1695">
        <v>0</v>
      </c>
    </row>
    <row r="208" spans="1:11">
      <c r="A208" s="98" t="s">
        <v>1062</v>
      </c>
      <c r="B208" s="1687" t="s">
        <v>918</v>
      </c>
      <c r="C208" s="1692">
        <v>2160</v>
      </c>
      <c r="D208" s="1692">
        <v>2360.5839416058393</v>
      </c>
      <c r="E208" s="1692">
        <v>0</v>
      </c>
      <c r="F208" s="1692">
        <v>38335.345014999999</v>
      </c>
      <c r="G208" s="1692">
        <v>0</v>
      </c>
      <c r="H208" s="1693">
        <v>0</v>
      </c>
      <c r="I208" s="1692">
        <v>0</v>
      </c>
      <c r="J208" s="1692">
        <v>0</v>
      </c>
      <c r="K208" s="1695">
        <v>0</v>
      </c>
    </row>
    <row r="209" spans="1:11">
      <c r="A209" s="98" t="s">
        <v>1063</v>
      </c>
      <c r="B209" s="1687" t="s">
        <v>931</v>
      </c>
      <c r="C209" s="1692" t="s">
        <v>1121</v>
      </c>
      <c r="D209" s="1692" t="s">
        <v>1121</v>
      </c>
      <c r="E209" s="1692" t="s">
        <v>1121</v>
      </c>
      <c r="F209" s="1692" t="s">
        <v>1121</v>
      </c>
      <c r="G209" s="1692" t="s">
        <v>1121</v>
      </c>
      <c r="H209" s="1693" t="s">
        <v>1121</v>
      </c>
      <c r="I209" s="1692" t="s">
        <v>1121</v>
      </c>
      <c r="J209" s="1692" t="s">
        <v>1121</v>
      </c>
      <c r="K209" s="1695">
        <v>0</v>
      </c>
    </row>
    <row r="210" spans="1:11">
      <c r="A210" s="98" t="s">
        <v>1064</v>
      </c>
      <c r="B210" s="1687" t="s">
        <v>921</v>
      </c>
      <c r="C210" s="1692" t="s">
        <v>1121</v>
      </c>
      <c r="D210" s="1692" t="s">
        <v>1121</v>
      </c>
      <c r="E210" s="1692" t="s">
        <v>1121</v>
      </c>
      <c r="F210" s="1692" t="s">
        <v>1121</v>
      </c>
      <c r="G210" s="1692" t="s">
        <v>1121</v>
      </c>
      <c r="H210" s="1693" t="s">
        <v>1121</v>
      </c>
      <c r="I210" s="1692" t="s">
        <v>1121</v>
      </c>
      <c r="J210" s="1692" t="s">
        <v>1121</v>
      </c>
      <c r="K210" s="1695">
        <v>0</v>
      </c>
    </row>
    <row r="211" spans="1:11">
      <c r="A211" s="98" t="s">
        <v>1368</v>
      </c>
      <c r="B211" s="1687" t="s">
        <v>2116</v>
      </c>
      <c r="C211" s="1692" t="s">
        <v>1121</v>
      </c>
      <c r="D211" s="1692" t="s">
        <v>1121</v>
      </c>
      <c r="E211" s="1692" t="s">
        <v>1121</v>
      </c>
      <c r="F211" s="1692" t="s">
        <v>1121</v>
      </c>
      <c r="G211" s="1692" t="s">
        <v>1121</v>
      </c>
      <c r="H211" s="1693" t="s">
        <v>1121</v>
      </c>
      <c r="I211" s="1692" t="s">
        <v>1121</v>
      </c>
      <c r="J211" s="1692" t="s">
        <v>1121</v>
      </c>
      <c r="K211" s="1695">
        <v>0</v>
      </c>
    </row>
    <row r="212" spans="1:11">
      <c r="A212" s="98" t="s">
        <v>227</v>
      </c>
      <c r="B212" s="1687" t="s">
        <v>921</v>
      </c>
      <c r="C212" s="1692">
        <v>0</v>
      </c>
      <c r="D212" s="1692">
        <v>0</v>
      </c>
      <c r="E212" s="1692">
        <v>0</v>
      </c>
      <c r="F212" s="1692">
        <v>0</v>
      </c>
      <c r="G212" s="1692">
        <v>0</v>
      </c>
      <c r="H212" s="1693">
        <v>0</v>
      </c>
      <c r="I212" s="1692">
        <v>0</v>
      </c>
      <c r="J212" s="1692">
        <v>0</v>
      </c>
      <c r="K212" s="1695">
        <v>0</v>
      </c>
    </row>
    <row r="213" spans="1:11">
      <c r="A213" s="98" t="s">
        <v>98</v>
      </c>
      <c r="B213" s="1687" t="s">
        <v>931</v>
      </c>
      <c r="C213" s="1692">
        <v>1722</v>
      </c>
      <c r="D213" s="1692">
        <v>9626</v>
      </c>
      <c r="E213" s="1692">
        <v>333</v>
      </c>
      <c r="F213" s="1692">
        <v>166485</v>
      </c>
      <c r="G213" s="1692">
        <v>158007</v>
      </c>
      <c r="H213" s="1693">
        <v>330630</v>
      </c>
      <c r="I213" s="1692">
        <v>0</v>
      </c>
      <c r="J213" s="1692">
        <v>0</v>
      </c>
      <c r="K213" s="1695">
        <v>0</v>
      </c>
    </row>
    <row r="214" spans="1:11">
      <c r="A214" s="98" t="s">
        <v>1066</v>
      </c>
      <c r="B214" s="1687" t="s">
        <v>921</v>
      </c>
      <c r="C214" s="1692" t="s">
        <v>1121</v>
      </c>
      <c r="D214" s="1692" t="s">
        <v>1121</v>
      </c>
      <c r="E214" s="1692" t="s">
        <v>1121</v>
      </c>
      <c r="F214" s="1692" t="s">
        <v>1121</v>
      </c>
      <c r="G214" s="1692" t="s">
        <v>1121</v>
      </c>
      <c r="H214" s="1693" t="s">
        <v>1121</v>
      </c>
      <c r="I214" s="1692" t="s">
        <v>1121</v>
      </c>
      <c r="J214" s="1692" t="s">
        <v>1121</v>
      </c>
      <c r="K214" s="1695">
        <v>0</v>
      </c>
    </row>
    <row r="215" spans="1:11">
      <c r="A215" s="98" t="s">
        <v>99</v>
      </c>
      <c r="B215" s="1687" t="s">
        <v>918</v>
      </c>
      <c r="C215" s="1692" t="s">
        <v>1121</v>
      </c>
      <c r="D215" s="1692" t="s">
        <v>1121</v>
      </c>
      <c r="E215" s="1692" t="s">
        <v>1121</v>
      </c>
      <c r="F215" s="1692" t="s">
        <v>1121</v>
      </c>
      <c r="G215" s="1692" t="s">
        <v>1121</v>
      </c>
      <c r="H215" s="1693" t="s">
        <v>1121</v>
      </c>
      <c r="I215" s="1692" t="s">
        <v>1121</v>
      </c>
      <c r="J215" s="1692" t="s">
        <v>1121</v>
      </c>
      <c r="K215" s="1695">
        <v>0</v>
      </c>
    </row>
    <row r="216" spans="1:11">
      <c r="A216" s="98" t="s">
        <v>100</v>
      </c>
      <c r="B216" s="1687" t="s">
        <v>931</v>
      </c>
      <c r="C216" s="1692">
        <v>6820</v>
      </c>
      <c r="D216" s="1692">
        <v>15595</v>
      </c>
      <c r="E216" s="1692">
        <v>9703.2733118971064</v>
      </c>
      <c r="F216" s="1692">
        <v>734410</v>
      </c>
      <c r="G216" s="1692">
        <v>402276</v>
      </c>
      <c r="H216" s="1693">
        <v>508955</v>
      </c>
      <c r="I216" s="1692">
        <v>0</v>
      </c>
      <c r="J216" s="1692">
        <v>0</v>
      </c>
      <c r="K216" s="1695">
        <v>0</v>
      </c>
    </row>
    <row r="217" spans="1:11">
      <c r="A217" s="98" t="s">
        <v>1067</v>
      </c>
      <c r="B217" s="1687" t="s">
        <v>921</v>
      </c>
      <c r="C217" s="1692" t="s">
        <v>1121</v>
      </c>
      <c r="D217" s="1692" t="s">
        <v>1121</v>
      </c>
      <c r="E217" s="1692" t="s">
        <v>1121</v>
      </c>
      <c r="F217" s="1692" t="s">
        <v>1121</v>
      </c>
      <c r="G217" s="1692" t="s">
        <v>1121</v>
      </c>
      <c r="H217" s="1693" t="s">
        <v>1121</v>
      </c>
      <c r="I217" s="1692" t="s">
        <v>1121</v>
      </c>
      <c r="J217" s="1692" t="s">
        <v>1121</v>
      </c>
      <c r="K217" s="1695">
        <v>0</v>
      </c>
    </row>
    <row r="218" spans="1:11">
      <c r="A218" s="98" t="s">
        <v>101</v>
      </c>
      <c r="B218" s="1687">
        <v>0</v>
      </c>
      <c r="C218" s="1692" t="s">
        <v>1121</v>
      </c>
      <c r="D218" s="1692" t="s">
        <v>1121</v>
      </c>
      <c r="E218" s="1692" t="s">
        <v>1121</v>
      </c>
      <c r="F218" s="1692" t="s">
        <v>1121</v>
      </c>
      <c r="G218" s="1692" t="s">
        <v>1121</v>
      </c>
      <c r="H218" s="1693" t="s">
        <v>1121</v>
      </c>
      <c r="I218" s="1692" t="s">
        <v>1121</v>
      </c>
      <c r="J218" s="1692" t="s">
        <v>1121</v>
      </c>
      <c r="K218" s="1695">
        <v>0</v>
      </c>
    </row>
    <row r="219" spans="1:11">
      <c r="A219" s="98" t="s">
        <v>102</v>
      </c>
      <c r="B219" s="1687" t="s">
        <v>2124</v>
      </c>
      <c r="C219" s="1692">
        <v>4224</v>
      </c>
      <c r="D219" s="1692">
        <v>25029.671532846718</v>
      </c>
      <c r="E219" s="1692">
        <v>407</v>
      </c>
      <c r="F219" s="1692">
        <v>80988.361999999994</v>
      </c>
      <c r="G219" s="1692">
        <v>37637</v>
      </c>
      <c r="H219" s="1693">
        <v>326222</v>
      </c>
      <c r="I219" s="1692">
        <v>0</v>
      </c>
      <c r="J219" s="1692">
        <v>0</v>
      </c>
      <c r="K219" s="1695">
        <v>0</v>
      </c>
    </row>
    <row r="220" spans="1:11">
      <c r="A220" s="98" t="s">
        <v>103</v>
      </c>
      <c r="B220" s="1687" t="s">
        <v>2119</v>
      </c>
      <c r="C220" s="1692" t="s">
        <v>1121</v>
      </c>
      <c r="D220" s="1692" t="s">
        <v>1121</v>
      </c>
      <c r="E220" s="1692" t="s">
        <v>1121</v>
      </c>
      <c r="F220" s="1692" t="s">
        <v>1121</v>
      </c>
      <c r="G220" s="1692" t="s">
        <v>1121</v>
      </c>
      <c r="H220" s="1693" t="s">
        <v>1121</v>
      </c>
      <c r="I220" s="1692" t="s">
        <v>1121</v>
      </c>
      <c r="J220" s="1692" t="s">
        <v>1121</v>
      </c>
      <c r="K220" s="1695">
        <v>0</v>
      </c>
    </row>
    <row r="221" spans="1:11">
      <c r="A221" s="98" t="s">
        <v>32</v>
      </c>
      <c r="B221" s="1687" t="s">
        <v>918</v>
      </c>
      <c r="C221" s="1692" t="s">
        <v>1121</v>
      </c>
      <c r="D221" s="1692" t="s">
        <v>1121</v>
      </c>
      <c r="E221" s="1692" t="s">
        <v>1121</v>
      </c>
      <c r="F221" s="1692" t="s">
        <v>1121</v>
      </c>
      <c r="G221" s="1692" t="s">
        <v>1121</v>
      </c>
      <c r="H221" s="1693" t="s">
        <v>1121</v>
      </c>
      <c r="I221" s="1692" t="s">
        <v>1121</v>
      </c>
      <c r="J221" s="1692" t="s">
        <v>1121</v>
      </c>
      <c r="K221" s="1695">
        <v>0</v>
      </c>
    </row>
    <row r="222" spans="1:11">
      <c r="A222" s="98" t="s">
        <v>1468</v>
      </c>
      <c r="B222" s="1687" t="s">
        <v>921</v>
      </c>
      <c r="C222" s="1692">
        <v>17100</v>
      </c>
      <c r="D222" s="1692">
        <v>11562.043795620439</v>
      </c>
      <c r="E222" s="1692">
        <v>0</v>
      </c>
      <c r="F222" s="1692">
        <v>474844.27355999994</v>
      </c>
      <c r="G222" s="1692">
        <v>0</v>
      </c>
      <c r="H222" s="1693">
        <v>0</v>
      </c>
      <c r="I222" s="1692">
        <v>0</v>
      </c>
      <c r="J222" s="1692">
        <v>0</v>
      </c>
      <c r="K222" s="1695">
        <v>0</v>
      </c>
    </row>
    <row r="223" spans="1:11">
      <c r="A223" s="98" t="s">
        <v>1470</v>
      </c>
      <c r="B223" s="1687" t="s">
        <v>921</v>
      </c>
      <c r="C223" s="1692">
        <v>7700</v>
      </c>
      <c r="D223" s="1692">
        <v>7665.63503649635</v>
      </c>
      <c r="E223" s="1692">
        <v>0</v>
      </c>
      <c r="F223" s="1692">
        <v>145441.30895999999</v>
      </c>
      <c r="G223" s="1692">
        <v>0</v>
      </c>
      <c r="H223" s="1693">
        <v>0</v>
      </c>
      <c r="I223" s="1692">
        <v>0</v>
      </c>
      <c r="J223" s="1692">
        <v>0</v>
      </c>
      <c r="K223" s="1695">
        <v>0</v>
      </c>
    </row>
    <row r="224" spans="1:11">
      <c r="A224" s="98" t="s">
        <v>253</v>
      </c>
      <c r="B224" s="1687" t="s">
        <v>2116</v>
      </c>
      <c r="C224" s="1692" t="s">
        <v>1121</v>
      </c>
      <c r="D224" s="1692" t="s">
        <v>1121</v>
      </c>
      <c r="E224" s="1692" t="s">
        <v>1121</v>
      </c>
      <c r="F224" s="1692" t="s">
        <v>1121</v>
      </c>
      <c r="G224" s="1692" t="s">
        <v>1121</v>
      </c>
      <c r="H224" s="1693" t="s">
        <v>1121</v>
      </c>
      <c r="I224" s="1692" t="s">
        <v>1121</v>
      </c>
      <c r="J224" s="1692" t="s">
        <v>1121</v>
      </c>
      <c r="K224" s="1695">
        <v>0</v>
      </c>
    </row>
    <row r="225" spans="1:12">
      <c r="A225" s="98" t="s">
        <v>191</v>
      </c>
      <c r="B225" s="1687" t="s">
        <v>2124</v>
      </c>
      <c r="C225" s="1692">
        <v>1386</v>
      </c>
      <c r="D225" s="1692">
        <v>4333.094890510949</v>
      </c>
      <c r="E225" s="1692">
        <v>182</v>
      </c>
      <c r="F225" s="1692">
        <v>51103.242157500004</v>
      </c>
      <c r="G225" s="1692">
        <v>21515</v>
      </c>
      <c r="H225" s="1693">
        <v>125700</v>
      </c>
      <c r="I225" s="1692">
        <v>0</v>
      </c>
      <c r="J225" s="1692">
        <v>0</v>
      </c>
      <c r="K225" s="1695">
        <v>0</v>
      </c>
    </row>
    <row r="226" spans="1:12">
      <c r="A226" s="98" t="s">
        <v>1072</v>
      </c>
      <c r="B226" s="1687" t="s">
        <v>921</v>
      </c>
      <c r="C226" s="1692" t="s">
        <v>1121</v>
      </c>
      <c r="D226" s="1692" t="s">
        <v>1121</v>
      </c>
      <c r="E226" s="1692" t="s">
        <v>1121</v>
      </c>
      <c r="F226" s="1692" t="s">
        <v>1121</v>
      </c>
      <c r="G226" s="1692" t="s">
        <v>1121</v>
      </c>
      <c r="H226" s="1693" t="s">
        <v>1121</v>
      </c>
      <c r="I226" s="1692" t="s">
        <v>1121</v>
      </c>
      <c r="J226" s="1692" t="s">
        <v>1121</v>
      </c>
      <c r="K226" s="1695">
        <v>0</v>
      </c>
    </row>
    <row r="227" spans="1:12">
      <c r="A227" s="98" t="s">
        <v>106</v>
      </c>
      <c r="B227" s="1687" t="s">
        <v>2115</v>
      </c>
      <c r="C227" s="1692" t="s">
        <v>1121</v>
      </c>
      <c r="D227" s="1692" t="s">
        <v>1121</v>
      </c>
      <c r="E227" s="1692" t="s">
        <v>1121</v>
      </c>
      <c r="F227" s="1692" t="s">
        <v>1121</v>
      </c>
      <c r="G227" s="1692" t="s">
        <v>1121</v>
      </c>
      <c r="H227" s="1693" t="s">
        <v>1121</v>
      </c>
      <c r="I227" s="1692" t="s">
        <v>1121</v>
      </c>
      <c r="J227" s="1692" t="s">
        <v>1121</v>
      </c>
      <c r="K227" s="1695">
        <v>0</v>
      </c>
    </row>
    <row r="228" spans="1:12">
      <c r="A228" s="98" t="s">
        <v>411</v>
      </c>
      <c r="B228" s="1687" t="s">
        <v>2115</v>
      </c>
      <c r="C228" s="1692" t="s">
        <v>1121</v>
      </c>
      <c r="D228" s="1692" t="s">
        <v>1121</v>
      </c>
      <c r="E228" s="1692" t="s">
        <v>1121</v>
      </c>
      <c r="F228" s="1692" t="s">
        <v>1121</v>
      </c>
      <c r="G228" s="1692" t="s">
        <v>1121</v>
      </c>
      <c r="H228" s="1693" t="s">
        <v>1121</v>
      </c>
      <c r="I228" s="1692" t="s">
        <v>1121</v>
      </c>
      <c r="J228" s="1692" t="s">
        <v>1121</v>
      </c>
      <c r="K228" s="1695" t="s">
        <v>596</v>
      </c>
    </row>
    <row r="229" spans="1:12">
      <c r="A229" s="98" t="s">
        <v>192</v>
      </c>
      <c r="B229" s="1687" t="s">
        <v>2115</v>
      </c>
      <c r="C229" s="1692" t="s">
        <v>1121</v>
      </c>
      <c r="D229" s="1692" t="s">
        <v>1121</v>
      </c>
      <c r="E229" s="1692" t="s">
        <v>1121</v>
      </c>
      <c r="F229" s="1692" t="s">
        <v>1121</v>
      </c>
      <c r="G229" s="1692" t="s">
        <v>1121</v>
      </c>
      <c r="H229" s="1693" t="s">
        <v>1121</v>
      </c>
      <c r="I229" s="1692" t="s">
        <v>1121</v>
      </c>
      <c r="J229" s="1692" t="s">
        <v>1121</v>
      </c>
      <c r="K229" s="1695">
        <v>0</v>
      </c>
    </row>
    <row r="230" spans="1:12">
      <c r="A230" s="98" t="s">
        <v>231</v>
      </c>
      <c r="B230" s="1687" t="s">
        <v>1478</v>
      </c>
      <c r="C230" s="1692" t="s">
        <v>1121</v>
      </c>
      <c r="D230" s="1692" t="s">
        <v>1121</v>
      </c>
      <c r="E230" s="1692" t="s">
        <v>1121</v>
      </c>
      <c r="F230" s="1692" t="s">
        <v>1121</v>
      </c>
      <c r="G230" s="1692" t="s">
        <v>1121</v>
      </c>
      <c r="H230" s="1693" t="s">
        <v>1121</v>
      </c>
      <c r="I230" s="1692" t="s">
        <v>1121</v>
      </c>
      <c r="J230" s="1692" t="s">
        <v>1121</v>
      </c>
      <c r="K230" s="1695">
        <v>0</v>
      </c>
    </row>
    <row r="231" spans="1:12">
      <c r="A231" s="98" t="s">
        <v>1076</v>
      </c>
      <c r="B231" s="1687" t="s">
        <v>918</v>
      </c>
      <c r="C231" s="1692" t="s">
        <v>1121</v>
      </c>
      <c r="D231" s="1692" t="s">
        <v>1121</v>
      </c>
      <c r="E231" s="1692" t="s">
        <v>1121</v>
      </c>
      <c r="F231" s="1692" t="s">
        <v>1121</v>
      </c>
      <c r="G231" s="1692" t="s">
        <v>1121</v>
      </c>
      <c r="H231" s="1693" t="s">
        <v>1121</v>
      </c>
      <c r="I231" s="1692" t="s">
        <v>1121</v>
      </c>
      <c r="J231" s="1692" t="s">
        <v>1121</v>
      </c>
      <c r="K231" s="1695">
        <v>0</v>
      </c>
    </row>
    <row r="232" spans="1:12">
      <c r="A232" s="98" t="s">
        <v>235</v>
      </c>
      <c r="B232" s="1687" t="s">
        <v>918</v>
      </c>
      <c r="C232" s="1692" t="s">
        <v>1121</v>
      </c>
      <c r="D232" s="1692" t="s">
        <v>1121</v>
      </c>
      <c r="E232" s="1692" t="s">
        <v>1121</v>
      </c>
      <c r="F232" s="1692" t="s">
        <v>1121</v>
      </c>
      <c r="G232" s="1692" t="s">
        <v>1121</v>
      </c>
      <c r="H232" s="1693" t="s">
        <v>1121</v>
      </c>
      <c r="I232" s="1692" t="s">
        <v>1121</v>
      </c>
      <c r="J232" s="1692" t="s">
        <v>1121</v>
      </c>
      <c r="K232" s="1695">
        <v>0</v>
      </c>
      <c r="L232" s="1821" t="s">
        <v>596</v>
      </c>
    </row>
    <row r="233" spans="1:12">
      <c r="A233" s="98" t="s">
        <v>237</v>
      </c>
      <c r="B233" s="1687" t="s">
        <v>921</v>
      </c>
      <c r="C233" s="1692" t="s">
        <v>1121</v>
      </c>
      <c r="D233" s="1692" t="s">
        <v>1121</v>
      </c>
      <c r="E233" s="1692" t="s">
        <v>1121</v>
      </c>
      <c r="F233" s="1692" t="s">
        <v>1121</v>
      </c>
      <c r="G233" s="1692" t="s">
        <v>1121</v>
      </c>
      <c r="H233" s="1693" t="s">
        <v>1121</v>
      </c>
      <c r="I233" s="1692" t="s">
        <v>1121</v>
      </c>
      <c r="J233" s="1692" t="s">
        <v>1121</v>
      </c>
      <c r="K233" s="1695">
        <v>0</v>
      </c>
    </row>
    <row r="234" spans="1:12">
      <c r="A234" s="98" t="s">
        <v>1077</v>
      </c>
      <c r="B234" s="1687" t="s">
        <v>2116</v>
      </c>
      <c r="C234" s="1692" t="s">
        <v>1121</v>
      </c>
      <c r="D234" s="1692" t="s">
        <v>1121</v>
      </c>
      <c r="E234" s="1692" t="s">
        <v>1121</v>
      </c>
      <c r="F234" s="1692" t="s">
        <v>1121</v>
      </c>
      <c r="G234" s="1692" t="s">
        <v>1121</v>
      </c>
      <c r="H234" s="1693" t="s">
        <v>1121</v>
      </c>
      <c r="I234" s="1692" t="s">
        <v>1121</v>
      </c>
      <c r="J234" s="1692" t="s">
        <v>1121</v>
      </c>
      <c r="K234" s="1695">
        <v>0</v>
      </c>
    </row>
    <row r="235" spans="1:12">
      <c r="A235" s="98" t="s">
        <v>254</v>
      </c>
      <c r="B235" s="1687" t="s">
        <v>2115</v>
      </c>
      <c r="C235" s="1692">
        <v>3039</v>
      </c>
      <c r="D235" s="1692">
        <v>7716</v>
      </c>
      <c r="E235" s="1692">
        <v>6981</v>
      </c>
      <c r="F235" s="1692">
        <v>35529</v>
      </c>
      <c r="G235" s="1692">
        <v>817</v>
      </c>
      <c r="H235" s="1693">
        <v>23100</v>
      </c>
      <c r="I235" s="1692">
        <v>0</v>
      </c>
      <c r="J235" s="1692">
        <v>0</v>
      </c>
      <c r="K235" s="1695">
        <v>0</v>
      </c>
    </row>
    <row r="236" spans="1:12">
      <c r="A236" s="98" t="s">
        <v>239</v>
      </c>
      <c r="B236" s="1687" t="s">
        <v>921</v>
      </c>
      <c r="C236" s="1692" t="s">
        <v>1121</v>
      </c>
      <c r="D236" s="1692" t="s">
        <v>1121</v>
      </c>
      <c r="E236" s="1692" t="s">
        <v>1121</v>
      </c>
      <c r="F236" s="1692" t="s">
        <v>1121</v>
      </c>
      <c r="G236" s="1692" t="s">
        <v>1121</v>
      </c>
      <c r="H236" s="1693" t="s">
        <v>1121</v>
      </c>
      <c r="I236" s="1692" t="s">
        <v>1121</v>
      </c>
      <c r="J236" s="1692" t="s">
        <v>1121</v>
      </c>
      <c r="K236" s="1695">
        <v>0</v>
      </c>
    </row>
    <row r="237" spans="1:12">
      <c r="A237" s="98" t="s">
        <v>66</v>
      </c>
      <c r="B237" s="1687" t="s">
        <v>2119</v>
      </c>
      <c r="C237" s="1692" t="s">
        <v>1121</v>
      </c>
      <c r="D237" s="1692" t="s">
        <v>1121</v>
      </c>
      <c r="E237" s="1692" t="s">
        <v>1121</v>
      </c>
      <c r="F237" s="1692" t="s">
        <v>1121</v>
      </c>
      <c r="G237" s="1692" t="s">
        <v>1121</v>
      </c>
      <c r="H237" s="1693" t="s">
        <v>1121</v>
      </c>
      <c r="I237" s="1692" t="s">
        <v>1121</v>
      </c>
      <c r="J237" s="1692" t="s">
        <v>1121</v>
      </c>
      <c r="K237" s="1695">
        <v>0</v>
      </c>
    </row>
    <row r="238" spans="1:12">
      <c r="A238" s="98" t="s">
        <v>423</v>
      </c>
      <c r="B238" s="1687" t="s">
        <v>921</v>
      </c>
      <c r="C238" s="1692" t="s">
        <v>1121</v>
      </c>
      <c r="D238" s="1692" t="s">
        <v>1121</v>
      </c>
      <c r="E238" s="1692" t="s">
        <v>1121</v>
      </c>
      <c r="F238" s="1692" t="s">
        <v>1121</v>
      </c>
      <c r="G238" s="1692" t="s">
        <v>1121</v>
      </c>
      <c r="H238" s="1693" t="s">
        <v>1121</v>
      </c>
      <c r="I238" s="1692" t="s">
        <v>1121</v>
      </c>
      <c r="J238" s="1692" t="s">
        <v>1121</v>
      </c>
      <c r="K238" s="1695">
        <v>0</v>
      </c>
    </row>
    <row r="239" spans="1:12">
      <c r="A239" s="98" t="s">
        <v>107</v>
      </c>
      <c r="B239" s="1687" t="s">
        <v>921</v>
      </c>
      <c r="C239" s="1692" t="s">
        <v>1121</v>
      </c>
      <c r="D239" s="1692" t="s">
        <v>1121</v>
      </c>
      <c r="E239" s="1692" t="s">
        <v>1121</v>
      </c>
      <c r="F239" s="1692" t="s">
        <v>1121</v>
      </c>
      <c r="G239" s="1692" t="s">
        <v>1121</v>
      </c>
      <c r="H239" s="1693" t="s">
        <v>1121</v>
      </c>
      <c r="I239" s="1692" t="s">
        <v>1121</v>
      </c>
      <c r="J239" s="1692" t="s">
        <v>1121</v>
      </c>
      <c r="K239" s="1695">
        <v>0</v>
      </c>
    </row>
    <row r="240" spans="1:12">
      <c r="A240" s="98" t="s">
        <v>13</v>
      </c>
      <c r="B240" s="1687" t="s">
        <v>918</v>
      </c>
      <c r="C240" s="1692">
        <v>0</v>
      </c>
      <c r="D240" s="1692">
        <v>0</v>
      </c>
      <c r="E240" s="1692">
        <v>0</v>
      </c>
      <c r="F240" s="1692">
        <v>0</v>
      </c>
      <c r="G240" s="1692">
        <v>0</v>
      </c>
      <c r="H240" s="1693">
        <v>0</v>
      </c>
      <c r="I240" s="1692">
        <v>0</v>
      </c>
      <c r="J240" s="1692">
        <v>0</v>
      </c>
      <c r="K240" s="1695">
        <v>0</v>
      </c>
    </row>
    <row r="241" spans="1:12">
      <c r="A241" s="98" t="s">
        <v>108</v>
      </c>
      <c r="B241" s="1687" t="s">
        <v>918</v>
      </c>
      <c r="C241" s="1692">
        <v>354</v>
      </c>
      <c r="D241" s="1692">
        <v>2694</v>
      </c>
      <c r="E241" s="1692">
        <v>1918</v>
      </c>
      <c r="F241" s="1692">
        <v>109786</v>
      </c>
      <c r="G241" s="1692">
        <v>78413</v>
      </c>
      <c r="H241" s="1693">
        <v>14320</v>
      </c>
      <c r="I241" s="1692">
        <v>0</v>
      </c>
      <c r="J241" s="1692">
        <v>0</v>
      </c>
      <c r="K241" s="1695" t="s">
        <v>596</v>
      </c>
    </row>
    <row r="242" spans="1:12">
      <c r="A242" s="98" t="s">
        <v>1078</v>
      </c>
      <c r="B242" s="1687" t="s">
        <v>2116</v>
      </c>
      <c r="C242" s="1692" t="s">
        <v>1121</v>
      </c>
      <c r="D242" s="1692" t="s">
        <v>1121</v>
      </c>
      <c r="E242" s="1692" t="s">
        <v>1121</v>
      </c>
      <c r="F242" s="1692" t="s">
        <v>1121</v>
      </c>
      <c r="G242" s="1692" t="s">
        <v>1121</v>
      </c>
      <c r="H242" s="1693" t="s">
        <v>1121</v>
      </c>
      <c r="I242" s="1692" t="s">
        <v>1121</v>
      </c>
      <c r="J242" s="1692" t="s">
        <v>1121</v>
      </c>
      <c r="K242" s="1695">
        <v>0</v>
      </c>
    </row>
    <row r="243" spans="1:12">
      <c r="A243" s="98" t="s">
        <v>1079</v>
      </c>
      <c r="B243" s="1687" t="s">
        <v>2116</v>
      </c>
      <c r="C243" s="1692" t="s">
        <v>1121</v>
      </c>
      <c r="D243" s="1692" t="s">
        <v>1121</v>
      </c>
      <c r="E243" s="1692" t="s">
        <v>1121</v>
      </c>
      <c r="F243" s="1692" t="s">
        <v>1121</v>
      </c>
      <c r="G243" s="1692" t="s">
        <v>1121</v>
      </c>
      <c r="H243" s="1693" t="s">
        <v>1121</v>
      </c>
      <c r="I243" s="1692" t="s">
        <v>1121</v>
      </c>
      <c r="J243" s="1692" t="s">
        <v>1121</v>
      </c>
      <c r="K243" s="1695">
        <v>0</v>
      </c>
    </row>
    <row r="244" spans="1:12">
      <c r="A244" s="98" t="s">
        <v>241</v>
      </c>
      <c r="B244" s="1687" t="s">
        <v>2115</v>
      </c>
      <c r="C244" s="1692">
        <v>1800</v>
      </c>
      <c r="D244" s="1692">
        <v>6255</v>
      </c>
      <c r="E244" s="1692">
        <v>4012</v>
      </c>
      <c r="F244" s="1692">
        <v>34664</v>
      </c>
      <c r="G244" s="1692">
        <v>31954</v>
      </c>
      <c r="H244" s="1693">
        <v>20650</v>
      </c>
      <c r="I244" s="1692">
        <v>0</v>
      </c>
      <c r="J244" s="1692">
        <v>0</v>
      </c>
      <c r="K244" s="1695">
        <v>0</v>
      </c>
    </row>
    <row r="245" spans="1:12">
      <c r="A245" s="98" t="s">
        <v>243</v>
      </c>
      <c r="B245" s="1687" t="s">
        <v>2119</v>
      </c>
      <c r="C245" s="1692">
        <v>4480</v>
      </c>
      <c r="D245" s="1692">
        <v>14629.328467153286</v>
      </c>
      <c r="E245" s="1692">
        <v>1083</v>
      </c>
      <c r="F245" s="1692">
        <v>17702.547595</v>
      </c>
      <c r="G245" s="1692">
        <v>11146</v>
      </c>
      <c r="H245" s="1693">
        <v>311025</v>
      </c>
      <c r="I245" s="1692">
        <v>0</v>
      </c>
      <c r="J245" s="1692">
        <v>0</v>
      </c>
      <c r="K245" s="1695">
        <v>0</v>
      </c>
    </row>
    <row r="246" spans="1:12">
      <c r="A246" s="98" t="s">
        <v>1080</v>
      </c>
      <c r="B246" s="1687" t="s">
        <v>2115</v>
      </c>
      <c r="C246" s="1692">
        <v>2048</v>
      </c>
      <c r="D246" s="1692">
        <v>2174</v>
      </c>
      <c r="E246" s="1692">
        <v>1815</v>
      </c>
      <c r="F246" s="1692">
        <v>37367</v>
      </c>
      <c r="G246" s="1692">
        <v>28294</v>
      </c>
      <c r="H246" s="1693">
        <v>29123</v>
      </c>
      <c r="I246" s="1692">
        <v>0</v>
      </c>
      <c r="J246" s="1692">
        <v>0</v>
      </c>
      <c r="K246" s="1695">
        <v>0</v>
      </c>
    </row>
    <row r="247" spans="1:12">
      <c r="A247" s="98" t="s">
        <v>245</v>
      </c>
      <c r="B247" s="1687" t="s">
        <v>921</v>
      </c>
      <c r="C247" s="1692">
        <v>600</v>
      </c>
      <c r="D247" s="1692">
        <v>999</v>
      </c>
      <c r="E247" s="1692">
        <v>841</v>
      </c>
      <c r="F247" s="1692">
        <v>13723</v>
      </c>
      <c r="G247" s="1692">
        <v>5012</v>
      </c>
      <c r="H247" s="1693">
        <v>42667</v>
      </c>
      <c r="I247" s="1692">
        <v>0</v>
      </c>
      <c r="J247" s="1692">
        <v>0</v>
      </c>
      <c r="K247" s="1695">
        <v>0</v>
      </c>
    </row>
    <row r="248" spans="1:12">
      <c r="A248" s="98" t="s">
        <v>1371</v>
      </c>
      <c r="B248" s="1687" t="s">
        <v>2116</v>
      </c>
      <c r="C248" s="1692" t="s">
        <v>1121</v>
      </c>
      <c r="D248" s="1692" t="s">
        <v>1121</v>
      </c>
      <c r="E248" s="1692" t="s">
        <v>1121</v>
      </c>
      <c r="F248" s="1692" t="s">
        <v>1121</v>
      </c>
      <c r="G248" s="1692" t="s">
        <v>1121</v>
      </c>
      <c r="H248" s="1693" t="s">
        <v>1121</v>
      </c>
      <c r="I248" s="1692" t="s">
        <v>1121</v>
      </c>
      <c r="J248" s="1692" t="s">
        <v>1121</v>
      </c>
      <c r="K248" s="1695">
        <v>0</v>
      </c>
    </row>
    <row r="249" spans="1:12">
      <c r="A249" s="98" t="s">
        <v>1081</v>
      </c>
      <c r="B249" s="1687" t="s">
        <v>921</v>
      </c>
      <c r="C249" s="1692" t="s">
        <v>1121</v>
      </c>
      <c r="D249" s="1692" t="s">
        <v>1121</v>
      </c>
      <c r="E249" s="1692" t="s">
        <v>1121</v>
      </c>
      <c r="F249" s="1692" t="s">
        <v>1121</v>
      </c>
      <c r="G249" s="1692" t="s">
        <v>1121</v>
      </c>
      <c r="H249" s="1693" t="s">
        <v>1121</v>
      </c>
      <c r="I249" s="1692" t="s">
        <v>1121</v>
      </c>
      <c r="J249" s="1692" t="s">
        <v>1121</v>
      </c>
      <c r="K249" s="1695">
        <v>0</v>
      </c>
    </row>
    <row r="250" spans="1:12">
      <c r="A250" s="98" t="s">
        <v>22</v>
      </c>
      <c r="B250" s="1687" t="s">
        <v>918</v>
      </c>
      <c r="C250" s="1692" t="s">
        <v>1121</v>
      </c>
      <c r="D250" s="1692" t="s">
        <v>1121</v>
      </c>
      <c r="E250" s="1692" t="s">
        <v>1121</v>
      </c>
      <c r="F250" s="1692" t="s">
        <v>1121</v>
      </c>
      <c r="G250" s="1692" t="s">
        <v>1121</v>
      </c>
      <c r="H250" s="1693" t="s">
        <v>1121</v>
      </c>
      <c r="I250" s="1692" t="s">
        <v>1121</v>
      </c>
      <c r="J250" s="1692" t="s">
        <v>1121</v>
      </c>
      <c r="K250" s="1695">
        <v>0</v>
      </c>
    </row>
    <row r="251" spans="1:12">
      <c r="A251" s="98" t="s">
        <v>36</v>
      </c>
      <c r="B251" s="1687" t="s">
        <v>921</v>
      </c>
      <c r="C251" s="1692" t="s">
        <v>1121</v>
      </c>
      <c r="D251" s="1692" t="s">
        <v>1121</v>
      </c>
      <c r="E251" s="1692" t="s">
        <v>1121</v>
      </c>
      <c r="F251" s="1692" t="s">
        <v>1121</v>
      </c>
      <c r="G251" s="1692" t="s">
        <v>1121</v>
      </c>
      <c r="H251" s="1693" t="s">
        <v>1121</v>
      </c>
      <c r="I251" s="1692" t="s">
        <v>1121</v>
      </c>
      <c r="J251" s="1692" t="s">
        <v>1121</v>
      </c>
      <c r="K251" s="1695">
        <v>0</v>
      </c>
      <c r="L251" s="1821"/>
    </row>
    <row r="252" spans="1:12">
      <c r="A252" s="98" t="s">
        <v>1083</v>
      </c>
      <c r="B252" s="1687" t="s">
        <v>2118</v>
      </c>
      <c r="C252" s="1692">
        <v>30</v>
      </c>
      <c r="D252" s="1692">
        <v>0</v>
      </c>
      <c r="E252" s="1692">
        <v>0</v>
      </c>
      <c r="F252" s="1692">
        <v>26700</v>
      </c>
      <c r="G252" s="1692">
        <v>8478</v>
      </c>
      <c r="H252" s="1693">
        <v>20200</v>
      </c>
      <c r="I252" s="1692">
        <v>0</v>
      </c>
      <c r="J252" s="1692">
        <v>0</v>
      </c>
      <c r="K252" s="1695">
        <v>0</v>
      </c>
    </row>
    <row r="253" spans="1:12">
      <c r="A253" s="98" t="s">
        <v>1084</v>
      </c>
      <c r="B253" s="1687" t="s">
        <v>921</v>
      </c>
      <c r="C253" s="1692">
        <v>0</v>
      </c>
      <c r="D253" s="1692">
        <v>0</v>
      </c>
      <c r="E253" s="1692">
        <v>0</v>
      </c>
      <c r="F253" s="1692">
        <v>0</v>
      </c>
      <c r="G253" s="1692">
        <v>0</v>
      </c>
      <c r="H253" s="1693">
        <v>0</v>
      </c>
      <c r="I253" s="1692">
        <v>0</v>
      </c>
      <c r="J253" s="1692">
        <v>0</v>
      </c>
      <c r="K253" s="1695">
        <v>0</v>
      </c>
    </row>
    <row r="254" spans="1:12">
      <c r="A254" s="39" t="s">
        <v>414</v>
      </c>
      <c r="B254" s="1687" t="s">
        <v>2115</v>
      </c>
      <c r="C254" s="1692" t="s">
        <v>1121</v>
      </c>
      <c r="D254" s="1692" t="s">
        <v>1121</v>
      </c>
      <c r="E254" s="1692" t="s">
        <v>1121</v>
      </c>
      <c r="F254" s="1692" t="s">
        <v>1121</v>
      </c>
      <c r="G254" s="1692" t="s">
        <v>1121</v>
      </c>
      <c r="H254" s="1693" t="s">
        <v>1121</v>
      </c>
      <c r="I254" s="1692" t="s">
        <v>1121</v>
      </c>
      <c r="J254" s="1692" t="s">
        <v>1121</v>
      </c>
      <c r="K254" s="1695">
        <v>0</v>
      </c>
    </row>
    <row r="255" spans="1:12">
      <c r="A255" s="98" t="s">
        <v>2125</v>
      </c>
      <c r="B255" s="1687" t="s">
        <v>2126</v>
      </c>
      <c r="C255" s="1692" t="s">
        <v>1121</v>
      </c>
      <c r="D255" s="1692" t="s">
        <v>1121</v>
      </c>
      <c r="E255" s="1692" t="s">
        <v>1121</v>
      </c>
      <c r="F255" s="1692" t="s">
        <v>1121</v>
      </c>
      <c r="G255" s="1692" t="s">
        <v>1121</v>
      </c>
      <c r="H255" s="1693" t="s">
        <v>1121</v>
      </c>
      <c r="I255" s="1692" t="s">
        <v>1121</v>
      </c>
      <c r="J255" s="1692" t="s">
        <v>1121</v>
      </c>
      <c r="K255" s="1695"/>
    </row>
    <row r="256" spans="1:12">
      <c r="A256" s="98" t="s">
        <v>1473</v>
      </c>
      <c r="B256" s="1687" t="s">
        <v>918</v>
      </c>
      <c r="C256" s="1692">
        <v>14501</v>
      </c>
      <c r="D256" s="1692">
        <v>0</v>
      </c>
      <c r="E256" s="1692">
        <v>0</v>
      </c>
      <c r="F256" s="1692">
        <v>262230.36005199997</v>
      </c>
      <c r="G256" s="1692">
        <v>0</v>
      </c>
      <c r="H256" s="1693">
        <v>0</v>
      </c>
      <c r="I256" s="1692">
        <v>0</v>
      </c>
      <c r="J256" s="1692">
        <v>0</v>
      </c>
      <c r="K256" s="1695">
        <v>0</v>
      </c>
      <c r="L256" s="1821"/>
    </row>
    <row r="257" spans="1:11">
      <c r="A257" s="98" t="s">
        <v>110</v>
      </c>
      <c r="B257" s="1687" t="s">
        <v>2115</v>
      </c>
      <c r="C257" s="1692" t="s">
        <v>1121</v>
      </c>
      <c r="D257" s="1692" t="s">
        <v>1121</v>
      </c>
      <c r="E257" s="1692" t="s">
        <v>1121</v>
      </c>
      <c r="F257" s="1692" t="s">
        <v>1121</v>
      </c>
      <c r="G257" s="1692" t="s">
        <v>1121</v>
      </c>
      <c r="H257" s="1693" t="s">
        <v>1121</v>
      </c>
      <c r="I257" s="1692" t="s">
        <v>1121</v>
      </c>
      <c r="J257" s="1692" t="s">
        <v>1121</v>
      </c>
      <c r="K257" s="1695">
        <v>0</v>
      </c>
    </row>
    <row r="258" spans="1:11">
      <c r="A258" s="98" t="s">
        <v>68</v>
      </c>
      <c r="B258" s="1687" t="s">
        <v>2122</v>
      </c>
      <c r="C258" s="1692" t="s">
        <v>1121</v>
      </c>
      <c r="D258" s="1692" t="s">
        <v>1121</v>
      </c>
      <c r="E258" s="1692" t="s">
        <v>1121</v>
      </c>
      <c r="F258" s="1692" t="s">
        <v>1121</v>
      </c>
      <c r="G258" s="1692" t="s">
        <v>1121</v>
      </c>
      <c r="H258" s="1693" t="s">
        <v>1121</v>
      </c>
      <c r="I258" s="1692" t="s">
        <v>1121</v>
      </c>
      <c r="J258" s="1692" t="s">
        <v>1121</v>
      </c>
      <c r="K258" s="1695">
        <v>0</v>
      </c>
    </row>
    <row r="259" spans="1:11">
      <c r="A259" s="98" t="s">
        <v>261</v>
      </c>
      <c r="B259" s="1687" t="s">
        <v>918</v>
      </c>
      <c r="C259" s="1692" t="s">
        <v>1121</v>
      </c>
      <c r="D259" s="1692" t="s">
        <v>1121</v>
      </c>
      <c r="E259" s="1692" t="s">
        <v>1121</v>
      </c>
      <c r="F259" s="1692" t="s">
        <v>1121</v>
      </c>
      <c r="G259" s="1692" t="s">
        <v>1121</v>
      </c>
      <c r="H259" s="1693" t="s">
        <v>1121</v>
      </c>
      <c r="I259" s="1692" t="s">
        <v>1121</v>
      </c>
      <c r="J259" s="1692" t="s">
        <v>1121</v>
      </c>
      <c r="K259" s="1695">
        <v>0</v>
      </c>
    </row>
    <row r="260" spans="1:11">
      <c r="A260" s="98" t="s">
        <v>1086</v>
      </c>
      <c r="B260" s="1687" t="s">
        <v>921</v>
      </c>
      <c r="C260" s="1692" t="s">
        <v>1121</v>
      </c>
      <c r="D260" s="1692" t="s">
        <v>1121</v>
      </c>
      <c r="E260" s="1692" t="s">
        <v>1121</v>
      </c>
      <c r="F260" s="1692" t="s">
        <v>1121</v>
      </c>
      <c r="G260" s="1692" t="s">
        <v>1121</v>
      </c>
      <c r="H260" s="1693" t="s">
        <v>1121</v>
      </c>
      <c r="I260" s="1692" t="s">
        <v>1121</v>
      </c>
      <c r="J260" s="1692" t="s">
        <v>1121</v>
      </c>
      <c r="K260" s="1695">
        <v>0</v>
      </c>
    </row>
    <row r="261" spans="1:11">
      <c r="A261" s="98" t="s">
        <v>552</v>
      </c>
      <c r="B261" s="1687" t="s">
        <v>921</v>
      </c>
      <c r="C261" s="1692" t="s">
        <v>1121</v>
      </c>
      <c r="D261" s="1692" t="s">
        <v>1121</v>
      </c>
      <c r="E261" s="1692" t="s">
        <v>1121</v>
      </c>
      <c r="F261" s="1692" t="s">
        <v>1121</v>
      </c>
      <c r="G261" s="1692" t="s">
        <v>1121</v>
      </c>
      <c r="H261" s="1693" t="s">
        <v>1121</v>
      </c>
      <c r="I261" s="1692" t="s">
        <v>1121</v>
      </c>
      <c r="J261" s="1692" t="s">
        <v>1121</v>
      </c>
      <c r="K261" s="1695">
        <v>0</v>
      </c>
    </row>
    <row r="262" spans="1:11">
      <c r="A262" s="98" t="s">
        <v>25</v>
      </c>
      <c r="B262" s="1687" t="s">
        <v>921</v>
      </c>
      <c r="C262" s="1692">
        <v>0</v>
      </c>
      <c r="D262" s="1692">
        <v>0</v>
      </c>
      <c r="E262" s="1692">
        <v>0</v>
      </c>
      <c r="F262" s="1692">
        <v>0</v>
      </c>
      <c r="G262" s="1692">
        <v>0</v>
      </c>
      <c r="H262" s="1693">
        <v>0</v>
      </c>
      <c r="I262" s="1692">
        <v>0</v>
      </c>
      <c r="J262" s="1692">
        <v>0</v>
      </c>
      <c r="K262" s="1695">
        <v>0</v>
      </c>
    </row>
    <row r="365" spans="12:12">
      <c r="L365" s="1821"/>
    </row>
  </sheetData>
  <sortState ref="L1:M379">
    <sortCondition ref="L1:L379"/>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01"/>
  <sheetViews>
    <sheetView topLeftCell="A5" workbookViewId="0">
      <selection activeCell="G55" sqref="G55:BH55"/>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19.140625" style="120" bestFit="1" customWidth="1"/>
    <col min="10" max="10" width="21" style="120" customWidth="1"/>
    <col min="11" max="11" width="16.5703125" style="120" customWidth="1"/>
    <col min="12" max="12" width="15.140625" style="120" customWidth="1"/>
    <col min="13" max="13" width="14.5703125" style="120" customWidth="1"/>
    <col min="14" max="14" width="9.42578125" style="120" customWidth="1"/>
    <col min="15" max="15" width="11.42578125" style="120" bestFit="1" customWidth="1"/>
    <col min="16" max="16" width="9.85546875" style="120" customWidth="1"/>
    <col min="17" max="17" width="10" style="120" customWidth="1"/>
    <col min="18" max="18" width="11.140625" style="120" customWidth="1"/>
    <col min="19" max="19" width="9.7109375" style="136" customWidth="1"/>
    <col min="20" max="20" width="11" style="136" customWidth="1"/>
    <col min="21" max="21" width="9.28515625" style="136" customWidth="1"/>
    <col min="22" max="22" width="13" style="136" customWidth="1"/>
    <col min="23" max="23" width="6" style="136" bestFit="1" customWidth="1"/>
    <col min="24" max="24" width="13.42578125" style="136" hidden="1" customWidth="1"/>
    <col min="25" max="25" width="13.7109375" style="136" hidden="1" customWidth="1"/>
    <col min="26" max="26" width="13.28515625" style="136" hidden="1" customWidth="1"/>
    <col min="27" max="27" width="14" style="136" hidden="1" customWidth="1"/>
    <col min="28" max="29" width="12.140625" style="136" hidden="1" customWidth="1"/>
    <col min="30" max="33" width="7.5703125" style="136" hidden="1" customWidth="1"/>
    <col min="34" max="35" width="7.140625" style="136" hidden="1" customWidth="1"/>
    <col min="36" max="42" width="7.5703125" style="136" hidden="1" customWidth="1"/>
    <col min="43" max="43" width="8" style="136" hidden="1" customWidth="1"/>
    <col min="44" max="44" width="8.28515625" style="136" hidden="1" customWidth="1"/>
    <col min="45" max="45" width="8" style="136" hidden="1" customWidth="1"/>
    <col min="46" max="52" width="8.28515625" style="136" hidden="1" customWidth="1"/>
    <col min="53" max="53" width="8" style="136" hidden="1" customWidth="1"/>
    <col min="54" max="58" width="8.28515625" style="136" hidden="1" customWidth="1"/>
    <col min="59" max="59" width="10.28515625" style="136" hidden="1" customWidth="1"/>
    <col min="60" max="60" width="6.85546875" style="136" bestFit="1" customWidth="1"/>
    <col min="61" max="61" width="9.57031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989" t="s">
        <v>940</v>
      </c>
      <c r="B1" s="1989"/>
      <c r="C1" s="1989"/>
      <c r="D1" s="1989"/>
      <c r="E1" s="1989"/>
      <c r="F1" s="1989"/>
      <c r="G1" s="1989"/>
      <c r="H1" s="1989"/>
      <c r="I1" s="1989"/>
      <c r="J1" s="1989"/>
      <c r="K1" s="1989"/>
      <c r="L1" s="1989"/>
      <c r="M1" s="1989"/>
      <c r="N1" s="1989"/>
      <c r="O1" s="1989"/>
      <c r="P1" s="1989"/>
      <c r="Q1" s="198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2008" t="s">
        <v>334</v>
      </c>
      <c r="C2" s="2008"/>
      <c r="D2" s="2008"/>
      <c r="E2" s="2008"/>
      <c r="G2" s="221"/>
      <c r="H2" s="2040" t="s">
        <v>618</v>
      </c>
      <c r="I2" s="2041"/>
      <c r="J2" s="2041"/>
      <c r="K2" s="2041"/>
      <c r="L2" s="2041"/>
      <c r="M2" s="2041"/>
      <c r="N2" s="2041"/>
      <c r="O2" s="2041"/>
      <c r="P2" s="2041"/>
      <c r="Q2" s="2041"/>
      <c r="R2" s="204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122"/>
      <c r="I3" s="122"/>
      <c r="J3" s="122"/>
      <c r="K3" s="122"/>
      <c r="L3" s="122"/>
      <c r="M3" s="122"/>
      <c r="N3" s="122"/>
      <c r="O3" s="122"/>
      <c r="P3" s="122"/>
      <c r="Q3" s="122"/>
      <c r="R3" s="122"/>
      <c r="S3" s="122"/>
      <c r="T3" s="122"/>
      <c r="U3" s="122"/>
      <c r="V3" s="122"/>
      <c r="W3" s="122"/>
      <c r="X3" s="122"/>
      <c r="Y3" s="122"/>
      <c r="Z3" s="122"/>
      <c r="AA3" s="122"/>
      <c r="AB3" s="122"/>
      <c r="AC3" s="122"/>
      <c r="AD3" s="122"/>
      <c r="AE3" s="122"/>
      <c r="AF3" s="122"/>
      <c r="AG3" s="122"/>
      <c r="AH3" s="122"/>
      <c r="AI3" s="122"/>
      <c r="AJ3" s="122"/>
      <c r="AK3" s="122"/>
      <c r="AL3" s="122"/>
      <c r="AM3" s="122"/>
      <c r="AN3" s="122"/>
      <c r="AO3" s="122"/>
      <c r="AP3" s="122"/>
      <c r="AQ3" s="122"/>
      <c r="AR3" s="122"/>
      <c r="AS3" s="122"/>
      <c r="AT3" s="122"/>
      <c r="AU3" s="122"/>
      <c r="AV3" s="122"/>
      <c r="AW3" s="122"/>
      <c r="AX3" s="122"/>
      <c r="AY3" s="122"/>
      <c r="AZ3" s="122"/>
      <c r="BA3" s="122"/>
      <c r="BB3" s="122"/>
      <c r="BC3" s="122"/>
      <c r="BD3" s="122"/>
      <c r="BE3" s="122"/>
      <c r="BF3" s="122"/>
      <c r="BG3" s="122"/>
      <c r="BH3" s="122"/>
      <c r="BI3" s="122"/>
      <c r="BJ3" s="125"/>
      <c r="BK3" s="125"/>
      <c r="BL3" s="125"/>
      <c r="BM3" s="125"/>
      <c r="BN3" s="125"/>
      <c r="BO3" s="125"/>
    </row>
    <row r="4" spans="1:67" ht="12.75">
      <c r="B4" s="126" t="s">
        <v>331</v>
      </c>
      <c r="C4" s="489"/>
      <c r="D4" s="121"/>
      <c r="E4" s="916" t="s">
        <v>1211</v>
      </c>
      <c r="F4" s="1204" t="s">
        <v>383</v>
      </c>
      <c r="G4" s="219"/>
      <c r="H4" s="9"/>
      <c r="I4" s="460"/>
      <c r="J4" s="460"/>
      <c r="K4" s="460"/>
      <c r="L4" s="460"/>
      <c r="M4" s="460"/>
      <c r="N4" s="460"/>
      <c r="O4" s="2043"/>
      <c r="P4" s="2043"/>
      <c r="Q4" s="2043"/>
      <c r="R4" s="2043"/>
      <c r="S4" s="691"/>
      <c r="T4" s="121"/>
      <c r="U4" s="121"/>
      <c r="V4" s="121"/>
      <c r="W4" s="121"/>
      <c r="X4" s="122"/>
      <c r="Y4" s="122"/>
      <c r="Z4" s="12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5"/>
      <c r="BK4" s="125"/>
      <c r="BL4" s="125"/>
      <c r="BM4" s="125"/>
      <c r="BN4" s="118"/>
      <c r="BO4" s="118"/>
    </row>
    <row r="5" spans="1:67" ht="12.75">
      <c r="B5" s="128" t="s">
        <v>375</v>
      </c>
      <c r="C5" s="587"/>
      <c r="D5" s="125"/>
      <c r="E5" s="47" t="s">
        <v>1209</v>
      </c>
      <c r="F5" s="1205" t="s">
        <v>383</v>
      </c>
      <c r="G5" s="219"/>
      <c r="H5" s="270"/>
      <c r="I5" s="456"/>
      <c r="J5" s="456"/>
      <c r="K5" s="455"/>
      <c r="L5" s="456"/>
      <c r="M5" s="456"/>
      <c r="N5" s="455"/>
      <c r="O5" s="454"/>
      <c r="P5" s="456"/>
      <c r="Q5" s="456"/>
      <c r="R5" s="456"/>
      <c r="S5" s="457"/>
      <c r="T5" s="121"/>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5"/>
      <c r="BK5" s="118"/>
      <c r="BL5" s="118"/>
      <c r="BM5" s="118"/>
      <c r="BN5" s="118"/>
      <c r="BO5" s="118"/>
    </row>
    <row r="6" spans="1:67" ht="13.5" thickBot="1">
      <c r="B6" s="128" t="s">
        <v>376</v>
      </c>
      <c r="C6" s="587" t="str">
        <f>'Community data'!B3</f>
        <v>Manley Hot Springs</v>
      </c>
      <c r="D6" s="125"/>
      <c r="E6" s="417" t="s">
        <v>1210</v>
      </c>
      <c r="F6" s="1039"/>
      <c r="G6" s="219"/>
      <c r="H6" s="96"/>
      <c r="I6" s="586"/>
      <c r="J6" s="583"/>
      <c r="K6" s="437"/>
      <c r="L6" s="458"/>
      <c r="M6" s="441"/>
      <c r="N6" s="441"/>
      <c r="O6" s="584"/>
      <c r="P6" s="441"/>
      <c r="Q6" s="459"/>
      <c r="R6" s="459"/>
      <c r="S6" s="435"/>
      <c r="T6" s="121"/>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1"/>
      <c r="BK6" s="118"/>
      <c r="BL6" s="118"/>
      <c r="BM6" s="118"/>
      <c r="BN6" s="118"/>
      <c r="BO6" s="118"/>
    </row>
    <row r="7" spans="1:67" ht="12.75">
      <c r="B7" s="128" t="s">
        <v>332</v>
      </c>
      <c r="C7" s="587" t="s">
        <v>291</v>
      </c>
      <c r="D7" s="125"/>
      <c r="G7" s="219"/>
      <c r="H7" s="96"/>
      <c r="I7" s="436"/>
      <c r="J7" s="583"/>
      <c r="K7" s="437"/>
      <c r="L7" s="458"/>
      <c r="M7" s="441"/>
      <c r="N7" s="441"/>
      <c r="O7" s="584"/>
      <c r="P7" s="389"/>
      <c r="Q7" s="459"/>
      <c r="R7" s="459"/>
      <c r="S7" s="435"/>
      <c r="T7" s="121"/>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1"/>
      <c r="BK7" s="118"/>
      <c r="BL7" s="118"/>
      <c r="BM7" s="118"/>
      <c r="BN7" s="118"/>
      <c r="BO7" s="118"/>
    </row>
    <row r="8" spans="1:67" ht="12.75">
      <c r="B8" s="128" t="s">
        <v>569</v>
      </c>
      <c r="C8" s="587" t="s">
        <v>690</v>
      </c>
      <c r="D8" s="125"/>
      <c r="E8" s="118"/>
      <c r="G8" s="219"/>
      <c r="H8" s="96"/>
      <c r="I8" s="1328"/>
      <c r="J8" s="1328"/>
      <c r="K8" s="583"/>
      <c r="L8" s="458"/>
      <c r="M8" s="441"/>
      <c r="N8" s="441"/>
      <c r="O8" s="584"/>
      <c r="P8" s="389"/>
      <c r="Q8" s="459"/>
      <c r="R8" s="459"/>
      <c r="S8" s="435"/>
      <c r="T8" s="121"/>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1"/>
      <c r="BK8" s="118"/>
      <c r="BL8" s="118"/>
      <c r="BM8" s="118"/>
      <c r="BN8" s="118"/>
      <c r="BO8" s="118"/>
    </row>
    <row r="9" spans="1:67" ht="51">
      <c r="B9" s="128" t="s">
        <v>570</v>
      </c>
      <c r="C9" s="490"/>
      <c r="D9" s="125"/>
      <c r="E9" s="118"/>
      <c r="G9" s="219"/>
      <c r="H9" s="96"/>
      <c r="I9" s="1315" t="s">
        <v>1288</v>
      </c>
      <c r="J9" s="1315" t="s">
        <v>1289</v>
      </c>
      <c r="K9" s="1315" t="s">
        <v>1290</v>
      </c>
      <c r="L9" s="1315" t="s">
        <v>1291</v>
      </c>
      <c r="M9" s="605" t="s">
        <v>1292</v>
      </c>
      <c r="N9" s="605" t="s">
        <v>1293</v>
      </c>
      <c r="O9" s="1315" t="s">
        <v>1294</v>
      </c>
      <c r="P9" s="1315" t="s">
        <v>1295</v>
      </c>
      <c r="Q9" s="1315" t="s">
        <v>1296</v>
      </c>
      <c r="R9" s="605" t="s">
        <v>1297</v>
      </c>
      <c r="S9" s="605" t="s">
        <v>1298</v>
      </c>
      <c r="T9" s="1326" t="s">
        <v>1305</v>
      </c>
      <c r="U9" s="228"/>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1"/>
      <c r="BJ9" s="118"/>
      <c r="BK9" s="118"/>
      <c r="BL9" s="118"/>
      <c r="BM9" s="118"/>
      <c r="BN9" s="118"/>
      <c r="BO9" s="118"/>
    </row>
    <row r="10" spans="1:67">
      <c r="B10" s="128"/>
      <c r="C10" s="587"/>
      <c r="D10" s="125"/>
      <c r="E10" s="118"/>
      <c r="G10" s="219"/>
      <c r="H10" s="1327" t="s">
        <v>1300</v>
      </c>
      <c r="I10" s="1332" t="s">
        <v>1299</v>
      </c>
      <c r="J10" s="1333">
        <v>170</v>
      </c>
      <c r="K10" s="1333">
        <v>70</v>
      </c>
      <c r="L10" s="1333">
        <f t="shared" ref="L10:L17" si="0">J10-K10</f>
        <v>100</v>
      </c>
      <c r="M10" s="1333">
        <v>50</v>
      </c>
      <c r="N10" s="1333">
        <v>50</v>
      </c>
      <c r="O10" s="1333">
        <v>4380</v>
      </c>
      <c r="P10" s="1333">
        <v>4380</v>
      </c>
      <c r="Q10" s="1333">
        <f t="shared" ref="Q10:Q17" si="1">J10*N10*O10/1000</f>
        <v>37230</v>
      </c>
      <c r="R10" s="1333">
        <f t="shared" ref="R10:R17" si="2">K10*N10*P10/1000</f>
        <v>15330</v>
      </c>
      <c r="S10" s="1334">
        <f t="shared" ref="S10:S17" si="3">Q10-R10</f>
        <v>21900</v>
      </c>
      <c r="T10" s="1335">
        <f>N10*550</f>
        <v>27500</v>
      </c>
      <c r="U10" s="1316"/>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1"/>
      <c r="BJ10" s="118"/>
      <c r="BK10" s="118"/>
      <c r="BL10" s="118"/>
      <c r="BM10" s="118"/>
      <c r="BN10" s="118"/>
      <c r="BO10" s="118"/>
    </row>
    <row r="11" spans="1:67" ht="15.75" thickBot="1">
      <c r="B11" s="128"/>
      <c r="C11" s="588"/>
      <c r="D11" s="125"/>
      <c r="E11" s="118"/>
      <c r="F11" s="135"/>
      <c r="G11" s="219"/>
      <c r="H11" s="704"/>
      <c r="I11" s="1318"/>
      <c r="J11" s="1319"/>
      <c r="K11" s="1319"/>
      <c r="L11" s="1336">
        <f t="shared" si="0"/>
        <v>0</v>
      </c>
      <c r="M11" s="1319"/>
      <c r="N11" s="1319"/>
      <c r="O11" s="1320">
        <v>4380</v>
      </c>
      <c r="P11" s="1320">
        <v>4380</v>
      </c>
      <c r="Q11" s="1321">
        <f t="shared" si="1"/>
        <v>0</v>
      </c>
      <c r="R11" s="1321">
        <f t="shared" si="2"/>
        <v>0</v>
      </c>
      <c r="S11" s="1322">
        <f t="shared" si="3"/>
        <v>0</v>
      </c>
      <c r="T11" s="624">
        <f>N11*550</f>
        <v>0</v>
      </c>
      <c r="U11" s="1317"/>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1"/>
      <c r="BJ11" s="118"/>
      <c r="BK11" s="118"/>
      <c r="BL11" s="118"/>
      <c r="BM11" s="118"/>
      <c r="BN11" s="118"/>
      <c r="BO11" s="118"/>
    </row>
    <row r="12" spans="1:67">
      <c r="B12" s="137" t="s">
        <v>360</v>
      </c>
      <c r="C12" s="320" t="s">
        <v>384</v>
      </c>
      <c r="D12" s="306"/>
      <c r="E12" s="306"/>
      <c r="F12" s="118"/>
      <c r="G12" s="219"/>
      <c r="H12" s="704"/>
      <c r="I12" s="1318"/>
      <c r="J12" s="1319"/>
      <c r="K12" s="1319"/>
      <c r="L12" s="1336">
        <f t="shared" si="0"/>
        <v>0</v>
      </c>
      <c r="M12" s="1319"/>
      <c r="N12" s="1319"/>
      <c r="O12" s="1320">
        <v>4380</v>
      </c>
      <c r="P12" s="1320">
        <v>4380</v>
      </c>
      <c r="Q12" s="1321">
        <f t="shared" si="1"/>
        <v>0</v>
      </c>
      <c r="R12" s="1321">
        <f t="shared" si="2"/>
        <v>0</v>
      </c>
      <c r="S12" s="1322">
        <f t="shared" si="3"/>
        <v>0</v>
      </c>
      <c r="T12" s="624">
        <f t="shared" ref="T12:T17" si="4">N12*550</f>
        <v>0</v>
      </c>
      <c r="U12" s="1317"/>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1"/>
      <c r="BJ12" s="118"/>
      <c r="BK12" s="118"/>
      <c r="BL12" s="118"/>
      <c r="BM12" s="118"/>
      <c r="BN12" s="118"/>
      <c r="BO12" s="118"/>
    </row>
    <row r="13" spans="1:67">
      <c r="B13" s="128" t="s">
        <v>262</v>
      </c>
      <c r="C13" s="321">
        <f>BI59</f>
        <v>0</v>
      </c>
      <c r="D13" s="136"/>
      <c r="E13" s="136"/>
      <c r="F13" s="118"/>
      <c r="G13" s="219"/>
      <c r="H13" s="704"/>
      <c r="I13" s="1318"/>
      <c r="J13" s="1319"/>
      <c r="K13" s="1319"/>
      <c r="L13" s="1336">
        <f t="shared" si="0"/>
        <v>0</v>
      </c>
      <c r="M13" s="1319"/>
      <c r="N13" s="1319"/>
      <c r="O13" s="1320">
        <v>4380</v>
      </c>
      <c r="P13" s="1320">
        <v>4380</v>
      </c>
      <c r="Q13" s="1321">
        <f t="shared" si="1"/>
        <v>0</v>
      </c>
      <c r="R13" s="1321">
        <f t="shared" si="2"/>
        <v>0</v>
      </c>
      <c r="S13" s="1322">
        <f t="shared" si="3"/>
        <v>0</v>
      </c>
      <c r="T13" s="624">
        <f t="shared" si="4"/>
        <v>0</v>
      </c>
      <c r="U13" s="121"/>
      <c r="V13" s="121"/>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5"/>
      <c r="BJ13" s="125"/>
      <c r="BK13" s="125"/>
      <c r="BL13" s="118"/>
      <c r="BM13" s="118"/>
      <c r="BN13" s="118"/>
      <c r="BO13" s="118"/>
    </row>
    <row r="14" spans="1:67">
      <c r="B14" s="128" t="s">
        <v>278</v>
      </c>
      <c r="C14" s="322">
        <f>BI55</f>
        <v>0</v>
      </c>
      <c r="D14" s="136"/>
      <c r="E14" s="136"/>
      <c r="F14" s="118"/>
      <c r="G14" s="219"/>
      <c r="H14" s="704"/>
      <c r="I14" s="1318"/>
      <c r="J14" s="1319"/>
      <c r="K14" s="1319"/>
      <c r="L14" s="1336">
        <f t="shared" si="0"/>
        <v>0</v>
      </c>
      <c r="M14" s="1319"/>
      <c r="N14" s="1319"/>
      <c r="O14" s="1320">
        <v>4380</v>
      </c>
      <c r="P14" s="1320">
        <v>4380</v>
      </c>
      <c r="Q14" s="1321">
        <f t="shared" si="1"/>
        <v>0</v>
      </c>
      <c r="R14" s="1321">
        <f t="shared" si="2"/>
        <v>0</v>
      </c>
      <c r="S14" s="1322">
        <f t="shared" si="3"/>
        <v>0</v>
      </c>
      <c r="T14" s="624">
        <f t="shared" si="4"/>
        <v>0</v>
      </c>
      <c r="U14" s="121"/>
      <c r="V14" s="121"/>
      <c r="W14" s="121"/>
      <c r="X14" s="121"/>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5"/>
      <c r="BJ14" s="125"/>
      <c r="BK14" s="125"/>
      <c r="BL14" s="125"/>
      <c r="BM14" s="125"/>
      <c r="BN14" s="118"/>
      <c r="BO14" s="118"/>
    </row>
    <row r="15" spans="1:67" ht="15.75" thickBot="1">
      <c r="B15" s="128" t="s">
        <v>759</v>
      </c>
      <c r="C15" s="323" t="str">
        <f>IF(Lights_NPV_Capital_Costs&lt;&gt;0,C13/C14,"N/A")</f>
        <v>N/A</v>
      </c>
      <c r="D15" s="136"/>
      <c r="E15" s="136"/>
      <c r="F15" s="118"/>
      <c r="G15" s="219"/>
      <c r="H15" s="704"/>
      <c r="I15" s="1318"/>
      <c r="J15" s="1319"/>
      <c r="K15" s="1319"/>
      <c r="L15" s="1336">
        <f t="shared" si="0"/>
        <v>0</v>
      </c>
      <c r="M15" s="1319"/>
      <c r="N15" s="1319"/>
      <c r="O15" s="1320">
        <v>4380</v>
      </c>
      <c r="P15" s="1320">
        <v>4380</v>
      </c>
      <c r="Q15" s="1321">
        <f t="shared" si="1"/>
        <v>0</v>
      </c>
      <c r="R15" s="1321">
        <f t="shared" si="2"/>
        <v>0</v>
      </c>
      <c r="S15" s="1322">
        <f t="shared" si="3"/>
        <v>0</v>
      </c>
      <c r="T15" s="624">
        <f t="shared" si="4"/>
        <v>0</v>
      </c>
      <c r="U15" s="121"/>
      <c r="V15" s="121"/>
      <c r="W15" s="121"/>
      <c r="X15" s="121"/>
      <c r="Y15" s="121"/>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5"/>
      <c r="BJ15" s="125"/>
      <c r="BK15" s="125"/>
      <c r="BL15" s="125"/>
      <c r="BM15" s="125"/>
      <c r="BN15" s="125"/>
      <c r="BO15" s="118"/>
    </row>
    <row r="16" spans="1:67">
      <c r="A16" s="121"/>
      <c r="B16" s="615" t="s">
        <v>290</v>
      </c>
      <c r="C16" s="207">
        <f>BI62</f>
        <v>0</v>
      </c>
      <c r="D16" s="136"/>
      <c r="E16" s="136"/>
      <c r="F16" s="118"/>
      <c r="G16" s="219"/>
      <c r="H16" s="122"/>
      <c r="I16" s="1318"/>
      <c r="J16" s="1319"/>
      <c r="K16" s="1319"/>
      <c r="L16" s="1336">
        <f t="shared" si="0"/>
        <v>0</v>
      </c>
      <c r="M16" s="1319"/>
      <c r="N16" s="1319"/>
      <c r="O16" s="1320">
        <v>4380</v>
      </c>
      <c r="P16" s="1320">
        <v>4380</v>
      </c>
      <c r="Q16" s="1321">
        <f t="shared" si="1"/>
        <v>0</v>
      </c>
      <c r="R16" s="1321">
        <f t="shared" si="2"/>
        <v>0</v>
      </c>
      <c r="S16" s="1322">
        <f t="shared" si="3"/>
        <v>0</v>
      </c>
      <c r="T16" s="624">
        <f t="shared" si="4"/>
        <v>0</v>
      </c>
      <c r="W16" s="121"/>
      <c r="X16" s="121"/>
      <c r="Y16" s="121"/>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5"/>
      <c r="BJ16" s="125"/>
      <c r="BK16" s="125"/>
      <c r="BL16" s="125"/>
      <c r="BM16" s="125"/>
      <c r="BN16" s="125"/>
      <c r="BO16" s="118"/>
    </row>
    <row r="17" spans="1:67" ht="15.75" thickBot="1">
      <c r="A17" s="121"/>
      <c r="B17" s="324"/>
      <c r="C17" s="325"/>
      <c r="D17" s="136"/>
      <c r="E17" s="136"/>
      <c r="F17" s="118"/>
      <c r="G17" s="219"/>
      <c r="H17" s="122"/>
      <c r="I17" s="1318"/>
      <c r="J17" s="1319"/>
      <c r="K17" s="1319"/>
      <c r="L17" s="1336">
        <f t="shared" si="0"/>
        <v>0</v>
      </c>
      <c r="M17" s="1319"/>
      <c r="N17" s="1330"/>
      <c r="O17" s="1331">
        <v>4380</v>
      </c>
      <c r="P17" s="1331">
        <v>4380</v>
      </c>
      <c r="Q17" s="1323">
        <f t="shared" si="1"/>
        <v>0</v>
      </c>
      <c r="R17" s="1323">
        <f t="shared" si="2"/>
        <v>0</v>
      </c>
      <c r="S17" s="1324">
        <f t="shared" si="3"/>
        <v>0</v>
      </c>
      <c r="T17" s="624">
        <f t="shared" si="4"/>
        <v>0</v>
      </c>
      <c r="W17" s="121"/>
      <c r="X17" s="121"/>
      <c r="Y17" s="121"/>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5"/>
      <c r="BJ17" s="125"/>
      <c r="BK17" s="125"/>
      <c r="BL17" s="125"/>
      <c r="BM17" s="125"/>
      <c r="BN17" s="125"/>
      <c r="BO17" s="118"/>
    </row>
    <row r="18" spans="1:67" ht="16.5" thickBot="1">
      <c r="B18" s="138"/>
      <c r="C18" s="145"/>
      <c r="D18" s="136"/>
      <c r="E18" s="136"/>
      <c r="F18" s="118"/>
      <c r="G18" s="219"/>
      <c r="H18" s="122"/>
      <c r="I18" s="703"/>
      <c r="J18" s="392"/>
      <c r="K18" s="1272"/>
      <c r="L18" s="1270"/>
      <c r="N18" s="2049" t="s">
        <v>966</v>
      </c>
      <c r="O18" s="2050"/>
      <c r="P18" s="2050"/>
      <c r="Q18" s="2050"/>
      <c r="R18" s="2051"/>
      <c r="S18" s="1329">
        <f>SUM(S11:S17)</f>
        <v>0</v>
      </c>
      <c r="T18" s="1325">
        <f>SUM(T11:T17)</f>
        <v>0</v>
      </c>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5"/>
      <c r="BJ18" s="125"/>
      <c r="BK18" s="125"/>
      <c r="BL18" s="125"/>
      <c r="BM18" s="125"/>
      <c r="BN18" s="125"/>
      <c r="BO18" s="118"/>
    </row>
    <row r="19" spans="1:67" ht="14.25">
      <c r="B19" s="137" t="s">
        <v>361</v>
      </c>
      <c r="C19" s="314" t="s">
        <v>271</v>
      </c>
      <c r="D19" s="315" t="s">
        <v>384</v>
      </c>
      <c r="E19" s="585"/>
      <c r="F19" s="306"/>
      <c r="G19" s="219"/>
      <c r="H19" s="122"/>
      <c r="I19" s="700"/>
      <c r="J19" s="700"/>
      <c r="K19" s="121"/>
      <c r="R19" s="136"/>
      <c r="W19" s="122"/>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5"/>
      <c r="BJ19" s="125"/>
      <c r="BK19" s="125"/>
      <c r="BL19" s="125"/>
      <c r="BM19" s="125"/>
      <c r="BN19" s="125"/>
      <c r="BO19" s="118"/>
    </row>
    <row r="20" spans="1:67">
      <c r="B20" s="316" t="s">
        <v>362</v>
      </c>
      <c r="C20" s="208" t="s">
        <v>266</v>
      </c>
      <c r="D20" s="606">
        <f>IF(SUM(F67:BH67)&gt;0,SUM(F67:BH67)/COUNTIF(F67:BH67,"&gt;0"),0)</f>
        <v>0</v>
      </c>
      <c r="E20" s="121"/>
      <c r="F20" s="136"/>
      <c r="G20" s="219"/>
      <c r="H20" s="122"/>
      <c r="I20" s="706"/>
      <c r="J20" s="1271"/>
      <c r="K20" s="705"/>
      <c r="L20" s="1272"/>
      <c r="M20" s="1272"/>
      <c r="N20" s="286"/>
      <c r="O20" s="286"/>
      <c r="P20" s="286"/>
      <c r="Q20" s="286"/>
      <c r="R20" s="122"/>
      <c r="S20" s="421"/>
      <c r="T20" s="421"/>
      <c r="U20" s="138"/>
      <c r="V20" s="138"/>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5"/>
      <c r="BK20" s="125"/>
      <c r="BL20" s="125"/>
      <c r="BM20" s="125"/>
      <c r="BN20" s="125"/>
      <c r="BO20" s="125"/>
    </row>
    <row r="21" spans="1:67" ht="12.75">
      <c r="B21" s="316" t="s">
        <v>362</v>
      </c>
      <c r="C21" s="209" t="s">
        <v>363</v>
      </c>
      <c r="D21" s="607">
        <f>SUM(F67:BH67)</f>
        <v>0</v>
      </c>
      <c r="E21" s="121"/>
      <c r="F21" s="136"/>
      <c r="G21" s="219"/>
      <c r="H21" s="122"/>
      <c r="I21" s="703"/>
      <c r="J21" s="392"/>
      <c r="K21" s="121"/>
      <c r="L21" s="121"/>
      <c r="M21" s="121"/>
      <c r="N21" s="450"/>
      <c r="O21" s="450"/>
      <c r="P21" s="450"/>
      <c r="Q21" s="450"/>
      <c r="R21" s="450"/>
      <c r="S21" s="450"/>
      <c r="T21" s="450"/>
      <c r="U21" s="450"/>
      <c r="V21" s="450"/>
      <c r="W21" s="450"/>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5"/>
      <c r="BK21" s="125"/>
      <c r="BL21" s="125"/>
      <c r="BM21" s="125"/>
      <c r="BN21" s="125"/>
      <c r="BO21" s="125"/>
    </row>
    <row r="22" spans="1:67" ht="12.75">
      <c r="B22" s="316" t="s">
        <v>364</v>
      </c>
      <c r="C22" s="209" t="s">
        <v>268</v>
      </c>
      <c r="D22" s="606" t="e">
        <f>#REF!</f>
        <v>#REF!</v>
      </c>
      <c r="E22" s="121"/>
      <c r="F22" s="136"/>
      <c r="G22" s="219"/>
      <c r="H22" s="122"/>
      <c r="I22" s="703"/>
      <c r="J22" s="392"/>
      <c r="K22" s="121"/>
      <c r="L22" s="121"/>
      <c r="M22" s="121"/>
      <c r="N22" s="121"/>
      <c r="O22" s="121"/>
      <c r="P22" s="122"/>
      <c r="Q22" s="122"/>
      <c r="R22" s="122"/>
      <c r="S22" s="138"/>
      <c r="T22" s="138"/>
      <c r="U22" s="138"/>
      <c r="V22" s="138"/>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5"/>
      <c r="BK22" s="125"/>
      <c r="BL22" s="125"/>
      <c r="BM22" s="125"/>
      <c r="BN22" s="125"/>
      <c r="BO22" s="125"/>
    </row>
    <row r="23" spans="1:67" ht="12.75">
      <c r="B23" s="316" t="s">
        <v>364</v>
      </c>
      <c r="C23" s="209" t="s">
        <v>365</v>
      </c>
      <c r="D23" s="608" t="e">
        <f>D22*#REF!</f>
        <v>#REF!</v>
      </c>
      <c r="E23" s="121"/>
      <c r="F23" s="136"/>
      <c r="G23" s="219"/>
      <c r="H23" s="122"/>
      <c r="I23" s="703"/>
      <c r="J23" s="392"/>
      <c r="K23" s="121"/>
      <c r="L23" s="121"/>
      <c r="M23" s="121"/>
      <c r="N23" s="121"/>
      <c r="O23" s="121"/>
      <c r="P23" s="122"/>
      <c r="Q23" s="122"/>
      <c r="R23" s="122"/>
      <c r="S23" s="138"/>
      <c r="T23" s="138"/>
      <c r="U23" s="693"/>
      <c r="V23" s="138"/>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c r="AX23" s="122"/>
      <c r="AY23" s="122"/>
      <c r="AZ23" s="122"/>
      <c r="BA23" s="122"/>
      <c r="BB23" s="122"/>
      <c r="BC23" s="122"/>
      <c r="BD23" s="122"/>
      <c r="BE23" s="122"/>
      <c r="BF23" s="122"/>
      <c r="BG23" s="122"/>
      <c r="BH23" s="122"/>
      <c r="BI23" s="122"/>
      <c r="BJ23" s="125"/>
      <c r="BK23" s="125"/>
      <c r="BL23" s="125"/>
      <c r="BM23" s="125"/>
      <c r="BN23" s="125"/>
      <c r="BO23" s="125"/>
    </row>
    <row r="24" spans="1:67" ht="14.25">
      <c r="B24" s="128"/>
      <c r="D24" s="1385"/>
      <c r="E24" s="122"/>
      <c r="F24" s="125"/>
      <c r="G24" s="145"/>
      <c r="H24" s="122"/>
      <c r="I24" s="290"/>
      <c r="J24" s="392"/>
      <c r="K24" s="121"/>
      <c r="L24" s="121"/>
      <c r="M24" s="121"/>
      <c r="N24" s="121"/>
      <c r="O24" s="121"/>
      <c r="P24" s="122"/>
      <c r="Q24" s="122"/>
      <c r="R24" s="122"/>
      <c r="S24" s="422"/>
      <c r="T24" s="422"/>
      <c r="U24" s="693"/>
      <c r="V24" s="138"/>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c r="AX24" s="122"/>
      <c r="AY24" s="122"/>
      <c r="AZ24" s="122"/>
      <c r="BA24" s="122"/>
      <c r="BB24" s="122"/>
      <c r="BC24" s="122"/>
      <c r="BD24" s="122"/>
      <c r="BE24" s="122"/>
      <c r="BF24" s="122"/>
      <c r="BG24" s="122"/>
      <c r="BH24" s="122"/>
      <c r="BI24" s="122"/>
      <c r="BJ24" s="125"/>
      <c r="BK24" s="125"/>
      <c r="BL24" s="125"/>
      <c r="BM24" s="125"/>
      <c r="BN24" s="125"/>
      <c r="BO24" s="125"/>
    </row>
    <row r="25" spans="1:67" ht="12.75">
      <c r="B25" s="128"/>
      <c r="C25" s="145"/>
      <c r="D25" s="317"/>
      <c r="E25" s="121"/>
      <c r="F25" s="136"/>
      <c r="G25" s="219"/>
      <c r="H25" s="122"/>
      <c r="I25" s="703"/>
      <c r="J25" s="388"/>
      <c r="K25" s="121"/>
      <c r="L25" s="121"/>
      <c r="M25" s="121"/>
      <c r="N25" s="121"/>
      <c r="O25" s="121"/>
      <c r="P25" s="122"/>
      <c r="Q25" s="122"/>
      <c r="R25" s="122"/>
      <c r="S25" s="421"/>
      <c r="T25" s="421"/>
      <c r="U25" s="421"/>
      <c r="V25" s="138"/>
      <c r="W25" s="122"/>
      <c r="X25" s="122"/>
      <c r="Y25" s="122"/>
      <c r="Z25" s="122"/>
      <c r="AA25" s="122"/>
      <c r="AB25" s="122"/>
      <c r="AC25" s="122"/>
      <c r="AD25" s="122"/>
      <c r="AE25" s="122"/>
      <c r="AF25" s="122"/>
      <c r="AG25" s="122"/>
      <c r="AH25" s="122"/>
      <c r="AI25" s="122"/>
      <c r="AJ25" s="122"/>
      <c r="AK25" s="122"/>
      <c r="AL25" s="122"/>
      <c r="AM25" s="122"/>
      <c r="AN25" s="122"/>
      <c r="AO25" s="122"/>
      <c r="AP25" s="122"/>
      <c r="AQ25" s="122"/>
      <c r="AR25" s="122"/>
      <c r="AS25" s="122"/>
      <c r="AT25" s="122"/>
      <c r="AU25" s="122"/>
      <c r="AV25" s="122"/>
      <c r="AW25" s="122"/>
      <c r="AX25" s="122"/>
      <c r="AY25" s="122"/>
      <c r="AZ25" s="122"/>
      <c r="BA25" s="122"/>
      <c r="BB25" s="122"/>
      <c r="BC25" s="122"/>
      <c r="BD25" s="122"/>
      <c r="BE25" s="122"/>
      <c r="BF25" s="122"/>
      <c r="BG25" s="122"/>
      <c r="BH25" s="122"/>
      <c r="BI25" s="122"/>
      <c r="BJ25" s="125"/>
      <c r="BK25" s="125"/>
      <c r="BL25" s="125"/>
      <c r="BM25" s="125"/>
      <c r="BN25" s="125"/>
      <c r="BO25" s="125"/>
    </row>
    <row r="26" spans="1:67" ht="12.75">
      <c r="B26" s="316" t="s">
        <v>378</v>
      </c>
      <c r="C26" s="209" t="s">
        <v>379</v>
      </c>
      <c r="D26" s="606" t="e">
        <f>D22*#REF!+D24*#REF!</f>
        <v>#REF!</v>
      </c>
      <c r="E26" s="121"/>
      <c r="F26" s="136"/>
      <c r="G26" s="219"/>
      <c r="H26" s="122"/>
      <c r="I26" s="121"/>
      <c r="J26" s="240"/>
      <c r="K26" s="480"/>
      <c r="L26" s="121"/>
      <c r="M26" s="121"/>
      <c r="N26" s="121"/>
      <c r="O26" s="121"/>
      <c r="P26" s="122"/>
      <c r="Q26" s="122"/>
      <c r="R26" s="122"/>
      <c r="S26" s="1269"/>
      <c r="T26" s="1269"/>
      <c r="U26" s="453"/>
      <c r="V26" s="453"/>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5"/>
      <c r="BK26" s="125"/>
      <c r="BL26" s="125"/>
      <c r="BM26" s="125"/>
      <c r="BN26" s="125"/>
      <c r="BO26" s="125"/>
    </row>
    <row r="27" spans="1:67" ht="13.5" thickBot="1">
      <c r="B27" s="318" t="s">
        <v>378</v>
      </c>
      <c r="C27" s="319" t="s">
        <v>380</v>
      </c>
      <c r="D27" s="609" t="e">
        <f>D23*#REF!+D25*#REF!</f>
        <v>#REF!</v>
      </c>
      <c r="E27" s="121"/>
      <c r="F27" s="136"/>
      <c r="G27" s="219"/>
      <c r="H27" s="122"/>
      <c r="I27" s="703"/>
      <c r="J27" s="388"/>
      <c r="K27" s="96"/>
      <c r="L27" s="121"/>
      <c r="M27" s="121"/>
      <c r="N27" s="121"/>
      <c r="O27" s="121"/>
      <c r="P27" s="122"/>
      <c r="Q27" s="122"/>
      <c r="R27" s="122"/>
      <c r="S27" s="453"/>
      <c r="T27" s="453"/>
      <c r="U27" s="138"/>
      <c r="V27" s="138"/>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c r="AX27" s="122"/>
      <c r="AY27" s="122"/>
      <c r="AZ27" s="122"/>
      <c r="BA27" s="122"/>
      <c r="BB27" s="122"/>
      <c r="BC27" s="122"/>
      <c r="BD27" s="122"/>
      <c r="BE27" s="122"/>
      <c r="BF27" s="122"/>
      <c r="BG27" s="122"/>
      <c r="BH27" s="122"/>
      <c r="BI27" s="122"/>
      <c r="BJ27" s="125"/>
      <c r="BK27" s="125"/>
      <c r="BL27" s="125"/>
      <c r="BM27" s="125"/>
      <c r="BN27" s="125"/>
      <c r="BO27" s="125"/>
    </row>
    <row r="28" spans="1:67" ht="13.5" thickBot="1">
      <c r="B28" s="143"/>
      <c r="C28" s="143"/>
      <c r="D28" s="148"/>
      <c r="E28" s="121"/>
      <c r="F28" s="136"/>
      <c r="G28" s="219"/>
      <c r="H28" s="122"/>
      <c r="I28" s="121"/>
      <c r="J28" s="240"/>
      <c r="K28" s="387"/>
      <c r="L28" s="1269"/>
      <c r="M28" s="121"/>
      <c r="N28" s="121"/>
      <c r="O28" s="121"/>
      <c r="P28" s="122"/>
      <c r="Q28" s="122"/>
      <c r="R28" s="122"/>
      <c r="S28" s="138"/>
      <c r="T28" s="138"/>
      <c r="U28" s="138"/>
      <c r="V28" s="121"/>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c r="AX28" s="122"/>
      <c r="AY28" s="122"/>
      <c r="AZ28" s="122"/>
      <c r="BA28" s="122"/>
      <c r="BB28" s="122"/>
      <c r="BC28" s="122"/>
      <c r="BD28" s="122"/>
      <c r="BE28" s="122"/>
      <c r="BF28" s="122"/>
      <c r="BG28" s="122"/>
      <c r="BH28" s="122"/>
      <c r="BI28" s="122"/>
      <c r="BJ28" s="125"/>
      <c r="BK28" s="125"/>
      <c r="BL28" s="125"/>
      <c r="BM28" s="125"/>
      <c r="BN28" s="125"/>
      <c r="BO28" s="125"/>
    </row>
    <row r="29" spans="1:67" ht="12.75">
      <c r="B29" s="149" t="s">
        <v>366</v>
      </c>
      <c r="C29" s="150" t="s">
        <v>271</v>
      </c>
      <c r="D29" s="312" t="s">
        <v>384</v>
      </c>
      <c r="E29" s="585"/>
      <c r="F29" s="306"/>
      <c r="G29" s="219"/>
      <c r="H29" s="122"/>
      <c r="I29" s="290"/>
      <c r="J29" s="391"/>
      <c r="K29" s="329"/>
      <c r="L29" s="478"/>
      <c r="M29" s="390"/>
      <c r="N29" s="391"/>
      <c r="O29" s="391"/>
      <c r="P29" s="122"/>
      <c r="Q29" s="122"/>
      <c r="R29" s="122"/>
      <c r="S29" s="138"/>
      <c r="T29" s="138"/>
      <c r="U29" s="138"/>
      <c r="V29" s="121"/>
      <c r="W29" s="122"/>
      <c r="X29" s="122"/>
      <c r="Y29" s="122"/>
      <c r="Z29" s="122"/>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c r="AX29" s="122"/>
      <c r="AY29" s="122"/>
      <c r="AZ29" s="122"/>
      <c r="BA29" s="122"/>
      <c r="BB29" s="122"/>
      <c r="BC29" s="122"/>
      <c r="BD29" s="122"/>
      <c r="BE29" s="122"/>
      <c r="BF29" s="122"/>
      <c r="BG29" s="122"/>
      <c r="BH29" s="122"/>
      <c r="BI29" s="122"/>
      <c r="BJ29" s="125"/>
      <c r="BK29" s="125"/>
      <c r="BL29" s="125"/>
      <c r="BM29" s="125"/>
      <c r="BN29" s="125"/>
      <c r="BO29" s="125"/>
    </row>
    <row r="30" spans="1:67" ht="12.75">
      <c r="B30" s="128" t="s">
        <v>6</v>
      </c>
      <c r="C30" s="138" t="s">
        <v>287</v>
      </c>
      <c r="D30" s="590">
        <f>T18</f>
        <v>0</v>
      </c>
      <c r="E30" s="121"/>
      <c r="F30" s="136"/>
      <c r="G30" s="219"/>
      <c r="H30" s="122"/>
      <c r="I30" s="121"/>
      <c r="J30" s="121"/>
      <c r="K30" s="121"/>
      <c r="L30" s="478"/>
      <c r="M30" s="390"/>
      <c r="N30" s="391"/>
      <c r="O30" s="391"/>
      <c r="P30" s="122"/>
      <c r="Q30" s="122"/>
      <c r="R30" s="122"/>
      <c r="S30" s="138"/>
      <c r="T30" s="138"/>
      <c r="U30" s="138"/>
      <c r="V30" s="121"/>
      <c r="W30" s="122"/>
      <c r="X30" s="122"/>
      <c r="Y30" s="122"/>
      <c r="Z30" s="12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c r="AX30" s="122"/>
      <c r="AY30" s="122"/>
      <c r="AZ30" s="122"/>
      <c r="BA30" s="122"/>
      <c r="BB30" s="122"/>
      <c r="BC30" s="122"/>
      <c r="BD30" s="122"/>
      <c r="BE30" s="122"/>
      <c r="BF30" s="122"/>
      <c r="BG30" s="122"/>
      <c r="BH30" s="122"/>
      <c r="BI30" s="122"/>
      <c r="BJ30" s="125"/>
      <c r="BK30" s="125"/>
      <c r="BL30" s="125"/>
      <c r="BM30" s="125"/>
      <c r="BN30" s="125"/>
      <c r="BO30" s="125"/>
    </row>
    <row r="31" spans="1:67" ht="12.75">
      <c r="B31" s="128" t="s">
        <v>286</v>
      </c>
      <c r="C31" s="138" t="s">
        <v>333</v>
      </c>
      <c r="D31" s="589">
        <v>2015</v>
      </c>
      <c r="E31" s="118"/>
      <c r="G31" s="219"/>
      <c r="H31" s="122"/>
      <c r="L31" s="387"/>
      <c r="M31" s="388"/>
      <c r="N31" s="392"/>
      <c r="O31" s="392"/>
      <c r="P31" s="122"/>
      <c r="Q31" s="122"/>
      <c r="R31" s="122"/>
      <c r="S31" s="138"/>
      <c r="T31" s="138"/>
      <c r="U31" s="121"/>
      <c r="V31" s="121"/>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c r="AX31" s="122"/>
      <c r="AY31" s="122"/>
      <c r="AZ31" s="122"/>
      <c r="BA31" s="122"/>
      <c r="BB31" s="122"/>
      <c r="BC31" s="122"/>
      <c r="BD31" s="122"/>
      <c r="BE31" s="122"/>
      <c r="BF31" s="122"/>
      <c r="BG31" s="122"/>
      <c r="BH31" s="122"/>
      <c r="BI31" s="122"/>
      <c r="BJ31" s="125"/>
      <c r="BK31" s="125"/>
      <c r="BL31" s="125"/>
      <c r="BM31" s="125"/>
      <c r="BN31" s="125"/>
      <c r="BO31" s="125"/>
    </row>
    <row r="32" spans="1:67" ht="12.75">
      <c r="B32" s="128" t="s">
        <v>279</v>
      </c>
      <c r="C32" s="138" t="s">
        <v>280</v>
      </c>
      <c r="D32" s="664">
        <v>10</v>
      </c>
      <c r="E32" s="118"/>
      <c r="G32" s="219"/>
      <c r="H32" s="122"/>
      <c r="L32" s="121"/>
      <c r="M32" s="121"/>
      <c r="N32" s="121"/>
      <c r="O32" s="121"/>
      <c r="P32" s="122"/>
      <c r="Q32" s="122"/>
      <c r="R32" s="122"/>
      <c r="S32" s="138"/>
      <c r="T32" s="138"/>
      <c r="U32" s="454"/>
      <c r="V32" s="121"/>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c r="BJ32" s="125"/>
      <c r="BK32" s="125"/>
      <c r="BL32" s="125"/>
      <c r="BM32" s="125"/>
      <c r="BN32" s="125"/>
      <c r="BO32" s="125"/>
    </row>
    <row r="33" spans="2:67">
      <c r="B33" s="128" t="s">
        <v>367</v>
      </c>
      <c r="C33" s="151" t="s">
        <v>266</v>
      </c>
      <c r="D33" s="591">
        <f>S18</f>
        <v>0</v>
      </c>
      <c r="E33" s="118"/>
      <c r="G33" s="219"/>
      <c r="H33" s="122"/>
      <c r="I33" s="269"/>
      <c r="J33" s="9"/>
      <c r="K33" s="9"/>
      <c r="L33" s="9"/>
      <c r="M33" s="9"/>
      <c r="N33" s="2052"/>
      <c r="O33" s="2052"/>
      <c r="P33" s="122"/>
      <c r="Q33" s="122"/>
      <c r="R33" s="122"/>
      <c r="S33" s="138"/>
      <c r="T33" s="138"/>
      <c r="U33" s="138"/>
      <c r="V33" s="121"/>
      <c r="W33" s="122"/>
      <c r="X33" s="122"/>
      <c r="Y33" s="122"/>
      <c r="Z33" s="122"/>
      <c r="AA33" s="122"/>
      <c r="AB33" s="122"/>
      <c r="AC33" s="122"/>
      <c r="AD33" s="122"/>
      <c r="AE33" s="122"/>
      <c r="AF33" s="122"/>
      <c r="AG33" s="122"/>
      <c r="AH33" s="122"/>
      <c r="AI33" s="122"/>
      <c r="AJ33" s="122"/>
      <c r="AK33" s="122"/>
      <c r="AL33" s="122"/>
      <c r="AM33" s="122"/>
      <c r="AN33" s="122"/>
      <c r="AO33" s="122"/>
      <c r="AP33" s="122"/>
      <c r="AQ33" s="122"/>
      <c r="AR33" s="122"/>
      <c r="AS33" s="122"/>
      <c r="AT33" s="122"/>
      <c r="AU33" s="122"/>
      <c r="AV33" s="122"/>
      <c r="AW33" s="122"/>
      <c r="AX33" s="122"/>
      <c r="AY33" s="122"/>
      <c r="AZ33" s="122"/>
      <c r="BA33" s="122"/>
      <c r="BB33" s="122"/>
      <c r="BC33" s="122"/>
      <c r="BD33" s="122"/>
      <c r="BE33" s="122"/>
      <c r="BF33" s="122"/>
      <c r="BG33" s="122"/>
      <c r="BH33" s="122"/>
      <c r="BI33" s="122"/>
      <c r="BJ33" s="125"/>
      <c r="BK33" s="125"/>
      <c r="BL33" s="125"/>
      <c r="BM33" s="125"/>
      <c r="BN33" s="125"/>
      <c r="BO33" s="125"/>
    </row>
    <row r="34" spans="2:67" ht="25.5">
      <c r="B34" s="128" t="s">
        <v>368</v>
      </c>
      <c r="C34" s="138" t="str">
        <f>IF(C7="Railbelt South of Alaska Range","mmBtu displaced per year", "gallons displaced per year")</f>
        <v>gallons displaced per year</v>
      </c>
      <c r="D34" s="592" t="e">
        <f>IF(#REF!="No",J27,J22)</f>
        <v>#REF!</v>
      </c>
      <c r="E34" s="118"/>
      <c r="G34" s="219"/>
      <c r="H34" s="122"/>
      <c r="I34" s="273"/>
      <c r="J34" s="9"/>
      <c r="K34" s="9"/>
      <c r="L34" s="9"/>
      <c r="M34" s="9"/>
      <c r="N34" s="9"/>
      <c r="O34" s="9"/>
      <c r="P34" s="122"/>
      <c r="Q34" s="122"/>
      <c r="R34" s="122"/>
      <c r="S34" s="122"/>
      <c r="T34" s="122"/>
      <c r="U34" s="122"/>
      <c r="V34" s="122"/>
      <c r="W34" s="122"/>
      <c r="X34" s="122"/>
      <c r="Y34" s="122"/>
      <c r="Z34" s="122"/>
      <c r="AA34" s="122"/>
      <c r="AB34" s="122"/>
      <c r="AC34" s="122"/>
      <c r="AD34" s="122"/>
      <c r="AE34" s="122"/>
      <c r="AF34" s="122"/>
      <c r="AG34" s="122"/>
      <c r="AH34" s="122"/>
      <c r="AI34" s="122"/>
      <c r="AJ34" s="122"/>
      <c r="AK34" s="122"/>
      <c r="AL34" s="122"/>
      <c r="AM34" s="122"/>
      <c r="AN34" s="122"/>
      <c r="AO34" s="122"/>
      <c r="AP34" s="122"/>
      <c r="AQ34" s="122"/>
      <c r="AR34" s="122"/>
      <c r="AS34" s="122"/>
      <c r="AT34" s="122"/>
      <c r="AU34" s="122"/>
      <c r="AV34" s="122"/>
      <c r="AW34" s="122"/>
      <c r="AX34" s="122"/>
      <c r="AY34" s="122"/>
      <c r="AZ34" s="122"/>
      <c r="BA34" s="122"/>
      <c r="BB34" s="122"/>
      <c r="BC34" s="122"/>
      <c r="BD34" s="122"/>
      <c r="BE34" s="122"/>
      <c r="BF34" s="122"/>
      <c r="BG34" s="122"/>
      <c r="BH34" s="122"/>
      <c r="BI34" s="122"/>
      <c r="BJ34" s="125"/>
      <c r="BK34" s="125"/>
      <c r="BL34" s="125"/>
      <c r="BM34" s="125"/>
      <c r="BN34" s="125"/>
      <c r="BO34" s="125"/>
    </row>
    <row r="35" spans="2:67" ht="25.5">
      <c r="B35" s="128" t="s">
        <v>369</v>
      </c>
      <c r="C35" s="138" t="s">
        <v>315</v>
      </c>
      <c r="D35" s="593"/>
      <c r="E35" s="118"/>
      <c r="G35" s="219"/>
      <c r="H35" s="122"/>
      <c r="I35" s="274"/>
      <c r="J35" s="272"/>
      <c r="K35" s="272"/>
      <c r="L35" s="272"/>
      <c r="M35" s="271"/>
      <c r="N35" s="1988"/>
      <c r="O35" s="1988"/>
      <c r="P35" s="121"/>
      <c r="Q35" s="121"/>
      <c r="R35" s="121"/>
      <c r="S35" s="122"/>
      <c r="T35" s="122"/>
      <c r="U35" s="122"/>
      <c r="V35" s="122"/>
      <c r="W35" s="122"/>
      <c r="X35" s="122"/>
      <c r="Y35" s="122"/>
      <c r="Z35" s="122"/>
      <c r="AA35" s="122"/>
      <c r="AB35" s="122"/>
      <c r="AC35" s="122"/>
      <c r="AD35" s="122"/>
      <c r="AE35" s="122"/>
      <c r="AF35" s="122"/>
      <c r="AG35" s="122"/>
      <c r="AH35" s="122"/>
      <c r="AI35" s="122"/>
      <c r="AJ35" s="122"/>
      <c r="AK35" s="122"/>
      <c r="AL35" s="122"/>
      <c r="AM35" s="122"/>
      <c r="AN35" s="122"/>
      <c r="AO35" s="122"/>
      <c r="AP35" s="122"/>
      <c r="AQ35" s="122"/>
      <c r="AR35" s="122"/>
      <c r="AS35" s="122"/>
      <c r="AT35" s="122"/>
      <c r="AU35" s="122"/>
      <c r="AV35" s="122"/>
      <c r="AW35" s="122"/>
      <c r="AX35" s="122"/>
      <c r="AY35" s="122"/>
      <c r="AZ35" s="122"/>
      <c r="BA35" s="122"/>
      <c r="BB35" s="122"/>
      <c r="BC35" s="122"/>
      <c r="BD35" s="122"/>
      <c r="BE35" s="122"/>
      <c r="BF35" s="122"/>
      <c r="BG35" s="122"/>
      <c r="BH35" s="122"/>
      <c r="BI35" s="122"/>
      <c r="BJ35" s="125"/>
      <c r="BK35" s="125"/>
      <c r="BL35" s="125"/>
      <c r="BM35" s="125"/>
      <c r="BN35" s="125"/>
      <c r="BO35" s="125"/>
    </row>
    <row r="36" spans="2:67" ht="12.75">
      <c r="B36" s="128" t="s">
        <v>321</v>
      </c>
      <c r="C36" s="152" t="s">
        <v>265</v>
      </c>
      <c r="D36" s="594"/>
      <c r="E36" s="118"/>
      <c r="G36" s="219"/>
      <c r="H36" s="122"/>
      <c r="I36" s="125"/>
      <c r="L36" s="583"/>
      <c r="M36" s="9"/>
      <c r="N36" s="180"/>
      <c r="O36" s="12"/>
      <c r="P36" s="118"/>
      <c r="Q36" s="118"/>
      <c r="R36" s="118"/>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596"/>
      <c r="E37" s="118"/>
      <c r="G37" s="219"/>
      <c r="H37" s="122"/>
      <c r="I37" s="125"/>
      <c r="L37" s="9"/>
      <c r="M37" s="9"/>
      <c r="N37" s="9"/>
      <c r="O37" s="387"/>
      <c r="P37" s="118"/>
      <c r="Q37" s="118"/>
      <c r="R37" s="118"/>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595"/>
      <c r="E38" s="118"/>
      <c r="G38" s="219"/>
      <c r="H38" s="122"/>
      <c r="I38" s="125"/>
      <c r="L38" s="9"/>
      <c r="M38" s="9"/>
      <c r="N38" s="9"/>
      <c r="O38" s="392"/>
      <c r="P38" s="118"/>
      <c r="Q38" s="118"/>
      <c r="R38" s="118"/>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597"/>
      <c r="E39" s="118"/>
      <c r="G39" s="219"/>
      <c r="H39" s="122"/>
      <c r="I39" s="125"/>
      <c r="L39" s="9"/>
      <c r="M39" s="9"/>
      <c r="N39" s="9"/>
      <c r="O39" s="392"/>
      <c r="P39" s="118"/>
      <c r="Q39" s="118"/>
      <c r="R39" s="118"/>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3" t="s">
        <v>352</v>
      </c>
      <c r="D40" s="598"/>
      <c r="E40" s="118"/>
      <c r="G40" s="219"/>
      <c r="H40" s="122"/>
      <c r="I40" s="125"/>
      <c r="L40" s="9"/>
      <c r="M40" s="9"/>
      <c r="N40" s="9"/>
      <c r="O40" s="9"/>
      <c r="P40" s="118"/>
      <c r="Q40" s="118"/>
      <c r="R40" s="118"/>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19"/>
      <c r="H41" s="122"/>
      <c r="I41" s="125"/>
      <c r="L41" s="9"/>
      <c r="M41" s="9"/>
      <c r="N41" s="9"/>
      <c r="O41" s="9"/>
      <c r="P41" s="118"/>
      <c r="Q41" s="118"/>
      <c r="R41" s="118"/>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156" t="s">
        <v>327</v>
      </c>
      <c r="C42" s="157" t="s">
        <v>271</v>
      </c>
      <c r="D42" s="506" t="s">
        <v>272</v>
      </c>
      <c r="E42" s="118"/>
      <c r="G42" s="219"/>
      <c r="H42" s="122"/>
      <c r="I42" s="125"/>
      <c r="L42" s="9"/>
      <c r="M42" s="9"/>
      <c r="N42" s="9"/>
      <c r="O42" s="122"/>
      <c r="P42" s="118"/>
      <c r="Q42" s="118"/>
      <c r="R42" s="118"/>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158" t="s">
        <v>276</v>
      </c>
      <c r="C43" s="138" t="s">
        <v>265</v>
      </c>
      <c r="D43" s="599">
        <v>0.02</v>
      </c>
      <c r="E43" s="118"/>
      <c r="F43" s="159"/>
      <c r="G43" s="219"/>
      <c r="H43" s="122"/>
      <c r="I43" s="125"/>
      <c r="L43" s="9"/>
      <c r="M43" s="9"/>
      <c r="N43" s="9"/>
      <c r="O43" s="122"/>
      <c r="P43" s="118"/>
      <c r="Q43" s="118"/>
      <c r="R43" s="118"/>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160" t="s">
        <v>328</v>
      </c>
      <c r="C44" s="143" t="s">
        <v>281</v>
      </c>
      <c r="D44" s="614">
        <f>'Community data'!B21</f>
        <v>10.802351555020987</v>
      </c>
      <c r="E44" s="118"/>
      <c r="F44" s="159"/>
      <c r="G44" s="219"/>
      <c r="H44" s="122"/>
      <c r="I44" s="125"/>
      <c r="L44" s="9"/>
      <c r="M44" s="9"/>
      <c r="N44" s="9"/>
      <c r="O44" s="122"/>
      <c r="P44" s="118"/>
      <c r="Q44" s="118"/>
      <c r="R44" s="118"/>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19"/>
      <c r="H45" s="122"/>
      <c r="I45" s="125"/>
      <c r="L45" s="122"/>
      <c r="M45" s="122"/>
      <c r="N45" s="9"/>
      <c r="O45" s="122"/>
      <c r="P45" s="118"/>
      <c r="Q45" s="118"/>
      <c r="R45" s="118"/>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0" t="s">
        <v>272</v>
      </c>
      <c r="E46" s="118"/>
      <c r="F46" s="159"/>
      <c r="G46" s="219"/>
      <c r="H46" s="122"/>
      <c r="I46" s="125"/>
      <c r="L46" s="122"/>
      <c r="M46" s="122"/>
      <c r="N46" s="9"/>
      <c r="O46" s="122"/>
      <c r="P46" s="118"/>
      <c r="Q46" s="118"/>
      <c r="R46" s="118"/>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1" t="s">
        <v>282</v>
      </c>
      <c r="C47" s="138" t="s">
        <v>269</v>
      </c>
      <c r="D47" s="601">
        <f>Fuel_Oil_price-Diesel__utility_price</f>
        <v>0.45000000000000018</v>
      </c>
      <c r="E47" s="118"/>
      <c r="F47" s="136"/>
      <c r="G47" s="219"/>
      <c r="H47" s="122"/>
      <c r="I47" s="125"/>
      <c r="L47" s="125" t="s">
        <v>814</v>
      </c>
      <c r="M47" s="122"/>
      <c r="N47" s="9"/>
      <c r="O47" s="122"/>
      <c r="P47" s="118"/>
      <c r="Q47" s="118"/>
      <c r="R47" s="118"/>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02">
        <f>Assumptions!B26</f>
        <v>0</v>
      </c>
      <c r="E48" s="118"/>
      <c r="F48" s="159"/>
      <c r="G48" s="159"/>
      <c r="H48" s="159"/>
      <c r="I48" s="159"/>
      <c r="J48" s="159"/>
      <c r="L48" s="125"/>
      <c r="M48" s="122"/>
      <c r="N48" s="122"/>
      <c r="O48" s="122"/>
      <c r="P48" s="118"/>
      <c r="Q48" s="118"/>
      <c r="R48" s="118"/>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e">
        <f>IF(#REF!="custom",#REF!,IF(C7="rural",#REF!,#REF!))</f>
        <v>#REF!</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04"/>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BH54" si="5">F54+1</f>
        <v>2015</v>
      </c>
      <c r="H54" s="171">
        <f t="shared" si="5"/>
        <v>2016</v>
      </c>
      <c r="I54" s="171">
        <f t="shared" si="5"/>
        <v>2017</v>
      </c>
      <c r="J54" s="171">
        <f t="shared" si="5"/>
        <v>2018</v>
      </c>
      <c r="K54" s="171">
        <f t="shared" si="5"/>
        <v>2019</v>
      </c>
      <c r="L54" s="171">
        <f t="shared" si="5"/>
        <v>2020</v>
      </c>
      <c r="M54" s="171">
        <f t="shared" si="5"/>
        <v>2021</v>
      </c>
      <c r="N54" s="171">
        <f t="shared" si="5"/>
        <v>2022</v>
      </c>
      <c r="O54" s="171">
        <f t="shared" si="5"/>
        <v>2023</v>
      </c>
      <c r="P54" s="171">
        <f t="shared" si="5"/>
        <v>2024</v>
      </c>
      <c r="Q54" s="171">
        <f t="shared" si="5"/>
        <v>2025</v>
      </c>
      <c r="R54" s="171">
        <f t="shared" si="5"/>
        <v>2026</v>
      </c>
      <c r="S54" s="306">
        <f t="shared" si="5"/>
        <v>2027</v>
      </c>
      <c r="T54" s="306">
        <f t="shared" si="5"/>
        <v>2028</v>
      </c>
      <c r="U54" s="306">
        <f t="shared" si="5"/>
        <v>2029</v>
      </c>
      <c r="V54" s="306">
        <f t="shared" si="5"/>
        <v>2030</v>
      </c>
      <c r="W54" s="306">
        <f t="shared" si="5"/>
        <v>2031</v>
      </c>
      <c r="X54" s="306">
        <f t="shared" si="5"/>
        <v>2032</v>
      </c>
      <c r="Y54" s="306">
        <f t="shared" si="5"/>
        <v>2033</v>
      </c>
      <c r="Z54" s="306">
        <f t="shared" si="5"/>
        <v>2034</v>
      </c>
      <c r="AA54" s="306">
        <f t="shared" si="5"/>
        <v>2035</v>
      </c>
      <c r="AB54" s="306">
        <f t="shared" si="5"/>
        <v>2036</v>
      </c>
      <c r="AC54" s="306">
        <f t="shared" si="5"/>
        <v>2037</v>
      </c>
      <c r="AD54" s="306">
        <f t="shared" si="5"/>
        <v>2038</v>
      </c>
      <c r="AE54" s="306">
        <f t="shared" si="5"/>
        <v>2039</v>
      </c>
      <c r="AF54" s="306">
        <f t="shared" si="5"/>
        <v>2040</v>
      </c>
      <c r="AG54" s="306">
        <f t="shared" si="5"/>
        <v>2041</v>
      </c>
      <c r="AH54" s="306">
        <f t="shared" si="5"/>
        <v>2042</v>
      </c>
      <c r="AI54" s="306">
        <f t="shared" si="5"/>
        <v>2043</v>
      </c>
      <c r="AJ54" s="306">
        <f t="shared" si="5"/>
        <v>2044</v>
      </c>
      <c r="AK54" s="306">
        <f t="shared" si="5"/>
        <v>2045</v>
      </c>
      <c r="AL54" s="306">
        <f t="shared" si="5"/>
        <v>2046</v>
      </c>
      <c r="AM54" s="306">
        <f t="shared" si="5"/>
        <v>2047</v>
      </c>
      <c r="AN54" s="306">
        <f t="shared" si="5"/>
        <v>2048</v>
      </c>
      <c r="AO54" s="306">
        <f t="shared" si="5"/>
        <v>2049</v>
      </c>
      <c r="AP54" s="306">
        <f t="shared" si="5"/>
        <v>2050</v>
      </c>
      <c r="AQ54" s="306">
        <f t="shared" si="5"/>
        <v>2051</v>
      </c>
      <c r="AR54" s="306">
        <f t="shared" si="5"/>
        <v>2052</v>
      </c>
      <c r="AS54" s="306">
        <f t="shared" si="5"/>
        <v>2053</v>
      </c>
      <c r="AT54" s="306">
        <f t="shared" si="5"/>
        <v>2054</v>
      </c>
      <c r="AU54" s="306">
        <f t="shared" si="5"/>
        <v>2055</v>
      </c>
      <c r="AV54" s="306">
        <f t="shared" si="5"/>
        <v>2056</v>
      </c>
      <c r="AW54" s="306">
        <f t="shared" si="5"/>
        <v>2057</v>
      </c>
      <c r="AX54" s="306">
        <f t="shared" si="5"/>
        <v>2058</v>
      </c>
      <c r="AY54" s="306">
        <f t="shared" si="5"/>
        <v>2059</v>
      </c>
      <c r="AZ54" s="306">
        <f t="shared" si="5"/>
        <v>2060</v>
      </c>
      <c r="BA54" s="306">
        <f t="shared" si="5"/>
        <v>2061</v>
      </c>
      <c r="BB54" s="306">
        <f t="shared" si="5"/>
        <v>2062</v>
      </c>
      <c r="BC54" s="306">
        <f t="shared" si="5"/>
        <v>2063</v>
      </c>
      <c r="BD54" s="306">
        <f t="shared" si="5"/>
        <v>2064</v>
      </c>
      <c r="BE54" s="306">
        <f t="shared" si="5"/>
        <v>2065</v>
      </c>
      <c r="BF54" s="306">
        <f t="shared" si="5"/>
        <v>2066</v>
      </c>
      <c r="BG54" s="306">
        <f t="shared" si="5"/>
        <v>2067</v>
      </c>
      <c r="BH54" s="306">
        <f t="shared" si="5"/>
        <v>2068</v>
      </c>
      <c r="BI54" s="69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F75-F70</f>
        <v>0</v>
      </c>
      <c r="G57" s="410">
        <f>G75</f>
        <v>0</v>
      </c>
      <c r="H57" s="410">
        <f t="shared" ref="H57:BH57" si="6">H75</f>
        <v>0</v>
      </c>
      <c r="I57" s="410">
        <f t="shared" si="6"/>
        <v>0</v>
      </c>
      <c r="J57" s="410">
        <f t="shared" si="6"/>
        <v>0</v>
      </c>
      <c r="K57" s="410">
        <f t="shared" si="6"/>
        <v>0</v>
      </c>
      <c r="L57" s="410">
        <f t="shared" si="6"/>
        <v>0</v>
      </c>
      <c r="M57" s="410">
        <f t="shared" si="6"/>
        <v>0</v>
      </c>
      <c r="N57" s="410">
        <f t="shared" si="6"/>
        <v>0</v>
      </c>
      <c r="O57" s="410">
        <f t="shared" si="6"/>
        <v>0</v>
      </c>
      <c r="P57" s="410">
        <f t="shared" si="6"/>
        <v>0</v>
      </c>
      <c r="Q57" s="410">
        <f t="shared" si="6"/>
        <v>0</v>
      </c>
      <c r="R57" s="410">
        <f t="shared" si="6"/>
        <v>0</v>
      </c>
      <c r="S57" s="410">
        <f t="shared" si="6"/>
        <v>0</v>
      </c>
      <c r="T57" s="410">
        <f t="shared" si="6"/>
        <v>0</v>
      </c>
      <c r="U57" s="410">
        <f t="shared" si="6"/>
        <v>0</v>
      </c>
      <c r="V57" s="410">
        <f t="shared" si="6"/>
        <v>0</v>
      </c>
      <c r="W57" s="410">
        <f t="shared" si="6"/>
        <v>0</v>
      </c>
      <c r="X57" s="410">
        <f t="shared" si="6"/>
        <v>0</v>
      </c>
      <c r="Y57" s="410">
        <f t="shared" si="6"/>
        <v>0</v>
      </c>
      <c r="Z57" s="410">
        <f t="shared" si="6"/>
        <v>0</v>
      </c>
      <c r="AA57" s="410">
        <f t="shared" si="6"/>
        <v>0</v>
      </c>
      <c r="AB57" s="410">
        <f t="shared" si="6"/>
        <v>0</v>
      </c>
      <c r="AC57" s="410">
        <f t="shared" si="6"/>
        <v>0</v>
      </c>
      <c r="AD57" s="410">
        <f t="shared" si="6"/>
        <v>0</v>
      </c>
      <c r="AE57" s="410">
        <f t="shared" si="6"/>
        <v>0</v>
      </c>
      <c r="AF57" s="410">
        <f t="shared" si="6"/>
        <v>0</v>
      </c>
      <c r="AG57" s="410">
        <f t="shared" si="6"/>
        <v>0</v>
      </c>
      <c r="AH57" s="410">
        <f t="shared" si="6"/>
        <v>0</v>
      </c>
      <c r="AI57" s="410">
        <f t="shared" si="6"/>
        <v>0</v>
      </c>
      <c r="AJ57" s="410">
        <f t="shared" si="6"/>
        <v>0</v>
      </c>
      <c r="AK57" s="410">
        <f t="shared" si="6"/>
        <v>0</v>
      </c>
      <c r="AL57" s="410">
        <f t="shared" si="6"/>
        <v>0</v>
      </c>
      <c r="AM57" s="410">
        <f t="shared" si="6"/>
        <v>0</v>
      </c>
      <c r="AN57" s="410">
        <f t="shared" si="6"/>
        <v>0</v>
      </c>
      <c r="AO57" s="410">
        <f t="shared" si="6"/>
        <v>0</v>
      </c>
      <c r="AP57" s="410">
        <f t="shared" si="6"/>
        <v>0</v>
      </c>
      <c r="AQ57" s="410">
        <f t="shared" si="6"/>
        <v>0</v>
      </c>
      <c r="AR57" s="410">
        <f t="shared" si="6"/>
        <v>0</v>
      </c>
      <c r="AS57" s="410">
        <f t="shared" si="6"/>
        <v>0</v>
      </c>
      <c r="AT57" s="410">
        <f t="shared" si="6"/>
        <v>0</v>
      </c>
      <c r="AU57" s="410">
        <f t="shared" si="6"/>
        <v>0</v>
      </c>
      <c r="AV57" s="410">
        <f t="shared" si="6"/>
        <v>0</v>
      </c>
      <c r="AW57" s="410">
        <f t="shared" si="6"/>
        <v>0</v>
      </c>
      <c r="AX57" s="410">
        <f t="shared" si="6"/>
        <v>0</v>
      </c>
      <c r="AY57" s="410">
        <f t="shared" si="6"/>
        <v>0</v>
      </c>
      <c r="AZ57" s="410">
        <f t="shared" si="6"/>
        <v>0</v>
      </c>
      <c r="BA57" s="410">
        <f t="shared" si="6"/>
        <v>0</v>
      </c>
      <c r="BB57" s="410">
        <f t="shared" si="6"/>
        <v>0</v>
      </c>
      <c r="BC57" s="410">
        <f t="shared" si="6"/>
        <v>0</v>
      </c>
      <c r="BD57" s="410">
        <f t="shared" si="6"/>
        <v>0</v>
      </c>
      <c r="BE57" s="410">
        <f t="shared" si="6"/>
        <v>0</v>
      </c>
      <c r="BF57" s="410">
        <f t="shared" si="6"/>
        <v>0</v>
      </c>
      <c r="BG57" s="410">
        <f t="shared" si="6"/>
        <v>0</v>
      </c>
      <c r="BH57" s="410">
        <f t="shared" si="6"/>
        <v>0</v>
      </c>
      <c r="BI57" s="175">
        <f>NPV($D$49,F57:BH57)</f>
        <v>0</v>
      </c>
      <c r="BJ57" s="121"/>
      <c r="BK57" s="121"/>
      <c r="BL57" s="121"/>
      <c r="BM57" s="121"/>
      <c r="BN57" s="121"/>
      <c r="BO57" s="121"/>
    </row>
    <row r="58" spans="2:67" ht="12.75">
      <c r="C58" s="177"/>
      <c r="D58" s="136" t="s">
        <v>626</v>
      </c>
      <c r="E58" s="121" t="s">
        <v>264</v>
      </c>
      <c r="F58" s="410"/>
      <c r="G58" s="410"/>
      <c r="H58" s="410"/>
      <c r="I58" s="410"/>
      <c r="J58" s="410"/>
      <c r="K58" s="410"/>
      <c r="L58" s="410"/>
      <c r="M58" s="410"/>
      <c r="N58" s="410"/>
      <c r="O58" s="410"/>
      <c r="P58" s="410"/>
      <c r="Q58" s="410"/>
      <c r="R58" s="410"/>
      <c r="S58" s="410"/>
      <c r="T58" s="410"/>
      <c r="U58" s="410"/>
      <c r="V58" s="410"/>
      <c r="W58" s="410"/>
      <c r="X58" s="410"/>
      <c r="Y58" s="410"/>
      <c r="Z58" s="410"/>
      <c r="AA58" s="410"/>
      <c r="AB58" s="410"/>
      <c r="AC58" s="410"/>
      <c r="AD58" s="410"/>
      <c r="AE58" s="410"/>
      <c r="AF58" s="410"/>
      <c r="AG58" s="410"/>
      <c r="AH58" s="410"/>
      <c r="AI58" s="410"/>
      <c r="AJ58" s="410"/>
      <c r="AK58" s="410"/>
      <c r="AL58" s="410"/>
      <c r="AM58" s="410"/>
      <c r="AN58" s="410"/>
      <c r="AO58" s="410"/>
      <c r="AP58" s="410"/>
      <c r="AQ58" s="410"/>
      <c r="AR58" s="410"/>
      <c r="AS58" s="410"/>
      <c r="AT58" s="410"/>
      <c r="AU58" s="410"/>
      <c r="AV58" s="410"/>
      <c r="AW58" s="410"/>
      <c r="AX58" s="410"/>
      <c r="AY58" s="410"/>
      <c r="AZ58" s="410"/>
      <c r="BA58" s="410"/>
      <c r="BB58" s="410"/>
      <c r="BC58" s="410"/>
      <c r="BD58" s="410"/>
      <c r="BE58" s="410"/>
      <c r="BF58" s="410"/>
      <c r="BG58" s="410"/>
      <c r="BH58" s="410"/>
      <c r="BI58" s="175">
        <f>NPV($D$49,F58:BH58)</f>
        <v>0</v>
      </c>
      <c r="BJ58" s="121"/>
      <c r="BK58" s="121"/>
      <c r="BL58" s="121"/>
      <c r="BM58" s="121"/>
      <c r="BN58" s="121"/>
      <c r="BO58" s="121"/>
    </row>
    <row r="59" spans="2:67" ht="12.75">
      <c r="C59" s="177"/>
      <c r="D59" s="179" t="s">
        <v>627</v>
      </c>
      <c r="E59" s="180" t="s">
        <v>264</v>
      </c>
      <c r="F59" s="178">
        <f t="shared" ref="F59:BH59" si="7">F57+F58</f>
        <v>0</v>
      </c>
      <c r="G59" s="178">
        <f t="shared" si="7"/>
        <v>0</v>
      </c>
      <c r="H59" s="178">
        <f t="shared" si="7"/>
        <v>0</v>
      </c>
      <c r="I59" s="178">
        <f t="shared" si="7"/>
        <v>0</v>
      </c>
      <c r="J59" s="178">
        <f t="shared" si="7"/>
        <v>0</v>
      </c>
      <c r="K59" s="178">
        <f t="shared" si="7"/>
        <v>0</v>
      </c>
      <c r="L59" s="178">
        <f t="shared" si="7"/>
        <v>0</v>
      </c>
      <c r="M59" s="178">
        <f t="shared" si="7"/>
        <v>0</v>
      </c>
      <c r="N59" s="178">
        <f t="shared" si="7"/>
        <v>0</v>
      </c>
      <c r="O59" s="178">
        <f t="shared" si="7"/>
        <v>0</v>
      </c>
      <c r="P59" s="178">
        <f t="shared" si="7"/>
        <v>0</v>
      </c>
      <c r="Q59" s="178">
        <f t="shared" si="7"/>
        <v>0</v>
      </c>
      <c r="R59" s="178">
        <f t="shared" si="7"/>
        <v>0</v>
      </c>
      <c r="S59" s="178">
        <f t="shared" si="7"/>
        <v>0</v>
      </c>
      <c r="T59" s="178">
        <f t="shared" si="7"/>
        <v>0</v>
      </c>
      <c r="U59" s="178">
        <f t="shared" si="7"/>
        <v>0</v>
      </c>
      <c r="V59" s="178">
        <f t="shared" si="7"/>
        <v>0</v>
      </c>
      <c r="W59" s="178">
        <f t="shared" si="7"/>
        <v>0</v>
      </c>
      <c r="X59" s="178">
        <f t="shared" si="7"/>
        <v>0</v>
      </c>
      <c r="Y59" s="178">
        <f t="shared" si="7"/>
        <v>0</v>
      </c>
      <c r="Z59" s="178">
        <f t="shared" si="7"/>
        <v>0</v>
      </c>
      <c r="AA59" s="178">
        <f t="shared" si="7"/>
        <v>0</v>
      </c>
      <c r="AB59" s="178">
        <f t="shared" si="7"/>
        <v>0</v>
      </c>
      <c r="AC59" s="178">
        <f t="shared" si="7"/>
        <v>0</v>
      </c>
      <c r="AD59" s="178">
        <f t="shared" si="7"/>
        <v>0</v>
      </c>
      <c r="AE59" s="178">
        <f t="shared" si="7"/>
        <v>0</v>
      </c>
      <c r="AF59" s="178">
        <f t="shared" si="7"/>
        <v>0</v>
      </c>
      <c r="AG59" s="178">
        <f t="shared" si="7"/>
        <v>0</v>
      </c>
      <c r="AH59" s="178">
        <f t="shared" si="7"/>
        <v>0</v>
      </c>
      <c r="AI59" s="178">
        <f t="shared" si="7"/>
        <v>0</v>
      </c>
      <c r="AJ59" s="178">
        <f t="shared" si="7"/>
        <v>0</v>
      </c>
      <c r="AK59" s="178">
        <f t="shared" si="7"/>
        <v>0</v>
      </c>
      <c r="AL59" s="178">
        <f t="shared" si="7"/>
        <v>0</v>
      </c>
      <c r="AM59" s="178">
        <f t="shared" si="7"/>
        <v>0</v>
      </c>
      <c r="AN59" s="178">
        <f t="shared" si="7"/>
        <v>0</v>
      </c>
      <c r="AO59" s="178">
        <f t="shared" si="7"/>
        <v>0</v>
      </c>
      <c r="AP59" s="178">
        <f t="shared" si="7"/>
        <v>0</v>
      </c>
      <c r="AQ59" s="178">
        <f t="shared" si="7"/>
        <v>0</v>
      </c>
      <c r="AR59" s="178">
        <f t="shared" si="7"/>
        <v>0</v>
      </c>
      <c r="AS59" s="178">
        <f t="shared" si="7"/>
        <v>0</v>
      </c>
      <c r="AT59" s="178">
        <f t="shared" si="7"/>
        <v>0</v>
      </c>
      <c r="AU59" s="178">
        <f t="shared" si="7"/>
        <v>0</v>
      </c>
      <c r="AV59" s="178">
        <f t="shared" si="7"/>
        <v>0</v>
      </c>
      <c r="AW59" s="178">
        <f t="shared" si="7"/>
        <v>0</v>
      </c>
      <c r="AX59" s="178">
        <f t="shared" si="7"/>
        <v>0</v>
      </c>
      <c r="AY59" s="178">
        <f t="shared" si="7"/>
        <v>0</v>
      </c>
      <c r="AZ59" s="178">
        <f t="shared" si="7"/>
        <v>0</v>
      </c>
      <c r="BA59" s="178">
        <f t="shared" si="7"/>
        <v>0</v>
      </c>
      <c r="BB59" s="178">
        <f t="shared" si="7"/>
        <v>0</v>
      </c>
      <c r="BC59" s="178">
        <f t="shared" si="7"/>
        <v>0</v>
      </c>
      <c r="BD59" s="178">
        <f t="shared" si="7"/>
        <v>0</v>
      </c>
      <c r="BE59" s="178">
        <f t="shared" si="7"/>
        <v>0</v>
      </c>
      <c r="BF59" s="178">
        <f t="shared" si="7"/>
        <v>0</v>
      </c>
      <c r="BG59" s="178">
        <f t="shared" si="7"/>
        <v>0</v>
      </c>
      <c r="BH59" s="178">
        <f t="shared" si="7"/>
        <v>0</v>
      </c>
      <c r="BI59" s="175">
        <f>NPV($D$49,F59:BH59)</f>
        <v>0</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8">F59-F55</f>
        <v>0</v>
      </c>
      <c r="G62" s="185">
        <f t="shared" si="8"/>
        <v>0</v>
      </c>
      <c r="H62" s="185">
        <f t="shared" si="8"/>
        <v>0</v>
      </c>
      <c r="I62" s="185">
        <f t="shared" si="8"/>
        <v>0</v>
      </c>
      <c r="J62" s="185">
        <f t="shared" si="8"/>
        <v>0</v>
      </c>
      <c r="K62" s="185">
        <f t="shared" si="8"/>
        <v>0</v>
      </c>
      <c r="L62" s="185">
        <f t="shared" si="8"/>
        <v>0</v>
      </c>
      <c r="M62" s="185">
        <f t="shared" si="8"/>
        <v>0</v>
      </c>
      <c r="N62" s="185">
        <f t="shared" si="8"/>
        <v>0</v>
      </c>
      <c r="O62" s="185">
        <f t="shared" si="8"/>
        <v>0</v>
      </c>
      <c r="P62" s="185">
        <f t="shared" si="8"/>
        <v>0</v>
      </c>
      <c r="Q62" s="185">
        <f t="shared" si="8"/>
        <v>0</v>
      </c>
      <c r="R62" s="185">
        <f t="shared" si="8"/>
        <v>0</v>
      </c>
      <c r="S62" s="696">
        <f t="shared" si="8"/>
        <v>0</v>
      </c>
      <c r="T62" s="696">
        <f t="shared" si="8"/>
        <v>0</v>
      </c>
      <c r="U62" s="696">
        <f t="shared" si="8"/>
        <v>0</v>
      </c>
      <c r="V62" s="696">
        <f t="shared" si="8"/>
        <v>0</v>
      </c>
      <c r="W62" s="696">
        <f t="shared" si="8"/>
        <v>0</v>
      </c>
      <c r="X62" s="696">
        <f t="shared" si="8"/>
        <v>0</v>
      </c>
      <c r="Y62" s="696">
        <f t="shared" si="8"/>
        <v>0</v>
      </c>
      <c r="Z62" s="696">
        <f t="shared" si="8"/>
        <v>0</v>
      </c>
      <c r="AA62" s="696">
        <f t="shared" si="8"/>
        <v>0</v>
      </c>
      <c r="AB62" s="696">
        <f t="shared" si="8"/>
        <v>0</v>
      </c>
      <c r="AC62" s="696">
        <f t="shared" si="8"/>
        <v>0</v>
      </c>
      <c r="AD62" s="696">
        <f t="shared" si="8"/>
        <v>0</v>
      </c>
      <c r="AE62" s="696">
        <f t="shared" si="8"/>
        <v>0</v>
      </c>
      <c r="AF62" s="696">
        <f t="shared" si="8"/>
        <v>0</v>
      </c>
      <c r="AG62" s="696">
        <f t="shared" si="8"/>
        <v>0</v>
      </c>
      <c r="AH62" s="696">
        <f t="shared" si="8"/>
        <v>0</v>
      </c>
      <c r="AI62" s="696">
        <f t="shared" si="8"/>
        <v>0</v>
      </c>
      <c r="AJ62" s="696">
        <f t="shared" si="8"/>
        <v>0</v>
      </c>
      <c r="AK62" s="696">
        <f t="shared" si="8"/>
        <v>0</v>
      </c>
      <c r="AL62" s="696">
        <f t="shared" si="8"/>
        <v>0</v>
      </c>
      <c r="AM62" s="696">
        <f t="shared" si="8"/>
        <v>0</v>
      </c>
      <c r="AN62" s="696">
        <f t="shared" si="8"/>
        <v>0</v>
      </c>
      <c r="AO62" s="696">
        <f t="shared" si="8"/>
        <v>0</v>
      </c>
      <c r="AP62" s="696">
        <f t="shared" si="8"/>
        <v>0</v>
      </c>
      <c r="AQ62" s="696">
        <f t="shared" si="8"/>
        <v>0</v>
      </c>
      <c r="AR62" s="696">
        <f t="shared" si="8"/>
        <v>0</v>
      </c>
      <c r="AS62" s="696">
        <f t="shared" si="8"/>
        <v>0</v>
      </c>
      <c r="AT62" s="696">
        <f t="shared" si="8"/>
        <v>0</v>
      </c>
      <c r="AU62" s="696">
        <f t="shared" si="8"/>
        <v>0</v>
      </c>
      <c r="AV62" s="696">
        <f t="shared" si="8"/>
        <v>0</v>
      </c>
      <c r="AW62" s="696">
        <f t="shared" si="8"/>
        <v>0</v>
      </c>
      <c r="AX62" s="696">
        <f t="shared" si="8"/>
        <v>0</v>
      </c>
      <c r="AY62" s="696">
        <f t="shared" si="8"/>
        <v>0</v>
      </c>
      <c r="AZ62" s="696">
        <f t="shared" si="8"/>
        <v>0</v>
      </c>
      <c r="BA62" s="696">
        <f t="shared" si="8"/>
        <v>0</v>
      </c>
      <c r="BB62" s="696">
        <f t="shared" si="8"/>
        <v>0</v>
      </c>
      <c r="BC62" s="696">
        <f t="shared" si="8"/>
        <v>0</v>
      </c>
      <c r="BD62" s="696">
        <f t="shared" si="8"/>
        <v>0</v>
      </c>
      <c r="BE62" s="696">
        <f t="shared" si="8"/>
        <v>0</v>
      </c>
      <c r="BF62" s="696">
        <f t="shared" si="8"/>
        <v>0</v>
      </c>
      <c r="BG62" s="696">
        <f t="shared" si="8"/>
        <v>0</v>
      </c>
      <c r="BH62" s="696">
        <f t="shared" si="8"/>
        <v>0</v>
      </c>
      <c r="BI62" s="175">
        <f>NPV($D$49,F62:BH62)</f>
        <v>0</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70" ht="12.75">
      <c r="C65" s="168" t="s">
        <v>283</v>
      </c>
      <c r="D65" s="169"/>
      <c r="E65" s="170" t="s">
        <v>263</v>
      </c>
      <c r="F65" s="171">
        <v>2014</v>
      </c>
      <c r="G65" s="171">
        <f t="shared" ref="G65:BH65" si="9">F65+1</f>
        <v>2015</v>
      </c>
      <c r="H65" s="171">
        <f t="shared" si="9"/>
        <v>2016</v>
      </c>
      <c r="I65" s="171">
        <f t="shared" si="9"/>
        <v>2017</v>
      </c>
      <c r="J65" s="171">
        <f t="shared" si="9"/>
        <v>2018</v>
      </c>
      <c r="K65" s="171">
        <f t="shared" si="9"/>
        <v>2019</v>
      </c>
      <c r="L65" s="171">
        <f t="shared" si="9"/>
        <v>2020</v>
      </c>
      <c r="M65" s="171">
        <f t="shared" si="9"/>
        <v>2021</v>
      </c>
      <c r="N65" s="171">
        <f t="shared" si="9"/>
        <v>2022</v>
      </c>
      <c r="O65" s="171">
        <f t="shared" si="9"/>
        <v>2023</v>
      </c>
      <c r="P65" s="171">
        <f t="shared" si="9"/>
        <v>2024</v>
      </c>
      <c r="Q65" s="171">
        <f t="shared" si="9"/>
        <v>2025</v>
      </c>
      <c r="R65" s="171">
        <f t="shared" si="9"/>
        <v>2026</v>
      </c>
      <c r="S65" s="306">
        <f t="shared" si="9"/>
        <v>2027</v>
      </c>
      <c r="T65" s="306">
        <f t="shared" si="9"/>
        <v>2028</v>
      </c>
      <c r="U65" s="306">
        <f t="shared" si="9"/>
        <v>2029</v>
      </c>
      <c r="V65" s="306">
        <f t="shared" si="9"/>
        <v>2030</v>
      </c>
      <c r="W65" s="306">
        <f t="shared" si="9"/>
        <v>2031</v>
      </c>
      <c r="X65" s="306">
        <f t="shared" si="9"/>
        <v>2032</v>
      </c>
      <c r="Y65" s="306">
        <f t="shared" si="9"/>
        <v>2033</v>
      </c>
      <c r="Z65" s="306">
        <f t="shared" si="9"/>
        <v>2034</v>
      </c>
      <c r="AA65" s="306">
        <f t="shared" si="9"/>
        <v>2035</v>
      </c>
      <c r="AB65" s="306">
        <f t="shared" si="9"/>
        <v>2036</v>
      </c>
      <c r="AC65" s="306">
        <f t="shared" si="9"/>
        <v>2037</v>
      </c>
      <c r="AD65" s="306">
        <f t="shared" si="9"/>
        <v>2038</v>
      </c>
      <c r="AE65" s="306">
        <f t="shared" si="9"/>
        <v>2039</v>
      </c>
      <c r="AF65" s="306">
        <f t="shared" si="9"/>
        <v>2040</v>
      </c>
      <c r="AG65" s="306">
        <f t="shared" si="9"/>
        <v>2041</v>
      </c>
      <c r="AH65" s="306">
        <f t="shared" si="9"/>
        <v>2042</v>
      </c>
      <c r="AI65" s="306">
        <f t="shared" si="9"/>
        <v>2043</v>
      </c>
      <c r="AJ65" s="306">
        <f t="shared" si="9"/>
        <v>2044</v>
      </c>
      <c r="AK65" s="306">
        <f t="shared" si="9"/>
        <v>2045</v>
      </c>
      <c r="AL65" s="306">
        <f t="shared" si="9"/>
        <v>2046</v>
      </c>
      <c r="AM65" s="306">
        <f t="shared" si="9"/>
        <v>2047</v>
      </c>
      <c r="AN65" s="306">
        <f t="shared" si="9"/>
        <v>2048</v>
      </c>
      <c r="AO65" s="306">
        <f t="shared" si="9"/>
        <v>2049</v>
      </c>
      <c r="AP65" s="306">
        <f t="shared" si="9"/>
        <v>2050</v>
      </c>
      <c r="AQ65" s="306">
        <f t="shared" si="9"/>
        <v>2051</v>
      </c>
      <c r="AR65" s="306">
        <f t="shared" si="9"/>
        <v>2052</v>
      </c>
      <c r="AS65" s="306">
        <f t="shared" si="9"/>
        <v>2053</v>
      </c>
      <c r="AT65" s="306">
        <f t="shared" si="9"/>
        <v>2054</v>
      </c>
      <c r="AU65" s="306">
        <f t="shared" si="9"/>
        <v>2055</v>
      </c>
      <c r="AV65" s="306">
        <f t="shared" si="9"/>
        <v>2056</v>
      </c>
      <c r="AW65" s="306">
        <f t="shared" si="9"/>
        <v>2057</v>
      </c>
      <c r="AX65" s="306">
        <f t="shared" si="9"/>
        <v>2058</v>
      </c>
      <c r="AY65" s="306">
        <f t="shared" si="9"/>
        <v>2059</v>
      </c>
      <c r="AZ65" s="306">
        <f t="shared" si="9"/>
        <v>2060</v>
      </c>
      <c r="BA65" s="306">
        <f t="shared" si="9"/>
        <v>2061</v>
      </c>
      <c r="BB65" s="306">
        <f t="shared" si="9"/>
        <v>2062</v>
      </c>
      <c r="BC65" s="306">
        <f t="shared" si="9"/>
        <v>2063</v>
      </c>
      <c r="BD65" s="306">
        <f t="shared" si="9"/>
        <v>2064</v>
      </c>
      <c r="BE65" s="306">
        <f t="shared" si="9"/>
        <v>2065</v>
      </c>
      <c r="BF65" s="306">
        <f t="shared" si="9"/>
        <v>2066</v>
      </c>
      <c r="BG65" s="306">
        <f t="shared" si="9"/>
        <v>2067</v>
      </c>
      <c r="BH65" s="306">
        <f t="shared" si="9"/>
        <v>2068</v>
      </c>
      <c r="BI65" s="695" t="s">
        <v>4</v>
      </c>
      <c r="BJ65" s="121"/>
      <c r="BK65" s="121"/>
      <c r="BL65" s="121"/>
      <c r="BM65" s="121"/>
      <c r="BN65" s="121"/>
      <c r="BO65" s="121"/>
    </row>
    <row r="66" spans="2:70" ht="12.75">
      <c r="C66" s="2005" t="s">
        <v>284</v>
      </c>
      <c r="D66" s="2006"/>
      <c r="E66" s="2006"/>
      <c r="F66" s="136"/>
      <c r="G66" s="136"/>
      <c r="H66" s="136"/>
      <c r="I66" s="136"/>
      <c r="J66" s="136"/>
      <c r="K66" s="136"/>
      <c r="L66" s="136"/>
      <c r="M66" s="136"/>
      <c r="N66" s="136"/>
      <c r="O66" s="136"/>
      <c r="P66" s="136"/>
      <c r="Q66" s="136"/>
      <c r="R66" s="136"/>
      <c r="BI66" s="188"/>
      <c r="BJ66" s="121"/>
      <c r="BK66" s="121"/>
      <c r="BL66" s="121"/>
      <c r="BM66" s="121"/>
      <c r="BN66" s="121"/>
      <c r="BO66" s="121"/>
    </row>
    <row r="67" spans="2:70" ht="12.75">
      <c r="C67" s="172"/>
      <c r="D67" s="173" t="s">
        <v>1301</v>
      </c>
      <c r="E67" s="121" t="s">
        <v>266</v>
      </c>
      <c r="F67" s="189">
        <f>IF(AND(F65+1&gt;$D$31,F65&lt;$D$31+$D$31),$D$33,0)</f>
        <v>0</v>
      </c>
      <c r="G67" s="189">
        <f t="shared" ref="G67:BH67" si="10">IF(AND(G65+1&gt;$D$31,G65&lt;$D$31+$D$31),$D$33,0)</f>
        <v>0</v>
      </c>
      <c r="H67" s="189">
        <f t="shared" si="10"/>
        <v>0</v>
      </c>
      <c r="I67" s="189">
        <f t="shared" si="10"/>
        <v>0</v>
      </c>
      <c r="J67" s="189">
        <f t="shared" si="10"/>
        <v>0</v>
      </c>
      <c r="K67" s="189">
        <f t="shared" si="10"/>
        <v>0</v>
      </c>
      <c r="L67" s="189">
        <f t="shared" si="10"/>
        <v>0</v>
      </c>
      <c r="M67" s="189">
        <f t="shared" si="10"/>
        <v>0</v>
      </c>
      <c r="N67" s="189">
        <f t="shared" si="10"/>
        <v>0</v>
      </c>
      <c r="O67" s="189">
        <f t="shared" si="10"/>
        <v>0</v>
      </c>
      <c r="P67" s="189">
        <f t="shared" si="10"/>
        <v>0</v>
      </c>
      <c r="Q67" s="189">
        <f t="shared" si="10"/>
        <v>0</v>
      </c>
      <c r="R67" s="189">
        <f t="shared" si="10"/>
        <v>0</v>
      </c>
      <c r="S67" s="189">
        <f t="shared" si="10"/>
        <v>0</v>
      </c>
      <c r="T67" s="189">
        <f t="shared" si="10"/>
        <v>0</v>
      </c>
      <c r="U67" s="189">
        <f t="shared" si="10"/>
        <v>0</v>
      </c>
      <c r="V67" s="189">
        <f t="shared" si="10"/>
        <v>0</v>
      </c>
      <c r="W67" s="189">
        <f t="shared" si="10"/>
        <v>0</v>
      </c>
      <c r="X67" s="189">
        <f t="shared" si="10"/>
        <v>0</v>
      </c>
      <c r="Y67" s="189">
        <f t="shared" si="10"/>
        <v>0</v>
      </c>
      <c r="Z67" s="189">
        <f t="shared" si="10"/>
        <v>0</v>
      </c>
      <c r="AA67" s="189">
        <f t="shared" si="10"/>
        <v>0</v>
      </c>
      <c r="AB67" s="189">
        <f t="shared" si="10"/>
        <v>0</v>
      </c>
      <c r="AC67" s="189">
        <f t="shared" si="10"/>
        <v>0</v>
      </c>
      <c r="AD67" s="189">
        <f t="shared" si="10"/>
        <v>0</v>
      </c>
      <c r="AE67" s="189">
        <f t="shared" si="10"/>
        <v>0</v>
      </c>
      <c r="AF67" s="189">
        <f t="shared" si="10"/>
        <v>0</v>
      </c>
      <c r="AG67" s="189">
        <f t="shared" si="10"/>
        <v>0</v>
      </c>
      <c r="AH67" s="189">
        <f t="shared" si="10"/>
        <v>0</v>
      </c>
      <c r="AI67" s="189">
        <f t="shared" si="10"/>
        <v>0</v>
      </c>
      <c r="AJ67" s="189">
        <f t="shared" si="10"/>
        <v>0</v>
      </c>
      <c r="AK67" s="189">
        <f t="shared" si="10"/>
        <v>0</v>
      </c>
      <c r="AL67" s="189">
        <f t="shared" si="10"/>
        <v>0</v>
      </c>
      <c r="AM67" s="189">
        <f t="shared" si="10"/>
        <v>0</v>
      </c>
      <c r="AN67" s="189">
        <f t="shared" si="10"/>
        <v>0</v>
      </c>
      <c r="AO67" s="189">
        <f t="shared" si="10"/>
        <v>0</v>
      </c>
      <c r="AP67" s="189">
        <f t="shared" si="10"/>
        <v>0</v>
      </c>
      <c r="AQ67" s="189">
        <f t="shared" si="10"/>
        <v>0</v>
      </c>
      <c r="AR67" s="189">
        <f t="shared" si="10"/>
        <v>0</v>
      </c>
      <c r="AS67" s="189">
        <f t="shared" si="10"/>
        <v>0</v>
      </c>
      <c r="AT67" s="189">
        <f t="shared" si="10"/>
        <v>0</v>
      </c>
      <c r="AU67" s="189">
        <f t="shared" si="10"/>
        <v>0</v>
      </c>
      <c r="AV67" s="189">
        <f t="shared" si="10"/>
        <v>0</v>
      </c>
      <c r="AW67" s="189">
        <f t="shared" si="10"/>
        <v>0</v>
      </c>
      <c r="AX67" s="189">
        <f t="shared" si="10"/>
        <v>0</v>
      </c>
      <c r="AY67" s="189">
        <f t="shared" si="10"/>
        <v>0</v>
      </c>
      <c r="AZ67" s="189">
        <f t="shared" si="10"/>
        <v>0</v>
      </c>
      <c r="BA67" s="189">
        <f t="shared" si="10"/>
        <v>0</v>
      </c>
      <c r="BB67" s="189">
        <f t="shared" si="10"/>
        <v>0</v>
      </c>
      <c r="BC67" s="189">
        <f t="shared" si="10"/>
        <v>0</v>
      </c>
      <c r="BD67" s="189">
        <f t="shared" si="10"/>
        <v>0</v>
      </c>
      <c r="BE67" s="189">
        <f t="shared" si="10"/>
        <v>0</v>
      </c>
      <c r="BF67" s="189">
        <f t="shared" si="10"/>
        <v>0</v>
      </c>
      <c r="BG67" s="189">
        <f t="shared" si="10"/>
        <v>0</v>
      </c>
      <c r="BH67" s="189">
        <f t="shared" si="10"/>
        <v>0</v>
      </c>
      <c r="BI67" s="188"/>
      <c r="BJ67" s="121"/>
      <c r="BK67" s="121"/>
      <c r="BL67" s="121"/>
      <c r="BM67" s="121"/>
      <c r="BN67" s="121"/>
      <c r="BO67" s="121"/>
    </row>
    <row r="68" spans="2:70" ht="12.75">
      <c r="C68" s="172" t="s">
        <v>277</v>
      </c>
      <c r="D68" s="121" t="s">
        <v>564</v>
      </c>
      <c r="E68" s="121" t="s">
        <v>264</v>
      </c>
      <c r="F68" s="176">
        <v>0</v>
      </c>
      <c r="G68" s="176"/>
      <c r="H68" s="176">
        <f t="shared" ref="H68:AA68" si="11">$P$30</f>
        <v>0</v>
      </c>
      <c r="I68" s="176">
        <f t="shared" si="11"/>
        <v>0</v>
      </c>
      <c r="J68" s="176">
        <f t="shared" si="11"/>
        <v>0</v>
      </c>
      <c r="K68" s="176">
        <f t="shared" si="11"/>
        <v>0</v>
      </c>
      <c r="L68" s="176">
        <f t="shared" si="11"/>
        <v>0</v>
      </c>
      <c r="M68" s="176">
        <f t="shared" si="11"/>
        <v>0</v>
      </c>
      <c r="N68" s="176">
        <f t="shared" si="11"/>
        <v>0</v>
      </c>
      <c r="O68" s="176">
        <f t="shared" si="11"/>
        <v>0</v>
      </c>
      <c r="P68" s="176">
        <f t="shared" si="11"/>
        <v>0</v>
      </c>
      <c r="Q68" s="176">
        <f t="shared" si="11"/>
        <v>0</v>
      </c>
      <c r="R68" s="176">
        <f t="shared" si="11"/>
        <v>0</v>
      </c>
      <c r="S68" s="176">
        <f t="shared" si="11"/>
        <v>0</v>
      </c>
      <c r="T68" s="176">
        <f t="shared" si="11"/>
        <v>0</v>
      </c>
      <c r="U68" s="176">
        <f t="shared" si="11"/>
        <v>0</v>
      </c>
      <c r="V68" s="176">
        <f t="shared" si="11"/>
        <v>0</v>
      </c>
      <c r="W68" s="176">
        <f t="shared" si="11"/>
        <v>0</v>
      </c>
      <c r="X68" s="176">
        <f t="shared" si="11"/>
        <v>0</v>
      </c>
      <c r="Y68" s="176">
        <f t="shared" si="11"/>
        <v>0</v>
      </c>
      <c r="Z68" s="176">
        <f t="shared" si="11"/>
        <v>0</v>
      </c>
      <c r="AA68" s="176">
        <f t="shared" si="11"/>
        <v>0</v>
      </c>
      <c r="AB68" s="176">
        <v>0</v>
      </c>
      <c r="AC68" s="176">
        <v>0</v>
      </c>
      <c r="AD68" s="176">
        <v>0</v>
      </c>
      <c r="AE68" s="176">
        <v>0</v>
      </c>
      <c r="AF68" s="176">
        <v>0</v>
      </c>
      <c r="AG68" s="176">
        <v>0</v>
      </c>
      <c r="AH68" s="176">
        <v>0</v>
      </c>
      <c r="AI68" s="176">
        <v>0</v>
      </c>
      <c r="AJ68" s="176">
        <v>0</v>
      </c>
      <c r="AK68" s="176">
        <v>0</v>
      </c>
      <c r="AL68" s="176">
        <v>0</v>
      </c>
      <c r="AM68" s="176">
        <v>0</v>
      </c>
      <c r="AN68" s="176">
        <v>0</v>
      </c>
      <c r="AO68" s="176">
        <v>0</v>
      </c>
      <c r="AP68" s="176">
        <v>0</v>
      </c>
      <c r="AQ68" s="176">
        <v>0</v>
      </c>
      <c r="AR68" s="176">
        <v>0</v>
      </c>
      <c r="AS68" s="176">
        <v>0</v>
      </c>
      <c r="AT68" s="176">
        <v>0</v>
      </c>
      <c r="AU68" s="176">
        <v>0</v>
      </c>
      <c r="AV68" s="176">
        <v>0</v>
      </c>
      <c r="AW68" s="176">
        <v>0</v>
      </c>
      <c r="AX68" s="176">
        <v>0</v>
      </c>
      <c r="AY68" s="176">
        <v>0</v>
      </c>
      <c r="AZ68" s="176">
        <v>0</v>
      </c>
      <c r="BA68" s="176">
        <v>0</v>
      </c>
      <c r="BB68" s="176">
        <v>0</v>
      </c>
      <c r="BC68" s="176">
        <v>0</v>
      </c>
      <c r="BD68" s="176">
        <v>0</v>
      </c>
      <c r="BE68" s="176">
        <v>0</v>
      </c>
      <c r="BF68" s="176">
        <v>0</v>
      </c>
      <c r="BG68" s="176">
        <v>0</v>
      </c>
      <c r="BH68" s="176">
        <v>0</v>
      </c>
      <c r="BI68" s="175">
        <f>NPV($D$49,F68:BH68)</f>
        <v>0</v>
      </c>
      <c r="BJ68" s="121"/>
      <c r="BK68" s="121"/>
      <c r="BL68" s="121"/>
      <c r="BM68" s="121"/>
      <c r="BN68" s="121"/>
      <c r="BO68" s="121"/>
    </row>
    <row r="69" spans="2:70"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70" s="192" customFormat="1" ht="12.75">
      <c r="B70" s="193"/>
      <c r="C70" s="177"/>
      <c r="D70" s="180" t="s">
        <v>371</v>
      </c>
      <c r="E70" s="180" t="s">
        <v>264</v>
      </c>
      <c r="F70" s="194">
        <f t="shared" ref="F70:BH70" si="12">F68+F69</f>
        <v>0</v>
      </c>
      <c r="G70" s="194">
        <f t="shared" si="12"/>
        <v>0</v>
      </c>
      <c r="H70" s="194">
        <f t="shared" si="12"/>
        <v>0</v>
      </c>
      <c r="I70" s="194">
        <f t="shared" si="12"/>
        <v>0</v>
      </c>
      <c r="J70" s="194">
        <f t="shared" si="12"/>
        <v>0</v>
      </c>
      <c r="K70" s="194">
        <f t="shared" si="12"/>
        <v>0</v>
      </c>
      <c r="L70" s="194">
        <f t="shared" si="12"/>
        <v>0</v>
      </c>
      <c r="M70" s="194">
        <f t="shared" si="12"/>
        <v>0</v>
      </c>
      <c r="N70" s="194">
        <f t="shared" si="12"/>
        <v>0</v>
      </c>
      <c r="O70" s="194">
        <f t="shared" si="12"/>
        <v>0</v>
      </c>
      <c r="P70" s="194">
        <f t="shared" si="12"/>
        <v>0</v>
      </c>
      <c r="Q70" s="194">
        <f t="shared" si="12"/>
        <v>0</v>
      </c>
      <c r="R70" s="194">
        <f t="shared" si="12"/>
        <v>0</v>
      </c>
      <c r="S70" s="194">
        <f t="shared" si="12"/>
        <v>0</v>
      </c>
      <c r="T70" s="194">
        <f t="shared" si="12"/>
        <v>0</v>
      </c>
      <c r="U70" s="194">
        <f t="shared" si="12"/>
        <v>0</v>
      </c>
      <c r="V70" s="194">
        <f t="shared" si="12"/>
        <v>0</v>
      </c>
      <c r="W70" s="194">
        <f t="shared" si="12"/>
        <v>0</v>
      </c>
      <c r="X70" s="194">
        <f t="shared" si="12"/>
        <v>0</v>
      </c>
      <c r="Y70" s="194">
        <f t="shared" si="12"/>
        <v>0</v>
      </c>
      <c r="Z70" s="194">
        <f t="shared" si="12"/>
        <v>0</v>
      </c>
      <c r="AA70" s="194">
        <f t="shared" si="12"/>
        <v>0</v>
      </c>
      <c r="AB70" s="194">
        <f t="shared" si="12"/>
        <v>0</v>
      </c>
      <c r="AC70" s="194">
        <f t="shared" si="12"/>
        <v>0</v>
      </c>
      <c r="AD70" s="194">
        <f t="shared" si="12"/>
        <v>0</v>
      </c>
      <c r="AE70" s="194">
        <f t="shared" si="12"/>
        <v>0</v>
      </c>
      <c r="AF70" s="194">
        <f t="shared" si="12"/>
        <v>0</v>
      </c>
      <c r="AG70" s="194">
        <f t="shared" si="12"/>
        <v>0</v>
      </c>
      <c r="AH70" s="194">
        <f t="shared" si="12"/>
        <v>0</v>
      </c>
      <c r="AI70" s="194">
        <f t="shared" si="12"/>
        <v>0</v>
      </c>
      <c r="AJ70" s="194">
        <f t="shared" si="12"/>
        <v>0</v>
      </c>
      <c r="AK70" s="194">
        <f t="shared" si="12"/>
        <v>0</v>
      </c>
      <c r="AL70" s="194">
        <f t="shared" si="12"/>
        <v>0</v>
      </c>
      <c r="AM70" s="194">
        <f t="shared" si="12"/>
        <v>0</v>
      </c>
      <c r="AN70" s="194">
        <f t="shared" si="12"/>
        <v>0</v>
      </c>
      <c r="AO70" s="194">
        <f t="shared" si="12"/>
        <v>0</v>
      </c>
      <c r="AP70" s="194">
        <f t="shared" si="12"/>
        <v>0</v>
      </c>
      <c r="AQ70" s="194">
        <f t="shared" si="12"/>
        <v>0</v>
      </c>
      <c r="AR70" s="194">
        <f t="shared" si="12"/>
        <v>0</v>
      </c>
      <c r="AS70" s="194">
        <f t="shared" si="12"/>
        <v>0</v>
      </c>
      <c r="AT70" s="194">
        <f t="shared" si="12"/>
        <v>0</v>
      </c>
      <c r="AU70" s="194">
        <f t="shared" si="12"/>
        <v>0</v>
      </c>
      <c r="AV70" s="194">
        <f t="shared" si="12"/>
        <v>0</v>
      </c>
      <c r="AW70" s="194">
        <f t="shared" si="12"/>
        <v>0</v>
      </c>
      <c r="AX70" s="194">
        <f t="shared" si="12"/>
        <v>0</v>
      </c>
      <c r="AY70" s="194">
        <f t="shared" si="12"/>
        <v>0</v>
      </c>
      <c r="AZ70" s="194">
        <f t="shared" si="12"/>
        <v>0</v>
      </c>
      <c r="BA70" s="194">
        <f t="shared" si="12"/>
        <v>0</v>
      </c>
      <c r="BB70" s="194">
        <f t="shared" si="12"/>
        <v>0</v>
      </c>
      <c r="BC70" s="194">
        <f t="shared" si="12"/>
        <v>0</v>
      </c>
      <c r="BD70" s="194">
        <f t="shared" si="12"/>
        <v>0</v>
      </c>
      <c r="BE70" s="194">
        <f t="shared" si="12"/>
        <v>0</v>
      </c>
      <c r="BF70" s="194">
        <f t="shared" si="12"/>
        <v>0</v>
      </c>
      <c r="BG70" s="194">
        <f t="shared" si="12"/>
        <v>0</v>
      </c>
      <c r="BH70" s="194">
        <f t="shared" si="12"/>
        <v>0</v>
      </c>
      <c r="BI70" s="175">
        <f>NPV($D$49,F70:BH70)</f>
        <v>0</v>
      </c>
      <c r="BJ70" s="180"/>
      <c r="BK70" s="180"/>
      <c r="BL70" s="180"/>
      <c r="BM70" s="180"/>
      <c r="BN70" s="180"/>
      <c r="BO70" s="180"/>
    </row>
    <row r="71" spans="2:70"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70" ht="12.75">
      <c r="C72" s="2005" t="s">
        <v>285</v>
      </c>
      <c r="D72" s="2006"/>
      <c r="E72" s="2006"/>
      <c r="F72" s="136"/>
      <c r="G72" s="136"/>
      <c r="H72" s="136"/>
      <c r="I72" s="136"/>
      <c r="J72" s="136"/>
      <c r="K72" s="136"/>
      <c r="L72" s="136"/>
      <c r="M72" s="136"/>
      <c r="N72" s="136"/>
      <c r="O72" s="136"/>
      <c r="P72" s="136"/>
      <c r="Q72" s="136"/>
      <c r="R72" s="136"/>
      <c r="BI72" s="188"/>
      <c r="BJ72" s="121"/>
      <c r="BK72" s="121"/>
      <c r="BL72" s="121"/>
      <c r="BM72" s="121"/>
      <c r="BN72" s="121"/>
      <c r="BO72" s="121"/>
    </row>
    <row r="73" spans="2:70" ht="12.75">
      <c r="C73" s="172"/>
      <c r="D73" s="173" t="s">
        <v>623</v>
      </c>
      <c r="E73" s="121" t="s">
        <v>266</v>
      </c>
      <c r="F73" s="189">
        <f>F67</f>
        <v>0</v>
      </c>
      <c r="G73" s="189">
        <f>G67</f>
        <v>0</v>
      </c>
      <c r="H73" s="189">
        <f t="shared" ref="H73:Q73" si="13">H67</f>
        <v>0</v>
      </c>
      <c r="I73" s="189">
        <f t="shared" si="13"/>
        <v>0</v>
      </c>
      <c r="J73" s="189">
        <f t="shared" si="13"/>
        <v>0</v>
      </c>
      <c r="K73" s="189">
        <f t="shared" si="13"/>
        <v>0</v>
      </c>
      <c r="L73" s="189">
        <f t="shared" si="13"/>
        <v>0</v>
      </c>
      <c r="M73" s="189">
        <f t="shared" si="13"/>
        <v>0</v>
      </c>
      <c r="N73" s="189">
        <f t="shared" si="13"/>
        <v>0</v>
      </c>
      <c r="O73" s="189">
        <f t="shared" si="13"/>
        <v>0</v>
      </c>
      <c r="P73" s="189">
        <f t="shared" si="13"/>
        <v>0</v>
      </c>
      <c r="Q73" s="189">
        <f t="shared" si="13"/>
        <v>0</v>
      </c>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8"/>
      <c r="BJ73" s="121"/>
      <c r="BK73" s="121"/>
      <c r="BL73" s="121"/>
      <c r="BM73" s="121"/>
      <c r="BN73" s="121"/>
      <c r="BO73" s="121"/>
    </row>
    <row r="74" spans="2:70" s="121" customFormat="1" ht="12.75">
      <c r="B74" s="138"/>
      <c r="C74" s="177"/>
      <c r="D74" s="121" t="s">
        <v>1303</v>
      </c>
      <c r="E74" s="121" t="s">
        <v>672</v>
      </c>
      <c r="F74" s="187"/>
      <c r="G74" s="187">
        <f>'Community data'!$L$16</f>
        <v>0.83</v>
      </c>
      <c r="H74" s="187">
        <f>'Community data'!$L$16</f>
        <v>0.83</v>
      </c>
      <c r="I74" s="187">
        <f>'Community data'!$L$16</f>
        <v>0.83</v>
      </c>
      <c r="J74" s="187">
        <f>'Community data'!$L$16</f>
        <v>0.83</v>
      </c>
      <c r="K74" s="187">
        <f>'Community data'!$L$16</f>
        <v>0.83</v>
      </c>
      <c r="L74" s="187">
        <f>'Community data'!$L$16</f>
        <v>0.83</v>
      </c>
      <c r="M74" s="187">
        <f>'Community data'!$L$16</f>
        <v>0.83</v>
      </c>
      <c r="N74" s="187">
        <f>'Community data'!$L$16</f>
        <v>0.83</v>
      </c>
      <c r="O74" s="187">
        <f>'Community data'!$L$16</f>
        <v>0.83</v>
      </c>
      <c r="P74" s="187">
        <f>'Community data'!$L$16</f>
        <v>0.83</v>
      </c>
      <c r="Q74" s="187">
        <f>'Community data'!$L$16</f>
        <v>0.83</v>
      </c>
      <c r="R74" s="187">
        <f>'Community data'!$L$16</f>
        <v>0.83</v>
      </c>
      <c r="S74" s="187">
        <f>'Community data'!$L$16</f>
        <v>0.83</v>
      </c>
      <c r="T74" s="187">
        <f>'Community data'!$L$16</f>
        <v>0.83</v>
      </c>
      <c r="U74" s="187">
        <f>'Community data'!$L$16</f>
        <v>0.83</v>
      </c>
      <c r="V74" s="187">
        <f>'Community data'!$L$16</f>
        <v>0.83</v>
      </c>
      <c r="W74" s="187">
        <f>'Community data'!$L$16</f>
        <v>0.83</v>
      </c>
      <c r="X74" s="187">
        <f>'Community data'!$L$16</f>
        <v>0.83</v>
      </c>
      <c r="Y74" s="187">
        <f>'Community data'!$L$16</f>
        <v>0.83</v>
      </c>
      <c r="Z74" s="187">
        <f>'Community data'!$L$16</f>
        <v>0.83</v>
      </c>
      <c r="AA74" s="187">
        <f>'Community data'!$L$16</f>
        <v>0.83</v>
      </c>
      <c r="AB74" s="187">
        <f>'Community data'!$L$16</f>
        <v>0.83</v>
      </c>
      <c r="AC74" s="187">
        <f>'Community data'!$L$16</f>
        <v>0.83</v>
      </c>
      <c r="AD74" s="187">
        <f>'Community data'!$L$16</f>
        <v>0.83</v>
      </c>
      <c r="AE74" s="187">
        <f>'Community data'!$L$16</f>
        <v>0.83</v>
      </c>
      <c r="AF74" s="187">
        <f>'Community data'!$L$16</f>
        <v>0.83</v>
      </c>
      <c r="AG74" s="187">
        <f>'Community data'!$L$16</f>
        <v>0.83</v>
      </c>
      <c r="AH74" s="187">
        <f>'Community data'!$L$16</f>
        <v>0.83</v>
      </c>
      <c r="AI74" s="187">
        <f>'Community data'!$L$16</f>
        <v>0.83</v>
      </c>
      <c r="AJ74" s="187">
        <f>'Community data'!$L$16</f>
        <v>0.83</v>
      </c>
      <c r="AK74" s="187">
        <f>'Community data'!$L$16</f>
        <v>0.83</v>
      </c>
      <c r="AL74" s="187">
        <f>'Community data'!$L$16</f>
        <v>0.83</v>
      </c>
      <c r="AM74" s="187">
        <f>'Community data'!$L$16</f>
        <v>0.83</v>
      </c>
      <c r="AN74" s="187">
        <f>'Community data'!$L$16</f>
        <v>0.83</v>
      </c>
      <c r="AO74" s="187">
        <f>'Community data'!$L$16</f>
        <v>0.83</v>
      </c>
      <c r="AP74" s="187">
        <f>'Community data'!$L$16</f>
        <v>0.83</v>
      </c>
      <c r="AQ74" s="187">
        <f>'Community data'!$L$16</f>
        <v>0.83</v>
      </c>
      <c r="AR74" s="187">
        <f>'Community data'!$L$16</f>
        <v>0.83</v>
      </c>
      <c r="AS74" s="187">
        <f>'Community data'!$L$16</f>
        <v>0.83</v>
      </c>
      <c r="AT74" s="187">
        <f>'Community data'!$L$16</f>
        <v>0.83</v>
      </c>
      <c r="AU74" s="187">
        <f>'Community data'!$L$16</f>
        <v>0.83</v>
      </c>
      <c r="AV74" s="187">
        <f>'Community data'!$L$16</f>
        <v>0.83</v>
      </c>
      <c r="AW74" s="187">
        <f>'Community data'!$L$16</f>
        <v>0.83</v>
      </c>
      <c r="AX74" s="187">
        <f>'Community data'!$L$16</f>
        <v>0.83</v>
      </c>
      <c r="AY74" s="187">
        <f>'Community data'!$L$16</f>
        <v>0.83</v>
      </c>
      <c r="AZ74" s="187">
        <f>'Community data'!$L$16</f>
        <v>0.83</v>
      </c>
      <c r="BA74" s="187">
        <f>'Community data'!$L$16</f>
        <v>0.83</v>
      </c>
      <c r="BB74" s="187">
        <f>'Community data'!$L$16</f>
        <v>0.83</v>
      </c>
      <c r="BC74" s="187">
        <f>'Community data'!$L$16</f>
        <v>0.83</v>
      </c>
      <c r="BD74" s="187">
        <f>'Community data'!$L$16</f>
        <v>0.83</v>
      </c>
      <c r="BE74" s="187">
        <f>'Community data'!$L$16</f>
        <v>0.83</v>
      </c>
      <c r="BF74" s="187">
        <f>'Community data'!$L$16</f>
        <v>0.83</v>
      </c>
      <c r="BG74" s="187">
        <f>'Community data'!$L$16</f>
        <v>0.83</v>
      </c>
      <c r="BH74" s="187">
        <f>'Community data'!$L$16</f>
        <v>0.83</v>
      </c>
      <c r="BI74" s="175"/>
    </row>
    <row r="75" spans="2:70" s="192" customFormat="1" ht="12.75">
      <c r="B75" s="193"/>
      <c r="C75" s="182"/>
      <c r="D75" s="184" t="s">
        <v>1302</v>
      </c>
      <c r="E75" s="184" t="s">
        <v>264</v>
      </c>
      <c r="F75" s="197"/>
      <c r="G75" s="197">
        <f>G74*G73</f>
        <v>0</v>
      </c>
      <c r="H75" s="197">
        <f t="shared" ref="H75:Q75" si="14">H74*H73</f>
        <v>0</v>
      </c>
      <c r="I75" s="197">
        <f t="shared" si="14"/>
        <v>0</v>
      </c>
      <c r="J75" s="197">
        <f t="shared" si="14"/>
        <v>0</v>
      </c>
      <c r="K75" s="197">
        <f t="shared" si="14"/>
        <v>0</v>
      </c>
      <c r="L75" s="197">
        <f t="shared" si="14"/>
        <v>0</v>
      </c>
      <c r="M75" s="197">
        <f t="shared" si="14"/>
        <v>0</v>
      </c>
      <c r="N75" s="197">
        <f t="shared" si="14"/>
        <v>0</v>
      </c>
      <c r="O75" s="197">
        <f t="shared" si="14"/>
        <v>0</v>
      </c>
      <c r="P75" s="197">
        <f t="shared" si="14"/>
        <v>0</v>
      </c>
      <c r="Q75" s="197">
        <f t="shared" si="14"/>
        <v>0</v>
      </c>
      <c r="R75" s="197"/>
      <c r="S75" s="194"/>
      <c r="T75" s="194"/>
      <c r="U75" s="194"/>
      <c r="V75" s="194"/>
      <c r="W75" s="194"/>
      <c r="X75" s="194"/>
      <c r="Y75" s="194"/>
      <c r="Z75" s="194"/>
      <c r="AA75" s="194"/>
      <c r="AB75" s="194"/>
      <c r="AC75" s="194"/>
      <c r="AD75" s="194"/>
      <c r="AE75" s="194"/>
      <c r="AF75" s="194"/>
      <c r="AG75" s="194"/>
      <c r="AH75" s="194"/>
      <c r="AI75" s="194"/>
      <c r="AJ75" s="194"/>
      <c r="AK75" s="194"/>
      <c r="AL75" s="194"/>
      <c r="AM75" s="194"/>
      <c r="AN75" s="194"/>
      <c r="AO75" s="194"/>
      <c r="AP75" s="194"/>
      <c r="AQ75" s="194"/>
      <c r="AR75" s="194"/>
      <c r="AS75" s="194"/>
      <c r="AT75" s="194"/>
      <c r="AU75" s="194"/>
      <c r="AV75" s="194"/>
      <c r="AW75" s="194"/>
      <c r="AX75" s="194"/>
      <c r="AY75" s="194"/>
      <c r="AZ75" s="194"/>
      <c r="BA75" s="194"/>
      <c r="BB75" s="194"/>
      <c r="BC75" s="194"/>
      <c r="BD75" s="194"/>
      <c r="BE75" s="194"/>
      <c r="BF75" s="194"/>
      <c r="BG75" s="194"/>
      <c r="BH75" s="194"/>
      <c r="BI75" s="175">
        <f>NPV($D$49,F75:BH75)</f>
        <v>0</v>
      </c>
      <c r="BJ75" s="180"/>
      <c r="BK75" s="180"/>
      <c r="BL75" s="180"/>
      <c r="BM75" s="180"/>
      <c r="BN75" s="180"/>
      <c r="BO75" s="180"/>
    </row>
    <row r="76" spans="2:70"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70"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70"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70"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95"/>
      <c r="BJ79" s="195"/>
      <c r="BK79" s="195"/>
      <c r="BL79" s="195"/>
      <c r="BM79" s="195"/>
      <c r="BN79" s="195"/>
      <c r="BO79" s="175"/>
      <c r="BP79" s="121"/>
      <c r="BQ79" s="121"/>
      <c r="BR79" s="121"/>
    </row>
    <row r="80" spans="2:70" ht="12.75">
      <c r="C80" s="186"/>
      <c r="D80" s="136"/>
      <c r="E80" s="136"/>
      <c r="F80" s="136"/>
      <c r="G80" s="136"/>
      <c r="H80" s="136"/>
      <c r="I80" s="136"/>
      <c r="J80" s="136"/>
      <c r="K80" s="136"/>
      <c r="L80" s="136"/>
      <c r="M80" s="136"/>
      <c r="N80" s="136"/>
      <c r="O80" s="136"/>
      <c r="P80" s="136"/>
      <c r="Q80" s="136"/>
      <c r="R80" s="136"/>
      <c r="BO80" s="136"/>
      <c r="BP80" s="121"/>
      <c r="BQ80" s="121"/>
      <c r="BR80" s="121"/>
    </row>
    <row r="81" spans="3:70" ht="12.75">
      <c r="C81" s="186"/>
      <c r="D81" s="136"/>
      <c r="E81" s="136"/>
      <c r="F81" s="136"/>
      <c r="G81" s="136"/>
      <c r="H81" s="136"/>
      <c r="I81" s="136"/>
      <c r="J81" s="136"/>
      <c r="K81" s="136"/>
      <c r="L81" s="136"/>
      <c r="M81" s="136"/>
      <c r="N81" s="136"/>
      <c r="O81" s="136"/>
      <c r="P81" s="136"/>
      <c r="Q81" s="136"/>
      <c r="R81" s="136"/>
      <c r="BO81" s="136"/>
      <c r="BP81" s="121"/>
      <c r="BQ81" s="121"/>
      <c r="BR81" s="121"/>
    </row>
    <row r="82" spans="3:70" ht="12.75">
      <c r="C82" s="186"/>
      <c r="D82" s="136"/>
      <c r="E82" s="136"/>
      <c r="F82" s="136"/>
      <c r="G82" s="136"/>
      <c r="H82" s="136"/>
      <c r="I82" s="136"/>
      <c r="J82" s="136"/>
      <c r="K82" s="136"/>
      <c r="L82" s="136"/>
      <c r="M82" s="136"/>
      <c r="N82" s="136"/>
      <c r="O82" s="136"/>
      <c r="P82" s="136"/>
      <c r="Q82" s="136"/>
      <c r="R82" s="136"/>
      <c r="BO82" s="136"/>
      <c r="BP82" s="121"/>
      <c r="BQ82" s="121"/>
      <c r="BR82" s="121"/>
    </row>
    <row r="83" spans="3:70" ht="12.75">
      <c r="C83" s="186"/>
      <c r="D83" s="136"/>
      <c r="E83" s="136"/>
      <c r="F83" s="136"/>
      <c r="G83" s="136"/>
      <c r="H83" s="136"/>
      <c r="I83" s="136"/>
      <c r="J83" s="136"/>
      <c r="K83" s="136"/>
      <c r="L83" s="136"/>
      <c r="M83" s="136"/>
      <c r="N83" s="136"/>
      <c r="O83" s="136"/>
      <c r="P83" s="136"/>
      <c r="Q83" s="136"/>
      <c r="R83" s="136"/>
      <c r="BO83" s="136"/>
      <c r="BP83" s="121"/>
      <c r="BQ83" s="121"/>
      <c r="BR83" s="121"/>
    </row>
    <row r="84" spans="3:70" ht="12.75">
      <c r="C84" s="186"/>
      <c r="D84" s="136"/>
      <c r="E84" s="136"/>
      <c r="F84" s="136"/>
      <c r="G84" s="136"/>
      <c r="H84" s="136"/>
      <c r="I84" s="136"/>
      <c r="J84" s="136"/>
      <c r="K84" s="136"/>
      <c r="L84" s="136"/>
      <c r="M84" s="136"/>
      <c r="N84" s="136"/>
      <c r="O84" s="136"/>
      <c r="P84" s="136"/>
      <c r="Q84" s="136"/>
      <c r="R84" s="136"/>
      <c r="BO84" s="136"/>
      <c r="BP84" s="121"/>
      <c r="BQ84" s="121"/>
      <c r="BR84" s="121"/>
    </row>
    <row r="85" spans="3:70" ht="12.75">
      <c r="C85" s="186"/>
      <c r="D85" s="136"/>
      <c r="E85" s="136"/>
      <c r="F85" s="136"/>
      <c r="G85" s="136"/>
      <c r="H85" s="136"/>
      <c r="I85" s="136"/>
      <c r="J85" s="136"/>
      <c r="K85" s="136"/>
      <c r="L85" s="136"/>
      <c r="M85" s="136"/>
      <c r="N85" s="136"/>
      <c r="O85" s="136"/>
      <c r="P85" s="136"/>
      <c r="Q85" s="136"/>
      <c r="R85" s="136"/>
      <c r="BO85" s="136"/>
      <c r="BP85" s="121"/>
      <c r="BQ85" s="121"/>
      <c r="BR85" s="121"/>
    </row>
    <row r="86" spans="3:70" ht="12.75">
      <c r="C86" s="186"/>
      <c r="D86" s="136"/>
      <c r="E86" s="136"/>
      <c r="F86" s="136"/>
      <c r="G86" s="136"/>
      <c r="H86" s="136"/>
      <c r="I86" s="136"/>
      <c r="J86" s="136"/>
      <c r="K86" s="136"/>
      <c r="L86" s="136"/>
      <c r="M86" s="136"/>
      <c r="N86" s="136"/>
      <c r="O86" s="136"/>
      <c r="P86" s="136"/>
      <c r="Q86" s="136"/>
      <c r="R86" s="136"/>
      <c r="BO86" s="136"/>
      <c r="BP86" s="121"/>
      <c r="BQ86" s="121"/>
      <c r="BR86" s="121"/>
    </row>
    <row r="87" spans="3:70" ht="14.25">
      <c r="F87" s="136"/>
      <c r="K87" s="136"/>
      <c r="L87" s="136"/>
      <c r="M87" s="136"/>
      <c r="N87" s="136"/>
      <c r="O87" s="136"/>
      <c r="P87" s="136"/>
      <c r="Q87" s="136"/>
      <c r="R87" s="136"/>
      <c r="BO87" s="136"/>
      <c r="BP87" s="121"/>
      <c r="BQ87" s="121"/>
      <c r="BR87" s="121"/>
    </row>
    <row r="88" spans="3:70" ht="14.25">
      <c r="F88" s="136"/>
      <c r="K88" s="136"/>
      <c r="L88" s="136"/>
      <c r="M88" s="136"/>
      <c r="N88" s="136"/>
      <c r="O88" s="136"/>
      <c r="P88" s="136"/>
      <c r="Q88" s="136"/>
      <c r="R88" s="136"/>
      <c r="BO88" s="136"/>
      <c r="BP88" s="121"/>
      <c r="BQ88" s="121"/>
      <c r="BR88" s="121"/>
    </row>
    <row r="89" spans="3:70" ht="14.25">
      <c r="F89" s="136"/>
      <c r="K89" s="136"/>
      <c r="L89" s="136"/>
      <c r="M89" s="136"/>
      <c r="N89" s="136"/>
      <c r="O89" s="136"/>
      <c r="P89" s="136"/>
      <c r="Q89" s="136"/>
      <c r="R89" s="136"/>
      <c r="BO89" s="136"/>
      <c r="BP89" s="121"/>
      <c r="BQ89" s="121"/>
      <c r="BR89" s="121"/>
    </row>
    <row r="90" spans="3:70" ht="14.25">
      <c r="F90" s="136"/>
      <c r="K90" s="136"/>
      <c r="L90" s="136"/>
      <c r="M90" s="136"/>
      <c r="N90" s="136"/>
      <c r="O90" s="136"/>
      <c r="P90" s="136"/>
      <c r="Q90" s="136"/>
      <c r="R90" s="136"/>
      <c r="BO90" s="136"/>
      <c r="BP90" s="121"/>
      <c r="BQ90" s="121"/>
      <c r="BR90" s="121"/>
    </row>
    <row r="91" spans="3:70" ht="14.25">
      <c r="F91" s="136"/>
      <c r="K91" s="136"/>
      <c r="L91" s="136"/>
      <c r="M91" s="136"/>
      <c r="N91" s="136"/>
      <c r="O91" s="136"/>
      <c r="P91" s="136"/>
      <c r="Q91" s="136"/>
      <c r="R91" s="136"/>
      <c r="BO91" s="136"/>
      <c r="BP91" s="121"/>
      <c r="BQ91" s="121"/>
      <c r="BR91" s="121"/>
    </row>
    <row r="92" spans="3:70" ht="14.25">
      <c r="F92" s="136"/>
      <c r="K92" s="136"/>
      <c r="L92" s="136"/>
      <c r="M92" s="136"/>
      <c r="N92" s="136"/>
      <c r="O92" s="136"/>
      <c r="P92" s="136"/>
      <c r="Q92" s="136"/>
      <c r="R92" s="136"/>
      <c r="BO92" s="136"/>
      <c r="BP92" s="121"/>
      <c r="BQ92" s="121"/>
      <c r="BR92" s="121"/>
    </row>
    <row r="93" spans="3:70" ht="14.25">
      <c r="F93" s="136"/>
      <c r="K93" s="136"/>
      <c r="L93" s="136"/>
      <c r="M93" s="136"/>
      <c r="N93" s="136"/>
      <c r="O93" s="136"/>
      <c r="P93" s="136"/>
      <c r="Q93" s="136"/>
      <c r="R93" s="136"/>
      <c r="BO93" s="136"/>
      <c r="BP93" s="121"/>
      <c r="BQ93" s="121"/>
      <c r="BR93" s="121"/>
    </row>
    <row r="94" spans="3:70" ht="14.25">
      <c r="F94" s="136"/>
      <c r="K94" s="136"/>
      <c r="L94" s="136"/>
      <c r="M94" s="136"/>
      <c r="N94" s="136"/>
      <c r="O94" s="136"/>
      <c r="P94" s="136"/>
      <c r="Q94" s="136"/>
      <c r="R94" s="136"/>
      <c r="BO94" s="136"/>
      <c r="BP94" s="121"/>
      <c r="BQ94" s="121"/>
      <c r="BR94" s="121"/>
    </row>
    <row r="95" spans="3:70" ht="12.75">
      <c r="C95" s="186"/>
      <c r="D95" s="136"/>
      <c r="E95" s="136"/>
      <c r="F95" s="136"/>
      <c r="K95" s="136"/>
      <c r="L95" s="136"/>
      <c r="M95" s="136"/>
      <c r="N95" s="136"/>
      <c r="O95" s="136"/>
      <c r="P95" s="136"/>
      <c r="Q95" s="136"/>
      <c r="R95" s="136"/>
      <c r="BO95" s="136"/>
      <c r="BP95" s="121"/>
      <c r="BQ95" s="121"/>
      <c r="BR95" s="121"/>
    </row>
    <row r="96" spans="3:70" ht="12.75">
      <c r="C96" s="186"/>
      <c r="D96" s="136"/>
      <c r="E96" s="136"/>
      <c r="F96" s="136"/>
      <c r="K96" s="136"/>
      <c r="L96" s="136"/>
      <c r="M96" s="136"/>
      <c r="N96" s="136"/>
      <c r="O96" s="136"/>
      <c r="P96" s="136"/>
      <c r="Q96" s="136"/>
      <c r="R96" s="136"/>
      <c r="BO96" s="136"/>
      <c r="BP96" s="121"/>
      <c r="BQ96" s="121"/>
      <c r="BR96" s="121"/>
    </row>
    <row r="97" spans="6:70" ht="14.25">
      <c r="F97" s="136"/>
      <c r="K97" s="136"/>
      <c r="L97" s="136"/>
      <c r="M97" s="136"/>
      <c r="N97" s="136"/>
      <c r="O97" s="136"/>
      <c r="P97" s="136"/>
      <c r="Q97" s="136"/>
      <c r="R97" s="136"/>
      <c r="BO97" s="136"/>
      <c r="BP97" s="121"/>
      <c r="BQ97" s="121"/>
      <c r="BR97" s="121"/>
    </row>
    <row r="98" spans="6:70" ht="14.25">
      <c r="F98" s="136"/>
      <c r="K98" s="136"/>
      <c r="L98" s="136"/>
      <c r="M98" s="136"/>
      <c r="N98" s="136"/>
      <c r="O98" s="136"/>
      <c r="P98" s="136"/>
      <c r="Q98" s="136"/>
      <c r="R98" s="136"/>
      <c r="BO98" s="136"/>
      <c r="BP98" s="121"/>
      <c r="BQ98" s="121"/>
      <c r="BR98" s="121"/>
    </row>
    <row r="99" spans="6:70" ht="14.25">
      <c r="F99" s="136"/>
      <c r="K99" s="136"/>
      <c r="L99" s="136"/>
      <c r="M99" s="136"/>
      <c r="N99" s="136"/>
      <c r="O99" s="136"/>
      <c r="P99" s="136"/>
      <c r="Q99" s="136"/>
      <c r="R99" s="136"/>
      <c r="BO99" s="136"/>
      <c r="BP99" s="121"/>
      <c r="BQ99" s="121"/>
      <c r="BR99" s="121"/>
    </row>
    <row r="100" spans="6:70" ht="14.25">
      <c r="F100" s="136"/>
      <c r="K100" s="136"/>
      <c r="L100" s="136"/>
      <c r="M100" s="136"/>
      <c r="N100" s="136"/>
      <c r="O100" s="136"/>
      <c r="P100" s="136"/>
      <c r="Q100" s="136"/>
      <c r="R100" s="136"/>
      <c r="BO100" s="136"/>
      <c r="BP100" s="121"/>
      <c r="BQ100" s="121"/>
      <c r="BR100" s="121"/>
    </row>
    <row r="101" spans="6:70">
      <c r="F101" s="136"/>
      <c r="K101" s="136"/>
      <c r="L101" s="136"/>
      <c r="M101" s="136"/>
      <c r="N101" s="136"/>
      <c r="O101" s="136"/>
      <c r="P101" s="136"/>
      <c r="Q101" s="136"/>
      <c r="R101" s="136"/>
      <c r="BP101" s="121"/>
      <c r="BQ101" s="121"/>
      <c r="BR101" s="121"/>
    </row>
  </sheetData>
  <mergeCells count="9">
    <mergeCell ref="N35:O35"/>
    <mergeCell ref="C66:E66"/>
    <mergeCell ref="C72:E72"/>
    <mergeCell ref="N18:R18"/>
    <mergeCell ref="A1:Q1"/>
    <mergeCell ref="B2:E2"/>
    <mergeCell ref="H2:R2"/>
    <mergeCell ref="O4:R4"/>
    <mergeCell ref="N33:O33"/>
  </mergeCells>
  <dataValidations count="4">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C6:D6">
      <formula1>#REF!</formula1>
    </dataValidation>
    <dataValidation type="list" allowBlank="1" showInputMessage="1" showErrorMessage="1" sqref="F4:F5">
      <formula1>"High, Medium, Low"</formula1>
    </dataValidation>
  </dataValidations>
  <pageMargins left="0.7" right="0.7" top="0.75" bottom="0.75" header="0.3" footer="0.3"/>
  <pageSetup paperSize="5" scale="39" orientation="landscape"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Assumptions!$B$76:$B$78</xm:f>
          </x14:formula1>
          <xm:sqref>J7</xm:sqref>
        </x14:dataValidation>
        <x14:dataValidation type="list" allowBlank="1" showInputMessage="1" showErrorMessage="1">
          <x14:formula1>
            <xm:f>Assumptions!$B$73:$B$77</xm:f>
          </x14:formula1>
          <xm:sqref>J6</xm:sqref>
        </x14:dataValidation>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19"/>
  <sheetViews>
    <sheetView topLeftCell="A7" zoomScaleNormal="100" zoomScaleSheetLayoutView="80" workbookViewId="0">
      <selection activeCell="M21" sqref="M21"/>
    </sheetView>
  </sheetViews>
  <sheetFormatPr defaultColWidth="9.140625" defaultRowHeight="15"/>
  <cols>
    <col min="1" max="1" width="2.28515625" style="118" bestFit="1" customWidth="1"/>
    <col min="2" max="2" width="26.5703125" style="119" bestFit="1" customWidth="1"/>
    <col min="3" max="3" width="18.42578125" style="203" customWidth="1"/>
    <col min="4" max="4" width="26.140625" style="120" customWidth="1"/>
    <col min="5" max="5" width="22.42578125" style="120" bestFit="1" customWidth="1"/>
    <col min="6" max="6" width="14.42578125" style="120" customWidth="1"/>
    <col min="7" max="7" width="16.42578125" style="120" customWidth="1"/>
    <col min="8" max="8" width="26.7109375" style="120" bestFit="1" customWidth="1"/>
    <col min="9" max="9" width="15.140625" style="120" bestFit="1" customWidth="1"/>
    <col min="10" max="10" width="18.7109375" style="120" bestFit="1" customWidth="1"/>
    <col min="11" max="12" width="15.140625" style="120" bestFit="1" customWidth="1"/>
    <col min="13" max="13" width="22" style="120" bestFit="1"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989" t="s">
        <v>634</v>
      </c>
      <c r="B1" s="1989"/>
      <c r="C1" s="1989"/>
      <c r="D1" s="1989"/>
      <c r="E1" s="1989"/>
      <c r="F1" s="1989"/>
      <c r="G1" s="1989"/>
      <c r="H1" s="1989"/>
      <c r="I1" s="1989"/>
      <c r="J1" s="1989"/>
      <c r="K1" s="1989"/>
      <c r="L1" s="1989"/>
      <c r="M1" s="1989"/>
      <c r="N1" s="1989"/>
      <c r="O1" s="1989"/>
      <c r="P1" s="1989"/>
      <c r="Q1" s="198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2008" t="s">
        <v>334</v>
      </c>
      <c r="C2" s="2008"/>
      <c r="D2" s="2008"/>
      <c r="E2" s="2008"/>
      <c r="G2" s="221"/>
      <c r="H2" s="2040" t="s">
        <v>618</v>
      </c>
      <c r="I2" s="2041"/>
      <c r="J2" s="2041"/>
      <c r="K2" s="2041"/>
      <c r="L2" s="2041"/>
      <c r="M2" s="2041"/>
      <c r="N2" s="2041"/>
      <c r="O2" s="2041"/>
      <c r="P2" s="2041"/>
      <c r="Q2" s="2041"/>
      <c r="R2" s="204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77"/>
      <c r="I3" s="125"/>
      <c r="J3" s="125"/>
      <c r="K3" s="125"/>
      <c r="L3" s="125"/>
      <c r="M3" s="125"/>
      <c r="N3" s="125"/>
      <c r="O3" s="125"/>
      <c r="P3" s="125"/>
      <c r="Q3" s="125"/>
      <c r="R3" s="930"/>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c r="B4" s="126" t="s">
        <v>331</v>
      </c>
      <c r="C4" s="489"/>
      <c r="D4" s="121"/>
      <c r="E4" s="916" t="s">
        <v>1211</v>
      </c>
      <c r="F4" s="1204"/>
      <c r="G4" s="219"/>
      <c r="H4" s="964"/>
      <c r="I4" s="355"/>
      <c r="J4" s="355"/>
      <c r="K4" s="836"/>
      <c r="L4" s="121"/>
      <c r="M4" s="2052"/>
      <c r="N4" s="2052"/>
      <c r="O4" s="440"/>
      <c r="P4" s="125"/>
      <c r="Q4" s="125"/>
      <c r="R4" s="930"/>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2.75">
      <c r="B5" s="128" t="s">
        <v>375</v>
      </c>
      <c r="C5" s="587" t="str">
        <f>Community_Name</f>
        <v>Manley Hot Springs</v>
      </c>
      <c r="D5" s="125"/>
      <c r="E5" s="47" t="s">
        <v>1209</v>
      </c>
      <c r="F5" s="1205"/>
      <c r="G5" s="219"/>
      <c r="H5" s="2059"/>
      <c r="I5" s="2060"/>
      <c r="J5" s="2060"/>
      <c r="K5" s="2060"/>
      <c r="L5" s="2060"/>
      <c r="M5" s="2060"/>
      <c r="N5" s="2060"/>
      <c r="O5" s="2060"/>
      <c r="P5" s="125"/>
      <c r="Q5" s="125"/>
      <c r="R5" s="930"/>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13.5" thickBot="1">
      <c r="B6" s="128" t="s">
        <v>376</v>
      </c>
      <c r="C6" s="587" t="str">
        <f>IF('Community data'!B7="Yes",'Community data'!B8,Community_Name)</f>
        <v>Manley Hot Springs</v>
      </c>
      <c r="D6" s="125"/>
      <c r="E6" s="417" t="s">
        <v>1210</v>
      </c>
      <c r="F6" s="1212" t="b">
        <f>IF(OR(C9="Construction",C9="Design"),"High", IF(C9="Feasibility", "Medium", IF(C9="Recon", "Low")))</f>
        <v>0</v>
      </c>
      <c r="G6" s="219"/>
      <c r="H6" s="34"/>
      <c r="I6" s="278" t="s">
        <v>572</v>
      </c>
      <c r="J6" s="278" t="s">
        <v>673</v>
      </c>
      <c r="K6" s="121"/>
      <c r="L6" s="121"/>
      <c r="M6" s="121"/>
      <c r="N6" s="268"/>
      <c r="O6" s="122"/>
      <c r="P6" s="125"/>
      <c r="Q6" s="125"/>
      <c r="R6" s="351"/>
      <c r="T6" s="124"/>
      <c r="U6" s="124"/>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18"/>
    </row>
    <row r="7" spans="1:67" ht="12.75">
      <c r="B7" s="128" t="s">
        <v>332</v>
      </c>
      <c r="C7" s="587" t="s">
        <v>291</v>
      </c>
      <c r="D7" s="125"/>
      <c r="G7" s="219"/>
      <c r="H7" s="296" t="s">
        <v>1237</v>
      </c>
      <c r="I7" s="616">
        <f>'Community data'!B26</f>
        <v>440077</v>
      </c>
      <c r="J7" s="413">
        <f>I7</f>
        <v>440077</v>
      </c>
      <c r="K7" s="121"/>
      <c r="L7" s="121"/>
      <c r="M7" s="121"/>
      <c r="N7" s="268"/>
      <c r="O7" s="420"/>
      <c r="P7" s="125"/>
      <c r="Q7" s="125"/>
      <c r="R7" s="965"/>
      <c r="S7" s="217"/>
      <c r="T7" s="217"/>
      <c r="U7" s="124"/>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18"/>
    </row>
    <row r="8" spans="1:67" ht="12.75">
      <c r="B8" s="128" t="s">
        <v>569</v>
      </c>
      <c r="C8" s="587" t="s">
        <v>634</v>
      </c>
      <c r="D8" s="125"/>
      <c r="E8" s="118"/>
      <c r="G8" s="219"/>
      <c r="H8" s="292" t="s">
        <v>674</v>
      </c>
      <c r="I8" s="616">
        <f>'Community data'!B17</f>
        <v>384000</v>
      </c>
      <c r="J8" s="234"/>
      <c r="K8" s="121"/>
      <c r="L8" s="121"/>
      <c r="M8" s="121"/>
      <c r="N8" s="268"/>
      <c r="O8" s="420"/>
      <c r="P8" s="125"/>
      <c r="Q8" s="125"/>
      <c r="R8" s="946"/>
      <c r="S8" s="124"/>
      <c r="T8" s="124"/>
      <c r="U8" s="124"/>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18"/>
    </row>
    <row r="9" spans="1:67" ht="12.75">
      <c r="B9" s="128" t="s">
        <v>570</v>
      </c>
      <c r="C9" s="490"/>
      <c r="D9" s="125"/>
      <c r="E9" s="118"/>
      <c r="G9" s="219"/>
      <c r="H9" s="292" t="s">
        <v>675</v>
      </c>
      <c r="I9" s="616">
        <f>'Community data'!B20</f>
        <v>40739</v>
      </c>
      <c r="J9" s="413">
        <f>J7/J13</f>
        <v>30350.137931034482</v>
      </c>
      <c r="K9" s="121"/>
      <c r="L9" s="121"/>
      <c r="M9" s="121"/>
      <c r="N9" s="840"/>
      <c r="O9" s="122"/>
      <c r="P9" s="125"/>
      <c r="Q9" s="125"/>
      <c r="R9" s="966"/>
      <c r="S9" s="124"/>
      <c r="T9" s="124"/>
      <c r="U9" s="124"/>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18"/>
    </row>
    <row r="10" spans="1:67" ht="12.75">
      <c r="B10" s="128"/>
      <c r="C10" s="587"/>
      <c r="D10" s="125"/>
      <c r="E10" s="118"/>
      <c r="G10" s="219"/>
      <c r="H10" s="294"/>
      <c r="I10" s="1706"/>
      <c r="J10" s="1707"/>
      <c r="K10" s="121"/>
      <c r="L10" s="121"/>
      <c r="M10" s="121"/>
      <c r="N10" s="840"/>
      <c r="O10" s="122"/>
      <c r="P10" s="125"/>
      <c r="Q10" s="125"/>
      <c r="R10" s="966"/>
      <c r="S10" s="124"/>
      <c r="T10" s="124"/>
      <c r="U10" s="124"/>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18"/>
    </row>
    <row r="11" spans="1:67" ht="15.75" thickBot="1">
      <c r="B11" s="134"/>
      <c r="C11" s="611"/>
      <c r="D11" s="125"/>
      <c r="E11" s="118"/>
      <c r="F11" s="135"/>
      <c r="G11" s="219"/>
      <c r="H11" s="294"/>
      <c r="I11" s="1708"/>
      <c r="J11" s="1709"/>
      <c r="K11" s="836"/>
      <c r="L11" s="121"/>
      <c r="M11" s="121"/>
      <c r="N11" s="840"/>
      <c r="O11" s="122"/>
      <c r="P11" s="125"/>
      <c r="Q11" s="125"/>
      <c r="R11" s="966"/>
      <c r="S11" s="124"/>
      <c r="T11" s="124"/>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18"/>
    </row>
    <row r="12" spans="1:67" ht="14.25">
      <c r="B12" s="137" t="s">
        <v>360</v>
      </c>
      <c r="C12" s="515" t="s">
        <v>384</v>
      </c>
      <c r="D12" s="306"/>
      <c r="E12" s="306"/>
      <c r="F12" s="118"/>
      <c r="G12" s="219"/>
      <c r="H12" s="294"/>
      <c r="I12" s="1708"/>
      <c r="J12" s="1710"/>
      <c r="K12" s="136"/>
      <c r="L12" s="121"/>
      <c r="M12" s="121"/>
      <c r="N12" s="840"/>
      <c r="O12" s="122"/>
      <c r="P12" s="125"/>
      <c r="Q12" s="125"/>
      <c r="R12" s="966"/>
      <c r="S12" s="124"/>
      <c r="T12" s="124"/>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18"/>
    </row>
    <row r="13" spans="1:67" ht="13.5" thickBot="1">
      <c r="B13" s="128" t="s">
        <v>262</v>
      </c>
      <c r="C13" s="321">
        <f>BI60</f>
        <v>149107.41411550221</v>
      </c>
      <c r="D13" s="136"/>
      <c r="E13" s="136"/>
      <c r="F13" s="118"/>
      <c r="G13" s="219"/>
      <c r="H13" s="967" t="s">
        <v>676</v>
      </c>
      <c r="I13" s="284">
        <f>Generation_Efficiency</f>
        <v>10.802351555020987</v>
      </c>
      <c r="J13" s="235">
        <f>IF('Community data'!B10&lt;500, 14.5, 16)</f>
        <v>14.5</v>
      </c>
      <c r="K13" s="136"/>
      <c r="L13" s="121"/>
      <c r="M13" s="121"/>
      <c r="N13" s="449"/>
      <c r="O13" s="122"/>
      <c r="P13" s="125"/>
      <c r="Q13" s="125"/>
      <c r="R13" s="966"/>
      <c r="S13" s="124"/>
      <c r="T13" s="124"/>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18"/>
    </row>
    <row r="14" spans="1:67" ht="13.5" thickBot="1">
      <c r="B14" s="128" t="s">
        <v>278</v>
      </c>
      <c r="C14" s="322">
        <f>BI55</f>
        <v>547800.29277109518</v>
      </c>
      <c r="D14" s="136"/>
      <c r="E14" s="136"/>
      <c r="F14" s="118"/>
      <c r="G14" s="219"/>
      <c r="H14" s="1711"/>
      <c r="I14" s="1712"/>
      <c r="J14" s="1713"/>
      <c r="K14" s="136"/>
      <c r="L14" s="121"/>
      <c r="M14" s="121"/>
      <c r="N14" s="121"/>
      <c r="O14" s="9"/>
      <c r="P14" s="125"/>
      <c r="Q14" s="125"/>
      <c r="R14" s="966"/>
      <c r="S14" s="124"/>
      <c r="T14" s="124"/>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18"/>
    </row>
    <row r="15" spans="1:67" ht="13.5" thickBot="1">
      <c r="B15" s="128" t="s">
        <v>759</v>
      </c>
      <c r="C15" s="516">
        <f>IF(Diesel_NPV_Capital_Costs&gt;0,C13/C14,0)</f>
        <v>0.2721930164754558</v>
      </c>
      <c r="D15" s="136"/>
      <c r="E15" s="136"/>
      <c r="F15" s="118"/>
      <c r="G15" s="219"/>
      <c r="H15" s="236"/>
      <c r="I15" s="1714"/>
      <c r="J15" s="1715"/>
      <c r="K15" s="136"/>
      <c r="L15" s="121"/>
      <c r="M15" s="1987"/>
      <c r="N15" s="1987"/>
      <c r="O15" s="9"/>
      <c r="P15" s="125"/>
      <c r="Q15" s="125"/>
      <c r="R15" s="946"/>
      <c r="S15" s="124"/>
      <c r="T15" s="124"/>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18"/>
    </row>
    <row r="16" spans="1:67" ht="15.75" thickBot="1">
      <c r="A16" s="121"/>
      <c r="B16" s="502" t="s">
        <v>290</v>
      </c>
      <c r="C16" s="517">
        <f>BI62</f>
        <v>-398692.87865559303</v>
      </c>
      <c r="D16" s="136"/>
      <c r="E16" s="136"/>
      <c r="F16" s="118"/>
      <c r="G16" s="219"/>
      <c r="H16" s="237"/>
      <c r="I16" s="1716"/>
      <c r="J16" s="1710"/>
      <c r="K16" s="836"/>
      <c r="L16" s="121"/>
      <c r="M16" s="121"/>
      <c r="N16" s="840"/>
      <c r="O16" s="9"/>
      <c r="P16" s="125"/>
      <c r="Q16" s="125"/>
      <c r="R16" s="946"/>
      <c r="S16" s="124"/>
      <c r="T16" s="124"/>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18"/>
    </row>
    <row r="17" spans="1:67">
      <c r="A17" s="121"/>
      <c r="B17" s="157"/>
      <c r="C17" s="347"/>
      <c r="D17" s="136"/>
      <c r="E17" s="136"/>
      <c r="F17" s="118"/>
      <c r="G17" s="219"/>
      <c r="H17" s="294" t="s">
        <v>660</v>
      </c>
      <c r="I17" s="619">
        <f>'Community data'!B22</f>
        <v>0.121</v>
      </c>
      <c r="J17" s="239">
        <v>0.1</v>
      </c>
      <c r="K17" s="836"/>
      <c r="L17" s="121"/>
      <c r="M17" s="121"/>
      <c r="N17" s="329"/>
      <c r="O17" s="9"/>
      <c r="P17" s="125"/>
      <c r="Q17" s="125"/>
      <c r="R17" s="965"/>
      <c r="S17" s="217"/>
      <c r="T17" s="124"/>
      <c r="U17" s="124"/>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18"/>
    </row>
    <row r="18" spans="1:67" ht="27" thickBot="1">
      <c r="B18" s="138"/>
      <c r="C18" s="145"/>
      <c r="D18" s="136"/>
      <c r="E18" s="136"/>
      <c r="F18" s="118"/>
      <c r="G18" s="219"/>
      <c r="H18" s="968" t="s">
        <v>713</v>
      </c>
      <c r="I18" s="649" t="str">
        <f>'Community data'!B28</f>
        <v>oversized</v>
      </c>
      <c r="J18" s="345"/>
      <c r="K18" s="836"/>
      <c r="L18" s="121"/>
      <c r="M18" s="121"/>
      <c r="N18" s="329"/>
      <c r="O18" s="121"/>
      <c r="P18" s="125"/>
      <c r="Q18" s="125"/>
      <c r="R18" s="946"/>
      <c r="S18" s="124"/>
      <c r="T18" s="124"/>
      <c r="U18" s="124"/>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18"/>
    </row>
    <row r="19" spans="1:67">
      <c r="B19" s="137" t="s">
        <v>361</v>
      </c>
      <c r="C19" s="314" t="s">
        <v>271</v>
      </c>
      <c r="D19" s="315" t="s">
        <v>384</v>
      </c>
      <c r="E19" s="307"/>
      <c r="F19" s="306"/>
      <c r="G19" s="219"/>
      <c r="H19" s="969" t="s">
        <v>818</v>
      </c>
      <c r="I19" s="620" t="str">
        <f>'Community data'!B30</f>
        <v>No</v>
      </c>
      <c r="J19" s="238"/>
      <c r="K19" s="836"/>
      <c r="L19" s="121"/>
      <c r="M19" s="121"/>
      <c r="N19" s="329"/>
      <c r="O19" s="9"/>
      <c r="P19" s="125"/>
      <c r="Q19" s="125"/>
      <c r="R19" s="946"/>
      <c r="S19" s="124"/>
      <c r="T19" s="124"/>
      <c r="U19" s="124"/>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18"/>
    </row>
    <row r="20" spans="1:67">
      <c r="B20" s="316" t="s">
        <v>362</v>
      </c>
      <c r="C20" s="208" t="s">
        <v>266</v>
      </c>
      <c r="D20" s="606">
        <f>G73-G67</f>
        <v>0</v>
      </c>
      <c r="E20" s="121"/>
      <c r="F20" s="136"/>
      <c r="G20" s="219"/>
      <c r="H20" s="970" t="s">
        <v>794</v>
      </c>
      <c r="I20" s="620" t="str">
        <f>'Community data'!B31</f>
        <v>No</v>
      </c>
      <c r="J20" s="136"/>
      <c r="K20" s="836"/>
      <c r="L20" s="121"/>
      <c r="M20" s="121"/>
      <c r="N20" s="329"/>
      <c r="O20" s="9"/>
      <c r="P20" s="125"/>
      <c r="Q20" s="125"/>
      <c r="R20" s="965"/>
      <c r="S20" s="217"/>
      <c r="T20" s="124"/>
      <c r="U20" s="124"/>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18"/>
    </row>
    <row r="21" spans="1:67" ht="26.25">
      <c r="B21" s="316" t="s">
        <v>362</v>
      </c>
      <c r="C21" s="209" t="s">
        <v>363</v>
      </c>
      <c r="D21" s="607">
        <f>D20*20</f>
        <v>0</v>
      </c>
      <c r="E21" s="121"/>
      <c r="F21" s="136"/>
      <c r="G21" s="219"/>
      <c r="H21" s="970" t="s">
        <v>804</v>
      </c>
      <c r="I21" s="621">
        <f>'Community data'!G34</f>
        <v>0</v>
      </c>
      <c r="J21" s="136"/>
      <c r="K21" s="836"/>
      <c r="L21" s="121"/>
      <c r="M21" s="121"/>
      <c r="N21" s="426"/>
      <c r="O21" s="9"/>
      <c r="P21" s="125"/>
      <c r="Q21" s="125"/>
      <c r="R21" s="946"/>
      <c r="S21" s="124"/>
      <c r="T21" s="211"/>
      <c r="U21" s="124"/>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18"/>
    </row>
    <row r="22" spans="1:67">
      <c r="B22" s="316" t="s">
        <v>364</v>
      </c>
      <c r="C22" s="209" t="s">
        <v>268</v>
      </c>
      <c r="D22" s="606">
        <f>G76-G68</f>
        <v>4457.3482755705536</v>
      </c>
      <c r="E22" s="121"/>
      <c r="F22" s="136"/>
      <c r="G22" s="219"/>
      <c r="H22" s="970" t="s">
        <v>798</v>
      </c>
      <c r="I22" s="621">
        <f>'Community data'!G35</f>
        <v>3</v>
      </c>
      <c r="J22" s="346"/>
      <c r="K22" s="836"/>
      <c r="L22" s="121"/>
      <c r="M22" s="138"/>
      <c r="N22" s="329"/>
      <c r="O22" s="9"/>
      <c r="P22" s="125"/>
      <c r="Q22" s="125"/>
      <c r="R22" s="946"/>
      <c r="S22" s="124"/>
      <c r="T22" s="124"/>
      <c r="U22" s="124"/>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18"/>
    </row>
    <row r="23" spans="1:67">
      <c r="B23" s="316" t="s">
        <v>364</v>
      </c>
      <c r="C23" s="209" t="s">
        <v>365</v>
      </c>
      <c r="D23" s="608">
        <f>D22*20</f>
        <v>89146.965511411079</v>
      </c>
      <c r="E23" s="121"/>
      <c r="F23" s="136"/>
      <c r="G23" s="219"/>
      <c r="H23" s="970" t="s">
        <v>799</v>
      </c>
      <c r="I23" s="621">
        <f>'Community data'!G36</f>
        <v>100</v>
      </c>
      <c r="J23" s="346"/>
      <c r="K23" s="836"/>
      <c r="L23" s="121"/>
      <c r="M23" s="121"/>
      <c r="N23" s="426"/>
      <c r="O23" s="9"/>
      <c r="P23" s="125"/>
      <c r="Q23" s="125"/>
      <c r="R23" s="946"/>
      <c r="S23" s="124"/>
      <c r="T23" s="692"/>
      <c r="U23" s="124"/>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18"/>
    </row>
    <row r="24" spans="1:67" ht="12.75" customHeight="1">
      <c r="B24" s="128"/>
      <c r="D24" s="1385"/>
      <c r="E24" s="122"/>
      <c r="F24" s="125"/>
      <c r="G24" s="145"/>
      <c r="H24" s="970" t="s">
        <v>797</v>
      </c>
      <c r="I24" s="1387" t="s">
        <v>597</v>
      </c>
      <c r="J24" s="121"/>
      <c r="K24" s="8"/>
      <c r="L24" s="121"/>
      <c r="M24" s="121"/>
      <c r="N24" s="121"/>
      <c r="O24" s="9"/>
      <c r="P24" s="125"/>
      <c r="Q24" s="125"/>
      <c r="R24" s="971"/>
      <c r="S24" s="211"/>
      <c r="T24" s="692"/>
      <c r="U24" s="124"/>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18"/>
    </row>
    <row r="25" spans="1:67" ht="12.75">
      <c r="B25" s="128"/>
      <c r="C25" s="145"/>
      <c r="D25" s="317"/>
      <c r="E25" s="121"/>
      <c r="F25" s="136"/>
      <c r="G25" s="219"/>
      <c r="H25" s="524"/>
      <c r="I25" s="136"/>
      <c r="J25" s="136"/>
      <c r="K25" s="136"/>
      <c r="L25" s="121"/>
      <c r="M25" s="840"/>
      <c r="N25" s="840"/>
      <c r="O25" s="9"/>
      <c r="P25" s="125"/>
      <c r="Q25" s="125"/>
      <c r="R25" s="965"/>
      <c r="S25" s="217"/>
      <c r="T25" s="217"/>
      <c r="U25" s="124"/>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18"/>
    </row>
    <row r="26" spans="1:67" ht="12.75">
      <c r="B26" s="316"/>
      <c r="C26" s="209"/>
      <c r="D26" s="606"/>
      <c r="E26" s="121"/>
      <c r="F26" s="136"/>
      <c r="G26" s="219"/>
      <c r="H26" s="524"/>
      <c r="I26" s="136"/>
      <c r="J26" s="136"/>
      <c r="K26" s="136"/>
      <c r="L26" s="121"/>
      <c r="M26" s="121"/>
      <c r="N26" s="121"/>
      <c r="O26" s="9"/>
      <c r="P26" s="125"/>
      <c r="Q26" s="125"/>
      <c r="R26" s="972"/>
      <c r="S26" s="689"/>
      <c r="T26" s="147"/>
      <c r="U26" s="147"/>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18"/>
    </row>
    <row r="27" spans="1:67" ht="13.5" thickBot="1">
      <c r="B27" s="318"/>
      <c r="C27" s="319"/>
      <c r="D27" s="609"/>
      <c r="E27" s="121"/>
      <c r="F27" s="136"/>
      <c r="G27" s="219"/>
      <c r="H27" s="2057" t="s">
        <v>633</v>
      </c>
      <c r="I27" s="2058"/>
      <c r="J27" s="484"/>
      <c r="K27" s="136"/>
      <c r="L27" s="121"/>
      <c r="M27" s="121"/>
      <c r="N27" s="121"/>
      <c r="O27" s="9"/>
      <c r="P27" s="125"/>
      <c r="Q27" s="125"/>
      <c r="R27" s="973"/>
      <c r="S27" s="147"/>
      <c r="T27" s="124"/>
      <c r="U27" s="124"/>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18"/>
    </row>
    <row r="28" spans="1:67" ht="13.5" thickBot="1">
      <c r="B28" s="143"/>
      <c r="C28" s="143"/>
      <c r="D28" s="148"/>
      <c r="E28" s="121"/>
      <c r="F28" s="136"/>
      <c r="G28" s="219"/>
      <c r="H28" s="294" t="s">
        <v>796</v>
      </c>
      <c r="I28" s="618">
        <f>IF(I24="Yes",0, IF(AND(I24="No",I19="Yes",I20="No"),I36,IF(I19="No",I37,IF(AND(I24="No",I19="Yes",I20="Yes"),0))))</f>
        <v>225000</v>
      </c>
      <c r="J28" s="484"/>
      <c r="K28" s="136"/>
      <c r="L28" s="121"/>
      <c r="M28" s="121"/>
      <c r="N28" s="121"/>
      <c r="O28" s="9"/>
      <c r="P28" s="125"/>
      <c r="Q28" s="125"/>
      <c r="R28" s="946"/>
      <c r="S28" s="124"/>
      <c r="T28" s="124"/>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18"/>
    </row>
    <row r="29" spans="1:67" ht="12.75">
      <c r="B29" s="149" t="s">
        <v>366</v>
      </c>
      <c r="C29" s="150" t="s">
        <v>271</v>
      </c>
      <c r="D29" s="312" t="s">
        <v>384</v>
      </c>
      <c r="E29" s="307"/>
      <c r="F29" s="306"/>
      <c r="G29" s="219"/>
      <c r="H29" s="540" t="s">
        <v>803</v>
      </c>
      <c r="I29" s="622">
        <f>IF(I24="Yes",0,I35*I21)</f>
        <v>0</v>
      </c>
      <c r="J29" s="484"/>
      <c r="K29" s="136"/>
      <c r="L29" s="136"/>
      <c r="M29" s="121"/>
      <c r="N29" s="121"/>
      <c r="O29" s="121"/>
      <c r="P29" s="125"/>
      <c r="Q29" s="125"/>
      <c r="R29" s="946"/>
      <c r="S29" s="124"/>
      <c r="T29" s="124"/>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18"/>
    </row>
    <row r="30" spans="1:67" ht="12.75">
      <c r="B30" s="128" t="s">
        <v>6</v>
      </c>
      <c r="C30" s="138" t="s">
        <v>287</v>
      </c>
      <c r="D30" s="590">
        <f>I32+N23</f>
        <v>525000</v>
      </c>
      <c r="E30" s="118"/>
      <c r="G30" s="219"/>
      <c r="H30" s="540" t="s">
        <v>800</v>
      </c>
      <c r="I30" s="623">
        <f>IF(AND(I24="No",I23&lt;250),I22*I40, IF(AND(I24="No",I23&gt;249,I23&lt;1000), I22*J40, IF(AND(I24="No",I23&gt;999),I22*K40,0)))</f>
        <v>300000</v>
      </c>
      <c r="J30" s="484"/>
      <c r="K30" s="136"/>
      <c r="L30" s="136"/>
      <c r="M30" s="121" t="s">
        <v>814</v>
      </c>
      <c r="N30" s="121"/>
      <c r="O30" s="121"/>
      <c r="P30" s="125"/>
      <c r="Q30" s="125"/>
      <c r="R30" s="946"/>
      <c r="S30" s="124"/>
      <c r="T30" s="124"/>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18"/>
    </row>
    <row r="31" spans="1:67" ht="12.75">
      <c r="B31" s="128" t="s">
        <v>286</v>
      </c>
      <c r="C31" s="138" t="s">
        <v>333</v>
      </c>
      <c r="D31" s="589">
        <v>2015</v>
      </c>
      <c r="E31" s="118"/>
      <c r="G31" s="219"/>
      <c r="H31" s="540" t="s">
        <v>681</v>
      </c>
      <c r="I31" s="624">
        <f>IF(I24="No",0, IF(AND(I24="Yes",'Community data'!B10&lt;500),'Diesel eff'!I42,IF(AND(I24="Yes",'Community data'!B10&gt;499),'Diesel eff'!J42)))</f>
        <v>0</v>
      </c>
      <c r="J31" s="484"/>
      <c r="K31" s="136"/>
      <c r="L31" s="136"/>
      <c r="M31" s="121"/>
      <c r="N31" s="121"/>
      <c r="O31" s="121"/>
      <c r="P31" s="125"/>
      <c r="Q31" s="125"/>
      <c r="R31" s="946"/>
      <c r="S31" s="124"/>
      <c r="V31" s="125"/>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18"/>
    </row>
    <row r="32" spans="1:67">
      <c r="B32" s="128" t="s">
        <v>279</v>
      </c>
      <c r="C32" s="138" t="s">
        <v>280</v>
      </c>
      <c r="D32" s="664">
        <f>IF(I23&lt;600,10,20)</f>
        <v>10</v>
      </c>
      <c r="E32" s="118"/>
      <c r="G32" s="219"/>
      <c r="H32" s="510" t="s">
        <v>801</v>
      </c>
      <c r="I32" s="625">
        <f>SUM(I28:I31)</f>
        <v>525000</v>
      </c>
      <c r="J32" s="484"/>
      <c r="K32" s="136"/>
      <c r="L32" s="121"/>
      <c r="M32" s="233"/>
      <c r="N32" s="121"/>
      <c r="O32" s="121"/>
      <c r="P32" s="121"/>
      <c r="Q32" s="125"/>
      <c r="R32" s="930"/>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3.5" thickBot="1">
      <c r="B33" s="128" t="s">
        <v>367</v>
      </c>
      <c r="C33" s="151" t="s">
        <v>268</v>
      </c>
      <c r="D33" s="591">
        <f>I9-J9</f>
        <v>10388.862068965518</v>
      </c>
      <c r="E33" s="118"/>
      <c r="G33" s="219"/>
      <c r="H33" s="524"/>
      <c r="I33" s="136"/>
      <c r="J33" s="136"/>
      <c r="K33" s="136"/>
      <c r="L33" s="136"/>
      <c r="M33" s="8"/>
      <c r="N33" s="121"/>
      <c r="O33" s="121"/>
      <c r="P33" s="121"/>
      <c r="Q33" s="125"/>
      <c r="R33" s="930"/>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592">
        <f>N13</f>
        <v>0</v>
      </c>
      <c r="E34" s="118"/>
      <c r="G34" s="219"/>
      <c r="H34" s="2054" t="s">
        <v>677</v>
      </c>
      <c r="I34" s="2055"/>
      <c r="J34" s="2055"/>
      <c r="K34" s="2056"/>
      <c r="L34" s="121"/>
      <c r="M34" s="8"/>
      <c r="N34" s="121"/>
      <c r="O34" s="121"/>
      <c r="P34" s="121"/>
      <c r="Q34" s="125"/>
      <c r="R34" s="930"/>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6.25" customHeight="1">
      <c r="B35" s="128" t="s">
        <v>369</v>
      </c>
      <c r="C35" s="138" t="s">
        <v>315</v>
      </c>
      <c r="D35" s="593"/>
      <c r="E35" s="118"/>
      <c r="G35" s="219"/>
      <c r="H35" s="393" t="s">
        <v>802</v>
      </c>
      <c r="I35" s="397">
        <v>40000</v>
      </c>
      <c r="J35" s="349"/>
      <c r="K35" s="350"/>
      <c r="L35" s="121"/>
      <c r="M35" s="121"/>
      <c r="N35" s="344"/>
      <c r="O35" s="344"/>
      <c r="P35" s="121"/>
      <c r="Q35" s="125"/>
      <c r="R35" s="930"/>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c r="B36" s="128" t="s">
        <v>321</v>
      </c>
      <c r="C36" s="152" t="s">
        <v>265</v>
      </c>
      <c r="D36" s="594"/>
      <c r="E36" s="118"/>
      <c r="G36" s="219"/>
      <c r="H36" s="394" t="s">
        <v>678</v>
      </c>
      <c r="I36" s="397">
        <v>5000</v>
      </c>
      <c r="J36" s="349"/>
      <c r="K36" s="350"/>
      <c r="L36" s="121"/>
      <c r="M36" s="839"/>
      <c r="N36" s="839"/>
      <c r="O36" s="121"/>
      <c r="P36" s="125"/>
      <c r="Q36" s="125"/>
      <c r="R36" s="930"/>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18"/>
    </row>
    <row r="37" spans="2:67">
      <c r="B37" s="128" t="s">
        <v>387</v>
      </c>
      <c r="C37" s="138" t="s">
        <v>388</v>
      </c>
      <c r="D37" s="596"/>
      <c r="E37" s="118"/>
      <c r="G37" s="219"/>
      <c r="H37" s="395" t="s">
        <v>791</v>
      </c>
      <c r="I37" s="146">
        <v>225000</v>
      </c>
      <c r="J37" s="181"/>
      <c r="K37" s="350"/>
      <c r="L37" s="121"/>
      <c r="M37" s="839"/>
      <c r="N37" s="839"/>
      <c r="O37" s="121"/>
      <c r="P37" s="125"/>
      <c r="Q37" s="125"/>
      <c r="R37" s="930"/>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18"/>
    </row>
    <row r="38" spans="2:67">
      <c r="B38" s="128" t="s">
        <v>389</v>
      </c>
      <c r="C38" s="138" t="s">
        <v>352</v>
      </c>
      <c r="D38" s="595"/>
      <c r="E38" s="118"/>
      <c r="G38" s="219"/>
      <c r="H38" s="396" t="s">
        <v>679</v>
      </c>
      <c r="I38" s="398">
        <v>250000</v>
      </c>
      <c r="J38" s="348"/>
      <c r="K38" s="350"/>
      <c r="L38" s="121"/>
      <c r="M38" s="8"/>
      <c r="N38" s="839"/>
      <c r="O38" s="839"/>
      <c r="P38" s="125"/>
      <c r="Q38" s="125"/>
      <c r="R38" s="930"/>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c r="B39" s="128" t="s">
        <v>390</v>
      </c>
      <c r="C39" s="138" t="s">
        <v>392</v>
      </c>
      <c r="D39" s="597"/>
      <c r="E39" s="118"/>
      <c r="G39" s="219"/>
      <c r="H39" s="395"/>
      <c r="I39" s="212" t="s">
        <v>1104</v>
      </c>
      <c r="J39" s="326" t="s">
        <v>1105</v>
      </c>
      <c r="K39" s="353" t="s">
        <v>793</v>
      </c>
      <c r="L39" s="121"/>
      <c r="M39" s="8"/>
      <c r="N39" s="839"/>
      <c r="O39" s="839"/>
      <c r="P39" s="125"/>
      <c r="Q39" s="125"/>
      <c r="R39" s="930"/>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5.75" thickBot="1">
      <c r="B40" s="134" t="s">
        <v>391</v>
      </c>
      <c r="C40" s="313" t="s">
        <v>352</v>
      </c>
      <c r="D40" s="598"/>
      <c r="E40" s="118"/>
      <c r="G40" s="219"/>
      <c r="H40" s="395" t="s">
        <v>792</v>
      </c>
      <c r="I40" s="146">
        <v>100000</v>
      </c>
      <c r="J40" s="146">
        <v>300000</v>
      </c>
      <c r="K40" s="402">
        <v>1000000</v>
      </c>
      <c r="L40" s="121"/>
      <c r="M40" s="8"/>
      <c r="N40" s="836"/>
      <c r="O40" s="836"/>
      <c r="P40" s="125"/>
      <c r="Q40" s="125"/>
      <c r="R40" s="930"/>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5.75" thickBot="1">
      <c r="B41" s="153"/>
      <c r="C41" s="154"/>
      <c r="D41" s="155"/>
      <c r="E41" s="118"/>
      <c r="F41" s="136"/>
      <c r="G41" s="219"/>
      <c r="H41" s="304" t="s">
        <v>680</v>
      </c>
      <c r="I41" s="399">
        <v>800000</v>
      </c>
      <c r="J41" s="400">
        <v>1200000</v>
      </c>
      <c r="K41" s="351"/>
      <c r="L41" s="136"/>
      <c r="M41" s="9"/>
      <c r="N41" s="839"/>
      <c r="O41" s="839"/>
      <c r="P41" s="125"/>
      <c r="Q41" s="125"/>
      <c r="R41" s="930"/>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5.75" thickBot="1">
      <c r="B42" s="504" t="s">
        <v>327</v>
      </c>
      <c r="C42" s="505" t="s">
        <v>271</v>
      </c>
      <c r="D42" s="506" t="s">
        <v>272</v>
      </c>
      <c r="E42" s="118"/>
      <c r="G42" s="219"/>
      <c r="H42" s="305" t="s">
        <v>681</v>
      </c>
      <c r="I42" s="401">
        <v>2000000</v>
      </c>
      <c r="J42" s="362">
        <v>3500000</v>
      </c>
      <c r="K42" s="352"/>
      <c r="L42" s="136"/>
      <c r="M42" s="9"/>
      <c r="N42" s="839"/>
      <c r="O42" s="839"/>
      <c r="P42" s="125"/>
      <c r="Q42" s="125"/>
      <c r="R42" s="930"/>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c r="B43" s="311" t="s">
        <v>276</v>
      </c>
      <c r="C43" s="138" t="s">
        <v>1321</v>
      </c>
      <c r="D43" s="599">
        <f>IF(Average_Load&lt;150,'Diesel eff'!I46, IF(AND(Average_Load&lt;360,Average_Load&gt;150),'Diesel eff'!J46, IF(AND(Average_Load&gt;360,Average_Load&lt;600),'Diesel eff'!K46,IF(Average_Load&gt;600,'Diesel eff'!L46))))</f>
        <v>84181</v>
      </c>
      <c r="E43" s="118"/>
      <c r="F43" s="159"/>
      <c r="G43" s="219"/>
      <c r="H43" s="524"/>
      <c r="I43" s="136"/>
      <c r="J43" s="136"/>
      <c r="K43" s="136"/>
      <c r="L43" s="136"/>
      <c r="M43" s="9"/>
      <c r="N43" s="841"/>
      <c r="O43" s="841"/>
      <c r="P43" s="125"/>
      <c r="Q43" s="839"/>
      <c r="R43" s="974"/>
      <c r="S43" s="122"/>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5.75" thickBot="1">
      <c r="B44" s="507" t="s">
        <v>328</v>
      </c>
      <c r="C44" s="143" t="s">
        <v>281</v>
      </c>
      <c r="D44" s="614">
        <f>Generation_Efficiency</f>
        <v>10.802351555020987</v>
      </c>
      <c r="E44" s="118"/>
      <c r="F44" s="159"/>
      <c r="G44" s="219"/>
      <c r="H44" s="377"/>
      <c r="I44" s="233"/>
      <c r="J44" s="233"/>
      <c r="K44" s="233"/>
      <c r="L44" s="233"/>
      <c r="M44" s="9"/>
      <c r="N44" s="841"/>
      <c r="O44" s="841"/>
      <c r="P44" s="125"/>
      <c r="Q44" s="841"/>
      <c r="R44" s="975"/>
      <c r="S44" s="122"/>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5.75" thickBot="1">
      <c r="B45" s="161"/>
      <c r="C45" s="162"/>
      <c r="D45" s="163"/>
      <c r="E45" s="118"/>
      <c r="F45" s="136"/>
      <c r="G45" s="219"/>
      <c r="H45" s="518"/>
      <c r="I45" s="727" t="s">
        <v>1317</v>
      </c>
      <c r="J45" s="727" t="s">
        <v>1318</v>
      </c>
      <c r="K45" s="727" t="s">
        <v>1319</v>
      </c>
      <c r="L45" s="1411" t="s">
        <v>1320</v>
      </c>
      <c r="M45" s="122"/>
      <c r="N45" s="841"/>
      <c r="O45" s="841"/>
      <c r="P45" s="125"/>
      <c r="Q45" s="841"/>
      <c r="R45" s="976"/>
      <c r="S45" s="122"/>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c r="B46" s="126" t="s">
        <v>275</v>
      </c>
      <c r="C46" s="150" t="s">
        <v>271</v>
      </c>
      <c r="D46" s="310" t="s">
        <v>272</v>
      </c>
      <c r="E46" s="118"/>
      <c r="F46" s="159"/>
      <c r="G46" s="219"/>
      <c r="H46" s="519" t="s">
        <v>1316</v>
      </c>
      <c r="I46" s="1412">
        <v>84181</v>
      </c>
      <c r="J46" s="1412">
        <v>113410</v>
      </c>
      <c r="K46" s="1412">
        <v>134434</v>
      </c>
      <c r="L46" s="1413">
        <v>103851</v>
      </c>
      <c r="M46" s="122"/>
      <c r="N46" s="841"/>
      <c r="O46" s="841"/>
      <c r="P46" s="125"/>
      <c r="Q46" s="841"/>
      <c r="R46" s="976"/>
      <c r="S46" s="122"/>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5.75" thickBot="1">
      <c r="B47" s="311" t="s">
        <v>282</v>
      </c>
      <c r="C47" s="138" t="s">
        <v>269</v>
      </c>
      <c r="D47" s="601">
        <f>VLOOKUP(Energy_Region,Assumptions!$A$28:$B$38,2,FALSE)</f>
        <v>1.5507921943016665</v>
      </c>
      <c r="E47" s="118"/>
      <c r="F47" s="136"/>
      <c r="G47" s="219"/>
      <c r="H47" s="520"/>
      <c r="I47" s="521"/>
      <c r="J47" s="521"/>
      <c r="K47" s="521"/>
      <c r="L47" s="522"/>
      <c r="M47" s="122"/>
      <c r="N47" s="841"/>
      <c r="O47" s="841"/>
      <c r="P47" s="125"/>
      <c r="Q47" s="841"/>
      <c r="R47" s="976"/>
      <c r="S47" s="122"/>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02">
        <f>Assumptions!B26</f>
        <v>0</v>
      </c>
      <c r="E48" s="118"/>
      <c r="F48" s="159"/>
      <c r="G48" s="219"/>
      <c r="H48" s="377"/>
      <c r="I48" s="125"/>
      <c r="J48" s="125"/>
      <c r="K48" s="125"/>
      <c r="L48" s="125"/>
      <c r="M48" s="122"/>
      <c r="N48" s="9"/>
      <c r="O48" s="9"/>
      <c r="P48" s="125"/>
      <c r="Q48" s="841"/>
      <c r="R48" s="976"/>
      <c r="S48" s="122"/>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377"/>
      <c r="I49" s="125"/>
      <c r="J49" s="125"/>
      <c r="K49" s="125"/>
      <c r="L49" s="125"/>
      <c r="M49" s="122"/>
      <c r="N49" s="121"/>
      <c r="O49" s="121"/>
      <c r="P49" s="125"/>
      <c r="Q49" s="122"/>
      <c r="R49" s="956"/>
      <c r="S49" s="122"/>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s">
        <v>355</v>
      </c>
      <c r="E50" s="118"/>
      <c r="F50" s="159"/>
      <c r="G50" s="220"/>
      <c r="H50" s="377"/>
      <c r="I50" s="125"/>
      <c r="J50" s="125"/>
      <c r="K50" s="125"/>
      <c r="L50" s="125"/>
      <c r="M50" s="125"/>
      <c r="N50" s="121"/>
      <c r="O50" s="121"/>
      <c r="P50" s="125"/>
      <c r="Q50" s="125"/>
      <c r="R50" s="930"/>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04"/>
      <c r="E51" s="121"/>
      <c r="F51" s="136"/>
      <c r="G51" s="220"/>
      <c r="H51" s="378"/>
      <c r="I51" s="381"/>
      <c r="J51" s="381"/>
      <c r="K51" s="381"/>
      <c r="L51" s="381"/>
      <c r="M51" s="381"/>
      <c r="N51" s="379"/>
      <c r="O51" s="379"/>
      <c r="P51" s="381"/>
      <c r="Q51" s="381"/>
      <c r="R51" s="951"/>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N52" s="118"/>
      <c r="O52" s="118"/>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25.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L54+1</f>
        <v>2021</v>
      </c>
      <c r="N54" s="171">
        <f>M54+1</f>
        <v>2022</v>
      </c>
      <c r="O54" s="171">
        <f>N54+1</f>
        <v>2023</v>
      </c>
      <c r="P54" s="171">
        <f t="shared" ref="P54:AA54" si="1">O54+1</f>
        <v>2024</v>
      </c>
      <c r="Q54" s="171">
        <f t="shared" si="1"/>
        <v>2025</v>
      </c>
      <c r="R54" s="171">
        <f t="shared" si="1"/>
        <v>2026</v>
      </c>
      <c r="S54" s="306">
        <f t="shared" si="1"/>
        <v>2027</v>
      </c>
      <c r="T54" s="306">
        <f t="shared" si="1"/>
        <v>2028</v>
      </c>
      <c r="U54" s="306">
        <f t="shared" si="1"/>
        <v>2029</v>
      </c>
      <c r="V54" s="306">
        <f t="shared" si="1"/>
        <v>2030</v>
      </c>
      <c r="W54" s="306">
        <f t="shared" si="1"/>
        <v>2031</v>
      </c>
      <c r="X54" s="306">
        <f t="shared" si="1"/>
        <v>2032</v>
      </c>
      <c r="Y54" s="306">
        <f t="shared" si="1"/>
        <v>2033</v>
      </c>
      <c r="Z54" s="306">
        <f t="shared" si="1"/>
        <v>2034</v>
      </c>
      <c r="AA54" s="306">
        <f t="shared" si="1"/>
        <v>2035</v>
      </c>
      <c r="AB54" s="306">
        <f t="shared" si="0"/>
        <v>2036</v>
      </c>
      <c r="AC54" s="306">
        <f t="shared" si="0"/>
        <v>2037</v>
      </c>
      <c r="AD54" s="306">
        <f t="shared" si="0"/>
        <v>2038</v>
      </c>
      <c r="AE54" s="306">
        <f t="shared" si="0"/>
        <v>2039</v>
      </c>
      <c r="AF54" s="306">
        <f t="shared" si="0"/>
        <v>2040</v>
      </c>
      <c r="AG54" s="306">
        <f t="shared" si="0"/>
        <v>2041</v>
      </c>
      <c r="AH54" s="306">
        <f t="shared" si="0"/>
        <v>2042</v>
      </c>
      <c r="AI54" s="306">
        <f t="shared" si="0"/>
        <v>2043</v>
      </c>
      <c r="AJ54" s="306">
        <f t="shared" si="0"/>
        <v>2044</v>
      </c>
      <c r="AK54" s="306">
        <f t="shared" si="0"/>
        <v>2045</v>
      </c>
      <c r="AL54" s="306">
        <f t="shared" si="0"/>
        <v>2046</v>
      </c>
      <c r="AM54" s="306">
        <f t="shared" si="0"/>
        <v>2047</v>
      </c>
      <c r="AN54" s="306">
        <f t="shared" si="0"/>
        <v>2048</v>
      </c>
      <c r="AO54" s="306">
        <f t="shared" si="0"/>
        <v>2049</v>
      </c>
      <c r="AP54" s="306">
        <f t="shared" si="0"/>
        <v>2050</v>
      </c>
      <c r="AQ54" s="306">
        <f t="shared" si="0"/>
        <v>2051</v>
      </c>
      <c r="AR54" s="306">
        <f t="shared" si="0"/>
        <v>2052</v>
      </c>
      <c r="AS54" s="306">
        <f t="shared" si="0"/>
        <v>2053</v>
      </c>
      <c r="AT54" s="306">
        <f t="shared" si="0"/>
        <v>2054</v>
      </c>
      <c r="AU54" s="306">
        <f t="shared" si="0"/>
        <v>2055</v>
      </c>
      <c r="AV54" s="306">
        <f t="shared" si="0"/>
        <v>2056</v>
      </c>
      <c r="AW54" s="306">
        <f t="shared" si="0"/>
        <v>2057</v>
      </c>
      <c r="AX54" s="306">
        <f t="shared" si="0"/>
        <v>2058</v>
      </c>
      <c r="AY54" s="306">
        <f t="shared" si="0"/>
        <v>2059</v>
      </c>
      <c r="AZ54" s="306">
        <f t="shared" si="0"/>
        <v>2060</v>
      </c>
      <c r="BA54" s="306">
        <f t="shared" si="0"/>
        <v>2061</v>
      </c>
      <c r="BB54" s="306">
        <f t="shared" si="0"/>
        <v>2062</v>
      </c>
      <c r="BC54" s="306">
        <f t="shared" si="0"/>
        <v>2063</v>
      </c>
      <c r="BD54" s="306">
        <f t="shared" si="0"/>
        <v>2064</v>
      </c>
      <c r="BE54" s="306">
        <f t="shared" si="0"/>
        <v>2065</v>
      </c>
      <c r="BF54" s="306">
        <f t="shared" si="0"/>
        <v>2066</v>
      </c>
      <c r="BG54" s="306">
        <f t="shared" si="0"/>
        <v>2067</v>
      </c>
      <c r="BH54" s="306">
        <f t="shared" si="0"/>
        <v>2068</v>
      </c>
      <c r="BI54" s="695" t="s">
        <v>4</v>
      </c>
      <c r="BJ54" s="121"/>
      <c r="BK54" s="121"/>
      <c r="BL54" s="121"/>
      <c r="BM54" s="121"/>
      <c r="BN54" s="121"/>
      <c r="BO54" s="121"/>
    </row>
    <row r="55" spans="2:67" ht="12.75">
      <c r="C55" s="172" t="s">
        <v>277</v>
      </c>
      <c r="D55" s="173" t="s">
        <v>812</v>
      </c>
      <c r="E55" s="121" t="s">
        <v>264</v>
      </c>
      <c r="F55" s="174">
        <v>0</v>
      </c>
      <c r="G55" s="174">
        <f>IF(AND(G$54&gt;=$D$31,G$54&lt;=($D$31+$D$32)),-PMT(0.05,$D$32,$D$30)*'Fuel Price Worksheet'!G23,0)</f>
        <v>67989.901856864744</v>
      </c>
      <c r="H55" s="174">
        <f>IF(AND(H$54&gt;=$D$31,H$54&lt;=($D$31+$D$32)),-PMT(0.05,$D$32,$D$30)*'Fuel Price Worksheet'!H23,0)</f>
        <v>66396.388532094483</v>
      </c>
      <c r="I55" s="174">
        <f>IF(AND(I$54&gt;=$D$31,I$54&lt;=($D$31+$D$32)),-PMT(0.05,$D$32,$D$30)*'Fuel Price Worksheet'!I23,0)</f>
        <v>64840.223175873507</v>
      </c>
      <c r="J55" s="174">
        <f>IF(AND(J$54&gt;=$D$31,J$54&lt;=($D$31+$D$32)),-PMT(0.05,$D$32,$D$30)*'Fuel Price Worksheet'!J23,0)</f>
        <v>63320.530445188953</v>
      </c>
      <c r="K55" s="174">
        <f>IF(AND(K$54&gt;=$D$31,K$54&lt;=($D$31+$D$32)),-PMT(0.05,$D$32,$D$30)*'Fuel Price Worksheet'!K23,0)</f>
        <v>61836.455512879831</v>
      </c>
      <c r="L55" s="174">
        <f>IF(AND(L$54&gt;=$D$31,L$54&lt;=($D$31+$D$32)),-PMT(0.05,$D$32,$D$30)*'Fuel Price Worksheet'!L23,0)</f>
        <v>60387.163586796756</v>
      </c>
      <c r="M55" s="174">
        <f>IF(AND(M$54&gt;=$D$31,M$54&lt;=($D$31+$D$32)),-PMT(0.05,$D$32,$D$30)*'Fuel Price Worksheet'!M23,0)</f>
        <v>58971.839440231292</v>
      </c>
      <c r="N55" s="174">
        <f>IF(AND(N$54&gt;=$D$31,N$54&lt;=($D$31+$D$32)),-PMT(0.05,$D$32,$D$30)*'Fuel Price Worksheet'!N23,0)</f>
        <v>57589.686953351003</v>
      </c>
      <c r="O55" s="174">
        <f>IF(AND(O$54&gt;=$D$31,O$54&lt;=($D$31+$D$32)),-PMT(0.05,$D$32,$D$30)*'Fuel Price Worksheet'!O23,0)</f>
        <v>56239.928665382016</v>
      </c>
      <c r="P55" s="174">
        <f>IF(AND(P$54&gt;=$D$31,P$54&lt;=($D$31+$D$32)),-PMT(0.05,$D$32,$D$30)*'Fuel Price Worksheet'!P23,0)</f>
        <v>54921.805337287362</v>
      </c>
      <c r="Q55" s="174">
        <f>IF(AND(Q$54&gt;=$D$31,Q$54&lt;=($D$31+$D$32)),-PMT(0.05,$D$32,$D$30)*'Fuel Price Worksheet'!Q23,0)</f>
        <v>53634.575524694948</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547800.29277109518</v>
      </c>
      <c r="BJ55" s="121"/>
      <c r="BK55" s="174"/>
      <c r="BL55" s="174"/>
      <c r="BM55" s="121"/>
      <c r="BN55" s="121"/>
      <c r="BO55" s="121"/>
    </row>
    <row r="56" spans="2:67" ht="12.75">
      <c r="C56" s="172"/>
      <c r="D56" s="173" t="s">
        <v>813</v>
      </c>
      <c r="E56" s="121" t="s">
        <v>264</v>
      </c>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2"/>
      <c r="D57" s="173"/>
      <c r="E57" s="121"/>
      <c r="F57" s="176"/>
      <c r="G57" s="176"/>
      <c r="H57" s="176"/>
      <c r="I57" s="176"/>
      <c r="J57" s="176"/>
      <c r="K57" s="176"/>
      <c r="L57" s="176"/>
      <c r="M57" s="176"/>
      <c r="N57" s="176"/>
      <c r="O57" s="176"/>
      <c r="P57" s="176"/>
      <c r="Q57" s="176"/>
      <c r="R57" s="176"/>
      <c r="S57" s="176"/>
      <c r="T57" s="176"/>
      <c r="U57" s="176"/>
      <c r="V57" s="176"/>
      <c r="W57" s="176"/>
      <c r="X57" s="176"/>
      <c r="Y57" s="176"/>
      <c r="Z57" s="176"/>
      <c r="AA57" s="176"/>
      <c r="AB57" s="176"/>
      <c r="AC57" s="176"/>
      <c r="AD57" s="176"/>
      <c r="AE57" s="176"/>
      <c r="AF57" s="176"/>
      <c r="AG57" s="176"/>
      <c r="AH57" s="176"/>
      <c r="AI57" s="176"/>
      <c r="AJ57" s="176"/>
      <c r="AK57" s="176"/>
      <c r="AL57" s="176"/>
      <c r="AM57" s="176"/>
      <c r="AN57" s="176"/>
      <c r="AO57" s="176"/>
      <c r="AP57" s="176"/>
      <c r="AQ57" s="176"/>
      <c r="AR57" s="176"/>
      <c r="AS57" s="176"/>
      <c r="AT57" s="176"/>
      <c r="AU57" s="176"/>
      <c r="AV57" s="176"/>
      <c r="AW57" s="176"/>
      <c r="AX57" s="176"/>
      <c r="AY57" s="176"/>
      <c r="AZ57" s="176"/>
      <c r="BA57" s="176"/>
      <c r="BB57" s="176"/>
      <c r="BC57" s="176"/>
      <c r="BD57" s="176"/>
      <c r="BE57" s="176"/>
      <c r="BF57" s="176"/>
      <c r="BG57" s="176"/>
      <c r="BH57" s="176"/>
      <c r="BI57" s="175"/>
      <c r="BJ57" s="121"/>
      <c r="BK57" s="121"/>
      <c r="BL57" s="121"/>
      <c r="BM57" s="121"/>
      <c r="BN57" s="121"/>
      <c r="BO57" s="121"/>
    </row>
    <row r="58" spans="2:67" ht="12.75">
      <c r="C58" s="177"/>
      <c r="D58" s="136" t="s">
        <v>625</v>
      </c>
      <c r="E58" s="121" t="s">
        <v>264</v>
      </c>
      <c r="F58" s="178">
        <f t="shared" ref="F58:AK58" si="2">F78-F70</f>
        <v>0</v>
      </c>
      <c r="G58" s="178">
        <f t="shared" si="2"/>
        <v>11835.094211136515</v>
      </c>
      <c r="H58" s="178">
        <f t="shared" si="2"/>
        <v>14839.237991761474</v>
      </c>
      <c r="I58" s="178">
        <f t="shared" si="2"/>
        <v>15955.8067286765</v>
      </c>
      <c r="J58" s="178">
        <f t="shared" si="2"/>
        <v>16031.239046440518</v>
      </c>
      <c r="K58" s="178">
        <f t="shared" si="2"/>
        <v>16414.395524844382</v>
      </c>
      <c r="L58" s="178">
        <f t="shared" si="2"/>
        <v>16803.21131120334</v>
      </c>
      <c r="M58" s="178">
        <f t="shared" si="2"/>
        <v>17338.973183032504</v>
      </c>
      <c r="N58" s="178">
        <f t="shared" si="2"/>
        <v>17921.518381276721</v>
      </c>
      <c r="O58" s="178">
        <f t="shared" si="2"/>
        <v>18533.514371373662</v>
      </c>
      <c r="P58" s="178">
        <f t="shared" si="2"/>
        <v>19167.424597046018</v>
      </c>
      <c r="Q58" s="178">
        <f t="shared" si="2"/>
        <v>19813.240968974511</v>
      </c>
      <c r="R58" s="178">
        <f t="shared" si="2"/>
        <v>0</v>
      </c>
      <c r="S58" s="178">
        <f t="shared" si="2"/>
        <v>0</v>
      </c>
      <c r="T58" s="178">
        <f t="shared" si="2"/>
        <v>0</v>
      </c>
      <c r="U58" s="178">
        <f t="shared" si="2"/>
        <v>0</v>
      </c>
      <c r="V58" s="178">
        <f t="shared" si="2"/>
        <v>0</v>
      </c>
      <c r="W58" s="178">
        <f t="shared" si="2"/>
        <v>0</v>
      </c>
      <c r="X58" s="178">
        <f t="shared" si="2"/>
        <v>0</v>
      </c>
      <c r="Y58" s="178">
        <f t="shared" si="2"/>
        <v>0</v>
      </c>
      <c r="Z58" s="178">
        <f t="shared" si="2"/>
        <v>0</v>
      </c>
      <c r="AA58" s="178">
        <f t="shared" si="2"/>
        <v>0</v>
      </c>
      <c r="AB58" s="178">
        <f t="shared" si="2"/>
        <v>0</v>
      </c>
      <c r="AC58" s="178">
        <f t="shared" si="2"/>
        <v>0</v>
      </c>
      <c r="AD58" s="178">
        <f t="shared" si="2"/>
        <v>0</v>
      </c>
      <c r="AE58" s="178">
        <f t="shared" si="2"/>
        <v>0</v>
      </c>
      <c r="AF58" s="178">
        <f t="shared" si="2"/>
        <v>0</v>
      </c>
      <c r="AG58" s="178">
        <f t="shared" si="2"/>
        <v>0</v>
      </c>
      <c r="AH58" s="178">
        <f t="shared" si="2"/>
        <v>0</v>
      </c>
      <c r="AI58" s="178">
        <f t="shared" si="2"/>
        <v>0</v>
      </c>
      <c r="AJ58" s="178">
        <f t="shared" si="2"/>
        <v>0</v>
      </c>
      <c r="AK58" s="178">
        <f t="shared" si="2"/>
        <v>0</v>
      </c>
      <c r="AL58" s="178">
        <f t="shared" ref="AL58:BH58" si="3">AL78-AL70</f>
        <v>0</v>
      </c>
      <c r="AM58" s="178">
        <f t="shared" si="3"/>
        <v>0</v>
      </c>
      <c r="AN58" s="178">
        <f t="shared" si="3"/>
        <v>0</v>
      </c>
      <c r="AO58" s="178">
        <f t="shared" si="3"/>
        <v>0</v>
      </c>
      <c r="AP58" s="178">
        <f t="shared" si="3"/>
        <v>0</v>
      </c>
      <c r="AQ58" s="178">
        <f t="shared" si="3"/>
        <v>0</v>
      </c>
      <c r="AR58" s="178">
        <f t="shared" si="3"/>
        <v>0</v>
      </c>
      <c r="AS58" s="178">
        <f t="shared" si="3"/>
        <v>0</v>
      </c>
      <c r="AT58" s="178">
        <f t="shared" si="3"/>
        <v>0</v>
      </c>
      <c r="AU58" s="178">
        <f t="shared" si="3"/>
        <v>0</v>
      </c>
      <c r="AV58" s="178">
        <f t="shared" si="3"/>
        <v>0</v>
      </c>
      <c r="AW58" s="178">
        <f t="shared" si="3"/>
        <v>0</v>
      </c>
      <c r="AX58" s="178">
        <f t="shared" si="3"/>
        <v>0</v>
      </c>
      <c r="AY58" s="178">
        <f t="shared" si="3"/>
        <v>0</v>
      </c>
      <c r="AZ58" s="178">
        <f t="shared" si="3"/>
        <v>0</v>
      </c>
      <c r="BA58" s="178">
        <f t="shared" si="3"/>
        <v>0</v>
      </c>
      <c r="BB58" s="178">
        <f t="shared" si="3"/>
        <v>0</v>
      </c>
      <c r="BC58" s="178">
        <f t="shared" si="3"/>
        <v>0</v>
      </c>
      <c r="BD58" s="178">
        <f t="shared" si="3"/>
        <v>0</v>
      </c>
      <c r="BE58" s="178">
        <f t="shared" si="3"/>
        <v>0</v>
      </c>
      <c r="BF58" s="178">
        <f t="shared" si="3"/>
        <v>0</v>
      </c>
      <c r="BG58" s="178">
        <f t="shared" si="3"/>
        <v>0</v>
      </c>
      <c r="BH58" s="178">
        <f t="shared" si="3"/>
        <v>0</v>
      </c>
      <c r="BI58" s="175">
        <f>NPV($D$49,F58:BH58)</f>
        <v>149107.41411550221</v>
      </c>
      <c r="BJ58" s="121"/>
      <c r="BK58" s="121"/>
      <c r="BL58" s="121"/>
      <c r="BM58" s="121"/>
      <c r="BN58" s="121"/>
      <c r="BO58" s="121"/>
    </row>
    <row r="59" spans="2:67" ht="12.75">
      <c r="C59" s="177"/>
      <c r="D59" s="136" t="s">
        <v>626</v>
      </c>
      <c r="E59" s="121" t="s">
        <v>264</v>
      </c>
      <c r="F59" s="178">
        <f t="shared" ref="F59:AK59" si="4">F96-F88</f>
        <v>0</v>
      </c>
      <c r="G59" s="178">
        <f t="shared" si="4"/>
        <v>0</v>
      </c>
      <c r="H59" s="178">
        <f t="shared" si="4"/>
        <v>0</v>
      </c>
      <c r="I59" s="178">
        <f t="shared" si="4"/>
        <v>0</v>
      </c>
      <c r="J59" s="178">
        <f t="shared" si="4"/>
        <v>0</v>
      </c>
      <c r="K59" s="178">
        <f t="shared" si="4"/>
        <v>0</v>
      </c>
      <c r="L59" s="178">
        <f t="shared" si="4"/>
        <v>0</v>
      </c>
      <c r="M59" s="178">
        <f t="shared" si="4"/>
        <v>0</v>
      </c>
      <c r="N59" s="178">
        <f t="shared" si="4"/>
        <v>0</v>
      </c>
      <c r="O59" s="178">
        <f t="shared" si="4"/>
        <v>0</v>
      </c>
      <c r="P59" s="178">
        <f t="shared" si="4"/>
        <v>0</v>
      </c>
      <c r="Q59" s="178">
        <f t="shared" si="4"/>
        <v>0</v>
      </c>
      <c r="R59" s="178">
        <f t="shared" si="4"/>
        <v>0</v>
      </c>
      <c r="S59" s="178">
        <f t="shared" si="4"/>
        <v>0</v>
      </c>
      <c r="T59" s="178">
        <f t="shared" si="4"/>
        <v>0</v>
      </c>
      <c r="U59" s="178">
        <f t="shared" si="4"/>
        <v>0</v>
      </c>
      <c r="V59" s="178">
        <f t="shared" si="4"/>
        <v>0</v>
      </c>
      <c r="W59" s="178">
        <f t="shared" si="4"/>
        <v>0</v>
      </c>
      <c r="X59" s="178">
        <f t="shared" si="4"/>
        <v>0</v>
      </c>
      <c r="Y59" s="178">
        <f t="shared" si="4"/>
        <v>0</v>
      </c>
      <c r="Z59" s="178">
        <f t="shared" si="4"/>
        <v>0</v>
      </c>
      <c r="AA59" s="178">
        <f t="shared" si="4"/>
        <v>0</v>
      </c>
      <c r="AB59" s="178">
        <f t="shared" si="4"/>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ref="AL59:BH59" si="5">AL96-AL88</f>
        <v>0</v>
      </c>
      <c r="AM59" s="178">
        <f t="shared" si="5"/>
        <v>0</v>
      </c>
      <c r="AN59" s="178">
        <f t="shared" si="5"/>
        <v>0</v>
      </c>
      <c r="AO59" s="178">
        <f t="shared" si="5"/>
        <v>0</v>
      </c>
      <c r="AP59" s="178">
        <f t="shared" si="5"/>
        <v>0</v>
      </c>
      <c r="AQ59" s="178">
        <f t="shared" si="5"/>
        <v>0</v>
      </c>
      <c r="AR59" s="178">
        <f t="shared" si="5"/>
        <v>0</v>
      </c>
      <c r="AS59" s="178">
        <f t="shared" si="5"/>
        <v>0</v>
      </c>
      <c r="AT59" s="178">
        <f t="shared" si="5"/>
        <v>0</v>
      </c>
      <c r="AU59" s="178">
        <f t="shared" si="5"/>
        <v>0</v>
      </c>
      <c r="AV59" s="178">
        <f t="shared" si="5"/>
        <v>0</v>
      </c>
      <c r="AW59" s="178">
        <f t="shared" si="5"/>
        <v>0</v>
      </c>
      <c r="AX59" s="178">
        <f t="shared" si="5"/>
        <v>0</v>
      </c>
      <c r="AY59" s="178">
        <f t="shared" si="5"/>
        <v>0</v>
      </c>
      <c r="AZ59" s="178">
        <f t="shared" si="5"/>
        <v>0</v>
      </c>
      <c r="BA59" s="178">
        <f t="shared" si="5"/>
        <v>0</v>
      </c>
      <c r="BB59" s="178">
        <f t="shared" si="5"/>
        <v>0</v>
      </c>
      <c r="BC59" s="178">
        <f t="shared" si="5"/>
        <v>0</v>
      </c>
      <c r="BD59" s="178">
        <f t="shared" si="5"/>
        <v>0</v>
      </c>
      <c r="BE59" s="178">
        <f t="shared" si="5"/>
        <v>0</v>
      </c>
      <c r="BF59" s="178">
        <f t="shared" si="5"/>
        <v>0</v>
      </c>
      <c r="BG59" s="178">
        <f t="shared" si="5"/>
        <v>0</v>
      </c>
      <c r="BH59" s="178">
        <f t="shared" si="5"/>
        <v>0</v>
      </c>
      <c r="BI59" s="175">
        <f>NPV($D$49,F59:BH59)</f>
        <v>0</v>
      </c>
      <c r="BJ59" s="121"/>
      <c r="BK59" s="121"/>
      <c r="BL59" s="121"/>
      <c r="BM59" s="121"/>
      <c r="BN59" s="121"/>
      <c r="BO59" s="121"/>
    </row>
    <row r="60" spans="2:67" ht="12.75">
      <c r="C60" s="177"/>
      <c r="D60" s="179" t="s">
        <v>627</v>
      </c>
      <c r="E60" s="180" t="s">
        <v>264</v>
      </c>
      <c r="F60" s="178">
        <f t="shared" ref="F60:BH60" si="6">F58+F59</f>
        <v>0</v>
      </c>
      <c r="G60" s="178">
        <f t="shared" si="6"/>
        <v>11835.094211136515</v>
      </c>
      <c r="H60" s="178">
        <f t="shared" si="6"/>
        <v>14839.237991761474</v>
      </c>
      <c r="I60" s="178">
        <f t="shared" si="6"/>
        <v>15955.8067286765</v>
      </c>
      <c r="J60" s="178">
        <f t="shared" si="6"/>
        <v>16031.239046440518</v>
      </c>
      <c r="K60" s="178">
        <f t="shared" si="6"/>
        <v>16414.395524844382</v>
      </c>
      <c r="L60" s="178">
        <f t="shared" si="6"/>
        <v>16803.21131120334</v>
      </c>
      <c r="M60" s="178">
        <f t="shared" si="6"/>
        <v>17338.973183032504</v>
      </c>
      <c r="N60" s="178">
        <f t="shared" si="6"/>
        <v>17921.518381276721</v>
      </c>
      <c r="O60" s="178">
        <f t="shared" si="6"/>
        <v>18533.514371373662</v>
      </c>
      <c r="P60" s="178">
        <f t="shared" si="6"/>
        <v>19167.424597046018</v>
      </c>
      <c r="Q60" s="178">
        <f t="shared" si="6"/>
        <v>19813.240968974511</v>
      </c>
      <c r="R60" s="178">
        <f t="shared" si="6"/>
        <v>0</v>
      </c>
      <c r="S60" s="178">
        <f t="shared" si="6"/>
        <v>0</v>
      </c>
      <c r="T60" s="178">
        <f t="shared" si="6"/>
        <v>0</v>
      </c>
      <c r="U60" s="178">
        <f t="shared" si="6"/>
        <v>0</v>
      </c>
      <c r="V60" s="178">
        <f t="shared" si="6"/>
        <v>0</v>
      </c>
      <c r="W60" s="178">
        <f t="shared" si="6"/>
        <v>0</v>
      </c>
      <c r="X60" s="178">
        <f t="shared" si="6"/>
        <v>0</v>
      </c>
      <c r="Y60" s="178">
        <f t="shared" si="6"/>
        <v>0</v>
      </c>
      <c r="Z60" s="178">
        <f t="shared" si="6"/>
        <v>0</v>
      </c>
      <c r="AA60" s="178">
        <f t="shared" si="6"/>
        <v>0</v>
      </c>
      <c r="AB60" s="178">
        <f t="shared" si="6"/>
        <v>0</v>
      </c>
      <c r="AC60" s="178">
        <f t="shared" si="6"/>
        <v>0</v>
      </c>
      <c r="AD60" s="178">
        <f t="shared" si="6"/>
        <v>0</v>
      </c>
      <c r="AE60" s="178">
        <f t="shared" si="6"/>
        <v>0</v>
      </c>
      <c r="AF60" s="178">
        <f t="shared" si="6"/>
        <v>0</v>
      </c>
      <c r="AG60" s="178">
        <f t="shared" si="6"/>
        <v>0</v>
      </c>
      <c r="AH60" s="178">
        <f t="shared" si="6"/>
        <v>0</v>
      </c>
      <c r="AI60" s="178">
        <f t="shared" si="6"/>
        <v>0</v>
      </c>
      <c r="AJ60" s="178">
        <f t="shared" si="6"/>
        <v>0</v>
      </c>
      <c r="AK60" s="178">
        <f t="shared" si="6"/>
        <v>0</v>
      </c>
      <c r="AL60" s="178">
        <f t="shared" si="6"/>
        <v>0</v>
      </c>
      <c r="AM60" s="178">
        <f t="shared" si="6"/>
        <v>0</v>
      </c>
      <c r="AN60" s="178">
        <f t="shared" si="6"/>
        <v>0</v>
      </c>
      <c r="AO60" s="178">
        <f t="shared" si="6"/>
        <v>0</v>
      </c>
      <c r="AP60" s="178">
        <f t="shared" si="6"/>
        <v>0</v>
      </c>
      <c r="AQ60" s="178">
        <f t="shared" si="6"/>
        <v>0</v>
      </c>
      <c r="AR60" s="178">
        <f t="shared" si="6"/>
        <v>0</v>
      </c>
      <c r="AS60" s="178">
        <f t="shared" si="6"/>
        <v>0</v>
      </c>
      <c r="AT60" s="178">
        <f t="shared" si="6"/>
        <v>0</v>
      </c>
      <c r="AU60" s="178">
        <f t="shared" si="6"/>
        <v>0</v>
      </c>
      <c r="AV60" s="178">
        <f t="shared" si="6"/>
        <v>0</v>
      </c>
      <c r="AW60" s="178">
        <f t="shared" si="6"/>
        <v>0</v>
      </c>
      <c r="AX60" s="178">
        <f t="shared" si="6"/>
        <v>0</v>
      </c>
      <c r="AY60" s="178">
        <f t="shared" si="6"/>
        <v>0</v>
      </c>
      <c r="AZ60" s="178">
        <f t="shared" si="6"/>
        <v>0</v>
      </c>
      <c r="BA60" s="178">
        <f t="shared" si="6"/>
        <v>0</v>
      </c>
      <c r="BB60" s="178">
        <f t="shared" si="6"/>
        <v>0</v>
      </c>
      <c r="BC60" s="178">
        <f t="shared" si="6"/>
        <v>0</v>
      </c>
      <c r="BD60" s="178">
        <f t="shared" si="6"/>
        <v>0</v>
      </c>
      <c r="BE60" s="178">
        <f t="shared" si="6"/>
        <v>0</v>
      </c>
      <c r="BF60" s="178">
        <f t="shared" si="6"/>
        <v>0</v>
      </c>
      <c r="BG60" s="178">
        <f t="shared" si="6"/>
        <v>0</v>
      </c>
      <c r="BH60" s="178">
        <f t="shared" si="6"/>
        <v>0</v>
      </c>
      <c r="BI60" s="175">
        <f>NPV($D$49,F60:BH60)</f>
        <v>149107.41411550221</v>
      </c>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AK62" si="7">F60-F55</f>
        <v>0</v>
      </c>
      <c r="G62" s="185">
        <f t="shared" si="7"/>
        <v>-56154.80764572823</v>
      </c>
      <c r="H62" s="185">
        <f t="shared" si="7"/>
        <v>-51557.150540333008</v>
      </c>
      <c r="I62" s="185">
        <f t="shared" si="7"/>
        <v>-48884.416447197007</v>
      </c>
      <c r="J62" s="185">
        <f t="shared" si="7"/>
        <v>-47289.291398748435</v>
      </c>
      <c r="K62" s="185">
        <f t="shared" si="7"/>
        <v>-45422.059988035449</v>
      </c>
      <c r="L62" s="185">
        <f t="shared" si="7"/>
        <v>-43583.952275593416</v>
      </c>
      <c r="M62" s="185">
        <f t="shared" si="7"/>
        <v>-41632.866257198788</v>
      </c>
      <c r="N62" s="185">
        <f t="shared" si="7"/>
        <v>-39668.168572074283</v>
      </c>
      <c r="O62" s="185">
        <f t="shared" si="7"/>
        <v>-37706.414294008355</v>
      </c>
      <c r="P62" s="185">
        <f t="shared" si="7"/>
        <v>-35754.380740241344</v>
      </c>
      <c r="Q62" s="185">
        <f t="shared" si="7"/>
        <v>-33821.334555720437</v>
      </c>
      <c r="R62" s="185">
        <f t="shared" si="7"/>
        <v>0</v>
      </c>
      <c r="S62" s="696">
        <f t="shared" si="7"/>
        <v>0</v>
      </c>
      <c r="T62" s="696">
        <f t="shared" si="7"/>
        <v>0</v>
      </c>
      <c r="U62" s="696">
        <f t="shared" si="7"/>
        <v>0</v>
      </c>
      <c r="V62" s="696">
        <f t="shared" si="7"/>
        <v>0</v>
      </c>
      <c r="W62" s="696">
        <f t="shared" si="7"/>
        <v>0</v>
      </c>
      <c r="X62" s="696">
        <f t="shared" si="7"/>
        <v>0</v>
      </c>
      <c r="Y62" s="696">
        <f t="shared" si="7"/>
        <v>0</v>
      </c>
      <c r="Z62" s="696">
        <f t="shared" si="7"/>
        <v>0</v>
      </c>
      <c r="AA62" s="696">
        <f t="shared" si="7"/>
        <v>0</v>
      </c>
      <c r="AB62" s="696">
        <f t="shared" si="7"/>
        <v>0</v>
      </c>
      <c r="AC62" s="696">
        <f t="shared" si="7"/>
        <v>0</v>
      </c>
      <c r="AD62" s="696">
        <f t="shared" si="7"/>
        <v>0</v>
      </c>
      <c r="AE62" s="696">
        <f t="shared" si="7"/>
        <v>0</v>
      </c>
      <c r="AF62" s="696">
        <f t="shared" si="7"/>
        <v>0</v>
      </c>
      <c r="AG62" s="696">
        <f t="shared" si="7"/>
        <v>0</v>
      </c>
      <c r="AH62" s="696">
        <f t="shared" si="7"/>
        <v>0</v>
      </c>
      <c r="AI62" s="696">
        <f t="shared" si="7"/>
        <v>0</v>
      </c>
      <c r="AJ62" s="696">
        <f t="shared" si="7"/>
        <v>0</v>
      </c>
      <c r="AK62" s="696">
        <f t="shared" si="7"/>
        <v>0</v>
      </c>
      <c r="AL62" s="696">
        <f t="shared" ref="AL62:BH62" si="8">AL60-AL55</f>
        <v>0</v>
      </c>
      <c r="AM62" s="696">
        <f t="shared" si="8"/>
        <v>0</v>
      </c>
      <c r="AN62" s="696">
        <f t="shared" si="8"/>
        <v>0</v>
      </c>
      <c r="AO62" s="696">
        <f t="shared" si="8"/>
        <v>0</v>
      </c>
      <c r="AP62" s="696">
        <f t="shared" si="8"/>
        <v>0</v>
      </c>
      <c r="AQ62" s="696">
        <f t="shared" si="8"/>
        <v>0</v>
      </c>
      <c r="AR62" s="696">
        <f t="shared" si="8"/>
        <v>0</v>
      </c>
      <c r="AS62" s="696">
        <f t="shared" si="8"/>
        <v>0</v>
      </c>
      <c r="AT62" s="696">
        <f t="shared" si="8"/>
        <v>0</v>
      </c>
      <c r="AU62" s="696">
        <f t="shared" si="8"/>
        <v>0</v>
      </c>
      <c r="AV62" s="696">
        <f t="shared" si="8"/>
        <v>0</v>
      </c>
      <c r="AW62" s="696">
        <f t="shared" si="8"/>
        <v>0</v>
      </c>
      <c r="AX62" s="696">
        <f t="shared" si="8"/>
        <v>0</v>
      </c>
      <c r="AY62" s="696">
        <f t="shared" si="8"/>
        <v>0</v>
      </c>
      <c r="AZ62" s="696">
        <f t="shared" si="8"/>
        <v>0</v>
      </c>
      <c r="BA62" s="696">
        <f t="shared" si="8"/>
        <v>0</v>
      </c>
      <c r="BB62" s="696">
        <f t="shared" si="8"/>
        <v>0</v>
      </c>
      <c r="BC62" s="696">
        <f t="shared" si="8"/>
        <v>0</v>
      </c>
      <c r="BD62" s="696">
        <f t="shared" si="8"/>
        <v>0</v>
      </c>
      <c r="BE62" s="696">
        <f t="shared" si="8"/>
        <v>0</v>
      </c>
      <c r="BF62" s="696">
        <f t="shared" si="8"/>
        <v>0</v>
      </c>
      <c r="BG62" s="696">
        <f t="shared" si="8"/>
        <v>0</v>
      </c>
      <c r="BH62" s="696">
        <f t="shared" si="8"/>
        <v>0</v>
      </c>
      <c r="BI62" s="175">
        <f>NPV($D$49,F62:BH62)</f>
        <v>-398692.87865559303</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9">F65+1</f>
        <v>2015</v>
      </c>
      <c r="H65" s="171">
        <f t="shared" si="9"/>
        <v>2016</v>
      </c>
      <c r="I65" s="171">
        <f t="shared" si="9"/>
        <v>2017</v>
      </c>
      <c r="J65" s="171">
        <f t="shared" si="9"/>
        <v>2018</v>
      </c>
      <c r="K65" s="171">
        <f t="shared" si="9"/>
        <v>2019</v>
      </c>
      <c r="L65" s="171">
        <f t="shared" si="9"/>
        <v>2020</v>
      </c>
      <c r="M65" s="171">
        <f>L65+1</f>
        <v>2021</v>
      </c>
      <c r="N65" s="171">
        <f t="shared" si="9"/>
        <v>2022</v>
      </c>
      <c r="O65" s="171">
        <f>N65+1</f>
        <v>2023</v>
      </c>
      <c r="P65" s="171">
        <f t="shared" si="9"/>
        <v>2024</v>
      </c>
      <c r="Q65" s="171">
        <f t="shared" si="9"/>
        <v>2025</v>
      </c>
      <c r="R65" s="171">
        <f t="shared" si="9"/>
        <v>2026</v>
      </c>
      <c r="S65" s="306">
        <f t="shared" si="9"/>
        <v>2027</v>
      </c>
      <c r="T65" s="306">
        <f t="shared" si="9"/>
        <v>2028</v>
      </c>
      <c r="U65" s="306">
        <f t="shared" si="9"/>
        <v>2029</v>
      </c>
      <c r="V65" s="306">
        <f t="shared" si="9"/>
        <v>2030</v>
      </c>
      <c r="W65" s="306">
        <f t="shared" si="9"/>
        <v>2031</v>
      </c>
      <c r="X65" s="306">
        <f t="shared" si="9"/>
        <v>2032</v>
      </c>
      <c r="Y65" s="306">
        <f t="shared" si="9"/>
        <v>2033</v>
      </c>
      <c r="Z65" s="306">
        <f t="shared" si="9"/>
        <v>2034</v>
      </c>
      <c r="AA65" s="306">
        <f t="shared" si="9"/>
        <v>2035</v>
      </c>
      <c r="AB65" s="306">
        <f t="shared" si="9"/>
        <v>2036</v>
      </c>
      <c r="AC65" s="306">
        <f t="shared" si="9"/>
        <v>2037</v>
      </c>
      <c r="AD65" s="306">
        <f t="shared" si="9"/>
        <v>2038</v>
      </c>
      <c r="AE65" s="306">
        <f t="shared" si="9"/>
        <v>2039</v>
      </c>
      <c r="AF65" s="306">
        <f t="shared" si="9"/>
        <v>2040</v>
      </c>
      <c r="AG65" s="306">
        <f t="shared" si="9"/>
        <v>2041</v>
      </c>
      <c r="AH65" s="306">
        <f t="shared" si="9"/>
        <v>2042</v>
      </c>
      <c r="AI65" s="306">
        <f t="shared" si="9"/>
        <v>2043</v>
      </c>
      <c r="AJ65" s="306">
        <f t="shared" si="9"/>
        <v>2044</v>
      </c>
      <c r="AK65" s="306">
        <f t="shared" si="9"/>
        <v>2045</v>
      </c>
      <c r="AL65" s="306">
        <f t="shared" si="9"/>
        <v>2046</v>
      </c>
      <c r="AM65" s="306">
        <f t="shared" si="9"/>
        <v>2047</v>
      </c>
      <c r="AN65" s="306">
        <f t="shared" si="9"/>
        <v>2048</v>
      </c>
      <c r="AO65" s="306">
        <f t="shared" si="9"/>
        <v>2049</v>
      </c>
      <c r="AP65" s="306">
        <f t="shared" si="9"/>
        <v>2050</v>
      </c>
      <c r="AQ65" s="306">
        <f t="shared" si="9"/>
        <v>2051</v>
      </c>
      <c r="AR65" s="306">
        <f t="shared" si="9"/>
        <v>2052</v>
      </c>
      <c r="AS65" s="306">
        <f t="shared" si="9"/>
        <v>2053</v>
      </c>
      <c r="AT65" s="306">
        <f t="shared" si="9"/>
        <v>2054</v>
      </c>
      <c r="AU65" s="306">
        <f t="shared" si="9"/>
        <v>2055</v>
      </c>
      <c r="AV65" s="306">
        <f t="shared" si="9"/>
        <v>2056</v>
      </c>
      <c r="AW65" s="306">
        <f t="shared" si="9"/>
        <v>2057</v>
      </c>
      <c r="AX65" s="306">
        <f t="shared" si="9"/>
        <v>2058</v>
      </c>
      <c r="AY65" s="306">
        <f t="shared" si="9"/>
        <v>2059</v>
      </c>
      <c r="AZ65" s="306">
        <f t="shared" si="9"/>
        <v>2060</v>
      </c>
      <c r="BA65" s="306">
        <f t="shared" si="9"/>
        <v>2061</v>
      </c>
      <c r="BB65" s="306">
        <f t="shared" si="9"/>
        <v>2062</v>
      </c>
      <c r="BC65" s="306">
        <f t="shared" si="9"/>
        <v>2063</v>
      </c>
      <c r="BD65" s="306">
        <f t="shared" si="9"/>
        <v>2064</v>
      </c>
      <c r="BE65" s="306">
        <f t="shared" si="9"/>
        <v>2065</v>
      </c>
      <c r="BF65" s="306">
        <f t="shared" si="9"/>
        <v>2066</v>
      </c>
      <c r="BG65" s="306">
        <f t="shared" si="9"/>
        <v>2067</v>
      </c>
      <c r="BH65" s="306">
        <f t="shared" si="9"/>
        <v>2068</v>
      </c>
      <c r="BI65" s="695" t="s">
        <v>4</v>
      </c>
      <c r="BJ65" s="121"/>
      <c r="BK65" s="121"/>
      <c r="BL65" s="121"/>
      <c r="BM65" s="121"/>
      <c r="BN65" s="121"/>
      <c r="BO65" s="121"/>
    </row>
    <row r="66" spans="2:67" ht="12.75">
      <c r="C66" s="2005" t="s">
        <v>284</v>
      </c>
      <c r="D66" s="2006"/>
      <c r="E66" s="200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716</v>
      </c>
      <c r="E67" s="121" t="s">
        <v>266</v>
      </c>
      <c r="F67" s="189">
        <f>IF(AND(F65+1&gt;$D$31,F65&lt;$D$31+$D$31),$J$7,0)</f>
        <v>0</v>
      </c>
      <c r="G67" s="189">
        <f>IF(AND(G54&gt;=$D$31,G65&lt;=$D$31+$D$32),INDEX(Forecast!$F38:$F78,COLUMN()-6,1),0)</f>
        <v>188815.33357999317</v>
      </c>
      <c r="H67" s="189">
        <f>IF(AND(H54&gt;=$D$31,H65&lt;=$D$31+$D$32),INDEX(Forecast!$F38:$F78,COLUMN()-6,1),0)</f>
        <v>201313.1664925275</v>
      </c>
      <c r="I67" s="189">
        <f>IF(AND(I54&gt;=$D$31,I65&lt;=$D$31+$D$32),INDEX(Forecast!$F38:$F78,COLUMN()-6,1),0)</f>
        <v>205637.82225585432</v>
      </c>
      <c r="J67" s="189">
        <f>IF(AND(J54&gt;=$D$31,J65&lt;=$D$31+$D$32),INDEX(Forecast!$F38:$F78,COLUMN()-6,1),0)</f>
        <v>205857.17251283824</v>
      </c>
      <c r="K67" s="189">
        <f>IF(AND(K54&gt;=$D$31,K65&lt;=$D$31+$D$32),INDEX(Forecast!$F38:$F78,COLUMN()-6,1),0)</f>
        <v>207259.46711484555</v>
      </c>
      <c r="L67" s="189">
        <f>IF(AND(L54&gt;=$D$31,L65&lt;=$D$31+$D$32),INDEX(Forecast!$F38:$F78,COLUMN()-6,1),0)</f>
        <v>208668.13951976554</v>
      </c>
      <c r="M67" s="189">
        <f>IF(AND(M54&gt;=$D$31,M65&lt;=$D$31+$D$32),INDEX(Forecast!$F38:$F78,COLUMN()-6,1),0)</f>
        <v>210612.5035194373</v>
      </c>
      <c r="N67" s="189">
        <f>IF(AND(N54&gt;=$D$31,N65&lt;=$D$31+$D$32),INDEX(Forecast!$F38:$F78,COLUMN()-6,1),0)</f>
        <v>212702.25927131885</v>
      </c>
      <c r="O67" s="189">
        <f>IF(AND(O54&gt;=$D$31,O65&lt;=$D$31+$D$32),INDEX(Forecast!$F38:$F78,COLUMN()-6,1),0)</f>
        <v>214868.26288255374</v>
      </c>
      <c r="P67" s="189">
        <f>IF(AND(P54&gt;=$D$31,P65&lt;=$D$31+$D$32),INDEX(Forecast!$F38:$F78,COLUMN()-6,1),0)</f>
        <v>217080.20365888326</v>
      </c>
      <c r="Q67" s="189">
        <f>IF(AND(Q54&gt;=$D$31,Q65&lt;=$D$31+$D$32),INDEX(Forecast!$F38:$F78,COLUMN()-6,1),0)</f>
        <v>219300.72771680047</v>
      </c>
      <c r="R67" s="189">
        <f>IF(AND(R54&gt;=$D$31,R65&lt;=$D$31+$D$32),INDEX(Forecast!$F38:$F78,COLUMN()-6,1),0)</f>
        <v>0</v>
      </c>
      <c r="S67" s="189">
        <f>IF(AND(S54&gt;=$D$31,S65&lt;=$D$31+$D$32),INDEX(Forecast!$F38:$F78,COLUMN()-6,1),0)</f>
        <v>0</v>
      </c>
      <c r="T67" s="189">
        <f>IF(AND(T54&gt;=$D$31,T65&lt;=$D$31+$D$32),INDEX(Forecast!$F38:$F78,COLUMN()-6,1),0)</f>
        <v>0</v>
      </c>
      <c r="U67" s="189">
        <f>IF(AND(U54&gt;=$D$31,U65&lt;=$D$31+$D$32),INDEX(Forecast!$F38:$F78,COLUMN()-6,1),0)</f>
        <v>0</v>
      </c>
      <c r="V67" s="189">
        <f>IF(AND(V54&gt;=$D$31,V65&lt;=$D$31+$D$32),INDEX(Forecast!$F38:$F78,COLUMN()-6,1),0)</f>
        <v>0</v>
      </c>
      <c r="W67" s="189">
        <f>IF(AND(W54&gt;=$D$31,W65&lt;=$D$31+$D$32),INDEX(Forecast!$F38:$F78,COLUMN()-6,1),0)</f>
        <v>0</v>
      </c>
      <c r="X67" s="189">
        <f>IF(AND(X54&gt;=$D$31,X65&lt;=$D$31+$D$32),INDEX(Forecast!$F38:$F78,COLUMN()-6,1),0)</f>
        <v>0</v>
      </c>
      <c r="Y67" s="189">
        <f>IF(AND(Y54&gt;=$D$31,Y65&lt;=$D$31+$D$32),INDEX(Forecast!$F38:$F78,COLUMN()-6,1),0)</f>
        <v>0</v>
      </c>
      <c r="Z67" s="189">
        <f>IF(AND(Z54&gt;=$D$31,Z65&lt;=$D$31+$D$32),INDEX(Forecast!$F38:$F78,COLUMN()-6,1),0)</f>
        <v>0</v>
      </c>
      <c r="AA67" s="189">
        <f>IF(AND(AA54&gt;=$D$31,AA65&lt;=$D$31+$D$32),INDEX(Forecast!$F38:$F78,COLUMN()-6,1),0)</f>
        <v>0</v>
      </c>
      <c r="AB67" s="189">
        <f>IF(AND(AB54&gt;=$D$31,AB65&lt;=$D$31+$D$32),INDEX(Forecast!$F38:$F78,COLUMN()-6,1),0)</f>
        <v>0</v>
      </c>
      <c r="AC67" s="189">
        <f>IF(AND(AC54&gt;=$D$31,AC65&lt;=$D$31+$D$32),INDEX(Forecast!$F38:$F78,COLUMN()-6,1),0)</f>
        <v>0</v>
      </c>
      <c r="AD67" s="189">
        <f>IF(AND(AD54&gt;=$D$31,AD65&lt;=$D$31+$D$32),INDEX(Forecast!$F38:$F78,COLUMN()-6,1),0)</f>
        <v>0</v>
      </c>
      <c r="AE67" s="189">
        <f>IF(AND(AE54&gt;=$D$31,AE65&lt;=$D$31+$D$32),INDEX(Forecast!$F38:$F78,COLUMN()-6,1),0)</f>
        <v>0</v>
      </c>
      <c r="AF67" s="189">
        <f>IF(AND(AF54&gt;=$D$31,AF65&lt;=$D$31+$D$32),INDEX(Forecast!$F38:$F78,COLUMN()-6,1),0)</f>
        <v>0</v>
      </c>
      <c r="AG67" s="189">
        <f>IF(AND(AG54&gt;=$D$31,AG65&lt;=$D$31+$D$32),INDEX(Forecast!$F38:$F78,COLUMN()-6,1),0)</f>
        <v>0</v>
      </c>
      <c r="AH67" s="189">
        <f>IF(AND(AH54&gt;=$D$31,AH65&lt;=$D$31+$D$32),INDEX(Forecast!$F38:$F78,COLUMN()-6,1),0)</f>
        <v>0</v>
      </c>
      <c r="AI67" s="189">
        <f>IF(AND(AI54&gt;=$D$31,AI65&lt;=$D$31+$D$32),INDEX(Forecast!$F38:$F78,COLUMN()-6,1),0)</f>
        <v>0</v>
      </c>
      <c r="AJ67" s="189">
        <f>IF(AND(AJ54&gt;=$D$31,AJ65&lt;=$D$31+$D$32),INDEX(Forecast!$F38:$F78,COLUMN()-6,1),0)</f>
        <v>0</v>
      </c>
      <c r="AK67" s="189">
        <f>IF(AND(AK54&gt;=$D$31,AK65&lt;=$D$31+$D$32),INDEX(Forecast!$F38:$F78,COLUMN()-6,1),0)</f>
        <v>0</v>
      </c>
      <c r="AL67" s="189">
        <f>IF(AND(AL54&gt;=$D$31,AL65&lt;=$D$31+$D$32),INDEX(Forecast!$F38:$F78,COLUMN()-6,1),0)</f>
        <v>0</v>
      </c>
      <c r="AM67" s="189">
        <f>IF(AND(AM54&gt;=$D$31,AM65&lt;=$D$31+$D$32),INDEX(Forecast!$F38:$F78,COLUMN()-6,1),0)</f>
        <v>0</v>
      </c>
      <c r="AN67" s="189">
        <f>IF(AND(AN54&gt;=$D$31,AN65&lt;=$D$31+$D$32),INDEX(Forecast!$F38:$F78,COLUMN()-6,1),0)</f>
        <v>0</v>
      </c>
      <c r="AO67" s="189">
        <f>IF(AND(AO54&gt;=$D$31,AO65&lt;=$D$31+$D$32),INDEX(Forecast!$F38:$F78,COLUMN()-6,1),0)</f>
        <v>0</v>
      </c>
      <c r="AP67" s="189">
        <f>IF(AND(AP54&gt;=$D$31,AP65&lt;=$D$31+$D$32),INDEX(Forecast!$F38:$F78,COLUMN()-6,1),0)</f>
        <v>0</v>
      </c>
      <c r="AQ67" s="189">
        <f>IF(AND(AQ54&gt;=$D$31,AQ65&lt;=$D$31+$D$32),INDEX(Forecast!$F38:$F78,COLUMN()-6,1),0)</f>
        <v>0</v>
      </c>
      <c r="AR67" s="189">
        <f>IF(AND(AR54&gt;=$D$31,AR65&lt;=$D$31+$D$32),INDEX(Forecast!$F38:$F78,COLUMN()-6,1),0)</f>
        <v>0</v>
      </c>
      <c r="AS67" s="189">
        <f>IF(AND(AS54&gt;=$D$31,AS65&lt;=$D$31+$D$32),INDEX(Forecast!$F38:$F78,COLUMN()-6,1),0)</f>
        <v>0</v>
      </c>
      <c r="AT67" s="189">
        <f>IF(AND(AT54&gt;=$D$31,AT65&lt;=$D$31+$D$32),INDEX(Forecast!$F38:$F78,COLUMN()-6,1),0)</f>
        <v>0</v>
      </c>
      <c r="AU67" s="189">
        <f>IF(AND(AU54&gt;=$D$31,AU65&lt;=$D$31+$D$32),INDEX(Forecast!$F38:$F78,COLUMN()-6,1),0)</f>
        <v>0</v>
      </c>
      <c r="AV67" s="189">
        <f>IF(AND(AV54&gt;=$D$31,AV65&lt;=$D$31+$D$32),INDEX(Forecast!$F38:$F78,COLUMN()-6,1),0)</f>
        <v>0</v>
      </c>
      <c r="AW67" s="189">
        <f>IF(AND(AW54&gt;=$D$31,AW65&lt;=$D$31+$D$32),INDEX(Forecast!$F38:$F78,COLUMN()-6,1),0)</f>
        <v>0</v>
      </c>
      <c r="AX67" s="189">
        <f>IF(AND(AX54&gt;=$D$31,AX65&lt;=$D$31+$D$32),INDEX(Forecast!$F38:$F78,COLUMN()-6,1),0)</f>
        <v>0</v>
      </c>
      <c r="AY67" s="189">
        <f>IF(AND(AY54&gt;=$D$31,AY65&lt;=$D$31+$D$32),INDEX(Forecast!$F38:$F78,COLUMN()-6,1),0)</f>
        <v>0</v>
      </c>
      <c r="AZ67" s="189">
        <f>IF(AND(AZ54&gt;=$D$31,AZ65&lt;=$D$31+$D$32),INDEX(Forecast!$F38:$F78,COLUMN()-6,1),0)</f>
        <v>0</v>
      </c>
      <c r="BA67" s="189">
        <f>IF(AND(BA54&gt;=$D$31,BA65&lt;=$D$31+$D$32),INDEX(Forecast!$F38:$F78,COLUMN()-6,1),0)</f>
        <v>0</v>
      </c>
      <c r="BB67" s="189">
        <f>IF(AND(BB54&gt;=$D$31,BB65&lt;=$D$31+$D$32),INDEX(Forecast!$F38:$F78,COLUMN()-6,1),0)</f>
        <v>0</v>
      </c>
      <c r="BC67" s="189">
        <f>IF(AND(BC54&gt;=$D$31,BC65&lt;=$D$31+$D$32),INDEX(Forecast!$F38:$F78,COLUMN()-6,1),0)</f>
        <v>0</v>
      </c>
      <c r="BD67" s="189">
        <f>IF(AND(BD54&gt;=$D$31,BD65&lt;=$D$31+$D$32),INDEX(Forecast!$F38:$F78,COLUMN()-6,1),0)</f>
        <v>0</v>
      </c>
      <c r="BE67" s="189">
        <f>IF(AND(BE54&gt;=$D$31,BE65&lt;=$D$31+$D$32),INDEX(Forecast!$F38:$F78,COLUMN()-6,1),0)</f>
        <v>0</v>
      </c>
      <c r="BF67" s="189">
        <f>IF(AND(BF54&gt;=$D$31,BF65&lt;=$D$31+$D$32),INDEX(Forecast!$F38:$F78,COLUMN()-6,1),0)</f>
        <v>0</v>
      </c>
      <c r="BG67" s="189">
        <f>IF(AND(BG54&gt;=$D$31,BG65&lt;=$D$31+$D$32),INDEX(Forecast!$F38:$F78,COLUMN()-6,1),0)</f>
        <v>0</v>
      </c>
      <c r="BH67" s="189">
        <f>IF(AND(BH54&gt;=$D$31,BH65&lt;=$D$31+$D$32),INDEX(Forecast!$F38:$F78,COLUMN()-6,1),0)</f>
        <v>0</v>
      </c>
      <c r="BI67" s="188"/>
      <c r="BJ67" s="121"/>
      <c r="BK67" s="121"/>
      <c r="BL67" s="121"/>
      <c r="BM67" s="121"/>
      <c r="BN67" s="121"/>
      <c r="BO67" s="121"/>
    </row>
    <row r="68" spans="2:67" ht="12.75">
      <c r="C68" s="172"/>
      <c r="D68" s="173" t="s">
        <v>718</v>
      </c>
      <c r="E68" s="121" t="s">
        <v>717</v>
      </c>
      <c r="F68" s="189"/>
      <c r="G68" s="189">
        <f>IF(AND(G54&gt;=$D$31,G54&lt;=($D$31+$D$32)),G67/$J$13,0)</f>
        <v>13021.747143447805</v>
      </c>
      <c r="H68" s="189">
        <f t="shared" ref="H68:BH68" si="10">IF(AND(H54&gt;=$D$31,H54&lt;=($D$31+$D$32)),H67/$J$13,0)</f>
        <v>13883.666654657069</v>
      </c>
      <c r="I68" s="189">
        <f t="shared" si="10"/>
        <v>14181.918776265815</v>
      </c>
      <c r="J68" s="189">
        <f t="shared" si="10"/>
        <v>14197.046380195741</v>
      </c>
      <c r="K68" s="189">
        <f t="shared" si="10"/>
        <v>14293.756352747969</v>
      </c>
      <c r="L68" s="189">
        <f t="shared" si="10"/>
        <v>14390.906173776933</v>
      </c>
      <c r="M68" s="189">
        <f t="shared" si="10"/>
        <v>14525.000242719814</v>
      </c>
      <c r="N68" s="189">
        <f t="shared" si="10"/>
        <v>14669.121329056472</v>
      </c>
      <c r="O68" s="189">
        <f t="shared" si="10"/>
        <v>14818.500888451981</v>
      </c>
      <c r="P68" s="189">
        <f t="shared" si="10"/>
        <v>14971.048528198846</v>
      </c>
      <c r="Q68" s="189">
        <f t="shared" si="10"/>
        <v>15124.188118400032</v>
      </c>
      <c r="R68" s="189">
        <f t="shared" si="10"/>
        <v>0</v>
      </c>
      <c r="S68" s="189">
        <f t="shared" si="10"/>
        <v>0</v>
      </c>
      <c r="T68" s="189">
        <f t="shared" si="10"/>
        <v>0</v>
      </c>
      <c r="U68" s="189">
        <f t="shared" si="10"/>
        <v>0</v>
      </c>
      <c r="V68" s="189">
        <f t="shared" si="10"/>
        <v>0</v>
      </c>
      <c r="W68" s="189">
        <f t="shared" si="10"/>
        <v>0</v>
      </c>
      <c r="X68" s="189">
        <f t="shared" si="10"/>
        <v>0</v>
      </c>
      <c r="Y68" s="189">
        <f t="shared" si="10"/>
        <v>0</v>
      </c>
      <c r="Z68" s="189">
        <f t="shared" si="10"/>
        <v>0</v>
      </c>
      <c r="AA68" s="189">
        <f t="shared" si="10"/>
        <v>0</v>
      </c>
      <c r="AB68" s="189">
        <f t="shared" si="10"/>
        <v>0</v>
      </c>
      <c r="AC68" s="189">
        <f t="shared" si="10"/>
        <v>0</v>
      </c>
      <c r="AD68" s="189">
        <f t="shared" si="10"/>
        <v>0</v>
      </c>
      <c r="AE68" s="189">
        <f t="shared" si="10"/>
        <v>0</v>
      </c>
      <c r="AF68" s="189">
        <f t="shared" si="10"/>
        <v>0</v>
      </c>
      <c r="AG68" s="189">
        <f t="shared" si="10"/>
        <v>0</v>
      </c>
      <c r="AH68" s="189">
        <f t="shared" si="10"/>
        <v>0</v>
      </c>
      <c r="AI68" s="189">
        <f t="shared" si="10"/>
        <v>0</v>
      </c>
      <c r="AJ68" s="189">
        <f t="shared" si="10"/>
        <v>0</v>
      </c>
      <c r="AK68" s="189">
        <f t="shared" si="10"/>
        <v>0</v>
      </c>
      <c r="AL68" s="189">
        <f t="shared" si="10"/>
        <v>0</v>
      </c>
      <c r="AM68" s="189">
        <f t="shared" si="10"/>
        <v>0</v>
      </c>
      <c r="AN68" s="189">
        <f t="shared" si="10"/>
        <v>0</v>
      </c>
      <c r="AO68" s="189">
        <f t="shared" si="10"/>
        <v>0</v>
      </c>
      <c r="AP68" s="189">
        <f t="shared" si="10"/>
        <v>0</v>
      </c>
      <c r="AQ68" s="189">
        <f t="shared" si="10"/>
        <v>0</v>
      </c>
      <c r="AR68" s="189">
        <f t="shared" si="10"/>
        <v>0</v>
      </c>
      <c r="AS68" s="189">
        <f t="shared" si="10"/>
        <v>0</v>
      </c>
      <c r="AT68" s="189">
        <f t="shared" si="10"/>
        <v>0</v>
      </c>
      <c r="AU68" s="189">
        <f t="shared" si="10"/>
        <v>0</v>
      </c>
      <c r="AV68" s="189">
        <f t="shared" si="10"/>
        <v>0</v>
      </c>
      <c r="AW68" s="189">
        <f t="shared" si="10"/>
        <v>0</v>
      </c>
      <c r="AX68" s="189">
        <f t="shared" si="10"/>
        <v>0</v>
      </c>
      <c r="AY68" s="189">
        <f t="shared" si="10"/>
        <v>0</v>
      </c>
      <c r="AZ68" s="189">
        <f t="shared" si="10"/>
        <v>0</v>
      </c>
      <c r="BA68" s="189">
        <f t="shared" si="10"/>
        <v>0</v>
      </c>
      <c r="BB68" s="189">
        <f t="shared" si="10"/>
        <v>0</v>
      </c>
      <c r="BC68" s="189">
        <f t="shared" si="10"/>
        <v>0</v>
      </c>
      <c r="BD68" s="189">
        <f t="shared" si="10"/>
        <v>0</v>
      </c>
      <c r="BE68" s="189">
        <f t="shared" si="10"/>
        <v>0</v>
      </c>
      <c r="BF68" s="189">
        <f t="shared" si="10"/>
        <v>0</v>
      </c>
      <c r="BG68" s="189">
        <f t="shared" si="10"/>
        <v>0</v>
      </c>
      <c r="BH68" s="189">
        <f t="shared" si="10"/>
        <v>0</v>
      </c>
      <c r="BI68" s="188"/>
      <c r="BJ68" s="121"/>
      <c r="BK68" s="121"/>
      <c r="BL68" s="121"/>
      <c r="BM68" s="121"/>
      <c r="BN68" s="121"/>
      <c r="BO68" s="121"/>
    </row>
    <row r="69" spans="2:67" ht="12.75">
      <c r="C69" s="190"/>
      <c r="D69" s="121" t="s">
        <v>565</v>
      </c>
      <c r="E69" s="121" t="s">
        <v>264</v>
      </c>
      <c r="F69" s="191"/>
      <c r="G69" s="191">
        <f>IF(AND(G54&gt;=$D$31,G54&lt;=($D$31+$D$32)),$D$43,0)</f>
        <v>84181</v>
      </c>
      <c r="H69" s="191">
        <f t="shared" ref="H69:BH69" si="11">IF(AND(H54&gt;=$D$31,H54&lt;=($D$31+$D$32)),$D$43,0)</f>
        <v>84181</v>
      </c>
      <c r="I69" s="191">
        <f t="shared" si="11"/>
        <v>84181</v>
      </c>
      <c r="J69" s="191">
        <f t="shared" si="11"/>
        <v>84181</v>
      </c>
      <c r="K69" s="191">
        <f t="shared" si="11"/>
        <v>84181</v>
      </c>
      <c r="L69" s="191">
        <f t="shared" si="11"/>
        <v>84181</v>
      </c>
      <c r="M69" s="191">
        <f t="shared" si="11"/>
        <v>84181</v>
      </c>
      <c r="N69" s="191">
        <f t="shared" si="11"/>
        <v>84181</v>
      </c>
      <c r="O69" s="191">
        <f t="shared" si="11"/>
        <v>84181</v>
      </c>
      <c r="P69" s="191">
        <f t="shared" si="11"/>
        <v>84181</v>
      </c>
      <c r="Q69" s="191">
        <f t="shared" si="11"/>
        <v>84181</v>
      </c>
      <c r="R69" s="191">
        <f t="shared" si="11"/>
        <v>0</v>
      </c>
      <c r="S69" s="191">
        <f t="shared" si="11"/>
        <v>0</v>
      </c>
      <c r="T69" s="191">
        <f t="shared" si="11"/>
        <v>0</v>
      </c>
      <c r="U69" s="191">
        <f t="shared" si="11"/>
        <v>0</v>
      </c>
      <c r="V69" s="191">
        <f t="shared" si="11"/>
        <v>0</v>
      </c>
      <c r="W69" s="191">
        <f t="shared" si="11"/>
        <v>0</v>
      </c>
      <c r="X69" s="191">
        <f t="shared" si="11"/>
        <v>0</v>
      </c>
      <c r="Y69" s="191">
        <f t="shared" si="11"/>
        <v>0</v>
      </c>
      <c r="Z69" s="191">
        <f t="shared" si="11"/>
        <v>0</v>
      </c>
      <c r="AA69" s="191">
        <f t="shared" si="11"/>
        <v>0</v>
      </c>
      <c r="AB69" s="191">
        <f t="shared" si="11"/>
        <v>0</v>
      </c>
      <c r="AC69" s="191">
        <f t="shared" si="11"/>
        <v>0</v>
      </c>
      <c r="AD69" s="191">
        <f t="shared" si="11"/>
        <v>0</v>
      </c>
      <c r="AE69" s="191">
        <f t="shared" si="11"/>
        <v>0</v>
      </c>
      <c r="AF69" s="191">
        <f t="shared" si="11"/>
        <v>0</v>
      </c>
      <c r="AG69" s="191">
        <f t="shared" si="11"/>
        <v>0</v>
      </c>
      <c r="AH69" s="191">
        <f t="shared" si="11"/>
        <v>0</v>
      </c>
      <c r="AI69" s="191">
        <f t="shared" si="11"/>
        <v>0</v>
      </c>
      <c r="AJ69" s="191">
        <f t="shared" si="11"/>
        <v>0</v>
      </c>
      <c r="AK69" s="191">
        <f t="shared" si="11"/>
        <v>0</v>
      </c>
      <c r="AL69" s="191">
        <f t="shared" si="11"/>
        <v>0</v>
      </c>
      <c r="AM69" s="191">
        <f t="shared" si="11"/>
        <v>0</v>
      </c>
      <c r="AN69" s="191">
        <f t="shared" si="11"/>
        <v>0</v>
      </c>
      <c r="AO69" s="191">
        <f t="shared" si="11"/>
        <v>0</v>
      </c>
      <c r="AP69" s="191">
        <f t="shared" si="11"/>
        <v>0</v>
      </c>
      <c r="AQ69" s="191">
        <f t="shared" si="11"/>
        <v>0</v>
      </c>
      <c r="AR69" s="191">
        <f t="shared" si="11"/>
        <v>0</v>
      </c>
      <c r="AS69" s="191">
        <f t="shared" si="11"/>
        <v>0</v>
      </c>
      <c r="AT69" s="191">
        <f t="shared" si="11"/>
        <v>0</v>
      </c>
      <c r="AU69" s="191">
        <f t="shared" si="11"/>
        <v>0</v>
      </c>
      <c r="AV69" s="191">
        <f t="shared" si="11"/>
        <v>0</v>
      </c>
      <c r="AW69" s="191">
        <f t="shared" si="11"/>
        <v>0</v>
      </c>
      <c r="AX69" s="191">
        <f t="shared" si="11"/>
        <v>0</v>
      </c>
      <c r="AY69" s="191">
        <f t="shared" si="11"/>
        <v>0</v>
      </c>
      <c r="AZ69" s="191">
        <f t="shared" si="11"/>
        <v>0</v>
      </c>
      <c r="BA69" s="191">
        <f t="shared" si="11"/>
        <v>0</v>
      </c>
      <c r="BB69" s="191">
        <f t="shared" si="11"/>
        <v>0</v>
      </c>
      <c r="BC69" s="191">
        <f t="shared" si="11"/>
        <v>0</v>
      </c>
      <c r="BD69" s="191">
        <f t="shared" si="11"/>
        <v>0</v>
      </c>
      <c r="BE69" s="191">
        <f t="shared" si="11"/>
        <v>0</v>
      </c>
      <c r="BF69" s="191">
        <f t="shared" si="11"/>
        <v>0</v>
      </c>
      <c r="BG69" s="191">
        <f t="shared" si="11"/>
        <v>0</v>
      </c>
      <c r="BH69" s="191">
        <f t="shared" si="11"/>
        <v>0</v>
      </c>
      <c r="BI69" s="175">
        <f>NPV($D$49,F69:BH69)</f>
        <v>778895.15048798651</v>
      </c>
      <c r="BJ69" s="121"/>
      <c r="BK69" s="121"/>
      <c r="BL69" s="121"/>
      <c r="BM69" s="121"/>
      <c r="BN69" s="121"/>
      <c r="BO69" s="121"/>
    </row>
    <row r="70" spans="2:67" s="192" customFormat="1" ht="12.75">
      <c r="B70" s="193"/>
      <c r="C70" s="177"/>
      <c r="D70" s="180" t="s">
        <v>371</v>
      </c>
      <c r="E70" s="180" t="s">
        <v>264</v>
      </c>
      <c r="F70" s="285">
        <f t="shared" ref="F70:AK70" si="12">F69+F68*F74</f>
        <v>0</v>
      </c>
      <c r="G70" s="285">
        <f t="shared" si="12"/>
        <v>118756.17669888056</v>
      </c>
      <c r="H70" s="285">
        <f t="shared" si="12"/>
        <v>127532.51596504488</v>
      </c>
      <c r="I70" s="285">
        <f t="shared" si="12"/>
        <v>130794.47237084656</v>
      </c>
      <c r="J70" s="285">
        <f t="shared" si="12"/>
        <v>131014.84118827799</v>
      </c>
      <c r="K70" s="285">
        <f t="shared" si="12"/>
        <v>132134.19881296565</v>
      </c>
      <c r="L70" s="285">
        <f t="shared" si="12"/>
        <v>133270.08960325841</v>
      </c>
      <c r="M70" s="285">
        <f t="shared" si="12"/>
        <v>134835.27033241434</v>
      </c>
      <c r="N70" s="285">
        <f t="shared" si="12"/>
        <v>136537.1243950061</v>
      </c>
      <c r="O70" s="285">
        <f t="shared" si="12"/>
        <v>138325.01633055959</v>
      </c>
      <c r="P70" s="285">
        <f t="shared" si="12"/>
        <v>140176.92875920981</v>
      </c>
      <c r="Q70" s="285">
        <f t="shared" si="12"/>
        <v>142063.62393679834</v>
      </c>
      <c r="R70" s="285">
        <f t="shared" si="12"/>
        <v>0</v>
      </c>
      <c r="S70" s="285">
        <f t="shared" si="12"/>
        <v>0</v>
      </c>
      <c r="T70" s="285">
        <f t="shared" si="12"/>
        <v>0</v>
      </c>
      <c r="U70" s="285">
        <f t="shared" si="12"/>
        <v>0</v>
      </c>
      <c r="V70" s="285">
        <f t="shared" si="12"/>
        <v>0</v>
      </c>
      <c r="W70" s="285">
        <f t="shared" si="12"/>
        <v>0</v>
      </c>
      <c r="X70" s="285">
        <f t="shared" si="12"/>
        <v>0</v>
      </c>
      <c r="Y70" s="285">
        <f t="shared" si="12"/>
        <v>0</v>
      </c>
      <c r="Z70" s="285">
        <f t="shared" si="12"/>
        <v>0</v>
      </c>
      <c r="AA70" s="285">
        <f t="shared" si="12"/>
        <v>0</v>
      </c>
      <c r="AB70" s="285">
        <f t="shared" si="12"/>
        <v>0</v>
      </c>
      <c r="AC70" s="285">
        <f t="shared" si="12"/>
        <v>0</v>
      </c>
      <c r="AD70" s="285">
        <f t="shared" si="12"/>
        <v>0</v>
      </c>
      <c r="AE70" s="285">
        <f t="shared" si="12"/>
        <v>0</v>
      </c>
      <c r="AF70" s="285">
        <f t="shared" si="12"/>
        <v>0</v>
      </c>
      <c r="AG70" s="285">
        <f t="shared" si="12"/>
        <v>0</v>
      </c>
      <c r="AH70" s="285">
        <f t="shared" si="12"/>
        <v>0</v>
      </c>
      <c r="AI70" s="285">
        <f t="shared" si="12"/>
        <v>0</v>
      </c>
      <c r="AJ70" s="285">
        <f t="shared" si="12"/>
        <v>0</v>
      </c>
      <c r="AK70" s="285">
        <f t="shared" si="12"/>
        <v>0</v>
      </c>
      <c r="AL70" s="285">
        <f t="shared" ref="AL70:BH70" si="13">AL69+AL68*AL74</f>
        <v>0</v>
      </c>
      <c r="AM70" s="285">
        <f t="shared" si="13"/>
        <v>0</v>
      </c>
      <c r="AN70" s="285">
        <f t="shared" si="13"/>
        <v>0</v>
      </c>
      <c r="AO70" s="285">
        <f t="shared" si="13"/>
        <v>0</v>
      </c>
      <c r="AP70" s="285">
        <f t="shared" si="13"/>
        <v>0</v>
      </c>
      <c r="AQ70" s="285">
        <f t="shared" si="13"/>
        <v>0</v>
      </c>
      <c r="AR70" s="285">
        <f t="shared" si="13"/>
        <v>0</v>
      </c>
      <c r="AS70" s="285">
        <f t="shared" si="13"/>
        <v>0</v>
      </c>
      <c r="AT70" s="285">
        <f t="shared" si="13"/>
        <v>0</v>
      </c>
      <c r="AU70" s="285">
        <f t="shared" si="13"/>
        <v>0</v>
      </c>
      <c r="AV70" s="285">
        <f t="shared" si="13"/>
        <v>0</v>
      </c>
      <c r="AW70" s="285">
        <f t="shared" si="13"/>
        <v>0</v>
      </c>
      <c r="AX70" s="285">
        <f t="shared" si="13"/>
        <v>0</v>
      </c>
      <c r="AY70" s="285">
        <f t="shared" si="13"/>
        <v>0</v>
      </c>
      <c r="AZ70" s="285">
        <f t="shared" si="13"/>
        <v>0</v>
      </c>
      <c r="BA70" s="285">
        <f t="shared" si="13"/>
        <v>0</v>
      </c>
      <c r="BB70" s="285">
        <f t="shared" si="13"/>
        <v>0</v>
      </c>
      <c r="BC70" s="285">
        <f t="shared" si="13"/>
        <v>0</v>
      </c>
      <c r="BD70" s="285">
        <f t="shared" si="13"/>
        <v>0</v>
      </c>
      <c r="BE70" s="285">
        <f t="shared" si="13"/>
        <v>0</v>
      </c>
      <c r="BF70" s="285">
        <f t="shared" si="13"/>
        <v>0</v>
      </c>
      <c r="BG70" s="285">
        <f t="shared" si="13"/>
        <v>0</v>
      </c>
      <c r="BH70" s="285">
        <f t="shared" si="13"/>
        <v>0</v>
      </c>
      <c r="BI70" s="175">
        <f>NPV($D$49,F70:BH70)</f>
        <v>1191812.9525284695</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2005" t="s">
        <v>285</v>
      </c>
      <c r="D72" s="2006"/>
      <c r="E72" s="2006"/>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715</v>
      </c>
      <c r="E73" s="121" t="s">
        <v>266</v>
      </c>
      <c r="F73" s="189">
        <f>IF(AND(F65+1&gt;$D$31,F65&lt;$D$31+$D$32),$I$7,0)</f>
        <v>0</v>
      </c>
      <c r="G73" s="189">
        <f>IF(AND(G65&gt;=$D$31,G65&lt;=$D$31+$D$32),INDEX(Forecast!$F38:$F78,COLUMN()-6,1),0)</f>
        <v>188815.33357999317</v>
      </c>
      <c r="H73" s="189">
        <f>IF(AND(H65&gt;=$D$31,H65&lt;=$D$31+$D$32),INDEX(Forecast!$F38:$F78,COLUMN()-6,1),0)</f>
        <v>201313.1664925275</v>
      </c>
      <c r="I73" s="189">
        <f>IF(AND(I65&gt;=$D$31,I65&lt;=$D$31+$D$32),INDEX(Forecast!$F38:$F78,COLUMN()-6,1),0)</f>
        <v>205637.82225585432</v>
      </c>
      <c r="J73" s="189">
        <f>IF(AND(J65&gt;=$D$31,J65&lt;=$D$31+$D$32),INDEX(Forecast!$F38:$F78,COLUMN()-6,1),0)</f>
        <v>205857.17251283824</v>
      </c>
      <c r="K73" s="189">
        <f>IF(AND(K65&gt;=$D$31,K65&lt;=$D$31+$D$32),INDEX(Forecast!$F38:$F78,COLUMN()-6,1),0)</f>
        <v>207259.46711484555</v>
      </c>
      <c r="L73" s="189">
        <f>IF(AND(L65&gt;=$D$31,L65&lt;=$D$31+$D$32),INDEX(Forecast!$F38:$F78,COLUMN()-6,1),0)</f>
        <v>208668.13951976554</v>
      </c>
      <c r="M73" s="189">
        <f>IF(AND(M65&gt;=$D$31,M65&lt;=$D$31+$D$32),INDEX(Forecast!$F38:$F78,COLUMN()-6,1),0)</f>
        <v>210612.5035194373</v>
      </c>
      <c r="N73" s="189">
        <f>IF(AND(N65&gt;=$D$31,N65&lt;=$D$31+$D$32),INDEX(Forecast!$F38:$F78,COLUMN()-6,1),0)</f>
        <v>212702.25927131885</v>
      </c>
      <c r="O73" s="189">
        <f>IF(AND(O65&gt;=$D$31,O65&lt;=$D$31+$D$32),INDEX(Forecast!$F38:$F78,COLUMN()-6,1),0)</f>
        <v>214868.26288255374</v>
      </c>
      <c r="P73" s="189">
        <f>IF(AND(P65&gt;=$D$31,P65&lt;=$D$31+$D$32),INDEX(Forecast!$F38:$F78,COLUMN()-6,1),0)</f>
        <v>217080.20365888326</v>
      </c>
      <c r="Q73" s="189">
        <f>IF(AND(Q65&gt;=$D$31,Q65&lt;=$D$31+$D$32),INDEX(Forecast!$F38:$F78,COLUMN()-6,1),0)</f>
        <v>219300.72771680047</v>
      </c>
      <c r="R73" s="189">
        <f>IF(AND(R65&gt;=$D$31,R65&lt;=$D$31+$D$32),INDEX(Forecast!$F38:$F78,COLUMN()-6,1),0)</f>
        <v>0</v>
      </c>
      <c r="S73" s="189">
        <f>IF(AND(S65&gt;=$D$31,S65&lt;=$D$31+$D$32),INDEX(Forecast!$F38:$F78,COLUMN()-6,1),0)</f>
        <v>0</v>
      </c>
      <c r="T73" s="189">
        <f>IF(AND(T65&gt;=$D$31,T65&lt;=$D$31+$D$32),INDEX(Forecast!$F38:$F78,COLUMN()-6,1),0)</f>
        <v>0</v>
      </c>
      <c r="U73" s="189">
        <f>IF(AND(U65&gt;=$D$31,U65&lt;=$D$31+$D$32),INDEX(Forecast!$F38:$F78,COLUMN()-6,1),0)</f>
        <v>0</v>
      </c>
      <c r="V73" s="189">
        <f>IF(AND(V65&gt;=$D$31,V65&lt;=$D$31+$D$32),INDEX(Forecast!$F38:$F78,COLUMN()-6,1),0)</f>
        <v>0</v>
      </c>
      <c r="W73" s="189">
        <f>IF(AND(W65&gt;=$D$31,W65&lt;=$D$31+$D$32),INDEX(Forecast!$F38:$F78,COLUMN()-6,1),0)</f>
        <v>0</v>
      </c>
      <c r="X73" s="189">
        <f>IF(AND(X65&gt;=$D$31,X65&lt;=$D$31+$D$32),INDEX(Forecast!$F38:$F78,COLUMN()-6,1),0)</f>
        <v>0</v>
      </c>
      <c r="Y73" s="189">
        <f>IF(AND(Y65&gt;=$D$31,Y65&lt;=$D$31+$D$32),INDEX(Forecast!$F38:$F78,COLUMN()-6,1),0)</f>
        <v>0</v>
      </c>
      <c r="Z73" s="189">
        <f>IF(AND(Z65&gt;=$D$31,Z65&lt;=$D$31+$D$32),INDEX(Forecast!$F38:$F78,COLUMN()-6,1),0)</f>
        <v>0</v>
      </c>
      <c r="AA73" s="189">
        <f>IF(AND(AA65&gt;=$D$31,AA65&lt;=$D$31+$D$32),INDEX(Forecast!$F38:$F78,COLUMN()-6,1),0)</f>
        <v>0</v>
      </c>
      <c r="AB73" s="189">
        <f>IF(AND(AB65&gt;=$D$31,AB65&lt;=$D$31+$D$32),INDEX(Forecast!$F38:$F78,COLUMN()-6,1),0)</f>
        <v>0</v>
      </c>
      <c r="AC73" s="189">
        <f>IF(AND(AC65&gt;=$D$31,AC65&lt;=$D$31+$D$32),INDEX(Forecast!$F38:$F78,COLUMN()-6,1),0)</f>
        <v>0</v>
      </c>
      <c r="AD73" s="189">
        <f>IF(AND(AD65&gt;=$D$31,AD65&lt;=$D$31+$D$32),INDEX(Forecast!$F38:$F78,COLUMN()-6,1),0)</f>
        <v>0</v>
      </c>
      <c r="AE73" s="189">
        <f>IF(AND(AE65&gt;=$D$31,AE65&lt;=$D$31+$D$32),INDEX(Forecast!$F38:$F78,COLUMN()-6,1),0)</f>
        <v>0</v>
      </c>
      <c r="AF73" s="189">
        <f>IF(AND(AF65&gt;=$D$31,AF65&lt;=$D$31+$D$32),INDEX(Forecast!$F38:$F78,COLUMN()-6,1),0)</f>
        <v>0</v>
      </c>
      <c r="AG73" s="189">
        <f>IF(AND(AG65&gt;=$D$31,AG65&lt;=$D$31+$D$32),INDEX(Forecast!$F38:$F78,COLUMN()-6,1),0)</f>
        <v>0</v>
      </c>
      <c r="AH73" s="189">
        <f>IF(AND(AH65&gt;=$D$31,AH65&lt;=$D$31+$D$32),INDEX(Forecast!$F38:$F78,COLUMN()-6,1),0)</f>
        <v>0</v>
      </c>
      <c r="AI73" s="189">
        <f>IF(AND(AI65&gt;=$D$31,AI65&lt;=$D$31+$D$32),INDEX(Forecast!$F38:$F78,COLUMN()-6,1),0)</f>
        <v>0</v>
      </c>
      <c r="AJ73" s="189">
        <f>IF(AND(AJ65&gt;=$D$31,AJ65&lt;=$D$31+$D$32),INDEX(Forecast!$F38:$F78,COLUMN()-6,1),0)</f>
        <v>0</v>
      </c>
      <c r="AK73" s="189">
        <f>IF(AND(AK65&gt;=$D$31,AK65&lt;=$D$31+$D$32),INDEX(Forecast!$F38:$F78,COLUMN()-6,1),0)</f>
        <v>0</v>
      </c>
      <c r="AL73" s="189">
        <f>IF(AND(AL65&gt;=$D$31,AL65&lt;=$D$31+$D$32),INDEX(Forecast!$F38:$F78,COLUMN()-6,1),0)</f>
        <v>0</v>
      </c>
      <c r="AM73" s="189">
        <f>IF(AND(AM65&gt;=$D$31,AM65&lt;=$D$31+$D$32),INDEX(Forecast!$F38:$F78,COLUMN()-6,1),0)</f>
        <v>0</v>
      </c>
      <c r="AN73" s="189">
        <f>IF(AND(AN65&gt;=$D$31,AN65&lt;=$D$31+$D$32),INDEX(Forecast!$F38:$F78,COLUMN()-6,1),0)</f>
        <v>0</v>
      </c>
      <c r="AO73" s="189">
        <f>IF(AND(AO65&gt;=$D$31,AO65&lt;=$D$31+$D$32),INDEX(Forecast!$F38:$F78,COLUMN()-6,1),0)</f>
        <v>0</v>
      </c>
      <c r="AP73" s="189">
        <f>IF(AND(AP65&gt;=$D$31,AP65&lt;=$D$31+$D$32),INDEX(Forecast!$F38:$F78,COLUMN()-6,1),0)</f>
        <v>0</v>
      </c>
      <c r="AQ73" s="189">
        <f>IF(AND(AQ65&gt;=$D$31,AQ65&lt;=$D$31+$D$32),INDEX(Forecast!$F38:$F78,COLUMN()-6,1),0)</f>
        <v>0</v>
      </c>
      <c r="AR73" s="189">
        <f>IF(AND(AR65&gt;=$D$31,AR65&lt;=$D$31+$D$32),INDEX(Forecast!$F38:$F78,COLUMN()-6,1),0)</f>
        <v>0</v>
      </c>
      <c r="AS73" s="189">
        <f>IF(AND(AS65&gt;=$D$31,AS65&lt;=$D$31+$D$32),INDEX(Forecast!$F38:$F78,COLUMN()-6,1),0)</f>
        <v>0</v>
      </c>
      <c r="AT73" s="189">
        <f>IF(AND(AT65&gt;=$D$31,AT65&lt;=$D$31+$D$32),INDEX(Forecast!$F38:$F78,COLUMN()-6,1),0)</f>
        <v>0</v>
      </c>
      <c r="AU73" s="189">
        <f>IF(AND(AU65&gt;=$D$31,AU65&lt;=$D$31+$D$32),INDEX(Forecast!$F38:$F78,COLUMN()-6,1),0)</f>
        <v>0</v>
      </c>
      <c r="AV73" s="189">
        <f>IF(AND(AV65&gt;=$D$31,AV65&lt;=$D$31+$D$32),INDEX(Forecast!$F38:$F78,COLUMN()-6,1),0)</f>
        <v>0</v>
      </c>
      <c r="AW73" s="189">
        <f>IF(AND(AW65&gt;=$D$31,AW65&lt;=$D$31+$D$32),INDEX(Forecast!$F38:$F78,COLUMN()-6,1),0)</f>
        <v>0</v>
      </c>
      <c r="AX73" s="189">
        <f>IF(AND(AX65&gt;=$D$31,AX65&lt;=$D$31+$D$32),INDEX(Forecast!$F38:$F78,COLUMN()-6,1),0)</f>
        <v>0</v>
      </c>
      <c r="AY73" s="189">
        <f>IF(AND(AY65&gt;=$D$31,AY65&lt;=$D$31+$D$32),INDEX(Forecast!$F38:$F78,COLUMN()-6,1),0)</f>
        <v>0</v>
      </c>
      <c r="AZ73" s="189">
        <f>IF(AND(AZ65&gt;=$D$31,AZ65&lt;=$D$31+$D$32),INDEX(Forecast!$F38:$F78,COLUMN()-6,1),0)</f>
        <v>0</v>
      </c>
      <c r="BA73" s="189">
        <f>IF(AND(BA65&gt;=$D$31,BA65&lt;=$D$31+$D$32),INDEX(Forecast!$F38:$F78,COLUMN()-6,1),0)</f>
        <v>0</v>
      </c>
      <c r="BB73" s="189">
        <f>IF(AND(BB65&gt;=$D$31,BB65&lt;=$D$31+$D$32),INDEX(Forecast!$F38:$F78,COLUMN()-6,1),0)</f>
        <v>0</v>
      </c>
      <c r="BC73" s="189">
        <f>IF(AND(BC65&gt;=$D$31,BC65&lt;=$D$31+$D$32),INDEX(Forecast!$F38:$F78,COLUMN()-6,1),0)</f>
        <v>0</v>
      </c>
      <c r="BD73" s="189">
        <f>IF(AND(BD65&gt;=$D$31,BD65&lt;=$D$31+$D$32),INDEX(Forecast!$F38:$F78,COLUMN()-6,1),0)</f>
        <v>0</v>
      </c>
      <c r="BE73" s="189">
        <f>IF(AND(BE65&gt;=$D$31,BE65&lt;=$D$31+$D$32),INDEX(Forecast!$F38:$F78,COLUMN()-6,1),0)</f>
        <v>0</v>
      </c>
      <c r="BF73" s="189">
        <f>IF(AND(BF65&gt;=$D$31,BF65&lt;=$D$31+$D$32),INDEX(Forecast!$F38:$F78,COLUMN()-6,1),0)</f>
        <v>0</v>
      </c>
      <c r="BG73" s="189">
        <f>IF(AND(BG65&gt;=$D$31,BG65&lt;=$D$31+$D$32),INDEX(Forecast!$F38:$F78,COLUMN()-6,1),0)</f>
        <v>0</v>
      </c>
      <c r="BH73" s="189">
        <f>IF(AND(BH65&gt;=$D$31,BH65&lt;=$D$31+$D$32),INDEX(Forecast!$F38:$F78,COLUMN()-6,1),0)</f>
        <v>0</v>
      </c>
      <c r="BI73" s="175"/>
      <c r="BJ73" s="121"/>
      <c r="BK73" s="121"/>
      <c r="BL73" s="121"/>
      <c r="BM73" s="121"/>
      <c r="BN73" s="121"/>
      <c r="BO73" s="121"/>
    </row>
    <row r="74" spans="2:67" s="121" customFormat="1" ht="12.75">
      <c r="B74" s="138"/>
      <c r="C74" s="177"/>
      <c r="D74" s="121" t="s">
        <v>714</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c r="D75" s="120" t="s">
        <v>5</v>
      </c>
      <c r="E75" s="121"/>
      <c r="F75" s="196"/>
      <c r="G75" s="176">
        <f t="shared" ref="G75:AL75" si="14">G69</f>
        <v>84181</v>
      </c>
      <c r="H75" s="176">
        <f t="shared" si="14"/>
        <v>84181</v>
      </c>
      <c r="I75" s="176">
        <f t="shared" si="14"/>
        <v>84181</v>
      </c>
      <c r="J75" s="176">
        <f t="shared" si="14"/>
        <v>84181</v>
      </c>
      <c r="K75" s="176">
        <f t="shared" si="14"/>
        <v>84181</v>
      </c>
      <c r="L75" s="176">
        <f t="shared" si="14"/>
        <v>84181</v>
      </c>
      <c r="M75" s="176">
        <f t="shared" si="14"/>
        <v>84181</v>
      </c>
      <c r="N75" s="176">
        <f t="shared" si="14"/>
        <v>84181</v>
      </c>
      <c r="O75" s="176">
        <f t="shared" si="14"/>
        <v>84181</v>
      </c>
      <c r="P75" s="176">
        <f t="shared" si="14"/>
        <v>84181</v>
      </c>
      <c r="Q75" s="176">
        <f t="shared" si="14"/>
        <v>84181</v>
      </c>
      <c r="R75" s="176">
        <f t="shared" si="14"/>
        <v>0</v>
      </c>
      <c r="S75" s="176">
        <f t="shared" si="14"/>
        <v>0</v>
      </c>
      <c r="T75" s="176">
        <f t="shared" si="14"/>
        <v>0</v>
      </c>
      <c r="U75" s="176">
        <f t="shared" si="14"/>
        <v>0</v>
      </c>
      <c r="V75" s="176">
        <f t="shared" si="14"/>
        <v>0</v>
      </c>
      <c r="W75" s="176">
        <f t="shared" si="14"/>
        <v>0</v>
      </c>
      <c r="X75" s="176">
        <f t="shared" si="14"/>
        <v>0</v>
      </c>
      <c r="Y75" s="176">
        <f t="shared" si="14"/>
        <v>0</v>
      </c>
      <c r="Z75" s="176">
        <f t="shared" si="14"/>
        <v>0</v>
      </c>
      <c r="AA75" s="176">
        <f t="shared" si="14"/>
        <v>0</v>
      </c>
      <c r="AB75" s="176">
        <f t="shared" si="14"/>
        <v>0</v>
      </c>
      <c r="AC75" s="176">
        <f t="shared" si="14"/>
        <v>0</v>
      </c>
      <c r="AD75" s="176">
        <f t="shared" si="14"/>
        <v>0</v>
      </c>
      <c r="AE75" s="176">
        <f t="shared" si="14"/>
        <v>0</v>
      </c>
      <c r="AF75" s="176">
        <f t="shared" si="14"/>
        <v>0</v>
      </c>
      <c r="AG75" s="176">
        <f t="shared" si="14"/>
        <v>0</v>
      </c>
      <c r="AH75" s="176">
        <f t="shared" si="14"/>
        <v>0</v>
      </c>
      <c r="AI75" s="176">
        <f t="shared" si="14"/>
        <v>0</v>
      </c>
      <c r="AJ75" s="176">
        <f t="shared" si="14"/>
        <v>0</v>
      </c>
      <c r="AK75" s="176">
        <f t="shared" si="14"/>
        <v>0</v>
      </c>
      <c r="AL75" s="176">
        <f t="shared" si="14"/>
        <v>0</v>
      </c>
      <c r="AM75" s="176">
        <f t="shared" ref="AM75:BH75" si="15">AM69</f>
        <v>0</v>
      </c>
      <c r="AN75" s="176">
        <f t="shared" si="15"/>
        <v>0</v>
      </c>
      <c r="AO75" s="176">
        <f t="shared" si="15"/>
        <v>0</v>
      </c>
      <c r="AP75" s="176">
        <f t="shared" si="15"/>
        <v>0</v>
      </c>
      <c r="AQ75" s="176">
        <f t="shared" si="15"/>
        <v>0</v>
      </c>
      <c r="AR75" s="176">
        <f t="shared" si="15"/>
        <v>0</v>
      </c>
      <c r="AS75" s="176">
        <f t="shared" si="15"/>
        <v>0</v>
      </c>
      <c r="AT75" s="176">
        <f t="shared" si="15"/>
        <v>0</v>
      </c>
      <c r="AU75" s="176">
        <f t="shared" si="15"/>
        <v>0</v>
      </c>
      <c r="AV75" s="176">
        <f t="shared" si="15"/>
        <v>0</v>
      </c>
      <c r="AW75" s="176">
        <f t="shared" si="15"/>
        <v>0</v>
      </c>
      <c r="AX75" s="176">
        <f t="shared" si="15"/>
        <v>0</v>
      </c>
      <c r="AY75" s="176">
        <f t="shared" si="15"/>
        <v>0</v>
      </c>
      <c r="AZ75" s="176">
        <f t="shared" si="15"/>
        <v>0</v>
      </c>
      <c r="BA75" s="176">
        <f t="shared" si="15"/>
        <v>0</v>
      </c>
      <c r="BB75" s="176">
        <f t="shared" si="15"/>
        <v>0</v>
      </c>
      <c r="BC75" s="176">
        <f t="shared" si="15"/>
        <v>0</v>
      </c>
      <c r="BD75" s="176">
        <f t="shared" si="15"/>
        <v>0</v>
      </c>
      <c r="BE75" s="176">
        <f t="shared" si="15"/>
        <v>0</v>
      </c>
      <c r="BF75" s="176">
        <f t="shared" si="15"/>
        <v>0</v>
      </c>
      <c r="BG75" s="176">
        <f t="shared" si="15"/>
        <v>0</v>
      </c>
      <c r="BH75" s="176">
        <f t="shared" si="15"/>
        <v>0</v>
      </c>
      <c r="BI75" s="175"/>
      <c r="BJ75" s="121"/>
      <c r="BK75" s="121"/>
      <c r="BL75" s="121"/>
      <c r="BM75" s="121"/>
      <c r="BN75" s="121"/>
      <c r="BO75" s="121"/>
    </row>
    <row r="76" spans="2:67" ht="12.75">
      <c r="C76" s="190"/>
      <c r="D76" s="121" t="s">
        <v>267</v>
      </c>
      <c r="E76" s="121" t="s">
        <v>717</v>
      </c>
      <c r="F76" s="191"/>
      <c r="G76" s="354">
        <f>IF(AND(G54&gt;=$D$31,G54&lt;=($D$31+$D$32)),G73/$I$13,0)</f>
        <v>17479.095419018358</v>
      </c>
      <c r="H76" s="354">
        <f t="shared" ref="H76:BH76" si="16">IF(AND(H54&gt;=$D$31,H54&lt;=($D$31+$D$32)),H73/$I$13,0)</f>
        <v>18636.050258793523</v>
      </c>
      <c r="I76" s="354">
        <f t="shared" si="16"/>
        <v>19036.394178476152</v>
      </c>
      <c r="J76" s="354">
        <f t="shared" si="16"/>
        <v>19056.699966143464</v>
      </c>
      <c r="K76" s="354">
        <f t="shared" si="16"/>
        <v>19186.513793703587</v>
      </c>
      <c r="L76" s="354">
        <f t="shared" si="16"/>
        <v>19316.918030016855</v>
      </c>
      <c r="M76" s="354">
        <f t="shared" si="16"/>
        <v>19496.912542301361</v>
      </c>
      <c r="N76" s="354">
        <f t="shared" si="16"/>
        <v>19690.366323289465</v>
      </c>
      <c r="O76" s="354">
        <f t="shared" si="16"/>
        <v>19890.878554371979</v>
      </c>
      <c r="P76" s="354">
        <f t="shared" si="16"/>
        <v>20095.643300738837</v>
      </c>
      <c r="Q76" s="354">
        <f t="shared" si="16"/>
        <v>20301.20262239275</v>
      </c>
      <c r="R76" s="354">
        <f t="shared" si="16"/>
        <v>0</v>
      </c>
      <c r="S76" s="354">
        <f t="shared" si="16"/>
        <v>0</v>
      </c>
      <c r="T76" s="354">
        <f t="shared" si="16"/>
        <v>0</v>
      </c>
      <c r="U76" s="354">
        <f t="shared" si="16"/>
        <v>0</v>
      </c>
      <c r="V76" s="354">
        <f t="shared" si="16"/>
        <v>0</v>
      </c>
      <c r="W76" s="354">
        <f t="shared" si="16"/>
        <v>0</v>
      </c>
      <c r="X76" s="354">
        <f t="shared" si="16"/>
        <v>0</v>
      </c>
      <c r="Y76" s="354">
        <f t="shared" si="16"/>
        <v>0</v>
      </c>
      <c r="Z76" s="354">
        <f t="shared" si="16"/>
        <v>0</v>
      </c>
      <c r="AA76" s="354">
        <f t="shared" si="16"/>
        <v>0</v>
      </c>
      <c r="AB76" s="354">
        <f t="shared" si="16"/>
        <v>0</v>
      </c>
      <c r="AC76" s="354">
        <f t="shared" si="16"/>
        <v>0</v>
      </c>
      <c r="AD76" s="354">
        <f t="shared" si="16"/>
        <v>0</v>
      </c>
      <c r="AE76" s="354">
        <f t="shared" si="16"/>
        <v>0</v>
      </c>
      <c r="AF76" s="354">
        <f t="shared" si="16"/>
        <v>0</v>
      </c>
      <c r="AG76" s="354">
        <f t="shared" si="16"/>
        <v>0</v>
      </c>
      <c r="AH76" s="354">
        <f t="shared" si="16"/>
        <v>0</v>
      </c>
      <c r="AI76" s="354">
        <f t="shared" si="16"/>
        <v>0</v>
      </c>
      <c r="AJ76" s="354">
        <f t="shared" si="16"/>
        <v>0</v>
      </c>
      <c r="AK76" s="354">
        <f t="shared" si="16"/>
        <v>0</v>
      </c>
      <c r="AL76" s="354">
        <f t="shared" si="16"/>
        <v>0</v>
      </c>
      <c r="AM76" s="354">
        <f t="shared" si="16"/>
        <v>0</v>
      </c>
      <c r="AN76" s="354">
        <f t="shared" si="16"/>
        <v>0</v>
      </c>
      <c r="AO76" s="354">
        <f t="shared" si="16"/>
        <v>0</v>
      </c>
      <c r="AP76" s="354">
        <f t="shared" si="16"/>
        <v>0</v>
      </c>
      <c r="AQ76" s="354">
        <f t="shared" si="16"/>
        <v>0</v>
      </c>
      <c r="AR76" s="354">
        <f t="shared" si="16"/>
        <v>0</v>
      </c>
      <c r="AS76" s="354">
        <f t="shared" si="16"/>
        <v>0</v>
      </c>
      <c r="AT76" s="354">
        <f t="shared" si="16"/>
        <v>0</v>
      </c>
      <c r="AU76" s="354">
        <f t="shared" si="16"/>
        <v>0</v>
      </c>
      <c r="AV76" s="354">
        <f t="shared" si="16"/>
        <v>0</v>
      </c>
      <c r="AW76" s="354">
        <f t="shared" si="16"/>
        <v>0</v>
      </c>
      <c r="AX76" s="354">
        <f t="shared" si="16"/>
        <v>0</v>
      </c>
      <c r="AY76" s="354">
        <f t="shared" si="16"/>
        <v>0</v>
      </c>
      <c r="AZ76" s="354">
        <f t="shared" si="16"/>
        <v>0</v>
      </c>
      <c r="BA76" s="354">
        <f t="shared" si="16"/>
        <v>0</v>
      </c>
      <c r="BB76" s="354">
        <f t="shared" si="16"/>
        <v>0</v>
      </c>
      <c r="BC76" s="354">
        <f t="shared" si="16"/>
        <v>0</v>
      </c>
      <c r="BD76" s="354">
        <f t="shared" si="16"/>
        <v>0</v>
      </c>
      <c r="BE76" s="354">
        <f t="shared" si="16"/>
        <v>0</v>
      </c>
      <c r="BF76" s="354">
        <f t="shared" si="16"/>
        <v>0</v>
      </c>
      <c r="BG76" s="354">
        <f t="shared" si="16"/>
        <v>0</v>
      </c>
      <c r="BH76" s="354">
        <f t="shared" si="16"/>
        <v>0</v>
      </c>
      <c r="BI76" s="175">
        <f>NPV($D$49,F76:BH76)</f>
        <v>177877.25866350209</v>
      </c>
      <c r="BJ76" s="121"/>
      <c r="BK76" s="121"/>
      <c r="BL76" s="121"/>
      <c r="BM76" s="121"/>
      <c r="BN76" s="121"/>
      <c r="BO76" s="121"/>
    </row>
    <row r="77" spans="2:67" ht="12.75">
      <c r="C77" s="177"/>
      <c r="D77" s="121" t="str">
        <f>IF(C7="rural","Fuel Cost","N/A")</f>
        <v>Fuel Cost</v>
      </c>
      <c r="E77" s="121" t="str">
        <f>IF(C7="rural","$ per year","")</f>
        <v>$ per year</v>
      </c>
      <c r="F77" s="191">
        <f>IF($C$7="rural",F75*F74,"")</f>
        <v>0</v>
      </c>
      <c r="G77" s="191">
        <f t="shared" ref="G77:AL77" si="17">G76*G74</f>
        <v>46410.270910017076</v>
      </c>
      <c r="H77" s="191">
        <f t="shared" si="17"/>
        <v>58190.753956806351</v>
      </c>
      <c r="I77" s="191">
        <f t="shared" si="17"/>
        <v>62569.279099523068</v>
      </c>
      <c r="J77" s="191">
        <f t="shared" si="17"/>
        <v>62865.080234718524</v>
      </c>
      <c r="K77" s="191">
        <f t="shared" si="17"/>
        <v>64367.594337810027</v>
      </c>
      <c r="L77" s="191">
        <f t="shared" si="17"/>
        <v>65892.300914461754</v>
      </c>
      <c r="M77" s="191">
        <f t="shared" si="17"/>
        <v>67993.24351544684</v>
      </c>
      <c r="N77" s="191">
        <f t="shared" si="17"/>
        <v>70277.642776282824</v>
      </c>
      <c r="O77" s="191">
        <f t="shared" si="17"/>
        <v>72677.530701933254</v>
      </c>
      <c r="P77" s="191">
        <f t="shared" si="17"/>
        <v>75163.35335625583</v>
      </c>
      <c r="Q77" s="191">
        <f t="shared" si="17"/>
        <v>77695.864905772847</v>
      </c>
      <c r="R77" s="191">
        <f t="shared" si="17"/>
        <v>0</v>
      </c>
      <c r="S77" s="191">
        <f t="shared" si="17"/>
        <v>0</v>
      </c>
      <c r="T77" s="191">
        <f t="shared" si="17"/>
        <v>0</v>
      </c>
      <c r="U77" s="191">
        <f t="shared" si="17"/>
        <v>0</v>
      </c>
      <c r="V77" s="191">
        <f t="shared" si="17"/>
        <v>0</v>
      </c>
      <c r="W77" s="191">
        <f t="shared" si="17"/>
        <v>0</v>
      </c>
      <c r="X77" s="191">
        <f t="shared" si="17"/>
        <v>0</v>
      </c>
      <c r="Y77" s="191">
        <f t="shared" si="17"/>
        <v>0</v>
      </c>
      <c r="Z77" s="191">
        <f t="shared" si="17"/>
        <v>0</v>
      </c>
      <c r="AA77" s="191">
        <f t="shared" si="17"/>
        <v>0</v>
      </c>
      <c r="AB77" s="191">
        <f t="shared" si="17"/>
        <v>0</v>
      </c>
      <c r="AC77" s="191">
        <f t="shared" si="17"/>
        <v>0</v>
      </c>
      <c r="AD77" s="191">
        <f t="shared" si="17"/>
        <v>0</v>
      </c>
      <c r="AE77" s="191">
        <f t="shared" si="17"/>
        <v>0</v>
      </c>
      <c r="AF77" s="191">
        <f t="shared" si="17"/>
        <v>0</v>
      </c>
      <c r="AG77" s="191">
        <f t="shared" si="17"/>
        <v>0</v>
      </c>
      <c r="AH77" s="191">
        <f t="shared" si="17"/>
        <v>0</v>
      </c>
      <c r="AI77" s="191">
        <f t="shared" si="17"/>
        <v>0</v>
      </c>
      <c r="AJ77" s="191">
        <f t="shared" si="17"/>
        <v>0</v>
      </c>
      <c r="AK77" s="191">
        <f t="shared" si="17"/>
        <v>0</v>
      </c>
      <c r="AL77" s="191">
        <f t="shared" si="17"/>
        <v>0</v>
      </c>
      <c r="AM77" s="191">
        <f t="shared" ref="AM77:BH77" si="18">AM76*AM74</f>
        <v>0</v>
      </c>
      <c r="AN77" s="191">
        <f t="shared" si="18"/>
        <v>0</v>
      </c>
      <c r="AO77" s="191">
        <f t="shared" si="18"/>
        <v>0</v>
      </c>
      <c r="AP77" s="191">
        <f t="shared" si="18"/>
        <v>0</v>
      </c>
      <c r="AQ77" s="191">
        <f t="shared" si="18"/>
        <v>0</v>
      </c>
      <c r="AR77" s="191">
        <f t="shared" si="18"/>
        <v>0</v>
      </c>
      <c r="AS77" s="191">
        <f t="shared" si="18"/>
        <v>0</v>
      </c>
      <c r="AT77" s="191">
        <f t="shared" si="18"/>
        <v>0</v>
      </c>
      <c r="AU77" s="191">
        <f t="shared" si="18"/>
        <v>0</v>
      </c>
      <c r="AV77" s="191">
        <f t="shared" si="18"/>
        <v>0</v>
      </c>
      <c r="AW77" s="191">
        <f t="shared" si="18"/>
        <v>0</v>
      </c>
      <c r="AX77" s="191">
        <f t="shared" si="18"/>
        <v>0</v>
      </c>
      <c r="AY77" s="191">
        <f t="shared" si="18"/>
        <v>0</v>
      </c>
      <c r="AZ77" s="191">
        <f t="shared" si="18"/>
        <v>0</v>
      </c>
      <c r="BA77" s="191">
        <f t="shared" si="18"/>
        <v>0</v>
      </c>
      <c r="BB77" s="191">
        <f t="shared" si="18"/>
        <v>0</v>
      </c>
      <c r="BC77" s="191">
        <f t="shared" si="18"/>
        <v>0</v>
      </c>
      <c r="BD77" s="191">
        <f t="shared" si="18"/>
        <v>0</v>
      </c>
      <c r="BE77" s="191">
        <f t="shared" si="18"/>
        <v>0</v>
      </c>
      <c r="BF77" s="191">
        <f t="shared" si="18"/>
        <v>0</v>
      </c>
      <c r="BG77" s="191">
        <f t="shared" si="18"/>
        <v>0</v>
      </c>
      <c r="BH77" s="191">
        <f t="shared" si="18"/>
        <v>0</v>
      </c>
      <c r="BI77" s="175">
        <f>NPV($D$49,F77:BH77)</f>
        <v>584711.48267505295</v>
      </c>
      <c r="BJ77" s="121"/>
      <c r="BK77" s="121"/>
      <c r="BL77" s="121"/>
      <c r="BM77" s="121"/>
      <c r="BN77" s="121"/>
      <c r="BO77" s="121"/>
    </row>
    <row r="78" spans="2:67" s="192" customFormat="1" ht="12.75">
      <c r="B78" s="193"/>
      <c r="C78" s="182"/>
      <c r="D78" s="184" t="s">
        <v>372</v>
      </c>
      <c r="E78" s="184" t="s">
        <v>264</v>
      </c>
      <c r="F78" s="197">
        <f>F75+F77</f>
        <v>0</v>
      </c>
      <c r="G78" s="197">
        <f>G75+G77</f>
        <v>130591.27091001708</v>
      </c>
      <c r="H78" s="197">
        <f t="shared" ref="H78:BH78" si="19">H75+H77</f>
        <v>142371.75395680635</v>
      </c>
      <c r="I78" s="197">
        <f t="shared" si="19"/>
        <v>146750.27909952306</v>
      </c>
      <c r="J78" s="197">
        <f t="shared" si="19"/>
        <v>147046.08023471851</v>
      </c>
      <c r="K78" s="197">
        <f t="shared" si="19"/>
        <v>148548.59433781003</v>
      </c>
      <c r="L78" s="197">
        <f t="shared" si="19"/>
        <v>150073.30091446175</v>
      </c>
      <c r="M78" s="197">
        <f t="shared" si="19"/>
        <v>152174.24351544684</v>
      </c>
      <c r="N78" s="197">
        <f t="shared" si="19"/>
        <v>154458.64277628282</v>
      </c>
      <c r="O78" s="197">
        <f t="shared" si="19"/>
        <v>156858.53070193325</v>
      </c>
      <c r="P78" s="197">
        <f t="shared" si="19"/>
        <v>159344.35335625583</v>
      </c>
      <c r="Q78" s="197">
        <f t="shared" si="19"/>
        <v>161876.86490577285</v>
      </c>
      <c r="R78" s="197">
        <f t="shared" si="19"/>
        <v>0</v>
      </c>
      <c r="S78" s="197">
        <f t="shared" si="19"/>
        <v>0</v>
      </c>
      <c r="T78" s="197">
        <f t="shared" si="19"/>
        <v>0</v>
      </c>
      <c r="U78" s="197">
        <f t="shared" si="19"/>
        <v>0</v>
      </c>
      <c r="V78" s="197">
        <f t="shared" si="19"/>
        <v>0</v>
      </c>
      <c r="W78" s="197">
        <f t="shared" si="19"/>
        <v>0</v>
      </c>
      <c r="X78" s="197">
        <f t="shared" si="19"/>
        <v>0</v>
      </c>
      <c r="Y78" s="197">
        <f t="shared" si="19"/>
        <v>0</v>
      </c>
      <c r="Z78" s="197">
        <f t="shared" si="19"/>
        <v>0</v>
      </c>
      <c r="AA78" s="197">
        <f t="shared" si="19"/>
        <v>0</v>
      </c>
      <c r="AB78" s="197">
        <f t="shared" si="19"/>
        <v>0</v>
      </c>
      <c r="AC78" s="197">
        <f t="shared" si="19"/>
        <v>0</v>
      </c>
      <c r="AD78" s="197">
        <f t="shared" si="19"/>
        <v>0</v>
      </c>
      <c r="AE78" s="197">
        <f t="shared" si="19"/>
        <v>0</v>
      </c>
      <c r="AF78" s="197">
        <f t="shared" si="19"/>
        <v>0</v>
      </c>
      <c r="AG78" s="197">
        <f t="shared" si="19"/>
        <v>0</v>
      </c>
      <c r="AH78" s="197">
        <f t="shared" si="19"/>
        <v>0</v>
      </c>
      <c r="AI78" s="197">
        <f t="shared" si="19"/>
        <v>0</v>
      </c>
      <c r="AJ78" s="197">
        <f t="shared" si="19"/>
        <v>0</v>
      </c>
      <c r="AK78" s="197">
        <f t="shared" si="19"/>
        <v>0</v>
      </c>
      <c r="AL78" s="197">
        <f t="shared" si="19"/>
        <v>0</v>
      </c>
      <c r="AM78" s="197">
        <f t="shared" si="19"/>
        <v>0</v>
      </c>
      <c r="AN78" s="197">
        <f t="shared" si="19"/>
        <v>0</v>
      </c>
      <c r="AO78" s="197">
        <f t="shared" si="19"/>
        <v>0</v>
      </c>
      <c r="AP78" s="197">
        <f t="shared" si="19"/>
        <v>0</v>
      </c>
      <c r="AQ78" s="197">
        <f t="shared" si="19"/>
        <v>0</v>
      </c>
      <c r="AR78" s="197">
        <f t="shared" si="19"/>
        <v>0</v>
      </c>
      <c r="AS78" s="197">
        <f t="shared" si="19"/>
        <v>0</v>
      </c>
      <c r="AT78" s="197">
        <f t="shared" si="19"/>
        <v>0</v>
      </c>
      <c r="AU78" s="197">
        <f t="shared" si="19"/>
        <v>0</v>
      </c>
      <c r="AV78" s="197">
        <f t="shared" si="19"/>
        <v>0</v>
      </c>
      <c r="AW78" s="197">
        <f t="shared" si="19"/>
        <v>0</v>
      </c>
      <c r="AX78" s="197">
        <f t="shared" si="19"/>
        <v>0</v>
      </c>
      <c r="AY78" s="197">
        <f t="shared" si="19"/>
        <v>0</v>
      </c>
      <c r="AZ78" s="197">
        <f t="shared" si="19"/>
        <v>0</v>
      </c>
      <c r="BA78" s="197">
        <f t="shared" si="19"/>
        <v>0</v>
      </c>
      <c r="BB78" s="197">
        <f t="shared" si="19"/>
        <v>0</v>
      </c>
      <c r="BC78" s="197">
        <f t="shared" si="19"/>
        <v>0</v>
      </c>
      <c r="BD78" s="197">
        <f t="shared" si="19"/>
        <v>0</v>
      </c>
      <c r="BE78" s="197">
        <f t="shared" si="19"/>
        <v>0</v>
      </c>
      <c r="BF78" s="197">
        <f t="shared" si="19"/>
        <v>0</v>
      </c>
      <c r="BG78" s="197">
        <f t="shared" si="19"/>
        <v>0</v>
      </c>
      <c r="BH78" s="197">
        <f t="shared" si="19"/>
        <v>0</v>
      </c>
      <c r="BI78" s="175">
        <f>NPV($D$49,F78:BH78)</f>
        <v>1340920.3666439718</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68" t="s">
        <v>340</v>
      </c>
      <c r="D82" s="198"/>
      <c r="E82" s="170" t="s">
        <v>263</v>
      </c>
      <c r="F82" s="199">
        <v>2014</v>
      </c>
      <c r="G82" s="199">
        <f t="shared" ref="G82:BH82" si="20">F82+1</f>
        <v>2015</v>
      </c>
      <c r="H82" s="199">
        <f t="shared" si="20"/>
        <v>2016</v>
      </c>
      <c r="I82" s="199">
        <f t="shared" si="20"/>
        <v>2017</v>
      </c>
      <c r="J82" s="199">
        <f t="shared" si="20"/>
        <v>2018</v>
      </c>
      <c r="K82" s="199">
        <f t="shared" si="20"/>
        <v>2019</v>
      </c>
      <c r="L82" s="199">
        <f t="shared" si="20"/>
        <v>2020</v>
      </c>
      <c r="M82" s="199">
        <f>L82+1</f>
        <v>2021</v>
      </c>
      <c r="N82" s="199">
        <f t="shared" si="20"/>
        <v>2022</v>
      </c>
      <c r="O82" s="199">
        <f>N82+1</f>
        <v>2023</v>
      </c>
      <c r="P82" s="199">
        <f t="shared" si="20"/>
        <v>2024</v>
      </c>
      <c r="Q82" s="199">
        <f t="shared" si="20"/>
        <v>2025</v>
      </c>
      <c r="R82" s="199">
        <f t="shared" si="20"/>
        <v>2026</v>
      </c>
      <c r="S82" s="691">
        <f t="shared" si="20"/>
        <v>2027</v>
      </c>
      <c r="T82" s="691">
        <f t="shared" si="20"/>
        <v>2028</v>
      </c>
      <c r="U82" s="691">
        <f t="shared" si="20"/>
        <v>2029</v>
      </c>
      <c r="V82" s="691">
        <f t="shared" si="20"/>
        <v>2030</v>
      </c>
      <c r="W82" s="691">
        <f t="shared" si="20"/>
        <v>2031</v>
      </c>
      <c r="X82" s="691">
        <f t="shared" si="20"/>
        <v>2032</v>
      </c>
      <c r="Y82" s="691">
        <f t="shared" si="20"/>
        <v>2033</v>
      </c>
      <c r="Z82" s="691">
        <f t="shared" si="20"/>
        <v>2034</v>
      </c>
      <c r="AA82" s="691">
        <f t="shared" si="20"/>
        <v>2035</v>
      </c>
      <c r="AB82" s="691">
        <f t="shared" si="20"/>
        <v>2036</v>
      </c>
      <c r="AC82" s="691">
        <f t="shared" si="20"/>
        <v>2037</v>
      </c>
      <c r="AD82" s="691">
        <f t="shared" si="20"/>
        <v>2038</v>
      </c>
      <c r="AE82" s="691">
        <f t="shared" si="20"/>
        <v>2039</v>
      </c>
      <c r="AF82" s="691">
        <f t="shared" si="20"/>
        <v>2040</v>
      </c>
      <c r="AG82" s="691">
        <f t="shared" si="20"/>
        <v>2041</v>
      </c>
      <c r="AH82" s="691">
        <f t="shared" si="20"/>
        <v>2042</v>
      </c>
      <c r="AI82" s="691">
        <f t="shared" si="20"/>
        <v>2043</v>
      </c>
      <c r="AJ82" s="691">
        <f t="shared" si="20"/>
        <v>2044</v>
      </c>
      <c r="AK82" s="691">
        <f t="shared" si="20"/>
        <v>2045</v>
      </c>
      <c r="AL82" s="691">
        <f t="shared" si="20"/>
        <v>2046</v>
      </c>
      <c r="AM82" s="691">
        <f t="shared" si="20"/>
        <v>2047</v>
      </c>
      <c r="AN82" s="691">
        <f t="shared" si="20"/>
        <v>2048</v>
      </c>
      <c r="AO82" s="691">
        <f t="shared" si="20"/>
        <v>2049</v>
      </c>
      <c r="AP82" s="691">
        <f t="shared" si="20"/>
        <v>2050</v>
      </c>
      <c r="AQ82" s="691">
        <f t="shared" si="20"/>
        <v>2051</v>
      </c>
      <c r="AR82" s="691">
        <f t="shared" si="20"/>
        <v>2052</v>
      </c>
      <c r="AS82" s="691">
        <f t="shared" si="20"/>
        <v>2053</v>
      </c>
      <c r="AT82" s="691">
        <f t="shared" si="20"/>
        <v>2054</v>
      </c>
      <c r="AU82" s="691">
        <f t="shared" si="20"/>
        <v>2055</v>
      </c>
      <c r="AV82" s="691">
        <f t="shared" si="20"/>
        <v>2056</v>
      </c>
      <c r="AW82" s="691">
        <f t="shared" si="20"/>
        <v>2057</v>
      </c>
      <c r="AX82" s="691">
        <f t="shared" si="20"/>
        <v>2058</v>
      </c>
      <c r="AY82" s="691">
        <f t="shared" si="20"/>
        <v>2059</v>
      </c>
      <c r="AZ82" s="691">
        <f t="shared" si="20"/>
        <v>2060</v>
      </c>
      <c r="BA82" s="691">
        <f t="shared" si="20"/>
        <v>2061</v>
      </c>
      <c r="BB82" s="691">
        <f t="shared" si="20"/>
        <v>2062</v>
      </c>
      <c r="BC82" s="691">
        <f t="shared" si="20"/>
        <v>2063</v>
      </c>
      <c r="BD82" s="691">
        <f t="shared" si="20"/>
        <v>2064</v>
      </c>
      <c r="BE82" s="691">
        <f t="shared" si="20"/>
        <v>2065</v>
      </c>
      <c r="BF82" s="691">
        <f t="shared" si="20"/>
        <v>2066</v>
      </c>
      <c r="BG82" s="691">
        <f t="shared" si="20"/>
        <v>2067</v>
      </c>
      <c r="BH82" s="691">
        <f t="shared" si="20"/>
        <v>2068</v>
      </c>
      <c r="BI82" s="697" t="s">
        <v>4</v>
      </c>
      <c r="BJ82" s="121"/>
      <c r="BK82" s="121"/>
      <c r="BL82" s="121"/>
      <c r="BM82" s="121"/>
      <c r="BN82" s="121"/>
      <c r="BO82" s="121"/>
    </row>
    <row r="83" spans="2:67" ht="12.75">
      <c r="C83" s="2005" t="s">
        <v>284</v>
      </c>
      <c r="D83" s="2053"/>
      <c r="E83" s="2053"/>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67" ht="12.75">
      <c r="C84" s="201"/>
      <c r="D84" s="121" t="s">
        <v>616</v>
      </c>
      <c r="E84" s="121" t="str">
        <f>IF(C7="Railbelt South of Alaska Range", "mmBtu per year", "gallons displaced per year")</f>
        <v>gallons displaced per year</v>
      </c>
      <c r="F84" s="196"/>
      <c r="G84" s="196">
        <f t="shared" ref="G84:BH84" si="21">-$N$13</f>
        <v>0</v>
      </c>
      <c r="H84" s="196">
        <f t="shared" si="21"/>
        <v>0</v>
      </c>
      <c r="I84" s="196">
        <f t="shared" si="21"/>
        <v>0</v>
      </c>
      <c r="J84" s="196">
        <f t="shared" si="21"/>
        <v>0</v>
      </c>
      <c r="K84" s="196">
        <f t="shared" si="21"/>
        <v>0</v>
      </c>
      <c r="L84" s="196">
        <f t="shared" si="21"/>
        <v>0</v>
      </c>
      <c r="M84" s="196">
        <f t="shared" si="21"/>
        <v>0</v>
      </c>
      <c r="N84" s="196">
        <f t="shared" si="21"/>
        <v>0</v>
      </c>
      <c r="O84" s="196">
        <f t="shared" si="21"/>
        <v>0</v>
      </c>
      <c r="P84" s="196">
        <f t="shared" si="21"/>
        <v>0</v>
      </c>
      <c r="Q84" s="196">
        <f t="shared" si="21"/>
        <v>0</v>
      </c>
      <c r="R84" s="196">
        <f t="shared" si="21"/>
        <v>0</v>
      </c>
      <c r="S84" s="196">
        <f t="shared" si="21"/>
        <v>0</v>
      </c>
      <c r="T84" s="196">
        <f t="shared" si="21"/>
        <v>0</v>
      </c>
      <c r="U84" s="196">
        <f t="shared" si="21"/>
        <v>0</v>
      </c>
      <c r="V84" s="196">
        <f t="shared" si="21"/>
        <v>0</v>
      </c>
      <c r="W84" s="196">
        <f t="shared" si="21"/>
        <v>0</v>
      </c>
      <c r="X84" s="196">
        <f t="shared" si="21"/>
        <v>0</v>
      </c>
      <c r="Y84" s="196">
        <f t="shared" si="21"/>
        <v>0</v>
      </c>
      <c r="Z84" s="196">
        <f t="shared" si="21"/>
        <v>0</v>
      </c>
      <c r="AA84" s="196">
        <f t="shared" si="21"/>
        <v>0</v>
      </c>
      <c r="AB84" s="196">
        <f t="shared" si="21"/>
        <v>0</v>
      </c>
      <c r="AC84" s="196">
        <f t="shared" si="21"/>
        <v>0</v>
      </c>
      <c r="AD84" s="196">
        <f t="shared" si="21"/>
        <v>0</v>
      </c>
      <c r="AE84" s="196">
        <f t="shared" si="21"/>
        <v>0</v>
      </c>
      <c r="AF84" s="196">
        <f t="shared" si="21"/>
        <v>0</v>
      </c>
      <c r="AG84" s="196">
        <f t="shared" si="21"/>
        <v>0</v>
      </c>
      <c r="AH84" s="196">
        <f t="shared" si="21"/>
        <v>0</v>
      </c>
      <c r="AI84" s="196">
        <f t="shared" si="21"/>
        <v>0</v>
      </c>
      <c r="AJ84" s="196">
        <f t="shared" si="21"/>
        <v>0</v>
      </c>
      <c r="AK84" s="196">
        <f t="shared" si="21"/>
        <v>0</v>
      </c>
      <c r="AL84" s="196">
        <f t="shared" si="21"/>
        <v>0</v>
      </c>
      <c r="AM84" s="196">
        <f t="shared" si="21"/>
        <v>0</v>
      </c>
      <c r="AN84" s="196">
        <f t="shared" si="21"/>
        <v>0</v>
      </c>
      <c r="AO84" s="196">
        <f t="shared" si="21"/>
        <v>0</v>
      </c>
      <c r="AP84" s="196">
        <f t="shared" si="21"/>
        <v>0</v>
      </c>
      <c r="AQ84" s="196">
        <f t="shared" si="21"/>
        <v>0</v>
      </c>
      <c r="AR84" s="196">
        <f t="shared" si="21"/>
        <v>0</v>
      </c>
      <c r="AS84" s="196">
        <f t="shared" si="21"/>
        <v>0</v>
      </c>
      <c r="AT84" s="196">
        <f t="shared" si="21"/>
        <v>0</v>
      </c>
      <c r="AU84" s="196">
        <f t="shared" si="21"/>
        <v>0</v>
      </c>
      <c r="AV84" s="196">
        <f t="shared" si="21"/>
        <v>0</v>
      </c>
      <c r="AW84" s="196">
        <f t="shared" si="21"/>
        <v>0</v>
      </c>
      <c r="AX84" s="196">
        <f t="shared" si="21"/>
        <v>0</v>
      </c>
      <c r="AY84" s="196">
        <f t="shared" si="21"/>
        <v>0</v>
      </c>
      <c r="AZ84" s="196">
        <f t="shared" si="21"/>
        <v>0</v>
      </c>
      <c r="BA84" s="196">
        <f t="shared" si="21"/>
        <v>0</v>
      </c>
      <c r="BB84" s="196">
        <f t="shared" si="21"/>
        <v>0</v>
      </c>
      <c r="BC84" s="196">
        <f t="shared" si="21"/>
        <v>0</v>
      </c>
      <c r="BD84" s="196">
        <f t="shared" si="21"/>
        <v>0</v>
      </c>
      <c r="BE84" s="196">
        <f t="shared" si="21"/>
        <v>0</v>
      </c>
      <c r="BF84" s="196">
        <f t="shared" si="21"/>
        <v>0</v>
      </c>
      <c r="BG84" s="196">
        <f t="shared" si="21"/>
        <v>0</v>
      </c>
      <c r="BH84" s="196">
        <f t="shared" si="21"/>
        <v>0</v>
      </c>
      <c r="BI84" s="175"/>
      <c r="BJ84" s="121"/>
      <c r="BK84" s="121"/>
      <c r="BL84" s="121"/>
      <c r="BM84" s="121"/>
      <c r="BN84" s="121"/>
      <c r="BO84" s="121"/>
    </row>
    <row r="85" spans="2:67" ht="12.75">
      <c r="C85" s="201" t="s">
        <v>277</v>
      </c>
      <c r="D85" s="121" t="s">
        <v>568</v>
      </c>
      <c r="E85" s="121" t="s">
        <v>264</v>
      </c>
      <c r="F85" s="176">
        <v>0</v>
      </c>
      <c r="G85" s="176">
        <f t="shared" ref="G85:AA85" si="22">$N$27</f>
        <v>0</v>
      </c>
      <c r="H85" s="176">
        <f t="shared" si="22"/>
        <v>0</v>
      </c>
      <c r="I85" s="176">
        <f t="shared" si="22"/>
        <v>0</v>
      </c>
      <c r="J85" s="176">
        <f t="shared" si="22"/>
        <v>0</v>
      </c>
      <c r="K85" s="176">
        <f t="shared" si="22"/>
        <v>0</v>
      </c>
      <c r="L85" s="176">
        <f t="shared" si="22"/>
        <v>0</v>
      </c>
      <c r="M85" s="176">
        <f t="shared" si="22"/>
        <v>0</v>
      </c>
      <c r="N85" s="176">
        <f t="shared" si="22"/>
        <v>0</v>
      </c>
      <c r="O85" s="176">
        <f t="shared" si="22"/>
        <v>0</v>
      </c>
      <c r="P85" s="176">
        <f t="shared" si="22"/>
        <v>0</v>
      </c>
      <c r="Q85" s="176">
        <f t="shared" si="22"/>
        <v>0</v>
      </c>
      <c r="R85" s="176">
        <f t="shared" si="22"/>
        <v>0</v>
      </c>
      <c r="S85" s="176">
        <f t="shared" si="22"/>
        <v>0</v>
      </c>
      <c r="T85" s="176">
        <f t="shared" si="22"/>
        <v>0</v>
      </c>
      <c r="U85" s="176">
        <f t="shared" si="22"/>
        <v>0</v>
      </c>
      <c r="V85" s="176">
        <f t="shared" si="22"/>
        <v>0</v>
      </c>
      <c r="W85" s="176">
        <f t="shared" si="22"/>
        <v>0</v>
      </c>
      <c r="X85" s="176">
        <f t="shared" si="22"/>
        <v>0</v>
      </c>
      <c r="Y85" s="176">
        <f t="shared" si="22"/>
        <v>0</v>
      </c>
      <c r="Z85" s="176">
        <f t="shared" si="22"/>
        <v>0</v>
      </c>
      <c r="AA85" s="176">
        <f t="shared" si="22"/>
        <v>0</v>
      </c>
      <c r="AB85" s="176">
        <v>0</v>
      </c>
      <c r="AC85" s="176">
        <v>0</v>
      </c>
      <c r="AD85" s="176">
        <v>0</v>
      </c>
      <c r="AE85" s="176">
        <v>0</v>
      </c>
      <c r="AF85" s="176">
        <v>0</v>
      </c>
      <c r="AG85" s="176">
        <v>0</v>
      </c>
      <c r="AH85" s="176">
        <v>0</v>
      </c>
      <c r="AI85" s="176">
        <v>0</v>
      </c>
      <c r="AJ85" s="176">
        <v>0</v>
      </c>
      <c r="AK85" s="176">
        <v>0</v>
      </c>
      <c r="AL85" s="176">
        <v>0</v>
      </c>
      <c r="AM85" s="176">
        <v>0</v>
      </c>
      <c r="AN85" s="176">
        <v>0</v>
      </c>
      <c r="AO85" s="176">
        <v>0</v>
      </c>
      <c r="AP85" s="176">
        <v>0</v>
      </c>
      <c r="AQ85" s="176">
        <v>0</v>
      </c>
      <c r="AR85" s="176">
        <v>0</v>
      </c>
      <c r="AS85" s="176">
        <v>0</v>
      </c>
      <c r="AT85" s="176">
        <v>0</v>
      </c>
      <c r="AU85" s="176">
        <v>0</v>
      </c>
      <c r="AV85" s="176">
        <v>0</v>
      </c>
      <c r="AW85" s="176">
        <v>0</v>
      </c>
      <c r="AX85" s="176">
        <v>0</v>
      </c>
      <c r="AY85" s="176">
        <v>0</v>
      </c>
      <c r="AZ85" s="176">
        <v>0</v>
      </c>
      <c r="BA85" s="176">
        <v>0</v>
      </c>
      <c r="BB85" s="176">
        <v>0</v>
      </c>
      <c r="BC85" s="176">
        <v>0</v>
      </c>
      <c r="BD85" s="176">
        <v>0</v>
      </c>
      <c r="BE85" s="176">
        <v>0</v>
      </c>
      <c r="BF85" s="176">
        <v>0</v>
      </c>
      <c r="BG85" s="176">
        <v>0</v>
      </c>
      <c r="BH85" s="176">
        <v>0</v>
      </c>
      <c r="BI85" s="175">
        <f>NPV($D$49,F85:BH85)</f>
        <v>0</v>
      </c>
      <c r="BJ85" s="121"/>
      <c r="BK85" s="121"/>
      <c r="BL85" s="121"/>
      <c r="BM85" s="121"/>
      <c r="BN85" s="121"/>
      <c r="BO85" s="121"/>
    </row>
    <row r="86" spans="2:67" ht="12.75">
      <c r="C86" s="201" t="s">
        <v>277</v>
      </c>
      <c r="D86" s="121" t="s">
        <v>567</v>
      </c>
      <c r="E86" s="121" t="s">
        <v>264</v>
      </c>
      <c r="F86" s="176">
        <v>0</v>
      </c>
      <c r="G86" s="176">
        <f t="shared" ref="G86:AA86" si="23">$N$26</f>
        <v>0</v>
      </c>
      <c r="H86" s="176">
        <f t="shared" si="23"/>
        <v>0</v>
      </c>
      <c r="I86" s="176">
        <f t="shared" si="23"/>
        <v>0</v>
      </c>
      <c r="J86" s="176">
        <f t="shared" si="23"/>
        <v>0</v>
      </c>
      <c r="K86" s="176">
        <f t="shared" si="23"/>
        <v>0</v>
      </c>
      <c r="L86" s="176">
        <f t="shared" si="23"/>
        <v>0</v>
      </c>
      <c r="M86" s="176">
        <f t="shared" si="23"/>
        <v>0</v>
      </c>
      <c r="N86" s="176">
        <f t="shared" si="23"/>
        <v>0</v>
      </c>
      <c r="O86" s="176">
        <f t="shared" si="23"/>
        <v>0</v>
      </c>
      <c r="P86" s="176">
        <f t="shared" si="23"/>
        <v>0</v>
      </c>
      <c r="Q86" s="176">
        <f t="shared" si="23"/>
        <v>0</v>
      </c>
      <c r="R86" s="176">
        <f t="shared" si="23"/>
        <v>0</v>
      </c>
      <c r="S86" s="176">
        <f t="shared" si="23"/>
        <v>0</v>
      </c>
      <c r="T86" s="176">
        <f t="shared" si="23"/>
        <v>0</v>
      </c>
      <c r="U86" s="176">
        <f t="shared" si="23"/>
        <v>0</v>
      </c>
      <c r="V86" s="176">
        <f t="shared" si="23"/>
        <v>0</v>
      </c>
      <c r="W86" s="176">
        <f t="shared" si="23"/>
        <v>0</v>
      </c>
      <c r="X86" s="176">
        <f t="shared" si="23"/>
        <v>0</v>
      </c>
      <c r="Y86" s="176">
        <f t="shared" si="23"/>
        <v>0</v>
      </c>
      <c r="Z86" s="176">
        <f t="shared" si="23"/>
        <v>0</v>
      </c>
      <c r="AA86" s="176">
        <f t="shared" si="23"/>
        <v>0</v>
      </c>
      <c r="AB86" s="176">
        <v>0</v>
      </c>
      <c r="AC86" s="176">
        <v>0</v>
      </c>
      <c r="AD86" s="176">
        <v>0</v>
      </c>
      <c r="AE86" s="176">
        <v>0</v>
      </c>
      <c r="AF86" s="176">
        <v>0</v>
      </c>
      <c r="AG86" s="176">
        <v>0</v>
      </c>
      <c r="AH86" s="176">
        <v>0</v>
      </c>
      <c r="AI86" s="176">
        <v>0</v>
      </c>
      <c r="AJ86" s="176">
        <v>0</v>
      </c>
      <c r="AK86" s="176">
        <v>0</v>
      </c>
      <c r="AL86" s="176">
        <v>0</v>
      </c>
      <c r="AM86" s="176">
        <v>0</v>
      </c>
      <c r="AN86" s="176">
        <v>0</v>
      </c>
      <c r="AO86" s="176">
        <v>0</v>
      </c>
      <c r="AP86" s="176">
        <v>0</v>
      </c>
      <c r="AQ86" s="176">
        <v>0</v>
      </c>
      <c r="AR86" s="176">
        <v>0</v>
      </c>
      <c r="AS86" s="176">
        <v>0</v>
      </c>
      <c r="AT86" s="176">
        <v>0</v>
      </c>
      <c r="AU86" s="176">
        <v>0</v>
      </c>
      <c r="AV86" s="176">
        <v>0</v>
      </c>
      <c r="AW86" s="176">
        <v>0</v>
      </c>
      <c r="AX86" s="176">
        <v>0</v>
      </c>
      <c r="AY86" s="176">
        <v>0</v>
      </c>
      <c r="AZ86" s="176">
        <v>0</v>
      </c>
      <c r="BA86" s="176">
        <v>0</v>
      </c>
      <c r="BB86" s="176">
        <v>0</v>
      </c>
      <c r="BC86" s="176">
        <v>0</v>
      </c>
      <c r="BD86" s="176">
        <v>0</v>
      </c>
      <c r="BE86" s="176">
        <v>0</v>
      </c>
      <c r="BF86" s="176">
        <v>0</v>
      </c>
      <c r="BG86" s="176">
        <v>0</v>
      </c>
      <c r="BH86" s="176">
        <v>0</v>
      </c>
      <c r="BI86" s="175">
        <f>NPV($D$49,F86:BH86)</f>
        <v>0</v>
      </c>
      <c r="BJ86" s="121"/>
      <c r="BK86" s="121"/>
      <c r="BL86" s="121"/>
      <c r="BM86" s="121"/>
      <c r="BN86" s="121"/>
      <c r="BO86" s="121"/>
    </row>
    <row r="87" spans="2:67" ht="12.75">
      <c r="C87" s="201"/>
      <c r="D87" s="121" t="s">
        <v>630</v>
      </c>
      <c r="E87" s="121"/>
      <c r="F87" s="176"/>
      <c r="G87" s="176">
        <f>G84*G92</f>
        <v>0</v>
      </c>
      <c r="H87" s="176">
        <f t="shared" ref="H87:AA87" si="24">H84*H92</f>
        <v>0</v>
      </c>
      <c r="I87" s="176">
        <f t="shared" si="24"/>
        <v>0</v>
      </c>
      <c r="J87" s="176">
        <f t="shared" si="24"/>
        <v>0</v>
      </c>
      <c r="K87" s="176">
        <f t="shared" si="24"/>
        <v>0</v>
      </c>
      <c r="L87" s="176">
        <f t="shared" si="24"/>
        <v>0</v>
      </c>
      <c r="M87" s="176">
        <f t="shared" si="24"/>
        <v>0</v>
      </c>
      <c r="N87" s="176">
        <f t="shared" si="24"/>
        <v>0</v>
      </c>
      <c r="O87" s="176">
        <f t="shared" si="24"/>
        <v>0</v>
      </c>
      <c r="P87" s="176">
        <f t="shared" si="24"/>
        <v>0</v>
      </c>
      <c r="Q87" s="176">
        <f t="shared" si="24"/>
        <v>0</v>
      </c>
      <c r="R87" s="176">
        <f t="shared" si="24"/>
        <v>0</v>
      </c>
      <c r="S87" s="176">
        <f t="shared" si="24"/>
        <v>0</v>
      </c>
      <c r="T87" s="176">
        <f t="shared" si="24"/>
        <v>0</v>
      </c>
      <c r="U87" s="176">
        <f t="shared" si="24"/>
        <v>0</v>
      </c>
      <c r="V87" s="176">
        <f t="shared" si="24"/>
        <v>0</v>
      </c>
      <c r="W87" s="176">
        <f t="shared" si="24"/>
        <v>0</v>
      </c>
      <c r="X87" s="176">
        <f t="shared" si="24"/>
        <v>0</v>
      </c>
      <c r="Y87" s="176">
        <f t="shared" si="24"/>
        <v>0</v>
      </c>
      <c r="Z87" s="176">
        <f t="shared" si="24"/>
        <v>0</v>
      </c>
      <c r="AA87" s="176">
        <f t="shared" si="24"/>
        <v>0</v>
      </c>
      <c r="AB87" s="176"/>
      <c r="AC87" s="176"/>
      <c r="AD87" s="176"/>
      <c r="AE87" s="176"/>
      <c r="AF87" s="176"/>
      <c r="AG87" s="176"/>
      <c r="AH87" s="176"/>
      <c r="AI87" s="176"/>
      <c r="AJ87" s="176"/>
      <c r="AK87" s="176"/>
      <c r="AL87" s="176"/>
      <c r="AM87" s="176"/>
      <c r="AN87" s="176"/>
      <c r="AO87" s="176"/>
      <c r="AP87" s="176"/>
      <c r="AQ87" s="176"/>
      <c r="AR87" s="176"/>
      <c r="AS87" s="176"/>
      <c r="AT87" s="176"/>
      <c r="AU87" s="176"/>
      <c r="AV87" s="176"/>
      <c r="AW87" s="176"/>
      <c r="AX87" s="176"/>
      <c r="AY87" s="176"/>
      <c r="AZ87" s="176"/>
      <c r="BA87" s="176"/>
      <c r="BB87" s="176"/>
      <c r="BC87" s="176"/>
      <c r="BD87" s="176"/>
      <c r="BE87" s="176"/>
      <c r="BF87" s="176"/>
      <c r="BG87" s="176"/>
      <c r="BH87" s="176"/>
      <c r="BI87" s="175"/>
      <c r="BJ87" s="121"/>
      <c r="BK87" s="121"/>
      <c r="BL87" s="121"/>
      <c r="BM87" s="121"/>
      <c r="BN87" s="121"/>
      <c r="BO87" s="121"/>
    </row>
    <row r="88" spans="2:67" s="192" customFormat="1" ht="12.75">
      <c r="B88" s="193"/>
      <c r="C88" s="190"/>
      <c r="D88" s="180" t="s">
        <v>373</v>
      </c>
      <c r="E88" s="180" t="s">
        <v>264</v>
      </c>
      <c r="F88" s="194">
        <f t="shared" ref="F88:BH88" si="25">F85+F86</f>
        <v>0</v>
      </c>
      <c r="G88" s="194">
        <f>G85+G86+G87</f>
        <v>0</v>
      </c>
      <c r="H88" s="194">
        <f t="shared" ref="H88:AA88" si="26">H85+H86+H87</f>
        <v>0</v>
      </c>
      <c r="I88" s="194">
        <f t="shared" si="26"/>
        <v>0</v>
      </c>
      <c r="J88" s="194">
        <f t="shared" si="26"/>
        <v>0</v>
      </c>
      <c r="K88" s="194">
        <f t="shared" si="26"/>
        <v>0</v>
      </c>
      <c r="L88" s="194">
        <f t="shared" si="26"/>
        <v>0</v>
      </c>
      <c r="M88" s="194">
        <f t="shared" si="26"/>
        <v>0</v>
      </c>
      <c r="N88" s="194">
        <f t="shared" si="26"/>
        <v>0</v>
      </c>
      <c r="O88" s="194">
        <f t="shared" si="26"/>
        <v>0</v>
      </c>
      <c r="P88" s="194">
        <f t="shared" si="26"/>
        <v>0</v>
      </c>
      <c r="Q88" s="194">
        <f t="shared" si="26"/>
        <v>0</v>
      </c>
      <c r="R88" s="194">
        <f t="shared" si="26"/>
        <v>0</v>
      </c>
      <c r="S88" s="194">
        <f t="shared" si="26"/>
        <v>0</v>
      </c>
      <c r="T88" s="194">
        <f t="shared" si="26"/>
        <v>0</v>
      </c>
      <c r="U88" s="194">
        <f t="shared" si="26"/>
        <v>0</v>
      </c>
      <c r="V88" s="194">
        <f t="shared" si="26"/>
        <v>0</v>
      </c>
      <c r="W88" s="194">
        <f t="shared" si="26"/>
        <v>0</v>
      </c>
      <c r="X88" s="194">
        <f t="shared" si="26"/>
        <v>0</v>
      </c>
      <c r="Y88" s="194">
        <f t="shared" si="26"/>
        <v>0</v>
      </c>
      <c r="Z88" s="194">
        <f t="shared" si="26"/>
        <v>0</v>
      </c>
      <c r="AA88" s="194">
        <f t="shared" si="26"/>
        <v>0</v>
      </c>
      <c r="AB88" s="194">
        <f t="shared" si="25"/>
        <v>0</v>
      </c>
      <c r="AC88" s="194">
        <f t="shared" si="25"/>
        <v>0</v>
      </c>
      <c r="AD88" s="194">
        <f t="shared" si="25"/>
        <v>0</v>
      </c>
      <c r="AE88" s="194">
        <f t="shared" si="25"/>
        <v>0</v>
      </c>
      <c r="AF88" s="194">
        <f t="shared" si="25"/>
        <v>0</v>
      </c>
      <c r="AG88" s="194">
        <f t="shared" si="25"/>
        <v>0</v>
      </c>
      <c r="AH88" s="194">
        <f t="shared" si="25"/>
        <v>0</v>
      </c>
      <c r="AI88" s="194">
        <f t="shared" si="25"/>
        <v>0</v>
      </c>
      <c r="AJ88" s="194">
        <f t="shared" si="25"/>
        <v>0</v>
      </c>
      <c r="AK88" s="194">
        <f t="shared" si="25"/>
        <v>0</v>
      </c>
      <c r="AL88" s="194">
        <f t="shared" si="25"/>
        <v>0</v>
      </c>
      <c r="AM88" s="194">
        <f t="shared" si="25"/>
        <v>0</v>
      </c>
      <c r="AN88" s="194">
        <f t="shared" si="25"/>
        <v>0</v>
      </c>
      <c r="AO88" s="194">
        <f t="shared" si="25"/>
        <v>0</v>
      </c>
      <c r="AP88" s="194">
        <f t="shared" si="25"/>
        <v>0</v>
      </c>
      <c r="AQ88" s="194">
        <f t="shared" si="25"/>
        <v>0</v>
      </c>
      <c r="AR88" s="194">
        <f t="shared" si="25"/>
        <v>0</v>
      </c>
      <c r="AS88" s="194">
        <f t="shared" si="25"/>
        <v>0</v>
      </c>
      <c r="AT88" s="194">
        <f t="shared" si="25"/>
        <v>0</v>
      </c>
      <c r="AU88" s="194">
        <f t="shared" si="25"/>
        <v>0</v>
      </c>
      <c r="AV88" s="194">
        <f t="shared" si="25"/>
        <v>0</v>
      </c>
      <c r="AW88" s="194">
        <f t="shared" si="25"/>
        <v>0</v>
      </c>
      <c r="AX88" s="194">
        <f t="shared" si="25"/>
        <v>0</v>
      </c>
      <c r="AY88" s="194">
        <f t="shared" si="25"/>
        <v>0</v>
      </c>
      <c r="AZ88" s="194">
        <f t="shared" si="25"/>
        <v>0</v>
      </c>
      <c r="BA88" s="194">
        <f t="shared" si="25"/>
        <v>0</v>
      </c>
      <c r="BB88" s="194">
        <f t="shared" si="25"/>
        <v>0</v>
      </c>
      <c r="BC88" s="194">
        <f t="shared" si="25"/>
        <v>0</v>
      </c>
      <c r="BD88" s="194">
        <f t="shared" si="25"/>
        <v>0</v>
      </c>
      <c r="BE88" s="194">
        <f t="shared" si="25"/>
        <v>0</v>
      </c>
      <c r="BF88" s="194">
        <f t="shared" si="25"/>
        <v>0</v>
      </c>
      <c r="BG88" s="194">
        <f t="shared" si="25"/>
        <v>0</v>
      </c>
      <c r="BH88" s="194">
        <f t="shared" si="25"/>
        <v>0</v>
      </c>
      <c r="BI88" s="175">
        <f>NPV($D$49,F88:BH88)</f>
        <v>0</v>
      </c>
      <c r="BJ88" s="180"/>
      <c r="BK88" s="180"/>
      <c r="BL88" s="180"/>
      <c r="BM88" s="180"/>
      <c r="BN88" s="180"/>
      <c r="BO88" s="180"/>
    </row>
    <row r="89" spans="2:67" ht="12.75">
      <c r="C89" s="190"/>
      <c r="D89" s="121"/>
      <c r="E89" s="121"/>
      <c r="F89" s="195"/>
      <c r="G89" s="195"/>
      <c r="H89" s="195"/>
      <c r="I89" s="195"/>
      <c r="J89" s="195"/>
      <c r="K89" s="195"/>
      <c r="L89" s="195"/>
      <c r="M89" s="195"/>
      <c r="N89" s="195"/>
      <c r="O89" s="195"/>
      <c r="P89" s="195"/>
      <c r="Q89" s="195"/>
      <c r="R89" s="195"/>
      <c r="S89" s="195"/>
      <c r="T89" s="195"/>
      <c r="U89" s="195"/>
      <c r="V89" s="195"/>
      <c r="W89" s="195"/>
      <c r="X89" s="195"/>
      <c r="Y89" s="195"/>
      <c r="Z89" s="195"/>
      <c r="AA89" s="195"/>
      <c r="AB89" s="195"/>
      <c r="AC89" s="195"/>
      <c r="AD89" s="195"/>
      <c r="AE89" s="195"/>
      <c r="AF89" s="195"/>
      <c r="AG89" s="195"/>
      <c r="AH89" s="195"/>
      <c r="AI89" s="195"/>
      <c r="AJ89" s="195"/>
      <c r="AK89" s="195"/>
      <c r="AL89" s="195"/>
      <c r="AM89" s="195"/>
      <c r="AN89" s="195"/>
      <c r="AO89" s="195"/>
      <c r="AP89" s="195"/>
      <c r="AQ89" s="195"/>
      <c r="AR89" s="195"/>
      <c r="AS89" s="195"/>
      <c r="AT89" s="195"/>
      <c r="AU89" s="195"/>
      <c r="AV89" s="195"/>
      <c r="AW89" s="195"/>
      <c r="AX89" s="195"/>
      <c r="AY89" s="195"/>
      <c r="AZ89" s="195"/>
      <c r="BA89" s="195"/>
      <c r="BB89" s="195"/>
      <c r="BC89" s="195"/>
      <c r="BD89" s="195"/>
      <c r="BE89" s="195"/>
      <c r="BF89" s="195"/>
      <c r="BG89" s="195"/>
      <c r="BH89" s="195"/>
      <c r="BI89" s="175"/>
      <c r="BJ89" s="121"/>
      <c r="BK89" s="121"/>
      <c r="BL89" s="121"/>
      <c r="BM89" s="121"/>
      <c r="BN89" s="121"/>
      <c r="BO89" s="121"/>
    </row>
    <row r="90" spans="2:67" ht="12.75">
      <c r="C90" s="2005" t="s">
        <v>285</v>
      </c>
      <c r="D90" s="2053"/>
      <c r="E90" s="2053"/>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200"/>
      <c r="BJ90" s="121"/>
      <c r="BK90" s="121"/>
      <c r="BL90" s="121"/>
      <c r="BM90" s="121"/>
      <c r="BN90" s="121"/>
      <c r="BO90" s="121"/>
    </row>
    <row r="91" spans="2:67" ht="12.75">
      <c r="C91" s="201"/>
      <c r="D91" s="121" t="s">
        <v>617</v>
      </c>
      <c r="E91" s="121" t="str">
        <f>IF(C7="railbelt south of Alaska Range","mmBtu per year","gallons per year")</f>
        <v>gallons per year</v>
      </c>
      <c r="F91" s="196"/>
      <c r="G91" s="196"/>
      <c r="H91" s="196"/>
      <c r="I91" s="196"/>
      <c r="J91" s="196"/>
      <c r="K91" s="196"/>
      <c r="L91" s="196"/>
      <c r="M91" s="196"/>
      <c r="N91" s="196"/>
      <c r="O91" s="196"/>
      <c r="P91" s="196"/>
      <c r="Q91" s="196"/>
      <c r="R91" s="196"/>
      <c r="S91" s="196"/>
      <c r="T91" s="196"/>
      <c r="U91" s="196"/>
      <c r="V91" s="196"/>
      <c r="W91" s="196"/>
      <c r="X91" s="196"/>
      <c r="Y91" s="196"/>
      <c r="Z91" s="196"/>
      <c r="AA91" s="196"/>
      <c r="AB91" s="196"/>
      <c r="AC91" s="196"/>
      <c r="AD91" s="196"/>
      <c r="AE91" s="196"/>
      <c r="AF91" s="196"/>
      <c r="AG91" s="196"/>
      <c r="AH91" s="196"/>
      <c r="AI91" s="196"/>
      <c r="AJ91" s="196"/>
      <c r="AK91" s="196"/>
      <c r="AL91" s="196"/>
      <c r="AM91" s="196"/>
      <c r="AN91" s="196"/>
      <c r="AO91" s="196"/>
      <c r="AP91" s="196"/>
      <c r="AQ91" s="196"/>
      <c r="AR91" s="196"/>
      <c r="AS91" s="196"/>
      <c r="AT91" s="196"/>
      <c r="AU91" s="196"/>
      <c r="AV91" s="196"/>
      <c r="AW91" s="196"/>
      <c r="AX91" s="196"/>
      <c r="AY91" s="196"/>
      <c r="AZ91" s="196"/>
      <c r="BA91" s="196"/>
      <c r="BB91" s="196"/>
      <c r="BC91" s="196"/>
      <c r="BD91" s="196"/>
      <c r="BE91" s="196"/>
      <c r="BF91" s="196"/>
      <c r="BG91" s="196"/>
      <c r="BH91" s="196"/>
      <c r="BI91" s="175"/>
      <c r="BJ91" s="121"/>
      <c r="BK91" s="121"/>
      <c r="BL91" s="121"/>
      <c r="BM91" s="121"/>
      <c r="BN91" s="121"/>
      <c r="BO91" s="121"/>
    </row>
    <row r="92" spans="2:67" ht="12.75">
      <c r="C92" s="201"/>
      <c r="D92" s="121" t="s">
        <v>270</v>
      </c>
      <c r="E92" s="121" t="str">
        <f>IF(C7="railbelt south of alaska range","$ per mmBtu","$ per gallon")</f>
        <v>$ per gallon</v>
      </c>
      <c r="F92" s="187"/>
      <c r="G92" s="187">
        <f>G74+$D$47</f>
        <v>4.2059794220983502</v>
      </c>
      <c r="H92" s="187">
        <f t="shared" ref="H92:BH92" si="27">H74+$D$47</f>
        <v>4.6732754001702883</v>
      </c>
      <c r="I92" s="187">
        <f t="shared" si="27"/>
        <v>4.8376162909716216</v>
      </c>
      <c r="J92" s="187">
        <f t="shared" si="27"/>
        <v>4.8496361886136912</v>
      </c>
      <c r="K92" s="187">
        <f t="shared" si="27"/>
        <v>4.9056275244664125</v>
      </c>
      <c r="L92" s="187">
        <f t="shared" si="27"/>
        <v>4.9619109251504847</v>
      </c>
      <c r="M92" s="187">
        <f t="shared" si="27"/>
        <v>5.0381773568460284</v>
      </c>
      <c r="N92" s="187">
        <f t="shared" si="27"/>
        <v>5.1199306055642086</v>
      </c>
      <c r="O92" s="187">
        <f t="shared" si="27"/>
        <v>5.2046041917591079</v>
      </c>
      <c r="P92" s="187">
        <f t="shared" si="27"/>
        <v>5.2910732209604339</v>
      </c>
      <c r="Q92" s="187">
        <f t="shared" si="27"/>
        <v>5.377947971766412</v>
      </c>
      <c r="R92" s="187">
        <f t="shared" si="27"/>
        <v>5.4704967063761769</v>
      </c>
      <c r="S92" s="187">
        <f t="shared" si="27"/>
        <v>5.5653090792390989</v>
      </c>
      <c r="T92" s="187">
        <f t="shared" si="27"/>
        <v>5.6624414849609002</v>
      </c>
      <c r="U92" s="187">
        <f t="shared" si="27"/>
        <v>5.7619514121882238</v>
      </c>
      <c r="V92" s="187">
        <f t="shared" si="27"/>
        <v>5.863897589004015</v>
      </c>
      <c r="W92" s="187">
        <f t="shared" si="27"/>
        <v>5.9683408481979816</v>
      </c>
      <c r="X92" s="187">
        <f t="shared" si="27"/>
        <v>6.075342926874276</v>
      </c>
      <c r="Y92" s="187">
        <f t="shared" si="27"/>
        <v>6.184818158118297</v>
      </c>
      <c r="Z92" s="187">
        <f t="shared" si="27"/>
        <v>6.292419236935225</v>
      </c>
      <c r="AA92" s="187">
        <f t="shared" si="27"/>
        <v>6.4056246146124609</v>
      </c>
      <c r="AB92" s="187">
        <f t="shared" si="27"/>
        <v>6.5219530773050831</v>
      </c>
      <c r="AC92" s="187">
        <f t="shared" si="27"/>
        <v>6.6360405950884838</v>
      </c>
      <c r="AD92" s="187">
        <f t="shared" si="27"/>
        <v>6.7587026423442191</v>
      </c>
      <c r="AE92" s="187">
        <f t="shared" si="27"/>
        <v>6.8910386217753219</v>
      </c>
      <c r="AF92" s="187">
        <f t="shared" si="27"/>
        <v>7.014392524247052</v>
      </c>
      <c r="AG92" s="187">
        <f t="shared" si="27"/>
        <v>7.014392524247052</v>
      </c>
      <c r="AH92" s="187">
        <f t="shared" si="27"/>
        <v>7.014392524247052</v>
      </c>
      <c r="AI92" s="187">
        <f t="shared" si="27"/>
        <v>7.014392524247052</v>
      </c>
      <c r="AJ92" s="187">
        <f t="shared" si="27"/>
        <v>7.014392524247052</v>
      </c>
      <c r="AK92" s="187">
        <f t="shared" si="27"/>
        <v>7.014392524247052</v>
      </c>
      <c r="AL92" s="187">
        <f t="shared" si="27"/>
        <v>7.014392524247052</v>
      </c>
      <c r="AM92" s="187">
        <f t="shared" si="27"/>
        <v>7.014392524247052</v>
      </c>
      <c r="AN92" s="187">
        <f t="shared" si="27"/>
        <v>7.014392524247052</v>
      </c>
      <c r="AO92" s="187">
        <f t="shared" si="27"/>
        <v>7.014392524247052</v>
      </c>
      <c r="AP92" s="187">
        <f t="shared" si="27"/>
        <v>7.014392524247052</v>
      </c>
      <c r="AQ92" s="187">
        <f t="shared" si="27"/>
        <v>7.014392524247052</v>
      </c>
      <c r="AR92" s="187">
        <f t="shared" si="27"/>
        <v>7.014392524247052</v>
      </c>
      <c r="AS92" s="187">
        <f t="shared" si="27"/>
        <v>7.014392524247052</v>
      </c>
      <c r="AT92" s="187">
        <f t="shared" si="27"/>
        <v>7.014392524247052</v>
      </c>
      <c r="AU92" s="187">
        <f t="shared" si="27"/>
        <v>7.014392524247052</v>
      </c>
      <c r="AV92" s="187">
        <f t="shared" si="27"/>
        <v>7.014392524247052</v>
      </c>
      <c r="AW92" s="187">
        <f t="shared" si="27"/>
        <v>7.014392524247052</v>
      </c>
      <c r="AX92" s="187">
        <f t="shared" si="27"/>
        <v>7.014392524247052</v>
      </c>
      <c r="AY92" s="187">
        <f t="shared" si="27"/>
        <v>7.014392524247052</v>
      </c>
      <c r="AZ92" s="187">
        <f t="shared" si="27"/>
        <v>7.014392524247052</v>
      </c>
      <c r="BA92" s="187">
        <f t="shared" si="27"/>
        <v>7.014392524247052</v>
      </c>
      <c r="BB92" s="187">
        <f t="shared" si="27"/>
        <v>7.014392524247052</v>
      </c>
      <c r="BC92" s="187">
        <f t="shared" si="27"/>
        <v>7.014392524247052</v>
      </c>
      <c r="BD92" s="187">
        <f t="shared" si="27"/>
        <v>7.014392524247052</v>
      </c>
      <c r="BE92" s="187">
        <f t="shared" si="27"/>
        <v>7.014392524247052</v>
      </c>
      <c r="BF92" s="187">
        <f t="shared" si="27"/>
        <v>7.014392524247052</v>
      </c>
      <c r="BG92" s="187">
        <f t="shared" si="27"/>
        <v>7.014392524247052</v>
      </c>
      <c r="BH92" s="187">
        <f t="shared" si="27"/>
        <v>7.014392524247052</v>
      </c>
      <c r="BI92" s="175"/>
      <c r="BJ92" s="121"/>
      <c r="BK92" s="121"/>
      <c r="BL92" s="121"/>
      <c r="BM92" s="121"/>
      <c r="BN92" s="121"/>
      <c r="BO92" s="121"/>
    </row>
    <row r="93" spans="2:67" ht="12.75">
      <c r="C93" s="201" t="s">
        <v>277</v>
      </c>
      <c r="D93" s="121" t="s">
        <v>382</v>
      </c>
      <c r="E93" s="121" t="s">
        <v>264</v>
      </c>
      <c r="F93" s="176">
        <v>0</v>
      </c>
      <c r="G93" s="176"/>
      <c r="H93" s="176"/>
      <c r="I93" s="176"/>
      <c r="J93" s="176"/>
      <c r="K93" s="176"/>
      <c r="L93" s="176"/>
      <c r="M93" s="176"/>
      <c r="N93" s="176"/>
      <c r="O93" s="176"/>
      <c r="P93" s="176"/>
      <c r="Q93" s="176"/>
      <c r="R93" s="176"/>
      <c r="S93" s="176"/>
      <c r="T93" s="176"/>
      <c r="U93" s="176"/>
      <c r="V93" s="176"/>
      <c r="W93" s="176"/>
      <c r="X93" s="176"/>
      <c r="Y93" s="176"/>
      <c r="Z93" s="176"/>
      <c r="AA93" s="176"/>
      <c r="AB93" s="176">
        <v>0</v>
      </c>
      <c r="AC93" s="176">
        <v>0</v>
      </c>
      <c r="AD93" s="176">
        <v>0</v>
      </c>
      <c r="AE93" s="176">
        <v>0</v>
      </c>
      <c r="AF93" s="176">
        <v>0</v>
      </c>
      <c r="AG93" s="176">
        <v>0</v>
      </c>
      <c r="AH93" s="176">
        <v>0</v>
      </c>
      <c r="AI93" s="176">
        <v>0</v>
      </c>
      <c r="AJ93" s="176">
        <v>0</v>
      </c>
      <c r="AK93" s="176">
        <v>0</v>
      </c>
      <c r="AL93" s="176">
        <v>0</v>
      </c>
      <c r="AM93" s="176">
        <v>0</v>
      </c>
      <c r="AN93" s="176">
        <v>0</v>
      </c>
      <c r="AO93" s="176">
        <v>0</v>
      </c>
      <c r="AP93" s="176">
        <v>0</v>
      </c>
      <c r="AQ93" s="176">
        <v>0</v>
      </c>
      <c r="AR93" s="176">
        <v>0</v>
      </c>
      <c r="AS93" s="176">
        <v>0</v>
      </c>
      <c r="AT93" s="176">
        <v>0</v>
      </c>
      <c r="AU93" s="176">
        <v>0</v>
      </c>
      <c r="AV93" s="176">
        <v>0</v>
      </c>
      <c r="AW93" s="176">
        <v>0</v>
      </c>
      <c r="AX93" s="176">
        <v>0</v>
      </c>
      <c r="AY93" s="176">
        <v>0</v>
      </c>
      <c r="AZ93" s="176">
        <v>0</v>
      </c>
      <c r="BA93" s="176">
        <v>0</v>
      </c>
      <c r="BB93" s="176">
        <v>0</v>
      </c>
      <c r="BC93" s="176">
        <v>0</v>
      </c>
      <c r="BD93" s="176">
        <v>0</v>
      </c>
      <c r="BE93" s="176">
        <v>0</v>
      </c>
      <c r="BF93" s="176">
        <v>0</v>
      </c>
      <c r="BG93" s="176">
        <v>0</v>
      </c>
      <c r="BH93" s="176">
        <v>0</v>
      </c>
      <c r="BI93" s="175">
        <f>NPV($D$49,F93:BH93)</f>
        <v>0</v>
      </c>
      <c r="BJ93" s="121"/>
      <c r="BK93" s="121"/>
      <c r="BL93" s="121"/>
      <c r="BM93" s="121"/>
      <c r="BN93" s="121"/>
      <c r="BO93" s="121"/>
    </row>
    <row r="94" spans="2:67" ht="12.75">
      <c r="C94" s="201" t="s">
        <v>277</v>
      </c>
      <c r="D94" s="121" t="s">
        <v>316</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190"/>
      <c r="D95" s="121" t="s">
        <v>270</v>
      </c>
      <c r="E95" s="121" t="s">
        <v>264</v>
      </c>
      <c r="F95" s="191">
        <f t="shared" ref="F95:BH95" si="28">F91*F92</f>
        <v>0</v>
      </c>
      <c r="G95" s="191">
        <f t="shared" si="28"/>
        <v>0</v>
      </c>
      <c r="H95" s="191">
        <f t="shared" si="28"/>
        <v>0</v>
      </c>
      <c r="I95" s="191">
        <f t="shared" si="28"/>
        <v>0</v>
      </c>
      <c r="J95" s="191">
        <f t="shared" si="28"/>
        <v>0</v>
      </c>
      <c r="K95" s="191">
        <f t="shared" si="28"/>
        <v>0</v>
      </c>
      <c r="L95" s="191">
        <f t="shared" si="28"/>
        <v>0</v>
      </c>
      <c r="M95" s="191">
        <f t="shared" si="28"/>
        <v>0</v>
      </c>
      <c r="N95" s="191">
        <f t="shared" si="28"/>
        <v>0</v>
      </c>
      <c r="O95" s="191">
        <f t="shared" si="28"/>
        <v>0</v>
      </c>
      <c r="P95" s="191">
        <f t="shared" si="28"/>
        <v>0</v>
      </c>
      <c r="Q95" s="191">
        <f t="shared" si="28"/>
        <v>0</v>
      </c>
      <c r="R95" s="191">
        <f t="shared" si="28"/>
        <v>0</v>
      </c>
      <c r="S95" s="191">
        <f t="shared" si="28"/>
        <v>0</v>
      </c>
      <c r="T95" s="191">
        <f t="shared" si="28"/>
        <v>0</v>
      </c>
      <c r="U95" s="191">
        <f t="shared" si="28"/>
        <v>0</v>
      </c>
      <c r="V95" s="191">
        <f t="shared" si="28"/>
        <v>0</v>
      </c>
      <c r="W95" s="191">
        <f t="shared" si="28"/>
        <v>0</v>
      </c>
      <c r="X95" s="191">
        <f t="shared" si="28"/>
        <v>0</v>
      </c>
      <c r="Y95" s="191">
        <f t="shared" si="28"/>
        <v>0</v>
      </c>
      <c r="Z95" s="191">
        <f t="shared" si="28"/>
        <v>0</v>
      </c>
      <c r="AA95" s="191">
        <f t="shared" si="28"/>
        <v>0</v>
      </c>
      <c r="AB95" s="191">
        <f t="shared" si="28"/>
        <v>0</v>
      </c>
      <c r="AC95" s="191">
        <f t="shared" si="28"/>
        <v>0</v>
      </c>
      <c r="AD95" s="191">
        <f t="shared" si="28"/>
        <v>0</v>
      </c>
      <c r="AE95" s="191">
        <f t="shared" si="28"/>
        <v>0</v>
      </c>
      <c r="AF95" s="191">
        <f t="shared" si="28"/>
        <v>0</v>
      </c>
      <c r="AG95" s="191">
        <f t="shared" si="28"/>
        <v>0</v>
      </c>
      <c r="AH95" s="191">
        <f t="shared" si="28"/>
        <v>0</v>
      </c>
      <c r="AI95" s="191">
        <f t="shared" si="28"/>
        <v>0</v>
      </c>
      <c r="AJ95" s="191">
        <f t="shared" si="28"/>
        <v>0</v>
      </c>
      <c r="AK95" s="191">
        <f t="shared" si="28"/>
        <v>0</v>
      </c>
      <c r="AL95" s="191">
        <f t="shared" si="28"/>
        <v>0</v>
      </c>
      <c r="AM95" s="191">
        <f t="shared" si="28"/>
        <v>0</v>
      </c>
      <c r="AN95" s="191">
        <f t="shared" si="28"/>
        <v>0</v>
      </c>
      <c r="AO95" s="191">
        <f t="shared" si="28"/>
        <v>0</v>
      </c>
      <c r="AP95" s="191">
        <f t="shared" si="28"/>
        <v>0</v>
      </c>
      <c r="AQ95" s="191">
        <f t="shared" si="28"/>
        <v>0</v>
      </c>
      <c r="AR95" s="191">
        <f t="shared" si="28"/>
        <v>0</v>
      </c>
      <c r="AS95" s="191">
        <f t="shared" si="28"/>
        <v>0</v>
      </c>
      <c r="AT95" s="191">
        <f t="shared" si="28"/>
        <v>0</v>
      </c>
      <c r="AU95" s="191">
        <f t="shared" si="28"/>
        <v>0</v>
      </c>
      <c r="AV95" s="191">
        <f t="shared" si="28"/>
        <v>0</v>
      </c>
      <c r="AW95" s="191">
        <f t="shared" si="28"/>
        <v>0</v>
      </c>
      <c r="AX95" s="191">
        <f t="shared" si="28"/>
        <v>0</v>
      </c>
      <c r="AY95" s="191">
        <f t="shared" si="28"/>
        <v>0</v>
      </c>
      <c r="AZ95" s="191">
        <f t="shared" si="28"/>
        <v>0</v>
      </c>
      <c r="BA95" s="191">
        <f t="shared" si="28"/>
        <v>0</v>
      </c>
      <c r="BB95" s="191">
        <f t="shared" si="28"/>
        <v>0</v>
      </c>
      <c r="BC95" s="191">
        <f t="shared" si="28"/>
        <v>0</v>
      </c>
      <c r="BD95" s="191">
        <f t="shared" si="28"/>
        <v>0</v>
      </c>
      <c r="BE95" s="191">
        <f t="shared" si="28"/>
        <v>0</v>
      </c>
      <c r="BF95" s="191">
        <f t="shared" si="28"/>
        <v>0</v>
      </c>
      <c r="BG95" s="191">
        <f t="shared" si="28"/>
        <v>0</v>
      </c>
      <c r="BH95" s="191">
        <f t="shared" si="28"/>
        <v>0</v>
      </c>
      <c r="BI95" s="175">
        <f>NPV($D$49,F95:BH95)</f>
        <v>0</v>
      </c>
      <c r="BJ95" s="121"/>
      <c r="BK95" s="121"/>
      <c r="BL95" s="121"/>
      <c r="BM95" s="121"/>
      <c r="BN95" s="121"/>
      <c r="BO95" s="121"/>
    </row>
    <row r="96" spans="2:67" s="192" customFormat="1" ht="12.75">
      <c r="B96" s="193"/>
      <c r="C96" s="202"/>
      <c r="D96" s="184" t="s">
        <v>374</v>
      </c>
      <c r="E96" s="184" t="s">
        <v>264</v>
      </c>
      <c r="F96" s="197">
        <f t="shared" ref="F96:BH96" si="29">F95+F94+F93</f>
        <v>0</v>
      </c>
      <c r="G96" s="197">
        <f t="shared" si="29"/>
        <v>0</v>
      </c>
      <c r="H96" s="197">
        <f t="shared" si="29"/>
        <v>0</v>
      </c>
      <c r="I96" s="197">
        <f t="shared" si="29"/>
        <v>0</v>
      </c>
      <c r="J96" s="197">
        <f t="shared" si="29"/>
        <v>0</v>
      </c>
      <c r="K96" s="197">
        <f t="shared" si="29"/>
        <v>0</v>
      </c>
      <c r="L96" s="197">
        <f t="shared" si="29"/>
        <v>0</v>
      </c>
      <c r="M96" s="197">
        <f t="shared" si="29"/>
        <v>0</v>
      </c>
      <c r="N96" s="197">
        <f t="shared" si="29"/>
        <v>0</v>
      </c>
      <c r="O96" s="197">
        <f t="shared" si="29"/>
        <v>0</v>
      </c>
      <c r="P96" s="197">
        <f t="shared" si="29"/>
        <v>0</v>
      </c>
      <c r="Q96" s="197">
        <f t="shared" si="29"/>
        <v>0</v>
      </c>
      <c r="R96" s="197">
        <f t="shared" si="29"/>
        <v>0</v>
      </c>
      <c r="S96" s="194">
        <f t="shared" si="29"/>
        <v>0</v>
      </c>
      <c r="T96" s="194">
        <f t="shared" si="29"/>
        <v>0</v>
      </c>
      <c r="U96" s="194">
        <f t="shared" si="29"/>
        <v>0</v>
      </c>
      <c r="V96" s="194">
        <f t="shared" si="29"/>
        <v>0</v>
      </c>
      <c r="W96" s="194">
        <f t="shared" si="29"/>
        <v>0</v>
      </c>
      <c r="X96" s="194">
        <f t="shared" si="29"/>
        <v>0</v>
      </c>
      <c r="Y96" s="194">
        <f t="shared" si="29"/>
        <v>0</v>
      </c>
      <c r="Z96" s="194">
        <f t="shared" si="29"/>
        <v>0</v>
      </c>
      <c r="AA96" s="194">
        <f t="shared" si="29"/>
        <v>0</v>
      </c>
      <c r="AB96" s="194">
        <f t="shared" si="29"/>
        <v>0</v>
      </c>
      <c r="AC96" s="194">
        <f t="shared" si="29"/>
        <v>0</v>
      </c>
      <c r="AD96" s="194">
        <f t="shared" si="29"/>
        <v>0</v>
      </c>
      <c r="AE96" s="194">
        <f t="shared" si="29"/>
        <v>0</v>
      </c>
      <c r="AF96" s="194">
        <f t="shared" si="29"/>
        <v>0</v>
      </c>
      <c r="AG96" s="194">
        <f t="shared" si="29"/>
        <v>0</v>
      </c>
      <c r="AH96" s="194">
        <f t="shared" si="29"/>
        <v>0</v>
      </c>
      <c r="AI96" s="194">
        <f t="shared" si="29"/>
        <v>0</v>
      </c>
      <c r="AJ96" s="194">
        <f t="shared" si="29"/>
        <v>0</v>
      </c>
      <c r="AK96" s="194">
        <f t="shared" si="29"/>
        <v>0</v>
      </c>
      <c r="AL96" s="194">
        <f t="shared" si="29"/>
        <v>0</v>
      </c>
      <c r="AM96" s="194">
        <f t="shared" si="29"/>
        <v>0</v>
      </c>
      <c r="AN96" s="194">
        <f t="shared" si="29"/>
        <v>0</v>
      </c>
      <c r="AO96" s="194">
        <f t="shared" si="29"/>
        <v>0</v>
      </c>
      <c r="AP96" s="194">
        <f t="shared" si="29"/>
        <v>0</v>
      </c>
      <c r="AQ96" s="194">
        <f t="shared" si="29"/>
        <v>0</v>
      </c>
      <c r="AR96" s="194">
        <f t="shared" si="29"/>
        <v>0</v>
      </c>
      <c r="AS96" s="194">
        <f t="shared" si="29"/>
        <v>0</v>
      </c>
      <c r="AT96" s="194">
        <f t="shared" si="29"/>
        <v>0</v>
      </c>
      <c r="AU96" s="194">
        <f t="shared" si="29"/>
        <v>0</v>
      </c>
      <c r="AV96" s="194">
        <f t="shared" si="29"/>
        <v>0</v>
      </c>
      <c r="AW96" s="194">
        <f t="shared" si="29"/>
        <v>0</v>
      </c>
      <c r="AX96" s="194">
        <f t="shared" si="29"/>
        <v>0</v>
      </c>
      <c r="AY96" s="194">
        <f t="shared" si="29"/>
        <v>0</v>
      </c>
      <c r="AZ96" s="194">
        <f t="shared" si="29"/>
        <v>0</v>
      </c>
      <c r="BA96" s="194">
        <f t="shared" si="29"/>
        <v>0</v>
      </c>
      <c r="BB96" s="194">
        <f t="shared" si="29"/>
        <v>0</v>
      </c>
      <c r="BC96" s="194">
        <f t="shared" si="29"/>
        <v>0</v>
      </c>
      <c r="BD96" s="194">
        <f t="shared" si="29"/>
        <v>0</v>
      </c>
      <c r="BE96" s="194">
        <f t="shared" si="29"/>
        <v>0</v>
      </c>
      <c r="BF96" s="194">
        <f t="shared" si="29"/>
        <v>0</v>
      </c>
      <c r="BG96" s="194">
        <f t="shared" si="29"/>
        <v>0</v>
      </c>
      <c r="BH96" s="194">
        <f t="shared" si="29"/>
        <v>0</v>
      </c>
      <c r="BI96" s="175">
        <f>NPV($D$49,F96:BH96)</f>
        <v>0</v>
      </c>
      <c r="BJ96" s="180"/>
      <c r="BK96" s="180"/>
      <c r="BL96" s="180"/>
      <c r="BM96" s="180"/>
      <c r="BN96" s="180"/>
      <c r="BO96" s="180"/>
    </row>
    <row r="97" spans="3:70" ht="12.75">
      <c r="C97" s="186"/>
      <c r="D97" s="121"/>
      <c r="E97" s="121"/>
      <c r="F97" s="195"/>
      <c r="G97" s="195"/>
      <c r="H97" s="195"/>
      <c r="I97" s="195"/>
      <c r="J97" s="195"/>
      <c r="K97" s="195"/>
      <c r="L97" s="195"/>
      <c r="M97" s="195"/>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75"/>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4.25">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2.75">
      <c r="C114" s="186"/>
      <c r="D114" s="136"/>
      <c r="E114" s="136"/>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c r="F119" s="136"/>
      <c r="K119" s="136"/>
      <c r="L119" s="136"/>
      <c r="M119" s="136"/>
      <c r="N119" s="136"/>
      <c r="O119" s="136"/>
      <c r="P119" s="136"/>
      <c r="Q119" s="136"/>
      <c r="R119" s="136"/>
      <c r="BP119" s="121"/>
      <c r="BQ119" s="121"/>
      <c r="BR119" s="121"/>
    </row>
  </sheetData>
  <mergeCells count="12">
    <mergeCell ref="A1:Q1"/>
    <mergeCell ref="C90:E90"/>
    <mergeCell ref="C83:E83"/>
    <mergeCell ref="C66:E66"/>
    <mergeCell ref="C72:E72"/>
    <mergeCell ref="H34:K34"/>
    <mergeCell ref="H27:I27"/>
    <mergeCell ref="B2:E2"/>
    <mergeCell ref="H2:R2"/>
    <mergeCell ref="M4:N4"/>
    <mergeCell ref="M15:N15"/>
    <mergeCell ref="H5:O5"/>
  </mergeCells>
  <dataValidations count="6">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I19:I20">
      <formula1>$A$42:$A$43</formula1>
    </dataValidation>
    <dataValidation type="list" allowBlank="1" showInputMessage="1" showErrorMessage="1" sqref="D6">
      <formula1>#REF!</formula1>
    </dataValidation>
    <dataValidation type="list" allowBlank="1" showInputMessage="1" showErrorMessage="1" sqref="F4:F5">
      <formula1>"High, Medium, Low"</formula1>
    </dataValidation>
    <dataValidation type="list" allowBlank="1" showInputMessage="1" showErrorMessage="1" sqref="I24">
      <formula1>"Yes,No"</formula1>
    </dataValidation>
  </dataValidations>
  <pageMargins left="0.7" right="0.7" top="0.75" bottom="0.75" header="0.3" footer="0.3"/>
  <pageSetup paperSize="5" scale="36"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Assumptions!$A$43:$A$46</xm:f>
          </x14:formula1>
          <xm:sqref>C9</xm:sqref>
        </x14:dataValidation>
        <x14:dataValidation type="list" allowBlank="1" showInputMessage="1" showErrorMessage="1">
          <x14:formula1>
            <xm:f>Assumptions!$A$66:$A$69</xm:f>
          </x14:formula1>
          <xm:sqref>I18</xm:sqref>
        </x14:dataValidation>
        <x14:dataValidation type="list" allowBlank="1" showInputMessage="1" showErrorMessage="1">
          <x14:formula1>
            <xm:f>Assumptions!$A$50:$A$51</xm:f>
          </x14:formula1>
          <xm:sqref>N6:N8</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K196"/>
  <sheetViews>
    <sheetView topLeftCell="A115" workbookViewId="0">
      <selection activeCell="A141" sqref="A141:K141"/>
    </sheetView>
  </sheetViews>
  <sheetFormatPr defaultRowHeight="12.75"/>
  <cols>
    <col min="1" max="1" width="20.42578125" bestFit="1" customWidth="1"/>
    <col min="2" max="2" width="8.7109375" style="1654" bestFit="1" customWidth="1"/>
    <col min="3" max="4" width="9.140625" style="1654"/>
    <col min="5" max="5" width="20.42578125" style="1654" bestFit="1" customWidth="1"/>
    <col min="6" max="7" width="9.140625" style="1654"/>
    <col min="8" max="8" width="12" style="1654" customWidth="1"/>
    <col min="9" max="11" width="9.140625" style="1654"/>
  </cols>
  <sheetData>
    <row r="1" spans="1:11" s="1617" customFormat="1" ht="89.25">
      <c r="A1" s="1617" t="s">
        <v>375</v>
      </c>
      <c r="B1" s="1249" t="s">
        <v>1973</v>
      </c>
      <c r="C1" s="1249" t="s">
        <v>1995</v>
      </c>
      <c r="D1" s="1249" t="s">
        <v>1999</v>
      </c>
      <c r="E1" s="1249" t="s">
        <v>1996</v>
      </c>
      <c r="F1" s="1249" t="s">
        <v>1997</v>
      </c>
      <c r="G1" s="1249" t="s">
        <v>1998</v>
      </c>
      <c r="H1" s="1249" t="s">
        <v>1974</v>
      </c>
      <c r="I1" s="1249" t="s">
        <v>1975</v>
      </c>
      <c r="J1" s="1249" t="s">
        <v>1976</v>
      </c>
      <c r="K1" s="1249" t="s">
        <v>1977</v>
      </c>
    </row>
    <row r="2" spans="1:11">
      <c r="A2" t="s">
        <v>969</v>
      </c>
      <c r="B2" s="1654">
        <v>5</v>
      </c>
      <c r="C2" s="1654">
        <v>4035</v>
      </c>
      <c r="D2" s="1654">
        <v>1135</v>
      </c>
      <c r="E2" s="1654" t="s">
        <v>1978</v>
      </c>
      <c r="F2" s="1654">
        <v>4</v>
      </c>
      <c r="G2" s="1654" t="s">
        <v>597</v>
      </c>
      <c r="H2" s="1654" t="s">
        <v>597</v>
      </c>
      <c r="I2" s="1654" t="s">
        <v>597</v>
      </c>
      <c r="J2" s="1654" t="s">
        <v>890</v>
      </c>
      <c r="K2" s="1654" t="s">
        <v>890</v>
      </c>
    </row>
    <row r="3" spans="1:11">
      <c r="A3" t="s">
        <v>970</v>
      </c>
      <c r="B3" s="1654">
        <v>3</v>
      </c>
      <c r="C3" s="1654">
        <v>267</v>
      </c>
      <c r="D3" s="1654">
        <v>117</v>
      </c>
      <c r="E3" s="1654" t="s">
        <v>1980</v>
      </c>
      <c r="F3" s="1654">
        <v>0</v>
      </c>
      <c r="G3" s="1654" t="s">
        <v>597</v>
      </c>
      <c r="H3" s="1654" t="s">
        <v>597</v>
      </c>
      <c r="I3" s="1654" t="s">
        <v>597</v>
      </c>
      <c r="J3" s="1654" t="s">
        <v>1981</v>
      </c>
      <c r="K3" s="1654" t="s">
        <v>1981</v>
      </c>
    </row>
    <row r="4" spans="1:11">
      <c r="A4" t="s">
        <v>49</v>
      </c>
      <c r="B4" s="1654">
        <v>4</v>
      </c>
      <c r="C4" s="1654">
        <v>1450</v>
      </c>
      <c r="D4" s="1654">
        <v>475</v>
      </c>
      <c r="E4" s="1654" t="s">
        <v>1980</v>
      </c>
      <c r="F4" s="1654">
        <v>0</v>
      </c>
      <c r="G4" s="1654" t="s">
        <v>596</v>
      </c>
      <c r="H4" s="1654" t="s">
        <v>596</v>
      </c>
      <c r="I4" s="1654" t="s">
        <v>596</v>
      </c>
      <c r="J4" s="1654" t="s">
        <v>890</v>
      </c>
      <c r="K4" s="1654" t="s">
        <v>890</v>
      </c>
    </row>
    <row r="5" spans="1:11">
      <c r="A5" t="s">
        <v>51</v>
      </c>
      <c r="B5" s="1654">
        <v>4</v>
      </c>
      <c r="C5" s="1654">
        <v>920</v>
      </c>
      <c r="D5" s="1654">
        <v>230</v>
      </c>
      <c r="E5" s="1654" t="s">
        <v>1980</v>
      </c>
      <c r="F5" s="1654">
        <v>0</v>
      </c>
      <c r="G5" s="1654" t="s">
        <v>596</v>
      </c>
      <c r="H5" s="1654" t="s">
        <v>596</v>
      </c>
      <c r="I5" s="1654" t="s">
        <v>596</v>
      </c>
      <c r="J5" s="1654" t="s">
        <v>890</v>
      </c>
      <c r="K5" s="1654" t="s">
        <v>890</v>
      </c>
    </row>
    <row r="6" spans="1:11">
      <c r="A6" t="s">
        <v>53</v>
      </c>
      <c r="B6" s="1654">
        <v>3</v>
      </c>
      <c r="C6" s="1654">
        <v>417</v>
      </c>
      <c r="D6" s="1654">
        <v>150</v>
      </c>
      <c r="E6" s="1654" t="s">
        <v>1980</v>
      </c>
      <c r="F6" s="1654">
        <v>1</v>
      </c>
      <c r="G6" s="1654" t="s">
        <v>597</v>
      </c>
      <c r="H6" s="1654" t="s">
        <v>890</v>
      </c>
      <c r="I6" s="1654" t="s">
        <v>597</v>
      </c>
      <c r="J6" s="1654" t="s">
        <v>890</v>
      </c>
      <c r="K6" s="1654" t="s">
        <v>890</v>
      </c>
    </row>
    <row r="7" spans="1:11">
      <c r="A7" t="s">
        <v>70</v>
      </c>
      <c r="B7" s="1654">
        <v>3</v>
      </c>
      <c r="C7" s="1654">
        <v>1150</v>
      </c>
      <c r="D7" s="1654">
        <v>500</v>
      </c>
      <c r="E7" s="1654" t="s">
        <v>1980</v>
      </c>
      <c r="F7" s="1654">
        <v>0</v>
      </c>
      <c r="G7" s="1654" t="s">
        <v>597</v>
      </c>
      <c r="H7" s="1654" t="s">
        <v>596</v>
      </c>
      <c r="I7" s="1654" t="s">
        <v>597</v>
      </c>
      <c r="J7" s="1654" t="s">
        <v>1981</v>
      </c>
      <c r="K7" s="1654" t="s">
        <v>1981</v>
      </c>
    </row>
    <row r="8" spans="1:11">
      <c r="A8" t="s">
        <v>1994</v>
      </c>
      <c r="B8" s="1654">
        <v>3</v>
      </c>
      <c r="C8" s="1654">
        <v>525</v>
      </c>
      <c r="D8" s="1654">
        <v>175</v>
      </c>
      <c r="E8" s="1654" t="s">
        <v>1983</v>
      </c>
      <c r="F8" s="1654">
        <v>0</v>
      </c>
      <c r="G8" s="1654" t="s">
        <v>597</v>
      </c>
      <c r="H8" s="1654" t="s">
        <v>596</v>
      </c>
      <c r="I8" s="1654" t="s">
        <v>596</v>
      </c>
      <c r="J8" s="1654" t="s">
        <v>1981</v>
      </c>
      <c r="K8" s="1654" t="s">
        <v>1981</v>
      </c>
    </row>
    <row r="9" spans="1:11">
      <c r="A9" t="s">
        <v>30</v>
      </c>
      <c r="B9" s="1654">
        <v>3</v>
      </c>
      <c r="C9" s="1654">
        <v>1040</v>
      </c>
      <c r="D9" s="1654">
        <v>400</v>
      </c>
      <c r="E9" s="1654" t="s">
        <v>1980</v>
      </c>
      <c r="F9" s="1654">
        <v>0</v>
      </c>
      <c r="G9" s="1654" t="s">
        <v>597</v>
      </c>
      <c r="H9" s="1654" t="s">
        <v>597</v>
      </c>
      <c r="I9" s="1654" t="s">
        <v>597</v>
      </c>
      <c r="J9" s="1654" t="s">
        <v>1981</v>
      </c>
      <c r="K9" s="1654" t="s">
        <v>1981</v>
      </c>
    </row>
    <row r="10" spans="1:11">
      <c r="A10" t="s">
        <v>206</v>
      </c>
      <c r="B10" s="1654">
        <v>5</v>
      </c>
      <c r="C10" s="1654">
        <v>2810</v>
      </c>
      <c r="D10" s="1654">
        <v>910</v>
      </c>
      <c r="E10" s="1654" t="s">
        <v>1987</v>
      </c>
      <c r="F10" s="1654">
        <v>0</v>
      </c>
      <c r="G10" s="1654" t="s">
        <v>596</v>
      </c>
      <c r="H10" s="1654" t="s">
        <v>596</v>
      </c>
      <c r="I10" s="1654" t="s">
        <v>596</v>
      </c>
      <c r="J10" s="1654" t="s">
        <v>1981</v>
      </c>
      <c r="K10" s="1654" t="s">
        <v>1981</v>
      </c>
    </row>
    <row r="11" spans="1:11">
      <c r="A11" t="s">
        <v>292</v>
      </c>
      <c r="B11" s="1654">
        <v>1</v>
      </c>
      <c r="C11" s="1654">
        <v>2</v>
      </c>
      <c r="K11" s="90"/>
    </row>
    <row r="12" spans="1:11">
      <c r="A12" t="s">
        <v>40</v>
      </c>
      <c r="B12" s="1654">
        <v>3</v>
      </c>
      <c r="C12" s="1654">
        <v>1525</v>
      </c>
      <c r="D12" s="1654">
        <v>550</v>
      </c>
      <c r="E12" s="1654" t="s">
        <v>1983</v>
      </c>
      <c r="F12" s="1654">
        <v>0</v>
      </c>
      <c r="G12" s="1654" t="s">
        <v>596</v>
      </c>
      <c r="H12" s="1654" t="s">
        <v>596</v>
      </c>
      <c r="I12" s="1654" t="s">
        <v>596</v>
      </c>
      <c r="J12" s="1654">
        <v>0</v>
      </c>
      <c r="K12" s="1654">
        <v>0</v>
      </c>
    </row>
    <row r="13" spans="1:11">
      <c r="A13" t="s">
        <v>115</v>
      </c>
      <c r="B13" s="1654">
        <v>2</v>
      </c>
      <c r="C13" s="1654">
        <v>1.1000000000000001</v>
      </c>
      <c r="K13" s="90"/>
    </row>
    <row r="14" spans="1:11">
      <c r="A14" t="s">
        <v>71</v>
      </c>
      <c r="B14" s="1654">
        <v>3</v>
      </c>
      <c r="C14" s="1654">
        <v>375</v>
      </c>
      <c r="D14" s="1654">
        <v>160</v>
      </c>
      <c r="E14" s="1654" t="s">
        <v>1980</v>
      </c>
      <c r="F14" s="1654">
        <v>0</v>
      </c>
      <c r="G14" s="1654" t="s">
        <v>597</v>
      </c>
      <c r="H14" s="1654" t="s">
        <v>596</v>
      </c>
      <c r="I14" s="1654" t="s">
        <v>597</v>
      </c>
      <c r="J14" s="1654" t="s">
        <v>1981</v>
      </c>
      <c r="K14" s="1654" t="s">
        <v>1981</v>
      </c>
    </row>
    <row r="15" spans="1:11">
      <c r="A15" t="s">
        <v>398</v>
      </c>
      <c r="B15" s="1654">
        <v>4</v>
      </c>
      <c r="C15" s="1654">
        <v>395</v>
      </c>
      <c r="D15" s="1654">
        <v>130</v>
      </c>
      <c r="E15" s="1654" t="s">
        <v>1980</v>
      </c>
      <c r="F15" s="1654">
        <v>1</v>
      </c>
      <c r="G15" s="1654" t="s">
        <v>596</v>
      </c>
      <c r="H15" s="1654" t="s">
        <v>596</v>
      </c>
      <c r="I15" s="1654" t="s">
        <v>596</v>
      </c>
      <c r="J15" s="1654" t="s">
        <v>1981</v>
      </c>
      <c r="K15" s="1654" t="s">
        <v>1981</v>
      </c>
    </row>
    <row r="16" spans="1:11">
      <c r="A16" t="s">
        <v>24</v>
      </c>
      <c r="B16" s="1654">
        <v>3</v>
      </c>
      <c r="C16" s="1654">
        <v>257</v>
      </c>
      <c r="D16" s="1654">
        <v>110</v>
      </c>
      <c r="E16" s="1654" t="s">
        <v>1980</v>
      </c>
      <c r="F16" s="1654">
        <v>1</v>
      </c>
      <c r="G16" s="1654" t="s">
        <v>597</v>
      </c>
      <c r="H16" s="1654" t="s">
        <v>597</v>
      </c>
      <c r="I16" s="1654" t="s">
        <v>597</v>
      </c>
      <c r="J16" s="1654" t="s">
        <v>890</v>
      </c>
      <c r="K16" s="1654" t="s">
        <v>890</v>
      </c>
    </row>
    <row r="17" spans="1:11">
      <c r="A17" t="s">
        <v>117</v>
      </c>
      <c r="B17" s="1654">
        <v>3</v>
      </c>
      <c r="C17" s="1654">
        <v>547</v>
      </c>
      <c r="D17" s="1654">
        <v>250</v>
      </c>
      <c r="E17" s="1654" t="s">
        <v>1980</v>
      </c>
      <c r="F17" s="1654">
        <v>0</v>
      </c>
      <c r="G17" s="1654" t="s">
        <v>596</v>
      </c>
      <c r="H17" s="1654" t="s">
        <v>597</v>
      </c>
      <c r="I17" s="1654" t="s">
        <v>597</v>
      </c>
      <c r="J17" s="1654" t="s">
        <v>890</v>
      </c>
      <c r="K17" s="1654" t="s">
        <v>890</v>
      </c>
    </row>
    <row r="18" spans="1:11">
      <c r="A18" t="s">
        <v>2000</v>
      </c>
      <c r="B18" s="1654">
        <v>6</v>
      </c>
      <c r="C18" s="1654">
        <v>4.0999999999999996</v>
      </c>
      <c r="K18" s="90"/>
    </row>
    <row r="19" spans="1:11">
      <c r="A19" t="s">
        <v>119</v>
      </c>
      <c r="B19" s="1654">
        <v>3</v>
      </c>
      <c r="C19" s="1654">
        <v>244</v>
      </c>
      <c r="D19" s="1654">
        <v>110</v>
      </c>
      <c r="E19" s="1654" t="s">
        <v>1980</v>
      </c>
      <c r="F19" s="1654">
        <v>2</v>
      </c>
      <c r="G19" s="1654" t="s">
        <v>596</v>
      </c>
      <c r="H19" s="1654" t="s">
        <v>596</v>
      </c>
      <c r="I19" s="1654" t="s">
        <v>596</v>
      </c>
      <c r="J19" s="1654">
        <v>18250</v>
      </c>
      <c r="K19" s="1654" t="s">
        <v>1979</v>
      </c>
    </row>
    <row r="20" spans="1:11">
      <c r="A20" t="s">
        <v>26</v>
      </c>
      <c r="B20" s="1654">
        <v>6</v>
      </c>
      <c r="C20" s="1654">
        <v>13500</v>
      </c>
      <c r="D20" s="1654">
        <v>2250</v>
      </c>
      <c r="E20" s="1654" t="s">
        <v>1980</v>
      </c>
      <c r="F20" s="1654">
        <v>0</v>
      </c>
      <c r="G20" s="1654" t="s">
        <v>597</v>
      </c>
      <c r="H20" s="1654" t="s">
        <v>596</v>
      </c>
      <c r="I20" s="1654" t="s">
        <v>596</v>
      </c>
      <c r="J20" s="1654" t="s">
        <v>1981</v>
      </c>
      <c r="K20" s="1654" t="s">
        <v>1981</v>
      </c>
    </row>
    <row r="21" spans="1:11">
      <c r="A21" t="s">
        <v>979</v>
      </c>
      <c r="B21" s="1654">
        <v>3</v>
      </c>
      <c r="C21" s="1654">
        <v>600</v>
      </c>
      <c r="D21" s="1654">
        <v>300</v>
      </c>
      <c r="E21" s="1654" t="s">
        <v>1980</v>
      </c>
      <c r="F21" s="1654">
        <v>0</v>
      </c>
      <c r="G21" s="1654" t="s">
        <v>597</v>
      </c>
      <c r="H21" s="1654" t="s">
        <v>597</v>
      </c>
      <c r="I21" s="1654" t="s">
        <v>597</v>
      </c>
      <c r="J21" s="1654" t="s">
        <v>890</v>
      </c>
      <c r="K21" s="1654" t="s">
        <v>890</v>
      </c>
    </row>
    <row r="22" spans="1:11">
      <c r="A22" t="s">
        <v>399</v>
      </c>
      <c r="B22" s="1654">
        <v>1</v>
      </c>
      <c r="C22" s="1654">
        <v>28</v>
      </c>
      <c r="D22" s="1654">
        <v>28</v>
      </c>
      <c r="E22" s="1654" t="s">
        <v>1980</v>
      </c>
      <c r="F22" s="1654">
        <v>0</v>
      </c>
      <c r="G22" s="1654" t="s">
        <v>597</v>
      </c>
      <c r="H22" s="1654" t="s">
        <v>597</v>
      </c>
      <c r="I22" s="1654" t="s">
        <v>597</v>
      </c>
      <c r="J22" s="1654" t="s">
        <v>890</v>
      </c>
      <c r="K22" s="1654" t="s">
        <v>890</v>
      </c>
    </row>
    <row r="23" spans="1:11">
      <c r="A23" t="s">
        <v>72</v>
      </c>
      <c r="B23" s="1654">
        <v>3</v>
      </c>
      <c r="C23" s="1654">
        <v>1025</v>
      </c>
      <c r="D23" s="1654">
        <v>500</v>
      </c>
      <c r="E23" s="1654" t="s">
        <v>1980</v>
      </c>
      <c r="F23" s="1654">
        <v>0</v>
      </c>
      <c r="G23" s="1654" t="s">
        <v>596</v>
      </c>
      <c r="H23" s="1654" t="s">
        <v>596</v>
      </c>
      <c r="I23" s="1654" t="s">
        <v>597</v>
      </c>
      <c r="J23" s="1654" t="s">
        <v>1981</v>
      </c>
      <c r="K23" s="1654" t="s">
        <v>1981</v>
      </c>
    </row>
    <row r="24" spans="1:11">
      <c r="A24" t="s">
        <v>41</v>
      </c>
      <c r="B24" s="1654">
        <v>3</v>
      </c>
      <c r="C24" s="1654">
        <v>1132</v>
      </c>
      <c r="D24" s="1654">
        <v>476</v>
      </c>
      <c r="E24" s="1654" t="s">
        <v>1980</v>
      </c>
      <c r="F24" s="1654">
        <v>0</v>
      </c>
      <c r="G24" s="1654" t="s">
        <v>596</v>
      </c>
      <c r="H24" s="1654" t="s">
        <v>596</v>
      </c>
      <c r="I24" s="1654" t="s">
        <v>596</v>
      </c>
      <c r="J24" s="1654" t="s">
        <v>1989</v>
      </c>
      <c r="K24" s="1654" t="s">
        <v>1990</v>
      </c>
    </row>
    <row r="25" spans="1:11">
      <c r="A25" t="s">
        <v>123</v>
      </c>
      <c r="B25" s="1654">
        <v>3</v>
      </c>
      <c r="C25" s="1654">
        <v>575</v>
      </c>
      <c r="D25" s="1654">
        <v>200</v>
      </c>
      <c r="E25" s="1654" t="s">
        <v>1980</v>
      </c>
      <c r="F25" s="1654">
        <v>0</v>
      </c>
      <c r="G25" s="1654" t="s">
        <v>597</v>
      </c>
      <c r="H25" s="1654" t="s">
        <v>596</v>
      </c>
      <c r="I25" s="1654" t="s">
        <v>597</v>
      </c>
      <c r="J25" s="1654" t="s">
        <v>1981</v>
      </c>
      <c r="K25" s="1654" t="s">
        <v>1981</v>
      </c>
    </row>
    <row r="26" spans="1:11">
      <c r="A26" t="s">
        <v>985</v>
      </c>
      <c r="B26" s="1654">
        <v>3</v>
      </c>
      <c r="C26" s="1654">
        <v>307</v>
      </c>
      <c r="D26" s="1654">
        <v>125</v>
      </c>
      <c r="E26" s="1654" t="s">
        <v>1980</v>
      </c>
      <c r="F26" s="1654">
        <v>1</v>
      </c>
      <c r="G26" s="1654" t="s">
        <v>597</v>
      </c>
      <c r="H26" s="1654" t="s">
        <v>596</v>
      </c>
      <c r="I26" s="1654" t="s">
        <v>597</v>
      </c>
      <c r="J26" s="1654" t="s">
        <v>1981</v>
      </c>
      <c r="K26" s="1654" t="s">
        <v>1981</v>
      </c>
    </row>
    <row r="27" spans="1:11">
      <c r="A27" t="s">
        <v>199</v>
      </c>
      <c r="B27" s="1654">
        <v>3</v>
      </c>
      <c r="C27" s="1654">
        <v>921</v>
      </c>
      <c r="D27" s="1654">
        <v>371</v>
      </c>
      <c r="E27" s="1654" t="s">
        <v>1980</v>
      </c>
      <c r="F27" s="1654">
        <v>0</v>
      </c>
      <c r="G27" s="1654" t="s">
        <v>596</v>
      </c>
      <c r="H27" s="1654" t="s">
        <v>596</v>
      </c>
      <c r="I27" s="1654" t="s">
        <v>597</v>
      </c>
      <c r="J27" s="1654" t="s">
        <v>890</v>
      </c>
      <c r="K27" s="1654" t="s">
        <v>890</v>
      </c>
    </row>
    <row r="28" spans="1:11">
      <c r="A28" t="s">
        <v>1356</v>
      </c>
      <c r="B28" s="1654">
        <v>3</v>
      </c>
      <c r="C28" s="1654">
        <v>175</v>
      </c>
      <c r="D28" s="1654">
        <v>65</v>
      </c>
      <c r="E28" s="1654" t="s">
        <v>1987</v>
      </c>
      <c r="F28" s="1654">
        <v>0</v>
      </c>
      <c r="G28" s="1654" t="s">
        <v>596</v>
      </c>
      <c r="H28" s="1654" t="s">
        <v>596</v>
      </c>
      <c r="I28" s="1654" t="s">
        <v>597</v>
      </c>
      <c r="J28" s="1654" t="s">
        <v>1981</v>
      </c>
      <c r="K28" s="1654" t="s">
        <v>1981</v>
      </c>
    </row>
    <row r="29" spans="1:11">
      <c r="A29" t="s">
        <v>73</v>
      </c>
      <c r="B29" s="1654">
        <v>3</v>
      </c>
      <c r="C29" s="1654">
        <v>1615</v>
      </c>
      <c r="D29" s="1654">
        <v>660</v>
      </c>
      <c r="E29" s="1654" t="s">
        <v>1980</v>
      </c>
      <c r="F29" s="1654">
        <v>0</v>
      </c>
      <c r="G29" s="1654" t="s">
        <v>596</v>
      </c>
      <c r="H29" s="1654" t="s">
        <v>596</v>
      </c>
      <c r="I29" s="1654" t="s">
        <v>596</v>
      </c>
      <c r="J29" s="1654" t="s">
        <v>890</v>
      </c>
      <c r="K29" s="1654" t="s">
        <v>890</v>
      </c>
    </row>
    <row r="30" spans="1:11">
      <c r="A30" t="s">
        <v>1488</v>
      </c>
      <c r="B30" s="1654">
        <v>3</v>
      </c>
      <c r="C30" s="1654">
        <v>577</v>
      </c>
      <c r="D30" s="1654">
        <v>230</v>
      </c>
      <c r="E30" s="1654" t="s">
        <v>1985</v>
      </c>
      <c r="F30" s="1654">
        <v>0</v>
      </c>
      <c r="G30" s="1654" t="s">
        <v>596</v>
      </c>
      <c r="H30" s="1654" t="s">
        <v>596</v>
      </c>
      <c r="I30" s="1654" t="s">
        <v>597</v>
      </c>
      <c r="J30" s="1654" t="s">
        <v>890</v>
      </c>
      <c r="K30" s="1654" t="s">
        <v>890</v>
      </c>
    </row>
    <row r="31" spans="1:11">
      <c r="A31" t="s">
        <v>9</v>
      </c>
      <c r="B31" s="1654">
        <v>3</v>
      </c>
      <c r="C31" s="1654">
        <v>453</v>
      </c>
      <c r="D31" s="1654">
        <v>160</v>
      </c>
      <c r="E31" s="1654" t="s">
        <v>1983</v>
      </c>
      <c r="F31" s="1654">
        <v>0</v>
      </c>
      <c r="G31" s="1654" t="s">
        <v>596</v>
      </c>
      <c r="H31" s="1654" t="s">
        <v>596</v>
      </c>
      <c r="I31" s="1654" t="s">
        <v>597</v>
      </c>
      <c r="J31" s="1654" t="s">
        <v>1981</v>
      </c>
      <c r="K31" s="1654" t="s">
        <v>1981</v>
      </c>
    </row>
    <row r="32" spans="1:11">
      <c r="A32" t="s">
        <v>255</v>
      </c>
      <c r="B32" s="1654">
        <v>4</v>
      </c>
      <c r="C32" s="1654">
        <v>442</v>
      </c>
      <c r="D32" s="1654">
        <v>147</v>
      </c>
      <c r="E32" s="1654" t="s">
        <v>1980</v>
      </c>
      <c r="F32" s="1654">
        <v>3</v>
      </c>
      <c r="G32" s="1654" t="s">
        <v>596</v>
      </c>
      <c r="H32" s="1654" t="s">
        <v>596</v>
      </c>
      <c r="I32" s="1654" t="s">
        <v>597</v>
      </c>
      <c r="J32" s="1654" t="s">
        <v>1981</v>
      </c>
      <c r="K32" s="1654" t="s">
        <v>1981</v>
      </c>
    </row>
    <row r="33" spans="1:11">
      <c r="A33" t="s">
        <v>158</v>
      </c>
      <c r="B33" s="1654">
        <v>1</v>
      </c>
      <c r="C33" s="1654">
        <v>600</v>
      </c>
      <c r="D33" s="1654">
        <v>600</v>
      </c>
      <c r="E33" s="1654" t="s">
        <v>1983</v>
      </c>
      <c r="F33" s="1654">
        <v>1</v>
      </c>
      <c r="G33" s="1654" t="s">
        <v>597</v>
      </c>
      <c r="H33" s="1654" t="s">
        <v>597</v>
      </c>
      <c r="I33" s="1654" t="s">
        <v>597</v>
      </c>
      <c r="J33" s="1654" t="s">
        <v>1981</v>
      </c>
      <c r="K33" s="1654" t="s">
        <v>1981</v>
      </c>
    </row>
    <row r="34" spans="1:11">
      <c r="A34" t="s">
        <v>10</v>
      </c>
      <c r="B34" s="1654">
        <v>2</v>
      </c>
      <c r="C34" s="1654">
        <v>200</v>
      </c>
      <c r="D34" s="1654">
        <v>100</v>
      </c>
      <c r="E34" s="1654" t="s">
        <v>1980</v>
      </c>
      <c r="F34" s="1654">
        <v>0</v>
      </c>
      <c r="G34" s="1654" t="s">
        <v>597</v>
      </c>
      <c r="H34" s="1654" t="s">
        <v>597</v>
      </c>
      <c r="I34" s="1654" t="s">
        <v>597</v>
      </c>
      <c r="J34" s="1654" t="s">
        <v>890</v>
      </c>
      <c r="K34" s="1654" t="s">
        <v>890</v>
      </c>
    </row>
    <row r="35" spans="1:11">
      <c r="A35" t="s">
        <v>992</v>
      </c>
      <c r="B35" s="1654">
        <v>3</v>
      </c>
      <c r="C35" s="1654">
        <v>301</v>
      </c>
      <c r="D35" s="1654">
        <v>117</v>
      </c>
      <c r="E35" s="1654" t="s">
        <v>1980</v>
      </c>
      <c r="F35" s="1654">
        <v>0</v>
      </c>
      <c r="G35" s="1654" t="s">
        <v>596</v>
      </c>
      <c r="H35" s="1654" t="s">
        <v>596</v>
      </c>
      <c r="I35" s="1654" t="s">
        <v>596</v>
      </c>
      <c r="J35" s="1654" t="s">
        <v>1981</v>
      </c>
      <c r="K35" s="1654" t="s">
        <v>1981</v>
      </c>
    </row>
    <row r="36" spans="1:11">
      <c r="A36" t="s">
        <v>188</v>
      </c>
      <c r="B36" s="1654">
        <v>3</v>
      </c>
      <c r="C36" s="1654">
        <v>179</v>
      </c>
      <c r="D36" s="1654">
        <v>78</v>
      </c>
      <c r="E36" s="1654" t="s">
        <v>1987</v>
      </c>
      <c r="F36" s="1654">
        <v>0</v>
      </c>
      <c r="G36" s="1654" t="s">
        <v>596</v>
      </c>
      <c r="H36" s="1654" t="s">
        <v>597</v>
      </c>
      <c r="I36" s="1654" t="s">
        <v>597</v>
      </c>
      <c r="J36" s="1654">
        <v>0</v>
      </c>
      <c r="K36" s="1654">
        <v>0</v>
      </c>
    </row>
    <row r="37" spans="1:11">
      <c r="A37" t="s">
        <v>132</v>
      </c>
      <c r="B37" s="1654">
        <v>2</v>
      </c>
      <c r="C37" s="1654">
        <v>188</v>
      </c>
      <c r="D37" s="1654">
        <v>98</v>
      </c>
      <c r="E37" s="1654" t="s">
        <v>1980</v>
      </c>
      <c r="F37" s="1654">
        <v>1</v>
      </c>
      <c r="G37" s="1654" t="s">
        <v>597</v>
      </c>
      <c r="H37" s="1654" t="s">
        <v>597</v>
      </c>
      <c r="I37" s="1654" t="s">
        <v>597</v>
      </c>
      <c r="J37" s="1654" t="s">
        <v>890</v>
      </c>
      <c r="K37" s="1654" t="s">
        <v>890</v>
      </c>
    </row>
    <row r="38" spans="1:11">
      <c r="A38" t="s">
        <v>1489</v>
      </c>
      <c r="B38" s="1654">
        <v>3</v>
      </c>
      <c r="C38" s="1654">
        <v>476</v>
      </c>
      <c r="D38" s="1654">
        <v>250</v>
      </c>
      <c r="E38" s="1654" t="s">
        <v>1980</v>
      </c>
      <c r="F38" s="1654">
        <v>0</v>
      </c>
      <c r="G38" s="1654" t="s">
        <v>597</v>
      </c>
      <c r="H38" s="1654" t="s">
        <v>596</v>
      </c>
      <c r="I38" s="1654" t="s">
        <v>597</v>
      </c>
      <c r="J38" s="1654" t="s">
        <v>1981</v>
      </c>
      <c r="K38" s="1654" t="s">
        <v>1981</v>
      </c>
    </row>
    <row r="39" spans="1:11">
      <c r="A39" t="s">
        <v>12</v>
      </c>
      <c r="B39" s="1654">
        <v>2</v>
      </c>
      <c r="C39" s="1654">
        <v>660</v>
      </c>
      <c r="D39" s="1654">
        <v>330</v>
      </c>
      <c r="E39" s="1654" t="s">
        <v>1980</v>
      </c>
      <c r="F39" s="1654">
        <v>0</v>
      </c>
      <c r="G39" s="1654" t="s">
        <v>596</v>
      </c>
      <c r="H39" s="1654" t="s">
        <v>597</v>
      </c>
      <c r="I39" s="1654" t="s">
        <v>597</v>
      </c>
      <c r="J39" s="1654" t="s">
        <v>1981</v>
      </c>
      <c r="K39" s="1654" t="s">
        <v>1981</v>
      </c>
    </row>
    <row r="40" spans="1:11">
      <c r="A40" t="s">
        <v>145</v>
      </c>
      <c r="B40" s="1654">
        <v>3</v>
      </c>
      <c r="C40" s="1654">
        <v>2600</v>
      </c>
      <c r="D40" s="1654">
        <v>875</v>
      </c>
      <c r="E40" s="1654" t="s">
        <v>1980</v>
      </c>
      <c r="F40" s="1654">
        <v>0</v>
      </c>
      <c r="G40" s="1654" t="s">
        <v>596</v>
      </c>
      <c r="H40" s="1654" t="s">
        <v>596</v>
      </c>
      <c r="I40" s="1654" t="s">
        <v>597</v>
      </c>
      <c r="J40" s="1654" t="s">
        <v>1981</v>
      </c>
      <c r="K40" s="1654" t="s">
        <v>1981</v>
      </c>
    </row>
    <row r="41" spans="1:11">
      <c r="A41" t="s">
        <v>11</v>
      </c>
      <c r="B41" s="1654">
        <v>5</v>
      </c>
      <c r="C41" s="1654">
        <v>10853</v>
      </c>
      <c r="D41" s="1654">
        <v>3700</v>
      </c>
      <c r="E41" s="1654" t="s">
        <v>1980</v>
      </c>
      <c r="F41" s="1654">
        <v>0</v>
      </c>
      <c r="G41" s="1654" t="s">
        <v>596</v>
      </c>
      <c r="H41" s="1654" t="s">
        <v>596</v>
      </c>
      <c r="I41" s="1654" t="s">
        <v>597</v>
      </c>
      <c r="J41" s="1654" t="s">
        <v>1981</v>
      </c>
      <c r="K41" s="1654" t="s">
        <v>1981</v>
      </c>
    </row>
    <row r="42" spans="1:11">
      <c r="A42" t="s">
        <v>57</v>
      </c>
      <c r="B42" s="1654">
        <v>4</v>
      </c>
      <c r="C42" s="1654">
        <v>4545</v>
      </c>
      <c r="D42" s="1654">
        <v>1630</v>
      </c>
      <c r="E42" s="1654" t="s">
        <v>1983</v>
      </c>
      <c r="F42" s="1654">
        <v>0</v>
      </c>
      <c r="G42" s="1654" t="s">
        <v>596</v>
      </c>
      <c r="H42" s="1654" t="s">
        <v>597</v>
      </c>
      <c r="I42" s="1654" t="s">
        <v>597</v>
      </c>
      <c r="J42" s="1654" t="s">
        <v>1981</v>
      </c>
      <c r="K42" s="1654" t="s">
        <v>1981</v>
      </c>
    </row>
    <row r="43" spans="1:11">
      <c r="A43" t="s">
        <v>189</v>
      </c>
      <c r="B43" s="1654">
        <v>3</v>
      </c>
      <c r="C43" s="1654">
        <v>223</v>
      </c>
      <c r="D43" s="1654">
        <v>95</v>
      </c>
      <c r="E43" s="1654" t="s">
        <v>1980</v>
      </c>
      <c r="F43" s="1654">
        <v>0</v>
      </c>
      <c r="G43" s="1654" t="s">
        <v>596</v>
      </c>
      <c r="H43" s="1654" t="s">
        <v>596</v>
      </c>
      <c r="I43" s="1654" t="s">
        <v>597</v>
      </c>
      <c r="J43" s="1654" t="s">
        <v>1981</v>
      </c>
      <c r="K43" s="1654" t="s">
        <v>1981</v>
      </c>
    </row>
    <row r="44" spans="1:11">
      <c r="A44" t="s">
        <v>1575</v>
      </c>
      <c r="B44" s="1654">
        <v>1</v>
      </c>
      <c r="C44" s="1654">
        <v>0.3</v>
      </c>
      <c r="K44" s="90"/>
    </row>
    <row r="45" spans="1:11">
      <c r="A45" t="s">
        <v>42</v>
      </c>
      <c r="B45" s="1654">
        <v>4</v>
      </c>
      <c r="C45" s="1654">
        <v>577</v>
      </c>
      <c r="D45" s="1654">
        <v>170</v>
      </c>
      <c r="E45" s="1654" t="s">
        <v>1983</v>
      </c>
      <c r="F45" s="1654">
        <v>0</v>
      </c>
      <c r="G45" s="1654" t="s">
        <v>596</v>
      </c>
      <c r="H45" s="1654" t="s">
        <v>596</v>
      </c>
      <c r="I45" s="1654" t="s">
        <v>597</v>
      </c>
      <c r="J45" s="1654" t="s">
        <v>1981</v>
      </c>
      <c r="K45" s="1654" t="s">
        <v>1981</v>
      </c>
    </row>
    <row r="46" spans="1:11">
      <c r="A46" t="s">
        <v>23</v>
      </c>
      <c r="B46" s="1654">
        <v>7</v>
      </c>
      <c r="C46" s="1654">
        <v>6.6</v>
      </c>
      <c r="K46" s="90"/>
    </row>
    <row r="47" spans="1:11">
      <c r="A47" t="s">
        <v>1006</v>
      </c>
      <c r="B47" s="1654">
        <v>3</v>
      </c>
      <c r="C47" s="1654">
        <v>450</v>
      </c>
      <c r="D47" s="1654">
        <v>175</v>
      </c>
      <c r="E47" s="1654" t="s">
        <v>1980</v>
      </c>
      <c r="F47" s="1654">
        <v>0</v>
      </c>
      <c r="G47" s="1654" t="s">
        <v>596</v>
      </c>
      <c r="H47" s="1654" t="s">
        <v>596</v>
      </c>
      <c r="I47" s="1654" t="s">
        <v>596</v>
      </c>
      <c r="J47" s="1654" t="s">
        <v>1981</v>
      </c>
      <c r="K47" s="1654" t="s">
        <v>1981</v>
      </c>
    </row>
    <row r="48" spans="1:11">
      <c r="A48" t="s">
        <v>74</v>
      </c>
      <c r="B48" s="1654">
        <v>3</v>
      </c>
      <c r="C48" s="1654">
        <v>541</v>
      </c>
      <c r="D48" s="1654">
        <v>206</v>
      </c>
      <c r="E48" s="1654" t="s">
        <v>1980</v>
      </c>
      <c r="F48" s="1654">
        <v>0</v>
      </c>
      <c r="G48" s="1654" t="s">
        <v>597</v>
      </c>
      <c r="H48" s="1654" t="s">
        <v>596</v>
      </c>
      <c r="I48" s="1654" t="s">
        <v>597</v>
      </c>
      <c r="J48" s="1654" t="s">
        <v>890</v>
      </c>
      <c r="K48" s="1654" t="s">
        <v>890</v>
      </c>
    </row>
    <row r="49" spans="1:11">
      <c r="A49" t="s">
        <v>137</v>
      </c>
      <c r="B49" s="1654">
        <v>2</v>
      </c>
      <c r="C49" s="1654">
        <v>380</v>
      </c>
      <c r="D49" s="1654">
        <v>200</v>
      </c>
      <c r="E49" s="1654" t="s">
        <v>1980</v>
      </c>
      <c r="F49" s="1654">
        <v>0</v>
      </c>
      <c r="G49" s="1654" t="s">
        <v>597</v>
      </c>
      <c r="H49" s="1654" t="s">
        <v>597</v>
      </c>
      <c r="I49" s="1654" t="s">
        <v>597</v>
      </c>
      <c r="J49" s="1654" t="s">
        <v>890</v>
      </c>
      <c r="K49" s="1654" t="s">
        <v>890</v>
      </c>
    </row>
    <row r="50" spans="1:11">
      <c r="A50" t="s">
        <v>139</v>
      </c>
      <c r="B50" s="1654">
        <v>3</v>
      </c>
      <c r="C50" s="1654">
        <v>370</v>
      </c>
      <c r="D50" s="1654">
        <v>220</v>
      </c>
      <c r="E50" s="1654" t="s">
        <v>1980</v>
      </c>
      <c r="F50" s="1654">
        <v>0</v>
      </c>
      <c r="G50" s="1654" t="s">
        <v>597</v>
      </c>
      <c r="H50" s="1654" t="s">
        <v>597</v>
      </c>
      <c r="I50" s="1654" t="s">
        <v>597</v>
      </c>
      <c r="J50" s="1654" t="s">
        <v>890</v>
      </c>
      <c r="K50" s="1654" t="s">
        <v>890</v>
      </c>
    </row>
    <row r="51" spans="1:11">
      <c r="A51" t="s">
        <v>141</v>
      </c>
      <c r="B51" s="1654">
        <v>3</v>
      </c>
      <c r="C51" s="1654">
        <v>347</v>
      </c>
      <c r="D51" s="1654">
        <v>179</v>
      </c>
      <c r="E51" s="1654" t="s">
        <v>1980</v>
      </c>
      <c r="F51" s="1654">
        <v>0</v>
      </c>
      <c r="G51" s="1654" t="s">
        <v>596</v>
      </c>
      <c r="H51" s="1654" t="s">
        <v>596</v>
      </c>
      <c r="I51" s="1654" t="s">
        <v>597</v>
      </c>
      <c r="J51" s="1654" t="s">
        <v>1981</v>
      </c>
      <c r="K51" s="1654" t="s">
        <v>1981</v>
      </c>
    </row>
    <row r="52" spans="1:11">
      <c r="A52" t="s">
        <v>75</v>
      </c>
      <c r="B52" s="1654">
        <v>3</v>
      </c>
      <c r="C52" s="1654">
        <v>1050</v>
      </c>
      <c r="D52" s="1654">
        <v>500</v>
      </c>
      <c r="E52" s="1654" t="s">
        <v>1980</v>
      </c>
      <c r="F52" s="1654">
        <v>0</v>
      </c>
      <c r="G52" s="1654" t="s">
        <v>596</v>
      </c>
      <c r="H52" s="1654" t="s">
        <v>596</v>
      </c>
      <c r="I52" s="1654" t="s">
        <v>597</v>
      </c>
      <c r="J52" s="1654" t="s">
        <v>1981</v>
      </c>
      <c r="K52" s="1654" t="s">
        <v>1981</v>
      </c>
    </row>
    <row r="53" spans="1:11">
      <c r="A53" t="s">
        <v>76</v>
      </c>
      <c r="B53" s="1654">
        <v>4</v>
      </c>
      <c r="C53" s="1654">
        <v>1920</v>
      </c>
      <c r="D53" s="1654">
        <v>915</v>
      </c>
      <c r="E53" s="1654" t="s">
        <v>1980</v>
      </c>
      <c r="F53" s="1654">
        <v>0</v>
      </c>
      <c r="G53" s="1654" t="s">
        <v>596</v>
      </c>
      <c r="H53" s="1654" t="s">
        <v>596</v>
      </c>
      <c r="I53" s="1654" t="s">
        <v>597</v>
      </c>
      <c r="J53" s="1654" t="s">
        <v>1981</v>
      </c>
      <c r="K53" s="1654" t="s">
        <v>1981</v>
      </c>
    </row>
    <row r="54" spans="1:11">
      <c r="A54" t="s">
        <v>143</v>
      </c>
      <c r="B54" s="1654">
        <v>3</v>
      </c>
      <c r="C54" s="1654">
        <v>375</v>
      </c>
      <c r="D54" s="1654">
        <v>175</v>
      </c>
      <c r="E54" s="1654" t="s">
        <v>1980</v>
      </c>
      <c r="F54" s="1654">
        <v>0</v>
      </c>
      <c r="G54" s="1654" t="s">
        <v>597</v>
      </c>
      <c r="H54" s="1654" t="s">
        <v>596</v>
      </c>
      <c r="I54" s="1654" t="s">
        <v>597</v>
      </c>
      <c r="J54" s="1654">
        <v>12775</v>
      </c>
      <c r="K54" s="1654" t="s">
        <v>1981</v>
      </c>
    </row>
    <row r="55" spans="1:11">
      <c r="A55" t="s">
        <v>1992</v>
      </c>
      <c r="B55" s="1654">
        <v>1</v>
      </c>
      <c r="C55" s="1654">
        <v>1200</v>
      </c>
      <c r="D55" s="1654">
        <v>1200</v>
      </c>
      <c r="E55" s="1654" t="s">
        <v>1987</v>
      </c>
      <c r="F55" s="1654">
        <v>0</v>
      </c>
      <c r="G55" s="1654" t="s">
        <v>596</v>
      </c>
      <c r="H55" s="1654" t="s">
        <v>597</v>
      </c>
      <c r="I55" s="1654" t="s">
        <v>597</v>
      </c>
      <c r="J55" s="1654" t="s">
        <v>1981</v>
      </c>
      <c r="K55" s="1654" t="s">
        <v>1981</v>
      </c>
    </row>
    <row r="56" spans="1:11">
      <c r="A56" t="s">
        <v>17</v>
      </c>
      <c r="B56" s="1654">
        <v>4</v>
      </c>
      <c r="C56" s="1654">
        <v>2070</v>
      </c>
      <c r="D56" s="1654">
        <v>600</v>
      </c>
      <c r="E56" s="1654" t="s">
        <v>1980</v>
      </c>
      <c r="F56" s="1654">
        <v>0</v>
      </c>
      <c r="G56" s="1654" t="s">
        <v>597</v>
      </c>
      <c r="H56" s="1654" t="s">
        <v>597</v>
      </c>
      <c r="I56" s="1654" t="s">
        <v>597</v>
      </c>
      <c r="J56" s="1654" t="s">
        <v>890</v>
      </c>
      <c r="K56" s="1654" t="s">
        <v>890</v>
      </c>
    </row>
    <row r="57" spans="1:11">
      <c r="A57" t="s">
        <v>256</v>
      </c>
      <c r="B57" s="1654">
        <v>6</v>
      </c>
      <c r="C57" s="1654">
        <v>4600</v>
      </c>
      <c r="D57" s="1654">
        <v>1050</v>
      </c>
      <c r="E57" s="1654" t="s">
        <v>1980</v>
      </c>
      <c r="F57" s="1654">
        <v>2</v>
      </c>
      <c r="G57" s="1654" t="s">
        <v>597</v>
      </c>
      <c r="H57" s="1654" t="s">
        <v>596</v>
      </c>
      <c r="I57" s="1654" t="s">
        <v>597</v>
      </c>
      <c r="J57" s="1654">
        <v>36500</v>
      </c>
      <c r="K57" s="1654" t="s">
        <v>1981</v>
      </c>
    </row>
    <row r="58" spans="1:11">
      <c r="A58" t="s">
        <v>77</v>
      </c>
      <c r="B58" s="1654">
        <v>3</v>
      </c>
      <c r="C58" s="1654">
        <v>1.6</v>
      </c>
      <c r="K58" s="90"/>
    </row>
    <row r="59" spans="1:11">
      <c r="A59" t="s">
        <v>1167</v>
      </c>
      <c r="B59" s="1654">
        <v>7</v>
      </c>
      <c r="C59" s="1654">
        <v>10.7</v>
      </c>
      <c r="K59" s="90"/>
    </row>
    <row r="60" spans="1:11">
      <c r="A60" t="s">
        <v>148</v>
      </c>
      <c r="B60" s="1654">
        <v>4</v>
      </c>
      <c r="C60" s="1654">
        <v>580</v>
      </c>
      <c r="D60" s="1654">
        <v>200</v>
      </c>
      <c r="E60" s="1654" t="s">
        <v>1980</v>
      </c>
      <c r="F60" s="1654">
        <v>0</v>
      </c>
      <c r="G60" s="1654" t="s">
        <v>596</v>
      </c>
      <c r="H60" s="1654" t="s">
        <v>596</v>
      </c>
      <c r="I60" s="1654" t="s">
        <v>597</v>
      </c>
      <c r="J60" s="1654" t="s">
        <v>1981</v>
      </c>
      <c r="K60" s="1654" t="s">
        <v>1981</v>
      </c>
    </row>
    <row r="61" spans="1:11">
      <c r="A61" t="s">
        <v>78</v>
      </c>
      <c r="B61" s="1654">
        <v>3</v>
      </c>
      <c r="C61" s="1654">
        <v>643</v>
      </c>
      <c r="D61" s="1654">
        <v>268</v>
      </c>
      <c r="E61" s="1654" t="s">
        <v>1980</v>
      </c>
      <c r="F61" s="1654">
        <v>0</v>
      </c>
      <c r="G61" s="1654" t="s">
        <v>597</v>
      </c>
      <c r="H61" s="1654" t="s">
        <v>596</v>
      </c>
      <c r="I61" s="1654" t="s">
        <v>596</v>
      </c>
      <c r="J61" s="1654" t="s">
        <v>1986</v>
      </c>
      <c r="K61" s="1654" t="s">
        <v>890</v>
      </c>
    </row>
    <row r="62" spans="1:11">
      <c r="A62" t="s">
        <v>79</v>
      </c>
      <c r="B62" s="1654">
        <v>3</v>
      </c>
      <c r="C62" s="1654">
        <v>260</v>
      </c>
      <c r="D62" s="1654">
        <v>155</v>
      </c>
      <c r="E62" s="1654" t="s">
        <v>1980</v>
      </c>
      <c r="F62" s="1654">
        <v>0</v>
      </c>
      <c r="G62" s="1654" t="s">
        <v>597</v>
      </c>
      <c r="H62" s="1654" t="s">
        <v>597</v>
      </c>
      <c r="I62" s="1654" t="s">
        <v>597</v>
      </c>
      <c r="J62" s="1654" t="s">
        <v>890</v>
      </c>
      <c r="K62" s="1654" t="s">
        <v>890</v>
      </c>
    </row>
    <row r="63" spans="1:11">
      <c r="A63" t="s">
        <v>8</v>
      </c>
      <c r="B63" s="1654">
        <v>3</v>
      </c>
      <c r="C63" s="1654">
        <v>842</v>
      </c>
      <c r="D63" s="1654">
        <v>371</v>
      </c>
      <c r="E63" s="1654" t="s">
        <v>1980</v>
      </c>
      <c r="F63" s="1654">
        <v>0</v>
      </c>
      <c r="G63" s="1654" t="s">
        <v>596</v>
      </c>
      <c r="H63" s="1654" t="s">
        <v>597</v>
      </c>
      <c r="I63" s="1654" t="s">
        <v>597</v>
      </c>
      <c r="J63" s="1654" t="s">
        <v>1981</v>
      </c>
      <c r="K63" s="1654" t="s">
        <v>1981</v>
      </c>
    </row>
    <row r="64" spans="1:11">
      <c r="A64" t="s">
        <v>18</v>
      </c>
      <c r="B64" s="1654">
        <v>4</v>
      </c>
      <c r="C64" s="1654">
        <v>6.1999999999999993</v>
      </c>
      <c r="K64" s="90"/>
    </row>
    <row r="65" spans="1:11">
      <c r="A65" t="s">
        <v>60</v>
      </c>
      <c r="B65" s="1654">
        <v>2</v>
      </c>
      <c r="C65" s="1654">
        <v>83</v>
      </c>
      <c r="D65" s="1654">
        <v>50</v>
      </c>
      <c r="E65" s="1654" t="s">
        <v>1983</v>
      </c>
      <c r="F65" s="1654">
        <v>0</v>
      </c>
      <c r="G65" s="1654" t="s">
        <v>596</v>
      </c>
      <c r="H65" s="1654" t="s">
        <v>597</v>
      </c>
      <c r="I65" s="1654" t="s">
        <v>597</v>
      </c>
      <c r="J65" s="1654" t="s">
        <v>890</v>
      </c>
      <c r="K65" s="1654" t="s">
        <v>890</v>
      </c>
    </row>
    <row r="66" spans="1:11">
      <c r="A66" t="s">
        <v>61</v>
      </c>
      <c r="B66" s="1654">
        <v>1</v>
      </c>
      <c r="C66" s="1654">
        <v>450</v>
      </c>
      <c r="D66" s="1654">
        <v>450</v>
      </c>
      <c r="E66" s="1654" t="s">
        <v>1987</v>
      </c>
      <c r="F66" s="1654">
        <v>0</v>
      </c>
      <c r="G66" s="1654" t="s">
        <v>597</v>
      </c>
      <c r="H66" s="1654" t="s">
        <v>597</v>
      </c>
      <c r="I66" s="1654" t="s">
        <v>597</v>
      </c>
      <c r="J66" s="1654" t="s">
        <v>1981</v>
      </c>
      <c r="K66" s="1654" t="s">
        <v>1981</v>
      </c>
    </row>
    <row r="67" spans="1:11">
      <c r="A67" t="s">
        <v>80</v>
      </c>
      <c r="B67" s="1654">
        <v>3</v>
      </c>
      <c r="C67" s="1654">
        <v>455</v>
      </c>
      <c r="D67" s="1654">
        <v>155</v>
      </c>
      <c r="E67" s="1654" t="s">
        <v>1980</v>
      </c>
      <c r="F67" s="1654">
        <v>0</v>
      </c>
      <c r="G67" s="1654" t="s">
        <v>597</v>
      </c>
      <c r="H67" s="1654" t="s">
        <v>597</v>
      </c>
      <c r="I67" s="1654" t="s">
        <v>597</v>
      </c>
      <c r="J67" s="1654">
        <v>0</v>
      </c>
      <c r="K67" s="1654">
        <v>0</v>
      </c>
    </row>
    <row r="68" spans="1:11">
      <c r="A68" t="s">
        <v>14</v>
      </c>
      <c r="B68" s="1654">
        <v>3</v>
      </c>
      <c r="C68" s="1654">
        <v>2</v>
      </c>
      <c r="K68" s="90"/>
    </row>
    <row r="69" spans="1:11">
      <c r="A69" t="s">
        <v>19</v>
      </c>
      <c r="B69" s="1654">
        <v>4</v>
      </c>
      <c r="C69" s="1654">
        <v>2178</v>
      </c>
      <c r="D69" s="1654">
        <v>828</v>
      </c>
      <c r="E69" s="1654" t="s">
        <v>1980</v>
      </c>
      <c r="F69" s="1654">
        <v>0</v>
      </c>
      <c r="G69" s="1654" t="s">
        <v>596</v>
      </c>
      <c r="H69" s="1654" t="s">
        <v>596</v>
      </c>
      <c r="I69" s="1654" t="s">
        <v>597</v>
      </c>
      <c r="J69" s="1654" t="s">
        <v>890</v>
      </c>
      <c r="K69" s="1654" t="s">
        <v>890</v>
      </c>
    </row>
    <row r="70" spans="1:11">
      <c r="A70" t="s">
        <v>152</v>
      </c>
      <c r="B70" s="1654">
        <v>4</v>
      </c>
      <c r="C70" s="1654">
        <v>230</v>
      </c>
      <c r="D70" s="1654">
        <v>78</v>
      </c>
      <c r="E70" s="1654" t="s">
        <v>1980</v>
      </c>
      <c r="F70" s="1654">
        <v>0</v>
      </c>
      <c r="G70" s="1654" t="s">
        <v>596</v>
      </c>
      <c r="H70" s="1654" t="s">
        <v>596</v>
      </c>
      <c r="I70" s="1654" t="s">
        <v>597</v>
      </c>
      <c r="J70" s="1654" t="s">
        <v>1981</v>
      </c>
      <c r="K70" s="1654" t="s">
        <v>1981</v>
      </c>
    </row>
    <row r="71" spans="1:11">
      <c r="A71" t="s">
        <v>81</v>
      </c>
      <c r="B71" s="1654">
        <v>3</v>
      </c>
      <c r="C71" s="1654">
        <v>728</v>
      </c>
      <c r="D71" s="1654">
        <v>268</v>
      </c>
      <c r="E71" s="1654" t="s">
        <v>1980</v>
      </c>
      <c r="F71" s="1654">
        <v>0</v>
      </c>
      <c r="G71" s="1654" t="s">
        <v>597</v>
      </c>
      <c r="H71" s="1654" t="s">
        <v>596</v>
      </c>
      <c r="I71" s="1654" t="s">
        <v>597</v>
      </c>
      <c r="J71" s="1654" t="s">
        <v>1981</v>
      </c>
      <c r="K71" s="1654" t="s">
        <v>1981</v>
      </c>
    </row>
    <row r="72" spans="1:11">
      <c r="A72" t="s">
        <v>37</v>
      </c>
      <c r="B72" s="1654">
        <v>3</v>
      </c>
      <c r="C72" s="1654">
        <v>1205</v>
      </c>
      <c r="D72" s="1654">
        <v>560</v>
      </c>
      <c r="E72" s="1654" t="s">
        <v>1980</v>
      </c>
      <c r="F72" s="1654">
        <v>0</v>
      </c>
      <c r="G72" s="1654" t="s">
        <v>596</v>
      </c>
      <c r="H72" s="1654" t="s">
        <v>597</v>
      </c>
      <c r="I72" s="1654" t="s">
        <v>596</v>
      </c>
      <c r="J72" s="1654" t="s">
        <v>1981</v>
      </c>
      <c r="K72" s="1654" t="s">
        <v>1981</v>
      </c>
    </row>
    <row r="73" spans="1:11">
      <c r="A73" t="s">
        <v>154</v>
      </c>
      <c r="B73" s="1654">
        <v>3</v>
      </c>
      <c r="C73" s="1654">
        <v>201</v>
      </c>
      <c r="D73" s="1654">
        <v>67</v>
      </c>
      <c r="E73" s="1654" t="s">
        <v>1980</v>
      </c>
      <c r="F73" s="1654">
        <v>0</v>
      </c>
      <c r="G73" s="1654" t="s">
        <v>596</v>
      </c>
      <c r="H73" s="1654" t="s">
        <v>596</v>
      </c>
      <c r="I73" s="1654" t="s">
        <v>596</v>
      </c>
      <c r="J73" s="1654" t="s">
        <v>1981</v>
      </c>
      <c r="K73" s="1654" t="s">
        <v>1981</v>
      </c>
    </row>
    <row r="74" spans="1:11">
      <c r="A74" t="s">
        <v>1024</v>
      </c>
      <c r="B74" s="1654">
        <v>3</v>
      </c>
      <c r="C74" s="1654">
        <v>224</v>
      </c>
      <c r="D74" s="1654">
        <v>92</v>
      </c>
      <c r="E74" s="1654">
        <v>0</v>
      </c>
      <c r="F74" s="1654">
        <v>3</v>
      </c>
      <c r="G74" s="1654" t="s">
        <v>597</v>
      </c>
      <c r="H74" s="1654" t="s">
        <v>597</v>
      </c>
      <c r="I74" s="1654" t="s">
        <v>597</v>
      </c>
      <c r="J74" s="1654" t="s">
        <v>890</v>
      </c>
      <c r="K74" s="1654" t="s">
        <v>890</v>
      </c>
    </row>
    <row r="75" spans="1:11">
      <c r="A75" t="s">
        <v>294</v>
      </c>
      <c r="B75" s="1654">
        <v>19</v>
      </c>
      <c r="C75" s="1654">
        <v>105.99999999999997</v>
      </c>
      <c r="K75" s="90"/>
    </row>
    <row r="76" spans="1:11">
      <c r="A76" t="s">
        <v>15</v>
      </c>
      <c r="B76" s="1654">
        <v>3</v>
      </c>
      <c r="C76" s="1654">
        <v>2431</v>
      </c>
      <c r="D76" s="1654">
        <v>1016</v>
      </c>
      <c r="E76" s="1654" t="s">
        <v>1983</v>
      </c>
      <c r="F76" s="1654">
        <v>0</v>
      </c>
      <c r="G76" s="1654" t="s">
        <v>597</v>
      </c>
      <c r="H76" s="1654" t="s">
        <v>597</v>
      </c>
      <c r="I76" s="1654" t="s">
        <v>597</v>
      </c>
      <c r="J76" s="1654" t="s">
        <v>1981</v>
      </c>
      <c r="K76" s="1654" t="s">
        <v>1981</v>
      </c>
    </row>
    <row r="77" spans="1:11">
      <c r="A77" t="s">
        <v>208</v>
      </c>
      <c r="B77" s="1654">
        <v>4</v>
      </c>
      <c r="C77" s="1654">
        <v>3090</v>
      </c>
      <c r="D77" s="1654">
        <v>910</v>
      </c>
      <c r="E77" s="1654" t="s">
        <v>1980</v>
      </c>
      <c r="F77" s="1654">
        <v>0</v>
      </c>
      <c r="G77" s="1654" t="s">
        <v>596</v>
      </c>
      <c r="H77" s="1654" t="s">
        <v>596</v>
      </c>
      <c r="I77" s="1654" t="s">
        <v>597</v>
      </c>
      <c r="J77" s="1654" t="s">
        <v>1981</v>
      </c>
      <c r="K77" s="1654" t="s">
        <v>1981</v>
      </c>
    </row>
    <row r="78" spans="1:11">
      <c r="A78" t="s">
        <v>82</v>
      </c>
      <c r="B78" s="1654">
        <v>3</v>
      </c>
      <c r="C78" s="1654">
        <v>549</v>
      </c>
      <c r="D78" s="1654">
        <v>325</v>
      </c>
      <c r="E78" s="1654" t="s">
        <v>1980</v>
      </c>
      <c r="F78" s="1654">
        <v>0</v>
      </c>
      <c r="G78" s="1654" t="s">
        <v>596</v>
      </c>
      <c r="H78" s="1654" t="s">
        <v>596</v>
      </c>
      <c r="I78" s="1654" t="s">
        <v>597</v>
      </c>
      <c r="J78" s="1654" t="s">
        <v>1981</v>
      </c>
      <c r="K78" s="1654" t="s">
        <v>1981</v>
      </c>
    </row>
    <row r="79" spans="1:11">
      <c r="A79" t="s">
        <v>112</v>
      </c>
      <c r="B79" s="1654">
        <v>2</v>
      </c>
      <c r="C79" s="1654">
        <v>100</v>
      </c>
      <c r="D79" s="1654">
        <v>50</v>
      </c>
      <c r="E79" s="1654" t="s">
        <v>1980</v>
      </c>
      <c r="F79" s="1654">
        <v>0</v>
      </c>
      <c r="G79" s="1654" t="s">
        <v>597</v>
      </c>
      <c r="H79" s="1654" t="s">
        <v>597</v>
      </c>
      <c r="I79" s="1654" t="s">
        <v>597</v>
      </c>
      <c r="J79" s="1654" t="s">
        <v>1981</v>
      </c>
      <c r="K79" s="1654" t="s">
        <v>1981</v>
      </c>
    </row>
    <row r="80" spans="1:11">
      <c r="A80" t="s">
        <v>1028</v>
      </c>
      <c r="B80" s="1654">
        <v>2</v>
      </c>
      <c r="C80" s="1654">
        <v>345</v>
      </c>
      <c r="D80" s="1654">
        <v>250</v>
      </c>
      <c r="E80" s="1654" t="s">
        <v>1980</v>
      </c>
      <c r="F80" s="1654">
        <v>0</v>
      </c>
      <c r="G80" s="1654" t="s">
        <v>597</v>
      </c>
      <c r="H80" s="1654" t="s">
        <v>597</v>
      </c>
      <c r="I80" s="1654" t="s">
        <v>597</v>
      </c>
      <c r="J80" s="1654" t="s">
        <v>1981</v>
      </c>
      <c r="K80" s="1654" t="s">
        <v>1981</v>
      </c>
    </row>
    <row r="81" spans="1:11">
      <c r="A81" t="s">
        <v>83</v>
      </c>
      <c r="B81" s="1654">
        <v>3</v>
      </c>
      <c r="C81" s="1654">
        <v>1575</v>
      </c>
      <c r="D81" s="1654">
        <v>750</v>
      </c>
      <c r="E81" s="1654" t="s">
        <v>1980</v>
      </c>
      <c r="F81" s="1654">
        <v>0</v>
      </c>
      <c r="G81" s="1654" t="s">
        <v>596</v>
      </c>
      <c r="H81" s="1654" t="s">
        <v>596</v>
      </c>
      <c r="I81" s="1654" t="s">
        <v>596</v>
      </c>
      <c r="J81" s="1654" t="s">
        <v>890</v>
      </c>
      <c r="K81" s="1654" t="s">
        <v>890</v>
      </c>
    </row>
    <row r="82" spans="1:11">
      <c r="A82" t="s">
        <v>296</v>
      </c>
      <c r="B82" s="1654">
        <v>4</v>
      </c>
      <c r="C82" s="1654">
        <v>25.9</v>
      </c>
      <c r="K82" s="90"/>
    </row>
    <row r="83" spans="1:11">
      <c r="A83" t="s">
        <v>46</v>
      </c>
      <c r="B83" s="1654">
        <v>3</v>
      </c>
      <c r="C83" s="1654">
        <v>1195</v>
      </c>
      <c r="D83" s="1654">
        <v>500</v>
      </c>
      <c r="E83" s="1654" t="s">
        <v>1983</v>
      </c>
      <c r="F83" s="1654">
        <v>0</v>
      </c>
      <c r="G83" s="1654" t="s">
        <v>597</v>
      </c>
      <c r="H83" s="1654" t="s">
        <v>596</v>
      </c>
      <c r="I83" s="1654" t="s">
        <v>597</v>
      </c>
      <c r="J83" s="1654" t="s">
        <v>1981</v>
      </c>
      <c r="K83" s="1654" t="s">
        <v>1981</v>
      </c>
    </row>
    <row r="84" spans="1:11">
      <c r="A84" s="93" t="s">
        <v>162</v>
      </c>
      <c r="B84" s="1654">
        <v>4</v>
      </c>
      <c r="C84" s="1654">
        <v>2700</v>
      </c>
      <c r="D84" s="1654">
        <v>1050</v>
      </c>
      <c r="E84" s="1654" t="s">
        <v>1980</v>
      </c>
      <c r="F84" s="1654">
        <v>0</v>
      </c>
      <c r="G84" s="1654" t="s">
        <v>596</v>
      </c>
      <c r="H84" s="1654" t="s">
        <v>596</v>
      </c>
      <c r="I84" s="1654" t="s">
        <v>596</v>
      </c>
      <c r="J84" s="1654" t="s">
        <v>1982</v>
      </c>
      <c r="K84" s="1654" t="s">
        <v>1979</v>
      </c>
    </row>
    <row r="85" spans="1:11">
      <c r="A85" t="s">
        <v>84</v>
      </c>
      <c r="B85" s="1654">
        <v>4</v>
      </c>
      <c r="C85" s="1654">
        <v>1160</v>
      </c>
      <c r="D85" s="1654">
        <v>350</v>
      </c>
      <c r="E85" s="1654" t="s">
        <v>1980</v>
      </c>
      <c r="F85" s="1654">
        <v>2</v>
      </c>
      <c r="G85" s="1654" t="s">
        <v>597</v>
      </c>
      <c r="H85" s="1654" t="s">
        <v>596</v>
      </c>
      <c r="I85" s="1654" t="s">
        <v>597</v>
      </c>
      <c r="J85" s="1654" t="s">
        <v>1991</v>
      </c>
      <c r="K85" s="1654" t="s">
        <v>1991</v>
      </c>
    </row>
    <row r="86" spans="1:11">
      <c r="A86" t="s">
        <v>62</v>
      </c>
      <c r="B86" s="1654">
        <v>1</v>
      </c>
      <c r="C86" s="1654">
        <v>1</v>
      </c>
      <c r="K86" s="90"/>
    </row>
    <row r="87" spans="1:11">
      <c r="A87" t="s">
        <v>43</v>
      </c>
      <c r="B87" s="1654">
        <v>1</v>
      </c>
      <c r="C87" s="1654">
        <v>215</v>
      </c>
      <c r="D87" s="1654">
        <v>215</v>
      </c>
      <c r="E87" s="1654" t="s">
        <v>1980</v>
      </c>
      <c r="F87" s="1654">
        <v>0</v>
      </c>
      <c r="G87" s="1654" t="s">
        <v>597</v>
      </c>
      <c r="H87" s="1654" t="s">
        <v>597</v>
      </c>
      <c r="I87" s="1654" t="s">
        <v>597</v>
      </c>
      <c r="J87" s="1654" t="s">
        <v>890</v>
      </c>
      <c r="K87" s="1654" t="s">
        <v>890</v>
      </c>
    </row>
    <row r="88" spans="1:11">
      <c r="A88" t="s">
        <v>549</v>
      </c>
      <c r="B88" s="1654">
        <v>12</v>
      </c>
      <c r="C88" s="1654">
        <v>33.299999999999997</v>
      </c>
      <c r="K88" s="90"/>
    </row>
    <row r="89" spans="1:11">
      <c r="A89" t="s">
        <v>44</v>
      </c>
      <c r="B89" s="1654">
        <v>4</v>
      </c>
      <c r="C89" s="1654">
        <v>452</v>
      </c>
      <c r="D89" s="1654">
        <v>160</v>
      </c>
      <c r="E89" s="1654" t="s">
        <v>1980</v>
      </c>
      <c r="F89" s="1654">
        <v>0</v>
      </c>
      <c r="G89" s="1654" t="s">
        <v>596</v>
      </c>
      <c r="H89" s="1654" t="s">
        <v>596</v>
      </c>
      <c r="I89" s="1654" t="s">
        <v>597</v>
      </c>
      <c r="J89" s="1654" t="s">
        <v>1981</v>
      </c>
      <c r="K89" s="1654" t="s">
        <v>1981</v>
      </c>
    </row>
    <row r="90" spans="1:11">
      <c r="A90" t="s">
        <v>167</v>
      </c>
      <c r="B90" s="1654">
        <v>2</v>
      </c>
      <c r="C90" s="1654">
        <v>420</v>
      </c>
      <c r="D90" s="1654">
        <v>220</v>
      </c>
      <c r="E90" s="1654" t="s">
        <v>1980</v>
      </c>
      <c r="F90" s="1654">
        <v>1</v>
      </c>
      <c r="G90" s="1654" t="s">
        <v>597</v>
      </c>
      <c r="H90" s="1654" t="s">
        <v>596</v>
      </c>
      <c r="I90" s="1654" t="s">
        <v>597</v>
      </c>
      <c r="J90" s="1654" t="s">
        <v>1981</v>
      </c>
      <c r="K90" s="1654" t="s">
        <v>1981</v>
      </c>
    </row>
    <row r="91" spans="1:11">
      <c r="A91" t="s">
        <v>38</v>
      </c>
      <c r="B91" s="1654">
        <v>4</v>
      </c>
      <c r="C91" s="1654">
        <v>985</v>
      </c>
      <c r="D91" s="1654">
        <v>250</v>
      </c>
      <c r="E91" s="1654" t="s">
        <v>1980</v>
      </c>
      <c r="F91" s="1654">
        <v>0</v>
      </c>
      <c r="G91" s="1654" t="s">
        <v>597</v>
      </c>
      <c r="H91" s="1654" t="s">
        <v>596</v>
      </c>
      <c r="I91" s="1654" t="s">
        <v>596</v>
      </c>
      <c r="J91" s="1654" t="s">
        <v>1981</v>
      </c>
      <c r="K91" s="1654" t="s">
        <v>1981</v>
      </c>
    </row>
    <row r="92" spans="1:11">
      <c r="A92" t="s">
        <v>169</v>
      </c>
      <c r="B92" s="1654">
        <v>4</v>
      </c>
      <c r="C92" s="1654">
        <v>1700</v>
      </c>
      <c r="D92" s="1654">
        <v>500</v>
      </c>
      <c r="E92" s="1654" t="s">
        <v>1980</v>
      </c>
      <c r="F92" s="1654">
        <v>1</v>
      </c>
      <c r="G92" s="1654" t="s">
        <v>596</v>
      </c>
      <c r="H92" s="1654" t="s">
        <v>596</v>
      </c>
      <c r="I92" s="1654" t="s">
        <v>597</v>
      </c>
      <c r="J92" s="1654" t="s">
        <v>1981</v>
      </c>
      <c r="K92" s="1654" t="s">
        <v>1981</v>
      </c>
    </row>
    <row r="93" spans="1:11">
      <c r="A93" t="s">
        <v>33</v>
      </c>
      <c r="B93" s="1654">
        <v>5</v>
      </c>
      <c r="C93" s="1654">
        <v>11.1</v>
      </c>
      <c r="K93" s="90"/>
    </row>
    <row r="94" spans="1:11">
      <c r="A94" t="s">
        <v>85</v>
      </c>
      <c r="B94" s="1654">
        <v>3</v>
      </c>
      <c r="C94" s="1654">
        <v>1150</v>
      </c>
      <c r="D94" s="1654">
        <v>500</v>
      </c>
      <c r="E94" s="1654" t="s">
        <v>1980</v>
      </c>
      <c r="F94" s="1654">
        <v>0</v>
      </c>
      <c r="G94" s="1654" t="s">
        <v>596</v>
      </c>
      <c r="H94" s="1654" t="s">
        <v>596</v>
      </c>
      <c r="I94" s="1654" t="s">
        <v>597</v>
      </c>
      <c r="J94" s="1654" t="s">
        <v>1981</v>
      </c>
      <c r="K94" s="1654" t="s">
        <v>1981</v>
      </c>
    </row>
    <row r="95" spans="1:11">
      <c r="A95" t="s">
        <v>258</v>
      </c>
      <c r="B95" s="1654">
        <v>4</v>
      </c>
      <c r="C95" s="1654">
        <v>202</v>
      </c>
      <c r="D95" s="1654">
        <v>64</v>
      </c>
      <c r="E95" s="1654" t="s">
        <v>1980</v>
      </c>
      <c r="F95" s="1654">
        <v>1</v>
      </c>
      <c r="G95" s="1654" t="s">
        <v>596</v>
      </c>
      <c r="H95" s="1654" t="s">
        <v>596</v>
      </c>
      <c r="I95" s="1654" t="s">
        <v>596</v>
      </c>
      <c r="J95" s="1654">
        <v>18250</v>
      </c>
      <c r="K95" s="1654" t="s">
        <v>1979</v>
      </c>
    </row>
    <row r="96" spans="1:11">
      <c r="A96" t="s">
        <v>173</v>
      </c>
      <c r="B96" s="1654">
        <v>3</v>
      </c>
      <c r="C96" s="1654">
        <v>1100</v>
      </c>
      <c r="D96" s="1654">
        <v>410</v>
      </c>
      <c r="E96" s="1654" t="s">
        <v>1980</v>
      </c>
      <c r="F96" s="1654">
        <v>0</v>
      </c>
      <c r="G96" s="1654" t="s">
        <v>596</v>
      </c>
      <c r="H96" s="1654" t="s">
        <v>596</v>
      </c>
      <c r="I96" s="1654" t="s">
        <v>596</v>
      </c>
      <c r="J96" s="1654" t="s">
        <v>890</v>
      </c>
      <c r="K96" s="1654" t="s">
        <v>890</v>
      </c>
    </row>
    <row r="97" spans="1:11">
      <c r="A97" t="s">
        <v>1033</v>
      </c>
      <c r="B97" s="1654">
        <v>4</v>
      </c>
      <c r="C97" s="1654">
        <v>723</v>
      </c>
      <c r="D97" s="1654">
        <v>275</v>
      </c>
      <c r="E97" s="1654" t="s">
        <v>1980</v>
      </c>
      <c r="F97" s="1654">
        <v>0</v>
      </c>
      <c r="G97" s="1654" t="s">
        <v>597</v>
      </c>
      <c r="H97" s="1654" t="s">
        <v>596</v>
      </c>
      <c r="I97" s="1654" t="s">
        <v>596</v>
      </c>
      <c r="J97" s="1654">
        <v>0</v>
      </c>
      <c r="K97" s="1654">
        <v>0</v>
      </c>
    </row>
    <row r="98" spans="1:11">
      <c r="A98" t="s">
        <v>177</v>
      </c>
      <c r="B98" s="1654">
        <v>2</v>
      </c>
      <c r="C98" s="1654">
        <v>360</v>
      </c>
      <c r="D98" s="1654">
        <v>180</v>
      </c>
      <c r="E98" s="1654" t="s">
        <v>1983</v>
      </c>
      <c r="F98" s="1654">
        <v>1</v>
      </c>
      <c r="G98" s="1654" t="s">
        <v>597</v>
      </c>
      <c r="H98" s="1654" t="s">
        <v>597</v>
      </c>
      <c r="I98" s="1654" t="s">
        <v>597</v>
      </c>
      <c r="J98" s="1654">
        <v>0</v>
      </c>
      <c r="K98" s="1654">
        <v>0</v>
      </c>
    </row>
    <row r="99" spans="1:11">
      <c r="A99" t="s">
        <v>179</v>
      </c>
      <c r="B99" s="1654">
        <v>3</v>
      </c>
      <c r="C99" s="1654">
        <v>234</v>
      </c>
      <c r="D99" s="1654">
        <v>100</v>
      </c>
      <c r="E99" s="1654" t="s">
        <v>1980</v>
      </c>
      <c r="F99" s="1654">
        <v>0</v>
      </c>
      <c r="G99" s="1654" t="s">
        <v>596</v>
      </c>
      <c r="H99" s="1654" t="s">
        <v>596</v>
      </c>
      <c r="I99" s="1654" t="s">
        <v>596</v>
      </c>
      <c r="J99" s="1654">
        <v>9300</v>
      </c>
      <c r="K99" s="1654">
        <v>900</v>
      </c>
    </row>
    <row r="100" spans="1:11">
      <c r="A100" t="s">
        <v>1034</v>
      </c>
      <c r="B100" s="1654">
        <v>3</v>
      </c>
      <c r="C100" s="1654">
        <v>480</v>
      </c>
      <c r="D100" s="1654">
        <v>250</v>
      </c>
      <c r="E100" s="1654" t="s">
        <v>1983</v>
      </c>
      <c r="F100" s="1654">
        <v>0</v>
      </c>
      <c r="G100" s="1654" t="s">
        <v>597</v>
      </c>
      <c r="H100" s="1654" t="s">
        <v>596</v>
      </c>
      <c r="I100" s="1654" t="s">
        <v>597</v>
      </c>
      <c r="J100" s="1654" t="s">
        <v>1981</v>
      </c>
      <c r="K100" s="1654" t="s">
        <v>1981</v>
      </c>
    </row>
    <row r="101" spans="1:11">
      <c r="A101" t="s">
        <v>185</v>
      </c>
      <c r="B101" s="1654">
        <v>4</v>
      </c>
      <c r="C101" s="1654">
        <v>830</v>
      </c>
      <c r="D101" s="1654">
        <v>260</v>
      </c>
      <c r="E101" s="1654" t="s">
        <v>1980</v>
      </c>
      <c r="F101" s="1654">
        <v>0</v>
      </c>
      <c r="G101" s="1654" t="s">
        <v>596</v>
      </c>
      <c r="H101" s="1654" t="s">
        <v>596</v>
      </c>
      <c r="I101" s="1654" t="s">
        <v>596</v>
      </c>
      <c r="J101" s="1654" t="s">
        <v>1981</v>
      </c>
      <c r="K101" s="1654" t="s">
        <v>1981</v>
      </c>
    </row>
    <row r="102" spans="1:11">
      <c r="A102" t="s">
        <v>87</v>
      </c>
      <c r="B102" s="1654">
        <v>3</v>
      </c>
      <c r="C102" s="1654">
        <v>1085</v>
      </c>
      <c r="D102" s="1654">
        <v>500</v>
      </c>
      <c r="E102" s="1654" t="s">
        <v>1980</v>
      </c>
      <c r="F102" s="1654">
        <v>0</v>
      </c>
      <c r="G102" s="1654" t="s">
        <v>597</v>
      </c>
      <c r="H102" s="1654" t="s">
        <v>596</v>
      </c>
      <c r="I102" s="1654" t="s">
        <v>597</v>
      </c>
      <c r="J102" s="1654" t="s">
        <v>1981</v>
      </c>
      <c r="K102" s="1654" t="s">
        <v>1981</v>
      </c>
    </row>
    <row r="103" spans="1:11">
      <c r="A103" t="s">
        <v>16</v>
      </c>
      <c r="B103" s="1654">
        <v>4</v>
      </c>
      <c r="C103" s="1654">
        <v>2140</v>
      </c>
      <c r="D103" s="1654">
        <v>670</v>
      </c>
      <c r="E103" s="1654" t="s">
        <v>1980</v>
      </c>
      <c r="F103" s="1654">
        <v>1</v>
      </c>
      <c r="G103" s="1654" t="s">
        <v>597</v>
      </c>
      <c r="H103" s="1654" t="s">
        <v>596</v>
      </c>
      <c r="I103" s="1654" t="s">
        <v>597</v>
      </c>
      <c r="J103" s="1654">
        <v>60000</v>
      </c>
      <c r="K103" s="1654" t="s">
        <v>1981</v>
      </c>
    </row>
    <row r="104" spans="1:11">
      <c r="A104" t="s">
        <v>28</v>
      </c>
      <c r="B104" s="1654">
        <v>3</v>
      </c>
      <c r="C104" s="1654">
        <v>704</v>
      </c>
      <c r="D104" s="1654">
        <v>268</v>
      </c>
      <c r="E104" s="1654" t="s">
        <v>1980</v>
      </c>
      <c r="F104" s="1654">
        <v>0</v>
      </c>
      <c r="G104" s="1654" t="s">
        <v>596</v>
      </c>
      <c r="H104" s="1654" t="s">
        <v>596</v>
      </c>
      <c r="I104" s="1654" t="s">
        <v>597</v>
      </c>
      <c r="J104" s="1654" t="s">
        <v>890</v>
      </c>
      <c r="K104" s="1654" t="s">
        <v>890</v>
      </c>
    </row>
    <row r="105" spans="1:11">
      <c r="A105" t="s">
        <v>867</v>
      </c>
      <c r="B105" s="1654">
        <v>1</v>
      </c>
      <c r="C105" s="1654">
        <v>3.3</v>
      </c>
      <c r="K105" s="90"/>
    </row>
    <row r="106" spans="1:11">
      <c r="A106" t="s">
        <v>88</v>
      </c>
      <c r="B106" s="1654">
        <v>3</v>
      </c>
      <c r="C106" s="1654">
        <v>708</v>
      </c>
      <c r="D106" s="1654">
        <v>268</v>
      </c>
      <c r="E106" s="1654" t="s">
        <v>1983</v>
      </c>
      <c r="F106" s="1654">
        <v>0</v>
      </c>
      <c r="G106" s="1654" t="s">
        <v>597</v>
      </c>
      <c r="H106" s="1654" t="s">
        <v>596</v>
      </c>
      <c r="I106" s="1654" t="s">
        <v>596</v>
      </c>
      <c r="J106" s="1654" t="s">
        <v>1981</v>
      </c>
      <c r="K106" s="1654" t="s">
        <v>1981</v>
      </c>
    </row>
    <row r="107" spans="1:11">
      <c r="A107" t="s">
        <v>89</v>
      </c>
      <c r="B107" s="1654">
        <v>4</v>
      </c>
      <c r="C107" s="1654">
        <v>1990</v>
      </c>
      <c r="D107" s="1654">
        <v>750</v>
      </c>
      <c r="E107" s="1654" t="s">
        <v>1987</v>
      </c>
      <c r="F107" s="1654">
        <v>0</v>
      </c>
      <c r="G107" s="1654" t="s">
        <v>597</v>
      </c>
      <c r="H107" s="1654" t="s">
        <v>596</v>
      </c>
      <c r="I107" s="1654" t="s">
        <v>597</v>
      </c>
      <c r="J107" s="1654" t="s">
        <v>1981</v>
      </c>
      <c r="K107" s="1654" t="s">
        <v>1981</v>
      </c>
    </row>
    <row r="108" spans="1:11">
      <c r="A108" t="s">
        <v>1041</v>
      </c>
      <c r="B108" s="1654">
        <v>10</v>
      </c>
      <c r="C108" s="1654">
        <v>9.9000000000000021</v>
      </c>
      <c r="K108" s="90"/>
    </row>
    <row r="109" spans="1:11">
      <c r="A109" t="s">
        <v>196</v>
      </c>
      <c r="B109" s="1654">
        <v>1</v>
      </c>
      <c r="C109" s="1654">
        <v>250</v>
      </c>
      <c r="D109" s="1654">
        <v>250</v>
      </c>
      <c r="E109" s="1654" t="s">
        <v>1980</v>
      </c>
      <c r="F109" s="1654">
        <v>0</v>
      </c>
      <c r="G109" s="1654" t="s">
        <v>597</v>
      </c>
      <c r="H109" s="1654" t="s">
        <v>597</v>
      </c>
      <c r="I109" s="1654" t="s">
        <v>597</v>
      </c>
      <c r="J109" s="1654" t="s">
        <v>890</v>
      </c>
      <c r="K109" s="1654" t="s">
        <v>890</v>
      </c>
    </row>
    <row r="110" spans="1:11">
      <c r="A110" t="s">
        <v>39</v>
      </c>
      <c r="B110" s="1654">
        <v>3</v>
      </c>
      <c r="C110" s="1654">
        <v>577</v>
      </c>
      <c r="D110" s="1654">
        <v>230</v>
      </c>
      <c r="E110" s="1654" t="s">
        <v>1980</v>
      </c>
      <c r="F110" s="1654">
        <v>0</v>
      </c>
      <c r="G110" s="1654" t="s">
        <v>596</v>
      </c>
      <c r="H110" s="1654" t="s">
        <v>597</v>
      </c>
      <c r="I110" s="1654" t="s">
        <v>597</v>
      </c>
      <c r="J110" s="1654" t="s">
        <v>890</v>
      </c>
      <c r="K110" s="1654" t="s">
        <v>890</v>
      </c>
    </row>
    <row r="111" spans="1:11">
      <c r="A111" t="s">
        <v>64</v>
      </c>
      <c r="B111" s="1654">
        <v>3</v>
      </c>
      <c r="C111" s="1654">
        <v>488</v>
      </c>
      <c r="D111" s="1654">
        <v>175</v>
      </c>
      <c r="E111" s="1654" t="s">
        <v>1980</v>
      </c>
      <c r="F111" s="1654">
        <v>0</v>
      </c>
      <c r="G111" s="1654" t="s">
        <v>596</v>
      </c>
      <c r="H111" s="1654" t="s">
        <v>596</v>
      </c>
      <c r="I111" s="1654" t="s">
        <v>596</v>
      </c>
      <c r="J111" s="1654" t="s">
        <v>1981</v>
      </c>
      <c r="K111" s="1654" t="s">
        <v>1981</v>
      </c>
    </row>
    <row r="112" spans="1:11">
      <c r="A112" t="s">
        <v>201</v>
      </c>
      <c r="B112" s="1654">
        <v>3</v>
      </c>
      <c r="C112" s="1654">
        <v>295</v>
      </c>
      <c r="D112" s="1654">
        <v>110</v>
      </c>
      <c r="E112" s="1654" t="s">
        <v>1980</v>
      </c>
      <c r="F112" s="1654">
        <v>1</v>
      </c>
      <c r="G112" s="1654" t="s">
        <v>596</v>
      </c>
      <c r="H112" s="1654" t="s">
        <v>597</v>
      </c>
      <c r="I112" s="1654" t="s">
        <v>597</v>
      </c>
      <c r="J112" s="1654" t="s">
        <v>890</v>
      </c>
      <c r="K112" s="1654" t="s">
        <v>890</v>
      </c>
    </row>
    <row r="113" spans="1:11">
      <c r="A113" t="s">
        <v>90</v>
      </c>
      <c r="B113" s="1654">
        <v>3</v>
      </c>
      <c r="C113" s="1654">
        <v>1331</v>
      </c>
      <c r="D113" s="1654">
        <v>500</v>
      </c>
      <c r="E113" s="1654" t="s">
        <v>1980</v>
      </c>
      <c r="F113" s="1654">
        <v>0</v>
      </c>
      <c r="G113" s="1654" t="s">
        <v>597</v>
      </c>
      <c r="H113" s="1654" t="s">
        <v>596</v>
      </c>
      <c r="I113" s="1654" t="s">
        <v>597</v>
      </c>
      <c r="J113" s="1654" t="s">
        <v>1981</v>
      </c>
      <c r="K113" s="1654" t="s">
        <v>1981</v>
      </c>
    </row>
    <row r="114" spans="1:11">
      <c r="A114" t="s">
        <v>1044</v>
      </c>
      <c r="B114" s="1654">
        <v>4</v>
      </c>
      <c r="C114" s="1654">
        <v>1560</v>
      </c>
      <c r="D114" s="1654">
        <v>600</v>
      </c>
      <c r="E114" s="1654" t="s">
        <v>1980</v>
      </c>
      <c r="F114" s="1654">
        <v>0</v>
      </c>
      <c r="G114" s="1654" t="s">
        <v>597</v>
      </c>
      <c r="H114" s="1654" t="s">
        <v>596</v>
      </c>
      <c r="I114" s="1654" t="s">
        <v>596</v>
      </c>
      <c r="J114" s="1654">
        <v>5000</v>
      </c>
      <c r="K114" s="1654">
        <v>16000</v>
      </c>
    </row>
    <row r="115" spans="1:11">
      <c r="A115" t="s">
        <v>91</v>
      </c>
      <c r="B115" s="1654">
        <v>1</v>
      </c>
      <c r="C115" s="1654">
        <v>325</v>
      </c>
      <c r="D115" s="1654">
        <v>325</v>
      </c>
      <c r="E115" s="1654" t="s">
        <v>1980</v>
      </c>
      <c r="F115" s="1654">
        <v>0</v>
      </c>
      <c r="G115" s="1654" t="s">
        <v>597</v>
      </c>
      <c r="H115" s="1654" t="s">
        <v>597</v>
      </c>
      <c r="I115" s="1654" t="s">
        <v>597</v>
      </c>
      <c r="J115" s="1654" t="s">
        <v>890</v>
      </c>
      <c r="K115" s="1654" t="s">
        <v>890</v>
      </c>
    </row>
    <row r="116" spans="1:11">
      <c r="A116" t="s">
        <v>203</v>
      </c>
      <c r="B116" s="1654">
        <v>3</v>
      </c>
      <c r="C116" s="1654">
        <v>300</v>
      </c>
      <c r="D116" s="1654">
        <v>100</v>
      </c>
      <c r="E116" s="1654" t="s">
        <v>1980</v>
      </c>
      <c r="F116" s="1654">
        <v>0</v>
      </c>
      <c r="G116" s="1654" t="s">
        <v>597</v>
      </c>
      <c r="H116" s="1654" t="s">
        <v>597</v>
      </c>
      <c r="I116" s="1654" t="s">
        <v>597</v>
      </c>
      <c r="J116" s="1654" t="s">
        <v>890</v>
      </c>
      <c r="K116" s="1654" t="s">
        <v>890</v>
      </c>
    </row>
    <row r="117" spans="1:11">
      <c r="A117" t="s">
        <v>35</v>
      </c>
      <c r="B117" s="1654">
        <v>3</v>
      </c>
      <c r="C117" s="1654">
        <v>196</v>
      </c>
      <c r="D117" s="1654">
        <v>71</v>
      </c>
      <c r="E117" s="1654" t="s">
        <v>1980</v>
      </c>
      <c r="F117" s="1654">
        <v>0</v>
      </c>
      <c r="G117" s="1654" t="s">
        <v>596</v>
      </c>
      <c r="H117" s="1654" t="s">
        <v>596</v>
      </c>
      <c r="I117" s="1654" t="s">
        <v>597</v>
      </c>
      <c r="J117" s="1654">
        <v>660</v>
      </c>
      <c r="K117" s="1654" t="s">
        <v>1979</v>
      </c>
    </row>
    <row r="118" spans="1:11">
      <c r="A118" t="s">
        <v>31</v>
      </c>
      <c r="B118" s="1654">
        <v>3</v>
      </c>
      <c r="C118" s="1654">
        <v>1184</v>
      </c>
      <c r="D118" s="1654">
        <v>500</v>
      </c>
      <c r="E118" s="1654" t="s">
        <v>1983</v>
      </c>
      <c r="F118" s="1654">
        <v>1</v>
      </c>
      <c r="G118" s="1654" t="s">
        <v>597</v>
      </c>
      <c r="H118" s="1654" t="s">
        <v>597</v>
      </c>
      <c r="I118" s="1654" t="s">
        <v>597</v>
      </c>
      <c r="J118" s="1654" t="s">
        <v>1981</v>
      </c>
      <c r="K118" s="1654" t="s">
        <v>1981</v>
      </c>
    </row>
    <row r="119" spans="1:11">
      <c r="A119" t="s">
        <v>21</v>
      </c>
      <c r="B119" s="1654">
        <v>5</v>
      </c>
      <c r="C119" s="1654">
        <v>16357</v>
      </c>
      <c r="D119" s="1654">
        <v>5211</v>
      </c>
      <c r="E119" s="1654" t="s">
        <v>1980</v>
      </c>
      <c r="F119" s="1654">
        <v>0</v>
      </c>
      <c r="G119" s="1654" t="s">
        <v>596</v>
      </c>
      <c r="H119" s="1654" t="s">
        <v>596</v>
      </c>
      <c r="I119" s="1654" t="s">
        <v>597</v>
      </c>
      <c r="J119" s="1654" t="s">
        <v>1981</v>
      </c>
      <c r="K119" s="1654" t="s">
        <v>1981</v>
      </c>
    </row>
    <row r="120" spans="1:11">
      <c r="A120" t="s">
        <v>1048</v>
      </c>
      <c r="B120" s="1654">
        <v>0</v>
      </c>
      <c r="C120" s="1654">
        <v>0</v>
      </c>
      <c r="D120" s="1654">
        <v>0</v>
      </c>
      <c r="E120" s="1654">
        <v>0</v>
      </c>
      <c r="F120" s="1654">
        <v>0</v>
      </c>
      <c r="G120" s="1654" t="s">
        <v>597</v>
      </c>
      <c r="H120" s="1654" t="s">
        <v>597</v>
      </c>
      <c r="I120" s="1654" t="s">
        <v>597</v>
      </c>
      <c r="J120" s="1654">
        <v>0</v>
      </c>
      <c r="K120" s="1654">
        <v>0</v>
      </c>
    </row>
    <row r="121" spans="1:11">
      <c r="A121" t="s">
        <v>92</v>
      </c>
      <c r="B121" s="1654">
        <v>3</v>
      </c>
      <c r="C121" s="1654">
        <v>1614</v>
      </c>
      <c r="D121" s="1654">
        <v>750</v>
      </c>
      <c r="E121" s="1654" t="s">
        <v>1980</v>
      </c>
      <c r="F121" s="1654">
        <v>2</v>
      </c>
      <c r="G121" s="1654" t="s">
        <v>597</v>
      </c>
      <c r="H121" s="1654" t="s">
        <v>597</v>
      </c>
      <c r="I121" s="1654" t="s">
        <v>597</v>
      </c>
      <c r="J121" s="1654" t="s">
        <v>890</v>
      </c>
      <c r="K121" s="1654" t="s">
        <v>890</v>
      </c>
    </row>
    <row r="122" spans="1:11">
      <c r="A122" t="s">
        <v>1050</v>
      </c>
      <c r="B122" s="1654">
        <v>3</v>
      </c>
      <c r="C122" s="1654">
        <v>1030</v>
      </c>
      <c r="D122" s="1654">
        <v>400</v>
      </c>
      <c r="E122" s="1654" t="s">
        <v>1983</v>
      </c>
      <c r="F122" s="1654">
        <v>0</v>
      </c>
      <c r="G122" s="1654" t="s">
        <v>596</v>
      </c>
      <c r="H122" s="1654" t="s">
        <v>597</v>
      </c>
      <c r="I122" s="1654" t="s">
        <v>597</v>
      </c>
      <c r="J122" s="1654" t="s">
        <v>890</v>
      </c>
      <c r="K122" s="1654" t="s">
        <v>890</v>
      </c>
    </row>
    <row r="123" spans="1:11">
      <c r="A123" t="s">
        <v>209</v>
      </c>
      <c r="B123" s="1654">
        <v>5</v>
      </c>
      <c r="C123" s="1654">
        <v>3910</v>
      </c>
      <c r="D123" s="1654">
        <v>910</v>
      </c>
      <c r="E123" s="1654" t="s">
        <v>1980</v>
      </c>
      <c r="F123" s="1654">
        <v>0</v>
      </c>
      <c r="G123" s="1654" t="s">
        <v>596</v>
      </c>
      <c r="H123" s="1654" t="s">
        <v>596</v>
      </c>
      <c r="I123" s="1654" t="s">
        <v>597</v>
      </c>
      <c r="J123" s="1654" t="s">
        <v>1981</v>
      </c>
      <c r="K123" s="1654" t="s">
        <v>1981</v>
      </c>
    </row>
    <row r="124" spans="1:11">
      <c r="A124" t="s">
        <v>93</v>
      </c>
      <c r="B124" s="1654">
        <v>3</v>
      </c>
      <c r="C124" s="1654">
        <v>1002</v>
      </c>
      <c r="D124" s="1654">
        <v>376</v>
      </c>
      <c r="E124" s="1654" t="s">
        <v>1980</v>
      </c>
      <c r="F124" s="1654">
        <v>0</v>
      </c>
      <c r="G124" s="1654" t="s">
        <v>597</v>
      </c>
      <c r="H124" s="1654" t="s">
        <v>596</v>
      </c>
      <c r="I124" s="1654" t="s">
        <v>597</v>
      </c>
      <c r="J124" s="1654">
        <v>7300</v>
      </c>
      <c r="K124" s="1654" t="s">
        <v>1979</v>
      </c>
    </row>
    <row r="125" spans="1:11">
      <c r="A125" t="s">
        <v>214</v>
      </c>
      <c r="B125" s="1654">
        <v>3</v>
      </c>
      <c r="C125" s="1654">
        <v>708</v>
      </c>
      <c r="D125" s="1654">
        <v>250</v>
      </c>
      <c r="E125" s="1654" t="s">
        <v>1978</v>
      </c>
      <c r="F125" s="1654">
        <v>0</v>
      </c>
      <c r="G125" s="1654" t="s">
        <v>597</v>
      </c>
      <c r="H125" s="1654" t="s">
        <v>596</v>
      </c>
      <c r="I125" s="1654" t="s">
        <v>597</v>
      </c>
      <c r="J125" s="1654">
        <v>9000</v>
      </c>
      <c r="K125" s="1654" t="s">
        <v>1981</v>
      </c>
    </row>
    <row r="126" spans="1:11">
      <c r="A126" t="s">
        <v>94</v>
      </c>
      <c r="B126" s="1654">
        <v>1</v>
      </c>
      <c r="C126" s="1654">
        <v>500</v>
      </c>
      <c r="D126" s="1654">
        <v>500</v>
      </c>
      <c r="E126" s="1654" t="s">
        <v>1980</v>
      </c>
      <c r="F126" s="1654">
        <v>0</v>
      </c>
      <c r="G126" s="1654" t="s">
        <v>597</v>
      </c>
      <c r="H126" s="1654" t="s">
        <v>596</v>
      </c>
      <c r="I126" s="1654" t="s">
        <v>597</v>
      </c>
      <c r="J126" s="1654" t="s">
        <v>890</v>
      </c>
      <c r="K126" s="1654" t="s">
        <v>890</v>
      </c>
    </row>
    <row r="127" spans="1:11">
      <c r="A127" t="s">
        <v>29</v>
      </c>
      <c r="B127" s="1654">
        <v>3</v>
      </c>
      <c r="C127" s="1654">
        <v>530</v>
      </c>
      <c r="D127" s="1654">
        <v>200</v>
      </c>
      <c r="E127" s="1654" t="s">
        <v>1980</v>
      </c>
      <c r="F127" s="1654">
        <v>0</v>
      </c>
      <c r="G127" s="1654" t="s">
        <v>597</v>
      </c>
      <c r="H127" s="1654" t="s">
        <v>597</v>
      </c>
      <c r="I127" s="1654" t="s">
        <v>597</v>
      </c>
      <c r="J127" s="1654" t="s">
        <v>890</v>
      </c>
      <c r="K127" s="1654" t="s">
        <v>890</v>
      </c>
    </row>
    <row r="128" spans="1:11">
      <c r="A128" t="s">
        <v>217</v>
      </c>
      <c r="B128" s="1654">
        <v>3</v>
      </c>
      <c r="C128" s="1654">
        <v>335</v>
      </c>
      <c r="D128" s="1654">
        <v>190</v>
      </c>
      <c r="E128" s="1654" t="s">
        <v>1980</v>
      </c>
      <c r="F128" s="1654">
        <v>0</v>
      </c>
      <c r="G128" s="1654" t="s">
        <v>596</v>
      </c>
      <c r="H128" s="1654" t="s">
        <v>597</v>
      </c>
      <c r="I128" s="1654" t="s">
        <v>597</v>
      </c>
      <c r="J128" s="1654">
        <v>0</v>
      </c>
      <c r="K128" s="1654">
        <v>0</v>
      </c>
    </row>
    <row r="129" spans="1:11">
      <c r="A129" t="s">
        <v>45</v>
      </c>
      <c r="B129" s="1654">
        <v>3</v>
      </c>
      <c r="C129" s="1654">
        <v>211</v>
      </c>
      <c r="D129" s="1654">
        <v>95</v>
      </c>
      <c r="E129" s="1654" t="s">
        <v>1980</v>
      </c>
      <c r="F129" s="1654">
        <v>0</v>
      </c>
      <c r="G129" s="1654" t="s">
        <v>596</v>
      </c>
      <c r="H129" s="1654" t="s">
        <v>597</v>
      </c>
      <c r="I129" s="1654" t="s">
        <v>597</v>
      </c>
      <c r="J129" s="1654" t="s">
        <v>1986</v>
      </c>
      <c r="K129" s="1654" t="s">
        <v>890</v>
      </c>
    </row>
    <row r="130" spans="1:11">
      <c r="A130" t="s">
        <v>1054</v>
      </c>
      <c r="B130" s="1654">
        <v>3</v>
      </c>
      <c r="C130" s="1654">
        <v>921</v>
      </c>
      <c r="D130" s="1654">
        <v>371</v>
      </c>
      <c r="E130" s="1654" t="s">
        <v>1980</v>
      </c>
      <c r="F130" s="1654">
        <v>0</v>
      </c>
      <c r="G130" s="1654" t="s">
        <v>596</v>
      </c>
      <c r="H130" s="1654" t="s">
        <v>597</v>
      </c>
      <c r="I130" s="1654" t="s">
        <v>597</v>
      </c>
      <c r="J130" s="1654" t="s">
        <v>1981</v>
      </c>
      <c r="K130" s="1654" t="s">
        <v>1981</v>
      </c>
    </row>
    <row r="131" spans="1:11">
      <c r="A131" t="s">
        <v>1055</v>
      </c>
      <c r="B131" s="1654">
        <v>3</v>
      </c>
      <c r="C131" s="1654">
        <v>473</v>
      </c>
      <c r="D131" s="1654">
        <v>175</v>
      </c>
      <c r="E131" s="1654" t="s">
        <v>1980</v>
      </c>
      <c r="F131" s="1654">
        <v>0</v>
      </c>
      <c r="G131" s="1654" t="s">
        <v>597</v>
      </c>
      <c r="H131" s="1654" t="s">
        <v>596</v>
      </c>
      <c r="I131" s="1654" t="s">
        <v>596</v>
      </c>
      <c r="J131" s="1654">
        <v>10950</v>
      </c>
      <c r="K131" s="1654" t="s">
        <v>1981</v>
      </c>
    </row>
    <row r="132" spans="1:11">
      <c r="A132" t="s">
        <v>550</v>
      </c>
      <c r="B132" s="1654">
        <v>8</v>
      </c>
      <c r="C132" s="1654">
        <v>13.2</v>
      </c>
      <c r="K132" s="90"/>
    </row>
    <row r="133" spans="1:11">
      <c r="A133" t="s">
        <v>220</v>
      </c>
      <c r="B133" s="1654">
        <v>3</v>
      </c>
      <c r="C133" s="1654">
        <v>246</v>
      </c>
      <c r="D133" s="1654">
        <v>101</v>
      </c>
      <c r="E133" s="1654" t="s">
        <v>1980</v>
      </c>
      <c r="F133" s="1654">
        <v>0</v>
      </c>
      <c r="G133" s="1654" t="s">
        <v>596</v>
      </c>
      <c r="H133" s="1654" t="s">
        <v>596</v>
      </c>
      <c r="I133" s="1654" t="s">
        <v>596</v>
      </c>
      <c r="J133" s="1654" t="s">
        <v>1981</v>
      </c>
      <c r="K133" s="1654" t="s">
        <v>1981</v>
      </c>
    </row>
    <row r="134" spans="1:11">
      <c r="A134" t="s">
        <v>95</v>
      </c>
      <c r="B134" s="1654">
        <v>3</v>
      </c>
      <c r="C134" s="1654">
        <v>1.2</v>
      </c>
      <c r="K134"/>
    </row>
    <row r="135" spans="1:11">
      <c r="A135" t="s">
        <v>1988</v>
      </c>
      <c r="B135" s="1654">
        <v>3</v>
      </c>
      <c r="C135" s="1654">
        <v>1202</v>
      </c>
      <c r="D135" s="1654">
        <v>450</v>
      </c>
      <c r="E135" s="1654" t="s">
        <v>1980</v>
      </c>
      <c r="F135" s="1654">
        <v>0</v>
      </c>
      <c r="G135" s="1654" t="s">
        <v>597</v>
      </c>
      <c r="H135" s="1654" t="s">
        <v>597</v>
      </c>
      <c r="I135" s="1654" t="s">
        <v>597</v>
      </c>
      <c r="J135" s="1654">
        <v>0</v>
      </c>
      <c r="K135" s="1654">
        <v>0</v>
      </c>
    </row>
    <row r="136" spans="1:11">
      <c r="A136" t="s">
        <v>259</v>
      </c>
      <c r="B136" s="1654">
        <v>2</v>
      </c>
      <c r="C136" s="1654">
        <v>129</v>
      </c>
      <c r="D136" s="1654">
        <v>75</v>
      </c>
      <c r="E136" s="1654" t="s">
        <v>1980</v>
      </c>
      <c r="F136" s="1654">
        <v>0</v>
      </c>
      <c r="G136" s="1654" t="s">
        <v>597</v>
      </c>
      <c r="H136" s="1654" t="s">
        <v>596</v>
      </c>
      <c r="I136" s="1654" t="s">
        <v>597</v>
      </c>
      <c r="J136" s="1654" t="s">
        <v>890</v>
      </c>
      <c r="K136" s="1654">
        <v>0</v>
      </c>
    </row>
    <row r="137" spans="1:11">
      <c r="A137" t="s">
        <v>210</v>
      </c>
      <c r="B137" s="1654">
        <v>4</v>
      </c>
      <c r="C137" s="1654">
        <v>3.1</v>
      </c>
      <c r="K137"/>
    </row>
    <row r="138" spans="1:11">
      <c r="A138" t="s">
        <v>211</v>
      </c>
      <c r="B138" s="1654">
        <v>4</v>
      </c>
      <c r="C138" s="1654">
        <v>2.4</v>
      </c>
      <c r="K138"/>
    </row>
    <row r="139" spans="1:11">
      <c r="A139" t="s">
        <v>233</v>
      </c>
      <c r="B139" s="1654">
        <v>3</v>
      </c>
      <c r="C139" s="1654">
        <v>466</v>
      </c>
      <c r="D139" s="1654">
        <v>187</v>
      </c>
      <c r="E139" s="1654" t="s">
        <v>1980</v>
      </c>
      <c r="F139" s="1654">
        <v>0</v>
      </c>
      <c r="G139" s="1654" t="s">
        <v>597</v>
      </c>
      <c r="H139" s="1654" t="s">
        <v>596</v>
      </c>
      <c r="I139" s="1654" t="s">
        <v>597</v>
      </c>
      <c r="J139" s="1654">
        <v>14600</v>
      </c>
      <c r="K139" s="1654">
        <v>2500</v>
      </c>
    </row>
    <row r="140" spans="1:11">
      <c r="A140" t="s">
        <v>223</v>
      </c>
      <c r="B140" s="1654">
        <v>2</v>
      </c>
      <c r="C140" s="1654">
        <v>369</v>
      </c>
      <c r="D140" s="1654">
        <v>190</v>
      </c>
      <c r="E140" s="1654" t="s">
        <v>1980</v>
      </c>
      <c r="F140" s="1654">
        <v>1</v>
      </c>
      <c r="G140" s="1654" t="s">
        <v>597</v>
      </c>
      <c r="H140" s="1654" t="s">
        <v>596</v>
      </c>
      <c r="I140" s="1654" t="s">
        <v>597</v>
      </c>
      <c r="J140" s="1654" t="s">
        <v>1981</v>
      </c>
      <c r="K140" s="1654" t="s">
        <v>1981</v>
      </c>
    </row>
    <row r="141" spans="1:11">
      <c r="A141" s="90" t="s">
        <v>27</v>
      </c>
      <c r="B141" s="1854">
        <v>3</v>
      </c>
      <c r="C141" s="1854">
        <f>350+363+499</f>
        <v>1212</v>
      </c>
      <c r="D141" s="1854">
        <v>499</v>
      </c>
      <c r="E141" s="1855" t="s">
        <v>1983</v>
      </c>
      <c r="F141" s="1854"/>
      <c r="G141" s="1855" t="s">
        <v>596</v>
      </c>
      <c r="H141" s="1855" t="s">
        <v>597</v>
      </c>
      <c r="I141" s="1855" t="s">
        <v>596</v>
      </c>
      <c r="J141" s="1855" t="s">
        <v>1981</v>
      </c>
      <c r="K141" s="1855" t="s">
        <v>1981</v>
      </c>
    </row>
    <row r="142" spans="1:11">
      <c r="A142" t="s">
        <v>409</v>
      </c>
      <c r="B142" s="1654">
        <v>3</v>
      </c>
      <c r="C142" s="1654">
        <v>367</v>
      </c>
      <c r="D142" s="1654">
        <v>187</v>
      </c>
      <c r="E142" s="1654" t="s">
        <v>1980</v>
      </c>
      <c r="F142" s="1654">
        <v>1</v>
      </c>
      <c r="G142" s="1654" t="s">
        <v>597</v>
      </c>
      <c r="H142" s="1654" t="s">
        <v>597</v>
      </c>
      <c r="I142" s="1654" t="s">
        <v>597</v>
      </c>
      <c r="J142" s="1654" t="s">
        <v>1981</v>
      </c>
      <c r="K142" s="1654" t="s">
        <v>1981</v>
      </c>
    </row>
    <row r="143" spans="1:11">
      <c r="A143" t="s">
        <v>190</v>
      </c>
      <c r="B143" s="1654">
        <v>3</v>
      </c>
      <c r="C143" s="1654">
        <v>130</v>
      </c>
      <c r="D143" s="1654">
        <v>50</v>
      </c>
      <c r="E143" s="1654" t="s">
        <v>1980</v>
      </c>
      <c r="F143" s="1654">
        <v>3</v>
      </c>
      <c r="G143" s="1654" t="s">
        <v>597</v>
      </c>
      <c r="H143" s="1654" t="s">
        <v>597</v>
      </c>
      <c r="I143" s="1654" t="s">
        <v>597</v>
      </c>
      <c r="J143" s="1654">
        <v>0</v>
      </c>
      <c r="K143" s="1654">
        <v>0</v>
      </c>
    </row>
    <row r="144" spans="1:11">
      <c r="A144" t="s">
        <v>34</v>
      </c>
      <c r="B144" s="1654">
        <v>3</v>
      </c>
      <c r="C144" s="1654">
        <v>470</v>
      </c>
      <c r="D144" s="1654">
        <v>230</v>
      </c>
      <c r="E144" s="1654" t="s">
        <v>1980</v>
      </c>
      <c r="F144" s="1654">
        <v>0</v>
      </c>
      <c r="G144" s="1654" t="s">
        <v>596</v>
      </c>
      <c r="H144" s="1654" t="s">
        <v>596</v>
      </c>
      <c r="I144" s="1654" t="s">
        <v>596</v>
      </c>
      <c r="J144" s="1654">
        <v>14600</v>
      </c>
      <c r="K144" s="1654">
        <v>3650</v>
      </c>
    </row>
    <row r="145" spans="1:11">
      <c r="A145" t="s">
        <v>97</v>
      </c>
      <c r="B145" s="1654">
        <v>3</v>
      </c>
      <c r="C145" s="1654">
        <v>904</v>
      </c>
      <c r="D145" s="1654">
        <v>376</v>
      </c>
      <c r="E145" s="1654" t="s">
        <v>1980</v>
      </c>
      <c r="F145" s="1654">
        <v>0</v>
      </c>
      <c r="G145" s="1654" t="s">
        <v>597</v>
      </c>
      <c r="H145" s="1654" t="s">
        <v>596</v>
      </c>
      <c r="I145" s="1654" t="s">
        <v>597</v>
      </c>
      <c r="J145" s="1654" t="s">
        <v>1981</v>
      </c>
      <c r="K145" s="1654" t="s">
        <v>1981</v>
      </c>
    </row>
    <row r="146" spans="1:11">
      <c r="A146" t="s">
        <v>1061</v>
      </c>
      <c r="B146" s="1654">
        <v>4</v>
      </c>
      <c r="C146" s="1654">
        <v>890</v>
      </c>
      <c r="D146" s="1654">
        <v>330</v>
      </c>
      <c r="E146" s="1654" t="s">
        <v>1980</v>
      </c>
      <c r="F146" s="1654">
        <v>2</v>
      </c>
      <c r="G146" s="1654" t="s">
        <v>597</v>
      </c>
      <c r="H146" s="1654" t="s">
        <v>597</v>
      </c>
      <c r="I146" s="1654" t="s">
        <v>597</v>
      </c>
      <c r="J146" s="1654" t="s">
        <v>890</v>
      </c>
      <c r="K146" s="1654" t="s">
        <v>890</v>
      </c>
    </row>
    <row r="147" spans="1:11">
      <c r="A147" t="s">
        <v>1062</v>
      </c>
      <c r="B147" s="1654">
        <v>3</v>
      </c>
      <c r="C147" s="1654">
        <v>2175</v>
      </c>
      <c r="D147" s="1654">
        <v>915</v>
      </c>
      <c r="E147" s="1654" t="s">
        <v>1980</v>
      </c>
      <c r="F147" s="1654">
        <v>0</v>
      </c>
      <c r="G147" s="1654" t="s">
        <v>596</v>
      </c>
      <c r="H147" s="1654" t="s">
        <v>596</v>
      </c>
      <c r="I147" s="1654" t="s">
        <v>597</v>
      </c>
      <c r="J147" s="1654" t="s">
        <v>1981</v>
      </c>
      <c r="K147" s="1654" t="s">
        <v>1981</v>
      </c>
    </row>
    <row r="148" spans="1:11">
      <c r="A148" t="s">
        <v>1063</v>
      </c>
      <c r="B148" s="1654">
        <v>3</v>
      </c>
      <c r="C148" s="1654">
        <v>1060</v>
      </c>
      <c r="D148" s="1654">
        <v>500</v>
      </c>
      <c r="E148" s="1654" t="s">
        <v>1980</v>
      </c>
      <c r="F148" s="1654">
        <v>1</v>
      </c>
      <c r="G148" s="1654" t="s">
        <v>597</v>
      </c>
      <c r="H148" s="1654" t="s">
        <v>597</v>
      </c>
      <c r="I148" s="1654" t="s">
        <v>597</v>
      </c>
      <c r="J148" s="1654" t="s">
        <v>890</v>
      </c>
      <c r="K148" s="1654" t="s">
        <v>890</v>
      </c>
    </row>
    <row r="149" spans="1:11">
      <c r="A149" t="s">
        <v>1064</v>
      </c>
      <c r="B149" s="1654">
        <v>5</v>
      </c>
      <c r="C149" s="1654">
        <v>2920</v>
      </c>
      <c r="D149" s="1654">
        <v>855</v>
      </c>
      <c r="E149" s="1654" t="s">
        <v>1983</v>
      </c>
      <c r="F149" s="1654">
        <v>0</v>
      </c>
      <c r="G149" s="1654" t="s">
        <v>597</v>
      </c>
      <c r="H149" s="1654" t="s">
        <v>596</v>
      </c>
      <c r="I149" s="1654" t="s">
        <v>597</v>
      </c>
      <c r="J149" s="1654" t="s">
        <v>1981</v>
      </c>
      <c r="K149" s="1654" t="s">
        <v>1981</v>
      </c>
    </row>
    <row r="150" spans="1:11">
      <c r="A150" t="s">
        <v>227</v>
      </c>
      <c r="B150" s="1654">
        <v>4</v>
      </c>
      <c r="C150" s="1654">
        <v>2880</v>
      </c>
      <c r="D150" s="1654">
        <v>900</v>
      </c>
      <c r="E150" s="1654" t="s">
        <v>1980</v>
      </c>
      <c r="F150" s="1654">
        <v>0</v>
      </c>
      <c r="G150" s="1654" t="s">
        <v>596</v>
      </c>
      <c r="H150" s="1654" t="s">
        <v>596</v>
      </c>
      <c r="I150" s="1654" t="s">
        <v>597</v>
      </c>
      <c r="J150" s="1654">
        <v>3650</v>
      </c>
      <c r="K150" s="1654">
        <v>18250</v>
      </c>
    </row>
    <row r="151" spans="1:11">
      <c r="A151" t="s">
        <v>98</v>
      </c>
      <c r="B151" s="1654">
        <v>3</v>
      </c>
      <c r="C151" s="1654">
        <v>1523</v>
      </c>
      <c r="D151" s="1654">
        <v>660</v>
      </c>
      <c r="E151" s="1654" t="s">
        <v>1980</v>
      </c>
      <c r="F151" s="1654">
        <v>0</v>
      </c>
      <c r="G151" s="1654" t="s">
        <v>596</v>
      </c>
      <c r="H151" s="1654" t="s">
        <v>596</v>
      </c>
      <c r="I151" s="1654" t="s">
        <v>597</v>
      </c>
      <c r="J151" s="1654" t="s">
        <v>1981</v>
      </c>
      <c r="K151" s="1654" t="s">
        <v>1981</v>
      </c>
    </row>
    <row r="152" spans="1:11">
      <c r="A152" t="s">
        <v>99</v>
      </c>
      <c r="B152" s="1654">
        <v>3</v>
      </c>
      <c r="C152" s="1654">
        <v>1285</v>
      </c>
      <c r="D152" s="1654">
        <v>660</v>
      </c>
      <c r="E152" s="1654" t="s">
        <v>1980</v>
      </c>
      <c r="F152" s="1654">
        <v>0</v>
      </c>
      <c r="G152" s="1654" t="s">
        <v>597</v>
      </c>
      <c r="H152" s="1654" t="s">
        <v>596</v>
      </c>
      <c r="I152" s="1654" t="s">
        <v>597</v>
      </c>
      <c r="J152" s="1654" t="s">
        <v>890</v>
      </c>
      <c r="K152" s="1654" t="s">
        <v>890</v>
      </c>
    </row>
    <row r="153" spans="1:11">
      <c r="A153" t="s">
        <v>100</v>
      </c>
      <c r="B153" s="1654">
        <v>3</v>
      </c>
      <c r="C153" s="1654">
        <v>1625</v>
      </c>
      <c r="D153" s="1654">
        <v>800</v>
      </c>
      <c r="E153" s="1654" t="s">
        <v>1980</v>
      </c>
      <c r="F153" s="1654">
        <v>1</v>
      </c>
      <c r="G153" s="1654" t="s">
        <v>596</v>
      </c>
      <c r="H153" s="1654" t="s">
        <v>596</v>
      </c>
      <c r="I153" s="1654" t="s">
        <v>596</v>
      </c>
      <c r="J153" s="1654" t="s">
        <v>1981</v>
      </c>
      <c r="K153" s="1654" t="s">
        <v>1981</v>
      </c>
    </row>
    <row r="154" spans="1:11">
      <c r="A154" t="s">
        <v>1067</v>
      </c>
      <c r="B154" s="1654">
        <v>2</v>
      </c>
      <c r="C154" s="1654">
        <v>2.4</v>
      </c>
      <c r="K154"/>
    </row>
    <row r="155" spans="1:11">
      <c r="A155" t="s">
        <v>1068</v>
      </c>
      <c r="B155" s="1654">
        <v>6</v>
      </c>
      <c r="C155" s="1654">
        <v>15.600000000000001</v>
      </c>
      <c r="K155"/>
    </row>
    <row r="156" spans="1:11">
      <c r="A156" t="s">
        <v>101</v>
      </c>
      <c r="B156" s="1654">
        <v>3</v>
      </c>
      <c r="C156" s="1654">
        <v>407.5</v>
      </c>
      <c r="D156" s="1654">
        <v>190</v>
      </c>
      <c r="E156" s="1654" t="s">
        <v>1980</v>
      </c>
      <c r="F156" s="1654">
        <v>0</v>
      </c>
      <c r="G156" s="1654" t="s">
        <v>597</v>
      </c>
      <c r="H156" s="1654" t="s">
        <v>596</v>
      </c>
      <c r="I156" s="1654" t="s">
        <v>597</v>
      </c>
      <c r="J156" s="1654" t="s">
        <v>1981</v>
      </c>
      <c r="K156" s="1654" t="s">
        <v>1981</v>
      </c>
    </row>
    <row r="157" spans="1:11">
      <c r="A157" t="s">
        <v>102</v>
      </c>
      <c r="B157" s="1654">
        <v>3</v>
      </c>
      <c r="C157" s="1654">
        <v>998</v>
      </c>
      <c r="D157" s="1654">
        <v>470</v>
      </c>
      <c r="E157" s="1654" t="s">
        <v>1983</v>
      </c>
      <c r="F157" s="1654">
        <v>0</v>
      </c>
      <c r="G157" s="1654" t="s">
        <v>596</v>
      </c>
      <c r="H157" s="1654" t="s">
        <v>596</v>
      </c>
      <c r="I157" s="1654" t="s">
        <v>597</v>
      </c>
      <c r="J157" s="1654" t="s">
        <v>1981</v>
      </c>
      <c r="K157" s="1654" t="s">
        <v>1981</v>
      </c>
    </row>
    <row r="158" spans="1:11">
      <c r="A158" t="s">
        <v>103</v>
      </c>
      <c r="B158" s="1654">
        <v>4</v>
      </c>
      <c r="C158" s="1654">
        <v>1576</v>
      </c>
      <c r="D158" s="1654">
        <v>500</v>
      </c>
      <c r="E158" s="1654" t="s">
        <v>1980</v>
      </c>
      <c r="F158" s="1654">
        <v>2</v>
      </c>
      <c r="G158" s="1654" t="s">
        <v>597</v>
      </c>
      <c r="H158" s="1654" t="s">
        <v>596</v>
      </c>
      <c r="I158" s="1654" t="s">
        <v>597</v>
      </c>
      <c r="J158" s="1654" t="s">
        <v>1981</v>
      </c>
      <c r="K158" s="1654" t="s">
        <v>1981</v>
      </c>
    </row>
    <row r="159" spans="1:11">
      <c r="A159" t="s">
        <v>32</v>
      </c>
      <c r="B159" s="1654">
        <v>4</v>
      </c>
      <c r="C159" s="1654">
        <v>1317</v>
      </c>
      <c r="D159" s="1654">
        <v>400</v>
      </c>
      <c r="E159" s="1654" t="s">
        <v>1980</v>
      </c>
      <c r="F159" s="1654">
        <v>0</v>
      </c>
      <c r="G159" s="1654" t="s">
        <v>597</v>
      </c>
      <c r="H159" s="1654" t="s">
        <v>596</v>
      </c>
      <c r="I159" s="1654" t="s">
        <v>597</v>
      </c>
      <c r="J159" s="1654" t="s">
        <v>1981</v>
      </c>
      <c r="K159" s="1654" t="s">
        <v>1981</v>
      </c>
    </row>
    <row r="160" spans="1:11">
      <c r="A160" t="s">
        <v>551</v>
      </c>
      <c r="B160" s="1654">
        <v>5</v>
      </c>
      <c r="C160" s="1654">
        <v>25.6</v>
      </c>
      <c r="K160"/>
    </row>
    <row r="161" spans="1:11">
      <c r="A161" t="s">
        <v>20</v>
      </c>
      <c r="B161" s="1654">
        <v>4</v>
      </c>
      <c r="C161" s="1654">
        <v>3.4000000000000004</v>
      </c>
      <c r="K161"/>
    </row>
    <row r="162" spans="1:11">
      <c r="A162" t="s">
        <v>253</v>
      </c>
      <c r="B162" s="1654">
        <v>3</v>
      </c>
      <c r="C162" s="1654">
        <v>730</v>
      </c>
      <c r="D162" s="1654">
        <v>275</v>
      </c>
      <c r="E162" s="1654" t="s">
        <v>1980</v>
      </c>
      <c r="F162" s="1654">
        <v>0</v>
      </c>
      <c r="G162" s="1654" t="s">
        <v>596</v>
      </c>
      <c r="H162" s="1654" t="s">
        <v>596</v>
      </c>
      <c r="I162" s="1654" t="s">
        <v>597</v>
      </c>
      <c r="J162" s="1654" t="s">
        <v>1981</v>
      </c>
      <c r="K162" s="1654" t="s">
        <v>1981</v>
      </c>
    </row>
    <row r="163" spans="1:11">
      <c r="A163" t="s">
        <v>191</v>
      </c>
      <c r="B163" s="1654">
        <v>4</v>
      </c>
      <c r="C163" s="1654">
        <v>323</v>
      </c>
      <c r="D163" s="1654">
        <v>110</v>
      </c>
      <c r="E163" s="1654" t="s">
        <v>1980</v>
      </c>
      <c r="F163" s="1654">
        <v>0</v>
      </c>
      <c r="G163" s="1654" t="s">
        <v>596</v>
      </c>
      <c r="H163" s="1654" t="s">
        <v>597</v>
      </c>
      <c r="I163" s="1654" t="s">
        <v>597</v>
      </c>
      <c r="J163" s="1654">
        <v>0</v>
      </c>
      <c r="K163" s="1654">
        <v>0</v>
      </c>
    </row>
    <row r="164" spans="1:11">
      <c r="A164" t="s">
        <v>2001</v>
      </c>
      <c r="B164" s="1654">
        <v>3</v>
      </c>
      <c r="C164" s="1654">
        <v>6.5</v>
      </c>
      <c r="K164"/>
    </row>
    <row r="165" spans="1:11">
      <c r="A165" t="s">
        <v>105</v>
      </c>
      <c r="B165" s="1654">
        <v>3</v>
      </c>
      <c r="C165" s="1654">
        <v>1</v>
      </c>
      <c r="K165"/>
    </row>
    <row r="166" spans="1:11">
      <c r="A166" t="s">
        <v>106</v>
      </c>
      <c r="B166" s="1654">
        <v>3</v>
      </c>
      <c r="C166" s="1654">
        <v>1100</v>
      </c>
      <c r="D166" s="1654">
        <v>500</v>
      </c>
      <c r="E166" s="1654" t="s">
        <v>1980</v>
      </c>
      <c r="F166" s="1654">
        <v>1</v>
      </c>
      <c r="G166" s="1654" t="s">
        <v>597</v>
      </c>
      <c r="H166" s="1654" t="s">
        <v>597</v>
      </c>
      <c r="I166" s="1654" t="s">
        <v>597</v>
      </c>
      <c r="J166" s="1654" t="s">
        <v>890</v>
      </c>
      <c r="K166" s="1654" t="s">
        <v>890</v>
      </c>
    </row>
    <row r="167" spans="1:11">
      <c r="A167" t="s">
        <v>411</v>
      </c>
      <c r="B167" s="1654">
        <v>4</v>
      </c>
      <c r="C167" s="1654">
        <v>258</v>
      </c>
      <c r="D167" s="1654">
        <v>95</v>
      </c>
      <c r="E167" s="1654" t="s">
        <v>1980</v>
      </c>
      <c r="F167" s="1654">
        <v>0</v>
      </c>
      <c r="G167" s="1654" t="s">
        <v>596</v>
      </c>
      <c r="H167" s="1654" t="s">
        <v>596</v>
      </c>
      <c r="I167" s="1654" t="s">
        <v>596</v>
      </c>
      <c r="J167" s="1654" t="s">
        <v>1981</v>
      </c>
      <c r="K167" s="1654" t="s">
        <v>1981</v>
      </c>
    </row>
    <row r="168" spans="1:11">
      <c r="A168" t="s">
        <v>192</v>
      </c>
      <c r="B168" s="1654">
        <v>3</v>
      </c>
      <c r="C168" s="1654">
        <v>138</v>
      </c>
      <c r="D168" s="1654">
        <v>64</v>
      </c>
      <c r="E168" s="1654" t="s">
        <v>1980</v>
      </c>
      <c r="F168" s="1654">
        <v>0</v>
      </c>
      <c r="G168" s="1654" t="s">
        <v>596</v>
      </c>
      <c r="H168" s="1654" t="s">
        <v>597</v>
      </c>
      <c r="I168" s="1654" t="s">
        <v>597</v>
      </c>
      <c r="J168" s="1654">
        <v>0</v>
      </c>
      <c r="K168" s="1654">
        <v>0</v>
      </c>
    </row>
    <row r="169" spans="1:11">
      <c r="A169" t="s">
        <v>231</v>
      </c>
      <c r="B169" s="1654">
        <v>4</v>
      </c>
      <c r="C169" s="1654">
        <v>216</v>
      </c>
      <c r="D169" s="1654">
        <v>78</v>
      </c>
      <c r="E169" s="1654" t="s">
        <v>1980</v>
      </c>
      <c r="F169" s="1654">
        <v>3</v>
      </c>
      <c r="G169" s="1654" t="s">
        <v>597</v>
      </c>
      <c r="H169" s="1654" t="s">
        <v>597</v>
      </c>
      <c r="I169" s="1654" t="s">
        <v>597</v>
      </c>
      <c r="J169" s="1654" t="s">
        <v>890</v>
      </c>
      <c r="K169" s="1654" t="s">
        <v>890</v>
      </c>
    </row>
    <row r="170" spans="1:11">
      <c r="A170" t="s">
        <v>235</v>
      </c>
      <c r="B170" s="1654">
        <v>4</v>
      </c>
      <c r="C170" s="1654">
        <v>1605</v>
      </c>
      <c r="D170" s="1654">
        <v>680</v>
      </c>
      <c r="E170" s="1654" t="s">
        <v>1980</v>
      </c>
      <c r="F170" s="1654">
        <v>0</v>
      </c>
      <c r="G170" s="1654" t="s">
        <v>597</v>
      </c>
      <c r="H170" s="1654" t="s">
        <v>596</v>
      </c>
      <c r="I170" s="1654" t="s">
        <v>596</v>
      </c>
      <c r="J170" s="1654" t="s">
        <v>1981</v>
      </c>
      <c r="K170" s="1654" t="s">
        <v>1981</v>
      </c>
    </row>
    <row r="171" spans="1:11">
      <c r="A171" t="s">
        <v>237</v>
      </c>
      <c r="B171" s="1654">
        <v>3</v>
      </c>
      <c r="C171" s="1654">
        <v>315</v>
      </c>
      <c r="D171" s="1654">
        <v>125</v>
      </c>
      <c r="E171" s="1654" t="s">
        <v>1980</v>
      </c>
      <c r="F171" s="1654">
        <v>2</v>
      </c>
      <c r="G171" s="1654" t="s">
        <v>597</v>
      </c>
      <c r="H171" s="1654" t="s">
        <v>597</v>
      </c>
      <c r="I171" s="1654" t="s">
        <v>597</v>
      </c>
      <c r="J171" s="1654" t="s">
        <v>1981</v>
      </c>
      <c r="K171" s="1654" t="s">
        <v>1981</v>
      </c>
    </row>
    <row r="172" spans="1:11">
      <c r="A172" t="s">
        <v>1379</v>
      </c>
      <c r="B172" s="1654">
        <v>3</v>
      </c>
      <c r="C172" s="1654">
        <v>28</v>
      </c>
      <c r="D172" s="1654">
        <v>28</v>
      </c>
      <c r="E172" s="1654">
        <v>0</v>
      </c>
      <c r="F172" s="1654">
        <v>3</v>
      </c>
      <c r="G172" s="1654" t="s">
        <v>597</v>
      </c>
      <c r="H172" s="1654" t="s">
        <v>597</v>
      </c>
      <c r="I172" s="1654" t="s">
        <v>597</v>
      </c>
      <c r="J172" s="1654" t="s">
        <v>890</v>
      </c>
      <c r="K172" s="1654" t="s">
        <v>890</v>
      </c>
    </row>
    <row r="173" spans="1:11">
      <c r="A173" t="s">
        <v>254</v>
      </c>
      <c r="B173" s="1654">
        <v>6</v>
      </c>
      <c r="C173" s="1654">
        <v>1050</v>
      </c>
      <c r="D173" s="1654">
        <v>297</v>
      </c>
      <c r="E173" s="1654" t="s">
        <v>1980</v>
      </c>
      <c r="F173" s="1654">
        <v>3</v>
      </c>
      <c r="G173" s="1654" t="s">
        <v>597</v>
      </c>
      <c r="H173" s="1654" t="s">
        <v>597</v>
      </c>
      <c r="I173" s="1654" t="s">
        <v>597</v>
      </c>
      <c r="J173" s="1654" t="s">
        <v>890</v>
      </c>
      <c r="K173" s="1654" t="s">
        <v>890</v>
      </c>
    </row>
    <row r="174" spans="1:11">
      <c r="A174" t="s">
        <v>1993</v>
      </c>
      <c r="B174" s="1654">
        <v>3</v>
      </c>
      <c r="C174" s="1654">
        <v>240</v>
      </c>
      <c r="D174" s="1654">
        <v>88</v>
      </c>
      <c r="E174" s="1654" t="s">
        <v>1980</v>
      </c>
      <c r="F174" s="1654">
        <v>0</v>
      </c>
      <c r="G174" s="1654" t="s">
        <v>596</v>
      </c>
      <c r="H174" s="1654" t="s">
        <v>597</v>
      </c>
      <c r="I174" s="1654" t="s">
        <v>597</v>
      </c>
      <c r="J174" s="1654" t="s">
        <v>1981</v>
      </c>
      <c r="K174" s="1654" t="s">
        <v>1981</v>
      </c>
    </row>
    <row r="175" spans="1:11">
      <c r="A175" t="s">
        <v>423</v>
      </c>
      <c r="B175" s="1654">
        <v>2</v>
      </c>
      <c r="C175" s="1654">
        <v>1075</v>
      </c>
      <c r="D175" s="1654">
        <v>650</v>
      </c>
      <c r="E175" s="1654" t="s">
        <v>1980</v>
      </c>
      <c r="F175" s="1654">
        <v>0</v>
      </c>
      <c r="G175" s="1654" t="s">
        <v>596</v>
      </c>
      <c r="H175" s="1654" t="s">
        <v>597</v>
      </c>
      <c r="I175" s="1654" t="s">
        <v>597</v>
      </c>
      <c r="J175" s="1654" t="s">
        <v>1981</v>
      </c>
      <c r="K175" s="1654" t="s">
        <v>1981</v>
      </c>
    </row>
    <row r="176" spans="1:11">
      <c r="A176" t="s">
        <v>107</v>
      </c>
      <c r="B176" s="1654">
        <v>3</v>
      </c>
      <c r="C176" s="1654">
        <v>1628</v>
      </c>
      <c r="D176" s="1654">
        <v>828</v>
      </c>
      <c r="E176" s="1654" t="s">
        <v>1980</v>
      </c>
      <c r="F176" s="1654">
        <v>0</v>
      </c>
      <c r="G176" s="1654" t="s">
        <v>597</v>
      </c>
      <c r="H176" s="1654" t="s">
        <v>596</v>
      </c>
      <c r="I176" s="1654" t="s">
        <v>597</v>
      </c>
      <c r="J176" s="1654" t="s">
        <v>1981</v>
      </c>
      <c r="K176" s="1654" t="s">
        <v>1981</v>
      </c>
    </row>
    <row r="177" spans="1:11">
      <c r="A177" t="s">
        <v>13</v>
      </c>
      <c r="B177" s="1654">
        <v>6</v>
      </c>
      <c r="C177" s="1654">
        <v>7010</v>
      </c>
      <c r="D177" s="1654">
        <v>1930</v>
      </c>
      <c r="E177" s="1654" t="s">
        <v>1983</v>
      </c>
      <c r="F177" s="1654">
        <v>0</v>
      </c>
      <c r="G177" s="1654" t="s">
        <v>597</v>
      </c>
      <c r="H177" s="1654" t="s">
        <v>596</v>
      </c>
      <c r="I177" s="1654" t="s">
        <v>597</v>
      </c>
      <c r="J177" s="1654" t="s">
        <v>1981</v>
      </c>
      <c r="K177" s="1654" t="s">
        <v>1981</v>
      </c>
    </row>
    <row r="178" spans="1:11">
      <c r="A178" t="s">
        <v>108</v>
      </c>
      <c r="B178" s="1654">
        <v>3</v>
      </c>
      <c r="C178" s="1654">
        <v>1531</v>
      </c>
      <c r="D178" s="1654">
        <v>756</v>
      </c>
      <c r="E178" s="1654" t="s">
        <v>1980</v>
      </c>
      <c r="F178" s="1654">
        <v>0</v>
      </c>
      <c r="G178" s="1654" t="s">
        <v>596</v>
      </c>
      <c r="H178" s="1654" t="s">
        <v>596</v>
      </c>
      <c r="I178" s="1654" t="s">
        <v>596</v>
      </c>
      <c r="J178" s="1654" t="s">
        <v>890</v>
      </c>
      <c r="K178" s="1654" t="s">
        <v>890</v>
      </c>
    </row>
    <row r="179" spans="1:11">
      <c r="A179" t="s">
        <v>241</v>
      </c>
      <c r="B179" s="1654">
        <v>4</v>
      </c>
      <c r="C179" s="1654">
        <v>795</v>
      </c>
      <c r="D179" s="1654">
        <v>290</v>
      </c>
      <c r="E179" s="1654" t="s">
        <v>1980</v>
      </c>
      <c r="F179" s="1654">
        <v>4</v>
      </c>
      <c r="G179" s="1654" t="s">
        <v>597</v>
      </c>
      <c r="H179" s="1654" t="s">
        <v>597</v>
      </c>
      <c r="I179" s="1654" t="s">
        <v>597</v>
      </c>
      <c r="J179" s="1654" t="s">
        <v>890</v>
      </c>
      <c r="K179" s="1654" t="s">
        <v>890</v>
      </c>
    </row>
    <row r="180" spans="1:11">
      <c r="A180" t="s">
        <v>243</v>
      </c>
      <c r="B180" s="1654">
        <v>4</v>
      </c>
      <c r="C180" s="1654">
        <v>802</v>
      </c>
      <c r="D180" s="1654">
        <v>250</v>
      </c>
      <c r="E180" s="1654" t="s">
        <v>1980</v>
      </c>
      <c r="F180" s="1654">
        <v>0</v>
      </c>
      <c r="G180" s="1654" t="s">
        <v>597</v>
      </c>
      <c r="H180" s="1654" t="s">
        <v>597</v>
      </c>
      <c r="I180" s="1654" t="s">
        <v>597</v>
      </c>
      <c r="J180" s="1654">
        <v>0</v>
      </c>
      <c r="K180" s="1654">
        <v>0</v>
      </c>
    </row>
    <row r="181" spans="1:11">
      <c r="A181" t="s">
        <v>1080</v>
      </c>
      <c r="B181" s="1654">
        <v>1</v>
      </c>
      <c r="C181" s="1654">
        <v>325</v>
      </c>
      <c r="D181" s="1654">
        <v>325</v>
      </c>
      <c r="E181" s="1654" t="s">
        <v>1980</v>
      </c>
      <c r="F181" s="1654">
        <v>0</v>
      </c>
      <c r="G181" s="1654" t="s">
        <v>597</v>
      </c>
      <c r="H181" s="1654" t="s">
        <v>597</v>
      </c>
      <c r="I181" s="1654" t="s">
        <v>597</v>
      </c>
      <c r="J181" s="1654" t="s">
        <v>890</v>
      </c>
      <c r="K181" s="1654" t="s">
        <v>890</v>
      </c>
    </row>
    <row r="182" spans="1:11">
      <c r="A182" t="s">
        <v>245</v>
      </c>
      <c r="B182" s="1654">
        <v>2</v>
      </c>
      <c r="C182" s="1654">
        <v>220</v>
      </c>
      <c r="D182" s="1654">
        <v>128</v>
      </c>
      <c r="E182" s="1654" t="s">
        <v>1980</v>
      </c>
      <c r="F182" s="1654">
        <v>0</v>
      </c>
      <c r="G182" s="1654" t="s">
        <v>597</v>
      </c>
      <c r="H182" s="1654" t="s">
        <v>597</v>
      </c>
      <c r="I182" s="1654" t="s">
        <v>597</v>
      </c>
      <c r="J182" s="1654" t="s">
        <v>890</v>
      </c>
      <c r="K182" s="1654" t="s">
        <v>890</v>
      </c>
    </row>
    <row r="183" spans="1:11">
      <c r="A183" t="s">
        <v>2002</v>
      </c>
      <c r="B183" s="1654">
        <v>1</v>
      </c>
      <c r="C183" s="1654">
        <v>9.6</v>
      </c>
      <c r="K183"/>
    </row>
    <row r="184" spans="1:11">
      <c r="A184" t="s">
        <v>22</v>
      </c>
      <c r="B184" s="1654">
        <v>4</v>
      </c>
      <c r="C184" s="1654">
        <v>1820</v>
      </c>
      <c r="D184" s="1654">
        <v>455</v>
      </c>
      <c r="E184" s="1654" t="s">
        <v>1980</v>
      </c>
      <c r="F184" s="1654">
        <v>0</v>
      </c>
      <c r="G184" s="1654" t="s">
        <v>596</v>
      </c>
      <c r="H184" s="1654" t="s">
        <v>596</v>
      </c>
      <c r="I184" s="1654" t="s">
        <v>596</v>
      </c>
      <c r="J184" s="1654" t="s">
        <v>1981</v>
      </c>
      <c r="K184" s="1654" t="s">
        <v>1981</v>
      </c>
    </row>
    <row r="185" spans="1:11">
      <c r="A185" t="s">
        <v>36</v>
      </c>
      <c r="B185" s="1654">
        <v>7</v>
      </c>
      <c r="C185" s="1654">
        <v>18.599999999999998</v>
      </c>
      <c r="K185"/>
    </row>
    <row r="186" spans="1:11">
      <c r="A186" t="s">
        <v>1984</v>
      </c>
      <c r="B186" s="1654">
        <v>7</v>
      </c>
      <c r="C186" s="1654">
        <v>19060</v>
      </c>
      <c r="D186" s="1654">
        <v>5400</v>
      </c>
      <c r="E186" s="1654" t="s">
        <v>1980</v>
      </c>
      <c r="F186" s="1654">
        <v>0</v>
      </c>
      <c r="G186" s="1654" t="s">
        <v>597</v>
      </c>
      <c r="H186" s="1654" t="s">
        <v>596</v>
      </c>
      <c r="I186" s="1654" t="s">
        <v>597</v>
      </c>
      <c r="J186" s="1654" t="s">
        <v>1981</v>
      </c>
      <c r="K186" s="1654" t="s">
        <v>1981</v>
      </c>
    </row>
    <row r="187" spans="1:11">
      <c r="A187" t="s">
        <v>2003</v>
      </c>
      <c r="B187" s="1654">
        <v>8</v>
      </c>
      <c r="C187" s="1654">
        <v>17.5</v>
      </c>
      <c r="K187"/>
    </row>
    <row r="188" spans="1:11">
      <c r="A188" t="s">
        <v>1083</v>
      </c>
      <c r="B188" s="1654">
        <v>3</v>
      </c>
      <c r="C188" s="1654">
        <v>1.1000000000000001</v>
      </c>
      <c r="D188" s="1654">
        <v>325</v>
      </c>
      <c r="E188" s="1654" t="s">
        <v>1980</v>
      </c>
      <c r="F188" s="1654">
        <v>0</v>
      </c>
      <c r="G188" s="1654" t="s">
        <v>596</v>
      </c>
      <c r="H188" s="1654" t="s">
        <v>597</v>
      </c>
      <c r="I188" s="1654" t="s">
        <v>597</v>
      </c>
      <c r="J188" s="1654" t="s">
        <v>1981</v>
      </c>
      <c r="K188" s="1654" t="s">
        <v>1981</v>
      </c>
    </row>
    <row r="189" spans="1:11">
      <c r="A189" t="s">
        <v>1084</v>
      </c>
      <c r="B189" s="1654">
        <v>8</v>
      </c>
      <c r="C189" s="1654">
        <v>15</v>
      </c>
      <c r="K189"/>
    </row>
    <row r="190" spans="1:11">
      <c r="A190" t="s">
        <v>414</v>
      </c>
      <c r="B190" s="1654">
        <v>3</v>
      </c>
      <c r="C190" s="1654">
        <v>495</v>
      </c>
      <c r="D190" s="1654">
        <v>190</v>
      </c>
      <c r="E190" s="1654" t="s">
        <v>1980</v>
      </c>
      <c r="F190" s="1654">
        <v>0</v>
      </c>
      <c r="G190" s="1654" t="s">
        <v>597</v>
      </c>
      <c r="H190" s="1654" t="s">
        <v>596</v>
      </c>
      <c r="I190" s="1654" t="s">
        <v>597</v>
      </c>
      <c r="J190" s="1654">
        <v>2000</v>
      </c>
      <c r="K190" s="1654" t="s">
        <v>1981</v>
      </c>
    </row>
    <row r="191" spans="1:11">
      <c r="A191" t="s">
        <v>212</v>
      </c>
      <c r="B191" s="1654">
        <v>5</v>
      </c>
      <c r="C191" s="1654">
        <v>3110</v>
      </c>
      <c r="D191" s="1654">
        <v>910</v>
      </c>
      <c r="E191" s="1654" t="s">
        <v>1987</v>
      </c>
      <c r="F191" s="1654">
        <v>0</v>
      </c>
      <c r="G191" s="1654" t="s">
        <v>596</v>
      </c>
      <c r="H191" s="1654" t="s">
        <v>596</v>
      </c>
      <c r="I191" s="1654" t="s">
        <v>596</v>
      </c>
      <c r="J191" s="1654" t="s">
        <v>1981</v>
      </c>
      <c r="K191" s="1654" t="s">
        <v>1981</v>
      </c>
    </row>
    <row r="192" spans="1:11">
      <c r="A192" t="s">
        <v>110</v>
      </c>
      <c r="B192" s="1654">
        <v>3</v>
      </c>
      <c r="C192" s="1654">
        <v>495</v>
      </c>
      <c r="D192" s="1654">
        <v>200</v>
      </c>
      <c r="E192" s="1654" t="s">
        <v>1980</v>
      </c>
      <c r="F192" s="1654">
        <v>0</v>
      </c>
      <c r="G192" s="1654" t="s">
        <v>597</v>
      </c>
      <c r="H192" s="1654" t="s">
        <v>597</v>
      </c>
      <c r="I192" s="1654" t="s">
        <v>597</v>
      </c>
      <c r="J192" s="1654" t="s">
        <v>1981</v>
      </c>
      <c r="K192" s="1654" t="s">
        <v>1981</v>
      </c>
    </row>
    <row r="193" spans="1:11">
      <c r="A193" t="s">
        <v>68</v>
      </c>
      <c r="B193" s="1654">
        <v>3</v>
      </c>
      <c r="C193" s="1654">
        <v>250</v>
      </c>
      <c r="D193" s="1654">
        <v>110</v>
      </c>
      <c r="E193" s="1654" t="s">
        <v>1980</v>
      </c>
      <c r="F193" s="1654">
        <v>0</v>
      </c>
      <c r="G193" s="1654" t="s">
        <v>596</v>
      </c>
      <c r="H193" s="1654" t="s">
        <v>596</v>
      </c>
      <c r="I193" s="1654" t="s">
        <v>597</v>
      </c>
      <c r="J193" s="1654" t="s">
        <v>1981</v>
      </c>
      <c r="K193" s="1654" t="s">
        <v>1981</v>
      </c>
    </row>
    <row r="194" spans="1:11">
      <c r="A194" t="s">
        <v>261</v>
      </c>
      <c r="B194" s="1654">
        <v>3</v>
      </c>
      <c r="C194" s="1654">
        <v>585</v>
      </c>
      <c r="D194" s="1654">
        <v>275</v>
      </c>
      <c r="E194" s="1654" t="s">
        <v>1980</v>
      </c>
      <c r="F194" s="1654">
        <v>1</v>
      </c>
      <c r="G194" s="1654" t="s">
        <v>596</v>
      </c>
      <c r="H194" s="1654" t="s">
        <v>596</v>
      </c>
      <c r="I194" s="1654" t="s">
        <v>597</v>
      </c>
      <c r="J194" s="1654" t="s">
        <v>1981</v>
      </c>
      <c r="K194" s="1654" t="s">
        <v>1981</v>
      </c>
    </row>
    <row r="195" spans="1:11">
      <c r="A195" t="s">
        <v>552</v>
      </c>
      <c r="B195" s="1654">
        <v>4</v>
      </c>
      <c r="C195" s="1654">
        <v>8.5</v>
      </c>
      <c r="K195"/>
    </row>
    <row r="196" spans="1:11">
      <c r="A196" t="s">
        <v>25</v>
      </c>
      <c r="B196" s="1654">
        <v>5</v>
      </c>
      <c r="C196" s="1654">
        <v>6715</v>
      </c>
      <c r="D196" s="1654">
        <v>1855</v>
      </c>
      <c r="E196" s="1654" t="s">
        <v>1983</v>
      </c>
      <c r="F196" s="1654">
        <v>1</v>
      </c>
      <c r="G196" s="1654" t="s">
        <v>596</v>
      </c>
      <c r="H196" s="1654" t="s">
        <v>596</v>
      </c>
      <c r="I196" s="1654" t="s">
        <v>596</v>
      </c>
      <c r="J196" s="1654" t="s">
        <v>1981</v>
      </c>
      <c r="K196" s="1654" t="s">
        <v>1981</v>
      </c>
    </row>
  </sheetData>
  <sortState ref="A3:K244">
    <sortCondition ref="A3:A244"/>
  </sortState>
  <conditionalFormatting sqref="A1:A140 A142:A1048576">
    <cfRule type="duplicateValues" dxfId="1" priority="2"/>
  </conditionalFormatting>
  <conditionalFormatting sqref="A141">
    <cfRule type="duplicateValues" dxfId="0"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20"/>
  <sheetViews>
    <sheetView workbookViewId="0">
      <selection activeCell="A61" sqref="A61:XFD61"/>
    </sheetView>
  </sheetViews>
  <sheetFormatPr defaultColWidth="9.140625" defaultRowHeight="15"/>
  <cols>
    <col min="1" max="1" width="2.28515625" style="118" bestFit="1" customWidth="1"/>
    <col min="2" max="2" width="26.5703125" style="119" bestFit="1" customWidth="1"/>
    <col min="3" max="3" width="18.42578125" style="203" customWidth="1"/>
    <col min="4" max="4" width="26.140625" style="120" customWidth="1"/>
    <col min="5" max="5" width="22.42578125" style="120" bestFit="1" customWidth="1"/>
    <col min="6" max="6" width="14.42578125" style="120" customWidth="1"/>
    <col min="7" max="7" width="16.42578125" style="120" customWidth="1"/>
    <col min="8" max="8" width="26.7109375" style="120" bestFit="1" customWidth="1"/>
    <col min="9" max="9" width="15.140625" style="120" bestFit="1" customWidth="1"/>
    <col min="10" max="10" width="18.7109375" style="120" bestFit="1" customWidth="1"/>
    <col min="11" max="12" width="15.140625" style="120" bestFit="1" customWidth="1"/>
    <col min="13" max="13" width="22" style="120" bestFit="1"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989" t="s">
        <v>340</v>
      </c>
      <c r="B1" s="1989"/>
      <c r="C1" s="1989"/>
      <c r="D1" s="1989"/>
      <c r="E1" s="1989"/>
      <c r="F1" s="1989"/>
      <c r="G1" s="1989"/>
      <c r="H1" s="1989"/>
      <c r="I1" s="1989"/>
      <c r="J1" s="1989"/>
      <c r="K1" s="1989"/>
      <c r="L1" s="1989"/>
      <c r="M1" s="1989"/>
      <c r="N1" s="1989"/>
      <c r="O1" s="1989"/>
      <c r="P1" s="1989"/>
      <c r="Q1" s="198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2008" t="s">
        <v>334</v>
      </c>
      <c r="C2" s="2008"/>
      <c r="D2" s="2008"/>
      <c r="E2" s="2008"/>
      <c r="G2" s="221"/>
      <c r="H2" s="2017" t="s">
        <v>618</v>
      </c>
      <c r="I2" s="2018"/>
      <c r="J2" s="2018"/>
      <c r="K2" s="2018"/>
      <c r="L2" s="2018"/>
      <c r="M2" s="2018"/>
      <c r="N2" s="2018"/>
      <c r="O2" s="2018"/>
      <c r="P2" s="2018"/>
      <c r="Q2" s="2018"/>
      <c r="R2" s="201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77"/>
      <c r="I3" s="125"/>
      <c r="J3" s="125"/>
      <c r="K3" s="125"/>
      <c r="L3" s="125"/>
      <c r="M3" s="125"/>
      <c r="N3" s="125"/>
      <c r="O3" s="125"/>
      <c r="P3" s="125"/>
      <c r="Q3" s="125"/>
      <c r="R3" s="930"/>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5.75" thickBot="1">
      <c r="B4" s="126" t="s">
        <v>331</v>
      </c>
      <c r="C4" s="489"/>
      <c r="D4" s="121"/>
      <c r="E4" s="916" t="s">
        <v>1211</v>
      </c>
      <c r="F4" s="1204" t="str">
        <f>VLOOKUP(C5,'HR Data'!$A$3:$I$409,2,FALSE)</f>
        <v>M</v>
      </c>
      <c r="G4" s="219"/>
      <c r="H4" s="977"/>
      <c r="I4" s="440"/>
      <c r="J4" s="440"/>
      <c r="K4" s="839"/>
      <c r="L4" s="121"/>
      <c r="M4" s="2061" t="s">
        <v>340</v>
      </c>
      <c r="N4" s="2062"/>
      <c r="O4" s="355"/>
      <c r="P4" s="125"/>
      <c r="Q4" s="125"/>
      <c r="R4" s="930"/>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3.5" thickBot="1">
      <c r="B5" s="128" t="s">
        <v>375</v>
      </c>
      <c r="C5" s="587" t="str">
        <f>Community_Name</f>
        <v>Manley Hot Springs</v>
      </c>
      <c r="D5" s="125"/>
      <c r="E5" s="47" t="s">
        <v>1209</v>
      </c>
      <c r="F5" s="1204" t="str">
        <f>VLOOKUP(C5,'HR Data'!$A$3:$I$409,9,FALSE)</f>
        <v>L</v>
      </c>
      <c r="G5" s="219"/>
      <c r="H5" s="978"/>
      <c r="I5" s="710"/>
      <c r="J5" s="710"/>
      <c r="K5" s="710"/>
      <c r="L5" s="121"/>
      <c r="M5" s="523" t="s">
        <v>720</v>
      </c>
      <c r="N5" s="1204" t="str">
        <f>VLOOKUP($C$5,'HR Data'!$A$3:$I$409,3,FALSE)</f>
        <v>Y</v>
      </c>
      <c r="O5" s="214"/>
      <c r="P5" s="125"/>
      <c r="Q5" s="125"/>
      <c r="R5" s="930"/>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13.5" thickBot="1">
      <c r="B6" s="128" t="s">
        <v>376</v>
      </c>
      <c r="C6" s="587" t="str">
        <f>IF('Community data'!B7="Yes",'Community data'!B8,Community_Name)</f>
        <v>Manley Hot Springs</v>
      </c>
      <c r="D6" s="125"/>
      <c r="E6" s="417" t="s">
        <v>1210</v>
      </c>
      <c r="F6" s="1212" t="b">
        <f>IF(OR(C9="Construction",C9="Design"),"High", IF(C9="Feasibility", "Medium", IF(C9="Recon", "Low")))</f>
        <v>0</v>
      </c>
      <c r="G6" s="219"/>
      <c r="H6" s="957"/>
      <c r="I6" s="841"/>
      <c r="J6" s="841"/>
      <c r="K6" s="121"/>
      <c r="L6" s="121"/>
      <c r="M6" s="395" t="s">
        <v>727</v>
      </c>
      <c r="N6" s="1204" t="str">
        <f>VLOOKUP($C$5,'HR Data'!$A$3:$I$409,4,FALSE)</f>
        <v>Y</v>
      </c>
      <c r="O6" s="125"/>
      <c r="P6" s="125"/>
      <c r="Q6" s="125"/>
      <c r="R6" s="351"/>
      <c r="T6" s="124"/>
      <c r="U6" s="124"/>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18"/>
    </row>
    <row r="7" spans="1:67" ht="12.75">
      <c r="B7" s="128" t="s">
        <v>332</v>
      </c>
      <c r="C7" s="587" t="s">
        <v>291</v>
      </c>
      <c r="D7" s="125"/>
      <c r="G7" s="219"/>
      <c r="H7" s="957"/>
      <c r="I7" s="388"/>
      <c r="J7" s="441"/>
      <c r="K7" s="121"/>
      <c r="L7" s="121"/>
      <c r="M7" s="524" t="s">
        <v>795</v>
      </c>
      <c r="N7" s="1204">
        <f>VLOOKUP($C$5,'HR Data'!$A$3:$I$409,5,FALSE)</f>
        <v>0</v>
      </c>
      <c r="O7" s="133"/>
      <c r="P7" s="125"/>
      <c r="Q7" s="125"/>
      <c r="R7" s="965"/>
      <c r="S7" s="217"/>
      <c r="T7" s="217"/>
      <c r="U7" s="124"/>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18"/>
    </row>
    <row r="8" spans="1:67" ht="12.75">
      <c r="B8" s="128" t="s">
        <v>569</v>
      </c>
      <c r="C8" s="587" t="s">
        <v>634</v>
      </c>
      <c r="D8" s="125"/>
      <c r="E8" s="118"/>
      <c r="G8" s="219"/>
      <c r="H8" s="957"/>
      <c r="I8" s="388"/>
      <c r="J8" s="707"/>
      <c r="K8" s="708"/>
      <c r="L8" s="709"/>
      <c r="M8" s="395" t="s">
        <v>725</v>
      </c>
      <c r="N8" s="1683">
        <f>IF(HR_Btu_available="unknown", 0.05*Diesel_consumed__gallons*0.138,HR_Btu_available)</f>
        <v>281.09910000000002</v>
      </c>
      <c r="O8" s="133"/>
      <c r="P8" s="125"/>
      <c r="Q8" s="125"/>
      <c r="R8" s="946"/>
      <c r="S8" s="124"/>
      <c r="T8" s="124"/>
      <c r="U8" s="124"/>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18"/>
    </row>
    <row r="9" spans="1:67" ht="12.75">
      <c r="B9" s="128" t="s">
        <v>570</v>
      </c>
      <c r="C9" s="490"/>
      <c r="D9" s="125"/>
      <c r="E9" s="118"/>
      <c r="G9" s="219"/>
      <c r="H9" s="957"/>
      <c r="I9" s="388"/>
      <c r="J9" s="441"/>
      <c r="K9" s="121"/>
      <c r="L9" s="121"/>
      <c r="M9" s="395"/>
      <c r="N9" s="525"/>
      <c r="O9" s="125"/>
      <c r="P9" s="125"/>
      <c r="Q9" s="125"/>
      <c r="R9" s="966"/>
      <c r="S9" s="124"/>
      <c r="T9" s="124"/>
      <c r="U9" s="124"/>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18"/>
    </row>
    <row r="10" spans="1:67" ht="12.75">
      <c r="B10" s="128"/>
      <c r="C10" s="587"/>
      <c r="D10" s="125"/>
      <c r="E10" s="118"/>
      <c r="G10" s="219"/>
      <c r="H10" s="957"/>
      <c r="I10" s="391"/>
      <c r="J10" s="435"/>
      <c r="K10" s="121"/>
      <c r="L10" s="121"/>
      <c r="M10" s="395" t="s">
        <v>805</v>
      </c>
      <c r="N10" s="1607">
        <f>IF(OR(F4="M",F4="H"),1500,0)</f>
        <v>1500</v>
      </c>
      <c r="O10" s="125"/>
      <c r="P10" s="125"/>
      <c r="Q10" s="125"/>
      <c r="R10" s="966"/>
      <c r="S10" s="124"/>
      <c r="T10" s="124"/>
      <c r="U10" s="124"/>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18"/>
    </row>
    <row r="11" spans="1:67" ht="15.75" thickBot="1">
      <c r="B11" s="134"/>
      <c r="C11" s="611"/>
      <c r="D11" s="125"/>
      <c r="E11" s="118"/>
      <c r="F11" s="135"/>
      <c r="G11" s="219"/>
      <c r="H11" s="957"/>
      <c r="I11" s="392"/>
      <c r="J11" s="841"/>
      <c r="K11" s="839"/>
      <c r="L11" s="121"/>
      <c r="M11" s="485" t="s">
        <v>806</v>
      </c>
      <c r="N11" s="1607">
        <f>IF(OR(F4="M",F5="H"),2,0)</f>
        <v>2</v>
      </c>
      <c r="O11" s="125"/>
      <c r="P11" s="125"/>
      <c r="Q11" s="125"/>
      <c r="R11" s="966"/>
      <c r="S11" s="124"/>
      <c r="T11" s="124"/>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18"/>
    </row>
    <row r="12" spans="1:67" ht="14.25">
      <c r="B12" s="137" t="s">
        <v>360</v>
      </c>
      <c r="C12" s="515" t="s">
        <v>384</v>
      </c>
      <c r="D12" s="306"/>
      <c r="E12" s="306"/>
      <c r="F12" s="118"/>
      <c r="G12" s="219"/>
      <c r="H12" s="957"/>
      <c r="I12" s="392"/>
      <c r="J12" s="439"/>
      <c r="K12" s="121"/>
      <c r="L12" s="121"/>
      <c r="M12" s="395" t="s">
        <v>888</v>
      </c>
      <c r="N12" s="526"/>
      <c r="O12" s="125"/>
      <c r="P12" s="125"/>
      <c r="Q12" s="125"/>
      <c r="R12" s="966"/>
      <c r="S12" s="124"/>
      <c r="T12" s="124"/>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18"/>
    </row>
    <row r="13" spans="1:67" ht="13.5" thickBot="1">
      <c r="B13" s="128" t="s">
        <v>262</v>
      </c>
      <c r="C13" s="321">
        <f>BI59</f>
        <v>208519.61750173089</v>
      </c>
      <c r="D13" s="136"/>
      <c r="E13" s="136"/>
      <c r="F13" s="118"/>
      <c r="G13" s="219"/>
      <c r="H13" s="957"/>
      <c r="I13" s="442"/>
      <c r="J13" s="841"/>
      <c r="K13" s="121"/>
      <c r="L13" s="121"/>
      <c r="M13" s="527" t="s">
        <v>721</v>
      </c>
      <c r="N13" s="528">
        <f>N8/0.138/0.75</f>
        <v>2715.9333333333334</v>
      </c>
      <c r="O13" s="125"/>
      <c r="P13" s="125"/>
      <c r="Q13" s="125"/>
      <c r="R13" s="966"/>
      <c r="S13" s="124"/>
      <c r="T13" s="124"/>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18"/>
    </row>
    <row r="14" spans="1:67" ht="13.5" thickBot="1">
      <c r="B14" s="128" t="s">
        <v>278</v>
      </c>
      <c r="C14" s="322">
        <f>BI55</f>
        <v>277308.48665371607</v>
      </c>
      <c r="D14" s="136"/>
      <c r="E14" s="136"/>
      <c r="F14" s="118"/>
      <c r="G14" s="219"/>
      <c r="H14" s="957"/>
      <c r="I14" s="392"/>
      <c r="J14" s="443"/>
      <c r="K14" s="121"/>
      <c r="L14" s="121"/>
      <c r="M14" s="121"/>
      <c r="N14" s="121"/>
      <c r="O14" s="8"/>
      <c r="P14" s="125"/>
      <c r="Q14" s="125"/>
      <c r="R14" s="966"/>
      <c r="S14" s="124"/>
      <c r="T14" s="124"/>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18"/>
    </row>
    <row r="15" spans="1:67" ht="13.5" thickBot="1">
      <c r="B15" s="128" t="s">
        <v>759</v>
      </c>
      <c r="C15" s="516">
        <f>IF(HR_NPV_Capital_Costs&gt;0,C13/C14,0)</f>
        <v>0.75194098823998834</v>
      </c>
      <c r="D15" s="136"/>
      <c r="E15" s="136"/>
      <c r="F15" s="118"/>
      <c r="G15" s="219"/>
      <c r="H15" s="979"/>
      <c r="I15" s="121"/>
      <c r="J15" s="2063" t="s">
        <v>1218</v>
      </c>
      <c r="K15" s="2064"/>
      <c r="L15" s="121"/>
      <c r="M15" s="2063" t="s">
        <v>1217</v>
      </c>
      <c r="N15" s="2064"/>
      <c r="O15" s="8"/>
      <c r="P15" s="125"/>
      <c r="Q15" s="125"/>
      <c r="R15" s="946"/>
      <c r="S15" s="124"/>
      <c r="T15" s="124"/>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18"/>
    </row>
    <row r="16" spans="1:67" ht="15.75" thickBot="1">
      <c r="A16" s="121"/>
      <c r="B16" s="502" t="s">
        <v>290</v>
      </c>
      <c r="C16" s="517">
        <f>BI61</f>
        <v>-68788.869151985273</v>
      </c>
      <c r="D16" s="136"/>
      <c r="E16" s="136"/>
      <c r="F16" s="118"/>
      <c r="G16" s="219"/>
      <c r="H16" s="979"/>
      <c r="I16" s="121"/>
      <c r="J16" s="1048" t="s">
        <v>960</v>
      </c>
      <c r="K16" s="1210"/>
      <c r="L16" s="121"/>
      <c r="M16" s="395" t="s">
        <v>723</v>
      </c>
      <c r="N16" s="525" t="str">
        <f>IF(AND(VLOOKUP($C$5,'HR Data'!$A$3:$F$409,4,FALSE)="N",VLOOKUP($C$5,'HR Data'!$A$3:$F$409,3,FALSE)="Y"),"Yes", "No")</f>
        <v>No</v>
      </c>
      <c r="O16" s="8"/>
      <c r="P16" s="125"/>
      <c r="Q16" s="125"/>
      <c r="R16" s="946"/>
      <c r="S16" s="124"/>
      <c r="T16" s="124"/>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18"/>
    </row>
    <row r="17" spans="1:67">
      <c r="A17" s="121"/>
      <c r="B17" s="157"/>
      <c r="C17" s="347"/>
      <c r="D17" s="136"/>
      <c r="E17" s="136"/>
      <c r="F17" s="118"/>
      <c r="G17" s="219"/>
      <c r="H17" s="957"/>
      <c r="I17" s="136"/>
      <c r="J17" s="1209" t="s">
        <v>1219</v>
      </c>
      <c r="K17" s="1211"/>
      <c r="L17" s="121"/>
      <c r="M17" s="395" t="s">
        <v>722</v>
      </c>
      <c r="N17" s="529">
        <f>IF(AND(K16="No", N16="Yes"),50000,0)</f>
        <v>0</v>
      </c>
      <c r="O17" s="484"/>
      <c r="P17" s="125"/>
      <c r="Q17" s="125"/>
      <c r="R17" s="965"/>
      <c r="S17" s="217"/>
      <c r="T17" s="124"/>
      <c r="U17" s="124"/>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18"/>
    </row>
    <row r="18" spans="1:67" ht="15.75" thickBot="1">
      <c r="B18" s="138"/>
      <c r="C18" s="145"/>
      <c r="D18" s="136"/>
      <c r="E18" s="136"/>
      <c r="F18" s="118"/>
      <c r="G18" s="219"/>
      <c r="H18" s="482"/>
      <c r="I18" s="121"/>
      <c r="J18" s="346"/>
      <c r="K18" s="839"/>
      <c r="L18" s="121"/>
      <c r="M18" s="524" t="s">
        <v>811</v>
      </c>
      <c r="N18" s="530">
        <f>IF(AND(K16="No",N5="No"),50000*N10/1000,0)</f>
        <v>0</v>
      </c>
      <c r="O18" s="482"/>
      <c r="P18" s="125"/>
      <c r="Q18" s="125"/>
      <c r="R18" s="946"/>
      <c r="S18" s="124"/>
      <c r="T18" s="124"/>
      <c r="U18" s="124"/>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18"/>
    </row>
    <row r="19" spans="1:67">
      <c r="B19" s="137" t="s">
        <v>361</v>
      </c>
      <c r="C19" s="314" t="s">
        <v>271</v>
      </c>
      <c r="D19" s="315" t="s">
        <v>384</v>
      </c>
      <c r="E19" s="307"/>
      <c r="F19" s="306"/>
      <c r="G19" s="219"/>
      <c r="H19" s="482"/>
      <c r="I19" s="121"/>
      <c r="J19" s="841"/>
      <c r="K19" s="839"/>
      <c r="L19" s="121"/>
      <c r="M19" s="395" t="s">
        <v>809</v>
      </c>
      <c r="N19" s="529">
        <f>IF(AND(N13&gt;0,N11&gt;0),40000,0)</f>
        <v>40000</v>
      </c>
      <c r="O19" s="482"/>
      <c r="P19" s="125"/>
      <c r="Q19" s="125"/>
      <c r="R19" s="946"/>
      <c r="S19" s="124"/>
      <c r="T19" s="124"/>
      <c r="U19" s="124"/>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18"/>
    </row>
    <row r="20" spans="1:67">
      <c r="B20" s="316" t="s">
        <v>362</v>
      </c>
      <c r="C20" s="208" t="s">
        <v>266</v>
      </c>
      <c r="D20" s="606">
        <f>G73-G66</f>
        <v>0</v>
      </c>
      <c r="E20" s="121"/>
      <c r="F20" s="136"/>
      <c r="G20" s="219"/>
      <c r="H20" s="128"/>
      <c r="I20" s="121"/>
      <c r="J20" s="121"/>
      <c r="K20" s="839"/>
      <c r="L20" s="121"/>
      <c r="M20" s="395" t="s">
        <v>808</v>
      </c>
      <c r="N20" s="529">
        <f>IF(AND(N13&gt;0,N10&gt;0),135,0)</f>
        <v>135</v>
      </c>
      <c r="O20" s="482"/>
      <c r="P20" s="125"/>
      <c r="Q20" s="125"/>
      <c r="R20" s="965"/>
      <c r="S20" s="217"/>
      <c r="T20" s="124"/>
      <c r="U20" s="124"/>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18"/>
    </row>
    <row r="21" spans="1:67">
      <c r="B21" s="316" t="s">
        <v>362</v>
      </c>
      <c r="C21" s="209" t="s">
        <v>363</v>
      </c>
      <c r="D21" s="607">
        <f>D20*20</f>
        <v>0</v>
      </c>
      <c r="E21" s="121"/>
      <c r="F21" s="136"/>
      <c r="G21" s="219"/>
      <c r="H21" s="128"/>
      <c r="I21" s="138"/>
      <c r="J21" s="121"/>
      <c r="K21" s="839"/>
      <c r="L21" s="121"/>
      <c r="M21" s="395" t="s">
        <v>807</v>
      </c>
      <c r="N21" s="531">
        <f>N20*N10</f>
        <v>202500</v>
      </c>
      <c r="O21" s="482"/>
      <c r="P21" s="125"/>
      <c r="Q21" s="125"/>
      <c r="R21" s="946"/>
      <c r="S21" s="124"/>
      <c r="T21" s="211"/>
      <c r="U21" s="124"/>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18"/>
    </row>
    <row r="22" spans="1:67" ht="26.25">
      <c r="B22" s="316" t="s">
        <v>364</v>
      </c>
      <c r="C22" s="209" t="s">
        <v>268</v>
      </c>
      <c r="D22" s="606">
        <f>G77-G67</f>
        <v>0</v>
      </c>
      <c r="E22" s="121"/>
      <c r="F22" s="136"/>
      <c r="G22" s="219"/>
      <c r="H22" s="128"/>
      <c r="I22" s="121"/>
      <c r="J22" s="346"/>
      <c r="K22" s="839"/>
      <c r="L22" s="121"/>
      <c r="M22" s="316" t="s">
        <v>810</v>
      </c>
      <c r="N22" s="532">
        <f>IF(K16="No",N10/1000*140000,0)</f>
        <v>0</v>
      </c>
      <c r="O22" s="482"/>
      <c r="P22" s="125"/>
      <c r="Q22" s="125"/>
      <c r="R22" s="946"/>
      <c r="S22" s="124"/>
      <c r="T22" s="124"/>
      <c r="U22" s="124"/>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18"/>
    </row>
    <row r="23" spans="1:67" ht="15.75" thickBot="1">
      <c r="B23" s="318" t="s">
        <v>364</v>
      </c>
      <c r="C23" s="319" t="s">
        <v>365</v>
      </c>
      <c r="D23" s="1208">
        <f>D22*20</f>
        <v>0</v>
      </c>
      <c r="E23" s="121"/>
      <c r="F23" s="136"/>
      <c r="G23" s="219"/>
      <c r="H23" s="128"/>
      <c r="I23" s="121"/>
      <c r="J23" s="346"/>
      <c r="K23" s="839"/>
      <c r="L23" s="121"/>
      <c r="M23" s="395" t="s">
        <v>724</v>
      </c>
      <c r="N23" s="531">
        <f>IF(K16="Yes", K17,N22+N21+N19*N11+N17+N18)</f>
        <v>282500</v>
      </c>
      <c r="O23" s="482"/>
      <c r="P23" s="125"/>
      <c r="Q23" s="125"/>
      <c r="R23" s="946"/>
      <c r="S23" s="124"/>
      <c r="T23" s="692"/>
      <c r="U23" s="124"/>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18"/>
    </row>
    <row r="24" spans="1:67" ht="14.25">
      <c r="B24" s="138"/>
      <c r="D24" s="1386"/>
      <c r="E24" s="122"/>
      <c r="F24" s="125"/>
      <c r="G24" s="145"/>
      <c r="H24" s="128"/>
      <c r="I24" s="122"/>
      <c r="J24" s="121"/>
      <c r="K24" s="9"/>
      <c r="L24" s="121"/>
      <c r="M24" s="485"/>
      <c r="N24" s="487"/>
      <c r="O24" s="8"/>
      <c r="P24" s="125"/>
      <c r="Q24" s="125"/>
      <c r="R24" s="971"/>
      <c r="S24" s="211"/>
      <c r="T24" s="692"/>
      <c r="U24" s="124"/>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18"/>
    </row>
    <row r="25" spans="1:67" ht="12.75">
      <c r="B25" s="138"/>
      <c r="C25" s="145"/>
      <c r="D25" s="189"/>
      <c r="E25" s="121"/>
      <c r="F25" s="136"/>
      <c r="G25" s="219"/>
      <c r="H25" s="485"/>
      <c r="I25" s="121"/>
      <c r="J25" s="121"/>
      <c r="K25" s="121"/>
      <c r="L25" s="136"/>
      <c r="M25" s="533" t="s">
        <v>726</v>
      </c>
      <c r="N25" s="534"/>
      <c r="O25" s="8"/>
      <c r="P25" s="125"/>
      <c r="Q25" s="125"/>
      <c r="R25" s="965"/>
      <c r="S25" s="217"/>
      <c r="T25" s="217"/>
      <c r="U25" s="124"/>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18"/>
    </row>
    <row r="26" spans="1:67" ht="13.5" thickBot="1">
      <c r="B26" s="138"/>
      <c r="C26" s="145"/>
      <c r="D26" s="450"/>
      <c r="E26" s="121"/>
      <c r="F26" s="136"/>
      <c r="G26" s="219"/>
      <c r="H26" s="485"/>
      <c r="I26" s="121"/>
      <c r="J26" s="122"/>
      <c r="K26" s="122"/>
      <c r="L26" s="956"/>
      <c r="M26" s="527" t="s">
        <v>5</v>
      </c>
      <c r="N26" s="535">
        <f>IF(OR(K16="yes",N23&gt;0),500,0)</f>
        <v>500</v>
      </c>
      <c r="O26" s="8"/>
      <c r="P26" s="125"/>
      <c r="Q26" s="125"/>
      <c r="R26" s="972"/>
      <c r="S26" s="689"/>
      <c r="T26" s="147"/>
      <c r="U26" s="147"/>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18"/>
    </row>
    <row r="27" spans="1:67" ht="12.75">
      <c r="B27" s="138"/>
      <c r="C27" s="145"/>
      <c r="D27" s="450"/>
      <c r="E27" s="121"/>
      <c r="F27" s="136"/>
      <c r="G27" s="219"/>
      <c r="H27" s="2065"/>
      <c r="I27" s="1988"/>
      <c r="J27" s="121"/>
      <c r="K27" s="121"/>
      <c r="L27" s="136"/>
      <c r="M27" s="121"/>
      <c r="N27" s="121"/>
      <c r="O27" s="8"/>
      <c r="P27" s="125"/>
      <c r="Q27" s="125"/>
      <c r="R27" s="973"/>
      <c r="S27" s="147"/>
      <c r="T27" s="124"/>
      <c r="U27" s="124"/>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18"/>
    </row>
    <row r="28" spans="1:67" ht="13.5" thickBot="1">
      <c r="B28" s="143"/>
      <c r="C28" s="143"/>
      <c r="D28" s="148"/>
      <c r="E28" s="121"/>
      <c r="F28" s="136"/>
      <c r="G28" s="219"/>
      <c r="H28" s="957"/>
      <c r="I28" s="439"/>
      <c r="J28" s="121"/>
      <c r="K28" s="121"/>
      <c r="L28" s="136"/>
      <c r="M28" s="121"/>
      <c r="N28" s="121"/>
      <c r="O28" s="9"/>
      <c r="P28" s="125"/>
      <c r="Q28" s="125"/>
      <c r="R28" s="946"/>
      <c r="S28" s="124"/>
      <c r="T28" s="124"/>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18"/>
    </row>
    <row r="29" spans="1:67" ht="12.75">
      <c r="B29" s="149" t="s">
        <v>366</v>
      </c>
      <c r="C29" s="150" t="s">
        <v>271</v>
      </c>
      <c r="D29" s="312" t="s">
        <v>384</v>
      </c>
      <c r="E29" s="307"/>
      <c r="F29" s="306"/>
      <c r="G29" s="219"/>
      <c r="H29" s="485"/>
      <c r="I29" s="444"/>
      <c r="J29" s="121"/>
      <c r="K29" s="121"/>
      <c r="L29" s="136"/>
      <c r="M29" s="121"/>
      <c r="N29" s="121"/>
      <c r="O29" s="121"/>
      <c r="P29" s="125"/>
      <c r="Q29" s="125"/>
      <c r="R29" s="946"/>
      <c r="S29" s="124"/>
      <c r="T29" s="124"/>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18"/>
    </row>
    <row r="30" spans="1:67" ht="12.75">
      <c r="B30" s="128" t="s">
        <v>6</v>
      </c>
      <c r="C30" s="138" t="s">
        <v>287</v>
      </c>
      <c r="D30" s="668">
        <f>I32+N23</f>
        <v>282500</v>
      </c>
      <c r="E30" s="118"/>
      <c r="G30" s="219"/>
      <c r="H30" s="485"/>
      <c r="I30" s="329"/>
      <c r="J30" s="121"/>
      <c r="K30" s="121"/>
      <c r="L30" s="136"/>
      <c r="M30" s="121" t="s">
        <v>814</v>
      </c>
      <c r="N30" s="121"/>
      <c r="O30" s="121"/>
      <c r="P30" s="125"/>
      <c r="Q30" s="125"/>
      <c r="R30" s="946"/>
      <c r="S30" s="124"/>
      <c r="T30" s="124"/>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18"/>
    </row>
    <row r="31" spans="1:67" ht="12.75">
      <c r="B31" s="128" t="s">
        <v>286</v>
      </c>
      <c r="C31" s="138" t="s">
        <v>333</v>
      </c>
      <c r="D31" s="651">
        <v>2015</v>
      </c>
      <c r="E31" s="118"/>
      <c r="G31" s="219"/>
      <c r="H31" s="485"/>
      <c r="I31" s="240"/>
      <c r="J31" s="121"/>
      <c r="K31" s="121"/>
      <c r="L31" s="136"/>
      <c r="M31" s="121"/>
      <c r="N31" s="121"/>
      <c r="O31" s="121"/>
      <c r="P31" s="125"/>
      <c r="Q31" s="125"/>
      <c r="R31" s="946"/>
      <c r="S31" s="124"/>
      <c r="V31" s="125"/>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18"/>
    </row>
    <row r="32" spans="1:67">
      <c r="B32" s="128" t="s">
        <v>279</v>
      </c>
      <c r="C32" s="138" t="s">
        <v>280</v>
      </c>
      <c r="D32" s="664">
        <v>20</v>
      </c>
      <c r="E32" s="118"/>
      <c r="G32" s="219"/>
      <c r="H32" s="980"/>
      <c r="I32" s="445"/>
      <c r="J32" s="121"/>
      <c r="K32" s="121"/>
      <c r="L32" s="121"/>
      <c r="M32" s="233"/>
      <c r="N32" s="121"/>
      <c r="O32" s="121"/>
      <c r="P32" s="121"/>
      <c r="Q32" s="125"/>
      <c r="R32" s="930"/>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669"/>
      <c r="E33" s="118"/>
      <c r="G33" s="219"/>
      <c r="H33" s="485"/>
      <c r="I33" s="121"/>
      <c r="J33" s="121"/>
      <c r="K33" s="121"/>
      <c r="L33" s="121"/>
      <c r="M33" s="9"/>
      <c r="N33" s="121"/>
      <c r="O33" s="121"/>
      <c r="P33" s="121"/>
      <c r="Q33" s="125"/>
      <c r="R33" s="930"/>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670">
        <f>N13</f>
        <v>2715.9333333333334</v>
      </c>
      <c r="E34" s="118"/>
      <c r="G34" s="219"/>
      <c r="H34" s="2066"/>
      <c r="I34" s="2045"/>
      <c r="J34" s="2045"/>
      <c r="K34" s="2045"/>
      <c r="L34" s="121"/>
      <c r="M34" s="9"/>
      <c r="N34" s="121"/>
      <c r="O34" s="121"/>
      <c r="P34" s="121"/>
      <c r="Q34" s="125"/>
      <c r="R34" s="930"/>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c r="B35" s="128"/>
      <c r="C35" s="138"/>
      <c r="D35" s="671"/>
      <c r="E35" s="118"/>
      <c r="G35" s="219"/>
      <c r="H35" s="981"/>
      <c r="I35" s="435"/>
      <c r="J35" s="391"/>
      <c r="K35" s="272"/>
      <c r="L35" s="121"/>
      <c r="M35" s="121"/>
      <c r="N35" s="344"/>
      <c r="O35" s="344"/>
      <c r="P35" s="121"/>
      <c r="Q35" s="125"/>
      <c r="R35" s="930"/>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c r="B36" s="128" t="s">
        <v>321</v>
      </c>
      <c r="C36" s="152" t="s">
        <v>265</v>
      </c>
      <c r="D36" s="672">
        <f>N26</f>
        <v>500</v>
      </c>
      <c r="E36" s="118"/>
      <c r="G36" s="219"/>
      <c r="H36" s="486"/>
      <c r="I36" s="435"/>
      <c r="J36" s="391"/>
      <c r="K36" s="272"/>
      <c r="L36" s="121"/>
      <c r="M36" s="839"/>
      <c r="N36" s="839"/>
      <c r="O36" s="121"/>
      <c r="P36" s="125"/>
      <c r="Q36" s="125"/>
      <c r="R36" s="930"/>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18"/>
    </row>
    <row r="37" spans="2:67">
      <c r="B37" s="128" t="s">
        <v>387</v>
      </c>
      <c r="C37" s="138" t="s">
        <v>388</v>
      </c>
      <c r="D37" s="673" t="s">
        <v>890</v>
      </c>
      <c r="E37" s="118"/>
      <c r="G37" s="219"/>
      <c r="H37" s="485"/>
      <c r="I37" s="240"/>
      <c r="J37" s="240"/>
      <c r="K37" s="272"/>
      <c r="L37" s="121"/>
      <c r="M37" s="839"/>
      <c r="N37" s="839"/>
      <c r="O37" s="121"/>
      <c r="P37" s="125"/>
      <c r="Q37" s="125"/>
      <c r="R37" s="930"/>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18"/>
    </row>
    <row r="38" spans="2:67">
      <c r="B38" s="128" t="s">
        <v>389</v>
      </c>
      <c r="C38" s="138" t="s">
        <v>352</v>
      </c>
      <c r="D38" s="674" t="s">
        <v>890</v>
      </c>
      <c r="E38" s="118"/>
      <c r="G38" s="219"/>
      <c r="H38" s="486"/>
      <c r="I38" s="435"/>
      <c r="J38" s="391"/>
      <c r="K38" s="272"/>
      <c r="L38" s="121"/>
      <c r="M38" s="9"/>
      <c r="N38" s="839"/>
      <c r="O38" s="839"/>
      <c r="P38" s="125"/>
      <c r="Q38" s="125"/>
      <c r="R38" s="930"/>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c r="B39" s="128" t="s">
        <v>390</v>
      </c>
      <c r="C39" s="138" t="s">
        <v>392</v>
      </c>
      <c r="D39" s="675">
        <f>N8</f>
        <v>281.09910000000002</v>
      </c>
      <c r="E39" s="118"/>
      <c r="G39" s="219"/>
      <c r="H39" s="485"/>
      <c r="I39" s="840"/>
      <c r="J39" s="437"/>
      <c r="K39" s="840"/>
      <c r="L39" s="121"/>
      <c r="M39" s="9"/>
      <c r="N39" s="839"/>
      <c r="O39" s="839"/>
      <c r="P39" s="125"/>
      <c r="Q39" s="125"/>
      <c r="R39" s="930"/>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5.75" thickBot="1">
      <c r="B40" s="134" t="s">
        <v>391</v>
      </c>
      <c r="C40" s="313" t="s">
        <v>352</v>
      </c>
      <c r="D40" s="676"/>
      <c r="E40" s="118"/>
      <c r="G40" s="219"/>
      <c r="H40" s="485"/>
      <c r="I40" s="240"/>
      <c r="J40" s="240"/>
      <c r="K40" s="240" t="s">
        <v>814</v>
      </c>
      <c r="L40" s="121"/>
      <c r="M40" s="9"/>
      <c r="N40" s="836"/>
      <c r="O40" s="836"/>
      <c r="P40" s="125"/>
      <c r="Q40" s="125"/>
      <c r="R40" s="930"/>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5.75" thickBot="1">
      <c r="B41" s="153"/>
      <c r="C41" s="154"/>
      <c r="D41" s="155"/>
      <c r="E41" s="118"/>
      <c r="F41" s="136"/>
      <c r="G41" s="219"/>
      <c r="H41" s="486"/>
      <c r="I41" s="435"/>
      <c r="J41" s="391"/>
      <c r="K41" s="121"/>
      <c r="L41" s="121"/>
      <c r="M41" s="9"/>
      <c r="N41" s="839"/>
      <c r="O41" s="839"/>
      <c r="P41" s="125"/>
      <c r="Q41" s="125"/>
      <c r="R41" s="930"/>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c r="B42" s="504" t="s">
        <v>327</v>
      </c>
      <c r="C42" s="505" t="s">
        <v>271</v>
      </c>
      <c r="D42" s="506" t="s">
        <v>272</v>
      </c>
      <c r="E42" s="118"/>
      <c r="G42" s="219"/>
      <c r="H42" s="486"/>
      <c r="I42" s="435"/>
      <c r="J42" s="391"/>
      <c r="K42" s="121"/>
      <c r="L42" s="121"/>
      <c r="M42" s="9"/>
      <c r="N42" s="839"/>
      <c r="O42" s="839"/>
      <c r="P42" s="125"/>
      <c r="Q42" s="125"/>
      <c r="R42" s="930"/>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5.75" thickBot="1">
      <c r="B43" s="311" t="s">
        <v>276</v>
      </c>
      <c r="C43" s="138" t="s">
        <v>265</v>
      </c>
      <c r="D43" s="599">
        <v>0.02</v>
      </c>
      <c r="E43" s="118"/>
      <c r="F43" s="159"/>
      <c r="G43" s="219"/>
      <c r="H43" s="488"/>
      <c r="I43" s="379"/>
      <c r="J43" s="379"/>
      <c r="K43" s="379"/>
      <c r="L43" s="379"/>
      <c r="M43" s="954"/>
      <c r="N43" s="848"/>
      <c r="O43" s="848"/>
      <c r="P43" s="381"/>
      <c r="Q43" s="982"/>
      <c r="R43" s="983"/>
      <c r="S43" s="122"/>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5.75" thickBot="1">
      <c r="B44" s="507" t="s">
        <v>328</v>
      </c>
      <c r="C44" s="143" t="s">
        <v>281</v>
      </c>
      <c r="D44" s="614">
        <f>Generation_Efficiency</f>
        <v>10.802351555020987</v>
      </c>
      <c r="E44" s="118"/>
      <c r="F44" s="159"/>
      <c r="G44" s="219"/>
      <c r="H44" s="122"/>
      <c r="I44" s="272"/>
      <c r="J44" s="272"/>
      <c r="K44" s="272"/>
      <c r="L44" s="272"/>
      <c r="M44" s="9"/>
      <c r="N44" s="419"/>
      <c r="O44" s="419"/>
      <c r="P44" s="125"/>
      <c r="Q44" s="419"/>
      <c r="R44" s="419"/>
      <c r="S44" s="122"/>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5.75" thickBot="1">
      <c r="B45" s="161"/>
      <c r="C45" s="162"/>
      <c r="D45" s="163"/>
      <c r="E45" s="118"/>
      <c r="F45" s="136"/>
      <c r="G45" s="219"/>
      <c r="H45" s="272"/>
      <c r="I45" s="419"/>
      <c r="J45" s="419"/>
      <c r="K45" s="419"/>
      <c r="L45" s="419"/>
      <c r="M45" s="122"/>
      <c r="N45" s="419"/>
      <c r="O45" s="419"/>
      <c r="P45" s="125"/>
      <c r="Q45" s="419"/>
      <c r="R45" s="9"/>
      <c r="S45" s="122"/>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c r="B46" s="126" t="s">
        <v>275</v>
      </c>
      <c r="C46" s="150" t="s">
        <v>271</v>
      </c>
      <c r="D46" s="310" t="s">
        <v>272</v>
      </c>
      <c r="E46" s="118"/>
      <c r="F46" s="159"/>
      <c r="G46" s="219"/>
      <c r="H46" s="272"/>
      <c r="I46" s="272"/>
      <c r="J46" s="272"/>
      <c r="K46" s="272"/>
      <c r="L46" s="272"/>
      <c r="M46" s="122"/>
      <c r="N46" s="419"/>
      <c r="O46" s="419"/>
      <c r="P46" s="125"/>
      <c r="Q46" s="419"/>
      <c r="R46" s="9"/>
      <c r="S46" s="122"/>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c r="B47" s="311" t="s">
        <v>282</v>
      </c>
      <c r="C47" s="138" t="s">
        <v>269</v>
      </c>
      <c r="D47" s="601">
        <f>VLOOKUP(Energy_Region,Assumptions!$A$28:$B$38,2,FALSE)</f>
        <v>1.5507921943016665</v>
      </c>
      <c r="E47" s="118"/>
      <c r="F47" s="136"/>
      <c r="G47" s="219"/>
      <c r="H47" s="272"/>
      <c r="I47" s="272"/>
      <c r="J47" s="272"/>
      <c r="K47" s="272"/>
      <c r="L47" s="272" t="s">
        <v>814</v>
      </c>
      <c r="M47" s="122"/>
      <c r="N47" s="419"/>
      <c r="O47" s="419"/>
      <c r="P47" s="125"/>
      <c r="Q47" s="419"/>
      <c r="R47" s="9"/>
      <c r="S47" s="122"/>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02">
        <f>Assumptions!B26</f>
        <v>0</v>
      </c>
      <c r="E48" s="118"/>
      <c r="F48" s="159"/>
      <c r="G48" s="219"/>
      <c r="H48" s="122"/>
      <c r="I48" s="122"/>
      <c r="J48" s="122"/>
      <c r="K48" s="122"/>
      <c r="L48" s="122"/>
      <c r="M48" s="122"/>
      <c r="N48" s="9"/>
      <c r="O48" s="9"/>
      <c r="P48" s="125"/>
      <c r="Q48" s="419"/>
      <c r="R48" s="9"/>
      <c r="S48" s="122"/>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122"/>
      <c r="I49" s="122"/>
      <c r="J49" s="122"/>
      <c r="K49" s="122"/>
      <c r="L49" s="122"/>
      <c r="M49" s="122"/>
      <c r="N49" s="121"/>
      <c r="O49" s="121"/>
      <c r="P49" s="125"/>
      <c r="Q49" s="122"/>
      <c r="R49" s="122"/>
      <c r="S49" s="122"/>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s">
        <v>355</v>
      </c>
      <c r="E50" s="118"/>
      <c r="F50" s="159"/>
      <c r="G50" s="220"/>
      <c r="H50" s="122"/>
      <c r="I50" s="122"/>
      <c r="J50" s="122"/>
      <c r="K50" s="122"/>
      <c r="L50" s="122"/>
      <c r="M50" s="122"/>
      <c r="N50" s="118"/>
      <c r="O50" s="118"/>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04"/>
      <c r="E51" s="121"/>
      <c r="F51" s="136"/>
      <c r="G51" s="220"/>
      <c r="H51" s="122"/>
      <c r="I51" s="122"/>
      <c r="J51" s="122"/>
      <c r="K51" s="122"/>
      <c r="L51" s="122"/>
      <c r="M51" s="122"/>
      <c r="N51" s="118"/>
      <c r="O51" s="118"/>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N52" s="118"/>
      <c r="O52" s="118"/>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25.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L54+1</f>
        <v>2021</v>
      </c>
      <c r="N54" s="171">
        <f>M54+1</f>
        <v>2022</v>
      </c>
      <c r="O54" s="171">
        <f>N54+1</f>
        <v>2023</v>
      </c>
      <c r="P54" s="171">
        <f t="shared" ref="P54:AA54" si="1">O54+1</f>
        <v>2024</v>
      </c>
      <c r="Q54" s="171">
        <f t="shared" si="1"/>
        <v>2025</v>
      </c>
      <c r="R54" s="171">
        <f t="shared" si="1"/>
        <v>2026</v>
      </c>
      <c r="S54" s="306">
        <f t="shared" si="1"/>
        <v>2027</v>
      </c>
      <c r="T54" s="306">
        <f t="shared" si="1"/>
        <v>2028</v>
      </c>
      <c r="U54" s="306">
        <f t="shared" si="1"/>
        <v>2029</v>
      </c>
      <c r="V54" s="306">
        <f t="shared" si="1"/>
        <v>2030</v>
      </c>
      <c r="W54" s="306">
        <f t="shared" si="1"/>
        <v>2031</v>
      </c>
      <c r="X54" s="306">
        <f t="shared" si="1"/>
        <v>2032</v>
      </c>
      <c r="Y54" s="306">
        <f t="shared" si="1"/>
        <v>2033</v>
      </c>
      <c r="Z54" s="306">
        <f t="shared" si="1"/>
        <v>2034</v>
      </c>
      <c r="AA54" s="306">
        <f t="shared" si="1"/>
        <v>2035</v>
      </c>
      <c r="AB54" s="306">
        <f t="shared" si="0"/>
        <v>2036</v>
      </c>
      <c r="AC54" s="306">
        <f t="shared" si="0"/>
        <v>2037</v>
      </c>
      <c r="AD54" s="306">
        <f t="shared" si="0"/>
        <v>2038</v>
      </c>
      <c r="AE54" s="306">
        <f t="shared" si="0"/>
        <v>2039</v>
      </c>
      <c r="AF54" s="306">
        <f t="shared" si="0"/>
        <v>2040</v>
      </c>
      <c r="AG54" s="306">
        <f t="shared" si="0"/>
        <v>2041</v>
      </c>
      <c r="AH54" s="306">
        <f t="shared" si="0"/>
        <v>2042</v>
      </c>
      <c r="AI54" s="306">
        <f t="shared" si="0"/>
        <v>2043</v>
      </c>
      <c r="AJ54" s="306">
        <f t="shared" si="0"/>
        <v>2044</v>
      </c>
      <c r="AK54" s="306">
        <f t="shared" si="0"/>
        <v>2045</v>
      </c>
      <c r="AL54" s="306">
        <f t="shared" si="0"/>
        <v>2046</v>
      </c>
      <c r="AM54" s="306">
        <f t="shared" si="0"/>
        <v>2047</v>
      </c>
      <c r="AN54" s="306">
        <f t="shared" si="0"/>
        <v>2048</v>
      </c>
      <c r="AO54" s="306">
        <f t="shared" si="0"/>
        <v>2049</v>
      </c>
      <c r="AP54" s="306">
        <f t="shared" si="0"/>
        <v>2050</v>
      </c>
      <c r="AQ54" s="306">
        <f t="shared" si="0"/>
        <v>2051</v>
      </c>
      <c r="AR54" s="306">
        <f t="shared" si="0"/>
        <v>2052</v>
      </c>
      <c r="AS54" s="306">
        <f t="shared" si="0"/>
        <v>2053</v>
      </c>
      <c r="AT54" s="306">
        <f t="shared" si="0"/>
        <v>2054</v>
      </c>
      <c r="AU54" s="306">
        <f t="shared" si="0"/>
        <v>2055</v>
      </c>
      <c r="AV54" s="306">
        <f t="shared" si="0"/>
        <v>2056</v>
      </c>
      <c r="AW54" s="306">
        <f t="shared" si="0"/>
        <v>2057</v>
      </c>
      <c r="AX54" s="306">
        <f t="shared" si="0"/>
        <v>2058</v>
      </c>
      <c r="AY54" s="306">
        <f t="shared" si="0"/>
        <v>2059</v>
      </c>
      <c r="AZ54" s="306">
        <f t="shared" si="0"/>
        <v>2060</v>
      </c>
      <c r="BA54" s="306">
        <f t="shared" si="0"/>
        <v>2061</v>
      </c>
      <c r="BB54" s="306">
        <f t="shared" si="0"/>
        <v>2062</v>
      </c>
      <c r="BC54" s="306">
        <f t="shared" si="0"/>
        <v>2063</v>
      </c>
      <c r="BD54" s="306">
        <f t="shared" si="0"/>
        <v>2064</v>
      </c>
      <c r="BE54" s="306">
        <f t="shared" si="0"/>
        <v>2065</v>
      </c>
      <c r="BF54" s="306">
        <f t="shared" si="0"/>
        <v>2066</v>
      </c>
      <c r="BG54" s="306">
        <f t="shared" si="0"/>
        <v>2067</v>
      </c>
      <c r="BH54" s="306">
        <f t="shared" si="0"/>
        <v>2068</v>
      </c>
      <c r="BI54" s="69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22668.530881370298</v>
      </c>
      <c r="H55" s="174">
        <f>IF(AND(H$54&gt;=$D$31,H$54&lt;=($D$31+$D$32)),-PMT(0.05,$D$32,$D$30)*'Fuel Price Worksheet'!H23,0)</f>
        <v>22137.237188838182</v>
      </c>
      <c r="I55" s="174">
        <f>IF(AND(I$54&gt;=$D$31,I$54&lt;=($D$31+$D$32)),-PMT(0.05,$D$32,$D$30)*'Fuel Price Worksheet'!I23,0)</f>
        <v>21618.395692224785</v>
      </c>
      <c r="J55" s="174">
        <f>IF(AND(J$54&gt;=$D$31,J$54&lt;=($D$31+$D$32)),-PMT(0.05,$D$32,$D$30)*'Fuel Price Worksheet'!J23,0)</f>
        <v>21111.71454318826</v>
      </c>
      <c r="K55" s="174">
        <f>IF(AND(K$54&gt;=$D$31,K$54&lt;=($D$31+$D$32)),-PMT(0.05,$D$32,$D$30)*'Fuel Price Worksheet'!K23,0)</f>
        <v>20616.908733582284</v>
      </c>
      <c r="L55" s="174">
        <f>IF(AND(L$54&gt;=$D$31,L$54&lt;=($D$31+$D$32)),-PMT(0.05,$D$32,$D$30)*'Fuel Price Worksheet'!L23,0)</f>
        <v>20133.699935138964</v>
      </c>
      <c r="M55" s="174">
        <f>IF(AND(M$54&gt;=$D$31,M$54&lt;=($D$31+$D$32)),-PMT(0.05,$D$32,$D$30)*'Fuel Price Worksheet'!M23,0)</f>
        <v>19661.816342909173</v>
      </c>
      <c r="N55" s="174">
        <f>IF(AND(N$54&gt;=$D$31,N$54&lt;=($D$31+$D$32)),-PMT(0.05,$D$32,$D$30)*'Fuel Price Worksheet'!N23,0)</f>
        <v>19200.992522372282</v>
      </c>
      <c r="O55" s="174">
        <f>IF(AND(O$54&gt;=$D$31,O$54&lt;=($D$31+$D$32)),-PMT(0.05,$D$32,$D$30)*'Fuel Price Worksheet'!O23,0)</f>
        <v>18750.969260129245</v>
      </c>
      <c r="P55" s="174">
        <f>IF(AND(P$54&gt;=$D$31,P$54&lt;=($D$31+$D$32)),-PMT(0.05,$D$32,$D$30)*'Fuel Price Worksheet'!P23,0)</f>
        <v>18311.49341809504</v>
      </c>
      <c r="Q55" s="174">
        <f>IF(AND(Q$54&gt;=$D$31,Q$54&lt;=($D$31+$D$32)),-PMT(0.05,$D$32,$D$30)*'Fuel Price Worksheet'!Q23,0)</f>
        <v>17882.317791108526</v>
      </c>
      <c r="R55" s="174">
        <f>IF(AND(R$54&gt;=$D$31,R$54&lt;=($D$31+$D$32)),-PMT(0.05,$D$32,$D$30)*'Fuel Price Worksheet'!R23,0)</f>
        <v>17463.200967879522</v>
      </c>
      <c r="S55" s="174">
        <f>IF(AND(S$54&gt;=$D$31,S$54&lt;=($D$31+$D$32)),-PMT(0.05,$D$32,$D$30)*'Fuel Price Worksheet'!S23,0)</f>
        <v>17053.907195194959</v>
      </c>
      <c r="T55" s="174">
        <f>IF(AND(T$54&gt;=$D$31,T$54&lt;=($D$31+$D$32)),-PMT(0.05,$D$32,$D$30)*'Fuel Price Worksheet'!T23,0)</f>
        <v>16654.206245307705</v>
      </c>
      <c r="U55" s="174">
        <f>IF(AND(U$54&gt;=$D$31,U$54&lt;=($D$31+$D$32)),-PMT(0.05,$D$32,$D$30)*'Fuel Price Worksheet'!U23,0)</f>
        <v>16263.87328643344</v>
      </c>
      <c r="V55" s="174">
        <f>IF(AND(V$54&gt;=$D$31,V$54&lt;=($D$31+$D$32)),-PMT(0.05,$D$32,$D$30)*'Fuel Price Worksheet'!V23,0)</f>
        <v>15882.688756282805</v>
      </c>
      <c r="W55" s="174">
        <f>IF(AND(W$54&gt;=$D$31,W$54&lt;=($D$31+$D$32)),-PMT(0.05,$D$32,$D$30)*'Fuel Price Worksheet'!W23,0)</f>
        <v>15510.438238557585</v>
      </c>
      <c r="X55" s="174">
        <f>IF(AND(X$54&gt;=$D$31,X$54&lt;=($D$31+$D$32)),-PMT(0.05,$D$32,$D$30)*'Fuel Price Worksheet'!X23,0)</f>
        <v>15146.91234234156</v>
      </c>
      <c r="Y55" s="174">
        <f>IF(AND(Y$54&gt;=$D$31,Y$54&lt;=($D$31+$D$32)),-PMT(0.05,$D$32,$D$30)*'Fuel Price Worksheet'!Y23,0)</f>
        <v>14791.906584318105</v>
      </c>
      <c r="Z55" s="174">
        <f>IF(AND(Z$54&gt;=$D$31,Z$54&lt;=($D$31+$D$32)),-PMT(0.05,$D$32,$D$30)*'Fuel Price Worksheet'!Z23,0)</f>
        <v>14445.221273748333</v>
      </c>
      <c r="AA55" s="174">
        <f>IF(AND(AA$54&gt;=$D$31,AA$54&lt;=($D$31+$D$32)),-PMT(0.05,$D$32,$D$30)*'Fuel Price Worksheet'!AA23,0)</f>
        <v>14106.661400145051</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277308.48665371607</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c r="G57" s="178">
        <f t="shared" ref="G57:BH57" si="2">G79-G70</f>
        <v>0</v>
      </c>
      <c r="H57" s="178">
        <f t="shared" si="2"/>
        <v>0</v>
      </c>
      <c r="I57" s="178">
        <f t="shared" si="2"/>
        <v>0</v>
      </c>
      <c r="J57" s="178">
        <f t="shared" si="2"/>
        <v>0</v>
      </c>
      <c r="K57" s="178">
        <f t="shared" si="2"/>
        <v>0</v>
      </c>
      <c r="L57" s="178">
        <f t="shared" si="2"/>
        <v>0</v>
      </c>
      <c r="M57" s="178">
        <f t="shared" si="2"/>
        <v>0</v>
      </c>
      <c r="N57" s="178">
        <f t="shared" si="2"/>
        <v>0</v>
      </c>
      <c r="O57" s="178">
        <f t="shared" si="2"/>
        <v>0</v>
      </c>
      <c r="P57" s="178">
        <f t="shared" si="2"/>
        <v>0</v>
      </c>
      <c r="Q57" s="178">
        <f t="shared" si="2"/>
        <v>0</v>
      </c>
      <c r="R57" s="178">
        <f t="shared" si="2"/>
        <v>0</v>
      </c>
      <c r="S57" s="178">
        <f t="shared" si="2"/>
        <v>0</v>
      </c>
      <c r="T57" s="178">
        <f t="shared" si="2"/>
        <v>0</v>
      </c>
      <c r="U57" s="178">
        <f t="shared" si="2"/>
        <v>0</v>
      </c>
      <c r="V57" s="178">
        <f t="shared" si="2"/>
        <v>0</v>
      </c>
      <c r="W57" s="178">
        <f t="shared" si="2"/>
        <v>0</v>
      </c>
      <c r="X57" s="178">
        <f t="shared" si="2"/>
        <v>0</v>
      </c>
      <c r="Y57" s="178">
        <f t="shared" si="2"/>
        <v>0</v>
      </c>
      <c r="Z57" s="178">
        <f t="shared" si="2"/>
        <v>0</v>
      </c>
      <c r="AA57" s="178">
        <f t="shared" si="2"/>
        <v>0</v>
      </c>
      <c r="AB57" s="178">
        <f t="shared" si="2"/>
        <v>0</v>
      </c>
      <c r="AC57" s="178">
        <f t="shared" si="2"/>
        <v>0</v>
      </c>
      <c r="AD57" s="178">
        <f t="shared" si="2"/>
        <v>0</v>
      </c>
      <c r="AE57" s="178">
        <f t="shared" si="2"/>
        <v>0</v>
      </c>
      <c r="AF57" s="178">
        <f t="shared" si="2"/>
        <v>0</v>
      </c>
      <c r="AG57" s="178">
        <f t="shared" si="2"/>
        <v>0</v>
      </c>
      <c r="AH57" s="178">
        <f t="shared" si="2"/>
        <v>0</v>
      </c>
      <c r="AI57" s="178">
        <f t="shared" si="2"/>
        <v>0</v>
      </c>
      <c r="AJ57" s="178">
        <f t="shared" si="2"/>
        <v>0</v>
      </c>
      <c r="AK57" s="178">
        <f t="shared" si="2"/>
        <v>0</v>
      </c>
      <c r="AL57" s="178">
        <f t="shared" si="2"/>
        <v>0</v>
      </c>
      <c r="AM57" s="178">
        <f t="shared" si="2"/>
        <v>0</v>
      </c>
      <c r="AN57" s="178">
        <f t="shared" si="2"/>
        <v>0</v>
      </c>
      <c r="AO57" s="178">
        <f t="shared" si="2"/>
        <v>0</v>
      </c>
      <c r="AP57" s="178">
        <f t="shared" si="2"/>
        <v>0</v>
      </c>
      <c r="AQ57" s="178">
        <f t="shared" si="2"/>
        <v>0</v>
      </c>
      <c r="AR57" s="178">
        <f t="shared" si="2"/>
        <v>0</v>
      </c>
      <c r="AS57" s="178">
        <f t="shared" si="2"/>
        <v>0</v>
      </c>
      <c r="AT57" s="178">
        <f t="shared" si="2"/>
        <v>0</v>
      </c>
      <c r="AU57" s="178">
        <f t="shared" si="2"/>
        <v>0</v>
      </c>
      <c r="AV57" s="178">
        <f t="shared" si="2"/>
        <v>0</v>
      </c>
      <c r="AW57" s="178">
        <f t="shared" si="2"/>
        <v>0</v>
      </c>
      <c r="AX57" s="178">
        <f t="shared" si="2"/>
        <v>0</v>
      </c>
      <c r="AY57" s="178">
        <f t="shared" si="2"/>
        <v>0</v>
      </c>
      <c r="AZ57" s="178">
        <f t="shared" si="2"/>
        <v>0</v>
      </c>
      <c r="BA57" s="178">
        <f t="shared" si="2"/>
        <v>0</v>
      </c>
      <c r="BB57" s="178">
        <f t="shared" si="2"/>
        <v>0</v>
      </c>
      <c r="BC57" s="178">
        <f t="shared" si="2"/>
        <v>0</v>
      </c>
      <c r="BD57" s="178">
        <f t="shared" si="2"/>
        <v>0</v>
      </c>
      <c r="BE57" s="178">
        <f t="shared" si="2"/>
        <v>0</v>
      </c>
      <c r="BF57" s="178">
        <f t="shared" si="2"/>
        <v>0</v>
      </c>
      <c r="BG57" s="178">
        <f t="shared" si="2"/>
        <v>0</v>
      </c>
      <c r="BH57" s="178">
        <f t="shared" si="2"/>
        <v>0</v>
      </c>
      <c r="BI57" s="175">
        <f>NPV($D$49,F57:BH57)</f>
        <v>0</v>
      </c>
      <c r="BJ57" s="121"/>
      <c r="BK57" s="121"/>
      <c r="BL57" s="121"/>
      <c r="BM57" s="121"/>
      <c r="BN57" s="121"/>
      <c r="BO57" s="121"/>
    </row>
    <row r="58" spans="2:67" ht="12.75">
      <c r="C58" s="177"/>
      <c r="D58" s="136" t="s">
        <v>626</v>
      </c>
      <c r="E58" s="121" t="s">
        <v>264</v>
      </c>
      <c r="F58" s="178"/>
      <c r="G58" s="829">
        <f>G97</f>
        <v>10923.159711790979</v>
      </c>
      <c r="H58" s="829">
        <f t="shared" ref="H58:BH58" si="3">H97</f>
        <v>12192.304435169159</v>
      </c>
      <c r="I58" s="829">
        <f t="shared" si="3"/>
        <v>12638.643338526193</v>
      </c>
      <c r="J58" s="829">
        <f t="shared" si="3"/>
        <v>12671.288579195545</v>
      </c>
      <c r="K58" s="829">
        <f t="shared" si="3"/>
        <v>12823.357314615812</v>
      </c>
      <c r="L58" s="829">
        <f t="shared" si="3"/>
        <v>12976.21927864704</v>
      </c>
      <c r="M58" s="829">
        <f t="shared" si="3"/>
        <v>13183.353822703357</v>
      </c>
      <c r="N58" s="829">
        <f t="shared" si="3"/>
        <v>13405.390196005354</v>
      </c>
      <c r="O58" s="829">
        <f t="shared" si="3"/>
        <v>13635.358011204953</v>
      </c>
      <c r="P58" s="829">
        <f t="shared" si="3"/>
        <v>13870.202129913809</v>
      </c>
      <c r="Q58" s="829">
        <f t="shared" si="3"/>
        <v>14106.148161452791</v>
      </c>
      <c r="R58" s="829">
        <f t="shared" si="3"/>
        <v>14357.504354737272</v>
      </c>
      <c r="S58" s="829">
        <f t="shared" si="3"/>
        <v>14615.008438608111</v>
      </c>
      <c r="T58" s="829">
        <f t="shared" si="3"/>
        <v>14878.813577054807</v>
      </c>
      <c r="U58" s="829">
        <f t="shared" si="3"/>
        <v>15149.07590540907</v>
      </c>
      <c r="V58" s="829">
        <f t="shared" si="3"/>
        <v>15425.954925228971</v>
      </c>
      <c r="W58" s="829">
        <f t="shared" si="3"/>
        <v>15709.615854315838</v>
      </c>
      <c r="X58" s="829">
        <f t="shared" si="3"/>
        <v>16000.226366528743</v>
      </c>
      <c r="Y58" s="829">
        <f t="shared" si="3"/>
        <v>16297.553796238753</v>
      </c>
      <c r="Z58" s="829">
        <f t="shared" si="3"/>
        <v>16589.791152900274</v>
      </c>
      <c r="AA58" s="829">
        <f t="shared" si="3"/>
        <v>16897.24941164647</v>
      </c>
      <c r="AB58" s="829">
        <f t="shared" si="3"/>
        <v>0</v>
      </c>
      <c r="AC58" s="829">
        <f t="shared" si="3"/>
        <v>0</v>
      </c>
      <c r="AD58" s="829">
        <f t="shared" si="3"/>
        <v>0</v>
      </c>
      <c r="AE58" s="829">
        <f t="shared" si="3"/>
        <v>0</v>
      </c>
      <c r="AF58" s="829">
        <f t="shared" si="3"/>
        <v>0</v>
      </c>
      <c r="AG58" s="829">
        <f t="shared" si="3"/>
        <v>0</v>
      </c>
      <c r="AH58" s="829">
        <f t="shared" si="3"/>
        <v>0</v>
      </c>
      <c r="AI58" s="829">
        <f t="shared" si="3"/>
        <v>0</v>
      </c>
      <c r="AJ58" s="829">
        <f t="shared" si="3"/>
        <v>0</v>
      </c>
      <c r="AK58" s="829">
        <f t="shared" si="3"/>
        <v>0</v>
      </c>
      <c r="AL58" s="829">
        <f t="shared" si="3"/>
        <v>0</v>
      </c>
      <c r="AM58" s="829">
        <f t="shared" si="3"/>
        <v>0</v>
      </c>
      <c r="AN58" s="829">
        <f t="shared" si="3"/>
        <v>0</v>
      </c>
      <c r="AO58" s="829">
        <f t="shared" si="3"/>
        <v>0</v>
      </c>
      <c r="AP58" s="829">
        <f t="shared" si="3"/>
        <v>0</v>
      </c>
      <c r="AQ58" s="829">
        <f t="shared" si="3"/>
        <v>0</v>
      </c>
      <c r="AR58" s="829">
        <f t="shared" si="3"/>
        <v>0</v>
      </c>
      <c r="AS58" s="829">
        <f t="shared" si="3"/>
        <v>0</v>
      </c>
      <c r="AT58" s="829">
        <f t="shared" si="3"/>
        <v>0</v>
      </c>
      <c r="AU58" s="829">
        <f t="shared" si="3"/>
        <v>0</v>
      </c>
      <c r="AV58" s="829">
        <f t="shared" si="3"/>
        <v>0</v>
      </c>
      <c r="AW58" s="829">
        <f t="shared" si="3"/>
        <v>0</v>
      </c>
      <c r="AX58" s="829">
        <f t="shared" si="3"/>
        <v>0</v>
      </c>
      <c r="AY58" s="829">
        <f t="shared" si="3"/>
        <v>0</v>
      </c>
      <c r="AZ58" s="829">
        <f t="shared" si="3"/>
        <v>0</v>
      </c>
      <c r="BA58" s="829">
        <f t="shared" si="3"/>
        <v>0</v>
      </c>
      <c r="BB58" s="829">
        <f t="shared" si="3"/>
        <v>0</v>
      </c>
      <c r="BC58" s="829">
        <f t="shared" si="3"/>
        <v>0</v>
      </c>
      <c r="BD58" s="829">
        <f t="shared" si="3"/>
        <v>0</v>
      </c>
      <c r="BE58" s="829">
        <f t="shared" si="3"/>
        <v>0</v>
      </c>
      <c r="BF58" s="829">
        <f t="shared" si="3"/>
        <v>0</v>
      </c>
      <c r="BG58" s="829">
        <f t="shared" si="3"/>
        <v>0</v>
      </c>
      <c r="BH58" s="829">
        <f t="shared" si="3"/>
        <v>0</v>
      </c>
      <c r="BI58" s="175">
        <f>NPV($D$49,F58:BH58)</f>
        <v>214775.20602678275</v>
      </c>
      <c r="BJ58" s="121"/>
      <c r="BK58" s="121"/>
      <c r="BL58" s="121"/>
      <c r="BM58" s="121"/>
      <c r="BN58" s="121"/>
      <c r="BO58" s="121"/>
    </row>
    <row r="59" spans="2:67" ht="12.75">
      <c r="C59" s="177"/>
      <c r="D59" s="179" t="s">
        <v>627</v>
      </c>
      <c r="E59" s="180" t="s">
        <v>264</v>
      </c>
      <c r="F59" s="178">
        <f t="shared" ref="F59:BH59" si="4">F57+F58</f>
        <v>0</v>
      </c>
      <c r="G59" s="178">
        <f t="shared" si="4"/>
        <v>10923.159711790979</v>
      </c>
      <c r="H59" s="178">
        <f t="shared" si="4"/>
        <v>12192.304435169159</v>
      </c>
      <c r="I59" s="178">
        <f t="shared" si="4"/>
        <v>12638.643338526193</v>
      </c>
      <c r="J59" s="178">
        <f t="shared" si="4"/>
        <v>12671.288579195545</v>
      </c>
      <c r="K59" s="178">
        <f t="shared" si="4"/>
        <v>12823.357314615812</v>
      </c>
      <c r="L59" s="178">
        <f t="shared" si="4"/>
        <v>12976.21927864704</v>
      </c>
      <c r="M59" s="178">
        <f t="shared" si="4"/>
        <v>13183.353822703357</v>
      </c>
      <c r="N59" s="178">
        <f t="shared" si="4"/>
        <v>13405.390196005354</v>
      </c>
      <c r="O59" s="178">
        <f t="shared" si="4"/>
        <v>13635.358011204953</v>
      </c>
      <c r="P59" s="178">
        <f t="shared" si="4"/>
        <v>13870.202129913809</v>
      </c>
      <c r="Q59" s="178">
        <f t="shared" si="4"/>
        <v>14106.148161452791</v>
      </c>
      <c r="R59" s="178">
        <f t="shared" si="4"/>
        <v>14357.504354737272</v>
      </c>
      <c r="S59" s="178">
        <f t="shared" si="4"/>
        <v>14615.008438608111</v>
      </c>
      <c r="T59" s="178">
        <f t="shared" si="4"/>
        <v>14878.813577054807</v>
      </c>
      <c r="U59" s="178">
        <f t="shared" si="4"/>
        <v>15149.07590540907</v>
      </c>
      <c r="V59" s="178">
        <f t="shared" si="4"/>
        <v>15425.954925228971</v>
      </c>
      <c r="W59" s="178">
        <f t="shared" si="4"/>
        <v>15709.615854315838</v>
      </c>
      <c r="X59" s="178">
        <f t="shared" si="4"/>
        <v>16000.226366528743</v>
      </c>
      <c r="Y59" s="178">
        <f t="shared" si="4"/>
        <v>16297.553796238753</v>
      </c>
      <c r="Z59" s="178">
        <f t="shared" si="4"/>
        <v>16589.791152900274</v>
      </c>
      <c r="AA59" s="178">
        <f t="shared" si="4"/>
        <v>16897.24941164647</v>
      </c>
      <c r="AB59" s="178">
        <f t="shared" si="4"/>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208519.61750173089</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82"/>
      <c r="D61" s="183" t="s">
        <v>289</v>
      </c>
      <c r="E61" s="184" t="s">
        <v>264</v>
      </c>
      <c r="F61" s="185">
        <f t="shared" ref="F61:AK61" si="5">F59-F55</f>
        <v>0</v>
      </c>
      <c r="G61" s="185">
        <f t="shared" si="5"/>
        <v>-11745.371169579319</v>
      </c>
      <c r="H61" s="185">
        <f t="shared" si="5"/>
        <v>-9944.9327536690234</v>
      </c>
      <c r="I61" s="185">
        <f t="shared" si="5"/>
        <v>-8979.7523536985918</v>
      </c>
      <c r="J61" s="185">
        <f t="shared" si="5"/>
        <v>-8440.425963992715</v>
      </c>
      <c r="K61" s="185">
        <f t="shared" si="5"/>
        <v>-7793.5514189664718</v>
      </c>
      <c r="L61" s="185">
        <f t="shared" si="5"/>
        <v>-7157.4806564919236</v>
      </c>
      <c r="M61" s="185">
        <f t="shared" si="5"/>
        <v>-6478.462520205816</v>
      </c>
      <c r="N61" s="185">
        <f t="shared" si="5"/>
        <v>-5795.6023263669285</v>
      </c>
      <c r="O61" s="185">
        <f t="shared" si="5"/>
        <v>-5115.6112489242914</v>
      </c>
      <c r="P61" s="185">
        <f t="shared" si="5"/>
        <v>-4441.2912881812317</v>
      </c>
      <c r="Q61" s="185">
        <f t="shared" si="5"/>
        <v>-3776.1696296557348</v>
      </c>
      <c r="R61" s="185">
        <f t="shared" si="5"/>
        <v>-3105.6966131422505</v>
      </c>
      <c r="S61" s="696">
        <f t="shared" si="5"/>
        <v>-2438.8987565868483</v>
      </c>
      <c r="T61" s="696">
        <f t="shared" si="5"/>
        <v>-1775.3926682528981</v>
      </c>
      <c r="U61" s="696">
        <f t="shared" si="5"/>
        <v>-1114.7973810243693</v>
      </c>
      <c r="V61" s="696">
        <f t="shared" si="5"/>
        <v>-456.73383105383436</v>
      </c>
      <c r="W61" s="696">
        <f t="shared" si="5"/>
        <v>199.17761575825352</v>
      </c>
      <c r="X61" s="696">
        <f t="shared" si="5"/>
        <v>853.31402418718244</v>
      </c>
      <c r="Y61" s="696">
        <f t="shared" si="5"/>
        <v>1505.6472119206483</v>
      </c>
      <c r="Z61" s="696">
        <f t="shared" si="5"/>
        <v>2144.5698791519408</v>
      </c>
      <c r="AA61" s="696">
        <f t="shared" si="5"/>
        <v>2790.5880115014188</v>
      </c>
      <c r="AB61" s="696">
        <f t="shared" si="5"/>
        <v>0</v>
      </c>
      <c r="AC61" s="696">
        <f t="shared" si="5"/>
        <v>0</v>
      </c>
      <c r="AD61" s="696">
        <f t="shared" si="5"/>
        <v>0</v>
      </c>
      <c r="AE61" s="696">
        <f t="shared" si="5"/>
        <v>0</v>
      </c>
      <c r="AF61" s="696">
        <f t="shared" si="5"/>
        <v>0</v>
      </c>
      <c r="AG61" s="696">
        <f t="shared" si="5"/>
        <v>0</v>
      </c>
      <c r="AH61" s="696">
        <f t="shared" si="5"/>
        <v>0</v>
      </c>
      <c r="AI61" s="696">
        <f t="shared" si="5"/>
        <v>0</v>
      </c>
      <c r="AJ61" s="696">
        <f t="shared" si="5"/>
        <v>0</v>
      </c>
      <c r="AK61" s="696">
        <f t="shared" si="5"/>
        <v>0</v>
      </c>
      <c r="AL61" s="696">
        <f t="shared" ref="AL61:BH61" si="6">AL59-AL55</f>
        <v>0</v>
      </c>
      <c r="AM61" s="696">
        <f t="shared" si="6"/>
        <v>0</v>
      </c>
      <c r="AN61" s="696">
        <f t="shared" si="6"/>
        <v>0</v>
      </c>
      <c r="AO61" s="696">
        <f t="shared" si="6"/>
        <v>0</v>
      </c>
      <c r="AP61" s="696">
        <f t="shared" si="6"/>
        <v>0</v>
      </c>
      <c r="AQ61" s="696">
        <f t="shared" si="6"/>
        <v>0</v>
      </c>
      <c r="AR61" s="696">
        <f t="shared" si="6"/>
        <v>0</v>
      </c>
      <c r="AS61" s="696">
        <f t="shared" si="6"/>
        <v>0</v>
      </c>
      <c r="AT61" s="696">
        <f t="shared" si="6"/>
        <v>0</v>
      </c>
      <c r="AU61" s="696">
        <f t="shared" si="6"/>
        <v>0</v>
      </c>
      <c r="AV61" s="696">
        <f t="shared" si="6"/>
        <v>0</v>
      </c>
      <c r="AW61" s="696">
        <f t="shared" si="6"/>
        <v>0</v>
      </c>
      <c r="AX61" s="696">
        <f t="shared" si="6"/>
        <v>0</v>
      </c>
      <c r="AY61" s="696">
        <f t="shared" si="6"/>
        <v>0</v>
      </c>
      <c r="AZ61" s="696">
        <f t="shared" si="6"/>
        <v>0</v>
      </c>
      <c r="BA61" s="696">
        <f t="shared" si="6"/>
        <v>0</v>
      </c>
      <c r="BB61" s="696">
        <f t="shared" si="6"/>
        <v>0</v>
      </c>
      <c r="BC61" s="696">
        <f t="shared" si="6"/>
        <v>0</v>
      </c>
      <c r="BD61" s="696">
        <f t="shared" si="6"/>
        <v>0</v>
      </c>
      <c r="BE61" s="696">
        <f t="shared" si="6"/>
        <v>0</v>
      </c>
      <c r="BF61" s="696">
        <f t="shared" si="6"/>
        <v>0</v>
      </c>
      <c r="BG61" s="696">
        <f t="shared" si="6"/>
        <v>0</v>
      </c>
      <c r="BH61" s="696">
        <f t="shared" si="6"/>
        <v>0</v>
      </c>
      <c r="BI61" s="175">
        <f>NPV($D$49,F61:BH61)</f>
        <v>-68788.869151985273</v>
      </c>
      <c r="BJ61" s="121"/>
      <c r="BK61" s="121"/>
      <c r="BL61" s="121"/>
      <c r="BM61" s="121"/>
      <c r="BN61" s="121"/>
      <c r="BO61" s="121"/>
    </row>
    <row r="62" spans="2:67" ht="12.75">
      <c r="C62" s="186"/>
      <c r="D62" s="136"/>
      <c r="E62" s="136"/>
      <c r="F62" s="136"/>
      <c r="G62" s="136"/>
      <c r="H62" s="136"/>
      <c r="I62" s="136"/>
      <c r="J62" s="136"/>
      <c r="K62" s="136"/>
      <c r="L62" s="136"/>
      <c r="M62" s="136"/>
      <c r="N62" s="136"/>
      <c r="O62" s="136"/>
      <c r="P62" s="136"/>
      <c r="Q62" s="136"/>
      <c r="R62" s="136"/>
      <c r="BJ62" s="121"/>
      <c r="BK62" s="121"/>
      <c r="BL62" s="121"/>
      <c r="BM62" s="121"/>
      <c r="BN62" s="121"/>
      <c r="BO62" s="121"/>
    </row>
    <row r="63" spans="2:67" ht="12.75">
      <c r="C63" s="166"/>
      <c r="D63" s="121"/>
      <c r="E63" s="121"/>
      <c r="F63" s="187"/>
      <c r="G63" s="187"/>
      <c r="H63" s="187"/>
      <c r="I63" s="187"/>
      <c r="J63" s="187"/>
      <c r="K63" s="187"/>
      <c r="L63" s="187"/>
      <c r="M63" s="187"/>
      <c r="N63" s="187"/>
      <c r="O63" s="187"/>
      <c r="P63" s="187"/>
      <c r="Q63" s="187"/>
      <c r="R63" s="187"/>
      <c r="S63" s="187"/>
      <c r="T63" s="187"/>
      <c r="U63" s="187"/>
      <c r="V63" s="187"/>
      <c r="W63" s="187"/>
      <c r="X63" s="187"/>
      <c r="Y63" s="187"/>
      <c r="Z63" s="187"/>
      <c r="AA63" s="187"/>
      <c r="AB63" s="187"/>
      <c r="AC63" s="187"/>
      <c r="AD63" s="187"/>
      <c r="AE63" s="187"/>
      <c r="AF63" s="187"/>
      <c r="AG63" s="187"/>
      <c r="AH63" s="187"/>
      <c r="AI63" s="187"/>
      <c r="AJ63" s="187"/>
      <c r="AK63" s="187"/>
      <c r="AL63" s="187"/>
      <c r="AM63" s="187"/>
      <c r="AN63" s="187"/>
      <c r="AO63" s="187"/>
      <c r="AP63" s="187"/>
      <c r="AQ63" s="187"/>
      <c r="AR63" s="187"/>
      <c r="AS63" s="187"/>
      <c r="AT63" s="187"/>
      <c r="AU63" s="187"/>
      <c r="AV63" s="187"/>
      <c r="AW63" s="187"/>
      <c r="AX63" s="187"/>
      <c r="AY63" s="187"/>
      <c r="AZ63" s="187"/>
      <c r="BA63" s="187"/>
      <c r="BB63" s="187"/>
      <c r="BC63" s="187"/>
      <c r="BD63" s="187"/>
      <c r="BE63" s="187"/>
      <c r="BF63" s="187"/>
      <c r="BG63" s="187"/>
      <c r="BH63" s="187"/>
      <c r="BI63" s="175"/>
      <c r="BJ63" s="121"/>
      <c r="BK63" s="121"/>
      <c r="BL63" s="121"/>
      <c r="BM63" s="121"/>
      <c r="BN63" s="121"/>
      <c r="BO63" s="121"/>
    </row>
    <row r="64" spans="2:67" ht="12.75">
      <c r="C64" s="168" t="s">
        <v>283</v>
      </c>
      <c r="D64" s="169"/>
      <c r="E64" s="170" t="s">
        <v>263</v>
      </c>
      <c r="F64" s="171">
        <v>2014</v>
      </c>
      <c r="G64" s="171">
        <f t="shared" ref="G64:BH64" si="7">F64+1</f>
        <v>2015</v>
      </c>
      <c r="H64" s="171">
        <f t="shared" si="7"/>
        <v>2016</v>
      </c>
      <c r="I64" s="171">
        <f t="shared" si="7"/>
        <v>2017</v>
      </c>
      <c r="J64" s="171">
        <f t="shared" si="7"/>
        <v>2018</v>
      </c>
      <c r="K64" s="171">
        <f t="shared" si="7"/>
        <v>2019</v>
      </c>
      <c r="L64" s="171">
        <f t="shared" si="7"/>
        <v>2020</v>
      </c>
      <c r="M64" s="171">
        <f>L64+1</f>
        <v>2021</v>
      </c>
      <c r="N64" s="171">
        <f t="shared" si="7"/>
        <v>2022</v>
      </c>
      <c r="O64" s="171">
        <f>N64+1</f>
        <v>2023</v>
      </c>
      <c r="P64" s="171">
        <f t="shared" si="7"/>
        <v>2024</v>
      </c>
      <c r="Q64" s="171">
        <f t="shared" si="7"/>
        <v>2025</v>
      </c>
      <c r="R64" s="171">
        <f t="shared" si="7"/>
        <v>2026</v>
      </c>
      <c r="S64" s="306">
        <f t="shared" si="7"/>
        <v>2027</v>
      </c>
      <c r="T64" s="306">
        <f t="shared" si="7"/>
        <v>2028</v>
      </c>
      <c r="U64" s="306">
        <f t="shared" si="7"/>
        <v>2029</v>
      </c>
      <c r="V64" s="306">
        <f t="shared" si="7"/>
        <v>2030</v>
      </c>
      <c r="W64" s="306">
        <f t="shared" si="7"/>
        <v>2031</v>
      </c>
      <c r="X64" s="306">
        <f t="shared" si="7"/>
        <v>2032</v>
      </c>
      <c r="Y64" s="306">
        <f t="shared" si="7"/>
        <v>2033</v>
      </c>
      <c r="Z64" s="306">
        <f t="shared" si="7"/>
        <v>2034</v>
      </c>
      <c r="AA64" s="306">
        <f t="shared" si="7"/>
        <v>2035</v>
      </c>
      <c r="AB64" s="306">
        <f t="shared" si="7"/>
        <v>2036</v>
      </c>
      <c r="AC64" s="306">
        <f t="shared" si="7"/>
        <v>2037</v>
      </c>
      <c r="AD64" s="306">
        <f t="shared" si="7"/>
        <v>2038</v>
      </c>
      <c r="AE64" s="306">
        <f t="shared" si="7"/>
        <v>2039</v>
      </c>
      <c r="AF64" s="306">
        <f t="shared" si="7"/>
        <v>2040</v>
      </c>
      <c r="AG64" s="306">
        <f t="shared" si="7"/>
        <v>2041</v>
      </c>
      <c r="AH64" s="306">
        <f t="shared" si="7"/>
        <v>2042</v>
      </c>
      <c r="AI64" s="306">
        <f t="shared" si="7"/>
        <v>2043</v>
      </c>
      <c r="AJ64" s="306">
        <f t="shared" si="7"/>
        <v>2044</v>
      </c>
      <c r="AK64" s="306">
        <f t="shared" si="7"/>
        <v>2045</v>
      </c>
      <c r="AL64" s="306">
        <f t="shared" si="7"/>
        <v>2046</v>
      </c>
      <c r="AM64" s="306">
        <f t="shared" si="7"/>
        <v>2047</v>
      </c>
      <c r="AN64" s="306">
        <f t="shared" si="7"/>
        <v>2048</v>
      </c>
      <c r="AO64" s="306">
        <f t="shared" si="7"/>
        <v>2049</v>
      </c>
      <c r="AP64" s="306">
        <f t="shared" si="7"/>
        <v>2050</v>
      </c>
      <c r="AQ64" s="306">
        <f t="shared" si="7"/>
        <v>2051</v>
      </c>
      <c r="AR64" s="306">
        <f t="shared" si="7"/>
        <v>2052</v>
      </c>
      <c r="AS64" s="306">
        <f t="shared" si="7"/>
        <v>2053</v>
      </c>
      <c r="AT64" s="306">
        <f t="shared" si="7"/>
        <v>2054</v>
      </c>
      <c r="AU64" s="306">
        <f t="shared" si="7"/>
        <v>2055</v>
      </c>
      <c r="AV64" s="306">
        <f t="shared" si="7"/>
        <v>2056</v>
      </c>
      <c r="AW64" s="306">
        <f t="shared" si="7"/>
        <v>2057</v>
      </c>
      <c r="AX64" s="306">
        <f t="shared" si="7"/>
        <v>2058</v>
      </c>
      <c r="AY64" s="306">
        <f t="shared" si="7"/>
        <v>2059</v>
      </c>
      <c r="AZ64" s="306">
        <f t="shared" si="7"/>
        <v>2060</v>
      </c>
      <c r="BA64" s="306">
        <f t="shared" si="7"/>
        <v>2061</v>
      </c>
      <c r="BB64" s="306">
        <f t="shared" si="7"/>
        <v>2062</v>
      </c>
      <c r="BC64" s="306">
        <f t="shared" si="7"/>
        <v>2063</v>
      </c>
      <c r="BD64" s="306">
        <f t="shared" si="7"/>
        <v>2064</v>
      </c>
      <c r="BE64" s="306">
        <f t="shared" si="7"/>
        <v>2065</v>
      </c>
      <c r="BF64" s="306">
        <f t="shared" si="7"/>
        <v>2066</v>
      </c>
      <c r="BG64" s="306">
        <f t="shared" si="7"/>
        <v>2067</v>
      </c>
      <c r="BH64" s="306">
        <f t="shared" si="7"/>
        <v>2068</v>
      </c>
      <c r="BI64" s="695" t="s">
        <v>4</v>
      </c>
      <c r="BJ64" s="121"/>
      <c r="BK64" s="121"/>
      <c r="BL64" s="121"/>
      <c r="BM64" s="121"/>
      <c r="BN64" s="121"/>
      <c r="BO64" s="121"/>
    </row>
    <row r="65" spans="2:67" ht="12.75">
      <c r="C65" s="2005" t="s">
        <v>284</v>
      </c>
      <c r="D65" s="2006"/>
      <c r="E65" s="2006"/>
      <c r="F65" s="136"/>
      <c r="G65" s="136"/>
      <c r="H65" s="136"/>
      <c r="I65" s="136"/>
      <c r="J65" s="136"/>
      <c r="K65" s="136"/>
      <c r="L65" s="136"/>
      <c r="M65" s="136"/>
      <c r="N65" s="136"/>
      <c r="O65" s="136"/>
      <c r="P65" s="136"/>
      <c r="Q65" s="136"/>
      <c r="R65" s="136"/>
      <c r="BI65" s="188"/>
      <c r="BJ65" s="121"/>
      <c r="BK65" s="121"/>
      <c r="BL65" s="121"/>
      <c r="BM65" s="121"/>
      <c r="BN65" s="121"/>
      <c r="BO65" s="121"/>
    </row>
    <row r="66" spans="2:67" ht="12.75">
      <c r="C66" s="172"/>
      <c r="D66" s="173" t="s">
        <v>716</v>
      </c>
      <c r="E66" s="121" t="s">
        <v>266</v>
      </c>
      <c r="F66" s="189"/>
      <c r="G66" s="189">
        <f t="shared" ref="G66:AA66" si="8">$J$7</f>
        <v>0</v>
      </c>
      <c r="H66" s="189">
        <f t="shared" si="8"/>
        <v>0</v>
      </c>
      <c r="I66" s="189">
        <f t="shared" si="8"/>
        <v>0</v>
      </c>
      <c r="J66" s="189">
        <f t="shared" si="8"/>
        <v>0</v>
      </c>
      <c r="K66" s="189">
        <f t="shared" si="8"/>
        <v>0</v>
      </c>
      <c r="L66" s="189">
        <f t="shared" si="8"/>
        <v>0</v>
      </c>
      <c r="M66" s="189">
        <f t="shared" si="8"/>
        <v>0</v>
      </c>
      <c r="N66" s="189">
        <f t="shared" si="8"/>
        <v>0</v>
      </c>
      <c r="O66" s="189">
        <f t="shared" si="8"/>
        <v>0</v>
      </c>
      <c r="P66" s="189">
        <f t="shared" si="8"/>
        <v>0</v>
      </c>
      <c r="Q66" s="189">
        <f t="shared" si="8"/>
        <v>0</v>
      </c>
      <c r="R66" s="189">
        <f t="shared" si="8"/>
        <v>0</v>
      </c>
      <c r="S66" s="189">
        <f t="shared" si="8"/>
        <v>0</v>
      </c>
      <c r="T66" s="189">
        <f t="shared" si="8"/>
        <v>0</v>
      </c>
      <c r="U66" s="189">
        <f t="shared" si="8"/>
        <v>0</v>
      </c>
      <c r="V66" s="189">
        <f t="shared" si="8"/>
        <v>0</v>
      </c>
      <c r="W66" s="189">
        <f t="shared" si="8"/>
        <v>0</v>
      </c>
      <c r="X66" s="189">
        <f t="shared" si="8"/>
        <v>0</v>
      </c>
      <c r="Y66" s="189">
        <f t="shared" si="8"/>
        <v>0</v>
      </c>
      <c r="Z66" s="189">
        <f t="shared" si="8"/>
        <v>0</v>
      </c>
      <c r="AA66" s="189">
        <f t="shared" si="8"/>
        <v>0</v>
      </c>
      <c r="AB66" s="189" t="e">
        <f>IF(AND(AB64+1&gt;#REF!,AB64&lt;#REF!+#REF!),#REF!,0)</f>
        <v>#REF!</v>
      </c>
      <c r="AC66" s="189" t="e">
        <f>IF(AND(AC64+1&gt;#REF!,AC64&lt;#REF!+#REF!),#REF!,0)</f>
        <v>#REF!</v>
      </c>
      <c r="AD66" s="189" t="e">
        <f>IF(AND(AD64+1&gt;#REF!,AD64&lt;#REF!+#REF!),#REF!,0)</f>
        <v>#REF!</v>
      </c>
      <c r="AE66" s="189" t="e">
        <f>IF(AND(AE64+1&gt;#REF!,AE64&lt;#REF!+#REF!),#REF!,0)</f>
        <v>#REF!</v>
      </c>
      <c r="AF66" s="189" t="e">
        <f>IF(AND(AF64+1&gt;#REF!,AF64&lt;#REF!+#REF!),#REF!,0)</f>
        <v>#REF!</v>
      </c>
      <c r="AG66" s="189" t="e">
        <f>IF(AND(AG64+1&gt;#REF!,AG64&lt;#REF!+#REF!),#REF!,0)</f>
        <v>#REF!</v>
      </c>
      <c r="AH66" s="189" t="e">
        <f>IF(AND(AH64+1&gt;#REF!,AH64&lt;#REF!+#REF!),#REF!,0)</f>
        <v>#REF!</v>
      </c>
      <c r="AI66" s="189" t="e">
        <f>IF(AND(AI64+1&gt;#REF!,AI64&lt;#REF!+#REF!),#REF!,0)</f>
        <v>#REF!</v>
      </c>
      <c r="AJ66" s="189" t="e">
        <f>IF(AND(AJ64+1&gt;#REF!,AJ64&lt;#REF!+#REF!),#REF!,0)</f>
        <v>#REF!</v>
      </c>
      <c r="AK66" s="189" t="e">
        <f>IF(AND(AK64+1&gt;#REF!,AK64&lt;#REF!+#REF!),#REF!,0)</f>
        <v>#REF!</v>
      </c>
      <c r="AL66" s="189" t="e">
        <f>IF(AND(AL64+1&gt;#REF!,AL64&lt;#REF!+#REF!),#REF!,0)</f>
        <v>#REF!</v>
      </c>
      <c r="AM66" s="189" t="e">
        <f>IF(AND(AM64+1&gt;#REF!,AM64&lt;#REF!+#REF!),#REF!,0)</f>
        <v>#REF!</v>
      </c>
      <c r="AN66" s="189" t="e">
        <f>IF(AND(AN64+1&gt;#REF!,AN64&lt;#REF!+#REF!),#REF!,0)</f>
        <v>#REF!</v>
      </c>
      <c r="AO66" s="189" t="e">
        <f>IF(AND(AO64+1&gt;#REF!,AO64&lt;#REF!+#REF!),#REF!,0)</f>
        <v>#REF!</v>
      </c>
      <c r="AP66" s="189" t="e">
        <f>IF(AND(AP64+1&gt;#REF!,AP64&lt;#REF!+#REF!),#REF!,0)</f>
        <v>#REF!</v>
      </c>
      <c r="AQ66" s="189" t="e">
        <f>IF(AND(AQ64+1&gt;#REF!,AQ64&lt;#REF!+#REF!),#REF!,0)</f>
        <v>#REF!</v>
      </c>
      <c r="AR66" s="189" t="e">
        <f>IF(AND(AR64+1&gt;#REF!,AR64&lt;#REF!+#REF!),#REF!,0)</f>
        <v>#REF!</v>
      </c>
      <c r="AS66" s="189" t="e">
        <f>IF(AND(AS64+1&gt;#REF!,AS64&lt;#REF!+#REF!),#REF!,0)</f>
        <v>#REF!</v>
      </c>
      <c r="AT66" s="189" t="e">
        <f>IF(AND(AT64+1&gt;#REF!,AT64&lt;#REF!+#REF!),#REF!,0)</f>
        <v>#REF!</v>
      </c>
      <c r="AU66" s="189" t="e">
        <f>IF(AND(AU64+1&gt;#REF!,AU64&lt;#REF!+#REF!),#REF!,0)</f>
        <v>#REF!</v>
      </c>
      <c r="AV66" s="189" t="e">
        <f>IF(AND(AV64+1&gt;#REF!,AV64&lt;#REF!+#REF!),#REF!,0)</f>
        <v>#REF!</v>
      </c>
      <c r="AW66" s="189" t="e">
        <f>IF(AND(AW64+1&gt;#REF!,AW64&lt;#REF!+#REF!),#REF!,0)</f>
        <v>#REF!</v>
      </c>
      <c r="AX66" s="189" t="e">
        <f>IF(AND(AX64+1&gt;#REF!,AX64&lt;#REF!+#REF!),#REF!,0)</f>
        <v>#REF!</v>
      </c>
      <c r="AY66" s="189" t="e">
        <f>IF(AND(AY64+1&gt;#REF!,AY64&lt;#REF!+#REF!),#REF!,0)</f>
        <v>#REF!</v>
      </c>
      <c r="AZ66" s="189" t="e">
        <f>IF(AND(AZ64+1&gt;#REF!,AZ64&lt;#REF!+#REF!),#REF!,0)</f>
        <v>#REF!</v>
      </c>
      <c r="BA66" s="189" t="e">
        <f>IF(AND(BA64+1&gt;#REF!,BA64&lt;#REF!+#REF!),#REF!,0)</f>
        <v>#REF!</v>
      </c>
      <c r="BB66" s="189" t="e">
        <f>IF(AND(BB64+1&gt;#REF!,BB64&lt;#REF!+#REF!),#REF!,0)</f>
        <v>#REF!</v>
      </c>
      <c r="BC66" s="189" t="e">
        <f>IF(AND(BC64+1&gt;#REF!,BC64&lt;#REF!+#REF!),#REF!,0)</f>
        <v>#REF!</v>
      </c>
      <c r="BD66" s="189" t="e">
        <f>IF(AND(BD64+1&gt;#REF!,BD64&lt;#REF!+#REF!),#REF!,0)</f>
        <v>#REF!</v>
      </c>
      <c r="BE66" s="189" t="e">
        <f>IF(AND(BE64+1&gt;#REF!,BE64&lt;#REF!+#REF!),#REF!,0)</f>
        <v>#REF!</v>
      </c>
      <c r="BF66" s="189" t="e">
        <f>IF(AND(BF64+1&gt;#REF!,BF64&lt;#REF!+#REF!),#REF!,0)</f>
        <v>#REF!</v>
      </c>
      <c r="BG66" s="189" t="e">
        <f>IF(AND(BG64+1&gt;#REF!,BG64&lt;#REF!+#REF!),#REF!,0)</f>
        <v>#REF!</v>
      </c>
      <c r="BH66" s="189" t="e">
        <f>IF(AND(BH64+1&gt;#REF!,BH64&lt;#REF!+#REF!),#REF!,0)</f>
        <v>#REF!</v>
      </c>
      <c r="BI66" s="188"/>
      <c r="BJ66" s="121"/>
      <c r="BK66" s="121"/>
      <c r="BL66" s="121"/>
      <c r="BM66" s="121"/>
      <c r="BN66" s="121"/>
      <c r="BO66" s="121"/>
    </row>
    <row r="67" spans="2:67" ht="12.75">
      <c r="C67" s="172"/>
      <c r="D67" s="173" t="s">
        <v>718</v>
      </c>
      <c r="E67" s="121" t="s">
        <v>717</v>
      </c>
      <c r="F67" s="189"/>
      <c r="G67" s="189">
        <f t="shared" ref="G67:AA67" si="9">$J$9</f>
        <v>0</v>
      </c>
      <c r="H67" s="189">
        <f t="shared" si="9"/>
        <v>0</v>
      </c>
      <c r="I67" s="189">
        <f t="shared" si="9"/>
        <v>0</v>
      </c>
      <c r="J67" s="189">
        <f t="shared" si="9"/>
        <v>0</v>
      </c>
      <c r="K67" s="189">
        <f t="shared" si="9"/>
        <v>0</v>
      </c>
      <c r="L67" s="189">
        <f t="shared" si="9"/>
        <v>0</v>
      </c>
      <c r="M67" s="189">
        <f t="shared" si="9"/>
        <v>0</v>
      </c>
      <c r="N67" s="189">
        <f t="shared" si="9"/>
        <v>0</v>
      </c>
      <c r="O67" s="189">
        <f t="shared" si="9"/>
        <v>0</v>
      </c>
      <c r="P67" s="189">
        <f t="shared" si="9"/>
        <v>0</v>
      </c>
      <c r="Q67" s="189">
        <f t="shared" si="9"/>
        <v>0</v>
      </c>
      <c r="R67" s="189">
        <f t="shared" si="9"/>
        <v>0</v>
      </c>
      <c r="S67" s="189">
        <f t="shared" si="9"/>
        <v>0</v>
      </c>
      <c r="T67" s="189">
        <f t="shared" si="9"/>
        <v>0</v>
      </c>
      <c r="U67" s="189">
        <f t="shared" si="9"/>
        <v>0</v>
      </c>
      <c r="V67" s="189">
        <f t="shared" si="9"/>
        <v>0</v>
      </c>
      <c r="W67" s="189">
        <f t="shared" si="9"/>
        <v>0</v>
      </c>
      <c r="X67" s="189">
        <f t="shared" si="9"/>
        <v>0</v>
      </c>
      <c r="Y67" s="189">
        <f t="shared" si="9"/>
        <v>0</v>
      </c>
      <c r="Z67" s="189">
        <f t="shared" si="9"/>
        <v>0</v>
      </c>
      <c r="AA67" s="189">
        <f t="shared" si="9"/>
        <v>0</v>
      </c>
      <c r="AB67" s="189"/>
      <c r="AC67" s="189"/>
      <c r="AD67" s="189"/>
      <c r="AE67" s="189"/>
      <c r="AF67" s="189"/>
      <c r="AG67" s="189"/>
      <c r="AH67" s="189"/>
      <c r="AI67" s="189"/>
      <c r="AJ67" s="189"/>
      <c r="AK67" s="189"/>
      <c r="AL67" s="189"/>
      <c r="AM67" s="189"/>
      <c r="AN67" s="189"/>
      <c r="AO67" s="189"/>
      <c r="AP67" s="189"/>
      <c r="AQ67" s="189"/>
      <c r="AR67" s="189"/>
      <c r="AS67" s="189"/>
      <c r="AT67" s="189"/>
      <c r="AU67" s="189"/>
      <c r="AV67" s="189"/>
      <c r="AW67" s="189"/>
      <c r="AX67" s="189"/>
      <c r="AY67" s="189"/>
      <c r="AZ67" s="189"/>
      <c r="BA67" s="189"/>
      <c r="BB67" s="189"/>
      <c r="BC67" s="189"/>
      <c r="BD67" s="189"/>
      <c r="BE67" s="189"/>
      <c r="BF67" s="189"/>
      <c r="BG67" s="189"/>
      <c r="BH67" s="189"/>
      <c r="BI67" s="188"/>
      <c r="BJ67" s="121"/>
      <c r="BK67" s="121"/>
      <c r="BL67" s="121"/>
      <c r="BM67" s="121"/>
      <c r="BN67" s="121"/>
      <c r="BO67" s="121"/>
    </row>
    <row r="68" spans="2:67" ht="12.75">
      <c r="C68" s="172" t="s">
        <v>277</v>
      </c>
      <c r="D68" s="121" t="s">
        <v>719</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76"/>
      <c r="H69" s="176"/>
      <c r="I69" s="176"/>
      <c r="J69" s="176"/>
      <c r="K69" s="176"/>
      <c r="L69" s="176"/>
      <c r="M69" s="176"/>
      <c r="N69" s="176"/>
      <c r="O69" s="176"/>
      <c r="P69" s="176"/>
      <c r="Q69" s="176"/>
      <c r="R69" s="176"/>
      <c r="S69" s="176"/>
      <c r="T69" s="176"/>
      <c r="U69" s="176"/>
      <c r="V69" s="176"/>
      <c r="W69" s="176"/>
      <c r="X69" s="176"/>
      <c r="Y69" s="176"/>
      <c r="Z69" s="176"/>
      <c r="AA69" s="176"/>
      <c r="AB69" s="176"/>
      <c r="AC69" s="176"/>
      <c r="AD69" s="176"/>
      <c r="AE69" s="176"/>
      <c r="AF69" s="176"/>
      <c r="AG69" s="176"/>
      <c r="AH69" s="176"/>
      <c r="AI69" s="176"/>
      <c r="AJ69" s="176"/>
      <c r="AK69" s="176"/>
      <c r="AL69" s="176"/>
      <c r="AM69" s="176"/>
      <c r="AN69" s="176"/>
      <c r="AO69" s="176"/>
      <c r="AP69" s="176"/>
      <c r="AQ69" s="176"/>
      <c r="AR69" s="176"/>
      <c r="AS69" s="176"/>
      <c r="AT69" s="176"/>
      <c r="AU69" s="176"/>
      <c r="AV69" s="176"/>
      <c r="AW69" s="176"/>
      <c r="AX69" s="176"/>
      <c r="AY69" s="176"/>
      <c r="AZ69" s="176"/>
      <c r="BA69" s="176"/>
      <c r="BB69" s="176"/>
      <c r="BC69" s="176"/>
      <c r="BD69" s="176"/>
      <c r="BE69" s="176"/>
      <c r="BF69" s="176"/>
      <c r="BG69" s="176"/>
      <c r="BH69" s="176"/>
      <c r="BI69" s="175">
        <f>NPV($D$49,F69:BH69)</f>
        <v>0</v>
      </c>
      <c r="BJ69" s="121"/>
      <c r="BK69" s="121"/>
      <c r="BL69" s="121"/>
      <c r="BM69" s="121"/>
      <c r="BN69" s="121"/>
      <c r="BO69" s="121"/>
    </row>
    <row r="70" spans="2:67" s="192" customFormat="1" ht="12.75">
      <c r="B70" s="193"/>
      <c r="C70" s="177"/>
      <c r="D70" s="180" t="s">
        <v>371</v>
      </c>
      <c r="E70" s="180" t="s">
        <v>264</v>
      </c>
      <c r="F70" s="194">
        <f t="shared" ref="F70:BH70" si="10">F68+F69</f>
        <v>0</v>
      </c>
      <c r="G70" s="285">
        <f>G68+G69+G67*G74</f>
        <v>0</v>
      </c>
      <c r="H70" s="285">
        <f t="shared" ref="H70:AA70" si="11">H68+H69+H67*H74</f>
        <v>0</v>
      </c>
      <c r="I70" s="285">
        <f t="shared" si="11"/>
        <v>0</v>
      </c>
      <c r="J70" s="285">
        <f t="shared" si="11"/>
        <v>0</v>
      </c>
      <c r="K70" s="285">
        <f t="shared" si="11"/>
        <v>0</v>
      </c>
      <c r="L70" s="285">
        <f t="shared" si="11"/>
        <v>0</v>
      </c>
      <c r="M70" s="285">
        <f t="shared" si="11"/>
        <v>0</v>
      </c>
      <c r="N70" s="285">
        <f t="shared" si="11"/>
        <v>0</v>
      </c>
      <c r="O70" s="285">
        <f t="shared" si="11"/>
        <v>0</v>
      </c>
      <c r="P70" s="285">
        <f t="shared" si="11"/>
        <v>0</v>
      </c>
      <c r="Q70" s="285">
        <f t="shared" si="11"/>
        <v>0</v>
      </c>
      <c r="R70" s="285">
        <f t="shared" si="11"/>
        <v>0</v>
      </c>
      <c r="S70" s="285">
        <f t="shared" si="11"/>
        <v>0</v>
      </c>
      <c r="T70" s="285">
        <f t="shared" si="11"/>
        <v>0</v>
      </c>
      <c r="U70" s="285">
        <f t="shared" si="11"/>
        <v>0</v>
      </c>
      <c r="V70" s="285">
        <f t="shared" si="11"/>
        <v>0</v>
      </c>
      <c r="W70" s="285">
        <f t="shared" si="11"/>
        <v>0</v>
      </c>
      <c r="X70" s="285">
        <f t="shared" si="11"/>
        <v>0</v>
      </c>
      <c r="Y70" s="285">
        <f t="shared" si="11"/>
        <v>0</v>
      </c>
      <c r="Z70" s="285">
        <f t="shared" si="11"/>
        <v>0</v>
      </c>
      <c r="AA70" s="285">
        <f t="shared" si="11"/>
        <v>0</v>
      </c>
      <c r="AB70" s="194">
        <f t="shared" si="10"/>
        <v>0</v>
      </c>
      <c r="AC70" s="194">
        <f t="shared" si="10"/>
        <v>0</v>
      </c>
      <c r="AD70" s="194">
        <f t="shared" si="10"/>
        <v>0</v>
      </c>
      <c r="AE70" s="194">
        <f t="shared" si="10"/>
        <v>0</v>
      </c>
      <c r="AF70" s="194">
        <f t="shared" si="10"/>
        <v>0</v>
      </c>
      <c r="AG70" s="194">
        <f t="shared" si="10"/>
        <v>0</v>
      </c>
      <c r="AH70" s="194">
        <f t="shared" si="10"/>
        <v>0</v>
      </c>
      <c r="AI70" s="194">
        <f t="shared" si="10"/>
        <v>0</v>
      </c>
      <c r="AJ70" s="194">
        <f t="shared" si="10"/>
        <v>0</v>
      </c>
      <c r="AK70" s="194">
        <f t="shared" si="10"/>
        <v>0</v>
      </c>
      <c r="AL70" s="194">
        <f t="shared" si="10"/>
        <v>0</v>
      </c>
      <c r="AM70" s="194">
        <f t="shared" si="10"/>
        <v>0</v>
      </c>
      <c r="AN70" s="194">
        <f t="shared" si="10"/>
        <v>0</v>
      </c>
      <c r="AO70" s="194">
        <f t="shared" si="10"/>
        <v>0</v>
      </c>
      <c r="AP70" s="194">
        <f t="shared" si="10"/>
        <v>0</v>
      </c>
      <c r="AQ70" s="194">
        <f t="shared" si="10"/>
        <v>0</v>
      </c>
      <c r="AR70" s="194">
        <f t="shared" si="10"/>
        <v>0</v>
      </c>
      <c r="AS70" s="194">
        <f t="shared" si="10"/>
        <v>0</v>
      </c>
      <c r="AT70" s="194">
        <f t="shared" si="10"/>
        <v>0</v>
      </c>
      <c r="AU70" s="194">
        <f t="shared" si="10"/>
        <v>0</v>
      </c>
      <c r="AV70" s="194">
        <f t="shared" si="10"/>
        <v>0</v>
      </c>
      <c r="AW70" s="194">
        <f t="shared" si="10"/>
        <v>0</v>
      </c>
      <c r="AX70" s="194">
        <f t="shared" si="10"/>
        <v>0</v>
      </c>
      <c r="AY70" s="194">
        <f t="shared" si="10"/>
        <v>0</v>
      </c>
      <c r="AZ70" s="194">
        <f t="shared" si="10"/>
        <v>0</v>
      </c>
      <c r="BA70" s="194">
        <f t="shared" si="10"/>
        <v>0</v>
      </c>
      <c r="BB70" s="194">
        <f t="shared" si="10"/>
        <v>0</v>
      </c>
      <c r="BC70" s="194">
        <f t="shared" si="10"/>
        <v>0</v>
      </c>
      <c r="BD70" s="194">
        <f t="shared" si="10"/>
        <v>0</v>
      </c>
      <c r="BE70" s="194">
        <f t="shared" si="10"/>
        <v>0</v>
      </c>
      <c r="BF70" s="194">
        <f t="shared" si="10"/>
        <v>0</v>
      </c>
      <c r="BG70" s="194">
        <f t="shared" si="10"/>
        <v>0</v>
      </c>
      <c r="BH70" s="194">
        <f t="shared" si="10"/>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2005" t="s">
        <v>285</v>
      </c>
      <c r="D72" s="2006"/>
      <c r="E72" s="2006"/>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715</v>
      </c>
      <c r="E73" s="121" t="s">
        <v>266</v>
      </c>
      <c r="F73" s="189"/>
      <c r="G73" s="189">
        <f t="shared" ref="G73:BH73" si="12">$I$7</f>
        <v>0</v>
      </c>
      <c r="H73" s="189">
        <f t="shared" si="12"/>
        <v>0</v>
      </c>
      <c r="I73" s="189">
        <f t="shared" si="12"/>
        <v>0</v>
      </c>
      <c r="J73" s="189">
        <f t="shared" si="12"/>
        <v>0</v>
      </c>
      <c r="K73" s="189">
        <f t="shared" si="12"/>
        <v>0</v>
      </c>
      <c r="L73" s="189">
        <f t="shared" si="12"/>
        <v>0</v>
      </c>
      <c r="M73" s="189">
        <f t="shared" si="12"/>
        <v>0</v>
      </c>
      <c r="N73" s="189">
        <f t="shared" si="12"/>
        <v>0</v>
      </c>
      <c r="O73" s="189">
        <f t="shared" si="12"/>
        <v>0</v>
      </c>
      <c r="P73" s="189">
        <f t="shared" si="12"/>
        <v>0</v>
      </c>
      <c r="Q73" s="189">
        <f t="shared" si="12"/>
        <v>0</v>
      </c>
      <c r="R73" s="189">
        <f t="shared" si="12"/>
        <v>0</v>
      </c>
      <c r="S73" s="189">
        <f t="shared" si="12"/>
        <v>0</v>
      </c>
      <c r="T73" s="189">
        <f t="shared" si="12"/>
        <v>0</v>
      </c>
      <c r="U73" s="189">
        <f t="shared" si="12"/>
        <v>0</v>
      </c>
      <c r="V73" s="189">
        <f t="shared" si="12"/>
        <v>0</v>
      </c>
      <c r="W73" s="189">
        <f t="shared" si="12"/>
        <v>0</v>
      </c>
      <c r="X73" s="189">
        <f t="shared" si="12"/>
        <v>0</v>
      </c>
      <c r="Y73" s="189">
        <f t="shared" si="12"/>
        <v>0</v>
      </c>
      <c r="Z73" s="189">
        <f t="shared" si="12"/>
        <v>0</v>
      </c>
      <c r="AA73" s="189">
        <f t="shared" si="12"/>
        <v>0</v>
      </c>
      <c r="AB73" s="189">
        <f t="shared" si="12"/>
        <v>0</v>
      </c>
      <c r="AC73" s="189">
        <f t="shared" si="12"/>
        <v>0</v>
      </c>
      <c r="AD73" s="189">
        <f t="shared" si="12"/>
        <v>0</v>
      </c>
      <c r="AE73" s="189">
        <f t="shared" si="12"/>
        <v>0</v>
      </c>
      <c r="AF73" s="189">
        <f t="shared" si="12"/>
        <v>0</v>
      </c>
      <c r="AG73" s="189">
        <f t="shared" si="12"/>
        <v>0</v>
      </c>
      <c r="AH73" s="189">
        <f t="shared" si="12"/>
        <v>0</v>
      </c>
      <c r="AI73" s="189">
        <f t="shared" si="12"/>
        <v>0</v>
      </c>
      <c r="AJ73" s="189">
        <f t="shared" si="12"/>
        <v>0</v>
      </c>
      <c r="AK73" s="189">
        <f t="shared" si="12"/>
        <v>0</v>
      </c>
      <c r="AL73" s="189">
        <f t="shared" si="12"/>
        <v>0</v>
      </c>
      <c r="AM73" s="189">
        <f t="shared" si="12"/>
        <v>0</v>
      </c>
      <c r="AN73" s="189">
        <f t="shared" si="12"/>
        <v>0</v>
      </c>
      <c r="AO73" s="189">
        <f t="shared" si="12"/>
        <v>0</v>
      </c>
      <c r="AP73" s="189">
        <f t="shared" si="12"/>
        <v>0</v>
      </c>
      <c r="AQ73" s="189">
        <f t="shared" si="12"/>
        <v>0</v>
      </c>
      <c r="AR73" s="189">
        <f t="shared" si="12"/>
        <v>0</v>
      </c>
      <c r="AS73" s="189">
        <f t="shared" si="12"/>
        <v>0</v>
      </c>
      <c r="AT73" s="189">
        <f t="shared" si="12"/>
        <v>0</v>
      </c>
      <c r="AU73" s="189">
        <f t="shared" si="12"/>
        <v>0</v>
      </c>
      <c r="AV73" s="189">
        <f t="shared" si="12"/>
        <v>0</v>
      </c>
      <c r="AW73" s="189">
        <f t="shared" si="12"/>
        <v>0</v>
      </c>
      <c r="AX73" s="189">
        <f t="shared" si="12"/>
        <v>0</v>
      </c>
      <c r="AY73" s="189">
        <f t="shared" si="12"/>
        <v>0</v>
      </c>
      <c r="AZ73" s="189">
        <f t="shared" si="12"/>
        <v>0</v>
      </c>
      <c r="BA73" s="189">
        <f t="shared" si="12"/>
        <v>0</v>
      </c>
      <c r="BB73" s="189">
        <f t="shared" si="12"/>
        <v>0</v>
      </c>
      <c r="BC73" s="189">
        <f t="shared" si="12"/>
        <v>0</v>
      </c>
      <c r="BD73" s="189">
        <f t="shared" si="12"/>
        <v>0</v>
      </c>
      <c r="BE73" s="189">
        <f t="shared" si="12"/>
        <v>0</v>
      </c>
      <c r="BF73" s="189">
        <f t="shared" si="12"/>
        <v>0</v>
      </c>
      <c r="BG73" s="189">
        <f t="shared" si="12"/>
        <v>0</v>
      </c>
      <c r="BH73" s="189">
        <f t="shared" si="12"/>
        <v>0</v>
      </c>
      <c r="BI73" s="188"/>
      <c r="BJ73" s="121"/>
      <c r="BK73" s="121"/>
      <c r="BL73" s="121"/>
      <c r="BM73" s="121"/>
      <c r="BN73" s="121"/>
      <c r="BO73" s="121"/>
    </row>
    <row r="74" spans="2:67" s="121" customFormat="1" ht="12.75">
      <c r="B74" s="138"/>
      <c r="C74" s="177"/>
      <c r="D74" s="121" t="s">
        <v>714</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t="s">
        <v>277</v>
      </c>
      <c r="D75" s="121" t="s">
        <v>719</v>
      </c>
      <c r="E75" s="121" t="s">
        <v>264</v>
      </c>
      <c r="F75" s="176">
        <v>0</v>
      </c>
      <c r="G75" s="176">
        <f t="shared" ref="G75:I76" si="13">G68</f>
        <v>0</v>
      </c>
      <c r="H75" s="176">
        <f t="shared" si="13"/>
        <v>0</v>
      </c>
      <c r="I75" s="176">
        <f t="shared" si="13"/>
        <v>0</v>
      </c>
      <c r="J75" s="176">
        <f t="shared" ref="J75:AB76" si="14">J68</f>
        <v>0</v>
      </c>
      <c r="K75" s="176">
        <f t="shared" si="14"/>
        <v>0</v>
      </c>
      <c r="L75" s="176">
        <f t="shared" si="14"/>
        <v>0</v>
      </c>
      <c r="M75" s="176">
        <f t="shared" si="14"/>
        <v>0</v>
      </c>
      <c r="N75" s="176">
        <f t="shared" si="14"/>
        <v>0</v>
      </c>
      <c r="O75" s="176">
        <f t="shared" si="14"/>
        <v>0</v>
      </c>
      <c r="P75" s="176">
        <f t="shared" si="14"/>
        <v>0</v>
      </c>
      <c r="Q75" s="176">
        <f t="shared" si="14"/>
        <v>0</v>
      </c>
      <c r="R75" s="176">
        <f t="shared" si="14"/>
        <v>0</v>
      </c>
      <c r="S75" s="176">
        <f t="shared" si="14"/>
        <v>0</v>
      </c>
      <c r="T75" s="176">
        <f t="shared" si="14"/>
        <v>0</v>
      </c>
      <c r="U75" s="176">
        <f t="shared" si="14"/>
        <v>0</v>
      </c>
      <c r="V75" s="176">
        <f t="shared" si="14"/>
        <v>0</v>
      </c>
      <c r="W75" s="176">
        <f t="shared" si="14"/>
        <v>0</v>
      </c>
      <c r="X75" s="176">
        <f t="shared" si="14"/>
        <v>0</v>
      </c>
      <c r="Y75" s="176">
        <f t="shared" si="14"/>
        <v>0</v>
      </c>
      <c r="Z75" s="176">
        <f t="shared" si="14"/>
        <v>0</v>
      </c>
      <c r="AA75" s="176">
        <f t="shared" si="14"/>
        <v>0</v>
      </c>
      <c r="AB75" s="176">
        <v>0</v>
      </c>
      <c r="AC75" s="176">
        <v>0</v>
      </c>
      <c r="AD75" s="176">
        <v>0</v>
      </c>
      <c r="AE75" s="176">
        <v>0</v>
      </c>
      <c r="AF75" s="176">
        <v>0</v>
      </c>
      <c r="AG75" s="176">
        <v>0</v>
      </c>
      <c r="AH75" s="176">
        <v>0</v>
      </c>
      <c r="AI75" s="176">
        <v>0</v>
      </c>
      <c r="AJ75" s="176">
        <v>0</v>
      </c>
      <c r="AK75" s="176">
        <v>0</v>
      </c>
      <c r="AL75" s="176">
        <v>0</v>
      </c>
      <c r="AM75" s="176">
        <v>0</v>
      </c>
      <c r="AN75" s="176">
        <v>0</v>
      </c>
      <c r="AO75" s="176">
        <v>0</v>
      </c>
      <c r="AP75" s="176">
        <v>0</v>
      </c>
      <c r="AQ75" s="176">
        <v>0</v>
      </c>
      <c r="AR75" s="176">
        <v>0</v>
      </c>
      <c r="AS75" s="176">
        <v>0</v>
      </c>
      <c r="AT75" s="176">
        <v>0</v>
      </c>
      <c r="AU75" s="176">
        <v>0</v>
      </c>
      <c r="AV75" s="176">
        <v>0</v>
      </c>
      <c r="AW75" s="176">
        <v>0</v>
      </c>
      <c r="AX75" s="176">
        <v>0</v>
      </c>
      <c r="AY75" s="176">
        <v>0</v>
      </c>
      <c r="AZ75" s="176">
        <v>0</v>
      </c>
      <c r="BA75" s="176">
        <v>0</v>
      </c>
      <c r="BB75" s="176">
        <v>0</v>
      </c>
      <c r="BC75" s="176">
        <v>0</v>
      </c>
      <c r="BD75" s="176">
        <v>0</v>
      </c>
      <c r="BE75" s="176">
        <v>0</v>
      </c>
      <c r="BF75" s="176">
        <v>0</v>
      </c>
      <c r="BG75" s="176">
        <v>0</v>
      </c>
      <c r="BH75" s="176">
        <v>0</v>
      </c>
      <c r="BI75" s="175">
        <f>NPV($D$49,F75:BH75)</f>
        <v>0</v>
      </c>
      <c r="BJ75" s="121"/>
      <c r="BK75" s="121"/>
      <c r="BL75" s="121"/>
      <c r="BM75" s="121"/>
      <c r="BN75" s="121"/>
      <c r="BO75" s="121"/>
    </row>
    <row r="76" spans="2:67" ht="12.75">
      <c r="C76" s="172"/>
      <c r="D76" s="120" t="s">
        <v>5</v>
      </c>
      <c r="E76" s="121"/>
      <c r="F76" s="196"/>
      <c r="G76" s="176">
        <f t="shared" si="13"/>
        <v>0</v>
      </c>
      <c r="H76" s="176">
        <f t="shared" si="13"/>
        <v>0</v>
      </c>
      <c r="I76" s="176">
        <f t="shared" si="13"/>
        <v>0</v>
      </c>
      <c r="J76" s="176">
        <f t="shared" si="14"/>
        <v>0</v>
      </c>
      <c r="K76" s="176">
        <f t="shared" si="14"/>
        <v>0</v>
      </c>
      <c r="L76" s="176">
        <f t="shared" si="14"/>
        <v>0</v>
      </c>
      <c r="M76" s="176">
        <f t="shared" si="14"/>
        <v>0</v>
      </c>
      <c r="N76" s="176">
        <f t="shared" si="14"/>
        <v>0</v>
      </c>
      <c r="O76" s="176">
        <f t="shared" si="14"/>
        <v>0</v>
      </c>
      <c r="P76" s="176">
        <f t="shared" si="14"/>
        <v>0</v>
      </c>
      <c r="Q76" s="176">
        <f t="shared" si="14"/>
        <v>0</v>
      </c>
      <c r="R76" s="176">
        <f t="shared" si="14"/>
        <v>0</v>
      </c>
      <c r="S76" s="176">
        <f t="shared" si="14"/>
        <v>0</v>
      </c>
      <c r="T76" s="176">
        <f t="shared" si="14"/>
        <v>0</v>
      </c>
      <c r="U76" s="176">
        <f t="shared" si="14"/>
        <v>0</v>
      </c>
      <c r="V76" s="176">
        <f t="shared" si="14"/>
        <v>0</v>
      </c>
      <c r="W76" s="176">
        <f t="shared" si="14"/>
        <v>0</v>
      </c>
      <c r="X76" s="176">
        <f t="shared" si="14"/>
        <v>0</v>
      </c>
      <c r="Y76" s="176">
        <f t="shared" si="14"/>
        <v>0</v>
      </c>
      <c r="Z76" s="176">
        <f t="shared" si="14"/>
        <v>0</v>
      </c>
      <c r="AA76" s="176">
        <f t="shared" si="14"/>
        <v>0</v>
      </c>
      <c r="AB76" s="176">
        <f t="shared" si="14"/>
        <v>0</v>
      </c>
      <c r="AC76" s="176">
        <f t="shared" ref="AC76:BH76" si="15">AC69</f>
        <v>0</v>
      </c>
      <c r="AD76" s="176">
        <f t="shared" si="15"/>
        <v>0</v>
      </c>
      <c r="AE76" s="176">
        <f t="shared" si="15"/>
        <v>0</v>
      </c>
      <c r="AF76" s="176">
        <f t="shared" si="15"/>
        <v>0</v>
      </c>
      <c r="AG76" s="176">
        <f t="shared" si="15"/>
        <v>0</v>
      </c>
      <c r="AH76" s="176">
        <f t="shared" si="15"/>
        <v>0</v>
      </c>
      <c r="AI76" s="176">
        <f t="shared" si="15"/>
        <v>0</v>
      </c>
      <c r="AJ76" s="176">
        <f t="shared" si="15"/>
        <v>0</v>
      </c>
      <c r="AK76" s="176">
        <f t="shared" si="15"/>
        <v>0</v>
      </c>
      <c r="AL76" s="176">
        <f t="shared" si="15"/>
        <v>0</v>
      </c>
      <c r="AM76" s="176">
        <f t="shared" si="15"/>
        <v>0</v>
      </c>
      <c r="AN76" s="176">
        <f t="shared" si="15"/>
        <v>0</v>
      </c>
      <c r="AO76" s="176">
        <f t="shared" si="15"/>
        <v>0</v>
      </c>
      <c r="AP76" s="176">
        <f t="shared" si="15"/>
        <v>0</v>
      </c>
      <c r="AQ76" s="176">
        <f t="shared" si="15"/>
        <v>0</v>
      </c>
      <c r="AR76" s="176">
        <f t="shared" si="15"/>
        <v>0</v>
      </c>
      <c r="AS76" s="176">
        <f t="shared" si="15"/>
        <v>0</v>
      </c>
      <c r="AT76" s="176">
        <f t="shared" si="15"/>
        <v>0</v>
      </c>
      <c r="AU76" s="176">
        <f t="shared" si="15"/>
        <v>0</v>
      </c>
      <c r="AV76" s="176">
        <f t="shared" si="15"/>
        <v>0</v>
      </c>
      <c r="AW76" s="176">
        <f t="shared" si="15"/>
        <v>0</v>
      </c>
      <c r="AX76" s="176">
        <f t="shared" si="15"/>
        <v>0</v>
      </c>
      <c r="AY76" s="176">
        <f t="shared" si="15"/>
        <v>0</v>
      </c>
      <c r="AZ76" s="176">
        <f t="shared" si="15"/>
        <v>0</v>
      </c>
      <c r="BA76" s="176">
        <f t="shared" si="15"/>
        <v>0</v>
      </c>
      <c r="BB76" s="176">
        <f t="shared" si="15"/>
        <v>0</v>
      </c>
      <c r="BC76" s="176">
        <f t="shared" si="15"/>
        <v>0</v>
      </c>
      <c r="BD76" s="176">
        <f t="shared" si="15"/>
        <v>0</v>
      </c>
      <c r="BE76" s="176">
        <f t="shared" si="15"/>
        <v>0</v>
      </c>
      <c r="BF76" s="176">
        <f t="shared" si="15"/>
        <v>0</v>
      </c>
      <c r="BG76" s="176">
        <f t="shared" si="15"/>
        <v>0</v>
      </c>
      <c r="BH76" s="176">
        <f t="shared" si="15"/>
        <v>0</v>
      </c>
      <c r="BI76" s="175"/>
      <c r="BJ76" s="121"/>
      <c r="BK76" s="121"/>
      <c r="BL76" s="121"/>
      <c r="BM76" s="121"/>
      <c r="BN76" s="121"/>
      <c r="BO76" s="121"/>
    </row>
    <row r="77" spans="2:67" ht="12.75">
      <c r="C77" s="190"/>
      <c r="D77" s="121" t="s">
        <v>267</v>
      </c>
      <c r="E77" s="121" t="s">
        <v>717</v>
      </c>
      <c r="F77" s="191"/>
      <c r="G77" s="354">
        <f t="shared" ref="G77:BH77" si="16">$I$9</f>
        <v>0</v>
      </c>
      <c r="H77" s="191">
        <f t="shared" si="16"/>
        <v>0</v>
      </c>
      <c r="I77" s="191">
        <f t="shared" si="16"/>
        <v>0</v>
      </c>
      <c r="J77" s="191">
        <f t="shared" si="16"/>
        <v>0</v>
      </c>
      <c r="K77" s="191">
        <f t="shared" si="16"/>
        <v>0</v>
      </c>
      <c r="L77" s="191">
        <f t="shared" si="16"/>
        <v>0</v>
      </c>
      <c r="M77" s="191">
        <f t="shared" si="16"/>
        <v>0</v>
      </c>
      <c r="N77" s="191">
        <f t="shared" si="16"/>
        <v>0</v>
      </c>
      <c r="O77" s="191">
        <f t="shared" si="16"/>
        <v>0</v>
      </c>
      <c r="P77" s="191">
        <f t="shared" si="16"/>
        <v>0</v>
      </c>
      <c r="Q77" s="191">
        <f t="shared" si="16"/>
        <v>0</v>
      </c>
      <c r="R77" s="191">
        <f t="shared" si="16"/>
        <v>0</v>
      </c>
      <c r="S77" s="191">
        <f t="shared" si="16"/>
        <v>0</v>
      </c>
      <c r="T77" s="191">
        <f t="shared" si="16"/>
        <v>0</v>
      </c>
      <c r="U77" s="191">
        <f t="shared" si="16"/>
        <v>0</v>
      </c>
      <c r="V77" s="191">
        <f t="shared" si="16"/>
        <v>0</v>
      </c>
      <c r="W77" s="191">
        <f t="shared" si="16"/>
        <v>0</v>
      </c>
      <c r="X77" s="191">
        <f t="shared" si="16"/>
        <v>0</v>
      </c>
      <c r="Y77" s="191">
        <f t="shared" si="16"/>
        <v>0</v>
      </c>
      <c r="Z77" s="191">
        <f t="shared" si="16"/>
        <v>0</v>
      </c>
      <c r="AA77" s="191">
        <f t="shared" si="16"/>
        <v>0</v>
      </c>
      <c r="AB77" s="191">
        <f t="shared" si="16"/>
        <v>0</v>
      </c>
      <c r="AC77" s="191">
        <f t="shared" si="16"/>
        <v>0</v>
      </c>
      <c r="AD77" s="191">
        <f t="shared" si="16"/>
        <v>0</v>
      </c>
      <c r="AE77" s="191">
        <f t="shared" si="16"/>
        <v>0</v>
      </c>
      <c r="AF77" s="191">
        <f t="shared" si="16"/>
        <v>0</v>
      </c>
      <c r="AG77" s="191">
        <f t="shared" si="16"/>
        <v>0</v>
      </c>
      <c r="AH77" s="191">
        <f t="shared" si="16"/>
        <v>0</v>
      </c>
      <c r="AI77" s="191">
        <f t="shared" si="16"/>
        <v>0</v>
      </c>
      <c r="AJ77" s="191">
        <f t="shared" si="16"/>
        <v>0</v>
      </c>
      <c r="AK77" s="191">
        <f t="shared" si="16"/>
        <v>0</v>
      </c>
      <c r="AL77" s="191">
        <f t="shared" si="16"/>
        <v>0</v>
      </c>
      <c r="AM77" s="191">
        <f t="shared" si="16"/>
        <v>0</v>
      </c>
      <c r="AN77" s="191">
        <f t="shared" si="16"/>
        <v>0</v>
      </c>
      <c r="AO77" s="191">
        <f t="shared" si="16"/>
        <v>0</v>
      </c>
      <c r="AP77" s="191">
        <f t="shared" si="16"/>
        <v>0</v>
      </c>
      <c r="AQ77" s="191">
        <f t="shared" si="16"/>
        <v>0</v>
      </c>
      <c r="AR77" s="191">
        <f t="shared" si="16"/>
        <v>0</v>
      </c>
      <c r="AS77" s="191">
        <f t="shared" si="16"/>
        <v>0</v>
      </c>
      <c r="AT77" s="191">
        <f t="shared" si="16"/>
        <v>0</v>
      </c>
      <c r="AU77" s="191">
        <f t="shared" si="16"/>
        <v>0</v>
      </c>
      <c r="AV77" s="191">
        <f t="shared" si="16"/>
        <v>0</v>
      </c>
      <c r="AW77" s="191">
        <f t="shared" si="16"/>
        <v>0</v>
      </c>
      <c r="AX77" s="191">
        <f t="shared" si="16"/>
        <v>0</v>
      </c>
      <c r="AY77" s="191">
        <f t="shared" si="16"/>
        <v>0</v>
      </c>
      <c r="AZ77" s="191">
        <f t="shared" si="16"/>
        <v>0</v>
      </c>
      <c r="BA77" s="191">
        <f t="shared" si="16"/>
        <v>0</v>
      </c>
      <c r="BB77" s="191">
        <f t="shared" si="16"/>
        <v>0</v>
      </c>
      <c r="BC77" s="191">
        <f t="shared" si="16"/>
        <v>0</v>
      </c>
      <c r="BD77" s="191">
        <f t="shared" si="16"/>
        <v>0</v>
      </c>
      <c r="BE77" s="191">
        <f t="shared" si="16"/>
        <v>0</v>
      </c>
      <c r="BF77" s="191">
        <f t="shared" si="16"/>
        <v>0</v>
      </c>
      <c r="BG77" s="191">
        <f t="shared" si="16"/>
        <v>0</v>
      </c>
      <c r="BH77" s="191">
        <f t="shared" si="16"/>
        <v>0</v>
      </c>
      <c r="BI77" s="175">
        <f>NPV($D$49,F77:BH77)</f>
        <v>0</v>
      </c>
      <c r="BJ77" s="121"/>
      <c r="BK77" s="121"/>
      <c r="BL77" s="121"/>
      <c r="BM77" s="121"/>
      <c r="BN77" s="121"/>
      <c r="BO77" s="121"/>
    </row>
    <row r="78" spans="2:67" ht="12.75">
      <c r="C78" s="177"/>
      <c r="D78" s="121" t="str">
        <f>IF(C7="rural","Fuel Cost","N/A")</f>
        <v>Fuel Cost</v>
      </c>
      <c r="E78" s="121" t="str">
        <f>IF(C7="rural","$ per year","")</f>
        <v>$ per year</v>
      </c>
      <c r="F78" s="191">
        <f t="shared" ref="F78:BH78" si="17">IF($C$7="rural",F76*F74,"")</f>
        <v>0</v>
      </c>
      <c r="G78" s="191">
        <f>G77*G74</f>
        <v>0</v>
      </c>
      <c r="H78" s="191">
        <f t="shared" ref="H78:AA78" si="18">H77*H74</f>
        <v>0</v>
      </c>
      <c r="I78" s="191">
        <f t="shared" si="18"/>
        <v>0</v>
      </c>
      <c r="J78" s="191">
        <f t="shared" si="18"/>
        <v>0</v>
      </c>
      <c r="K78" s="191">
        <f t="shared" si="18"/>
        <v>0</v>
      </c>
      <c r="L78" s="191">
        <f t="shared" si="18"/>
        <v>0</v>
      </c>
      <c r="M78" s="191">
        <f t="shared" si="18"/>
        <v>0</v>
      </c>
      <c r="N78" s="191">
        <f t="shared" si="18"/>
        <v>0</v>
      </c>
      <c r="O78" s="191">
        <f t="shared" si="18"/>
        <v>0</v>
      </c>
      <c r="P78" s="191">
        <f t="shared" si="18"/>
        <v>0</v>
      </c>
      <c r="Q78" s="191">
        <f t="shared" si="18"/>
        <v>0</v>
      </c>
      <c r="R78" s="191">
        <f t="shared" si="18"/>
        <v>0</v>
      </c>
      <c r="S78" s="191">
        <f t="shared" si="18"/>
        <v>0</v>
      </c>
      <c r="T78" s="191">
        <f t="shared" si="18"/>
        <v>0</v>
      </c>
      <c r="U78" s="191">
        <f t="shared" si="18"/>
        <v>0</v>
      </c>
      <c r="V78" s="191">
        <f t="shared" si="18"/>
        <v>0</v>
      </c>
      <c r="W78" s="191">
        <f t="shared" si="18"/>
        <v>0</v>
      </c>
      <c r="X78" s="191">
        <f t="shared" si="18"/>
        <v>0</v>
      </c>
      <c r="Y78" s="191">
        <f t="shared" si="18"/>
        <v>0</v>
      </c>
      <c r="Z78" s="191">
        <f t="shared" si="18"/>
        <v>0</v>
      </c>
      <c r="AA78" s="191">
        <f t="shared" si="18"/>
        <v>0</v>
      </c>
      <c r="AB78" s="191">
        <f t="shared" si="17"/>
        <v>0</v>
      </c>
      <c r="AC78" s="191">
        <f t="shared" si="17"/>
        <v>0</v>
      </c>
      <c r="AD78" s="191">
        <f t="shared" si="17"/>
        <v>0</v>
      </c>
      <c r="AE78" s="191">
        <f t="shared" si="17"/>
        <v>0</v>
      </c>
      <c r="AF78" s="191">
        <f t="shared" si="17"/>
        <v>0</v>
      </c>
      <c r="AG78" s="191">
        <f t="shared" si="17"/>
        <v>0</v>
      </c>
      <c r="AH78" s="191">
        <f t="shared" si="17"/>
        <v>0</v>
      </c>
      <c r="AI78" s="191">
        <f t="shared" si="17"/>
        <v>0</v>
      </c>
      <c r="AJ78" s="191">
        <f t="shared" si="17"/>
        <v>0</v>
      </c>
      <c r="AK78" s="191">
        <f t="shared" si="17"/>
        <v>0</v>
      </c>
      <c r="AL78" s="191">
        <f t="shared" si="17"/>
        <v>0</v>
      </c>
      <c r="AM78" s="191">
        <f t="shared" si="17"/>
        <v>0</v>
      </c>
      <c r="AN78" s="191">
        <f t="shared" si="17"/>
        <v>0</v>
      </c>
      <c r="AO78" s="191">
        <f t="shared" si="17"/>
        <v>0</v>
      </c>
      <c r="AP78" s="191">
        <f t="shared" si="17"/>
        <v>0</v>
      </c>
      <c r="AQ78" s="191">
        <f t="shared" si="17"/>
        <v>0</v>
      </c>
      <c r="AR78" s="191">
        <f t="shared" si="17"/>
        <v>0</v>
      </c>
      <c r="AS78" s="191">
        <f t="shared" si="17"/>
        <v>0</v>
      </c>
      <c r="AT78" s="191">
        <f t="shared" si="17"/>
        <v>0</v>
      </c>
      <c r="AU78" s="191">
        <f t="shared" si="17"/>
        <v>0</v>
      </c>
      <c r="AV78" s="191">
        <f t="shared" si="17"/>
        <v>0</v>
      </c>
      <c r="AW78" s="191">
        <f t="shared" si="17"/>
        <v>0</v>
      </c>
      <c r="AX78" s="191">
        <f t="shared" si="17"/>
        <v>0</v>
      </c>
      <c r="AY78" s="191">
        <f t="shared" si="17"/>
        <v>0</v>
      </c>
      <c r="AZ78" s="191">
        <f t="shared" si="17"/>
        <v>0</v>
      </c>
      <c r="BA78" s="191">
        <f t="shared" si="17"/>
        <v>0</v>
      </c>
      <c r="BB78" s="191">
        <f t="shared" si="17"/>
        <v>0</v>
      </c>
      <c r="BC78" s="191">
        <f t="shared" si="17"/>
        <v>0</v>
      </c>
      <c r="BD78" s="191">
        <f t="shared" si="17"/>
        <v>0</v>
      </c>
      <c r="BE78" s="191">
        <f t="shared" si="17"/>
        <v>0</v>
      </c>
      <c r="BF78" s="191">
        <f t="shared" si="17"/>
        <v>0</v>
      </c>
      <c r="BG78" s="191">
        <f t="shared" si="17"/>
        <v>0</v>
      </c>
      <c r="BH78" s="191">
        <f t="shared" si="17"/>
        <v>0</v>
      </c>
      <c r="BI78" s="175">
        <f>NPV($D$49,F78:BH78)</f>
        <v>0</v>
      </c>
      <c r="BJ78" s="121"/>
      <c r="BK78" s="121"/>
      <c r="BL78" s="121"/>
      <c r="BM78" s="121"/>
      <c r="BN78" s="121"/>
      <c r="BO78" s="121"/>
    </row>
    <row r="79" spans="2:67" s="192" customFormat="1" ht="12.75">
      <c r="B79" s="193"/>
      <c r="C79" s="182"/>
      <c r="D79" s="184" t="s">
        <v>372</v>
      </c>
      <c r="E79" s="184" t="s">
        <v>264</v>
      </c>
      <c r="F79" s="197">
        <f t="shared" ref="F79:BH79" si="19">IF($C$7="Rural",F78+F77+F75,F74*F73)</f>
        <v>0</v>
      </c>
      <c r="G79" s="197">
        <f>G75+G76+G78</f>
        <v>0</v>
      </c>
      <c r="H79" s="197">
        <f t="shared" ref="H79:AA79" si="20">H75+H76+H78</f>
        <v>0</v>
      </c>
      <c r="I79" s="197">
        <f t="shared" si="20"/>
        <v>0</v>
      </c>
      <c r="J79" s="197">
        <f t="shared" si="20"/>
        <v>0</v>
      </c>
      <c r="K79" s="197">
        <f t="shared" si="20"/>
        <v>0</v>
      </c>
      <c r="L79" s="197">
        <f t="shared" si="20"/>
        <v>0</v>
      </c>
      <c r="M79" s="197">
        <f t="shared" si="20"/>
        <v>0</v>
      </c>
      <c r="N79" s="197">
        <f t="shared" si="20"/>
        <v>0</v>
      </c>
      <c r="O79" s="197">
        <f t="shared" si="20"/>
        <v>0</v>
      </c>
      <c r="P79" s="197">
        <f t="shared" si="20"/>
        <v>0</v>
      </c>
      <c r="Q79" s="197">
        <f t="shared" si="20"/>
        <v>0</v>
      </c>
      <c r="R79" s="197">
        <f t="shared" si="20"/>
        <v>0</v>
      </c>
      <c r="S79" s="194">
        <f t="shared" si="20"/>
        <v>0</v>
      </c>
      <c r="T79" s="194">
        <f t="shared" si="20"/>
        <v>0</v>
      </c>
      <c r="U79" s="194">
        <f t="shared" si="20"/>
        <v>0</v>
      </c>
      <c r="V79" s="194">
        <f t="shared" si="20"/>
        <v>0</v>
      </c>
      <c r="W79" s="194">
        <f t="shared" si="20"/>
        <v>0</v>
      </c>
      <c r="X79" s="194">
        <f t="shared" si="20"/>
        <v>0</v>
      </c>
      <c r="Y79" s="194">
        <f t="shared" si="20"/>
        <v>0</v>
      </c>
      <c r="Z79" s="194">
        <f t="shared" si="20"/>
        <v>0</v>
      </c>
      <c r="AA79" s="194">
        <f t="shared" si="20"/>
        <v>0</v>
      </c>
      <c r="AB79" s="194">
        <f t="shared" si="19"/>
        <v>0</v>
      </c>
      <c r="AC79" s="194">
        <f t="shared" si="19"/>
        <v>0</v>
      </c>
      <c r="AD79" s="194">
        <f t="shared" si="19"/>
        <v>0</v>
      </c>
      <c r="AE79" s="194">
        <f t="shared" si="19"/>
        <v>0</v>
      </c>
      <c r="AF79" s="194">
        <f t="shared" si="19"/>
        <v>0</v>
      </c>
      <c r="AG79" s="194">
        <f t="shared" si="19"/>
        <v>0</v>
      </c>
      <c r="AH79" s="194">
        <f t="shared" si="19"/>
        <v>0</v>
      </c>
      <c r="AI79" s="194">
        <f t="shared" si="19"/>
        <v>0</v>
      </c>
      <c r="AJ79" s="194">
        <f t="shared" si="19"/>
        <v>0</v>
      </c>
      <c r="AK79" s="194">
        <f t="shared" si="19"/>
        <v>0</v>
      </c>
      <c r="AL79" s="194">
        <f t="shared" si="19"/>
        <v>0</v>
      </c>
      <c r="AM79" s="194">
        <f t="shared" si="19"/>
        <v>0</v>
      </c>
      <c r="AN79" s="194">
        <f t="shared" si="19"/>
        <v>0</v>
      </c>
      <c r="AO79" s="194">
        <f t="shared" si="19"/>
        <v>0</v>
      </c>
      <c r="AP79" s="194">
        <f t="shared" si="19"/>
        <v>0</v>
      </c>
      <c r="AQ79" s="194">
        <f t="shared" si="19"/>
        <v>0</v>
      </c>
      <c r="AR79" s="194">
        <f t="shared" si="19"/>
        <v>0</v>
      </c>
      <c r="AS79" s="194">
        <f t="shared" si="19"/>
        <v>0</v>
      </c>
      <c r="AT79" s="194">
        <f t="shared" si="19"/>
        <v>0</v>
      </c>
      <c r="AU79" s="194">
        <f t="shared" si="19"/>
        <v>0</v>
      </c>
      <c r="AV79" s="194">
        <f t="shared" si="19"/>
        <v>0</v>
      </c>
      <c r="AW79" s="194">
        <f t="shared" si="19"/>
        <v>0</v>
      </c>
      <c r="AX79" s="194">
        <f t="shared" si="19"/>
        <v>0</v>
      </c>
      <c r="AY79" s="194">
        <f t="shared" si="19"/>
        <v>0</v>
      </c>
      <c r="AZ79" s="194">
        <f t="shared" si="19"/>
        <v>0</v>
      </c>
      <c r="BA79" s="194">
        <f t="shared" si="19"/>
        <v>0</v>
      </c>
      <c r="BB79" s="194">
        <f t="shared" si="19"/>
        <v>0</v>
      </c>
      <c r="BC79" s="194">
        <f t="shared" si="19"/>
        <v>0</v>
      </c>
      <c r="BD79" s="194">
        <f t="shared" si="19"/>
        <v>0</v>
      </c>
      <c r="BE79" s="194">
        <f t="shared" si="19"/>
        <v>0</v>
      </c>
      <c r="BF79" s="194">
        <f t="shared" si="19"/>
        <v>0</v>
      </c>
      <c r="BG79" s="194">
        <f t="shared" si="19"/>
        <v>0</v>
      </c>
      <c r="BH79" s="194">
        <f t="shared" si="19"/>
        <v>0</v>
      </c>
      <c r="BI79" s="175">
        <f>NPV($D$49,F79:BH79)</f>
        <v>0</v>
      </c>
      <c r="BJ79" s="180"/>
      <c r="BK79" s="180"/>
      <c r="BL79" s="180"/>
      <c r="BM79" s="180"/>
      <c r="BN79" s="180"/>
      <c r="BO79" s="180"/>
    </row>
    <row r="80" spans="2:67" ht="12.75">
      <c r="C80" s="186"/>
      <c r="D80" s="121"/>
      <c r="E80" s="121"/>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75"/>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86"/>
      <c r="D82" s="136"/>
      <c r="E82" s="136"/>
      <c r="F82" s="136"/>
      <c r="G82" s="136"/>
      <c r="H82" s="136"/>
      <c r="I82" s="136"/>
      <c r="J82" s="136"/>
      <c r="K82" s="136"/>
      <c r="L82" s="136"/>
      <c r="M82" s="136"/>
      <c r="N82" s="136"/>
      <c r="O82" s="136"/>
      <c r="P82" s="136"/>
      <c r="Q82" s="136"/>
      <c r="R82" s="136"/>
      <c r="BJ82" s="121"/>
      <c r="BK82" s="121"/>
      <c r="BL82" s="121"/>
      <c r="BM82" s="121"/>
      <c r="BN82" s="121"/>
      <c r="BO82" s="121"/>
    </row>
    <row r="83" spans="2:67" ht="12.75">
      <c r="C83" s="168" t="s">
        <v>340</v>
      </c>
      <c r="D83" s="198"/>
      <c r="E83" s="170" t="s">
        <v>263</v>
      </c>
      <c r="F83" s="199">
        <v>2014</v>
      </c>
      <c r="G83" s="199">
        <f t="shared" ref="G83:BH83" si="21">F83+1</f>
        <v>2015</v>
      </c>
      <c r="H83" s="199">
        <f t="shared" si="21"/>
        <v>2016</v>
      </c>
      <c r="I83" s="199">
        <f t="shared" si="21"/>
        <v>2017</v>
      </c>
      <c r="J83" s="199">
        <f t="shared" si="21"/>
        <v>2018</v>
      </c>
      <c r="K83" s="199">
        <f t="shared" si="21"/>
        <v>2019</v>
      </c>
      <c r="L83" s="199">
        <f t="shared" si="21"/>
        <v>2020</v>
      </c>
      <c r="M83" s="199">
        <f>L83+1</f>
        <v>2021</v>
      </c>
      <c r="N83" s="199">
        <f t="shared" si="21"/>
        <v>2022</v>
      </c>
      <c r="O83" s="199">
        <f>N83+1</f>
        <v>2023</v>
      </c>
      <c r="P83" s="199">
        <f t="shared" si="21"/>
        <v>2024</v>
      </c>
      <c r="Q83" s="199">
        <f t="shared" si="21"/>
        <v>2025</v>
      </c>
      <c r="R83" s="199">
        <f t="shared" si="21"/>
        <v>2026</v>
      </c>
      <c r="S83" s="691">
        <f t="shared" si="21"/>
        <v>2027</v>
      </c>
      <c r="T83" s="691">
        <f t="shared" si="21"/>
        <v>2028</v>
      </c>
      <c r="U83" s="691">
        <f t="shared" si="21"/>
        <v>2029</v>
      </c>
      <c r="V83" s="691">
        <f t="shared" si="21"/>
        <v>2030</v>
      </c>
      <c r="W83" s="691">
        <f t="shared" si="21"/>
        <v>2031</v>
      </c>
      <c r="X83" s="691">
        <f t="shared" si="21"/>
        <v>2032</v>
      </c>
      <c r="Y83" s="691">
        <f t="shared" si="21"/>
        <v>2033</v>
      </c>
      <c r="Z83" s="691">
        <f t="shared" si="21"/>
        <v>2034</v>
      </c>
      <c r="AA83" s="691">
        <f t="shared" si="21"/>
        <v>2035</v>
      </c>
      <c r="AB83" s="691">
        <f t="shared" si="21"/>
        <v>2036</v>
      </c>
      <c r="AC83" s="691">
        <f t="shared" si="21"/>
        <v>2037</v>
      </c>
      <c r="AD83" s="691">
        <f t="shared" si="21"/>
        <v>2038</v>
      </c>
      <c r="AE83" s="691">
        <f t="shared" si="21"/>
        <v>2039</v>
      </c>
      <c r="AF83" s="691">
        <f t="shared" si="21"/>
        <v>2040</v>
      </c>
      <c r="AG83" s="691">
        <f t="shared" si="21"/>
        <v>2041</v>
      </c>
      <c r="AH83" s="691">
        <f t="shared" si="21"/>
        <v>2042</v>
      </c>
      <c r="AI83" s="691">
        <f t="shared" si="21"/>
        <v>2043</v>
      </c>
      <c r="AJ83" s="691">
        <f t="shared" si="21"/>
        <v>2044</v>
      </c>
      <c r="AK83" s="691">
        <f t="shared" si="21"/>
        <v>2045</v>
      </c>
      <c r="AL83" s="691">
        <f t="shared" si="21"/>
        <v>2046</v>
      </c>
      <c r="AM83" s="691">
        <f t="shared" si="21"/>
        <v>2047</v>
      </c>
      <c r="AN83" s="691">
        <f t="shared" si="21"/>
        <v>2048</v>
      </c>
      <c r="AO83" s="691">
        <f t="shared" si="21"/>
        <v>2049</v>
      </c>
      <c r="AP83" s="691">
        <f t="shared" si="21"/>
        <v>2050</v>
      </c>
      <c r="AQ83" s="691">
        <f t="shared" si="21"/>
        <v>2051</v>
      </c>
      <c r="AR83" s="691">
        <f t="shared" si="21"/>
        <v>2052</v>
      </c>
      <c r="AS83" s="691">
        <f t="shared" si="21"/>
        <v>2053</v>
      </c>
      <c r="AT83" s="691">
        <f t="shared" si="21"/>
        <v>2054</v>
      </c>
      <c r="AU83" s="691">
        <f t="shared" si="21"/>
        <v>2055</v>
      </c>
      <c r="AV83" s="691">
        <f t="shared" si="21"/>
        <v>2056</v>
      </c>
      <c r="AW83" s="691">
        <f t="shared" si="21"/>
        <v>2057</v>
      </c>
      <c r="AX83" s="691">
        <f t="shared" si="21"/>
        <v>2058</v>
      </c>
      <c r="AY83" s="691">
        <f t="shared" si="21"/>
        <v>2059</v>
      </c>
      <c r="AZ83" s="691">
        <f t="shared" si="21"/>
        <v>2060</v>
      </c>
      <c r="BA83" s="691">
        <f t="shared" si="21"/>
        <v>2061</v>
      </c>
      <c r="BB83" s="691">
        <f t="shared" si="21"/>
        <v>2062</v>
      </c>
      <c r="BC83" s="691">
        <f t="shared" si="21"/>
        <v>2063</v>
      </c>
      <c r="BD83" s="691">
        <f t="shared" si="21"/>
        <v>2064</v>
      </c>
      <c r="BE83" s="691">
        <f t="shared" si="21"/>
        <v>2065</v>
      </c>
      <c r="BF83" s="691">
        <f t="shared" si="21"/>
        <v>2066</v>
      </c>
      <c r="BG83" s="691">
        <f t="shared" si="21"/>
        <v>2067</v>
      </c>
      <c r="BH83" s="691">
        <f t="shared" si="21"/>
        <v>2068</v>
      </c>
      <c r="BI83" s="697" t="s">
        <v>4</v>
      </c>
      <c r="BJ83" s="121"/>
      <c r="BK83" s="121"/>
      <c r="BL83" s="121"/>
      <c r="BM83" s="121"/>
      <c r="BN83" s="121"/>
      <c r="BO83" s="121"/>
    </row>
    <row r="84" spans="2:67" ht="12.75">
      <c r="C84" s="2005" t="s">
        <v>284</v>
      </c>
      <c r="D84" s="2007"/>
      <c r="E84" s="2007"/>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200"/>
      <c r="BJ84" s="121"/>
      <c r="BK84" s="121"/>
      <c r="BL84" s="121"/>
      <c r="BM84" s="121"/>
      <c r="BN84" s="121"/>
      <c r="BO84" s="121"/>
    </row>
    <row r="85" spans="2:67" ht="12.75">
      <c r="C85" s="201"/>
      <c r="D85" s="121" t="s">
        <v>616</v>
      </c>
      <c r="E85" s="121" t="str">
        <f>IF(C7="Railbelt South of Alaska Range", "mmBtu per year", "gallons displaced per year")</f>
        <v>gallons displaced per year</v>
      </c>
      <c r="F85" s="196"/>
      <c r="G85" s="196">
        <f>IF(AND(G54&gt;=$D$31,G54&lt;=($D$31+$D$32)),$N$13,0)</f>
        <v>2715.9333333333334</v>
      </c>
      <c r="H85" s="196">
        <f t="shared" ref="H85:BH85" si="22">IF(AND(H54&gt;=$D$31,H54&lt;=($D$31+$D$32)),$N$13,0)</f>
        <v>2715.9333333333334</v>
      </c>
      <c r="I85" s="196">
        <f t="shared" si="22"/>
        <v>2715.9333333333334</v>
      </c>
      <c r="J85" s="196">
        <f t="shared" si="22"/>
        <v>2715.9333333333334</v>
      </c>
      <c r="K85" s="196">
        <f t="shared" si="22"/>
        <v>2715.9333333333334</v>
      </c>
      <c r="L85" s="196">
        <f t="shared" si="22"/>
        <v>2715.9333333333334</v>
      </c>
      <c r="M85" s="196">
        <f t="shared" si="22"/>
        <v>2715.9333333333334</v>
      </c>
      <c r="N85" s="196">
        <f t="shared" si="22"/>
        <v>2715.9333333333334</v>
      </c>
      <c r="O85" s="196">
        <f t="shared" si="22"/>
        <v>2715.9333333333334</v>
      </c>
      <c r="P85" s="196">
        <f t="shared" si="22"/>
        <v>2715.9333333333334</v>
      </c>
      <c r="Q85" s="196">
        <f t="shared" si="22"/>
        <v>2715.9333333333334</v>
      </c>
      <c r="R85" s="196">
        <f t="shared" si="22"/>
        <v>2715.9333333333334</v>
      </c>
      <c r="S85" s="196">
        <f t="shared" si="22"/>
        <v>2715.9333333333334</v>
      </c>
      <c r="T85" s="196">
        <f t="shared" si="22"/>
        <v>2715.9333333333334</v>
      </c>
      <c r="U85" s="196">
        <f t="shared" si="22"/>
        <v>2715.9333333333334</v>
      </c>
      <c r="V85" s="196">
        <f t="shared" si="22"/>
        <v>2715.9333333333334</v>
      </c>
      <c r="W85" s="196">
        <f t="shared" si="22"/>
        <v>2715.9333333333334</v>
      </c>
      <c r="X85" s="196">
        <f t="shared" si="22"/>
        <v>2715.9333333333334</v>
      </c>
      <c r="Y85" s="196">
        <f t="shared" si="22"/>
        <v>2715.9333333333334</v>
      </c>
      <c r="Z85" s="196">
        <f t="shared" si="22"/>
        <v>2715.9333333333334</v>
      </c>
      <c r="AA85" s="196">
        <f t="shared" si="22"/>
        <v>2715.9333333333334</v>
      </c>
      <c r="AB85" s="196">
        <f t="shared" si="22"/>
        <v>0</v>
      </c>
      <c r="AC85" s="196">
        <f t="shared" si="22"/>
        <v>0</v>
      </c>
      <c r="AD85" s="196">
        <f t="shared" si="22"/>
        <v>0</v>
      </c>
      <c r="AE85" s="196">
        <f t="shared" si="22"/>
        <v>0</v>
      </c>
      <c r="AF85" s="196">
        <f t="shared" si="22"/>
        <v>0</v>
      </c>
      <c r="AG85" s="196">
        <f t="shared" si="22"/>
        <v>0</v>
      </c>
      <c r="AH85" s="196">
        <f t="shared" si="22"/>
        <v>0</v>
      </c>
      <c r="AI85" s="196">
        <f t="shared" si="22"/>
        <v>0</v>
      </c>
      <c r="AJ85" s="196">
        <f t="shared" si="22"/>
        <v>0</v>
      </c>
      <c r="AK85" s="196">
        <f t="shared" si="22"/>
        <v>0</v>
      </c>
      <c r="AL85" s="196">
        <f t="shared" si="22"/>
        <v>0</v>
      </c>
      <c r="AM85" s="196">
        <f t="shared" si="22"/>
        <v>0</v>
      </c>
      <c r="AN85" s="196">
        <f t="shared" si="22"/>
        <v>0</v>
      </c>
      <c r="AO85" s="196">
        <f t="shared" si="22"/>
        <v>0</v>
      </c>
      <c r="AP85" s="196">
        <f t="shared" si="22"/>
        <v>0</v>
      </c>
      <c r="AQ85" s="196">
        <f t="shared" si="22"/>
        <v>0</v>
      </c>
      <c r="AR85" s="196">
        <f t="shared" si="22"/>
        <v>0</v>
      </c>
      <c r="AS85" s="196">
        <f t="shared" si="22"/>
        <v>0</v>
      </c>
      <c r="AT85" s="196">
        <f t="shared" si="22"/>
        <v>0</v>
      </c>
      <c r="AU85" s="196">
        <f t="shared" si="22"/>
        <v>0</v>
      </c>
      <c r="AV85" s="196">
        <f t="shared" si="22"/>
        <v>0</v>
      </c>
      <c r="AW85" s="196">
        <f t="shared" si="22"/>
        <v>0</v>
      </c>
      <c r="AX85" s="196">
        <f t="shared" si="22"/>
        <v>0</v>
      </c>
      <c r="AY85" s="196">
        <f t="shared" si="22"/>
        <v>0</v>
      </c>
      <c r="AZ85" s="196">
        <f t="shared" si="22"/>
        <v>0</v>
      </c>
      <c r="BA85" s="196">
        <f t="shared" si="22"/>
        <v>0</v>
      </c>
      <c r="BB85" s="196">
        <f t="shared" si="22"/>
        <v>0</v>
      </c>
      <c r="BC85" s="196">
        <f t="shared" si="22"/>
        <v>0</v>
      </c>
      <c r="BD85" s="196">
        <f t="shared" si="22"/>
        <v>0</v>
      </c>
      <c r="BE85" s="196">
        <f t="shared" si="22"/>
        <v>0</v>
      </c>
      <c r="BF85" s="196">
        <f t="shared" si="22"/>
        <v>0</v>
      </c>
      <c r="BG85" s="196">
        <f t="shared" si="22"/>
        <v>0</v>
      </c>
      <c r="BH85" s="196">
        <f t="shared" si="22"/>
        <v>0</v>
      </c>
      <c r="BI85" s="175"/>
      <c r="BJ85" s="121"/>
      <c r="BK85" s="121"/>
      <c r="BL85" s="121"/>
      <c r="BM85" s="121"/>
      <c r="BN85" s="121"/>
      <c r="BO85" s="121"/>
    </row>
    <row r="86" spans="2:67" ht="12.75">
      <c r="C86" s="201" t="s">
        <v>277</v>
      </c>
      <c r="D86" s="121" t="s">
        <v>568</v>
      </c>
      <c r="E86" s="121" t="s">
        <v>264</v>
      </c>
      <c r="F86" s="176">
        <v>0</v>
      </c>
      <c r="G86" s="176">
        <f t="shared" ref="G86:AL86" si="23">$N$27</f>
        <v>0</v>
      </c>
      <c r="H86" s="176">
        <f t="shared" si="23"/>
        <v>0</v>
      </c>
      <c r="I86" s="176">
        <f t="shared" si="23"/>
        <v>0</v>
      </c>
      <c r="J86" s="176">
        <f t="shared" si="23"/>
        <v>0</v>
      </c>
      <c r="K86" s="176">
        <f t="shared" si="23"/>
        <v>0</v>
      </c>
      <c r="L86" s="176">
        <f t="shared" si="23"/>
        <v>0</v>
      </c>
      <c r="M86" s="176">
        <f t="shared" si="23"/>
        <v>0</v>
      </c>
      <c r="N86" s="176">
        <f t="shared" si="23"/>
        <v>0</v>
      </c>
      <c r="O86" s="176">
        <f t="shared" si="23"/>
        <v>0</v>
      </c>
      <c r="P86" s="176">
        <f t="shared" si="23"/>
        <v>0</v>
      </c>
      <c r="Q86" s="176">
        <f t="shared" si="23"/>
        <v>0</v>
      </c>
      <c r="R86" s="176">
        <f t="shared" si="23"/>
        <v>0</v>
      </c>
      <c r="S86" s="176">
        <f t="shared" si="23"/>
        <v>0</v>
      </c>
      <c r="T86" s="176">
        <f t="shared" si="23"/>
        <v>0</v>
      </c>
      <c r="U86" s="176">
        <f t="shared" si="23"/>
        <v>0</v>
      </c>
      <c r="V86" s="176">
        <f t="shared" si="23"/>
        <v>0</v>
      </c>
      <c r="W86" s="176">
        <f t="shared" si="23"/>
        <v>0</v>
      </c>
      <c r="X86" s="176">
        <f t="shared" si="23"/>
        <v>0</v>
      </c>
      <c r="Y86" s="176">
        <f t="shared" si="23"/>
        <v>0</v>
      </c>
      <c r="Z86" s="176">
        <f t="shared" si="23"/>
        <v>0</v>
      </c>
      <c r="AA86" s="176">
        <f t="shared" si="23"/>
        <v>0</v>
      </c>
      <c r="AB86" s="176">
        <f t="shared" si="23"/>
        <v>0</v>
      </c>
      <c r="AC86" s="176">
        <f t="shared" si="23"/>
        <v>0</v>
      </c>
      <c r="AD86" s="176">
        <f t="shared" si="23"/>
        <v>0</v>
      </c>
      <c r="AE86" s="176">
        <f t="shared" si="23"/>
        <v>0</v>
      </c>
      <c r="AF86" s="176">
        <f t="shared" si="23"/>
        <v>0</v>
      </c>
      <c r="AG86" s="176">
        <f t="shared" si="23"/>
        <v>0</v>
      </c>
      <c r="AH86" s="176">
        <f t="shared" si="23"/>
        <v>0</v>
      </c>
      <c r="AI86" s="176">
        <f t="shared" si="23"/>
        <v>0</v>
      </c>
      <c r="AJ86" s="176">
        <f t="shared" si="23"/>
        <v>0</v>
      </c>
      <c r="AK86" s="176">
        <f t="shared" si="23"/>
        <v>0</v>
      </c>
      <c r="AL86" s="176">
        <f t="shared" si="23"/>
        <v>0</v>
      </c>
      <c r="AM86" s="176">
        <f t="shared" ref="AM86:BH86" si="24">$N$27</f>
        <v>0</v>
      </c>
      <c r="AN86" s="176">
        <f t="shared" si="24"/>
        <v>0</v>
      </c>
      <c r="AO86" s="176">
        <f t="shared" si="24"/>
        <v>0</v>
      </c>
      <c r="AP86" s="176">
        <f t="shared" si="24"/>
        <v>0</v>
      </c>
      <c r="AQ86" s="176">
        <f t="shared" si="24"/>
        <v>0</v>
      </c>
      <c r="AR86" s="176">
        <f t="shared" si="24"/>
        <v>0</v>
      </c>
      <c r="AS86" s="176">
        <f t="shared" si="24"/>
        <v>0</v>
      </c>
      <c r="AT86" s="176">
        <f t="shared" si="24"/>
        <v>0</v>
      </c>
      <c r="AU86" s="176">
        <f t="shared" si="24"/>
        <v>0</v>
      </c>
      <c r="AV86" s="176">
        <f t="shared" si="24"/>
        <v>0</v>
      </c>
      <c r="AW86" s="176">
        <f t="shared" si="24"/>
        <v>0</v>
      </c>
      <c r="AX86" s="176">
        <f t="shared" si="24"/>
        <v>0</v>
      </c>
      <c r="AY86" s="176">
        <f t="shared" si="24"/>
        <v>0</v>
      </c>
      <c r="AZ86" s="176">
        <f t="shared" si="24"/>
        <v>0</v>
      </c>
      <c r="BA86" s="176">
        <f t="shared" si="24"/>
        <v>0</v>
      </c>
      <c r="BB86" s="176">
        <f t="shared" si="24"/>
        <v>0</v>
      </c>
      <c r="BC86" s="176">
        <f t="shared" si="24"/>
        <v>0</v>
      </c>
      <c r="BD86" s="176">
        <f t="shared" si="24"/>
        <v>0</v>
      </c>
      <c r="BE86" s="176">
        <f t="shared" si="24"/>
        <v>0</v>
      </c>
      <c r="BF86" s="176">
        <f t="shared" si="24"/>
        <v>0</v>
      </c>
      <c r="BG86" s="176">
        <f t="shared" si="24"/>
        <v>0</v>
      </c>
      <c r="BH86" s="176">
        <f t="shared" si="24"/>
        <v>0</v>
      </c>
      <c r="BI86" s="175">
        <f>NPV($D$49,F86:BH86)</f>
        <v>0</v>
      </c>
      <c r="BJ86" s="121"/>
      <c r="BK86" s="121"/>
      <c r="BL86" s="121"/>
      <c r="BM86" s="121"/>
      <c r="BN86" s="121"/>
      <c r="BO86" s="121"/>
    </row>
    <row r="87" spans="2:67" ht="12.75">
      <c r="C87" s="201" t="s">
        <v>277</v>
      </c>
      <c r="D87" s="121" t="s">
        <v>567</v>
      </c>
      <c r="E87" s="121" t="s">
        <v>264</v>
      </c>
      <c r="F87" s="176">
        <v>0</v>
      </c>
      <c r="G87" s="176">
        <f>IF(AND(G54&gt;=$D$31,G54&lt;=($D$31+$D$32)),$N$26,0)</f>
        <v>500</v>
      </c>
      <c r="H87" s="176">
        <f t="shared" ref="H87:BH87" si="25">IF(AND(H54&gt;=$D$31,H54&lt;=($D$31+$D$32)),$N$26,0)</f>
        <v>500</v>
      </c>
      <c r="I87" s="176">
        <f t="shared" si="25"/>
        <v>500</v>
      </c>
      <c r="J87" s="176">
        <f t="shared" si="25"/>
        <v>500</v>
      </c>
      <c r="K87" s="176">
        <f t="shared" si="25"/>
        <v>500</v>
      </c>
      <c r="L87" s="176">
        <f t="shared" si="25"/>
        <v>500</v>
      </c>
      <c r="M87" s="176">
        <f t="shared" si="25"/>
        <v>500</v>
      </c>
      <c r="N87" s="176">
        <f t="shared" si="25"/>
        <v>500</v>
      </c>
      <c r="O87" s="176">
        <f t="shared" si="25"/>
        <v>500</v>
      </c>
      <c r="P87" s="176">
        <f t="shared" si="25"/>
        <v>500</v>
      </c>
      <c r="Q87" s="176">
        <f t="shared" si="25"/>
        <v>500</v>
      </c>
      <c r="R87" s="176">
        <f t="shared" si="25"/>
        <v>500</v>
      </c>
      <c r="S87" s="176">
        <f t="shared" si="25"/>
        <v>500</v>
      </c>
      <c r="T87" s="176">
        <f t="shared" si="25"/>
        <v>500</v>
      </c>
      <c r="U87" s="176">
        <f t="shared" si="25"/>
        <v>500</v>
      </c>
      <c r="V87" s="176">
        <f t="shared" si="25"/>
        <v>500</v>
      </c>
      <c r="W87" s="176">
        <f t="shared" si="25"/>
        <v>500</v>
      </c>
      <c r="X87" s="176">
        <f t="shared" si="25"/>
        <v>500</v>
      </c>
      <c r="Y87" s="176">
        <f t="shared" si="25"/>
        <v>500</v>
      </c>
      <c r="Z87" s="176">
        <f t="shared" si="25"/>
        <v>500</v>
      </c>
      <c r="AA87" s="176">
        <f t="shared" si="25"/>
        <v>500</v>
      </c>
      <c r="AB87" s="176">
        <f t="shared" si="25"/>
        <v>0</v>
      </c>
      <c r="AC87" s="176">
        <f t="shared" si="25"/>
        <v>0</v>
      </c>
      <c r="AD87" s="176">
        <f t="shared" si="25"/>
        <v>0</v>
      </c>
      <c r="AE87" s="176">
        <f t="shared" si="25"/>
        <v>0</v>
      </c>
      <c r="AF87" s="176">
        <f t="shared" si="25"/>
        <v>0</v>
      </c>
      <c r="AG87" s="176">
        <f t="shared" si="25"/>
        <v>0</v>
      </c>
      <c r="AH87" s="176">
        <f t="shared" si="25"/>
        <v>0</v>
      </c>
      <c r="AI87" s="176">
        <f t="shared" si="25"/>
        <v>0</v>
      </c>
      <c r="AJ87" s="176">
        <f t="shared" si="25"/>
        <v>0</v>
      </c>
      <c r="AK87" s="176">
        <f t="shared" si="25"/>
        <v>0</v>
      </c>
      <c r="AL87" s="176">
        <f t="shared" si="25"/>
        <v>0</v>
      </c>
      <c r="AM87" s="176">
        <f t="shared" si="25"/>
        <v>0</v>
      </c>
      <c r="AN87" s="176">
        <f t="shared" si="25"/>
        <v>0</v>
      </c>
      <c r="AO87" s="176">
        <f t="shared" si="25"/>
        <v>0</v>
      </c>
      <c r="AP87" s="176">
        <f t="shared" si="25"/>
        <v>0</v>
      </c>
      <c r="AQ87" s="176">
        <f t="shared" si="25"/>
        <v>0</v>
      </c>
      <c r="AR87" s="176">
        <f t="shared" si="25"/>
        <v>0</v>
      </c>
      <c r="AS87" s="176">
        <f t="shared" si="25"/>
        <v>0</v>
      </c>
      <c r="AT87" s="176">
        <f t="shared" si="25"/>
        <v>0</v>
      </c>
      <c r="AU87" s="176">
        <f t="shared" si="25"/>
        <v>0</v>
      </c>
      <c r="AV87" s="176">
        <f t="shared" si="25"/>
        <v>0</v>
      </c>
      <c r="AW87" s="176">
        <f t="shared" si="25"/>
        <v>0</v>
      </c>
      <c r="AX87" s="176">
        <f t="shared" si="25"/>
        <v>0</v>
      </c>
      <c r="AY87" s="176">
        <f t="shared" si="25"/>
        <v>0</v>
      </c>
      <c r="AZ87" s="176">
        <f t="shared" si="25"/>
        <v>0</v>
      </c>
      <c r="BA87" s="176">
        <f t="shared" si="25"/>
        <v>0</v>
      </c>
      <c r="BB87" s="176">
        <f t="shared" si="25"/>
        <v>0</v>
      </c>
      <c r="BC87" s="176">
        <f t="shared" si="25"/>
        <v>0</v>
      </c>
      <c r="BD87" s="176">
        <f t="shared" si="25"/>
        <v>0</v>
      </c>
      <c r="BE87" s="176">
        <f t="shared" si="25"/>
        <v>0</v>
      </c>
      <c r="BF87" s="176">
        <f t="shared" si="25"/>
        <v>0</v>
      </c>
      <c r="BG87" s="176">
        <f t="shared" si="25"/>
        <v>0</v>
      </c>
      <c r="BH87" s="176">
        <f t="shared" si="25"/>
        <v>0</v>
      </c>
      <c r="BI87" s="175">
        <f>NPV($D$49,F87:BH87)</f>
        <v>7483.0214254196917</v>
      </c>
      <c r="BJ87" s="121"/>
      <c r="BK87" s="121"/>
      <c r="BL87" s="121"/>
      <c r="BM87" s="121"/>
      <c r="BN87" s="121"/>
      <c r="BO87" s="121"/>
    </row>
    <row r="88" spans="2:67" ht="12.75">
      <c r="C88" s="201"/>
      <c r="D88" s="121" t="s">
        <v>630</v>
      </c>
      <c r="E88" s="121"/>
      <c r="F88" s="176"/>
      <c r="G88" s="176">
        <f>-G85*G93</f>
        <v>-11423.159711790979</v>
      </c>
      <c r="H88" s="176">
        <f t="shared" ref="H88:BH88" si="26">-H85*H93</f>
        <v>-12692.304435169159</v>
      </c>
      <c r="I88" s="176">
        <f t="shared" si="26"/>
        <v>-13138.643338526193</v>
      </c>
      <c r="J88" s="176">
        <f t="shared" si="26"/>
        <v>-13171.288579195545</v>
      </c>
      <c r="K88" s="176">
        <f t="shared" si="26"/>
        <v>-13323.357314615812</v>
      </c>
      <c r="L88" s="176">
        <f t="shared" si="26"/>
        <v>-13476.21927864704</v>
      </c>
      <c r="M88" s="176">
        <f t="shared" si="26"/>
        <v>-13683.353822703357</v>
      </c>
      <c r="N88" s="176">
        <f t="shared" si="26"/>
        <v>-13905.390196005354</v>
      </c>
      <c r="O88" s="176">
        <f t="shared" si="26"/>
        <v>-14135.358011204953</v>
      </c>
      <c r="P88" s="176">
        <f t="shared" si="26"/>
        <v>-14370.202129913809</v>
      </c>
      <c r="Q88" s="176">
        <f t="shared" si="26"/>
        <v>-14606.148161452791</v>
      </c>
      <c r="R88" s="176">
        <f t="shared" si="26"/>
        <v>-14857.504354737272</v>
      </c>
      <c r="S88" s="176">
        <f t="shared" si="26"/>
        <v>-15115.008438608111</v>
      </c>
      <c r="T88" s="176">
        <f t="shared" si="26"/>
        <v>-15378.813577054807</v>
      </c>
      <c r="U88" s="176">
        <f t="shared" si="26"/>
        <v>-15649.07590540907</v>
      </c>
      <c r="V88" s="176">
        <f t="shared" si="26"/>
        <v>-15925.954925228971</v>
      </c>
      <c r="W88" s="176">
        <f t="shared" si="26"/>
        <v>-16209.615854315838</v>
      </c>
      <c r="X88" s="176">
        <f t="shared" si="26"/>
        <v>-16500.226366528743</v>
      </c>
      <c r="Y88" s="176">
        <f t="shared" si="26"/>
        <v>-16797.553796238753</v>
      </c>
      <c r="Z88" s="176">
        <f t="shared" si="26"/>
        <v>-17089.791152900274</v>
      </c>
      <c r="AA88" s="176">
        <f t="shared" si="26"/>
        <v>-17397.24941164647</v>
      </c>
      <c r="AB88" s="176">
        <f t="shared" si="26"/>
        <v>0</v>
      </c>
      <c r="AC88" s="176">
        <f t="shared" si="26"/>
        <v>0</v>
      </c>
      <c r="AD88" s="176">
        <f t="shared" si="26"/>
        <v>0</v>
      </c>
      <c r="AE88" s="176">
        <f t="shared" si="26"/>
        <v>0</v>
      </c>
      <c r="AF88" s="176">
        <f t="shared" si="26"/>
        <v>0</v>
      </c>
      <c r="AG88" s="176">
        <f t="shared" si="26"/>
        <v>0</v>
      </c>
      <c r="AH88" s="176">
        <f t="shared" si="26"/>
        <v>0</v>
      </c>
      <c r="AI88" s="176">
        <f t="shared" si="26"/>
        <v>0</v>
      </c>
      <c r="AJ88" s="176">
        <f t="shared" si="26"/>
        <v>0</v>
      </c>
      <c r="AK88" s="176">
        <f t="shared" si="26"/>
        <v>0</v>
      </c>
      <c r="AL88" s="176">
        <f t="shared" si="26"/>
        <v>0</v>
      </c>
      <c r="AM88" s="176">
        <f t="shared" si="26"/>
        <v>0</v>
      </c>
      <c r="AN88" s="176">
        <f t="shared" si="26"/>
        <v>0</v>
      </c>
      <c r="AO88" s="176">
        <f t="shared" si="26"/>
        <v>0</v>
      </c>
      <c r="AP88" s="176">
        <f t="shared" si="26"/>
        <v>0</v>
      </c>
      <c r="AQ88" s="176">
        <f t="shared" si="26"/>
        <v>0</v>
      </c>
      <c r="AR88" s="176">
        <f t="shared" si="26"/>
        <v>0</v>
      </c>
      <c r="AS88" s="176">
        <f t="shared" si="26"/>
        <v>0</v>
      </c>
      <c r="AT88" s="176">
        <f t="shared" si="26"/>
        <v>0</v>
      </c>
      <c r="AU88" s="176">
        <f t="shared" si="26"/>
        <v>0</v>
      </c>
      <c r="AV88" s="176">
        <f t="shared" si="26"/>
        <v>0</v>
      </c>
      <c r="AW88" s="176">
        <f t="shared" si="26"/>
        <v>0</v>
      </c>
      <c r="AX88" s="176">
        <f t="shared" si="26"/>
        <v>0</v>
      </c>
      <c r="AY88" s="176">
        <f t="shared" si="26"/>
        <v>0</v>
      </c>
      <c r="AZ88" s="176">
        <f t="shared" si="26"/>
        <v>0</v>
      </c>
      <c r="BA88" s="176">
        <f t="shared" si="26"/>
        <v>0</v>
      </c>
      <c r="BB88" s="176">
        <f t="shared" si="26"/>
        <v>0</v>
      </c>
      <c r="BC88" s="176">
        <f t="shared" si="26"/>
        <v>0</v>
      </c>
      <c r="BD88" s="176">
        <f t="shared" si="26"/>
        <v>0</v>
      </c>
      <c r="BE88" s="176">
        <f t="shared" si="26"/>
        <v>0</v>
      </c>
      <c r="BF88" s="176">
        <f t="shared" si="26"/>
        <v>0</v>
      </c>
      <c r="BG88" s="176">
        <f t="shared" si="26"/>
        <v>0</v>
      </c>
      <c r="BH88" s="176">
        <f t="shared" si="26"/>
        <v>0</v>
      </c>
      <c r="BI88" s="175"/>
      <c r="BJ88" s="121"/>
      <c r="BK88" s="121"/>
      <c r="BL88" s="121"/>
      <c r="BM88" s="121"/>
      <c r="BN88" s="121"/>
      <c r="BO88" s="121"/>
    </row>
    <row r="89" spans="2:67" s="192" customFormat="1" ht="12.75">
      <c r="B89" s="193"/>
      <c r="C89" s="190"/>
      <c r="D89" s="180" t="s">
        <v>833</v>
      </c>
      <c r="E89" s="180" t="s">
        <v>264</v>
      </c>
      <c r="F89" s="194">
        <f>F86+F87</f>
        <v>0</v>
      </c>
      <c r="G89" s="194">
        <f>G86+G87+G88</f>
        <v>-10923.159711790979</v>
      </c>
      <c r="H89" s="194">
        <f t="shared" ref="H89:BH89" si="27">H86+H87+H88</f>
        <v>-12192.304435169159</v>
      </c>
      <c r="I89" s="194">
        <f t="shared" si="27"/>
        <v>-12638.643338526193</v>
      </c>
      <c r="J89" s="194">
        <f t="shared" si="27"/>
        <v>-12671.288579195545</v>
      </c>
      <c r="K89" s="194">
        <f t="shared" si="27"/>
        <v>-12823.357314615812</v>
      </c>
      <c r="L89" s="194">
        <f t="shared" si="27"/>
        <v>-12976.21927864704</v>
      </c>
      <c r="M89" s="194">
        <f t="shared" si="27"/>
        <v>-13183.353822703357</v>
      </c>
      <c r="N89" s="194">
        <f t="shared" si="27"/>
        <v>-13405.390196005354</v>
      </c>
      <c r="O89" s="194">
        <f t="shared" si="27"/>
        <v>-13635.358011204953</v>
      </c>
      <c r="P89" s="194">
        <f t="shared" si="27"/>
        <v>-13870.202129913809</v>
      </c>
      <c r="Q89" s="194">
        <f t="shared" si="27"/>
        <v>-14106.148161452791</v>
      </c>
      <c r="R89" s="194">
        <f t="shared" si="27"/>
        <v>-14357.504354737272</v>
      </c>
      <c r="S89" s="194">
        <f t="shared" si="27"/>
        <v>-14615.008438608111</v>
      </c>
      <c r="T89" s="194">
        <f t="shared" si="27"/>
        <v>-14878.813577054807</v>
      </c>
      <c r="U89" s="194">
        <f t="shared" si="27"/>
        <v>-15149.07590540907</v>
      </c>
      <c r="V89" s="194">
        <f t="shared" si="27"/>
        <v>-15425.954925228971</v>
      </c>
      <c r="W89" s="194">
        <f t="shared" si="27"/>
        <v>-15709.615854315838</v>
      </c>
      <c r="X89" s="194">
        <f t="shared" si="27"/>
        <v>-16000.226366528743</v>
      </c>
      <c r="Y89" s="194">
        <f t="shared" si="27"/>
        <v>-16297.553796238753</v>
      </c>
      <c r="Z89" s="194">
        <f t="shared" si="27"/>
        <v>-16589.791152900274</v>
      </c>
      <c r="AA89" s="194">
        <f t="shared" si="27"/>
        <v>-16897.24941164647</v>
      </c>
      <c r="AB89" s="194">
        <f t="shared" si="27"/>
        <v>0</v>
      </c>
      <c r="AC89" s="194">
        <f t="shared" si="27"/>
        <v>0</v>
      </c>
      <c r="AD89" s="194">
        <f t="shared" si="27"/>
        <v>0</v>
      </c>
      <c r="AE89" s="194">
        <f t="shared" si="27"/>
        <v>0</v>
      </c>
      <c r="AF89" s="194">
        <f t="shared" si="27"/>
        <v>0</v>
      </c>
      <c r="AG89" s="194">
        <f t="shared" si="27"/>
        <v>0</v>
      </c>
      <c r="AH89" s="194">
        <f t="shared" si="27"/>
        <v>0</v>
      </c>
      <c r="AI89" s="194">
        <f t="shared" si="27"/>
        <v>0</v>
      </c>
      <c r="AJ89" s="194">
        <f t="shared" si="27"/>
        <v>0</v>
      </c>
      <c r="AK89" s="194">
        <f t="shared" si="27"/>
        <v>0</v>
      </c>
      <c r="AL89" s="194">
        <f t="shared" si="27"/>
        <v>0</v>
      </c>
      <c r="AM89" s="194">
        <f t="shared" si="27"/>
        <v>0</v>
      </c>
      <c r="AN89" s="194">
        <f t="shared" si="27"/>
        <v>0</v>
      </c>
      <c r="AO89" s="194">
        <f t="shared" si="27"/>
        <v>0</v>
      </c>
      <c r="AP89" s="194">
        <f t="shared" si="27"/>
        <v>0</v>
      </c>
      <c r="AQ89" s="194">
        <f t="shared" si="27"/>
        <v>0</v>
      </c>
      <c r="AR89" s="194">
        <f t="shared" si="27"/>
        <v>0</v>
      </c>
      <c r="AS89" s="194">
        <f t="shared" si="27"/>
        <v>0</v>
      </c>
      <c r="AT89" s="194">
        <f t="shared" si="27"/>
        <v>0</v>
      </c>
      <c r="AU89" s="194">
        <f t="shared" si="27"/>
        <v>0</v>
      </c>
      <c r="AV89" s="194">
        <f t="shared" si="27"/>
        <v>0</v>
      </c>
      <c r="AW89" s="194">
        <f t="shared" si="27"/>
        <v>0</v>
      </c>
      <c r="AX89" s="194">
        <f t="shared" si="27"/>
        <v>0</v>
      </c>
      <c r="AY89" s="194">
        <f t="shared" si="27"/>
        <v>0</v>
      </c>
      <c r="AZ89" s="194">
        <f t="shared" si="27"/>
        <v>0</v>
      </c>
      <c r="BA89" s="194">
        <f t="shared" si="27"/>
        <v>0</v>
      </c>
      <c r="BB89" s="194">
        <f t="shared" si="27"/>
        <v>0</v>
      </c>
      <c r="BC89" s="194">
        <f t="shared" si="27"/>
        <v>0</v>
      </c>
      <c r="BD89" s="194">
        <f t="shared" si="27"/>
        <v>0</v>
      </c>
      <c r="BE89" s="194">
        <f t="shared" si="27"/>
        <v>0</v>
      </c>
      <c r="BF89" s="194">
        <f t="shared" si="27"/>
        <v>0</v>
      </c>
      <c r="BG89" s="194">
        <f t="shared" si="27"/>
        <v>0</v>
      </c>
      <c r="BH89" s="194">
        <f t="shared" si="27"/>
        <v>0</v>
      </c>
      <c r="BI89" s="175">
        <f>NPV($D$49,F89:BH89)</f>
        <v>-208519.61750173089</v>
      </c>
      <c r="BJ89" s="180"/>
      <c r="BK89" s="180"/>
      <c r="BL89" s="180"/>
      <c r="BM89" s="180"/>
      <c r="BN89" s="180"/>
      <c r="BO89" s="180"/>
    </row>
    <row r="90" spans="2:67" ht="12.75">
      <c r="C90" s="190"/>
      <c r="D90" s="121"/>
      <c r="E90" s="121"/>
      <c r="F90" s="195"/>
      <c r="G90" s="195"/>
      <c r="H90" s="195"/>
      <c r="I90" s="195"/>
      <c r="J90" s="195"/>
      <c r="K90" s="195"/>
      <c r="L90" s="195"/>
      <c r="M90" s="195"/>
      <c r="N90" s="195"/>
      <c r="O90" s="195"/>
      <c r="P90" s="195"/>
      <c r="Q90" s="195"/>
      <c r="R90" s="195"/>
      <c r="S90" s="195"/>
      <c r="T90" s="195"/>
      <c r="U90" s="195"/>
      <c r="V90" s="195"/>
      <c r="W90" s="195"/>
      <c r="X90" s="195"/>
      <c r="Y90" s="195"/>
      <c r="Z90" s="195"/>
      <c r="AA90" s="195"/>
      <c r="AB90" s="195"/>
      <c r="AC90" s="195"/>
      <c r="AD90" s="195"/>
      <c r="AE90" s="195"/>
      <c r="AF90" s="195"/>
      <c r="AG90" s="195"/>
      <c r="AH90" s="195"/>
      <c r="AI90" s="195"/>
      <c r="AJ90" s="195"/>
      <c r="AK90" s="195"/>
      <c r="AL90" s="195"/>
      <c r="AM90" s="195"/>
      <c r="AN90" s="195"/>
      <c r="AO90" s="195"/>
      <c r="AP90" s="195"/>
      <c r="AQ90" s="195"/>
      <c r="AR90" s="195"/>
      <c r="AS90" s="195"/>
      <c r="AT90" s="195"/>
      <c r="AU90" s="195"/>
      <c r="AV90" s="195"/>
      <c r="AW90" s="195"/>
      <c r="AX90" s="195"/>
      <c r="AY90" s="195"/>
      <c r="AZ90" s="195"/>
      <c r="BA90" s="195"/>
      <c r="BB90" s="195"/>
      <c r="BC90" s="195"/>
      <c r="BD90" s="195"/>
      <c r="BE90" s="195"/>
      <c r="BF90" s="195"/>
      <c r="BG90" s="195"/>
      <c r="BH90" s="195"/>
      <c r="BI90" s="175"/>
      <c r="BJ90" s="121"/>
      <c r="BK90" s="121"/>
      <c r="BL90" s="121"/>
      <c r="BM90" s="121"/>
      <c r="BN90" s="121"/>
      <c r="BO90" s="121"/>
    </row>
    <row r="91" spans="2:67" ht="12.75">
      <c r="C91" s="2005" t="s">
        <v>285</v>
      </c>
      <c r="D91" s="2007"/>
      <c r="E91" s="2007"/>
      <c r="F91" s="121"/>
      <c r="G91" s="121"/>
      <c r="H91" s="121"/>
      <c r="I91" s="121"/>
      <c r="J91" s="121"/>
      <c r="K91" s="121"/>
      <c r="L91" s="121"/>
      <c r="M91" s="121"/>
      <c r="N91" s="121"/>
      <c r="O91" s="121"/>
      <c r="P91" s="121"/>
      <c r="Q91" s="121"/>
      <c r="R91" s="121"/>
      <c r="S91" s="121"/>
      <c r="T91" s="121"/>
      <c r="U91" s="121"/>
      <c r="V91" s="121"/>
      <c r="W91" s="121"/>
      <c r="X91" s="121"/>
      <c r="Y91" s="121"/>
      <c r="Z91" s="121"/>
      <c r="AA91" s="121"/>
      <c r="AB91" s="121"/>
      <c r="AC91" s="121"/>
      <c r="AD91" s="121"/>
      <c r="AE91" s="121"/>
      <c r="AF91" s="121"/>
      <c r="AG91" s="121"/>
      <c r="AH91" s="121"/>
      <c r="AI91" s="121"/>
      <c r="AJ91" s="121"/>
      <c r="AK91" s="121"/>
      <c r="AL91" s="121"/>
      <c r="AM91" s="121"/>
      <c r="AN91" s="121"/>
      <c r="AO91" s="121"/>
      <c r="AP91" s="121"/>
      <c r="AQ91" s="121"/>
      <c r="AR91" s="121"/>
      <c r="AS91" s="121"/>
      <c r="AT91" s="121"/>
      <c r="AU91" s="121"/>
      <c r="AV91" s="121"/>
      <c r="AW91" s="121"/>
      <c r="AX91" s="121"/>
      <c r="AY91" s="121"/>
      <c r="AZ91" s="121"/>
      <c r="BA91" s="121"/>
      <c r="BB91" s="121"/>
      <c r="BC91" s="121"/>
      <c r="BD91" s="121"/>
      <c r="BE91" s="121"/>
      <c r="BF91" s="121"/>
      <c r="BG91" s="121"/>
      <c r="BH91" s="121"/>
      <c r="BI91" s="200"/>
      <c r="BJ91" s="121"/>
      <c r="BK91" s="121"/>
      <c r="BL91" s="121"/>
      <c r="BM91" s="121"/>
      <c r="BN91" s="121"/>
      <c r="BO91" s="121"/>
    </row>
    <row r="92" spans="2:67" ht="12.75">
      <c r="C92" s="201"/>
      <c r="D92" s="121" t="s">
        <v>712</v>
      </c>
      <c r="E92" s="121" t="str">
        <f>IF(C7="railbelt south of Alaska Range","mmBtu per year","gallons per year")</f>
        <v>gallons per year</v>
      </c>
      <c r="F92" s="196"/>
      <c r="G92" s="196"/>
      <c r="H92" s="196"/>
      <c r="I92" s="196"/>
      <c r="J92" s="196"/>
      <c r="K92" s="196"/>
      <c r="L92" s="196"/>
      <c r="M92" s="196"/>
      <c r="N92" s="196"/>
      <c r="O92" s="196"/>
      <c r="P92" s="196"/>
      <c r="Q92" s="196"/>
      <c r="R92" s="196"/>
      <c r="S92" s="196"/>
      <c r="T92" s="196"/>
      <c r="U92" s="196"/>
      <c r="V92" s="196"/>
      <c r="W92" s="196"/>
      <c r="X92" s="196"/>
      <c r="Y92" s="196"/>
      <c r="Z92" s="196"/>
      <c r="AA92" s="196"/>
      <c r="AB92" s="196"/>
      <c r="AC92" s="196"/>
      <c r="AD92" s="196"/>
      <c r="AE92" s="196"/>
      <c r="AF92" s="196"/>
      <c r="AG92" s="196"/>
      <c r="AH92" s="196"/>
      <c r="AI92" s="196"/>
      <c r="AJ92" s="196"/>
      <c r="AK92" s="196"/>
      <c r="AL92" s="196"/>
      <c r="AM92" s="196"/>
      <c r="AN92" s="196"/>
      <c r="AO92" s="196"/>
      <c r="AP92" s="196"/>
      <c r="AQ92" s="196"/>
      <c r="AR92" s="196"/>
      <c r="AS92" s="196"/>
      <c r="AT92" s="196"/>
      <c r="AU92" s="196"/>
      <c r="AV92" s="196"/>
      <c r="AW92" s="196"/>
      <c r="AX92" s="196"/>
      <c r="AY92" s="196"/>
      <c r="AZ92" s="196"/>
      <c r="BA92" s="196"/>
      <c r="BB92" s="196"/>
      <c r="BC92" s="196"/>
      <c r="BD92" s="196"/>
      <c r="BE92" s="196"/>
      <c r="BF92" s="196"/>
      <c r="BG92" s="196"/>
      <c r="BH92" s="196"/>
      <c r="BI92" s="175"/>
      <c r="BJ92" s="121"/>
      <c r="BK92" s="121"/>
      <c r="BL92" s="121"/>
      <c r="BM92" s="121"/>
      <c r="BN92" s="121"/>
      <c r="BO92" s="121"/>
    </row>
    <row r="93" spans="2:67" ht="12.75">
      <c r="C93" s="201"/>
      <c r="D93" s="121" t="s">
        <v>710</v>
      </c>
      <c r="E93" s="121" t="str">
        <f>IF(C7="railbelt south of alaska range","$ per mmBtu","$ per gallon")</f>
        <v>$ per gallon</v>
      </c>
      <c r="F93" s="187"/>
      <c r="G93" s="187">
        <f>G74+$D$47</f>
        <v>4.2059794220983502</v>
      </c>
      <c r="H93" s="187">
        <f t="shared" ref="H93:BH93" si="28">H74+$D$47</f>
        <v>4.6732754001702883</v>
      </c>
      <c r="I93" s="187">
        <f t="shared" si="28"/>
        <v>4.8376162909716216</v>
      </c>
      <c r="J93" s="187">
        <f t="shared" si="28"/>
        <v>4.8496361886136912</v>
      </c>
      <c r="K93" s="187">
        <f t="shared" si="28"/>
        <v>4.9056275244664125</v>
      </c>
      <c r="L93" s="187">
        <f t="shared" si="28"/>
        <v>4.9619109251504847</v>
      </c>
      <c r="M93" s="187">
        <f t="shared" si="28"/>
        <v>5.0381773568460284</v>
      </c>
      <c r="N93" s="187">
        <f t="shared" si="28"/>
        <v>5.1199306055642086</v>
      </c>
      <c r="O93" s="187">
        <f t="shared" si="28"/>
        <v>5.2046041917591079</v>
      </c>
      <c r="P93" s="187">
        <f t="shared" si="28"/>
        <v>5.2910732209604339</v>
      </c>
      <c r="Q93" s="187">
        <f t="shared" si="28"/>
        <v>5.377947971766412</v>
      </c>
      <c r="R93" s="187">
        <f t="shared" si="28"/>
        <v>5.4704967063761769</v>
      </c>
      <c r="S93" s="187">
        <f t="shared" si="28"/>
        <v>5.5653090792390989</v>
      </c>
      <c r="T93" s="187">
        <f t="shared" si="28"/>
        <v>5.6624414849609002</v>
      </c>
      <c r="U93" s="187">
        <f t="shared" si="28"/>
        <v>5.7619514121882238</v>
      </c>
      <c r="V93" s="187">
        <f t="shared" si="28"/>
        <v>5.863897589004015</v>
      </c>
      <c r="W93" s="187">
        <f t="shared" si="28"/>
        <v>5.9683408481979816</v>
      </c>
      <c r="X93" s="187">
        <f t="shared" si="28"/>
        <v>6.075342926874276</v>
      </c>
      <c r="Y93" s="187">
        <f t="shared" si="28"/>
        <v>6.184818158118297</v>
      </c>
      <c r="Z93" s="187">
        <f t="shared" si="28"/>
        <v>6.292419236935225</v>
      </c>
      <c r="AA93" s="187">
        <f t="shared" si="28"/>
        <v>6.4056246146124609</v>
      </c>
      <c r="AB93" s="187">
        <f t="shared" si="28"/>
        <v>6.5219530773050831</v>
      </c>
      <c r="AC93" s="187">
        <f t="shared" si="28"/>
        <v>6.6360405950884838</v>
      </c>
      <c r="AD93" s="187">
        <f t="shared" si="28"/>
        <v>6.7587026423442191</v>
      </c>
      <c r="AE93" s="187">
        <f t="shared" si="28"/>
        <v>6.8910386217753219</v>
      </c>
      <c r="AF93" s="187">
        <f t="shared" si="28"/>
        <v>7.014392524247052</v>
      </c>
      <c r="AG93" s="187">
        <f t="shared" si="28"/>
        <v>7.014392524247052</v>
      </c>
      <c r="AH93" s="187">
        <f t="shared" si="28"/>
        <v>7.014392524247052</v>
      </c>
      <c r="AI93" s="187">
        <f t="shared" si="28"/>
        <v>7.014392524247052</v>
      </c>
      <c r="AJ93" s="187">
        <f t="shared" si="28"/>
        <v>7.014392524247052</v>
      </c>
      <c r="AK93" s="187">
        <f t="shared" si="28"/>
        <v>7.014392524247052</v>
      </c>
      <c r="AL93" s="187">
        <f t="shared" si="28"/>
        <v>7.014392524247052</v>
      </c>
      <c r="AM93" s="187">
        <f t="shared" si="28"/>
        <v>7.014392524247052</v>
      </c>
      <c r="AN93" s="187">
        <f t="shared" si="28"/>
        <v>7.014392524247052</v>
      </c>
      <c r="AO93" s="187">
        <f t="shared" si="28"/>
        <v>7.014392524247052</v>
      </c>
      <c r="AP93" s="187">
        <f t="shared" si="28"/>
        <v>7.014392524247052</v>
      </c>
      <c r="AQ93" s="187">
        <f t="shared" si="28"/>
        <v>7.014392524247052</v>
      </c>
      <c r="AR93" s="187">
        <f t="shared" si="28"/>
        <v>7.014392524247052</v>
      </c>
      <c r="AS93" s="187">
        <f t="shared" si="28"/>
        <v>7.014392524247052</v>
      </c>
      <c r="AT93" s="187">
        <f t="shared" si="28"/>
        <v>7.014392524247052</v>
      </c>
      <c r="AU93" s="187">
        <f t="shared" si="28"/>
        <v>7.014392524247052</v>
      </c>
      <c r="AV93" s="187">
        <f t="shared" si="28"/>
        <v>7.014392524247052</v>
      </c>
      <c r="AW93" s="187">
        <f t="shared" si="28"/>
        <v>7.014392524247052</v>
      </c>
      <c r="AX93" s="187">
        <f t="shared" si="28"/>
        <v>7.014392524247052</v>
      </c>
      <c r="AY93" s="187">
        <f t="shared" si="28"/>
        <v>7.014392524247052</v>
      </c>
      <c r="AZ93" s="187">
        <f t="shared" si="28"/>
        <v>7.014392524247052</v>
      </c>
      <c r="BA93" s="187">
        <f t="shared" si="28"/>
        <v>7.014392524247052</v>
      </c>
      <c r="BB93" s="187">
        <f t="shared" si="28"/>
        <v>7.014392524247052</v>
      </c>
      <c r="BC93" s="187">
        <f t="shared" si="28"/>
        <v>7.014392524247052</v>
      </c>
      <c r="BD93" s="187">
        <f t="shared" si="28"/>
        <v>7.014392524247052</v>
      </c>
      <c r="BE93" s="187">
        <f t="shared" si="28"/>
        <v>7.014392524247052</v>
      </c>
      <c r="BF93" s="187">
        <f t="shared" si="28"/>
        <v>7.014392524247052</v>
      </c>
      <c r="BG93" s="187">
        <f t="shared" si="28"/>
        <v>7.014392524247052</v>
      </c>
      <c r="BH93" s="187">
        <f t="shared" si="28"/>
        <v>7.014392524247052</v>
      </c>
      <c r="BI93" s="175"/>
      <c r="BJ93" s="121"/>
      <c r="BK93" s="121"/>
      <c r="BL93" s="121"/>
      <c r="BM93" s="121"/>
      <c r="BN93" s="121"/>
      <c r="BO93" s="121"/>
    </row>
    <row r="94" spans="2:67" ht="12.75">
      <c r="C94" s="201" t="s">
        <v>277</v>
      </c>
      <c r="D94" s="121" t="s">
        <v>382</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201" t="s">
        <v>277</v>
      </c>
      <c r="D95" s="121" t="s">
        <v>316</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v>0</v>
      </c>
      <c r="AC95" s="176">
        <v>0</v>
      </c>
      <c r="AD95" s="176">
        <v>0</v>
      </c>
      <c r="AE95" s="176">
        <v>0</v>
      </c>
      <c r="AF95" s="176">
        <v>0</v>
      </c>
      <c r="AG95" s="176">
        <v>0</v>
      </c>
      <c r="AH95" s="176">
        <v>0</v>
      </c>
      <c r="AI95" s="176">
        <v>0</v>
      </c>
      <c r="AJ95" s="176">
        <v>0</v>
      </c>
      <c r="AK95" s="176">
        <v>0</v>
      </c>
      <c r="AL95" s="176">
        <v>0</v>
      </c>
      <c r="AM95" s="176">
        <v>0</v>
      </c>
      <c r="AN95" s="176">
        <v>0</v>
      </c>
      <c r="AO95" s="176">
        <v>0</v>
      </c>
      <c r="AP95" s="176">
        <v>0</v>
      </c>
      <c r="AQ95" s="176">
        <v>0</v>
      </c>
      <c r="AR95" s="176">
        <v>0</v>
      </c>
      <c r="AS95" s="176">
        <v>0</v>
      </c>
      <c r="AT95" s="176">
        <v>0</v>
      </c>
      <c r="AU95" s="176">
        <v>0</v>
      </c>
      <c r="AV95" s="176">
        <v>0</v>
      </c>
      <c r="AW95" s="176">
        <v>0</v>
      </c>
      <c r="AX95" s="176">
        <v>0</v>
      </c>
      <c r="AY95" s="176">
        <v>0</v>
      </c>
      <c r="AZ95" s="176">
        <v>0</v>
      </c>
      <c r="BA95" s="176">
        <v>0</v>
      </c>
      <c r="BB95" s="176">
        <v>0</v>
      </c>
      <c r="BC95" s="176">
        <v>0</v>
      </c>
      <c r="BD95" s="176">
        <v>0</v>
      </c>
      <c r="BE95" s="176">
        <v>0</v>
      </c>
      <c r="BF95" s="176">
        <v>0</v>
      </c>
      <c r="BG95" s="176">
        <v>0</v>
      </c>
      <c r="BH95" s="176">
        <v>0</v>
      </c>
      <c r="BI95" s="175">
        <f>NPV($D$49,F95:BH95)</f>
        <v>0</v>
      </c>
      <c r="BJ95" s="121"/>
      <c r="BK95" s="121"/>
      <c r="BL95" s="121"/>
      <c r="BM95" s="121"/>
      <c r="BN95" s="121"/>
      <c r="BO95" s="121"/>
    </row>
    <row r="96" spans="2:67" ht="12.75">
      <c r="C96" s="190"/>
      <c r="D96" s="121" t="s">
        <v>270</v>
      </c>
      <c r="E96" s="121" t="s">
        <v>264</v>
      </c>
      <c r="F96" s="191">
        <f t="shared" ref="F96:BH96" si="29">F92*F93</f>
        <v>0</v>
      </c>
      <c r="G96" s="191">
        <f t="shared" si="29"/>
        <v>0</v>
      </c>
      <c r="H96" s="191">
        <f t="shared" si="29"/>
        <v>0</v>
      </c>
      <c r="I96" s="191">
        <f t="shared" si="29"/>
        <v>0</v>
      </c>
      <c r="J96" s="191">
        <f t="shared" si="29"/>
        <v>0</v>
      </c>
      <c r="K96" s="191">
        <f t="shared" si="29"/>
        <v>0</v>
      </c>
      <c r="L96" s="191">
        <f t="shared" si="29"/>
        <v>0</v>
      </c>
      <c r="M96" s="191">
        <f t="shared" si="29"/>
        <v>0</v>
      </c>
      <c r="N96" s="191">
        <f t="shared" si="29"/>
        <v>0</v>
      </c>
      <c r="O96" s="191">
        <f t="shared" si="29"/>
        <v>0</v>
      </c>
      <c r="P96" s="191">
        <f t="shared" si="29"/>
        <v>0</v>
      </c>
      <c r="Q96" s="191">
        <f t="shared" si="29"/>
        <v>0</v>
      </c>
      <c r="R96" s="191">
        <f t="shared" si="29"/>
        <v>0</v>
      </c>
      <c r="S96" s="191">
        <f t="shared" si="29"/>
        <v>0</v>
      </c>
      <c r="T96" s="191">
        <f t="shared" si="29"/>
        <v>0</v>
      </c>
      <c r="U96" s="191">
        <f t="shared" si="29"/>
        <v>0</v>
      </c>
      <c r="V96" s="191">
        <f t="shared" si="29"/>
        <v>0</v>
      </c>
      <c r="W96" s="191">
        <f t="shared" si="29"/>
        <v>0</v>
      </c>
      <c r="X96" s="191">
        <f t="shared" si="29"/>
        <v>0</v>
      </c>
      <c r="Y96" s="191">
        <f t="shared" si="29"/>
        <v>0</v>
      </c>
      <c r="Z96" s="191">
        <f t="shared" si="29"/>
        <v>0</v>
      </c>
      <c r="AA96" s="191">
        <f t="shared" si="29"/>
        <v>0</v>
      </c>
      <c r="AB96" s="191">
        <f t="shared" si="29"/>
        <v>0</v>
      </c>
      <c r="AC96" s="191">
        <f t="shared" si="29"/>
        <v>0</v>
      </c>
      <c r="AD96" s="191">
        <f t="shared" si="29"/>
        <v>0</v>
      </c>
      <c r="AE96" s="191">
        <f t="shared" si="29"/>
        <v>0</v>
      </c>
      <c r="AF96" s="191">
        <f t="shared" si="29"/>
        <v>0</v>
      </c>
      <c r="AG96" s="191">
        <f t="shared" si="29"/>
        <v>0</v>
      </c>
      <c r="AH96" s="191">
        <f t="shared" si="29"/>
        <v>0</v>
      </c>
      <c r="AI96" s="191">
        <f t="shared" si="29"/>
        <v>0</v>
      </c>
      <c r="AJ96" s="191">
        <f t="shared" si="29"/>
        <v>0</v>
      </c>
      <c r="AK96" s="191">
        <f t="shared" si="29"/>
        <v>0</v>
      </c>
      <c r="AL96" s="191">
        <f t="shared" si="29"/>
        <v>0</v>
      </c>
      <c r="AM96" s="191">
        <f t="shared" si="29"/>
        <v>0</v>
      </c>
      <c r="AN96" s="191">
        <f t="shared" si="29"/>
        <v>0</v>
      </c>
      <c r="AO96" s="191">
        <f t="shared" si="29"/>
        <v>0</v>
      </c>
      <c r="AP96" s="191">
        <f t="shared" si="29"/>
        <v>0</v>
      </c>
      <c r="AQ96" s="191">
        <f t="shared" si="29"/>
        <v>0</v>
      </c>
      <c r="AR96" s="191">
        <f t="shared" si="29"/>
        <v>0</v>
      </c>
      <c r="AS96" s="191">
        <f t="shared" si="29"/>
        <v>0</v>
      </c>
      <c r="AT96" s="191">
        <f t="shared" si="29"/>
        <v>0</v>
      </c>
      <c r="AU96" s="191">
        <f t="shared" si="29"/>
        <v>0</v>
      </c>
      <c r="AV96" s="191">
        <f t="shared" si="29"/>
        <v>0</v>
      </c>
      <c r="AW96" s="191">
        <f t="shared" si="29"/>
        <v>0</v>
      </c>
      <c r="AX96" s="191">
        <f t="shared" si="29"/>
        <v>0</v>
      </c>
      <c r="AY96" s="191">
        <f t="shared" si="29"/>
        <v>0</v>
      </c>
      <c r="AZ96" s="191">
        <f t="shared" si="29"/>
        <v>0</v>
      </c>
      <c r="BA96" s="191">
        <f t="shared" si="29"/>
        <v>0</v>
      </c>
      <c r="BB96" s="191">
        <f t="shared" si="29"/>
        <v>0</v>
      </c>
      <c r="BC96" s="191">
        <f t="shared" si="29"/>
        <v>0</v>
      </c>
      <c r="BD96" s="191">
        <f t="shared" si="29"/>
        <v>0</v>
      </c>
      <c r="BE96" s="191">
        <f t="shared" si="29"/>
        <v>0</v>
      </c>
      <c r="BF96" s="191">
        <f t="shared" si="29"/>
        <v>0</v>
      </c>
      <c r="BG96" s="191">
        <f t="shared" si="29"/>
        <v>0</v>
      </c>
      <c r="BH96" s="191">
        <f t="shared" si="29"/>
        <v>0</v>
      </c>
      <c r="BI96" s="175">
        <f>NPV($D$49,F96:BH96)</f>
        <v>0</v>
      </c>
      <c r="BJ96" s="121"/>
      <c r="BK96" s="121"/>
      <c r="BL96" s="121"/>
      <c r="BM96" s="121"/>
      <c r="BN96" s="121"/>
      <c r="BO96" s="121"/>
    </row>
    <row r="97" spans="2:70" s="192" customFormat="1" ht="12.75">
      <c r="B97" s="193"/>
      <c r="C97" s="202"/>
      <c r="D97" s="184" t="s">
        <v>1164</v>
      </c>
      <c r="E97" s="184" t="s">
        <v>264</v>
      </c>
      <c r="F97" s="197">
        <f>F96-F89</f>
        <v>0</v>
      </c>
      <c r="G97" s="197">
        <f t="shared" ref="G97:BH97" si="30">G96-G89</f>
        <v>10923.159711790979</v>
      </c>
      <c r="H97" s="197">
        <f t="shared" si="30"/>
        <v>12192.304435169159</v>
      </c>
      <c r="I97" s="197">
        <f t="shared" si="30"/>
        <v>12638.643338526193</v>
      </c>
      <c r="J97" s="197">
        <f t="shared" si="30"/>
        <v>12671.288579195545</v>
      </c>
      <c r="K97" s="197">
        <f t="shared" si="30"/>
        <v>12823.357314615812</v>
      </c>
      <c r="L97" s="197">
        <f t="shared" si="30"/>
        <v>12976.21927864704</v>
      </c>
      <c r="M97" s="197">
        <f t="shared" si="30"/>
        <v>13183.353822703357</v>
      </c>
      <c r="N97" s="197">
        <f t="shared" si="30"/>
        <v>13405.390196005354</v>
      </c>
      <c r="O97" s="197">
        <f t="shared" si="30"/>
        <v>13635.358011204953</v>
      </c>
      <c r="P97" s="197">
        <f t="shared" si="30"/>
        <v>13870.202129913809</v>
      </c>
      <c r="Q97" s="197">
        <f t="shared" si="30"/>
        <v>14106.148161452791</v>
      </c>
      <c r="R97" s="197">
        <f t="shared" si="30"/>
        <v>14357.504354737272</v>
      </c>
      <c r="S97" s="197">
        <f t="shared" si="30"/>
        <v>14615.008438608111</v>
      </c>
      <c r="T97" s="197">
        <f t="shared" si="30"/>
        <v>14878.813577054807</v>
      </c>
      <c r="U97" s="197">
        <f t="shared" si="30"/>
        <v>15149.07590540907</v>
      </c>
      <c r="V97" s="197">
        <f t="shared" si="30"/>
        <v>15425.954925228971</v>
      </c>
      <c r="W97" s="197">
        <f t="shared" si="30"/>
        <v>15709.615854315838</v>
      </c>
      <c r="X97" s="197">
        <f t="shared" si="30"/>
        <v>16000.226366528743</v>
      </c>
      <c r="Y97" s="197">
        <f t="shared" si="30"/>
        <v>16297.553796238753</v>
      </c>
      <c r="Z97" s="197">
        <f t="shared" si="30"/>
        <v>16589.791152900274</v>
      </c>
      <c r="AA97" s="197">
        <f t="shared" si="30"/>
        <v>16897.24941164647</v>
      </c>
      <c r="AB97" s="197">
        <f t="shared" si="30"/>
        <v>0</v>
      </c>
      <c r="AC97" s="197">
        <f t="shared" si="30"/>
        <v>0</v>
      </c>
      <c r="AD97" s="197">
        <f t="shared" si="30"/>
        <v>0</v>
      </c>
      <c r="AE97" s="197">
        <f t="shared" si="30"/>
        <v>0</v>
      </c>
      <c r="AF97" s="197">
        <f t="shared" si="30"/>
        <v>0</v>
      </c>
      <c r="AG97" s="197">
        <f t="shared" si="30"/>
        <v>0</v>
      </c>
      <c r="AH97" s="197">
        <f t="shared" si="30"/>
        <v>0</v>
      </c>
      <c r="AI97" s="197">
        <f t="shared" si="30"/>
        <v>0</v>
      </c>
      <c r="AJ97" s="197">
        <f t="shared" si="30"/>
        <v>0</v>
      </c>
      <c r="AK97" s="197">
        <f t="shared" si="30"/>
        <v>0</v>
      </c>
      <c r="AL97" s="197">
        <f t="shared" si="30"/>
        <v>0</v>
      </c>
      <c r="AM97" s="197">
        <f t="shared" si="30"/>
        <v>0</v>
      </c>
      <c r="AN97" s="197">
        <f t="shared" si="30"/>
        <v>0</v>
      </c>
      <c r="AO97" s="197">
        <f t="shared" si="30"/>
        <v>0</v>
      </c>
      <c r="AP97" s="197">
        <f t="shared" si="30"/>
        <v>0</v>
      </c>
      <c r="AQ97" s="197">
        <f t="shared" si="30"/>
        <v>0</v>
      </c>
      <c r="AR97" s="197">
        <f t="shared" si="30"/>
        <v>0</v>
      </c>
      <c r="AS97" s="197">
        <f t="shared" si="30"/>
        <v>0</v>
      </c>
      <c r="AT97" s="197">
        <f t="shared" si="30"/>
        <v>0</v>
      </c>
      <c r="AU97" s="197">
        <f t="shared" si="30"/>
        <v>0</v>
      </c>
      <c r="AV97" s="197">
        <f t="shared" si="30"/>
        <v>0</v>
      </c>
      <c r="AW97" s="197">
        <f t="shared" si="30"/>
        <v>0</v>
      </c>
      <c r="AX97" s="197">
        <f t="shared" si="30"/>
        <v>0</v>
      </c>
      <c r="AY97" s="197">
        <f t="shared" si="30"/>
        <v>0</v>
      </c>
      <c r="AZ97" s="197">
        <f t="shared" si="30"/>
        <v>0</v>
      </c>
      <c r="BA97" s="197">
        <f t="shared" si="30"/>
        <v>0</v>
      </c>
      <c r="BB97" s="197">
        <f t="shared" si="30"/>
        <v>0</v>
      </c>
      <c r="BC97" s="197">
        <f t="shared" si="30"/>
        <v>0</v>
      </c>
      <c r="BD97" s="197">
        <f t="shared" si="30"/>
        <v>0</v>
      </c>
      <c r="BE97" s="197">
        <f t="shared" si="30"/>
        <v>0</v>
      </c>
      <c r="BF97" s="197">
        <f t="shared" si="30"/>
        <v>0</v>
      </c>
      <c r="BG97" s="197">
        <f t="shared" si="30"/>
        <v>0</v>
      </c>
      <c r="BH97" s="197">
        <f t="shared" si="30"/>
        <v>0</v>
      </c>
      <c r="BI97" s="175">
        <f>NPV($D$49,F97:BH97)</f>
        <v>208519.61750173089</v>
      </c>
      <c r="BJ97" s="180"/>
      <c r="BK97" s="180"/>
      <c r="BL97" s="180"/>
      <c r="BM97" s="180"/>
      <c r="BN97" s="180"/>
      <c r="BO97" s="180"/>
    </row>
    <row r="98" spans="2:70" ht="12.75">
      <c r="C98" s="186"/>
      <c r="D98" s="121"/>
      <c r="E98" s="121"/>
      <c r="F98" s="195"/>
      <c r="G98" s="195"/>
      <c r="H98" s="195"/>
      <c r="I98" s="195"/>
      <c r="J98" s="195"/>
      <c r="K98" s="195"/>
      <c r="L98" s="195"/>
      <c r="M98" s="195"/>
      <c r="N98" s="195"/>
      <c r="O98" s="195"/>
      <c r="P98" s="195"/>
      <c r="Q98" s="195"/>
      <c r="R98" s="195"/>
      <c r="S98" s="195"/>
      <c r="T98" s="195"/>
      <c r="U98" s="195"/>
      <c r="V98" s="195"/>
      <c r="W98" s="195"/>
      <c r="X98" s="195"/>
      <c r="Y98" s="195"/>
      <c r="Z98" s="195"/>
      <c r="AA98" s="195"/>
      <c r="AB98" s="195"/>
      <c r="AC98" s="195"/>
      <c r="AD98" s="195"/>
      <c r="AE98" s="195"/>
      <c r="AF98" s="195"/>
      <c r="AG98" s="195"/>
      <c r="AH98" s="195"/>
      <c r="AI98" s="195"/>
      <c r="AJ98" s="195"/>
      <c r="AK98" s="195"/>
      <c r="AL98" s="195"/>
      <c r="AM98" s="195"/>
      <c r="AN98" s="195"/>
      <c r="AO98" s="195"/>
      <c r="AP98" s="195"/>
      <c r="AQ98" s="195"/>
      <c r="AR98" s="195"/>
      <c r="AS98" s="195"/>
      <c r="AT98" s="195"/>
      <c r="AU98" s="195"/>
      <c r="AV98" s="195"/>
      <c r="AW98" s="195"/>
      <c r="AX98" s="195"/>
      <c r="AY98" s="195"/>
      <c r="AZ98" s="195"/>
      <c r="BA98" s="195"/>
      <c r="BB98" s="195"/>
      <c r="BC98" s="195"/>
      <c r="BD98" s="195"/>
      <c r="BE98" s="195"/>
      <c r="BF98" s="195"/>
      <c r="BG98" s="195"/>
      <c r="BH98" s="195"/>
      <c r="BI98" s="195"/>
      <c r="BJ98" s="195"/>
      <c r="BK98" s="195"/>
      <c r="BL98" s="195"/>
      <c r="BM98" s="195"/>
      <c r="BN98" s="195"/>
      <c r="BO98" s="175"/>
      <c r="BP98" s="121"/>
      <c r="BQ98" s="121"/>
      <c r="BR98" s="121"/>
    </row>
    <row r="99" spans="2:70" ht="12.75">
      <c r="C99" s="186"/>
      <c r="D99" s="136"/>
      <c r="E99" s="136"/>
      <c r="F99" s="136"/>
      <c r="G99" s="136"/>
      <c r="H99" s="136"/>
      <c r="I99" s="136"/>
      <c r="J99" s="136"/>
      <c r="K99" s="136"/>
      <c r="L99" s="136"/>
      <c r="M99" s="136"/>
      <c r="N99" s="136"/>
      <c r="O99" s="136"/>
      <c r="P99" s="136"/>
      <c r="Q99" s="136"/>
      <c r="R99" s="136"/>
      <c r="BO99" s="136"/>
      <c r="BP99" s="121"/>
      <c r="BQ99" s="121"/>
      <c r="BR99" s="121"/>
    </row>
    <row r="100" spans="2: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2: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2: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2.7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ht="14.25">
      <c r="F106" s="136"/>
      <c r="K106" s="136"/>
      <c r="L106" s="136"/>
      <c r="M106" s="136"/>
      <c r="N106" s="136"/>
      <c r="O106" s="136"/>
      <c r="P106" s="136"/>
      <c r="Q106" s="136"/>
      <c r="R106" s="136"/>
      <c r="BO106" s="136"/>
      <c r="BP106" s="121"/>
      <c r="BQ106" s="121"/>
      <c r="BR106" s="121"/>
    </row>
    <row r="107" spans="2:70" ht="14.25">
      <c r="F107" s="136"/>
      <c r="K107" s="136"/>
      <c r="L107" s="136"/>
      <c r="M107" s="136"/>
      <c r="N107" s="136"/>
      <c r="O107" s="136"/>
      <c r="P107" s="136"/>
      <c r="Q107" s="136"/>
      <c r="R107" s="136"/>
      <c r="BO107" s="136"/>
      <c r="BP107" s="121"/>
      <c r="BQ107" s="121"/>
      <c r="BR107" s="121"/>
    </row>
    <row r="108" spans="2:70" ht="14.25">
      <c r="F108" s="136"/>
      <c r="K108" s="136"/>
      <c r="L108" s="136"/>
      <c r="M108" s="136"/>
      <c r="N108" s="136"/>
      <c r="O108" s="136"/>
      <c r="P108" s="136"/>
      <c r="Q108" s="136"/>
      <c r="R108" s="136"/>
      <c r="BO108" s="136"/>
      <c r="BP108" s="121"/>
      <c r="BQ108" s="121"/>
      <c r="BR108" s="121"/>
    </row>
    <row r="109" spans="2:70" ht="14.25">
      <c r="F109" s="136"/>
      <c r="K109" s="136"/>
      <c r="L109" s="136"/>
      <c r="M109" s="136"/>
      <c r="N109" s="136"/>
      <c r="O109" s="136"/>
      <c r="P109" s="136"/>
      <c r="Q109" s="136"/>
      <c r="R109" s="136"/>
      <c r="BO109" s="136"/>
      <c r="BP109" s="121"/>
      <c r="BQ109" s="121"/>
      <c r="BR109" s="121"/>
    </row>
    <row r="110" spans="2:70" ht="14.25">
      <c r="F110" s="136"/>
      <c r="K110" s="136"/>
      <c r="L110" s="136"/>
      <c r="M110" s="136"/>
      <c r="N110" s="136"/>
      <c r="O110" s="136"/>
      <c r="P110" s="136"/>
      <c r="Q110" s="136"/>
      <c r="R110" s="136"/>
      <c r="BO110" s="136"/>
      <c r="BP110" s="121"/>
      <c r="BQ110" s="121"/>
      <c r="BR110" s="121"/>
    </row>
    <row r="111" spans="2:70" ht="14.25">
      <c r="F111" s="136"/>
      <c r="K111" s="136"/>
      <c r="L111" s="136"/>
      <c r="M111" s="136"/>
      <c r="N111" s="136"/>
      <c r="O111" s="136"/>
      <c r="P111" s="136"/>
      <c r="Q111" s="136"/>
      <c r="R111" s="136"/>
      <c r="BO111" s="136"/>
      <c r="BP111" s="121"/>
      <c r="BQ111" s="121"/>
      <c r="BR111" s="121"/>
    </row>
    <row r="112" spans="2:70" ht="14.25">
      <c r="F112" s="136"/>
      <c r="K112" s="136"/>
      <c r="L112" s="136"/>
      <c r="M112" s="136"/>
      <c r="N112" s="136"/>
      <c r="O112" s="136"/>
      <c r="P112" s="136"/>
      <c r="Q112" s="136"/>
      <c r="R112" s="136"/>
      <c r="BO112" s="136"/>
      <c r="BP112" s="121"/>
      <c r="BQ112" s="121"/>
      <c r="BR112" s="121"/>
    </row>
    <row r="113" spans="3:70" ht="14.25">
      <c r="F113" s="136"/>
      <c r="K113" s="136"/>
      <c r="L113" s="136"/>
      <c r="M113" s="136"/>
      <c r="N113" s="136"/>
      <c r="O113" s="136"/>
      <c r="P113" s="136"/>
      <c r="Q113" s="136"/>
      <c r="R113" s="136"/>
      <c r="BO113" s="136"/>
      <c r="BP113" s="121"/>
      <c r="BQ113" s="121"/>
      <c r="BR113" s="121"/>
    </row>
    <row r="114" spans="3:70" ht="12.75">
      <c r="C114" s="186"/>
      <c r="D114" s="136"/>
      <c r="E114" s="136"/>
      <c r="F114" s="136"/>
      <c r="H114" s="136"/>
      <c r="K114" s="136"/>
      <c r="L114" s="136"/>
      <c r="M114" s="136"/>
      <c r="N114" s="136"/>
      <c r="O114" s="136"/>
      <c r="P114" s="136"/>
      <c r="Q114" s="136"/>
      <c r="R114" s="136"/>
      <c r="BO114" s="136"/>
      <c r="BP114" s="121"/>
      <c r="BQ114" s="121"/>
      <c r="BR114" s="121"/>
    </row>
    <row r="115" spans="3:70" ht="12.75">
      <c r="C115" s="186"/>
      <c r="D115" s="136"/>
      <c r="E115" s="136"/>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ht="14.25">
      <c r="F119" s="136"/>
      <c r="K119" s="136"/>
      <c r="L119" s="136"/>
      <c r="M119" s="136"/>
      <c r="N119" s="136"/>
      <c r="O119" s="136"/>
      <c r="P119" s="136"/>
      <c r="Q119" s="136"/>
      <c r="R119" s="136"/>
      <c r="BO119" s="136"/>
      <c r="BP119" s="121"/>
      <c r="BQ119" s="121"/>
      <c r="BR119" s="121"/>
    </row>
    <row r="120" spans="3:70">
      <c r="F120" s="136"/>
      <c r="K120" s="136"/>
      <c r="L120" s="136"/>
      <c r="M120" s="136"/>
      <c r="N120" s="136"/>
      <c r="O120" s="136"/>
      <c r="P120" s="136"/>
      <c r="Q120" s="136"/>
      <c r="R120" s="136"/>
      <c r="BP120" s="121"/>
      <c r="BQ120" s="121"/>
      <c r="BR120" s="121"/>
    </row>
  </sheetData>
  <mergeCells count="12">
    <mergeCell ref="A1:Q1"/>
    <mergeCell ref="C65:E65"/>
    <mergeCell ref="C72:E72"/>
    <mergeCell ref="C84:E84"/>
    <mergeCell ref="C91:E91"/>
    <mergeCell ref="B2:E2"/>
    <mergeCell ref="H2:R2"/>
    <mergeCell ref="M4:N4"/>
    <mergeCell ref="M15:N15"/>
    <mergeCell ref="H27:I27"/>
    <mergeCell ref="H34:K34"/>
    <mergeCell ref="J15:K15"/>
  </mergeCells>
  <dataValidations count="4">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D6">
      <formula1>#REF!</formula1>
    </dataValidation>
    <dataValidation type="list" allowBlank="1" showInputMessage="1" showErrorMessage="1" sqref="K16">
      <formula1>Yes_No</formula1>
    </dataValidation>
  </dataValidations>
  <pageMargins left="0.7" right="0.7" top="0.75" bottom="0.75" header="0.3" footer="0.3"/>
  <pageSetup paperSize="5" scale="38"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Z409"/>
  <sheetViews>
    <sheetView workbookViewId="0">
      <selection activeCell="L3" sqref="L3"/>
    </sheetView>
  </sheetViews>
  <sheetFormatPr defaultColWidth="8.85546875" defaultRowHeight="12.75"/>
  <cols>
    <col min="1" max="1" width="12.42578125" style="90" customWidth="1"/>
    <col min="2" max="2" width="9.85546875" style="1622" customWidth="1"/>
    <col min="3" max="3" width="9.28515625" style="1606" customWidth="1"/>
    <col min="4" max="6" width="9" style="1606" customWidth="1"/>
    <col min="7" max="7" width="9.28515625" style="1606" customWidth="1"/>
    <col min="8" max="8" width="11.85546875" style="1606" customWidth="1"/>
    <col min="9" max="11" width="10.7109375" style="1622" customWidth="1"/>
    <col min="12" max="12" width="40.42578125" style="1622" bestFit="1" customWidth="1"/>
    <col min="13" max="13" width="13" style="1638" customWidth="1"/>
    <col min="14" max="14" width="114.5703125" style="1590" bestFit="1" customWidth="1"/>
    <col min="15" max="15" width="56.28515625" style="1590" bestFit="1" customWidth="1"/>
    <col min="16" max="17" width="8.85546875" style="90"/>
    <col min="18" max="18" width="8.85546875" style="90" customWidth="1"/>
    <col min="19" max="16384" width="8.85546875" style="90"/>
  </cols>
  <sheetData>
    <row r="1" spans="1:26" ht="15.75">
      <c r="C1" s="1611" t="s">
        <v>1645</v>
      </c>
      <c r="S1" s="90" t="s">
        <v>375</v>
      </c>
      <c r="T1" s="90" t="s">
        <v>2136</v>
      </c>
      <c r="U1" s="90" t="s">
        <v>2135</v>
      </c>
      <c r="V1" s="90" t="s">
        <v>2137</v>
      </c>
      <c r="W1" s="90" t="s">
        <v>2138</v>
      </c>
      <c r="X1" s="90" t="s">
        <v>2139</v>
      </c>
      <c r="Y1" s="90" t="s">
        <v>2140</v>
      </c>
      <c r="Z1" s="90" t="s">
        <v>2141</v>
      </c>
    </row>
    <row r="2" spans="1:26" s="1617" customFormat="1" ht="62.1" customHeight="1">
      <c r="A2" s="1612" t="s">
        <v>1502</v>
      </c>
      <c r="B2" s="1613" t="s">
        <v>1646</v>
      </c>
      <c r="C2" s="1615" t="s">
        <v>1647</v>
      </c>
      <c r="D2" s="1615" t="s">
        <v>1648</v>
      </c>
      <c r="E2" s="1615" t="s">
        <v>1649</v>
      </c>
      <c r="F2" s="1615" t="s">
        <v>1650</v>
      </c>
      <c r="G2" s="1615" t="s">
        <v>1651</v>
      </c>
      <c r="H2" s="1615" t="s">
        <v>1652</v>
      </c>
      <c r="I2" s="1613" t="s">
        <v>1207</v>
      </c>
      <c r="J2" s="1249" t="s">
        <v>1976</v>
      </c>
      <c r="K2" s="1249" t="s">
        <v>1977</v>
      </c>
      <c r="L2" s="1613" t="s">
        <v>2245</v>
      </c>
      <c r="M2" s="1640" t="s">
        <v>1896</v>
      </c>
      <c r="N2" s="1616" t="s">
        <v>438</v>
      </c>
      <c r="O2" s="1623" t="s">
        <v>1510</v>
      </c>
      <c r="P2" s="1617" t="s">
        <v>1653</v>
      </c>
      <c r="S2" s="1617" t="s">
        <v>969</v>
      </c>
      <c r="T2" s="1617" t="s">
        <v>597</v>
      </c>
    </row>
    <row r="3" spans="1:26" ht="15.95" customHeight="1">
      <c r="A3" s="90" t="s">
        <v>969</v>
      </c>
      <c r="B3" s="1622" t="s">
        <v>1529</v>
      </c>
      <c r="C3" s="1606" t="s">
        <v>1532</v>
      </c>
      <c r="D3" s="1606" t="s">
        <v>1532</v>
      </c>
      <c r="E3" s="1606" t="s">
        <v>1516</v>
      </c>
      <c r="F3" s="1606" t="s">
        <v>1516</v>
      </c>
      <c r="I3" s="1622" t="s">
        <v>1526</v>
      </c>
      <c r="J3" s="1622" t="str">
        <f>VLOOKUP($A3,'Diesel Data'!$A$2:$K$196,10,FALSE)</f>
        <v>N/A</v>
      </c>
      <c r="K3" s="1622" t="str">
        <f>VLOOKUP($A3,'Diesel Data'!$A$2:$K$196,11,FALSE)</f>
        <v>N/A</v>
      </c>
      <c r="L3" s="1622" t="str">
        <f>CONCATENATE(VLOOKUP(A3,$S$2:$Z$379,4,FALSE),",",VLOOKUP(A3,$S$2:$Z$379,5,FALSE),",",VLOOKUP(A3,$S$2:$Z$379,6,FALSE),",",VLOOKUP(A3,$S$2:$Z$379,7,FALSE),",",VLOOKUP(A3,$S$2:$Z$379,8,FALSE))</f>
        <v>,,,,</v>
      </c>
      <c r="N3" s="1590" t="s">
        <v>1654</v>
      </c>
      <c r="S3" s="90" t="s">
        <v>1384</v>
      </c>
    </row>
    <row r="4" spans="1:26" ht="15.95" customHeight="1">
      <c r="A4" s="90" t="s">
        <v>1384</v>
      </c>
      <c r="J4" s="1622" t="e">
        <f>VLOOKUP($A4,'Diesel Data'!$A$2:$K$196,10,FALSE)</f>
        <v>#N/A</v>
      </c>
      <c r="K4" s="1622" t="e">
        <f>VLOOKUP($A4,'Diesel Data'!$A$2:$K$196,11,FALSE)</f>
        <v>#N/A</v>
      </c>
      <c r="L4" s="1622" t="str">
        <f t="shared" ref="L4:L67" si="0">CONCATENATE(VLOOKUP(A4,$S$2:$Z$379,4,FALSE),",",VLOOKUP(A4,$S$2:$Z$379,5,FALSE),",",VLOOKUP(A4,$S$2:$Z$379,6,FALSE),",",VLOOKUP(A4,$S$2:$Z$379,7,FALSE),",",VLOOKUP(A4,$S$2:$Z$379,8,FALSE))</f>
        <v>,,,,</v>
      </c>
      <c r="S4" s="90" t="s">
        <v>970</v>
      </c>
      <c r="T4" s="90" t="s">
        <v>597</v>
      </c>
    </row>
    <row r="5" spans="1:26" ht="15.95" customHeight="1">
      <c r="A5" s="8" t="s">
        <v>970</v>
      </c>
      <c r="B5" s="1624" t="s">
        <v>1526</v>
      </c>
      <c r="C5" s="1604" t="s">
        <v>1532</v>
      </c>
      <c r="D5" s="1604" t="s">
        <v>1532</v>
      </c>
      <c r="E5" s="1604" t="s">
        <v>1516</v>
      </c>
      <c r="F5" s="1604" t="s">
        <v>1532</v>
      </c>
      <c r="G5" s="1604"/>
      <c r="H5" s="1604"/>
      <c r="I5" s="1624" t="s">
        <v>1529</v>
      </c>
      <c r="J5" s="1622" t="str">
        <f>VLOOKUP($A5,'Diesel Data'!$A$2:$K$196,10,FALSE)</f>
        <v>unknown</v>
      </c>
      <c r="K5" s="1622" t="str">
        <f>VLOOKUP($A5,'Diesel Data'!$A$2:$K$196,11,FALSE)</f>
        <v>unknown</v>
      </c>
      <c r="L5" s="1622" t="str">
        <f t="shared" si="0"/>
        <v>,,,,</v>
      </c>
      <c r="M5" s="1637"/>
      <c r="N5" s="230" t="s">
        <v>1655</v>
      </c>
      <c r="S5" s="90" t="s">
        <v>49</v>
      </c>
      <c r="T5" s="90" t="s">
        <v>596</v>
      </c>
      <c r="U5" s="90" t="s">
        <v>596</v>
      </c>
      <c r="V5" s="90" t="s">
        <v>2142</v>
      </c>
    </row>
    <row r="6" spans="1:26" s="98" customFormat="1" ht="15.95" customHeight="1">
      <c r="A6" s="98" t="s">
        <v>49</v>
      </c>
      <c r="B6" s="1473" t="s">
        <v>1526</v>
      </c>
      <c r="C6" s="1473" t="s">
        <v>1516</v>
      </c>
      <c r="D6" s="1473" t="s">
        <v>1516</v>
      </c>
      <c r="E6" s="1473" t="s">
        <v>1532</v>
      </c>
      <c r="F6" s="1473"/>
      <c r="G6" s="1473"/>
      <c r="H6" s="1473"/>
      <c r="I6" s="1473" t="s">
        <v>1515</v>
      </c>
      <c r="J6" s="1622" t="str">
        <f>VLOOKUP($A6,'Diesel Data'!$A$2:$K$196,10,FALSE)</f>
        <v>N/A</v>
      </c>
      <c r="K6" s="1622" t="str">
        <f>VLOOKUP($A6,'Diesel Data'!$A$2:$K$196,11,FALSE)</f>
        <v>N/A</v>
      </c>
      <c r="L6" s="1622" t="str">
        <f t="shared" si="0"/>
        <v>Water Plant,,,,</v>
      </c>
      <c r="M6" s="1638"/>
      <c r="N6" s="1618"/>
      <c r="O6" s="1618"/>
      <c r="S6" s="98" t="s">
        <v>51</v>
      </c>
      <c r="T6" s="98" t="s">
        <v>596</v>
      </c>
      <c r="U6" s="98" t="s">
        <v>596</v>
      </c>
      <c r="V6" s="98" t="s">
        <v>2142</v>
      </c>
      <c r="W6" s="98" t="s">
        <v>2143</v>
      </c>
    </row>
    <row r="7" spans="1:26" s="98" customFormat="1" ht="15.95" customHeight="1">
      <c r="A7" s="98" t="s">
        <v>51</v>
      </c>
      <c r="B7" s="1473" t="s">
        <v>1526</v>
      </c>
      <c r="C7" s="1473" t="s">
        <v>1516</v>
      </c>
      <c r="D7" s="1473" t="s">
        <v>1516</v>
      </c>
      <c r="E7" s="1473" t="s">
        <v>1532</v>
      </c>
      <c r="F7" s="1473"/>
      <c r="G7" s="1473"/>
      <c r="H7" s="1473"/>
      <c r="I7" s="1473" t="s">
        <v>1515</v>
      </c>
      <c r="J7" s="1622" t="str">
        <f>VLOOKUP($A7,'Diesel Data'!$A$2:$K$196,10,FALSE)</f>
        <v>N/A</v>
      </c>
      <c r="K7" s="1622" t="str">
        <f>VLOOKUP($A7,'Diesel Data'!$A$2:$K$196,11,FALSE)</f>
        <v>N/A</v>
      </c>
      <c r="L7" s="1622" t="str">
        <f t="shared" si="0"/>
        <v>Water Plant,Community Building,,,</v>
      </c>
      <c r="M7" s="1638"/>
      <c r="N7" s="1618"/>
      <c r="O7" s="1618"/>
      <c r="S7" s="98" t="s">
        <v>53</v>
      </c>
      <c r="T7" s="98" t="s">
        <v>597</v>
      </c>
    </row>
    <row r="8" spans="1:26" ht="15.95" customHeight="1">
      <c r="A8" s="90" t="s">
        <v>53</v>
      </c>
      <c r="B8" s="1622" t="s">
        <v>1529</v>
      </c>
      <c r="C8" s="1606" t="s">
        <v>1532</v>
      </c>
      <c r="D8" s="1606" t="s">
        <v>1532</v>
      </c>
      <c r="I8" s="1622" t="s">
        <v>1526</v>
      </c>
      <c r="J8" s="1622" t="str">
        <f>VLOOKUP($A8,'Diesel Data'!$A$2:$K$196,10,FALSE)</f>
        <v>N/A</v>
      </c>
      <c r="K8" s="1622" t="str">
        <f>VLOOKUP($A8,'Diesel Data'!$A$2:$K$196,11,FALSE)</f>
        <v>N/A</v>
      </c>
      <c r="L8" s="1622" t="str">
        <f t="shared" si="0"/>
        <v>,,,,</v>
      </c>
      <c r="N8" s="1590" t="s">
        <v>1656</v>
      </c>
      <c r="S8" s="90" t="s">
        <v>70</v>
      </c>
      <c r="T8" s="90" t="s">
        <v>596</v>
      </c>
      <c r="U8" s="90" t="s">
        <v>596</v>
      </c>
      <c r="V8" s="90" t="s">
        <v>2144</v>
      </c>
      <c r="W8" s="90" t="s">
        <v>2142</v>
      </c>
    </row>
    <row r="9" spans="1:26" ht="15.95" customHeight="1">
      <c r="A9" s="90" t="s">
        <v>70</v>
      </c>
      <c r="B9" s="1622" t="s">
        <v>1526</v>
      </c>
      <c r="C9" s="1606" t="s">
        <v>1532</v>
      </c>
      <c r="D9" s="1606" t="s">
        <v>1532</v>
      </c>
      <c r="E9" s="1606" t="s">
        <v>1532</v>
      </c>
      <c r="I9" s="1622" t="s">
        <v>1515</v>
      </c>
      <c r="J9" s="1622" t="str">
        <f>VLOOKUP($A9,'Diesel Data'!$A$2:$K$196,10,FALSE)</f>
        <v>unknown</v>
      </c>
      <c r="K9" s="1622" t="str">
        <f>VLOOKUP($A9,'Diesel Data'!$A$2:$K$196,11,FALSE)</f>
        <v>unknown</v>
      </c>
      <c r="L9" s="1622" t="str">
        <f t="shared" si="0"/>
        <v>Plant Site Bldgs,Water Plant,,,</v>
      </c>
      <c r="N9" s="1590" t="s">
        <v>1657</v>
      </c>
      <c r="O9" s="1590" t="s">
        <v>1534</v>
      </c>
      <c r="S9" s="90" t="s">
        <v>971</v>
      </c>
      <c r="T9" s="90" t="s">
        <v>597</v>
      </c>
    </row>
    <row r="10" spans="1:26" ht="15.95" customHeight="1">
      <c r="A10" s="90" t="s">
        <v>971</v>
      </c>
      <c r="B10" s="1622" t="s">
        <v>1526</v>
      </c>
      <c r="C10" s="1606" t="s">
        <v>1532</v>
      </c>
      <c r="D10" s="1606" t="s">
        <v>1532</v>
      </c>
      <c r="E10" s="1606" t="s">
        <v>1532</v>
      </c>
      <c r="I10" s="1622" t="s">
        <v>1515</v>
      </c>
      <c r="J10" s="1622" t="e">
        <f>VLOOKUP($A10,'Diesel Data'!$A$2:$K$196,10,FALSE)</f>
        <v>#N/A</v>
      </c>
      <c r="K10" s="1622" t="e">
        <f>VLOOKUP($A10,'Diesel Data'!$A$2:$K$196,11,FALSE)</f>
        <v>#N/A</v>
      </c>
      <c r="L10" s="1622" t="str">
        <f t="shared" si="0"/>
        <v>,,,,</v>
      </c>
      <c r="N10" s="1590" t="s">
        <v>1658</v>
      </c>
      <c r="S10" s="90" t="s">
        <v>1377</v>
      </c>
    </row>
    <row r="11" spans="1:26" ht="15.95" customHeight="1">
      <c r="A11" s="90" t="s">
        <v>1377</v>
      </c>
      <c r="J11" s="1622" t="e">
        <f>VLOOKUP($A11,'Diesel Data'!$A$2:$K$196,10,FALSE)</f>
        <v>#N/A</v>
      </c>
      <c r="K11" s="1622" t="e">
        <f>VLOOKUP($A11,'Diesel Data'!$A$2:$K$196,11,FALSE)</f>
        <v>#N/A</v>
      </c>
      <c r="L11" s="1622" t="str">
        <f t="shared" si="0"/>
        <v>,,,,</v>
      </c>
      <c r="S11" s="90" t="s">
        <v>972</v>
      </c>
      <c r="T11" s="90" t="s">
        <v>597</v>
      </c>
    </row>
    <row r="12" spans="1:26" ht="15.95" customHeight="1">
      <c r="A12" s="90" t="s">
        <v>972</v>
      </c>
      <c r="B12" s="1622" t="s">
        <v>1526</v>
      </c>
      <c r="C12" s="1606" t="s">
        <v>1532</v>
      </c>
      <c r="D12" s="1606" t="s">
        <v>1532</v>
      </c>
      <c r="E12" s="1606" t="s">
        <v>1532</v>
      </c>
      <c r="I12" s="1622" t="s">
        <v>1515</v>
      </c>
      <c r="J12" s="1622" t="e">
        <f>VLOOKUP($A12,'Diesel Data'!$A$2:$K$196,10,FALSE)</f>
        <v>#N/A</v>
      </c>
      <c r="K12" s="1622" t="e">
        <f>VLOOKUP($A12,'Diesel Data'!$A$2:$K$196,11,FALSE)</f>
        <v>#N/A</v>
      </c>
      <c r="L12" s="1622" t="str">
        <f t="shared" si="0"/>
        <v>,,,,</v>
      </c>
      <c r="N12" s="1590" t="s">
        <v>1659</v>
      </c>
      <c r="S12" s="90" t="s">
        <v>1360</v>
      </c>
    </row>
    <row r="13" spans="1:26" ht="15.95" customHeight="1">
      <c r="A13" s="90" t="s">
        <v>1360</v>
      </c>
      <c r="J13" s="1622" t="e">
        <f>VLOOKUP($A13,'Diesel Data'!$A$2:$K$196,10,FALSE)</f>
        <v>#N/A</v>
      </c>
      <c r="K13" s="1622" t="e">
        <f>VLOOKUP($A13,'Diesel Data'!$A$2:$K$196,11,FALSE)</f>
        <v>#N/A</v>
      </c>
      <c r="L13" s="1622" t="str">
        <f t="shared" si="0"/>
        <v>,,,,</v>
      </c>
      <c r="S13" s="90" t="s">
        <v>973</v>
      </c>
      <c r="T13" s="90" t="s">
        <v>596</v>
      </c>
      <c r="U13" s="90" t="s">
        <v>596</v>
      </c>
      <c r="V13" s="90" t="s">
        <v>2145</v>
      </c>
    </row>
    <row r="14" spans="1:26" ht="15.95" customHeight="1">
      <c r="A14" s="90" t="s">
        <v>973</v>
      </c>
      <c r="B14" s="1622" t="s">
        <v>1526</v>
      </c>
      <c r="C14" s="1606" t="s">
        <v>1516</v>
      </c>
      <c r="D14" s="1606" t="s">
        <v>1516</v>
      </c>
      <c r="E14" s="1606" t="s">
        <v>1532</v>
      </c>
      <c r="I14" s="1622" t="s">
        <v>1515</v>
      </c>
      <c r="J14" s="1622" t="e">
        <f>VLOOKUP($A14,'Diesel Data'!$A$2:$K$196,10,FALSE)</f>
        <v>#N/A</v>
      </c>
      <c r="K14" s="1622" t="e">
        <f>VLOOKUP($A14,'Diesel Data'!$A$2:$K$196,11,FALSE)</f>
        <v>#N/A</v>
      </c>
      <c r="L14" s="1622" t="str">
        <f t="shared" si="0"/>
        <v>Washeteria ,,,,</v>
      </c>
      <c r="S14" s="90" t="s">
        <v>30</v>
      </c>
    </row>
    <row r="15" spans="1:26" ht="15.95" customHeight="1">
      <c r="A15" s="90" t="s">
        <v>1574</v>
      </c>
      <c r="J15" s="1622" t="e">
        <f>VLOOKUP($A15,'Diesel Data'!$A$2:$K$196,10,FALSE)</f>
        <v>#N/A</v>
      </c>
      <c r="K15" s="1622" t="e">
        <f>VLOOKUP($A15,'Diesel Data'!$A$2:$K$196,11,FALSE)</f>
        <v>#N/A</v>
      </c>
      <c r="L15" s="1622" t="e">
        <f t="shared" si="0"/>
        <v>#N/A</v>
      </c>
      <c r="S15" s="90" t="s">
        <v>206</v>
      </c>
    </row>
    <row r="16" spans="1:26" ht="15.95" customHeight="1">
      <c r="A16" s="90" t="s">
        <v>30</v>
      </c>
      <c r="J16" s="1622" t="str">
        <f>VLOOKUP($A16,'Diesel Data'!$A$2:$K$196,10,FALSE)</f>
        <v>unknown</v>
      </c>
      <c r="K16" s="1622" t="str">
        <f>VLOOKUP($A16,'Diesel Data'!$A$2:$K$196,11,FALSE)</f>
        <v>unknown</v>
      </c>
      <c r="L16" s="1622" t="str">
        <f t="shared" si="0"/>
        <v>,,,,</v>
      </c>
      <c r="S16" s="90" t="s">
        <v>974</v>
      </c>
    </row>
    <row r="17" spans="1:22" ht="15.95" customHeight="1">
      <c r="A17" s="90" t="s">
        <v>206</v>
      </c>
      <c r="J17" s="1622" t="str">
        <f>VLOOKUP($A17,'Diesel Data'!$A$2:$K$196,10,FALSE)</f>
        <v>unknown</v>
      </c>
      <c r="K17" s="1622" t="str">
        <f>VLOOKUP($A17,'Diesel Data'!$A$2:$K$196,11,FALSE)</f>
        <v>unknown</v>
      </c>
      <c r="L17" s="1622" t="str">
        <f t="shared" si="0"/>
        <v>,,,,</v>
      </c>
      <c r="S17" s="90" t="s">
        <v>292</v>
      </c>
    </row>
    <row r="18" spans="1:22" ht="15.95" customHeight="1">
      <c r="A18" s="90" t="s">
        <v>974</v>
      </c>
      <c r="J18" s="1622" t="e">
        <f>VLOOKUP($A18,'Diesel Data'!$A$2:$K$196,10,FALSE)</f>
        <v>#N/A</v>
      </c>
      <c r="K18" s="1622" t="e">
        <f>VLOOKUP($A18,'Diesel Data'!$A$2:$K$196,11,FALSE)</f>
        <v>#N/A</v>
      </c>
      <c r="L18" s="1622" t="str">
        <f t="shared" si="0"/>
        <v>,,,,</v>
      </c>
      <c r="S18" s="90" t="s">
        <v>975</v>
      </c>
    </row>
    <row r="19" spans="1:22" ht="15.95" customHeight="1">
      <c r="A19" s="90" t="s">
        <v>292</v>
      </c>
      <c r="J19" s="1622">
        <f>VLOOKUP($A19,'Diesel Data'!$A$2:$K$196,10,FALSE)</f>
        <v>0</v>
      </c>
      <c r="K19" s="1622">
        <f>VLOOKUP($A19,'Diesel Data'!$A$2:$K$196,11,FALSE)</f>
        <v>0</v>
      </c>
      <c r="L19" s="1622" t="str">
        <f t="shared" si="0"/>
        <v>,,,,</v>
      </c>
      <c r="S19" s="90" t="s">
        <v>1385</v>
      </c>
    </row>
    <row r="20" spans="1:22" ht="15.95" customHeight="1">
      <c r="A20" s="90" t="s">
        <v>975</v>
      </c>
      <c r="J20" s="1622" t="e">
        <f>VLOOKUP($A20,'Diesel Data'!$A$2:$K$196,10,FALSE)</f>
        <v>#N/A</v>
      </c>
      <c r="K20" s="1622" t="e">
        <f>VLOOKUP($A20,'Diesel Data'!$A$2:$K$196,11,FALSE)</f>
        <v>#N/A</v>
      </c>
      <c r="L20" s="1622" t="str">
        <f t="shared" si="0"/>
        <v>,,,,</v>
      </c>
      <c r="S20" s="90" t="s">
        <v>40</v>
      </c>
    </row>
    <row r="21" spans="1:22" ht="15.95" customHeight="1">
      <c r="A21" s="90" t="s">
        <v>1385</v>
      </c>
      <c r="I21" s="1622" t="s">
        <v>1515</v>
      </c>
      <c r="J21" s="1622" t="e">
        <f>VLOOKUP($A21,'Diesel Data'!$A$2:$K$196,10,FALSE)</f>
        <v>#N/A</v>
      </c>
      <c r="K21" s="1622" t="e">
        <f>VLOOKUP($A21,'Diesel Data'!$A$2:$K$196,11,FALSE)</f>
        <v>#N/A</v>
      </c>
      <c r="L21" s="1622" t="str">
        <f t="shared" si="0"/>
        <v>,,,,</v>
      </c>
      <c r="N21" s="1590" t="s">
        <v>1660</v>
      </c>
      <c r="O21" s="1590" t="s">
        <v>1517</v>
      </c>
      <c r="S21" s="90" t="s">
        <v>115</v>
      </c>
    </row>
    <row r="22" spans="1:22" ht="15.95" customHeight="1">
      <c r="A22" s="90" t="s">
        <v>40</v>
      </c>
      <c r="J22" s="1622">
        <f>VLOOKUP($A22,'Diesel Data'!$A$2:$K$196,10,FALSE)</f>
        <v>0</v>
      </c>
      <c r="K22" s="1622">
        <f>VLOOKUP($A22,'Diesel Data'!$A$2:$K$196,11,FALSE)</f>
        <v>0</v>
      </c>
      <c r="L22" s="1622" t="str">
        <f t="shared" si="0"/>
        <v>,,,,</v>
      </c>
      <c r="S22" s="90" t="s">
        <v>71</v>
      </c>
      <c r="T22" s="90" t="s">
        <v>596</v>
      </c>
      <c r="V22" s="90" t="s">
        <v>2146</v>
      </c>
    </row>
    <row r="23" spans="1:22" ht="15.95" customHeight="1">
      <c r="A23" s="90" t="s">
        <v>115</v>
      </c>
      <c r="B23" s="1622" t="s">
        <v>1529</v>
      </c>
      <c r="C23" s="1606" t="s">
        <v>1532</v>
      </c>
      <c r="D23" s="1473"/>
      <c r="E23" s="1473"/>
      <c r="F23" s="1473"/>
      <c r="G23" s="1473"/>
      <c r="H23" s="1606" t="s">
        <v>1661</v>
      </c>
      <c r="I23" s="1622" t="s">
        <v>1515</v>
      </c>
      <c r="J23" s="1622">
        <f>VLOOKUP($A23,'Diesel Data'!$A$2:$K$196,10,FALSE)</f>
        <v>0</v>
      </c>
      <c r="K23" s="1622">
        <f>VLOOKUP($A23,'Diesel Data'!$A$2:$K$196,11,FALSE)</f>
        <v>0</v>
      </c>
      <c r="L23" s="1622" t="str">
        <f t="shared" si="0"/>
        <v>,,,,</v>
      </c>
      <c r="O23" s="1590" t="s">
        <v>1537</v>
      </c>
      <c r="S23" s="90" t="s">
        <v>398</v>
      </c>
      <c r="T23" s="90" t="s">
        <v>596</v>
      </c>
      <c r="V23" s="90" t="s">
        <v>2147</v>
      </c>
    </row>
    <row r="24" spans="1:22" ht="15.95" customHeight="1">
      <c r="A24" s="90" t="s">
        <v>71</v>
      </c>
      <c r="B24" s="1622" t="s">
        <v>1515</v>
      </c>
      <c r="C24" s="1606" t="s">
        <v>1516</v>
      </c>
      <c r="D24" s="1606" t="s">
        <v>1516</v>
      </c>
      <c r="E24" s="1606" t="s">
        <v>1516</v>
      </c>
      <c r="F24" s="1606" t="s">
        <v>1516</v>
      </c>
      <c r="I24" s="1622" t="s">
        <v>1515</v>
      </c>
      <c r="J24" s="1622" t="str">
        <f>VLOOKUP($A24,'Diesel Data'!$A$2:$K$196,10,FALSE)</f>
        <v>unknown</v>
      </c>
      <c r="K24" s="1622" t="str">
        <f>VLOOKUP($A24,'Diesel Data'!$A$2:$K$196,11,FALSE)</f>
        <v>unknown</v>
      </c>
      <c r="L24" s="1622" t="str">
        <f t="shared" si="0"/>
        <v>Power House,,,,</v>
      </c>
      <c r="N24" s="1590" t="s">
        <v>1662</v>
      </c>
      <c r="S24" s="90" t="s">
        <v>24</v>
      </c>
      <c r="T24" s="90" t="s">
        <v>597</v>
      </c>
    </row>
    <row r="25" spans="1:22" ht="15.95" customHeight="1">
      <c r="A25" s="90" t="s">
        <v>398</v>
      </c>
      <c r="B25" s="1622" t="s">
        <v>1526</v>
      </c>
      <c r="C25" s="1606" t="s">
        <v>1532</v>
      </c>
      <c r="D25" s="1606" t="s">
        <v>1532</v>
      </c>
      <c r="E25" s="1606" t="s">
        <v>1516</v>
      </c>
      <c r="F25" s="1606" t="s">
        <v>1532</v>
      </c>
      <c r="I25" s="1622" t="s">
        <v>1529</v>
      </c>
      <c r="J25" s="1622" t="str">
        <f>VLOOKUP($A25,'Diesel Data'!$A$2:$K$196,10,FALSE)</f>
        <v>unknown</v>
      </c>
      <c r="K25" s="1622" t="str">
        <f>VLOOKUP($A25,'Diesel Data'!$A$2:$K$196,11,FALSE)</f>
        <v>unknown</v>
      </c>
      <c r="L25" s="1622" t="str">
        <f t="shared" si="0"/>
        <v>Airport Garage,,,,</v>
      </c>
      <c r="N25" s="1590" t="s">
        <v>1663</v>
      </c>
      <c r="S25" s="90" t="s">
        <v>117</v>
      </c>
      <c r="T25" s="90" t="s">
        <v>597</v>
      </c>
    </row>
    <row r="26" spans="1:22" ht="15.95" customHeight="1">
      <c r="A26" s="90" t="s">
        <v>24</v>
      </c>
      <c r="B26" s="1622" t="s">
        <v>1526</v>
      </c>
      <c r="C26" s="1606" t="s">
        <v>1532</v>
      </c>
      <c r="D26" s="1606" t="s">
        <v>1532</v>
      </c>
      <c r="E26" s="1606" t="s">
        <v>1532</v>
      </c>
      <c r="I26" s="1622" t="s">
        <v>1515</v>
      </c>
      <c r="J26" s="1622" t="str">
        <f>VLOOKUP($A26,'Diesel Data'!$A$2:$K$196,10,FALSE)</f>
        <v>N/A</v>
      </c>
      <c r="K26" s="1622" t="str">
        <f>VLOOKUP($A26,'Diesel Data'!$A$2:$K$196,11,FALSE)</f>
        <v>N/A</v>
      </c>
      <c r="L26" s="1622" t="str">
        <f t="shared" si="0"/>
        <v>,,,,</v>
      </c>
      <c r="N26" s="1625" t="s">
        <v>1664</v>
      </c>
      <c r="S26" s="90" t="s">
        <v>207</v>
      </c>
    </row>
    <row r="27" spans="1:22" ht="15.95" customHeight="1">
      <c r="A27" s="90" t="s">
        <v>117</v>
      </c>
      <c r="B27" s="1622" t="s">
        <v>1526</v>
      </c>
      <c r="C27" s="1606" t="s">
        <v>1532</v>
      </c>
      <c r="D27" s="1473"/>
      <c r="E27" s="1473"/>
      <c r="F27" s="1473"/>
      <c r="G27" s="1473" t="s">
        <v>1665</v>
      </c>
      <c r="I27" s="1622" t="s">
        <v>1515</v>
      </c>
      <c r="J27" s="1622" t="str">
        <f>VLOOKUP($A27,'Diesel Data'!$A$2:$K$196,10,FALSE)</f>
        <v>N/A</v>
      </c>
      <c r="K27" s="1622" t="str">
        <f>VLOOKUP($A27,'Diesel Data'!$A$2:$K$196,11,FALSE)</f>
        <v>N/A</v>
      </c>
      <c r="L27" s="1622" t="str">
        <f t="shared" si="0"/>
        <v>,,,,</v>
      </c>
      <c r="N27" s="1618" t="s">
        <v>1666</v>
      </c>
      <c r="O27" s="1590" t="s">
        <v>1540</v>
      </c>
      <c r="S27" s="90" t="s">
        <v>1486</v>
      </c>
    </row>
    <row r="28" spans="1:22" ht="15.95" customHeight="1">
      <c r="A28" s="90" t="s">
        <v>207</v>
      </c>
      <c r="J28" s="1622" t="e">
        <f>VLOOKUP($A28,'Diesel Data'!$A$2:$K$196,10,FALSE)</f>
        <v>#N/A</v>
      </c>
      <c r="K28" s="1622" t="e">
        <f>VLOOKUP($A28,'Diesel Data'!$A$2:$K$196,11,FALSE)</f>
        <v>#N/A</v>
      </c>
      <c r="L28" s="1622" t="str">
        <f t="shared" si="0"/>
        <v>,,,,</v>
      </c>
      <c r="S28" s="90" t="s">
        <v>978</v>
      </c>
    </row>
    <row r="29" spans="1:22" ht="15.95" customHeight="1">
      <c r="A29" s="90" t="s">
        <v>1486</v>
      </c>
      <c r="J29" s="1622" t="e">
        <f>VLOOKUP($A29,'Diesel Data'!$A$2:$K$196,10,FALSE)</f>
        <v>#N/A</v>
      </c>
      <c r="K29" s="1622" t="e">
        <f>VLOOKUP($A29,'Diesel Data'!$A$2:$K$196,11,FALSE)</f>
        <v>#N/A</v>
      </c>
      <c r="L29" s="1622" t="str">
        <f t="shared" si="0"/>
        <v>,,,,</v>
      </c>
      <c r="S29" s="90" t="s">
        <v>1579</v>
      </c>
    </row>
    <row r="30" spans="1:22" ht="15.95" customHeight="1">
      <c r="A30" s="90" t="s">
        <v>977</v>
      </c>
      <c r="J30" s="1622" t="e">
        <f>VLOOKUP($A30,'Diesel Data'!$A$2:$K$196,10,FALSE)</f>
        <v>#N/A</v>
      </c>
      <c r="K30" s="1622" t="e">
        <f>VLOOKUP($A30,'Diesel Data'!$A$2:$K$196,11,FALSE)</f>
        <v>#N/A</v>
      </c>
      <c r="L30" s="1622" t="e">
        <f t="shared" si="0"/>
        <v>#N/A</v>
      </c>
      <c r="S30" s="90" t="s">
        <v>119</v>
      </c>
      <c r="T30" s="90" t="s">
        <v>596</v>
      </c>
      <c r="U30" s="90" t="s">
        <v>596</v>
      </c>
      <c r="V30" s="90" t="s">
        <v>2145</v>
      </c>
    </row>
    <row r="31" spans="1:22" ht="15.95" customHeight="1">
      <c r="A31" s="90" t="s">
        <v>1387</v>
      </c>
      <c r="J31" s="1622" t="e">
        <f>VLOOKUP($A31,'Diesel Data'!$A$2:$K$196,10,FALSE)</f>
        <v>#N/A</v>
      </c>
      <c r="K31" s="1622" t="e">
        <f>VLOOKUP($A31,'Diesel Data'!$A$2:$K$196,11,FALSE)</f>
        <v>#N/A</v>
      </c>
      <c r="L31" s="1622" t="e">
        <f t="shared" si="0"/>
        <v>#N/A</v>
      </c>
      <c r="S31" s="90" t="s">
        <v>1512</v>
      </c>
    </row>
    <row r="32" spans="1:22" ht="15.95" customHeight="1">
      <c r="A32" s="90" t="s">
        <v>1578</v>
      </c>
      <c r="J32" s="1622" t="e">
        <f>VLOOKUP($A32,'Diesel Data'!$A$2:$K$196,10,FALSE)</f>
        <v>#N/A</v>
      </c>
      <c r="K32" s="1622" t="e">
        <f>VLOOKUP($A32,'Diesel Data'!$A$2:$K$196,11,FALSE)</f>
        <v>#N/A</v>
      </c>
      <c r="L32" s="1622" t="e">
        <f t="shared" si="0"/>
        <v>#N/A</v>
      </c>
      <c r="S32" s="90" t="s">
        <v>1487</v>
      </c>
    </row>
    <row r="33" spans="1:24" ht="15.95" customHeight="1">
      <c r="A33" s="90" t="s">
        <v>978</v>
      </c>
      <c r="J33" s="1622" t="e">
        <f>VLOOKUP($A33,'Diesel Data'!$A$2:$K$196,10,FALSE)</f>
        <v>#N/A</v>
      </c>
      <c r="K33" s="1622" t="e">
        <f>VLOOKUP($A33,'Diesel Data'!$A$2:$K$196,11,FALSE)</f>
        <v>#N/A</v>
      </c>
      <c r="L33" s="1622" t="str">
        <f t="shared" si="0"/>
        <v>,,,,</v>
      </c>
      <c r="S33" s="90" t="s">
        <v>26</v>
      </c>
      <c r="T33" s="90" t="s">
        <v>596</v>
      </c>
      <c r="V33" s="90" t="s">
        <v>2148</v>
      </c>
      <c r="W33" s="90" t="s">
        <v>2149</v>
      </c>
      <c r="X33" s="90" t="s">
        <v>2002</v>
      </c>
    </row>
    <row r="34" spans="1:24" ht="15.95" customHeight="1">
      <c r="A34" s="90" t="s">
        <v>1579</v>
      </c>
      <c r="J34" s="1622" t="e">
        <f>VLOOKUP($A34,'Diesel Data'!$A$2:$K$196,10,FALSE)</f>
        <v>#N/A</v>
      </c>
      <c r="K34" s="1622" t="e">
        <f>VLOOKUP($A34,'Diesel Data'!$A$2:$K$196,11,FALSE)</f>
        <v>#N/A</v>
      </c>
      <c r="L34" s="1622" t="str">
        <f t="shared" si="0"/>
        <v>,,,,</v>
      </c>
      <c r="S34" s="90" t="s">
        <v>979</v>
      </c>
    </row>
    <row r="35" spans="1:24" ht="15.95" customHeight="1">
      <c r="A35" s="90" t="s">
        <v>119</v>
      </c>
      <c r="B35" s="1622" t="s">
        <v>1526</v>
      </c>
      <c r="C35" s="1606" t="s">
        <v>1516</v>
      </c>
      <c r="D35" s="1606" t="s">
        <v>1516</v>
      </c>
      <c r="E35" s="1606" t="s">
        <v>1532</v>
      </c>
      <c r="H35" s="1606" t="s">
        <v>1665</v>
      </c>
      <c r="I35" s="1622" t="s">
        <v>1515</v>
      </c>
      <c r="J35" s="1622">
        <f>VLOOKUP($A35,'Diesel Data'!$A$2:$K$196,10,FALSE)</f>
        <v>18250</v>
      </c>
      <c r="K35" s="1622" t="str">
        <f>VLOOKUP($A35,'Diesel Data'!$A$2:$K$196,11,FALSE)</f>
        <v>none</v>
      </c>
      <c r="L35" s="1622" t="str">
        <f t="shared" si="0"/>
        <v>Washeteria ,,,,</v>
      </c>
      <c r="N35" s="1590" t="s">
        <v>1667</v>
      </c>
      <c r="S35" s="90" t="s">
        <v>1361</v>
      </c>
    </row>
    <row r="36" spans="1:24" ht="15.95" customHeight="1">
      <c r="A36" s="90" t="s">
        <v>1512</v>
      </c>
      <c r="J36" s="1622" t="e">
        <f>VLOOKUP($A36,'Diesel Data'!$A$2:$K$196,10,FALSE)</f>
        <v>#N/A</v>
      </c>
      <c r="K36" s="1622" t="e">
        <f>VLOOKUP($A36,'Diesel Data'!$A$2:$K$196,11,FALSE)</f>
        <v>#N/A</v>
      </c>
      <c r="L36" s="1622" t="str">
        <f t="shared" si="0"/>
        <v>,,,,</v>
      </c>
      <c r="S36" s="90" t="s">
        <v>980</v>
      </c>
    </row>
    <row r="37" spans="1:24" ht="15.95" customHeight="1">
      <c r="A37" s="90" t="s">
        <v>1487</v>
      </c>
      <c r="J37" s="1622" t="e">
        <f>VLOOKUP($A37,'Diesel Data'!$A$2:$K$196,10,FALSE)</f>
        <v>#N/A</v>
      </c>
      <c r="K37" s="1622" t="e">
        <f>VLOOKUP($A37,'Diesel Data'!$A$2:$K$196,11,FALSE)</f>
        <v>#N/A</v>
      </c>
      <c r="L37" s="1622" t="str">
        <f t="shared" si="0"/>
        <v>,,,,</v>
      </c>
      <c r="S37" s="90" t="s">
        <v>1519</v>
      </c>
    </row>
    <row r="38" spans="1:24" ht="15.95" customHeight="1">
      <c r="A38" s="90" t="s">
        <v>26</v>
      </c>
      <c r="B38" s="1622" t="s">
        <v>1515</v>
      </c>
      <c r="C38" s="1606" t="s">
        <v>1516</v>
      </c>
      <c r="D38" s="1606" t="s">
        <v>1516</v>
      </c>
      <c r="E38" s="1606" t="s">
        <v>1516</v>
      </c>
      <c r="I38" s="1622" t="s">
        <v>1515</v>
      </c>
      <c r="J38" s="1622" t="str">
        <f>VLOOKUP($A38,'Diesel Data'!$A$2:$K$196,10,FALSE)</f>
        <v>unknown</v>
      </c>
      <c r="K38" s="1622" t="str">
        <f>VLOOKUP($A38,'Diesel Data'!$A$2:$K$196,11,FALSE)</f>
        <v>unknown</v>
      </c>
      <c r="L38" s="1622" t="str">
        <f t="shared" si="0"/>
        <v>State Office,YKHC Hospital,UAF,,</v>
      </c>
      <c r="N38" s="1590" t="s">
        <v>1668</v>
      </c>
      <c r="O38" s="1590" t="s">
        <v>1669</v>
      </c>
      <c r="S38" s="90" t="s">
        <v>399</v>
      </c>
      <c r="T38" s="90" t="s">
        <v>597</v>
      </c>
    </row>
    <row r="39" spans="1:24" ht="15.95" customHeight="1">
      <c r="A39" s="90" t="s">
        <v>979</v>
      </c>
      <c r="B39" s="1622" t="s">
        <v>1515</v>
      </c>
      <c r="C39" s="1606" t="s">
        <v>1516</v>
      </c>
      <c r="D39" s="1606" t="s">
        <v>1516</v>
      </c>
      <c r="E39" s="1606" t="s">
        <v>1516</v>
      </c>
      <c r="F39" s="1606" t="s">
        <v>1516</v>
      </c>
      <c r="I39" s="1622" t="s">
        <v>1529</v>
      </c>
      <c r="J39" s="1622" t="str">
        <f>VLOOKUP($A39,'Diesel Data'!$A$2:$K$196,10,FALSE)</f>
        <v>N/A</v>
      </c>
      <c r="K39" s="1622" t="str">
        <f>VLOOKUP($A39,'Diesel Data'!$A$2:$K$196,11,FALSE)</f>
        <v>N/A</v>
      </c>
      <c r="L39" s="1622" t="str">
        <f t="shared" si="0"/>
        <v>,,,,</v>
      </c>
      <c r="S39" s="90" t="s">
        <v>72</v>
      </c>
    </row>
    <row r="40" spans="1:24" ht="15.95" customHeight="1">
      <c r="A40" s="90" t="s">
        <v>1361</v>
      </c>
      <c r="J40" s="1622" t="e">
        <f>VLOOKUP($A40,'Diesel Data'!$A$2:$K$196,10,FALSE)</f>
        <v>#N/A</v>
      </c>
      <c r="K40" s="1622" t="e">
        <f>VLOOKUP($A40,'Diesel Data'!$A$2:$K$196,11,FALSE)</f>
        <v>#N/A</v>
      </c>
      <c r="L40" s="1622" t="str">
        <f t="shared" si="0"/>
        <v>,,,,</v>
      </c>
      <c r="S40" s="90" t="s">
        <v>2042</v>
      </c>
    </row>
    <row r="41" spans="1:24" ht="15.95" customHeight="1">
      <c r="A41" s="90" t="s">
        <v>980</v>
      </c>
      <c r="J41" s="1622" t="e">
        <f>VLOOKUP($A41,'Diesel Data'!$A$2:$K$196,10,FALSE)</f>
        <v>#N/A</v>
      </c>
      <c r="K41" s="1622" t="e">
        <f>VLOOKUP($A41,'Diesel Data'!$A$2:$K$196,11,FALSE)</f>
        <v>#N/A</v>
      </c>
      <c r="L41" s="1622" t="str">
        <f t="shared" si="0"/>
        <v>,,,,</v>
      </c>
      <c r="S41" s="90" t="s">
        <v>41</v>
      </c>
    </row>
    <row r="42" spans="1:24" ht="15.95" customHeight="1">
      <c r="A42" s="90" t="s">
        <v>1519</v>
      </c>
      <c r="J42" s="1622" t="e">
        <f>VLOOKUP($A42,'Diesel Data'!$A$2:$K$196,10,FALSE)</f>
        <v>#N/A</v>
      </c>
      <c r="K42" s="1622" t="e">
        <f>VLOOKUP($A42,'Diesel Data'!$A$2:$K$196,11,FALSE)</f>
        <v>#N/A</v>
      </c>
      <c r="L42" s="1622" t="str">
        <f t="shared" si="0"/>
        <v>,,,,</v>
      </c>
      <c r="S42" s="90" t="s">
        <v>1580</v>
      </c>
    </row>
    <row r="43" spans="1:24" ht="15.95" customHeight="1">
      <c r="A43" s="90" t="s">
        <v>399</v>
      </c>
      <c r="B43" s="1622" t="s">
        <v>1529</v>
      </c>
      <c r="C43" s="1606" t="s">
        <v>1532</v>
      </c>
      <c r="I43" s="1622" t="s">
        <v>1526</v>
      </c>
      <c r="J43" s="1622" t="str">
        <f>VLOOKUP($A43,'Diesel Data'!$A$2:$K$196,10,FALSE)</f>
        <v>N/A</v>
      </c>
      <c r="K43" s="1622" t="str">
        <f>VLOOKUP($A43,'Diesel Data'!$A$2:$K$196,11,FALSE)</f>
        <v>N/A</v>
      </c>
      <c r="L43" s="1622" t="str">
        <f t="shared" si="0"/>
        <v>,,,,</v>
      </c>
      <c r="N43" s="1590" t="s">
        <v>1670</v>
      </c>
      <c r="S43" s="90" t="s">
        <v>1581</v>
      </c>
    </row>
    <row r="44" spans="1:24" ht="15.95" customHeight="1">
      <c r="A44" s="90" t="s">
        <v>72</v>
      </c>
      <c r="J44" s="1622" t="str">
        <f>VLOOKUP($A44,'Diesel Data'!$A$2:$K$196,10,FALSE)</f>
        <v>unknown</v>
      </c>
      <c r="K44" s="1622" t="str">
        <f>VLOOKUP($A44,'Diesel Data'!$A$2:$K$196,11,FALSE)</f>
        <v>unknown</v>
      </c>
      <c r="L44" s="1622" t="str">
        <f t="shared" si="0"/>
        <v>,,,,</v>
      </c>
      <c r="S44" s="90" t="s">
        <v>984</v>
      </c>
    </row>
    <row r="45" spans="1:24" ht="15.95" customHeight="1">
      <c r="A45" s="90" t="s">
        <v>41</v>
      </c>
      <c r="J45" s="1622" t="str">
        <f>VLOOKUP($A45,'Diesel Data'!$A$2:$K$196,10,FALSE)</f>
        <v>see notes</v>
      </c>
      <c r="K45" s="1622" t="str">
        <f>VLOOKUP($A45,'Diesel Data'!$A$2:$K$196,11,FALSE)</f>
        <v>nee notes</v>
      </c>
      <c r="L45" s="1622" t="str">
        <f t="shared" si="0"/>
        <v>,,,,</v>
      </c>
      <c r="S45" s="90" t="s">
        <v>123</v>
      </c>
      <c r="T45" s="90" t="s">
        <v>596</v>
      </c>
      <c r="V45" s="90" t="s">
        <v>2150</v>
      </c>
      <c r="W45" s="90" t="s">
        <v>2151</v>
      </c>
    </row>
    <row r="46" spans="1:24" ht="15.95" customHeight="1">
      <c r="A46" s="90" t="s">
        <v>1580</v>
      </c>
      <c r="J46" s="1622" t="e">
        <f>VLOOKUP($A46,'Diesel Data'!$A$2:$K$196,10,FALSE)</f>
        <v>#N/A</v>
      </c>
      <c r="K46" s="1622" t="e">
        <f>VLOOKUP($A46,'Diesel Data'!$A$2:$K$196,11,FALSE)</f>
        <v>#N/A</v>
      </c>
      <c r="L46" s="1622" t="str">
        <f t="shared" si="0"/>
        <v>,,,,</v>
      </c>
      <c r="S46" s="90" t="s">
        <v>985</v>
      </c>
      <c r="T46" s="90" t="s">
        <v>597</v>
      </c>
    </row>
    <row r="47" spans="1:24" ht="15.95" customHeight="1">
      <c r="A47" s="90" t="s">
        <v>1581</v>
      </c>
      <c r="J47" s="1622" t="e">
        <f>VLOOKUP($A47,'Diesel Data'!$A$2:$K$196,10,FALSE)</f>
        <v>#N/A</v>
      </c>
      <c r="K47" s="1622" t="e">
        <f>VLOOKUP($A47,'Diesel Data'!$A$2:$K$196,11,FALSE)</f>
        <v>#N/A</v>
      </c>
      <c r="L47" s="1622" t="str">
        <f t="shared" si="0"/>
        <v>,,,,</v>
      </c>
      <c r="S47" s="90" t="s">
        <v>1362</v>
      </c>
    </row>
    <row r="48" spans="1:24" ht="15.95" customHeight="1">
      <c r="A48" s="90" t="s">
        <v>983</v>
      </c>
      <c r="J48" s="1622" t="e">
        <f>VLOOKUP($A48,'Diesel Data'!$A$2:$K$196,10,FALSE)</f>
        <v>#N/A</v>
      </c>
      <c r="K48" s="1622" t="e">
        <f>VLOOKUP($A48,'Diesel Data'!$A$2:$K$196,11,FALSE)</f>
        <v>#N/A</v>
      </c>
      <c r="L48" s="1622" t="e">
        <f t="shared" si="0"/>
        <v>#N/A</v>
      </c>
      <c r="S48" s="90" t="s">
        <v>199</v>
      </c>
      <c r="T48" s="90" t="s">
        <v>596</v>
      </c>
      <c r="U48" s="90" t="s">
        <v>596</v>
      </c>
      <c r="V48" s="90" t="s">
        <v>2152</v>
      </c>
    </row>
    <row r="49" spans="1:23" ht="15.95" customHeight="1">
      <c r="A49" s="90" t="s">
        <v>984</v>
      </c>
      <c r="J49" s="1622" t="e">
        <f>VLOOKUP($A49,'Diesel Data'!$A$2:$K$196,10,FALSE)</f>
        <v>#N/A</v>
      </c>
      <c r="K49" s="1622" t="e">
        <f>VLOOKUP($A49,'Diesel Data'!$A$2:$K$196,11,FALSE)</f>
        <v>#N/A</v>
      </c>
      <c r="L49" s="1622" t="str">
        <f t="shared" si="0"/>
        <v>,,,,</v>
      </c>
      <c r="S49" s="90" t="s">
        <v>1356</v>
      </c>
      <c r="T49" s="90" t="s">
        <v>596</v>
      </c>
      <c r="V49" s="90" t="s">
        <v>2153</v>
      </c>
    </row>
    <row r="50" spans="1:23" ht="15.95" customHeight="1">
      <c r="A50" s="90" t="s">
        <v>123</v>
      </c>
      <c r="B50" s="1622" t="s">
        <v>1515</v>
      </c>
      <c r="C50" s="1606" t="s">
        <v>1516</v>
      </c>
      <c r="D50" s="1606" t="s">
        <v>1516</v>
      </c>
      <c r="E50" s="1606" t="s">
        <v>1516</v>
      </c>
      <c r="F50" s="1606" t="s">
        <v>1516</v>
      </c>
      <c r="I50" s="1622" t="s">
        <v>1526</v>
      </c>
      <c r="J50" s="1622" t="str">
        <f>VLOOKUP($A50,'Diesel Data'!$A$2:$K$196,10,FALSE)</f>
        <v>unknown</v>
      </c>
      <c r="K50" s="1622" t="str">
        <f>VLOOKUP($A50,'Diesel Data'!$A$2:$K$196,11,FALSE)</f>
        <v>unknown</v>
      </c>
      <c r="L50" s="1622" t="str">
        <f t="shared" si="0"/>
        <v>Powerhouse Office,Residence,,,</v>
      </c>
      <c r="N50" s="1590" t="s">
        <v>1671</v>
      </c>
      <c r="S50" s="90" t="s">
        <v>73</v>
      </c>
      <c r="T50" s="90" t="s">
        <v>596</v>
      </c>
      <c r="V50" s="90" t="s">
        <v>2154</v>
      </c>
      <c r="W50" s="90" t="s">
        <v>2155</v>
      </c>
    </row>
    <row r="51" spans="1:23" ht="15.95" customHeight="1">
      <c r="A51" s="90" t="s">
        <v>985</v>
      </c>
      <c r="B51" s="1622" t="s">
        <v>1526</v>
      </c>
      <c r="C51" s="1606" t="s">
        <v>1516</v>
      </c>
      <c r="D51" s="1606" t="s">
        <v>1516</v>
      </c>
      <c r="E51" s="1606" t="s">
        <v>1532</v>
      </c>
      <c r="I51" s="1622" t="s">
        <v>1526</v>
      </c>
      <c r="J51" s="1622" t="str">
        <f>VLOOKUP($A51,'Diesel Data'!$A$2:$K$196,10,FALSE)</f>
        <v>unknown</v>
      </c>
      <c r="K51" s="1622" t="str">
        <f>VLOOKUP($A51,'Diesel Data'!$A$2:$K$196,11,FALSE)</f>
        <v>unknown</v>
      </c>
      <c r="L51" s="1622" t="str">
        <f t="shared" si="0"/>
        <v>,,,,</v>
      </c>
      <c r="N51" s="1590" t="s">
        <v>1672</v>
      </c>
      <c r="S51" s="90" t="s">
        <v>988</v>
      </c>
    </row>
    <row r="52" spans="1:23" ht="15.95" customHeight="1">
      <c r="A52" s="90" t="s">
        <v>1520</v>
      </c>
      <c r="J52" s="1622" t="e">
        <f>VLOOKUP($A52,'Diesel Data'!$A$2:$K$196,10,FALSE)</f>
        <v>#N/A</v>
      </c>
      <c r="K52" s="1622" t="e">
        <f>VLOOKUP($A52,'Diesel Data'!$A$2:$K$196,11,FALSE)</f>
        <v>#N/A</v>
      </c>
      <c r="L52" s="1622" t="e">
        <f t="shared" si="0"/>
        <v>#N/A</v>
      </c>
      <c r="S52" s="90" t="s">
        <v>989</v>
      </c>
    </row>
    <row r="53" spans="1:23" ht="15.95" customHeight="1">
      <c r="A53" s="90" t="s">
        <v>1362</v>
      </c>
      <c r="J53" s="1622" t="e">
        <f>VLOOKUP($A53,'Diesel Data'!$A$2:$K$196,10,FALSE)</f>
        <v>#N/A</v>
      </c>
      <c r="K53" s="1622" t="e">
        <f>VLOOKUP($A53,'Diesel Data'!$A$2:$K$196,11,FALSE)</f>
        <v>#N/A</v>
      </c>
      <c r="L53" s="1622" t="str">
        <f t="shared" si="0"/>
        <v>,,,,</v>
      </c>
      <c r="S53" s="90" t="s">
        <v>990</v>
      </c>
      <c r="T53" s="90" t="s">
        <v>596</v>
      </c>
    </row>
    <row r="54" spans="1:23" ht="15.95" customHeight="1">
      <c r="A54" s="90" t="s">
        <v>199</v>
      </c>
      <c r="B54" s="1622" t="s">
        <v>1515</v>
      </c>
      <c r="C54" s="1606" t="s">
        <v>1516</v>
      </c>
      <c r="D54" s="1606" t="s">
        <v>1516</v>
      </c>
      <c r="E54" s="1606" t="s">
        <v>1516</v>
      </c>
      <c r="H54" s="1606" t="s">
        <v>1673</v>
      </c>
      <c r="I54" s="1622" t="s">
        <v>1529</v>
      </c>
      <c r="J54" s="1622" t="str">
        <f>VLOOKUP($A54,'Diesel Data'!$A$2:$K$196,10,FALSE)</f>
        <v>N/A</v>
      </c>
      <c r="K54" s="1622" t="str">
        <f>VLOOKUP($A54,'Diesel Data'!$A$2:$K$196,11,FALSE)</f>
        <v>N/A</v>
      </c>
      <c r="L54" s="1622" t="str">
        <f t="shared" si="0"/>
        <v>Water &amp; Sewer Lines,,,,</v>
      </c>
      <c r="N54" s="1618" t="s">
        <v>1674</v>
      </c>
      <c r="S54" s="90" t="s">
        <v>9</v>
      </c>
      <c r="T54" s="90" t="s">
        <v>596</v>
      </c>
      <c r="V54" s="90" t="s">
        <v>2156</v>
      </c>
    </row>
    <row r="55" spans="1:23" ht="15.95" customHeight="1">
      <c r="A55" s="90" t="s">
        <v>987</v>
      </c>
      <c r="B55" s="1622" t="s">
        <v>1529</v>
      </c>
      <c r="C55" s="1606" t="s">
        <v>1532</v>
      </c>
      <c r="I55" s="1622" t="s">
        <v>1526</v>
      </c>
      <c r="J55" s="1622" t="e">
        <f>VLOOKUP($A55,'Diesel Data'!$A$2:$K$196,10,FALSE)</f>
        <v>#N/A</v>
      </c>
      <c r="K55" s="1622" t="e">
        <f>VLOOKUP($A55,'Diesel Data'!$A$2:$K$196,11,FALSE)</f>
        <v>#N/A</v>
      </c>
      <c r="L55" s="1622" t="e">
        <f t="shared" si="0"/>
        <v>#N/A</v>
      </c>
      <c r="N55" s="1590" t="s">
        <v>1675</v>
      </c>
      <c r="S55" s="90" t="s">
        <v>255</v>
      </c>
      <c r="T55" s="90" t="s">
        <v>596</v>
      </c>
      <c r="V55" s="90" t="s">
        <v>2156</v>
      </c>
    </row>
    <row r="56" spans="1:23" ht="15.95" customHeight="1">
      <c r="A56" s="90" t="s">
        <v>1582</v>
      </c>
      <c r="J56" s="1622" t="e">
        <f>VLOOKUP($A56,'Diesel Data'!$A$2:$K$196,10,FALSE)</f>
        <v>#N/A</v>
      </c>
      <c r="K56" s="1622" t="e">
        <f>VLOOKUP($A56,'Diesel Data'!$A$2:$K$196,11,FALSE)</f>
        <v>#N/A</v>
      </c>
      <c r="L56" s="1622" t="e">
        <f t="shared" si="0"/>
        <v>#N/A</v>
      </c>
      <c r="S56" s="90" t="s">
        <v>991</v>
      </c>
    </row>
    <row r="57" spans="1:23" ht="15.95" customHeight="1">
      <c r="A57" s="90" t="s">
        <v>1356</v>
      </c>
      <c r="B57" s="1622" t="s">
        <v>1515</v>
      </c>
      <c r="C57" s="1606" t="s">
        <v>1516</v>
      </c>
      <c r="E57" s="1606" t="s">
        <v>1516</v>
      </c>
      <c r="F57" s="1606" t="s">
        <v>1516</v>
      </c>
      <c r="I57" s="1622" t="s">
        <v>1526</v>
      </c>
      <c r="J57" s="1622" t="str">
        <f>VLOOKUP($A57,'Diesel Data'!$A$2:$K$196,10,FALSE)</f>
        <v>unknown</v>
      </c>
      <c r="K57" s="1622" t="str">
        <f>VLOOKUP($A57,'Diesel Data'!$A$2:$K$196,11,FALSE)</f>
        <v>unknown</v>
      </c>
      <c r="L57" s="1622" t="str">
        <f t="shared" si="0"/>
        <v>Storage Shed,,,,</v>
      </c>
      <c r="S57" s="90" t="s">
        <v>1388</v>
      </c>
    </row>
    <row r="58" spans="1:23" ht="15.95" customHeight="1">
      <c r="A58" s="90" t="s">
        <v>73</v>
      </c>
      <c r="B58" s="1622" t="s">
        <v>1515</v>
      </c>
      <c r="C58" s="1606" t="s">
        <v>1516</v>
      </c>
      <c r="D58" s="1606" t="s">
        <v>1516</v>
      </c>
      <c r="E58" s="1606" t="s">
        <v>1516</v>
      </c>
      <c r="G58" s="1606" t="s">
        <v>1665</v>
      </c>
      <c r="I58" s="1622" t="s">
        <v>1515</v>
      </c>
      <c r="J58" s="1622" t="str">
        <f>VLOOKUP($A58,'Diesel Data'!$A$2:$K$196,10,FALSE)</f>
        <v>N/A</v>
      </c>
      <c r="K58" s="1622" t="str">
        <f>VLOOKUP($A58,'Diesel Data'!$A$2:$K$196,11,FALSE)</f>
        <v>N/A</v>
      </c>
      <c r="L58" s="1622" t="str">
        <f t="shared" si="0"/>
        <v>Plant,AVEC Connex,,,</v>
      </c>
      <c r="N58" s="1590" t="s">
        <v>1676</v>
      </c>
      <c r="O58" s="1590" t="s">
        <v>1534</v>
      </c>
      <c r="S58" s="90" t="s">
        <v>10</v>
      </c>
    </row>
    <row r="59" spans="1:23" ht="15.95" customHeight="1">
      <c r="A59" s="90" t="s">
        <v>988</v>
      </c>
      <c r="J59" s="1622" t="e">
        <f>VLOOKUP($A59,'Diesel Data'!$A$2:$K$196,10,FALSE)</f>
        <v>#N/A</v>
      </c>
      <c r="K59" s="1622" t="e">
        <f>VLOOKUP($A59,'Diesel Data'!$A$2:$K$196,11,FALSE)</f>
        <v>#N/A</v>
      </c>
      <c r="L59" s="1622" t="str">
        <f t="shared" si="0"/>
        <v>,,,,</v>
      </c>
      <c r="S59" s="90" t="s">
        <v>992</v>
      </c>
      <c r="T59" s="90" t="s">
        <v>596</v>
      </c>
      <c r="V59" s="90" t="s">
        <v>2157</v>
      </c>
      <c r="W59" s="90" t="s">
        <v>2158</v>
      </c>
    </row>
    <row r="60" spans="1:23" ht="15.95" customHeight="1">
      <c r="A60" s="90" t="s">
        <v>989</v>
      </c>
      <c r="J60" s="1622" t="e">
        <f>VLOOKUP($A60,'Diesel Data'!$A$2:$K$196,10,FALSE)</f>
        <v>#N/A</v>
      </c>
      <c r="K60" s="1622" t="e">
        <f>VLOOKUP($A60,'Diesel Data'!$A$2:$K$196,11,FALSE)</f>
        <v>#N/A</v>
      </c>
      <c r="L60" s="1622" t="str">
        <f t="shared" si="0"/>
        <v>,,,,</v>
      </c>
      <c r="S60" s="90" t="s">
        <v>188</v>
      </c>
      <c r="T60" s="90" t="s">
        <v>597</v>
      </c>
    </row>
    <row r="61" spans="1:23" ht="15.95" customHeight="1">
      <c r="A61" s="90" t="s">
        <v>990</v>
      </c>
      <c r="B61" s="1622" t="s">
        <v>1526</v>
      </c>
      <c r="C61" s="1606" t="s">
        <v>1516</v>
      </c>
      <c r="D61" s="1606" t="s">
        <v>1516</v>
      </c>
      <c r="E61" s="1606" t="s">
        <v>1532</v>
      </c>
      <c r="F61" s="1606" t="s">
        <v>1532</v>
      </c>
      <c r="I61" s="1622" t="s">
        <v>1526</v>
      </c>
      <c r="J61" s="1622" t="e">
        <f>VLOOKUP($A61,'Diesel Data'!$A$2:$K$196,10,FALSE)</f>
        <v>#N/A</v>
      </c>
      <c r="K61" s="1622" t="e">
        <f>VLOOKUP($A61,'Diesel Data'!$A$2:$K$196,11,FALSE)</f>
        <v>#N/A</v>
      </c>
      <c r="L61" s="1622" t="str">
        <f t="shared" si="0"/>
        <v>,,,,</v>
      </c>
      <c r="N61" s="1590" t="s">
        <v>1677</v>
      </c>
      <c r="S61" s="90" t="s">
        <v>1521</v>
      </c>
    </row>
    <row r="62" spans="1:23" ht="15.95" customHeight="1">
      <c r="A62" s="90" t="s">
        <v>9</v>
      </c>
      <c r="B62" s="1622" t="s">
        <v>1526</v>
      </c>
      <c r="C62" s="1606" t="s">
        <v>1516</v>
      </c>
      <c r="D62" s="1606" t="s">
        <v>1516</v>
      </c>
      <c r="E62" s="1606" t="s">
        <v>1532</v>
      </c>
      <c r="I62" s="1622" t="s">
        <v>1529</v>
      </c>
      <c r="J62" s="1622" t="str">
        <f>VLOOKUP($A62,'Diesel Data'!$A$2:$K$196,10,FALSE)</f>
        <v>unknown</v>
      </c>
      <c r="K62" s="1622" t="str">
        <f>VLOOKUP($A62,'Diesel Data'!$A$2:$K$196,11,FALSE)</f>
        <v>unknown</v>
      </c>
      <c r="L62" s="1622" t="str">
        <f t="shared" si="0"/>
        <v>School,,,,</v>
      </c>
      <c r="N62" s="1590" t="s">
        <v>1678</v>
      </c>
      <c r="S62" s="90" t="s">
        <v>132</v>
      </c>
      <c r="T62" s="90" t="s">
        <v>597</v>
      </c>
    </row>
    <row r="63" spans="1:23" ht="15.95" customHeight="1">
      <c r="A63" s="90" t="s">
        <v>255</v>
      </c>
      <c r="B63" s="1622" t="s">
        <v>1515</v>
      </c>
      <c r="C63" s="1606" t="s">
        <v>1516</v>
      </c>
      <c r="D63" s="1606" t="s">
        <v>1516</v>
      </c>
      <c r="E63" s="1606" t="s">
        <v>1516</v>
      </c>
      <c r="I63" s="1622" t="s">
        <v>1529</v>
      </c>
      <c r="J63" s="1622" t="str">
        <f>VLOOKUP($A63,'Diesel Data'!$A$2:$K$196,10,FALSE)</f>
        <v>unknown</v>
      </c>
      <c r="K63" s="1622" t="str">
        <f>VLOOKUP($A63,'Diesel Data'!$A$2:$K$196,11,FALSE)</f>
        <v>unknown</v>
      </c>
      <c r="L63" s="1622" t="str">
        <f t="shared" si="0"/>
        <v>School,,,,</v>
      </c>
      <c r="N63" s="1590" t="s">
        <v>1679</v>
      </c>
      <c r="S63" s="90" t="s">
        <v>995</v>
      </c>
    </row>
    <row r="64" spans="1:23" ht="15.95" customHeight="1">
      <c r="A64" s="90" t="s">
        <v>158</v>
      </c>
      <c r="J64" s="1622" t="str">
        <f>VLOOKUP($A64,'Diesel Data'!$A$2:$K$196,10,FALSE)</f>
        <v>unknown</v>
      </c>
      <c r="K64" s="1622" t="str">
        <f>VLOOKUP($A64,'Diesel Data'!$A$2:$K$196,11,FALSE)</f>
        <v>unknown</v>
      </c>
      <c r="L64" s="1622" t="e">
        <f t="shared" si="0"/>
        <v>#N/A</v>
      </c>
      <c r="S64" s="90" t="s">
        <v>996</v>
      </c>
      <c r="T64" s="90" t="s">
        <v>596</v>
      </c>
      <c r="V64" s="90" t="s">
        <v>2159</v>
      </c>
    </row>
    <row r="65" spans="1:23" ht="15.95" customHeight="1">
      <c r="A65" s="90" t="s">
        <v>991</v>
      </c>
      <c r="J65" s="1622" t="e">
        <f>VLOOKUP($A65,'Diesel Data'!$A$2:$K$196,10,FALSE)</f>
        <v>#N/A</v>
      </c>
      <c r="K65" s="1622" t="e">
        <f>VLOOKUP($A65,'Diesel Data'!$A$2:$K$196,11,FALSE)</f>
        <v>#N/A</v>
      </c>
      <c r="L65" s="1622" t="str">
        <f t="shared" si="0"/>
        <v>,,,,</v>
      </c>
      <c r="S65" s="90" t="s">
        <v>12</v>
      </c>
    </row>
    <row r="66" spans="1:23" ht="15.95" customHeight="1">
      <c r="A66" s="90" t="s">
        <v>1388</v>
      </c>
      <c r="J66" s="1622" t="e">
        <f>VLOOKUP($A66,'Diesel Data'!$A$2:$K$196,10,FALSE)</f>
        <v>#N/A</v>
      </c>
      <c r="K66" s="1622" t="e">
        <f>VLOOKUP($A66,'Diesel Data'!$A$2:$K$196,11,FALSE)</f>
        <v>#N/A</v>
      </c>
      <c r="L66" s="1622" t="str">
        <f t="shared" si="0"/>
        <v>,,,,</v>
      </c>
      <c r="S66" s="90" t="s">
        <v>1583</v>
      </c>
    </row>
    <row r="67" spans="1:23" ht="15.95" customHeight="1">
      <c r="A67" s="90" t="s">
        <v>10</v>
      </c>
      <c r="B67" s="1622" t="s">
        <v>1526</v>
      </c>
      <c r="C67" s="1606" t="s">
        <v>1532</v>
      </c>
      <c r="D67" s="1606" t="s">
        <v>1532</v>
      </c>
      <c r="E67" s="1606" t="s">
        <v>1532</v>
      </c>
      <c r="I67" s="1622" t="s">
        <v>1515</v>
      </c>
      <c r="J67" s="1622" t="str">
        <f>VLOOKUP($A67,'Diesel Data'!$A$2:$K$196,10,FALSE)</f>
        <v>N/A</v>
      </c>
      <c r="K67" s="1622" t="str">
        <f>VLOOKUP($A67,'Diesel Data'!$A$2:$K$196,11,FALSE)</f>
        <v>N/A</v>
      </c>
      <c r="L67" s="1622" t="str">
        <f t="shared" si="0"/>
        <v>,,,,</v>
      </c>
      <c r="N67" s="1590" t="s">
        <v>1680</v>
      </c>
      <c r="S67" s="90" t="s">
        <v>145</v>
      </c>
      <c r="T67" s="90" t="s">
        <v>597</v>
      </c>
    </row>
    <row r="68" spans="1:23" ht="15.95" customHeight="1">
      <c r="A68" s="90" t="s">
        <v>992</v>
      </c>
      <c r="B68" s="1622" t="s">
        <v>1526</v>
      </c>
      <c r="C68" s="1606" t="s">
        <v>1516</v>
      </c>
      <c r="D68" s="1606" t="s">
        <v>1516</v>
      </c>
      <c r="E68" s="1606" t="s">
        <v>1532</v>
      </c>
      <c r="I68" s="1622" t="s">
        <v>1515</v>
      </c>
      <c r="J68" s="1622" t="str">
        <f>VLOOKUP($A68,'Diesel Data'!$A$2:$K$196,10,FALSE)</f>
        <v>unknown</v>
      </c>
      <c r="K68" s="1622" t="str">
        <f>VLOOKUP($A68,'Diesel Data'!$A$2:$K$196,11,FALSE)</f>
        <v>unknown</v>
      </c>
      <c r="L68" s="1622" t="str">
        <f t="shared" ref="L68:L131" si="1">CONCATENATE(VLOOKUP(A68,$S$2:$Z$379,4,FALSE),",",VLOOKUP(A68,$S$2:$Z$379,5,FALSE),",",VLOOKUP(A68,$S$2:$Z$379,6,FALSE),",",VLOOKUP(A68,$S$2:$Z$379,7,FALSE),",",VLOOKUP(A68,$S$2:$Z$379,8,FALSE))</f>
        <v>Health Clinic,BTU meter in place,,,</v>
      </c>
      <c r="N68" s="1590" t="s">
        <v>1681</v>
      </c>
      <c r="S68" s="90" t="s">
        <v>998</v>
      </c>
    </row>
    <row r="69" spans="1:23" ht="15.95" customHeight="1">
      <c r="A69" s="90" t="s">
        <v>188</v>
      </c>
      <c r="C69" s="1473" t="s">
        <v>1532</v>
      </c>
      <c r="D69" s="1473" t="s">
        <v>1532</v>
      </c>
      <c r="E69" s="1473" t="s">
        <v>1516</v>
      </c>
      <c r="F69" s="1473" t="s">
        <v>1516</v>
      </c>
      <c r="G69" s="1473"/>
      <c r="H69" s="1473" t="s">
        <v>1682</v>
      </c>
      <c r="I69" s="1622" t="s">
        <v>1515</v>
      </c>
      <c r="J69" s="1622">
        <f>VLOOKUP($A69,'Diesel Data'!$A$2:$K$196,10,FALSE)</f>
        <v>0</v>
      </c>
      <c r="K69" s="1622">
        <f>VLOOKUP($A69,'Diesel Data'!$A$2:$K$196,11,FALSE)</f>
        <v>0</v>
      </c>
      <c r="L69" s="1622" t="str">
        <f t="shared" si="1"/>
        <v>,,,,</v>
      </c>
      <c r="N69" s="1618" t="s">
        <v>1683</v>
      </c>
      <c r="S69" s="90" t="s">
        <v>1584</v>
      </c>
    </row>
    <row r="70" spans="1:23" ht="15.95" customHeight="1">
      <c r="A70" s="90" t="s">
        <v>993</v>
      </c>
      <c r="J70" s="1622" t="e">
        <f>VLOOKUP($A70,'Diesel Data'!$A$2:$K$196,10,FALSE)</f>
        <v>#N/A</v>
      </c>
      <c r="K70" s="1622" t="e">
        <f>VLOOKUP($A70,'Diesel Data'!$A$2:$K$196,11,FALSE)</f>
        <v>#N/A</v>
      </c>
      <c r="L70" s="1622" t="e">
        <f t="shared" si="1"/>
        <v>#N/A</v>
      </c>
      <c r="S70" s="90" t="s">
        <v>999</v>
      </c>
    </row>
    <row r="71" spans="1:23" ht="15.95" customHeight="1">
      <c r="A71" s="90" t="s">
        <v>1521</v>
      </c>
      <c r="J71" s="1622" t="e">
        <f>VLOOKUP($A71,'Diesel Data'!$A$2:$K$196,10,FALSE)</f>
        <v>#N/A</v>
      </c>
      <c r="K71" s="1622" t="e">
        <f>VLOOKUP($A71,'Diesel Data'!$A$2:$K$196,11,FALSE)</f>
        <v>#N/A</v>
      </c>
      <c r="L71" s="1622" t="str">
        <f t="shared" si="1"/>
        <v>,,,,</v>
      </c>
      <c r="S71" s="90" t="s">
        <v>1000</v>
      </c>
    </row>
    <row r="72" spans="1:23" ht="15.95" customHeight="1">
      <c r="A72" s="90" t="s">
        <v>132</v>
      </c>
      <c r="B72" s="1622" t="s">
        <v>1529</v>
      </c>
      <c r="C72" s="1606" t="s">
        <v>1532</v>
      </c>
      <c r="D72" s="1606" t="s">
        <v>1532</v>
      </c>
      <c r="I72" s="1622" t="s">
        <v>1526</v>
      </c>
      <c r="J72" s="1622" t="str">
        <f>VLOOKUP($A72,'Diesel Data'!$A$2:$K$196,10,FALSE)</f>
        <v>N/A</v>
      </c>
      <c r="K72" s="1622" t="str">
        <f>VLOOKUP($A72,'Diesel Data'!$A$2:$K$196,11,FALSE)</f>
        <v>N/A</v>
      </c>
      <c r="L72" s="1622" t="str">
        <f t="shared" si="1"/>
        <v>,,,,</v>
      </c>
      <c r="N72" s="1590" t="s">
        <v>1684</v>
      </c>
      <c r="S72" s="90" t="s">
        <v>1389</v>
      </c>
    </row>
    <row r="73" spans="1:23" ht="15.95" customHeight="1">
      <c r="A73" s="90" t="s">
        <v>995</v>
      </c>
      <c r="J73" s="1622" t="e">
        <f>VLOOKUP($A73,'Diesel Data'!$A$2:$K$196,10,FALSE)</f>
        <v>#N/A</v>
      </c>
      <c r="K73" s="1622" t="e">
        <f>VLOOKUP($A73,'Diesel Data'!$A$2:$K$196,11,FALSE)</f>
        <v>#N/A</v>
      </c>
      <c r="L73" s="1622" t="str">
        <f t="shared" si="1"/>
        <v>,,,,</v>
      </c>
      <c r="S73" s="90" t="s">
        <v>11</v>
      </c>
      <c r="T73" s="90" t="s">
        <v>596</v>
      </c>
      <c r="V73" s="90" t="s">
        <v>2160</v>
      </c>
    </row>
    <row r="74" spans="1:23" ht="15.95" customHeight="1">
      <c r="A74" s="90" t="s">
        <v>996</v>
      </c>
      <c r="B74" s="1622" t="s">
        <v>1526</v>
      </c>
      <c r="C74" s="1606" t="s">
        <v>1532</v>
      </c>
      <c r="D74" s="1606" t="s">
        <v>1532</v>
      </c>
      <c r="E74" s="1606" t="s">
        <v>1532</v>
      </c>
      <c r="I74" s="1622" t="s">
        <v>1526</v>
      </c>
      <c r="J74" s="1622" t="e">
        <f>VLOOKUP($A74,'Diesel Data'!$A$2:$K$196,10,FALSE)</f>
        <v>#N/A</v>
      </c>
      <c r="K74" s="1622" t="e">
        <f>VLOOKUP($A74,'Diesel Data'!$A$2:$K$196,11,FALSE)</f>
        <v>#N/A</v>
      </c>
      <c r="L74" s="1622" t="str">
        <f t="shared" si="1"/>
        <v>Users Unknown,,,,</v>
      </c>
      <c r="N74" s="1590" t="s">
        <v>1677</v>
      </c>
      <c r="S74" s="90" t="s">
        <v>1390</v>
      </c>
    </row>
    <row r="75" spans="1:23" ht="15.95" customHeight="1">
      <c r="A75" s="90" t="s">
        <v>997</v>
      </c>
      <c r="J75" s="1622" t="e">
        <f>VLOOKUP($A75,'Diesel Data'!$A$2:$K$196,10,FALSE)</f>
        <v>#N/A</v>
      </c>
      <c r="K75" s="1622" t="e">
        <f>VLOOKUP($A75,'Diesel Data'!$A$2:$K$196,11,FALSE)</f>
        <v>#N/A</v>
      </c>
      <c r="L75" s="1622" t="e">
        <f t="shared" si="1"/>
        <v>#N/A</v>
      </c>
      <c r="S75" s="90" t="s">
        <v>1173</v>
      </c>
    </row>
    <row r="76" spans="1:23" ht="15.95" customHeight="1">
      <c r="A76" s="90" t="s">
        <v>12</v>
      </c>
      <c r="J76" s="1622" t="str">
        <f>VLOOKUP($A76,'Diesel Data'!$A$2:$K$196,10,FALSE)</f>
        <v>unknown</v>
      </c>
      <c r="K76" s="1622" t="str">
        <f>VLOOKUP($A76,'Diesel Data'!$A$2:$K$196,11,FALSE)</f>
        <v>unknown</v>
      </c>
      <c r="L76" s="1622" t="str">
        <f t="shared" si="1"/>
        <v>,,,,</v>
      </c>
      <c r="S76" s="90" t="s">
        <v>57</v>
      </c>
    </row>
    <row r="77" spans="1:23" ht="15.95" customHeight="1">
      <c r="A77" s="90" t="s">
        <v>1583</v>
      </c>
      <c r="J77" s="1622" t="e">
        <f>VLOOKUP($A77,'Diesel Data'!$A$2:$K$196,10,FALSE)</f>
        <v>#N/A</v>
      </c>
      <c r="K77" s="1622" t="e">
        <f>VLOOKUP($A77,'Diesel Data'!$A$2:$K$196,11,FALSE)</f>
        <v>#N/A</v>
      </c>
      <c r="L77" s="1622" t="str">
        <f t="shared" si="1"/>
        <v>,,,,</v>
      </c>
      <c r="S77" s="90" t="s">
        <v>189</v>
      </c>
      <c r="T77" s="90" t="s">
        <v>596</v>
      </c>
      <c r="U77" s="90" t="s">
        <v>596</v>
      </c>
      <c r="V77" s="90" t="s">
        <v>2115</v>
      </c>
      <c r="W77" s="90" t="s">
        <v>2161</v>
      </c>
    </row>
    <row r="78" spans="1:23" ht="15.95" customHeight="1">
      <c r="A78" s="90" t="s">
        <v>145</v>
      </c>
      <c r="B78" s="1622" t="s">
        <v>1529</v>
      </c>
      <c r="C78" s="1606" t="s">
        <v>1532</v>
      </c>
      <c r="D78" s="1606" t="s">
        <v>1532</v>
      </c>
      <c r="E78" s="1606" t="s">
        <v>1516</v>
      </c>
      <c r="F78" s="1606" t="s">
        <v>1516</v>
      </c>
      <c r="G78" s="1606" t="s">
        <v>1685</v>
      </c>
      <c r="I78" s="1622" t="s">
        <v>1529</v>
      </c>
      <c r="J78" s="1622" t="str">
        <f>VLOOKUP($A78,'Diesel Data'!$A$2:$K$196,10,FALSE)</f>
        <v>unknown</v>
      </c>
      <c r="K78" s="1622" t="str">
        <f>VLOOKUP($A78,'Diesel Data'!$A$2:$K$196,11,FALSE)</f>
        <v>unknown</v>
      </c>
      <c r="L78" s="1622" t="str">
        <f t="shared" si="1"/>
        <v>,,,,</v>
      </c>
      <c r="S78" s="90" t="s">
        <v>1363</v>
      </c>
    </row>
    <row r="79" spans="1:23" ht="15.95" customHeight="1">
      <c r="A79" s="90" t="s">
        <v>998</v>
      </c>
      <c r="J79" s="1622" t="e">
        <f>VLOOKUP($A79,'Diesel Data'!$A$2:$K$196,10,FALSE)</f>
        <v>#N/A</v>
      </c>
      <c r="K79" s="1622" t="e">
        <f>VLOOKUP($A79,'Diesel Data'!$A$2:$K$196,11,FALSE)</f>
        <v>#N/A</v>
      </c>
      <c r="L79" s="1622" t="str">
        <f t="shared" si="1"/>
        <v>,,,,</v>
      </c>
      <c r="S79" s="90" t="s">
        <v>1619</v>
      </c>
    </row>
    <row r="80" spans="1:23" ht="15.95" customHeight="1">
      <c r="A80" s="90" t="s">
        <v>1584</v>
      </c>
      <c r="J80" s="1622" t="e">
        <f>VLOOKUP($A80,'Diesel Data'!$A$2:$K$196,10,FALSE)</f>
        <v>#N/A</v>
      </c>
      <c r="K80" s="1622" t="e">
        <f>VLOOKUP($A80,'Diesel Data'!$A$2:$K$196,11,FALSE)</f>
        <v>#N/A</v>
      </c>
      <c r="L80" s="1622" t="str">
        <f t="shared" si="1"/>
        <v>,,,,</v>
      </c>
      <c r="S80" s="90" t="s">
        <v>42</v>
      </c>
    </row>
    <row r="81" spans="1:23" ht="15.95" customHeight="1">
      <c r="A81" s="90" t="s">
        <v>999</v>
      </c>
      <c r="J81" s="1622" t="e">
        <f>VLOOKUP($A81,'Diesel Data'!$A$2:$K$196,10,FALSE)</f>
        <v>#N/A</v>
      </c>
      <c r="K81" s="1622" t="e">
        <f>VLOOKUP($A81,'Diesel Data'!$A$2:$K$196,11,FALSE)</f>
        <v>#N/A</v>
      </c>
      <c r="L81" s="1622" t="str">
        <f t="shared" si="1"/>
        <v>,,,,</v>
      </c>
      <c r="S81" s="90" t="s">
        <v>1001</v>
      </c>
    </row>
    <row r="82" spans="1:23" ht="15.95" customHeight="1">
      <c r="A82" s="90" t="s">
        <v>1000</v>
      </c>
      <c r="B82" s="1622" t="s">
        <v>1526</v>
      </c>
      <c r="C82" s="1606" t="s">
        <v>1532</v>
      </c>
      <c r="D82" s="1606" t="s">
        <v>1532</v>
      </c>
      <c r="E82" s="1606" t="s">
        <v>1532</v>
      </c>
      <c r="I82" s="1622" t="s">
        <v>1515</v>
      </c>
      <c r="J82" s="1622" t="e">
        <f>VLOOKUP($A82,'Diesel Data'!$A$2:$K$196,10,FALSE)</f>
        <v>#N/A</v>
      </c>
      <c r="K82" s="1622" t="e">
        <f>VLOOKUP($A82,'Diesel Data'!$A$2:$K$196,11,FALSE)</f>
        <v>#N/A</v>
      </c>
      <c r="L82" s="1622" t="str">
        <f t="shared" si="1"/>
        <v>,,,,</v>
      </c>
      <c r="N82" s="1590" t="s">
        <v>1686</v>
      </c>
      <c r="S82" s="90" t="s">
        <v>1364</v>
      </c>
    </row>
    <row r="83" spans="1:23" ht="15.95" customHeight="1">
      <c r="A83" s="90" t="s">
        <v>1389</v>
      </c>
      <c r="J83" s="1622" t="e">
        <f>VLOOKUP($A83,'Diesel Data'!$A$2:$K$196,10,FALSE)</f>
        <v>#N/A</v>
      </c>
      <c r="K83" s="1622" t="e">
        <f>VLOOKUP($A83,'Diesel Data'!$A$2:$K$196,11,FALSE)</f>
        <v>#N/A</v>
      </c>
      <c r="L83" s="1622" t="str">
        <f t="shared" si="1"/>
        <v>,,,,</v>
      </c>
      <c r="S83" s="90" t="s">
        <v>1585</v>
      </c>
    </row>
    <row r="84" spans="1:23" ht="15.95" customHeight="1">
      <c r="A84" s="90" t="s">
        <v>11</v>
      </c>
      <c r="B84" s="1622" t="s">
        <v>1515</v>
      </c>
      <c r="C84" s="1606" t="s">
        <v>1516</v>
      </c>
      <c r="D84" s="1606" t="s">
        <v>1516</v>
      </c>
      <c r="E84" s="1606" t="s">
        <v>1516</v>
      </c>
      <c r="F84" s="1606" t="s">
        <v>1516</v>
      </c>
      <c r="I84" s="1622" t="s">
        <v>1529</v>
      </c>
      <c r="J84" s="1622" t="str">
        <f>VLOOKUP($A84,'Diesel Data'!$A$2:$K$196,10,FALSE)</f>
        <v>unknown</v>
      </c>
      <c r="K84" s="1622" t="str">
        <f>VLOOKUP($A84,'Diesel Data'!$A$2:$K$196,11,FALSE)</f>
        <v>unknown</v>
      </c>
      <c r="L84" s="1622" t="str">
        <f t="shared" si="1"/>
        <v>Organic Rankine Cycle,,,,</v>
      </c>
      <c r="N84" s="1590" t="s">
        <v>1687</v>
      </c>
      <c r="S84" s="90" t="s">
        <v>23</v>
      </c>
      <c r="T84" s="90" t="s">
        <v>596</v>
      </c>
    </row>
    <row r="85" spans="1:23" ht="15.95" customHeight="1">
      <c r="A85" s="90" t="s">
        <v>1390</v>
      </c>
      <c r="J85" s="1622" t="e">
        <f>VLOOKUP($A85,'Diesel Data'!$A$2:$K$196,10,FALSE)</f>
        <v>#N/A</v>
      </c>
      <c r="K85" s="1622" t="e">
        <f>VLOOKUP($A85,'Diesel Data'!$A$2:$K$196,11,FALSE)</f>
        <v>#N/A</v>
      </c>
      <c r="L85" s="1622" t="str">
        <f t="shared" si="1"/>
        <v>,,,,</v>
      </c>
      <c r="S85" s="90" t="s">
        <v>135</v>
      </c>
    </row>
    <row r="86" spans="1:23" ht="15.95" customHeight="1">
      <c r="A86" s="90" t="s">
        <v>1173</v>
      </c>
      <c r="J86" s="1622" t="e">
        <f>VLOOKUP($A86,'Diesel Data'!$A$2:$K$196,10,FALSE)</f>
        <v>#N/A</v>
      </c>
      <c r="K86" s="1622" t="e">
        <f>VLOOKUP($A86,'Diesel Data'!$A$2:$K$196,11,FALSE)</f>
        <v>#N/A</v>
      </c>
      <c r="L86" s="1622" t="str">
        <f t="shared" si="1"/>
        <v>,,,,</v>
      </c>
      <c r="S86" s="90" t="s">
        <v>58</v>
      </c>
    </row>
    <row r="87" spans="1:23" ht="15.95" customHeight="1">
      <c r="A87" s="90" t="s">
        <v>57</v>
      </c>
      <c r="J87" s="1622" t="str">
        <f>VLOOKUP($A87,'Diesel Data'!$A$2:$K$196,10,FALSE)</f>
        <v>unknown</v>
      </c>
      <c r="K87" s="1622" t="str">
        <f>VLOOKUP($A87,'Diesel Data'!$A$2:$K$196,11,FALSE)</f>
        <v>unknown</v>
      </c>
      <c r="L87" s="1622" t="str">
        <f t="shared" si="1"/>
        <v>,,,,</v>
      </c>
      <c r="S87" s="90" t="s">
        <v>1177</v>
      </c>
    </row>
    <row r="88" spans="1:23" ht="15.95" customHeight="1">
      <c r="A88" s="90" t="s">
        <v>189</v>
      </c>
      <c r="B88" s="1622" t="s">
        <v>1526</v>
      </c>
      <c r="C88" s="1606" t="s">
        <v>1516</v>
      </c>
      <c r="D88" s="1606" t="s">
        <v>1516</v>
      </c>
      <c r="E88" s="1606" t="s">
        <v>1532</v>
      </c>
      <c r="I88" s="1622" t="s">
        <v>1515</v>
      </c>
      <c r="J88" s="1622" t="str">
        <f>VLOOKUP($A88,'Diesel Data'!$A$2:$K$196,10,FALSE)</f>
        <v>unknown</v>
      </c>
      <c r="K88" s="1622" t="str">
        <f>VLOOKUP($A88,'Diesel Data'!$A$2:$K$196,11,FALSE)</f>
        <v>unknown</v>
      </c>
      <c r="L88" s="1622" t="str">
        <f t="shared" si="1"/>
        <v>Washeteria,Water Treatment Plant,,,</v>
      </c>
      <c r="N88" s="1590" t="s">
        <v>1688</v>
      </c>
      <c r="S88" s="90" t="s">
        <v>1003</v>
      </c>
    </row>
    <row r="89" spans="1:23" ht="15.95" customHeight="1">
      <c r="A89" s="90" t="s">
        <v>1363</v>
      </c>
      <c r="J89" s="1622" t="e">
        <f>VLOOKUP($A89,'Diesel Data'!$A$2:$K$196,10,FALSE)</f>
        <v>#N/A</v>
      </c>
      <c r="K89" s="1622" t="e">
        <f>VLOOKUP($A89,'Diesel Data'!$A$2:$K$196,11,FALSE)</f>
        <v>#N/A</v>
      </c>
      <c r="L89" s="1622" t="str">
        <f t="shared" si="1"/>
        <v>,,,,</v>
      </c>
      <c r="S89" s="90" t="s">
        <v>1004</v>
      </c>
    </row>
    <row r="90" spans="1:23" ht="15.95" customHeight="1">
      <c r="A90" s="90" t="s">
        <v>1619</v>
      </c>
      <c r="J90" s="1622" t="e">
        <f>VLOOKUP($A90,'Diesel Data'!$A$2:$K$196,10,FALSE)</f>
        <v>#N/A</v>
      </c>
      <c r="K90" s="1622" t="e">
        <f>VLOOKUP($A90,'Diesel Data'!$A$2:$K$196,11,FALSE)</f>
        <v>#N/A</v>
      </c>
      <c r="L90" s="1622" t="str">
        <f t="shared" si="1"/>
        <v>,,,,</v>
      </c>
      <c r="S90" s="90" t="s">
        <v>1006</v>
      </c>
      <c r="T90" s="90" t="s">
        <v>596</v>
      </c>
      <c r="V90" s="90" t="s">
        <v>2156</v>
      </c>
      <c r="W90" s="90" t="s">
        <v>2162</v>
      </c>
    </row>
    <row r="91" spans="1:23" ht="15.95" customHeight="1">
      <c r="A91" s="90" t="s">
        <v>1575</v>
      </c>
      <c r="J91" s="1622">
        <f>VLOOKUP($A91,'Diesel Data'!$A$2:$K$196,10,FALSE)</f>
        <v>0</v>
      </c>
      <c r="K91" s="1622">
        <f>VLOOKUP($A91,'Diesel Data'!$A$2:$K$196,11,FALSE)</f>
        <v>0</v>
      </c>
      <c r="L91" s="1622" t="e">
        <f t="shared" si="1"/>
        <v>#N/A</v>
      </c>
      <c r="S91" s="90" t="s">
        <v>2130</v>
      </c>
    </row>
    <row r="92" spans="1:23" ht="15.95" customHeight="1">
      <c r="A92" s="90" t="s">
        <v>42</v>
      </c>
      <c r="J92" s="1622" t="str">
        <f>VLOOKUP($A92,'Diesel Data'!$A$2:$K$196,10,FALSE)</f>
        <v>unknown</v>
      </c>
      <c r="K92" s="1622" t="str">
        <f>VLOOKUP($A92,'Diesel Data'!$A$2:$K$196,11,FALSE)</f>
        <v>unknown</v>
      </c>
      <c r="L92" s="1622" t="str">
        <f t="shared" si="1"/>
        <v>,,,,</v>
      </c>
      <c r="S92" s="90" t="s">
        <v>1178</v>
      </c>
    </row>
    <row r="93" spans="1:23" ht="15.95" customHeight="1">
      <c r="A93" s="90" t="s">
        <v>1001</v>
      </c>
      <c r="J93" s="1622" t="e">
        <f>VLOOKUP($A93,'Diesel Data'!$A$2:$K$196,10,FALSE)</f>
        <v>#N/A</v>
      </c>
      <c r="K93" s="1622" t="e">
        <f>VLOOKUP($A93,'Diesel Data'!$A$2:$K$196,11,FALSE)</f>
        <v>#N/A</v>
      </c>
      <c r="L93" s="1622" t="str">
        <f t="shared" si="1"/>
        <v>,,,,</v>
      </c>
      <c r="S93" s="90" t="s">
        <v>1372</v>
      </c>
    </row>
    <row r="94" spans="1:23" ht="15.95" customHeight="1">
      <c r="A94" s="90" t="s">
        <v>1364</v>
      </c>
      <c r="J94" s="1622" t="e">
        <f>VLOOKUP($A94,'Diesel Data'!$A$2:$K$196,10,FALSE)</f>
        <v>#N/A</v>
      </c>
      <c r="K94" s="1622" t="e">
        <f>VLOOKUP($A94,'Diesel Data'!$A$2:$K$196,11,FALSE)</f>
        <v>#N/A</v>
      </c>
      <c r="L94" s="1622" t="str">
        <f t="shared" si="1"/>
        <v>,,,,</v>
      </c>
      <c r="S94" s="90" t="s">
        <v>74</v>
      </c>
      <c r="T94" s="90" t="s">
        <v>596</v>
      </c>
      <c r="V94" s="90" t="s">
        <v>2155</v>
      </c>
      <c r="W94" s="90" t="s">
        <v>2163</v>
      </c>
    </row>
    <row r="95" spans="1:23" ht="15.95" customHeight="1">
      <c r="A95" s="90" t="s">
        <v>1585</v>
      </c>
      <c r="J95" s="1622" t="e">
        <f>VLOOKUP($A95,'Diesel Data'!$A$2:$K$196,10,FALSE)</f>
        <v>#N/A</v>
      </c>
      <c r="K95" s="1622" t="e">
        <f>VLOOKUP($A95,'Diesel Data'!$A$2:$K$196,11,FALSE)</f>
        <v>#N/A</v>
      </c>
      <c r="L95" s="1622" t="str">
        <f t="shared" si="1"/>
        <v>,,,,</v>
      </c>
      <c r="S95" s="90" t="s">
        <v>137</v>
      </c>
      <c r="T95" s="90" t="s">
        <v>596</v>
      </c>
      <c r="V95" s="90" t="s">
        <v>2156</v>
      </c>
      <c r="W95" s="90" t="s">
        <v>2164</v>
      </c>
    </row>
    <row r="96" spans="1:23" ht="15.95" customHeight="1">
      <c r="A96" s="90" t="s">
        <v>23</v>
      </c>
      <c r="B96" s="1622" t="s">
        <v>1515</v>
      </c>
      <c r="C96" s="1606" t="s">
        <v>1516</v>
      </c>
      <c r="D96" s="1606" t="s">
        <v>1516</v>
      </c>
      <c r="E96" s="1606" t="s">
        <v>1516</v>
      </c>
      <c r="I96" s="1622" t="s">
        <v>1529</v>
      </c>
      <c r="J96" s="1622">
        <f>VLOOKUP($A96,'Diesel Data'!$A$2:$K$196,10,FALSE)</f>
        <v>0</v>
      </c>
      <c r="K96" s="1622">
        <f>VLOOKUP($A96,'Diesel Data'!$A$2:$K$196,11,FALSE)</f>
        <v>0</v>
      </c>
      <c r="L96" s="1622" t="str">
        <f t="shared" si="1"/>
        <v>,,,,</v>
      </c>
      <c r="N96" s="1590" t="s">
        <v>1689</v>
      </c>
      <c r="S96" s="90" t="s">
        <v>1586</v>
      </c>
    </row>
    <row r="97" spans="1:23" ht="15.95" customHeight="1">
      <c r="A97" s="90" t="s">
        <v>135</v>
      </c>
      <c r="J97" s="1622" t="e">
        <f>VLOOKUP($A97,'Diesel Data'!$A$2:$K$196,10,FALSE)</f>
        <v>#N/A</v>
      </c>
      <c r="K97" s="1622" t="e">
        <f>VLOOKUP($A97,'Diesel Data'!$A$2:$K$196,11,FALSE)</f>
        <v>#N/A</v>
      </c>
      <c r="L97" s="1622" t="str">
        <f t="shared" si="1"/>
        <v>,,,,</v>
      </c>
      <c r="S97" s="90" t="s">
        <v>1587</v>
      </c>
    </row>
    <row r="98" spans="1:23" ht="15.95" customHeight="1">
      <c r="A98" s="90" t="s">
        <v>58</v>
      </c>
      <c r="B98" s="1622" t="s">
        <v>1526</v>
      </c>
      <c r="C98" s="1606" t="s">
        <v>1532</v>
      </c>
      <c r="D98" s="1606" t="s">
        <v>1532</v>
      </c>
      <c r="E98" s="1606" t="s">
        <v>1532</v>
      </c>
      <c r="I98" s="1622" t="s">
        <v>1515</v>
      </c>
      <c r="J98" s="1622" t="e">
        <f>VLOOKUP($A98,'Diesel Data'!$A$2:$K$196,10,FALSE)</f>
        <v>#N/A</v>
      </c>
      <c r="K98" s="1622" t="e">
        <f>VLOOKUP($A98,'Diesel Data'!$A$2:$K$196,11,FALSE)</f>
        <v>#N/A</v>
      </c>
      <c r="L98" s="1622" t="str">
        <f t="shared" si="1"/>
        <v>,,,,</v>
      </c>
      <c r="N98" s="1590" t="s">
        <v>1550</v>
      </c>
      <c r="S98" s="90" t="s">
        <v>1391</v>
      </c>
    </row>
    <row r="99" spans="1:23" ht="15.95" customHeight="1">
      <c r="A99" s="90" t="s">
        <v>1177</v>
      </c>
      <c r="J99" s="1622" t="e">
        <f>VLOOKUP($A99,'Diesel Data'!$A$2:$K$196,10,FALSE)</f>
        <v>#N/A</v>
      </c>
      <c r="K99" s="1622" t="e">
        <f>VLOOKUP($A99,'Diesel Data'!$A$2:$K$196,11,FALSE)</f>
        <v>#N/A</v>
      </c>
      <c r="L99" s="1622" t="str">
        <f t="shared" si="1"/>
        <v>,,,,</v>
      </c>
      <c r="S99" s="90" t="s">
        <v>139</v>
      </c>
      <c r="T99" s="90" t="s">
        <v>597</v>
      </c>
    </row>
    <row r="100" spans="1:23" ht="15.95" customHeight="1">
      <c r="A100" s="90" t="s">
        <v>1003</v>
      </c>
      <c r="J100" s="1622" t="e">
        <f>VLOOKUP($A100,'Diesel Data'!$A$2:$K$196,10,FALSE)</f>
        <v>#N/A</v>
      </c>
      <c r="K100" s="1622" t="e">
        <f>VLOOKUP($A100,'Diesel Data'!$A$2:$K$196,11,FALSE)</f>
        <v>#N/A</v>
      </c>
      <c r="L100" s="1622" t="str">
        <f t="shared" si="1"/>
        <v>,,,,</v>
      </c>
      <c r="S100" s="90" t="s">
        <v>141</v>
      </c>
    </row>
    <row r="101" spans="1:23" ht="15.95" customHeight="1">
      <c r="A101" s="90" t="s">
        <v>1004</v>
      </c>
      <c r="J101" s="1622" t="e">
        <f>VLOOKUP($A101,'Diesel Data'!$A$2:$K$196,10,FALSE)</f>
        <v>#N/A</v>
      </c>
      <c r="K101" s="1622" t="e">
        <f>VLOOKUP($A101,'Diesel Data'!$A$2:$K$196,11,FALSE)</f>
        <v>#N/A</v>
      </c>
      <c r="L101" s="1622" t="str">
        <f t="shared" si="1"/>
        <v>,,,,</v>
      </c>
      <c r="S101" s="90" t="s">
        <v>75</v>
      </c>
    </row>
    <row r="102" spans="1:23" ht="15.95" customHeight="1">
      <c r="A102" s="90" t="s">
        <v>1005</v>
      </c>
      <c r="J102" s="1622" t="e">
        <f>VLOOKUP($A102,'Diesel Data'!$A$2:$K$196,10,FALSE)</f>
        <v>#N/A</v>
      </c>
      <c r="K102" s="1622" t="e">
        <f>VLOOKUP($A102,'Diesel Data'!$A$2:$K$196,11,FALSE)</f>
        <v>#N/A</v>
      </c>
      <c r="L102" s="1622" t="e">
        <f t="shared" si="1"/>
        <v>#N/A</v>
      </c>
      <c r="S102" s="90" t="s">
        <v>76</v>
      </c>
      <c r="T102" s="90" t="s">
        <v>596</v>
      </c>
      <c r="U102" s="90" t="s">
        <v>596</v>
      </c>
      <c r="V102" s="90" t="s">
        <v>2142</v>
      </c>
      <c r="W102" s="90" t="s">
        <v>2165</v>
      </c>
    </row>
    <row r="103" spans="1:23" ht="15.95" customHeight="1">
      <c r="A103" s="90" t="s">
        <v>1006</v>
      </c>
      <c r="B103" s="1622" t="s">
        <v>1526</v>
      </c>
      <c r="C103" s="1606" t="s">
        <v>1516</v>
      </c>
      <c r="D103" s="1606" t="s">
        <v>1516</v>
      </c>
      <c r="E103" s="1606" t="s">
        <v>1532</v>
      </c>
      <c r="I103" s="1622" t="s">
        <v>1529</v>
      </c>
      <c r="J103" s="1622" t="str">
        <f>VLOOKUP($A103,'Diesel Data'!$A$2:$K$196,10,FALSE)</f>
        <v>unknown</v>
      </c>
      <c r="K103" s="1622" t="str">
        <f>VLOOKUP($A103,'Diesel Data'!$A$2:$K$196,11,FALSE)</f>
        <v>unknown</v>
      </c>
      <c r="L103" s="1622" t="str">
        <f t="shared" si="1"/>
        <v>School,Truck Shop,,,</v>
      </c>
      <c r="N103" s="1590" t="s">
        <v>1690</v>
      </c>
      <c r="S103" s="90" t="s">
        <v>1009</v>
      </c>
    </row>
    <row r="104" spans="1:23" ht="15.95" customHeight="1">
      <c r="A104" s="90" t="s">
        <v>1007</v>
      </c>
      <c r="J104" s="1622" t="e">
        <f>VLOOKUP($A104,'Diesel Data'!$A$2:$K$196,10,FALSE)</f>
        <v>#N/A</v>
      </c>
      <c r="K104" s="1622" t="e">
        <f>VLOOKUP($A104,'Diesel Data'!$A$2:$K$196,11,FALSE)</f>
        <v>#N/A</v>
      </c>
      <c r="L104" s="1622" t="e">
        <f t="shared" si="1"/>
        <v>#N/A</v>
      </c>
      <c r="S104" s="90" t="s">
        <v>1010</v>
      </c>
      <c r="T104" s="90" t="s">
        <v>597</v>
      </c>
    </row>
    <row r="105" spans="1:23" ht="15.95" customHeight="1">
      <c r="A105" s="90" t="s">
        <v>1178</v>
      </c>
      <c r="J105" s="1622" t="e">
        <f>VLOOKUP($A105,'Diesel Data'!$A$2:$K$196,10,FALSE)</f>
        <v>#N/A</v>
      </c>
      <c r="K105" s="1622" t="e">
        <f>VLOOKUP($A105,'Diesel Data'!$A$2:$K$196,11,FALSE)</f>
        <v>#N/A</v>
      </c>
      <c r="L105" s="1622" t="str">
        <f t="shared" si="1"/>
        <v>,,,,</v>
      </c>
      <c r="S105" s="90" t="s">
        <v>1373</v>
      </c>
    </row>
    <row r="106" spans="1:23" ht="15.95" customHeight="1">
      <c r="A106" s="90" t="s">
        <v>1372</v>
      </c>
      <c r="J106" s="1622" t="e">
        <f>VLOOKUP($A106,'Diesel Data'!$A$2:$K$196,10,FALSE)</f>
        <v>#N/A</v>
      </c>
      <c r="K106" s="1622" t="e">
        <f>VLOOKUP($A106,'Diesel Data'!$A$2:$K$196,11,FALSE)</f>
        <v>#N/A</v>
      </c>
      <c r="L106" s="1622" t="str">
        <f t="shared" si="1"/>
        <v>,,,,</v>
      </c>
      <c r="S106" s="90" t="s">
        <v>1011</v>
      </c>
    </row>
    <row r="107" spans="1:23" ht="15.95" customHeight="1">
      <c r="A107" s="90" t="s">
        <v>74</v>
      </c>
      <c r="B107" s="1622" t="s">
        <v>1515</v>
      </c>
      <c r="C107" s="1606" t="s">
        <v>1516</v>
      </c>
      <c r="D107" s="1606" t="s">
        <v>1516</v>
      </c>
      <c r="E107" s="1606" t="s">
        <v>1516</v>
      </c>
      <c r="H107" s="1606" t="s">
        <v>1673</v>
      </c>
      <c r="I107" s="1622" t="s">
        <v>1515</v>
      </c>
      <c r="J107" s="1622" t="str">
        <f>VLOOKUP($A107,'Diesel Data'!$A$2:$K$196,10,FALSE)</f>
        <v>N/A</v>
      </c>
      <c r="K107" s="1622" t="str">
        <f>VLOOKUP($A107,'Diesel Data'!$A$2:$K$196,11,FALSE)</f>
        <v>N/A</v>
      </c>
      <c r="L107" s="1622" t="str">
        <f t="shared" si="1"/>
        <v>AVEC Connex,Power Plant,,,</v>
      </c>
      <c r="N107" s="1590" t="s">
        <v>1691</v>
      </c>
      <c r="S107" s="90" t="s">
        <v>293</v>
      </c>
    </row>
    <row r="108" spans="1:23" ht="15.95" customHeight="1">
      <c r="A108" s="90" t="s">
        <v>137</v>
      </c>
      <c r="B108" s="1622" t="s">
        <v>1526</v>
      </c>
      <c r="C108" s="1606" t="s">
        <v>1516</v>
      </c>
      <c r="D108" s="1606" t="s">
        <v>1516</v>
      </c>
      <c r="E108" s="1606" t="s">
        <v>1532</v>
      </c>
      <c r="H108" s="1606" t="s">
        <v>1665</v>
      </c>
      <c r="I108" s="1622" t="s">
        <v>1515</v>
      </c>
      <c r="J108" s="1622" t="str">
        <f>VLOOKUP($A108,'Diesel Data'!$A$2:$K$196,10,FALSE)</f>
        <v>N/A</v>
      </c>
      <c r="K108" s="1622" t="str">
        <f>VLOOKUP($A108,'Diesel Data'!$A$2:$K$196,11,FALSE)</f>
        <v>N/A</v>
      </c>
      <c r="L108" s="1622" t="str">
        <f t="shared" si="1"/>
        <v>School,Community Center,,,</v>
      </c>
      <c r="N108" s="1590" t="s">
        <v>1692</v>
      </c>
      <c r="S108" s="90" t="s">
        <v>143</v>
      </c>
      <c r="T108" s="90" t="s">
        <v>596</v>
      </c>
      <c r="V108" s="90" t="s">
        <v>2166</v>
      </c>
    </row>
    <row r="109" spans="1:23" ht="15.95" customHeight="1">
      <c r="A109" s="90" t="s">
        <v>1586</v>
      </c>
      <c r="J109" s="1622" t="e">
        <f>VLOOKUP($A109,'Diesel Data'!$A$2:$K$196,10,FALSE)</f>
        <v>#N/A</v>
      </c>
      <c r="K109" s="1622" t="e">
        <f>VLOOKUP($A109,'Diesel Data'!$A$2:$K$196,11,FALSE)</f>
        <v>#N/A</v>
      </c>
      <c r="L109" s="1622" t="str">
        <f t="shared" si="1"/>
        <v>,,,,</v>
      </c>
      <c r="S109" s="90" t="s">
        <v>1588</v>
      </c>
    </row>
    <row r="110" spans="1:23" ht="15.95" customHeight="1">
      <c r="A110" s="90" t="s">
        <v>1587</v>
      </c>
      <c r="J110" s="1622" t="e">
        <f>VLOOKUP($A110,'Diesel Data'!$A$2:$K$196,10,FALSE)</f>
        <v>#N/A</v>
      </c>
      <c r="K110" s="1622" t="e">
        <f>VLOOKUP($A110,'Diesel Data'!$A$2:$K$196,11,FALSE)</f>
        <v>#N/A</v>
      </c>
      <c r="L110" s="1622" t="str">
        <f t="shared" si="1"/>
        <v>,,,,</v>
      </c>
      <c r="S110" s="90" t="s">
        <v>1392</v>
      </c>
    </row>
    <row r="111" spans="1:23" ht="15.95" customHeight="1">
      <c r="A111" s="90" t="s">
        <v>1391</v>
      </c>
      <c r="J111" s="1622" t="e">
        <f>VLOOKUP($A111,'Diesel Data'!$A$2:$K$196,10,FALSE)</f>
        <v>#N/A</v>
      </c>
      <c r="K111" s="1622" t="e">
        <f>VLOOKUP($A111,'Diesel Data'!$A$2:$K$196,11,FALSE)</f>
        <v>#N/A</v>
      </c>
      <c r="L111" s="1622" t="str">
        <f t="shared" si="1"/>
        <v>,,,,</v>
      </c>
      <c r="S111" s="90" t="s">
        <v>1393</v>
      </c>
    </row>
    <row r="112" spans="1:23" ht="15.95" customHeight="1">
      <c r="A112" s="90" t="s">
        <v>139</v>
      </c>
      <c r="B112" s="1622" t="s">
        <v>1526</v>
      </c>
      <c r="C112" s="1606" t="s">
        <v>1532</v>
      </c>
      <c r="D112" s="1606" t="s">
        <v>1532</v>
      </c>
      <c r="E112" s="1606" t="s">
        <v>1532</v>
      </c>
      <c r="I112" s="1622" t="s">
        <v>1529</v>
      </c>
      <c r="J112" s="1622" t="str">
        <f>VLOOKUP($A112,'Diesel Data'!$A$2:$K$196,10,FALSE)</f>
        <v>N/A</v>
      </c>
      <c r="K112" s="1622" t="str">
        <f>VLOOKUP($A112,'Diesel Data'!$A$2:$K$196,11,FALSE)</f>
        <v>N/A</v>
      </c>
      <c r="L112" s="1622" t="str">
        <f t="shared" si="1"/>
        <v>,,,,</v>
      </c>
      <c r="N112" s="1590" t="s">
        <v>1693</v>
      </c>
      <c r="S112" s="90" t="s">
        <v>1524</v>
      </c>
    </row>
    <row r="113" spans="1:26" ht="15.95" customHeight="1">
      <c r="A113" s="90" t="s">
        <v>141</v>
      </c>
      <c r="J113" s="1622" t="str">
        <f>VLOOKUP($A113,'Diesel Data'!$A$2:$K$196,10,FALSE)</f>
        <v>unknown</v>
      </c>
      <c r="K113" s="1622" t="str">
        <f>VLOOKUP($A113,'Diesel Data'!$A$2:$K$196,11,FALSE)</f>
        <v>unknown</v>
      </c>
      <c r="L113" s="1622" t="str">
        <f t="shared" si="1"/>
        <v>,,,,</v>
      </c>
      <c r="S113" s="90" t="s">
        <v>1590</v>
      </c>
    </row>
    <row r="114" spans="1:26" ht="15.95" customHeight="1">
      <c r="A114" s="90" t="s">
        <v>75</v>
      </c>
      <c r="J114" s="1622" t="str">
        <f>VLOOKUP($A114,'Diesel Data'!$A$2:$K$196,10,FALSE)</f>
        <v>unknown</v>
      </c>
      <c r="K114" s="1622" t="str">
        <f>VLOOKUP($A114,'Diesel Data'!$A$2:$K$196,11,FALSE)</f>
        <v>unknown</v>
      </c>
      <c r="L114" s="1622" t="str">
        <f t="shared" si="1"/>
        <v>,,,,</v>
      </c>
      <c r="S114" s="90" t="s">
        <v>17</v>
      </c>
      <c r="T114" s="90" t="s">
        <v>597</v>
      </c>
    </row>
    <row r="115" spans="1:26" ht="15.95" customHeight="1">
      <c r="A115" s="90" t="s">
        <v>76</v>
      </c>
      <c r="B115" s="1622" t="s">
        <v>1526</v>
      </c>
      <c r="C115" s="1606" t="s">
        <v>1516</v>
      </c>
      <c r="D115" s="1606" t="s">
        <v>1516</v>
      </c>
      <c r="E115" s="1606" t="s">
        <v>1532</v>
      </c>
      <c r="G115" s="1606" t="s">
        <v>1665</v>
      </c>
      <c r="I115" s="1622" t="s">
        <v>1515</v>
      </c>
      <c r="J115" s="1622" t="str">
        <f>VLOOKUP($A115,'Diesel Data'!$A$2:$K$196,10,FALSE)</f>
        <v>unknown</v>
      </c>
      <c r="K115" s="1622" t="str">
        <f>VLOOKUP($A115,'Diesel Data'!$A$2:$K$196,11,FALSE)</f>
        <v>unknown</v>
      </c>
      <c r="L115" s="1622" t="str">
        <f t="shared" si="1"/>
        <v>Water Plant,AVEC Facility,,,</v>
      </c>
      <c r="N115" s="1590" t="s">
        <v>1694</v>
      </c>
      <c r="O115" s="1590" t="s">
        <v>1534</v>
      </c>
      <c r="S115" s="90" t="s">
        <v>1591</v>
      </c>
    </row>
    <row r="116" spans="1:26" ht="15.95" customHeight="1">
      <c r="A116" s="90" t="s">
        <v>1009</v>
      </c>
      <c r="J116" s="1622" t="e">
        <f>VLOOKUP($A116,'Diesel Data'!$A$2:$K$196,10,FALSE)</f>
        <v>#N/A</v>
      </c>
      <c r="K116" s="1622" t="e">
        <f>VLOOKUP($A116,'Diesel Data'!$A$2:$K$196,11,FALSE)</f>
        <v>#N/A</v>
      </c>
      <c r="L116" s="1622" t="str">
        <f t="shared" si="1"/>
        <v>,,,,</v>
      </c>
      <c r="S116" s="90" t="s">
        <v>1592</v>
      </c>
    </row>
    <row r="117" spans="1:26" ht="15.95" customHeight="1">
      <c r="A117" s="90" t="s">
        <v>1522</v>
      </c>
      <c r="J117" s="1622" t="e">
        <f>VLOOKUP($A117,'Diesel Data'!$A$2:$K$196,10,FALSE)</f>
        <v>#N/A</v>
      </c>
      <c r="K117" s="1622" t="e">
        <f>VLOOKUP($A117,'Diesel Data'!$A$2:$K$196,11,FALSE)</f>
        <v>#N/A</v>
      </c>
      <c r="L117" s="1622" t="e">
        <f t="shared" si="1"/>
        <v>#N/A</v>
      </c>
      <c r="S117" s="90" t="s">
        <v>1593</v>
      </c>
    </row>
    <row r="118" spans="1:26" ht="15.95" customHeight="1">
      <c r="A118" s="90" t="s">
        <v>1523</v>
      </c>
      <c r="J118" s="1622" t="e">
        <f>VLOOKUP($A118,'Diesel Data'!$A$2:$K$196,10,FALSE)</f>
        <v>#N/A</v>
      </c>
      <c r="K118" s="1622" t="e">
        <f>VLOOKUP($A118,'Diesel Data'!$A$2:$K$196,11,FALSE)</f>
        <v>#N/A</v>
      </c>
      <c r="L118" s="1622" t="e">
        <f t="shared" si="1"/>
        <v>#N/A</v>
      </c>
      <c r="S118" s="90" t="s">
        <v>1594</v>
      </c>
    </row>
    <row r="119" spans="1:26" ht="15.95" customHeight="1">
      <c r="A119" s="90" t="s">
        <v>1010</v>
      </c>
      <c r="J119" s="1622" t="e">
        <f>VLOOKUP($A119,'Diesel Data'!$A$2:$K$196,10,FALSE)</f>
        <v>#N/A</v>
      </c>
      <c r="K119" s="1622" t="e">
        <f>VLOOKUP($A119,'Diesel Data'!$A$2:$K$196,11,FALSE)</f>
        <v>#N/A</v>
      </c>
      <c r="L119" s="1622" t="str">
        <f t="shared" si="1"/>
        <v>,,,,</v>
      </c>
      <c r="S119" s="90" t="s">
        <v>1595</v>
      </c>
    </row>
    <row r="120" spans="1:26" ht="15.95" customHeight="1">
      <c r="A120" s="90" t="s">
        <v>1373</v>
      </c>
      <c r="J120" s="1622" t="e">
        <f>VLOOKUP($A120,'Diesel Data'!$A$2:$K$196,10,FALSE)</f>
        <v>#N/A</v>
      </c>
      <c r="K120" s="1622" t="e">
        <f>VLOOKUP($A120,'Diesel Data'!$A$2:$K$196,11,FALSE)</f>
        <v>#N/A</v>
      </c>
      <c r="L120" s="1622" t="str">
        <f t="shared" si="1"/>
        <v>,,,,</v>
      </c>
      <c r="S120" s="90" t="s">
        <v>1012</v>
      </c>
    </row>
    <row r="121" spans="1:26" ht="15.95" customHeight="1">
      <c r="A121" s="90" t="s">
        <v>1011</v>
      </c>
      <c r="B121" s="1622" t="s">
        <v>1515</v>
      </c>
      <c r="C121" s="1606" t="s">
        <v>1516</v>
      </c>
      <c r="D121" s="1606" t="s">
        <v>1516</v>
      </c>
      <c r="E121" s="1606" t="s">
        <v>1516</v>
      </c>
      <c r="F121" s="1606" t="s">
        <v>1516</v>
      </c>
      <c r="I121" s="1622" t="s">
        <v>1529</v>
      </c>
      <c r="J121" s="1622" t="e">
        <f>VLOOKUP($A121,'Diesel Data'!$A$2:$K$196,10,FALSE)</f>
        <v>#N/A</v>
      </c>
      <c r="K121" s="1622" t="e">
        <f>VLOOKUP($A121,'Diesel Data'!$A$2:$K$196,11,FALSE)</f>
        <v>#N/A</v>
      </c>
      <c r="L121" s="1622" t="str">
        <f t="shared" si="1"/>
        <v>,,,,</v>
      </c>
      <c r="N121" s="1590" t="s">
        <v>1687</v>
      </c>
      <c r="S121" s="90" t="s">
        <v>256</v>
      </c>
      <c r="T121" s="90" t="s">
        <v>596</v>
      </c>
      <c r="U121" s="90" t="s">
        <v>596</v>
      </c>
      <c r="V121" s="90" t="s">
        <v>2142</v>
      </c>
      <c r="W121" s="90" t="s">
        <v>2167</v>
      </c>
      <c r="X121" s="90" t="s">
        <v>943</v>
      </c>
      <c r="Y121" s="90" t="s">
        <v>2156</v>
      </c>
      <c r="Z121" s="90" t="s">
        <v>2168</v>
      </c>
    </row>
    <row r="122" spans="1:26" ht="15.95" customHeight="1">
      <c r="A122" s="90" t="s">
        <v>293</v>
      </c>
      <c r="J122" s="1622" t="e">
        <f>VLOOKUP($A122,'Diesel Data'!$A$2:$K$196,10,FALSE)</f>
        <v>#N/A</v>
      </c>
      <c r="K122" s="1622" t="e">
        <f>VLOOKUP($A122,'Diesel Data'!$A$2:$K$196,11,FALSE)</f>
        <v>#N/A</v>
      </c>
      <c r="L122" s="1622" t="str">
        <f t="shared" si="1"/>
        <v>,,,,</v>
      </c>
      <c r="S122" s="90" t="s">
        <v>77</v>
      </c>
    </row>
    <row r="123" spans="1:26" ht="15.95" customHeight="1">
      <c r="A123" s="90" t="s">
        <v>143</v>
      </c>
      <c r="B123" s="1622" t="s">
        <v>1515</v>
      </c>
      <c r="C123" s="1606" t="s">
        <v>1516</v>
      </c>
      <c r="D123" s="1606" t="s">
        <v>1532</v>
      </c>
      <c r="E123" s="1606" t="s">
        <v>1516</v>
      </c>
      <c r="F123" s="1606" t="s">
        <v>1516</v>
      </c>
      <c r="I123" s="1622" t="s">
        <v>1529</v>
      </c>
      <c r="J123" s="1622">
        <f>VLOOKUP($A123,'Diesel Data'!$A$2:$K$196,10,FALSE)</f>
        <v>12775</v>
      </c>
      <c r="K123" s="1622" t="str">
        <f>VLOOKUP($A123,'Diesel Data'!$A$2:$K$196,11,FALSE)</f>
        <v>unknown</v>
      </c>
      <c r="L123" s="1622" t="str">
        <f t="shared" si="1"/>
        <v>City Shop,,,,</v>
      </c>
      <c r="N123" s="1590" t="s">
        <v>1695</v>
      </c>
      <c r="S123" s="90" t="s">
        <v>1374</v>
      </c>
    </row>
    <row r="124" spans="1:26" ht="15.95" customHeight="1">
      <c r="A124" s="90" t="s">
        <v>1588</v>
      </c>
      <c r="J124" s="1622" t="e">
        <f>VLOOKUP($A124,'Diesel Data'!$A$2:$K$196,10,FALSE)</f>
        <v>#N/A</v>
      </c>
      <c r="K124" s="1622" t="e">
        <f>VLOOKUP($A124,'Diesel Data'!$A$2:$K$196,11,FALSE)</f>
        <v>#N/A</v>
      </c>
      <c r="L124" s="1622" t="str">
        <f t="shared" si="1"/>
        <v>,,,,</v>
      </c>
      <c r="S124" s="90" t="s">
        <v>1596</v>
      </c>
    </row>
    <row r="125" spans="1:26" ht="15.95" customHeight="1">
      <c r="A125" s="90" t="s">
        <v>1589</v>
      </c>
      <c r="J125" s="1622" t="e">
        <f>VLOOKUP($A125,'Diesel Data'!$A$2:$K$196,10,FALSE)</f>
        <v>#N/A</v>
      </c>
      <c r="K125" s="1622" t="e">
        <f>VLOOKUP($A125,'Diesel Data'!$A$2:$K$196,11,FALSE)</f>
        <v>#N/A</v>
      </c>
      <c r="L125" s="1622" t="e">
        <f t="shared" si="1"/>
        <v>#N/A</v>
      </c>
      <c r="S125" s="90" t="s">
        <v>1395</v>
      </c>
    </row>
    <row r="126" spans="1:26" ht="15.95" customHeight="1">
      <c r="A126" s="90" t="s">
        <v>1392</v>
      </c>
      <c r="J126" s="1622" t="e">
        <f>VLOOKUP($A126,'Diesel Data'!$A$2:$K$196,10,FALSE)</f>
        <v>#N/A</v>
      </c>
      <c r="K126" s="1622" t="e">
        <f>VLOOKUP($A126,'Diesel Data'!$A$2:$K$196,11,FALSE)</f>
        <v>#N/A</v>
      </c>
      <c r="L126" s="1622" t="str">
        <f t="shared" si="1"/>
        <v>,,,,</v>
      </c>
      <c r="S126" s="90" t="s">
        <v>1013</v>
      </c>
    </row>
    <row r="127" spans="1:26" ht="15.95" customHeight="1">
      <c r="A127" s="90" t="s">
        <v>1393</v>
      </c>
      <c r="J127" s="1622" t="e">
        <f>VLOOKUP($A127,'Diesel Data'!$A$2:$K$196,10,FALSE)</f>
        <v>#N/A</v>
      </c>
      <c r="K127" s="1622" t="e">
        <f>VLOOKUP($A127,'Diesel Data'!$A$2:$K$196,11,FALSE)</f>
        <v>#N/A</v>
      </c>
      <c r="L127" s="1622" t="str">
        <f t="shared" si="1"/>
        <v>,,,,</v>
      </c>
      <c r="S127" s="90" t="s">
        <v>1365</v>
      </c>
    </row>
    <row r="128" spans="1:26" ht="15.95" customHeight="1">
      <c r="A128" s="90" t="s">
        <v>1524</v>
      </c>
      <c r="J128" s="1622" t="e">
        <f>VLOOKUP($A128,'Diesel Data'!$A$2:$K$196,10,FALSE)</f>
        <v>#N/A</v>
      </c>
      <c r="K128" s="1622" t="e">
        <f>VLOOKUP($A128,'Diesel Data'!$A$2:$K$196,11,FALSE)</f>
        <v>#N/A</v>
      </c>
      <c r="L128" s="1622" t="str">
        <f t="shared" si="1"/>
        <v>,,,,</v>
      </c>
      <c r="S128" s="90" t="s">
        <v>1167</v>
      </c>
      <c r="T128" s="90" t="s">
        <v>597</v>
      </c>
    </row>
    <row r="129" spans="1:25" ht="15.95" customHeight="1">
      <c r="A129" s="90" t="s">
        <v>1590</v>
      </c>
      <c r="J129" s="1622" t="e">
        <f>VLOOKUP($A129,'Diesel Data'!$A$2:$K$196,10,FALSE)</f>
        <v>#N/A</v>
      </c>
      <c r="K129" s="1622" t="e">
        <f>VLOOKUP($A129,'Diesel Data'!$A$2:$K$196,11,FALSE)</f>
        <v>#N/A</v>
      </c>
      <c r="L129" s="1622" t="str">
        <f t="shared" si="1"/>
        <v>,,,,</v>
      </c>
      <c r="S129" s="90" t="s">
        <v>148</v>
      </c>
    </row>
    <row r="130" spans="1:25" ht="15.95" customHeight="1">
      <c r="A130" s="90" t="s">
        <v>17</v>
      </c>
      <c r="B130" s="1622" t="s">
        <v>1526</v>
      </c>
      <c r="C130" s="1606" t="s">
        <v>1516</v>
      </c>
      <c r="D130" s="1606" t="s">
        <v>1516</v>
      </c>
      <c r="E130" s="1606" t="s">
        <v>1532</v>
      </c>
      <c r="G130" s="1606" t="s">
        <v>1665</v>
      </c>
      <c r="I130" s="1622" t="s">
        <v>1515</v>
      </c>
      <c r="J130" s="1622" t="str">
        <f>VLOOKUP($A130,'Diesel Data'!$A$2:$K$196,10,FALSE)</f>
        <v>N/A</v>
      </c>
      <c r="K130" s="1622" t="str">
        <f>VLOOKUP($A130,'Diesel Data'!$A$2:$K$196,11,FALSE)</f>
        <v>N/A</v>
      </c>
      <c r="L130" s="1622" t="str">
        <f t="shared" si="1"/>
        <v>,,,,</v>
      </c>
      <c r="N130" s="1590" t="s">
        <v>1696</v>
      </c>
      <c r="S130" s="90" t="s">
        <v>78</v>
      </c>
      <c r="T130" s="90" t="s">
        <v>596</v>
      </c>
      <c r="V130" s="90" t="s">
        <v>2169</v>
      </c>
      <c r="W130" s="90" t="s">
        <v>2170</v>
      </c>
      <c r="X130" s="90" t="s">
        <v>2171</v>
      </c>
      <c r="Y130" s="90" t="s">
        <v>2168</v>
      </c>
    </row>
    <row r="131" spans="1:25" ht="15.95" customHeight="1">
      <c r="A131" s="90" t="s">
        <v>1591</v>
      </c>
      <c r="J131" s="1622" t="e">
        <f>VLOOKUP($A131,'Diesel Data'!$A$2:$K$196,10,FALSE)</f>
        <v>#N/A</v>
      </c>
      <c r="K131" s="1622" t="e">
        <f>VLOOKUP($A131,'Diesel Data'!$A$2:$K$196,11,FALSE)</f>
        <v>#N/A</v>
      </c>
      <c r="L131" s="1622" t="str">
        <f t="shared" si="1"/>
        <v>,,,,</v>
      </c>
      <c r="S131" s="90" t="s">
        <v>79</v>
      </c>
      <c r="T131" s="90" t="s">
        <v>597</v>
      </c>
    </row>
    <row r="132" spans="1:25" ht="15.95" customHeight="1">
      <c r="A132" s="90" t="s">
        <v>1592</v>
      </c>
      <c r="J132" s="1622" t="e">
        <f>VLOOKUP($A132,'Diesel Data'!$A$2:$K$196,10,FALSE)</f>
        <v>#N/A</v>
      </c>
      <c r="K132" s="1622" t="e">
        <f>VLOOKUP($A132,'Diesel Data'!$A$2:$K$196,11,FALSE)</f>
        <v>#N/A</v>
      </c>
      <c r="L132" s="1622" t="str">
        <f t="shared" ref="L132:L195" si="2">CONCATENATE(VLOOKUP(A132,$S$2:$Z$379,4,FALSE),",",VLOOKUP(A132,$S$2:$Z$379,5,FALSE),",",VLOOKUP(A132,$S$2:$Z$379,6,FALSE),",",VLOOKUP(A132,$S$2:$Z$379,7,FALSE),",",VLOOKUP(A132,$S$2:$Z$379,8,FALSE))</f>
        <v>,,,,</v>
      </c>
      <c r="S132" s="90" t="s">
        <v>1015</v>
      </c>
    </row>
    <row r="133" spans="1:25" ht="15.95" customHeight="1">
      <c r="A133" s="90" t="s">
        <v>1593</v>
      </c>
      <c r="J133" s="1622" t="e">
        <f>VLOOKUP($A133,'Diesel Data'!$A$2:$K$196,10,FALSE)</f>
        <v>#N/A</v>
      </c>
      <c r="K133" s="1622" t="e">
        <f>VLOOKUP($A133,'Diesel Data'!$A$2:$K$196,11,FALSE)</f>
        <v>#N/A</v>
      </c>
      <c r="L133" s="1622" t="str">
        <f t="shared" si="2"/>
        <v>,,,,</v>
      </c>
      <c r="S133" s="90" t="s">
        <v>8</v>
      </c>
    </row>
    <row r="134" spans="1:25" ht="15.95" customHeight="1">
      <c r="A134" s="90" t="s">
        <v>1594</v>
      </c>
      <c r="J134" s="1622" t="e">
        <f>VLOOKUP($A134,'Diesel Data'!$A$2:$K$196,10,FALSE)</f>
        <v>#N/A</v>
      </c>
      <c r="K134" s="1622" t="e">
        <f>VLOOKUP($A134,'Diesel Data'!$A$2:$K$196,11,FALSE)</f>
        <v>#N/A</v>
      </c>
      <c r="L134" s="1622" t="str">
        <f t="shared" si="2"/>
        <v>,,,,</v>
      </c>
      <c r="S134" s="90" t="s">
        <v>18</v>
      </c>
    </row>
    <row r="135" spans="1:25" ht="15.95" customHeight="1">
      <c r="A135" s="90" t="s">
        <v>1595</v>
      </c>
      <c r="J135" s="1622" t="e">
        <f>VLOOKUP($A135,'Diesel Data'!$A$2:$K$196,10,FALSE)</f>
        <v>#N/A</v>
      </c>
      <c r="K135" s="1622" t="e">
        <f>VLOOKUP($A135,'Diesel Data'!$A$2:$K$196,11,FALSE)</f>
        <v>#N/A</v>
      </c>
      <c r="L135" s="1622" t="str">
        <f t="shared" si="2"/>
        <v>,,,,</v>
      </c>
      <c r="S135" s="90" t="s">
        <v>1016</v>
      </c>
    </row>
    <row r="136" spans="1:25" ht="15.95" customHeight="1">
      <c r="A136" s="90" t="s">
        <v>1012</v>
      </c>
      <c r="B136" s="1622" t="s">
        <v>1526</v>
      </c>
      <c r="C136" s="1606" t="s">
        <v>1532</v>
      </c>
      <c r="D136" s="1606" t="s">
        <v>1532</v>
      </c>
      <c r="E136" s="1606" t="s">
        <v>1532</v>
      </c>
      <c r="I136" s="1622" t="s">
        <v>1515</v>
      </c>
      <c r="J136" s="1622" t="e">
        <f>VLOOKUP($A136,'Diesel Data'!$A$2:$K$196,10,FALSE)</f>
        <v>#N/A</v>
      </c>
      <c r="K136" s="1622" t="e">
        <f>VLOOKUP($A136,'Diesel Data'!$A$2:$K$196,11,FALSE)</f>
        <v>#N/A</v>
      </c>
      <c r="L136" s="1622" t="str">
        <f t="shared" si="2"/>
        <v>,,,,</v>
      </c>
      <c r="N136" s="1590" t="s">
        <v>1686</v>
      </c>
      <c r="S136" s="90" t="s">
        <v>1396</v>
      </c>
    </row>
    <row r="137" spans="1:25" ht="15.95" customHeight="1">
      <c r="A137" s="90" t="s">
        <v>256</v>
      </c>
      <c r="B137" s="1622" t="s">
        <v>1515</v>
      </c>
      <c r="C137" s="1606" t="s">
        <v>1516</v>
      </c>
      <c r="D137" s="1606" t="s">
        <v>1516</v>
      </c>
      <c r="E137" s="1606" t="s">
        <v>1516</v>
      </c>
      <c r="F137" s="1606" t="s">
        <v>1516</v>
      </c>
      <c r="H137" s="1606" t="s">
        <v>1685</v>
      </c>
      <c r="I137" s="1622" t="s">
        <v>1515</v>
      </c>
      <c r="J137" s="1622">
        <f>VLOOKUP($A137,'Diesel Data'!$A$2:$K$196,10,FALSE)</f>
        <v>36500</v>
      </c>
      <c r="K137" s="1622" t="str">
        <f>VLOOKUP($A137,'Diesel Data'!$A$2:$K$196,11,FALSE)</f>
        <v>unknown</v>
      </c>
      <c r="L137" s="1622" t="str">
        <f t="shared" si="2"/>
        <v>Water Plant,City Works Bldg,Pool,School,Clinic</v>
      </c>
      <c r="S137" s="90" t="s">
        <v>1598</v>
      </c>
    </row>
    <row r="138" spans="1:25" ht="15.95" customHeight="1">
      <c r="A138" s="90" t="s">
        <v>77</v>
      </c>
      <c r="J138" s="1622">
        <f>VLOOKUP($A138,'Diesel Data'!$A$2:$K$196,10,FALSE)</f>
        <v>0</v>
      </c>
      <c r="K138" s="1622">
        <f>VLOOKUP($A138,'Diesel Data'!$A$2:$K$196,11,FALSE)</f>
        <v>0</v>
      </c>
      <c r="L138" s="1622" t="str">
        <f t="shared" si="2"/>
        <v>,,,,</v>
      </c>
      <c r="S138" s="90" t="s">
        <v>1599</v>
      </c>
    </row>
    <row r="139" spans="1:25" ht="15.95" customHeight="1">
      <c r="A139" s="90" t="s">
        <v>1374</v>
      </c>
      <c r="J139" s="1622" t="e">
        <f>VLOOKUP($A139,'Diesel Data'!$A$2:$K$196,10,FALSE)</f>
        <v>#N/A</v>
      </c>
      <c r="K139" s="1622" t="e">
        <f>VLOOKUP($A139,'Diesel Data'!$A$2:$K$196,11,FALSE)</f>
        <v>#N/A</v>
      </c>
      <c r="L139" s="1622" t="str">
        <f t="shared" si="2"/>
        <v>,,,,</v>
      </c>
      <c r="S139" s="90" t="s">
        <v>60</v>
      </c>
    </row>
    <row r="140" spans="1:25" ht="15.95" customHeight="1">
      <c r="A140" s="90" t="s">
        <v>1596</v>
      </c>
      <c r="J140" s="1622" t="e">
        <f>VLOOKUP($A140,'Diesel Data'!$A$2:$K$196,10,FALSE)</f>
        <v>#N/A</v>
      </c>
      <c r="K140" s="1622" t="e">
        <f>VLOOKUP($A140,'Diesel Data'!$A$2:$K$196,11,FALSE)</f>
        <v>#N/A</v>
      </c>
      <c r="L140" s="1622" t="str">
        <f t="shared" si="2"/>
        <v>,,,,</v>
      </c>
      <c r="S140" s="90" t="s">
        <v>2132</v>
      </c>
      <c r="T140" s="90" t="s">
        <v>597</v>
      </c>
    </row>
    <row r="141" spans="1:25" ht="15.95" customHeight="1">
      <c r="A141" s="90" t="s">
        <v>1395</v>
      </c>
      <c r="J141" s="1622" t="e">
        <f>VLOOKUP($A141,'Diesel Data'!$A$2:$K$196,10,FALSE)</f>
        <v>#N/A</v>
      </c>
      <c r="K141" s="1622" t="e">
        <f>VLOOKUP($A141,'Diesel Data'!$A$2:$K$196,11,FALSE)</f>
        <v>#N/A</v>
      </c>
      <c r="L141" s="1622" t="str">
        <f t="shared" si="2"/>
        <v>,,,,</v>
      </c>
      <c r="S141" s="90" t="s">
        <v>1375</v>
      </c>
    </row>
    <row r="142" spans="1:25" ht="15.95" customHeight="1">
      <c r="A142" s="90" t="s">
        <v>1013</v>
      </c>
      <c r="J142" s="1622" t="e">
        <f>VLOOKUP($A142,'Diesel Data'!$A$2:$K$196,10,FALSE)</f>
        <v>#N/A</v>
      </c>
      <c r="K142" s="1622" t="e">
        <f>VLOOKUP($A142,'Diesel Data'!$A$2:$K$196,11,FALSE)</f>
        <v>#N/A</v>
      </c>
      <c r="L142" s="1622" t="str">
        <f t="shared" si="2"/>
        <v>,,,,</v>
      </c>
      <c r="S142" s="90" t="s">
        <v>61</v>
      </c>
    </row>
    <row r="143" spans="1:25" ht="15.95" customHeight="1">
      <c r="A143" s="90" t="s">
        <v>1365</v>
      </c>
      <c r="J143" s="1622" t="e">
        <f>VLOOKUP($A143,'Diesel Data'!$A$2:$K$196,10,FALSE)</f>
        <v>#N/A</v>
      </c>
      <c r="K143" s="1622" t="e">
        <f>VLOOKUP($A143,'Diesel Data'!$A$2:$K$196,11,FALSE)</f>
        <v>#N/A</v>
      </c>
      <c r="L143" s="1622" t="str">
        <f t="shared" si="2"/>
        <v>,,,,</v>
      </c>
      <c r="S143" s="90" t="s">
        <v>80</v>
      </c>
      <c r="T143" s="90" t="s">
        <v>597</v>
      </c>
    </row>
    <row r="144" spans="1:25" ht="15.95" customHeight="1">
      <c r="A144" s="90" t="s">
        <v>1167</v>
      </c>
      <c r="B144" s="1622" t="s">
        <v>1515</v>
      </c>
      <c r="C144" s="1606" t="s">
        <v>1532</v>
      </c>
      <c r="D144" s="1606" t="s">
        <v>1532</v>
      </c>
      <c r="E144" s="1606" t="s">
        <v>1516</v>
      </c>
      <c r="F144" s="1606" t="s">
        <v>1516</v>
      </c>
      <c r="H144" s="1606" t="s">
        <v>1697</v>
      </c>
      <c r="I144" s="1622" t="s">
        <v>1529</v>
      </c>
      <c r="J144" s="1622">
        <f>VLOOKUP($A144,'Diesel Data'!$A$2:$K$196,10,FALSE)</f>
        <v>0</v>
      </c>
      <c r="K144" s="1622">
        <f>VLOOKUP($A144,'Diesel Data'!$A$2:$K$196,11,FALSE)</f>
        <v>0</v>
      </c>
      <c r="L144" s="1622" t="str">
        <f t="shared" si="2"/>
        <v>,,,,</v>
      </c>
      <c r="S144" s="90" t="s">
        <v>1018</v>
      </c>
    </row>
    <row r="145" spans="1:24" ht="15.95" customHeight="1">
      <c r="A145" s="90" t="s">
        <v>1597</v>
      </c>
      <c r="J145" s="1622" t="e">
        <f>VLOOKUP($A145,'Diesel Data'!$A$2:$K$196,10,FALSE)</f>
        <v>#N/A</v>
      </c>
      <c r="K145" s="1622" t="e">
        <f>VLOOKUP($A145,'Diesel Data'!$A$2:$K$196,11,FALSE)</f>
        <v>#N/A</v>
      </c>
      <c r="L145" s="1622" t="e">
        <f t="shared" si="2"/>
        <v>#N/A</v>
      </c>
      <c r="S145" s="90" t="s">
        <v>14</v>
      </c>
    </row>
    <row r="146" spans="1:24" ht="15.95" customHeight="1">
      <c r="A146" s="90" t="s">
        <v>148</v>
      </c>
      <c r="J146" s="1622" t="str">
        <f>VLOOKUP($A146,'Diesel Data'!$A$2:$K$196,10,FALSE)</f>
        <v>unknown</v>
      </c>
      <c r="K146" s="1622" t="str">
        <f>VLOOKUP($A146,'Diesel Data'!$A$2:$K$196,11,FALSE)</f>
        <v>unknown</v>
      </c>
      <c r="L146" s="1622" t="str">
        <f t="shared" si="2"/>
        <v>,,,,</v>
      </c>
      <c r="S146" s="90" t="s">
        <v>19</v>
      </c>
      <c r="T146" s="90" t="s">
        <v>596</v>
      </c>
      <c r="V146" s="90" t="s">
        <v>2172</v>
      </c>
      <c r="W146" s="90" t="s">
        <v>2173</v>
      </c>
      <c r="X146" s="90" t="s">
        <v>2154</v>
      </c>
    </row>
    <row r="147" spans="1:24" ht="15.95" customHeight="1">
      <c r="A147" s="90" t="s">
        <v>78</v>
      </c>
      <c r="B147" s="1622" t="s">
        <v>1515</v>
      </c>
      <c r="C147" s="1473" t="s">
        <v>1516</v>
      </c>
      <c r="D147" s="1473" t="s">
        <v>1516</v>
      </c>
      <c r="E147" s="1473" t="s">
        <v>1516</v>
      </c>
      <c r="F147" s="1473"/>
      <c r="G147" s="1473"/>
      <c r="H147" s="1473" t="s">
        <v>1698</v>
      </c>
      <c r="I147" s="1622" t="s">
        <v>1529</v>
      </c>
      <c r="J147" s="1622" t="str">
        <f>VLOOKUP($A147,'Diesel Data'!$A$2:$K$196,10,FALSE)</f>
        <v xml:space="preserve">N/A </v>
      </c>
      <c r="K147" s="1622" t="str">
        <f>VLOOKUP($A147,'Diesel Data'!$A$2:$K$196,11,FALSE)</f>
        <v>N/A</v>
      </c>
      <c r="L147" s="1622" t="str">
        <f t="shared" si="2"/>
        <v>BIA,School ,Jail ,Clinic,</v>
      </c>
      <c r="N147" s="1618" t="s">
        <v>1699</v>
      </c>
      <c r="S147" s="90" t="s">
        <v>1019</v>
      </c>
    </row>
    <row r="148" spans="1:24" ht="15.95" customHeight="1">
      <c r="A148" s="90" t="s">
        <v>79</v>
      </c>
      <c r="B148" s="1622" t="s">
        <v>1515</v>
      </c>
      <c r="C148" s="1606" t="s">
        <v>1532</v>
      </c>
      <c r="D148" s="1606" t="s">
        <v>1532</v>
      </c>
      <c r="E148" s="1606" t="s">
        <v>1516</v>
      </c>
      <c r="F148" s="1606" t="s">
        <v>1516</v>
      </c>
      <c r="I148" s="1622" t="s">
        <v>1529</v>
      </c>
      <c r="J148" s="1622" t="str">
        <f>VLOOKUP($A148,'Diesel Data'!$A$2:$K$196,10,FALSE)</f>
        <v>N/A</v>
      </c>
      <c r="K148" s="1622" t="str">
        <f>VLOOKUP($A148,'Diesel Data'!$A$2:$K$196,11,FALSE)</f>
        <v>N/A</v>
      </c>
      <c r="L148" s="1622" t="str">
        <f t="shared" si="2"/>
        <v>,,,,</v>
      </c>
      <c r="N148" s="1590" t="s">
        <v>1700</v>
      </c>
      <c r="S148" s="90" t="s">
        <v>1020</v>
      </c>
    </row>
    <row r="149" spans="1:24" ht="15.95" customHeight="1">
      <c r="A149" s="90" t="s">
        <v>1015</v>
      </c>
      <c r="B149" s="1622" t="s">
        <v>1526</v>
      </c>
      <c r="C149" s="1606" t="s">
        <v>1532</v>
      </c>
      <c r="D149" s="1606" t="s">
        <v>1532</v>
      </c>
      <c r="E149" s="1606" t="s">
        <v>1532</v>
      </c>
      <c r="I149" s="1622" t="s">
        <v>1515</v>
      </c>
      <c r="J149" s="1622" t="e">
        <f>VLOOKUP($A149,'Diesel Data'!$A$2:$K$196,10,FALSE)</f>
        <v>#N/A</v>
      </c>
      <c r="K149" s="1622" t="e">
        <f>VLOOKUP($A149,'Diesel Data'!$A$2:$K$196,11,FALSE)</f>
        <v>#N/A</v>
      </c>
      <c r="L149" s="1622" t="str">
        <f t="shared" si="2"/>
        <v>,,,,</v>
      </c>
      <c r="N149" s="1590" t="s">
        <v>1686</v>
      </c>
      <c r="S149" s="90" t="s">
        <v>152</v>
      </c>
      <c r="T149" s="90" t="s">
        <v>596</v>
      </c>
      <c r="U149" s="90" t="s">
        <v>596</v>
      </c>
      <c r="V149" s="90" t="s">
        <v>2174</v>
      </c>
      <c r="W149" s="90" t="s">
        <v>2154</v>
      </c>
    </row>
    <row r="150" spans="1:24" ht="15.95" customHeight="1">
      <c r="A150" s="90" t="s">
        <v>8</v>
      </c>
      <c r="J150" s="1622" t="str">
        <f>VLOOKUP($A150,'Diesel Data'!$A$2:$K$196,10,FALSE)</f>
        <v>unknown</v>
      </c>
      <c r="K150" s="1622" t="str">
        <f>VLOOKUP($A150,'Diesel Data'!$A$2:$K$196,11,FALSE)</f>
        <v>unknown</v>
      </c>
      <c r="L150" s="1622" t="str">
        <f t="shared" si="2"/>
        <v>,,,,</v>
      </c>
      <c r="S150" s="90" t="s">
        <v>2133</v>
      </c>
      <c r="T150" s="90" t="s">
        <v>596</v>
      </c>
      <c r="V150" s="90" t="s">
        <v>2175</v>
      </c>
    </row>
    <row r="151" spans="1:24" ht="15.95" customHeight="1">
      <c r="A151" s="90" t="s">
        <v>18</v>
      </c>
      <c r="J151" s="1622">
        <f>VLOOKUP($A151,'Diesel Data'!$A$2:$K$196,10,FALSE)</f>
        <v>0</v>
      </c>
      <c r="K151" s="1622">
        <f>VLOOKUP($A151,'Diesel Data'!$A$2:$K$196,11,FALSE)</f>
        <v>0</v>
      </c>
      <c r="L151" s="1622" t="str">
        <f t="shared" si="2"/>
        <v>,,,,</v>
      </c>
      <c r="S151" s="90" t="s">
        <v>37</v>
      </c>
    </row>
    <row r="152" spans="1:24" ht="15.95" customHeight="1">
      <c r="A152" s="90" t="s">
        <v>1016</v>
      </c>
      <c r="J152" s="1622" t="e">
        <f>VLOOKUP($A152,'Diesel Data'!$A$2:$K$196,10,FALSE)</f>
        <v>#N/A</v>
      </c>
      <c r="K152" s="1622" t="e">
        <f>VLOOKUP($A152,'Diesel Data'!$A$2:$K$196,11,FALSE)</f>
        <v>#N/A</v>
      </c>
      <c r="L152" s="1622" t="str">
        <f t="shared" si="2"/>
        <v>,,,,</v>
      </c>
      <c r="S152" s="90" t="s">
        <v>1021</v>
      </c>
    </row>
    <row r="153" spans="1:24" ht="15.95" customHeight="1">
      <c r="A153" s="90" t="s">
        <v>1396</v>
      </c>
      <c r="J153" s="1622" t="e">
        <f>VLOOKUP($A153,'Diesel Data'!$A$2:$K$196,10,FALSE)</f>
        <v>#N/A</v>
      </c>
      <c r="K153" s="1622" t="e">
        <f>VLOOKUP($A153,'Diesel Data'!$A$2:$K$196,11,FALSE)</f>
        <v>#N/A</v>
      </c>
      <c r="L153" s="1622" t="str">
        <f t="shared" si="2"/>
        <v>,,,,</v>
      </c>
      <c r="S153" s="90" t="s">
        <v>154</v>
      </c>
      <c r="T153" s="90" t="s">
        <v>596</v>
      </c>
      <c r="U153" s="90" t="s">
        <v>596</v>
      </c>
      <c r="V153" s="90" t="s">
        <v>2176</v>
      </c>
      <c r="W153" s="90" t="s">
        <v>2177</v>
      </c>
    </row>
    <row r="154" spans="1:24" ht="15.95" customHeight="1">
      <c r="A154" s="90" t="s">
        <v>1598</v>
      </c>
      <c r="J154" s="1622" t="e">
        <f>VLOOKUP($A154,'Diesel Data'!$A$2:$K$196,10,FALSE)</f>
        <v>#N/A</v>
      </c>
      <c r="K154" s="1622" t="e">
        <f>VLOOKUP($A154,'Diesel Data'!$A$2:$K$196,11,FALSE)</f>
        <v>#N/A</v>
      </c>
      <c r="L154" s="1622" t="str">
        <f t="shared" si="2"/>
        <v>,,,,</v>
      </c>
      <c r="S154" s="90" t="s">
        <v>1022</v>
      </c>
    </row>
    <row r="155" spans="1:24" ht="15.95" customHeight="1">
      <c r="A155" s="90" t="s">
        <v>1599</v>
      </c>
      <c r="J155" s="1622" t="e">
        <f>VLOOKUP($A155,'Diesel Data'!$A$2:$K$196,10,FALSE)</f>
        <v>#N/A</v>
      </c>
      <c r="K155" s="1622" t="e">
        <f>VLOOKUP($A155,'Diesel Data'!$A$2:$K$196,11,FALSE)</f>
        <v>#N/A</v>
      </c>
      <c r="L155" s="1622" t="str">
        <f t="shared" si="2"/>
        <v>,,,,</v>
      </c>
      <c r="S155" s="90" t="s">
        <v>1024</v>
      </c>
    </row>
    <row r="156" spans="1:24" ht="15.95" customHeight="1">
      <c r="A156" s="90" t="s">
        <v>1017</v>
      </c>
      <c r="J156" s="1622" t="e">
        <f>VLOOKUP($A156,'Diesel Data'!$A$2:$K$196,10,FALSE)</f>
        <v>#N/A</v>
      </c>
      <c r="K156" s="1622" t="e">
        <f>VLOOKUP($A156,'Diesel Data'!$A$2:$K$196,11,FALSE)</f>
        <v>#N/A</v>
      </c>
      <c r="L156" s="1622" t="e">
        <f t="shared" si="2"/>
        <v>#N/A</v>
      </c>
      <c r="S156" s="90" t="s">
        <v>1025</v>
      </c>
    </row>
    <row r="157" spans="1:24" ht="15.95" customHeight="1">
      <c r="A157" s="90" t="s">
        <v>60</v>
      </c>
      <c r="B157" s="1622" t="s">
        <v>1526</v>
      </c>
      <c r="C157" s="1606" t="s">
        <v>1532</v>
      </c>
      <c r="D157" s="1606" t="s">
        <v>1532</v>
      </c>
      <c r="E157" s="1606" t="s">
        <v>1532</v>
      </c>
      <c r="I157" s="1622" t="s">
        <v>1526</v>
      </c>
      <c r="J157" s="1622" t="str">
        <f>VLOOKUP($A157,'Diesel Data'!$A$2:$K$196,10,FALSE)</f>
        <v>N/A</v>
      </c>
      <c r="K157" s="1622" t="str">
        <f>VLOOKUP($A157,'Diesel Data'!$A$2:$K$196,11,FALSE)</f>
        <v>N/A</v>
      </c>
      <c r="L157" s="1622" t="str">
        <f t="shared" si="2"/>
        <v>,,,,</v>
      </c>
      <c r="N157" s="1590" t="s">
        <v>1701</v>
      </c>
      <c r="S157" s="90" t="s">
        <v>294</v>
      </c>
    </row>
    <row r="158" spans="1:24" ht="15.95" customHeight="1">
      <c r="A158" s="90" t="s">
        <v>1375</v>
      </c>
      <c r="J158" s="1622" t="e">
        <f>VLOOKUP($A158,'Diesel Data'!$A$2:$K$196,10,FALSE)</f>
        <v>#N/A</v>
      </c>
      <c r="K158" s="1622" t="e">
        <f>VLOOKUP($A158,'Diesel Data'!$A$2:$K$196,11,FALSE)</f>
        <v>#N/A</v>
      </c>
      <c r="L158" s="1622" t="str">
        <f t="shared" si="2"/>
        <v>,,,,</v>
      </c>
      <c r="S158" s="90" t="s">
        <v>1398</v>
      </c>
    </row>
    <row r="159" spans="1:24" ht="15.95" customHeight="1">
      <c r="A159" s="90" t="s">
        <v>61</v>
      </c>
      <c r="J159" s="1622" t="str">
        <f>VLOOKUP($A159,'Diesel Data'!$A$2:$K$196,10,FALSE)</f>
        <v>unknown</v>
      </c>
      <c r="K159" s="1622" t="str">
        <f>VLOOKUP($A159,'Diesel Data'!$A$2:$K$196,11,FALSE)</f>
        <v>unknown</v>
      </c>
      <c r="L159" s="1622" t="str">
        <f t="shared" si="2"/>
        <v>,,,,</v>
      </c>
      <c r="S159" s="90" t="s">
        <v>1399</v>
      </c>
    </row>
    <row r="160" spans="1:24" ht="15.95" customHeight="1">
      <c r="A160" s="1626" t="s">
        <v>80</v>
      </c>
      <c r="B160" s="1627" t="s">
        <v>1515</v>
      </c>
      <c r="C160" s="1628" t="s">
        <v>1516</v>
      </c>
      <c r="D160" s="1628" t="s">
        <v>1516</v>
      </c>
      <c r="E160" s="1628" t="s">
        <v>1516</v>
      </c>
      <c r="F160" s="1628" t="s">
        <v>1516</v>
      </c>
      <c r="G160" s="1628"/>
      <c r="H160" s="1628"/>
      <c r="I160" s="1627" t="s">
        <v>1515</v>
      </c>
      <c r="J160" s="1622">
        <f>VLOOKUP($A160,'Diesel Data'!$A$2:$K$196,10,FALSE)</f>
        <v>0</v>
      </c>
      <c r="K160" s="1622">
        <f>VLOOKUP($A160,'Diesel Data'!$A$2:$K$196,11,FALSE)</f>
        <v>0</v>
      </c>
      <c r="L160" s="1622" t="str">
        <f t="shared" si="2"/>
        <v>,,,,</v>
      </c>
      <c r="M160" s="1641"/>
      <c r="N160" s="1629" t="s">
        <v>1700</v>
      </c>
      <c r="S160" s="90" t="s">
        <v>15</v>
      </c>
    </row>
    <row r="161" spans="1:24" ht="15.95" customHeight="1">
      <c r="A161" s="7" t="s">
        <v>1018</v>
      </c>
      <c r="J161" s="1622" t="e">
        <f>VLOOKUP($A161,'Diesel Data'!$A$2:$K$196,10,FALSE)</f>
        <v>#N/A</v>
      </c>
      <c r="K161" s="1622" t="e">
        <f>VLOOKUP($A161,'Diesel Data'!$A$2:$K$196,11,FALSE)</f>
        <v>#N/A</v>
      </c>
      <c r="L161" s="1622" t="str">
        <f t="shared" si="2"/>
        <v>,,,,</v>
      </c>
      <c r="N161" s="1630"/>
      <c r="S161" s="90" t="s">
        <v>208</v>
      </c>
    </row>
    <row r="162" spans="1:24" ht="15.95" customHeight="1">
      <c r="A162" s="7" t="s">
        <v>14</v>
      </c>
      <c r="J162" s="1622">
        <f>VLOOKUP($A162,'Diesel Data'!$A$2:$K$196,10,FALSE)</f>
        <v>0</v>
      </c>
      <c r="K162" s="1622">
        <f>VLOOKUP($A162,'Diesel Data'!$A$2:$K$196,11,FALSE)</f>
        <v>0</v>
      </c>
      <c r="L162" s="1622" t="str">
        <f t="shared" si="2"/>
        <v>,,,,</v>
      </c>
      <c r="N162" s="1630"/>
      <c r="S162" s="90" t="s">
        <v>1601</v>
      </c>
    </row>
    <row r="163" spans="1:24" ht="15.95" customHeight="1">
      <c r="A163" s="7" t="s">
        <v>19</v>
      </c>
      <c r="B163" s="1622" t="s">
        <v>1515</v>
      </c>
      <c r="C163" s="1606" t="s">
        <v>1516</v>
      </c>
      <c r="D163" s="1606" t="s">
        <v>1516</v>
      </c>
      <c r="E163" s="1606" t="s">
        <v>1516</v>
      </c>
      <c r="H163" s="1606" t="s">
        <v>1702</v>
      </c>
      <c r="I163" s="1622" t="s">
        <v>1526</v>
      </c>
      <c r="J163" s="1622" t="str">
        <f>VLOOKUP($A163,'Diesel Data'!$A$2:$K$196,10,FALSE)</f>
        <v>N/A</v>
      </c>
      <c r="K163" s="1622" t="str">
        <f>VLOOKUP($A163,'Diesel Data'!$A$2:$K$196,11,FALSE)</f>
        <v>N/A</v>
      </c>
      <c r="L163" s="1622" t="str">
        <f t="shared" si="2"/>
        <v>AVEC Bunk House,Connexes,Plant,,</v>
      </c>
      <c r="N163" s="1631" t="s">
        <v>1703</v>
      </c>
      <c r="O163" s="1590" t="s">
        <v>1534</v>
      </c>
      <c r="S163" s="90" t="s">
        <v>82</v>
      </c>
      <c r="T163" s="90" t="s">
        <v>596</v>
      </c>
      <c r="V163" s="90" t="s">
        <v>2146</v>
      </c>
      <c r="W163" s="90" t="s">
        <v>2178</v>
      </c>
      <c r="X163" s="90" t="s">
        <v>2170</v>
      </c>
    </row>
    <row r="164" spans="1:24" ht="15.95" customHeight="1">
      <c r="A164" s="7" t="s">
        <v>1019</v>
      </c>
      <c r="J164" s="1622" t="e">
        <f>VLOOKUP($A164,'Diesel Data'!$A$2:$K$196,10,FALSE)</f>
        <v>#N/A</v>
      </c>
      <c r="K164" s="1622" t="e">
        <f>VLOOKUP($A164,'Diesel Data'!$A$2:$K$196,11,FALSE)</f>
        <v>#N/A</v>
      </c>
      <c r="L164" s="1622" t="str">
        <f t="shared" si="2"/>
        <v>,,,,</v>
      </c>
      <c r="N164" s="1630"/>
      <c r="S164" s="90" t="s">
        <v>1400</v>
      </c>
    </row>
    <row r="165" spans="1:24" ht="15.95" customHeight="1">
      <c r="A165" s="7" t="s">
        <v>1020</v>
      </c>
      <c r="J165" s="1622" t="e">
        <f>VLOOKUP($A165,'Diesel Data'!$A$2:$K$196,10,FALSE)</f>
        <v>#N/A</v>
      </c>
      <c r="K165" s="1622" t="e">
        <f>VLOOKUP($A165,'Diesel Data'!$A$2:$K$196,11,FALSE)</f>
        <v>#N/A</v>
      </c>
      <c r="L165" s="1622" t="str">
        <f t="shared" si="2"/>
        <v>,,,,</v>
      </c>
      <c r="N165" s="1630"/>
      <c r="S165" s="90" t="s">
        <v>112</v>
      </c>
      <c r="T165" s="90" t="s">
        <v>597</v>
      </c>
    </row>
    <row r="166" spans="1:24" ht="15.95" customHeight="1">
      <c r="A166" s="1632" t="s">
        <v>152</v>
      </c>
      <c r="B166" s="1622" t="s">
        <v>1515</v>
      </c>
      <c r="C166" s="1606" t="s">
        <v>1516</v>
      </c>
      <c r="D166" s="1606" t="s">
        <v>1516</v>
      </c>
      <c r="E166" s="1606" t="s">
        <v>1516</v>
      </c>
      <c r="F166" s="1606" t="s">
        <v>1516</v>
      </c>
      <c r="G166" s="1633"/>
      <c r="H166" s="1633"/>
      <c r="I166" s="1634" t="s">
        <v>1529</v>
      </c>
      <c r="J166" s="1622" t="str">
        <f>VLOOKUP($A166,'Diesel Data'!$A$2:$K$196,10,FALSE)</f>
        <v>unknown</v>
      </c>
      <c r="K166" s="1622" t="str">
        <f>VLOOKUP($A166,'Diesel Data'!$A$2:$K$196,11,FALSE)</f>
        <v>unknown</v>
      </c>
      <c r="L166" s="1622" t="str">
        <f t="shared" si="2"/>
        <v>Water Lines,Plant,,,</v>
      </c>
      <c r="M166" s="1642"/>
      <c r="N166" s="1635" t="s">
        <v>1704</v>
      </c>
      <c r="S166" s="90" t="s">
        <v>1028</v>
      </c>
    </row>
    <row r="167" spans="1:24" ht="15.95" customHeight="1">
      <c r="A167" s="90" t="s">
        <v>81</v>
      </c>
      <c r="B167" s="1622" t="s">
        <v>1526</v>
      </c>
      <c r="C167" s="1606" t="s">
        <v>1516</v>
      </c>
      <c r="D167" s="1606" t="s">
        <v>1516</v>
      </c>
      <c r="E167" s="1606" t="s">
        <v>1516</v>
      </c>
      <c r="F167" s="1606" t="s">
        <v>1532</v>
      </c>
      <c r="I167" s="1622" t="s">
        <v>1529</v>
      </c>
      <c r="J167" s="1622" t="str">
        <f>VLOOKUP($A167,'Diesel Data'!$A$2:$K$196,10,FALSE)</f>
        <v>unknown</v>
      </c>
      <c r="K167" s="1622" t="str">
        <f>VLOOKUP($A167,'Diesel Data'!$A$2:$K$196,11,FALSE)</f>
        <v>unknown</v>
      </c>
      <c r="L167" s="1622" t="e">
        <f t="shared" si="2"/>
        <v>#N/A</v>
      </c>
      <c r="S167" s="90" t="s">
        <v>83</v>
      </c>
      <c r="T167" s="90" t="s">
        <v>596</v>
      </c>
      <c r="V167" s="90" t="s">
        <v>2154</v>
      </c>
      <c r="W167" s="90" t="s">
        <v>2164</v>
      </c>
    </row>
    <row r="168" spans="1:24" ht="15.95" customHeight="1">
      <c r="A168" s="90" t="s">
        <v>37</v>
      </c>
      <c r="J168" s="1622" t="str">
        <f>VLOOKUP($A168,'Diesel Data'!$A$2:$K$196,10,FALSE)</f>
        <v>unknown</v>
      </c>
      <c r="K168" s="1622" t="str">
        <f>VLOOKUP($A168,'Diesel Data'!$A$2:$K$196,11,FALSE)</f>
        <v>unknown</v>
      </c>
      <c r="L168" s="1622" t="str">
        <f t="shared" si="2"/>
        <v>,,,,</v>
      </c>
      <c r="S168" s="90" t="s">
        <v>1029</v>
      </c>
    </row>
    <row r="169" spans="1:24" ht="15.95" customHeight="1">
      <c r="A169" s="90" t="s">
        <v>1021</v>
      </c>
      <c r="J169" s="1622" t="e">
        <f>VLOOKUP($A169,'Diesel Data'!$A$2:$K$196,10,FALSE)</f>
        <v>#N/A</v>
      </c>
      <c r="K169" s="1622" t="e">
        <f>VLOOKUP($A169,'Diesel Data'!$A$2:$K$196,11,FALSE)</f>
        <v>#N/A</v>
      </c>
      <c r="L169" s="1622" t="str">
        <f t="shared" si="2"/>
        <v>,,,,</v>
      </c>
      <c r="S169" s="90" t="s">
        <v>295</v>
      </c>
    </row>
    <row r="170" spans="1:24" ht="15.95" customHeight="1">
      <c r="A170" s="90" t="s">
        <v>154</v>
      </c>
      <c r="B170" s="1622" t="s">
        <v>1526</v>
      </c>
      <c r="C170" s="1606" t="s">
        <v>1516</v>
      </c>
      <c r="D170" s="1606" t="s">
        <v>1516</v>
      </c>
      <c r="E170" s="1606" t="s">
        <v>1532</v>
      </c>
      <c r="I170" s="1622" t="s">
        <v>1529</v>
      </c>
      <c r="J170" s="1622" t="str">
        <f>VLOOKUP($A170,'Diesel Data'!$A$2:$K$196,10,FALSE)</f>
        <v>unknown</v>
      </c>
      <c r="K170" s="1622" t="str">
        <f>VLOOKUP($A170,'Diesel Data'!$A$2:$K$196,11,FALSE)</f>
        <v>unknown</v>
      </c>
      <c r="L170" s="1622" t="str">
        <f t="shared" si="2"/>
        <v>Pump House,Rec. Hall,,,</v>
      </c>
      <c r="R170" s="90" t="s">
        <v>1538</v>
      </c>
      <c r="S170" s="90" t="s">
        <v>1030</v>
      </c>
    </row>
    <row r="171" spans="1:24" ht="15.95" customHeight="1">
      <c r="A171" s="90" t="s">
        <v>1022</v>
      </c>
      <c r="B171" s="1622" t="s">
        <v>1515</v>
      </c>
      <c r="C171" s="1606" t="s">
        <v>1516</v>
      </c>
      <c r="D171" s="1606" t="s">
        <v>1516</v>
      </c>
      <c r="E171" s="1606" t="s">
        <v>1532</v>
      </c>
      <c r="I171" s="1622" t="s">
        <v>1529</v>
      </c>
      <c r="J171" s="1622" t="e">
        <f>VLOOKUP($A171,'Diesel Data'!$A$2:$K$196,10,FALSE)</f>
        <v>#N/A</v>
      </c>
      <c r="K171" s="1622" t="e">
        <f>VLOOKUP($A171,'Diesel Data'!$A$2:$K$196,11,FALSE)</f>
        <v>#N/A</v>
      </c>
      <c r="L171" s="1622" t="str">
        <f t="shared" si="2"/>
        <v>,,,,</v>
      </c>
      <c r="N171" s="1590" t="s">
        <v>1705</v>
      </c>
      <c r="R171" s="90" t="s">
        <v>1541</v>
      </c>
      <c r="S171" s="90" t="s">
        <v>296</v>
      </c>
    </row>
    <row r="172" spans="1:24" ht="15.95" customHeight="1">
      <c r="A172" s="90" t="s">
        <v>1023</v>
      </c>
      <c r="J172" s="1622" t="e">
        <f>VLOOKUP($A172,'Diesel Data'!$A$2:$K$196,10,FALSE)</f>
        <v>#N/A</v>
      </c>
      <c r="K172" s="1622" t="e">
        <f>VLOOKUP($A172,'Diesel Data'!$A$2:$K$196,11,FALSE)</f>
        <v>#N/A</v>
      </c>
      <c r="L172" s="1622" t="e">
        <f t="shared" si="2"/>
        <v>#N/A</v>
      </c>
      <c r="S172" s="90" t="s">
        <v>46</v>
      </c>
    </row>
    <row r="173" spans="1:24" ht="15.95" customHeight="1">
      <c r="A173" s="90" t="s">
        <v>1024</v>
      </c>
      <c r="J173" s="1622" t="str">
        <f>VLOOKUP($A173,'Diesel Data'!$A$2:$K$196,10,FALSE)</f>
        <v>N/A</v>
      </c>
      <c r="K173" s="1622" t="str">
        <f>VLOOKUP($A173,'Diesel Data'!$A$2:$K$196,11,FALSE)</f>
        <v>N/A</v>
      </c>
      <c r="L173" s="1622" t="str">
        <f t="shared" si="2"/>
        <v>,,,,</v>
      </c>
      <c r="R173" s="90" t="s">
        <v>1541</v>
      </c>
      <c r="S173" s="90" t="s">
        <v>162</v>
      </c>
      <c r="T173" s="90" t="s">
        <v>596</v>
      </c>
      <c r="V173" s="90" t="s">
        <v>2179</v>
      </c>
    </row>
    <row r="174" spans="1:24" ht="15.95" customHeight="1">
      <c r="A174" s="90" t="s">
        <v>1025</v>
      </c>
      <c r="J174" s="1622" t="e">
        <f>VLOOKUP($A174,'Diesel Data'!$A$2:$K$196,10,FALSE)</f>
        <v>#N/A</v>
      </c>
      <c r="K174" s="1622" t="e">
        <f>VLOOKUP($A174,'Diesel Data'!$A$2:$K$196,11,FALSE)</f>
        <v>#N/A</v>
      </c>
      <c r="L174" s="1622" t="str">
        <f t="shared" si="2"/>
        <v>,,,,</v>
      </c>
      <c r="S174" s="90" t="s">
        <v>1401</v>
      </c>
    </row>
    <row r="175" spans="1:24" ht="15.95" customHeight="1">
      <c r="A175" s="90" t="s">
        <v>294</v>
      </c>
      <c r="J175" s="1622">
        <f>VLOOKUP($A175,'Diesel Data'!$A$2:$K$196,10,FALSE)</f>
        <v>0</v>
      </c>
      <c r="K175" s="1622">
        <f>VLOOKUP($A175,'Diesel Data'!$A$2:$K$196,11,FALSE)</f>
        <v>0</v>
      </c>
      <c r="L175" s="1622" t="str">
        <f t="shared" si="2"/>
        <v>,,,,</v>
      </c>
      <c r="S175" s="90" t="s">
        <v>1031</v>
      </c>
    </row>
    <row r="176" spans="1:24" ht="15.95" customHeight="1">
      <c r="A176" s="90" t="s">
        <v>1398</v>
      </c>
      <c r="J176" s="1622" t="e">
        <f>VLOOKUP($A176,'Diesel Data'!$A$2:$K$196,10,FALSE)</f>
        <v>#N/A</v>
      </c>
      <c r="K176" s="1622" t="e">
        <f>VLOOKUP($A176,'Diesel Data'!$A$2:$K$196,11,FALSE)</f>
        <v>#N/A</v>
      </c>
      <c r="L176" s="1622" t="str">
        <f t="shared" si="2"/>
        <v>,,,,</v>
      </c>
      <c r="S176" s="90" t="s">
        <v>257</v>
      </c>
    </row>
    <row r="177" spans="1:25" ht="15.95" customHeight="1">
      <c r="A177" s="90" t="s">
        <v>1600</v>
      </c>
      <c r="J177" s="1622" t="e">
        <f>VLOOKUP($A177,'Diesel Data'!$A$2:$K$196,10,FALSE)</f>
        <v>#N/A</v>
      </c>
      <c r="K177" s="1622" t="e">
        <f>VLOOKUP($A177,'Diesel Data'!$A$2:$K$196,11,FALSE)</f>
        <v>#N/A</v>
      </c>
      <c r="L177" s="1622" t="e">
        <f t="shared" si="2"/>
        <v>#N/A</v>
      </c>
      <c r="S177" s="90" t="s">
        <v>84</v>
      </c>
    </row>
    <row r="178" spans="1:25" ht="15.95" customHeight="1">
      <c r="A178" s="90" t="s">
        <v>1399</v>
      </c>
      <c r="J178" s="1622" t="e">
        <f>VLOOKUP($A178,'Diesel Data'!$A$2:$K$196,10,FALSE)</f>
        <v>#N/A</v>
      </c>
      <c r="K178" s="1622" t="e">
        <f>VLOOKUP($A178,'Diesel Data'!$A$2:$K$196,11,FALSE)</f>
        <v>#N/A</v>
      </c>
      <c r="L178" s="1622" t="str">
        <f t="shared" si="2"/>
        <v>,,,,</v>
      </c>
      <c r="S178" s="90" t="s">
        <v>62</v>
      </c>
    </row>
    <row r="179" spans="1:25" ht="15.95" customHeight="1">
      <c r="A179" s="90" t="s">
        <v>15</v>
      </c>
      <c r="J179" s="1622" t="str">
        <f>VLOOKUP($A179,'Diesel Data'!$A$2:$K$196,10,FALSE)</f>
        <v>unknown</v>
      </c>
      <c r="K179" s="1622" t="str">
        <f>VLOOKUP($A179,'Diesel Data'!$A$2:$K$196,11,FALSE)</f>
        <v>unknown</v>
      </c>
      <c r="L179" s="1622" t="str">
        <f t="shared" si="2"/>
        <v>,,,,</v>
      </c>
      <c r="S179" s="90" t="s">
        <v>159</v>
      </c>
    </row>
    <row r="180" spans="1:25" ht="15.95" customHeight="1">
      <c r="A180" s="90" t="s">
        <v>208</v>
      </c>
      <c r="J180" s="1622" t="str">
        <f>VLOOKUP($A180,'Diesel Data'!$A$2:$K$196,10,FALSE)</f>
        <v>unknown</v>
      </c>
      <c r="K180" s="1622" t="str">
        <f>VLOOKUP($A180,'Diesel Data'!$A$2:$K$196,11,FALSE)</f>
        <v>unknown</v>
      </c>
      <c r="L180" s="1622" t="str">
        <f t="shared" si="2"/>
        <v>,,,,</v>
      </c>
      <c r="S180" s="90" t="s">
        <v>1602</v>
      </c>
    </row>
    <row r="181" spans="1:25" ht="15.95" customHeight="1">
      <c r="A181" s="90" t="s">
        <v>1601</v>
      </c>
      <c r="J181" s="1622" t="e">
        <f>VLOOKUP($A181,'Diesel Data'!$A$2:$K$196,10,FALSE)</f>
        <v>#N/A</v>
      </c>
      <c r="K181" s="1622" t="e">
        <f>VLOOKUP($A181,'Diesel Data'!$A$2:$K$196,11,FALSE)</f>
        <v>#N/A</v>
      </c>
      <c r="L181" s="1622" t="str">
        <f t="shared" si="2"/>
        <v>,,,,</v>
      </c>
      <c r="R181" s="90" t="s">
        <v>1559</v>
      </c>
      <c r="S181" s="90" t="s">
        <v>1603</v>
      </c>
    </row>
    <row r="182" spans="1:25" ht="15.95" customHeight="1">
      <c r="A182" s="90" t="s">
        <v>1490</v>
      </c>
      <c r="B182" s="1622" t="s">
        <v>1526</v>
      </c>
      <c r="C182" s="1606" t="s">
        <v>1532</v>
      </c>
      <c r="D182" s="1606" t="s">
        <v>1532</v>
      </c>
      <c r="E182" s="1606" t="s">
        <v>1532</v>
      </c>
      <c r="F182" s="1606" t="s">
        <v>1532</v>
      </c>
      <c r="I182" s="1622" t="s">
        <v>1529</v>
      </c>
      <c r="J182" s="1622" t="e">
        <f>VLOOKUP($A182,'Diesel Data'!$A$2:$K$196,10,FALSE)</f>
        <v>#N/A</v>
      </c>
      <c r="K182" s="1622" t="e">
        <f>VLOOKUP($A182,'Diesel Data'!$A$2:$K$196,11,FALSE)</f>
        <v>#N/A</v>
      </c>
      <c r="L182" s="1622" t="e">
        <f t="shared" si="2"/>
        <v>#N/A</v>
      </c>
      <c r="N182" s="1590" t="s">
        <v>1706</v>
      </c>
      <c r="O182" s="1590" t="s">
        <v>1558</v>
      </c>
      <c r="S182" s="90" t="s">
        <v>43</v>
      </c>
    </row>
    <row r="183" spans="1:25" ht="15.95" customHeight="1">
      <c r="A183" s="90" t="s">
        <v>82</v>
      </c>
      <c r="B183" s="1622" t="s">
        <v>1515</v>
      </c>
      <c r="C183" s="1606" t="s">
        <v>1516</v>
      </c>
      <c r="D183" s="1606" t="s">
        <v>1516</v>
      </c>
      <c r="E183" s="1606" t="s">
        <v>1516</v>
      </c>
      <c r="F183" s="1606" t="s">
        <v>1516</v>
      </c>
      <c r="I183" s="1622" t="s">
        <v>1529</v>
      </c>
      <c r="J183" s="1622" t="str">
        <f>VLOOKUP($A183,'Diesel Data'!$A$2:$K$196,10,FALSE)</f>
        <v>unknown</v>
      </c>
      <c r="K183" s="1622" t="str">
        <f>VLOOKUP($A183,'Diesel Data'!$A$2:$K$196,11,FALSE)</f>
        <v>unknown</v>
      </c>
      <c r="L183" s="1622" t="str">
        <f t="shared" si="2"/>
        <v>Power House,Related Modules,School ,,</v>
      </c>
      <c r="R183" s="90" t="s">
        <v>1564</v>
      </c>
      <c r="S183" s="90" t="s">
        <v>549</v>
      </c>
    </row>
    <row r="184" spans="1:25" ht="15.95" customHeight="1">
      <c r="A184" s="90" t="s">
        <v>1400</v>
      </c>
      <c r="J184" s="1622" t="e">
        <f>VLOOKUP($A184,'Diesel Data'!$A$2:$K$196,10,FALSE)</f>
        <v>#N/A</v>
      </c>
      <c r="K184" s="1622" t="e">
        <f>VLOOKUP($A184,'Diesel Data'!$A$2:$K$196,11,FALSE)</f>
        <v>#N/A</v>
      </c>
      <c r="L184" s="1622" t="str">
        <f t="shared" si="2"/>
        <v>,,,,</v>
      </c>
      <c r="S184" s="90" t="s">
        <v>1170</v>
      </c>
    </row>
    <row r="185" spans="1:25" ht="15.95" customHeight="1">
      <c r="A185" s="8" t="s">
        <v>112</v>
      </c>
      <c r="B185" s="1624" t="s">
        <v>1529</v>
      </c>
      <c r="C185" s="1604" t="s">
        <v>1532</v>
      </c>
      <c r="D185" s="1604" t="s">
        <v>1532</v>
      </c>
      <c r="E185" s="1604" t="s">
        <v>1516</v>
      </c>
      <c r="F185" s="1604" t="s">
        <v>1516</v>
      </c>
      <c r="G185" s="1604"/>
      <c r="H185" s="1604" t="s">
        <v>1707</v>
      </c>
      <c r="I185" s="1624" t="s">
        <v>1529</v>
      </c>
      <c r="J185" s="1622" t="str">
        <f>VLOOKUP($A185,'Diesel Data'!$A$2:$K$196,10,FALSE)</f>
        <v>unknown</v>
      </c>
      <c r="K185" s="1622" t="str">
        <f>VLOOKUP($A185,'Diesel Data'!$A$2:$K$196,11,FALSE)</f>
        <v>unknown</v>
      </c>
      <c r="L185" s="1622" t="str">
        <f t="shared" si="2"/>
        <v>,,,,</v>
      </c>
      <c r="M185" s="1637"/>
      <c r="N185" s="230" t="s">
        <v>1708</v>
      </c>
      <c r="S185" s="90" t="s">
        <v>44</v>
      </c>
      <c r="T185" s="90" t="s">
        <v>596</v>
      </c>
      <c r="V185" s="90" t="s">
        <v>2156</v>
      </c>
    </row>
    <row r="186" spans="1:25" ht="15.95" customHeight="1">
      <c r="A186" s="90" t="s">
        <v>1028</v>
      </c>
      <c r="J186" s="1622" t="str">
        <f>VLOOKUP($A186,'Diesel Data'!$A$2:$K$196,10,FALSE)</f>
        <v>unknown</v>
      </c>
      <c r="K186" s="1622" t="str">
        <f>VLOOKUP($A186,'Diesel Data'!$A$2:$K$196,11,FALSE)</f>
        <v>unknown</v>
      </c>
      <c r="L186" s="1622" t="str">
        <f t="shared" si="2"/>
        <v>,,,,</v>
      </c>
      <c r="R186" s="90" t="s">
        <v>1541</v>
      </c>
      <c r="S186" s="90" t="s">
        <v>167</v>
      </c>
      <c r="T186" s="90" t="s">
        <v>596</v>
      </c>
      <c r="V186" s="90" t="s">
        <v>2180</v>
      </c>
      <c r="W186" s="90" t="s">
        <v>665</v>
      </c>
      <c r="X186" s="90" t="s">
        <v>2181</v>
      </c>
      <c r="Y186" s="90" t="s">
        <v>2182</v>
      </c>
    </row>
    <row r="187" spans="1:25" ht="15.95" customHeight="1">
      <c r="A187" s="90" t="s">
        <v>83</v>
      </c>
      <c r="B187" s="1622" t="s">
        <v>1526</v>
      </c>
      <c r="C187" s="1606" t="s">
        <v>1516</v>
      </c>
      <c r="D187" s="1606" t="s">
        <v>1516</v>
      </c>
      <c r="E187" s="1606" t="s">
        <v>1532</v>
      </c>
      <c r="I187" s="1622" t="s">
        <v>1515</v>
      </c>
      <c r="J187" s="1622" t="str">
        <f>VLOOKUP($A187,'Diesel Data'!$A$2:$K$196,10,FALSE)</f>
        <v>N/A</v>
      </c>
      <c r="K187" s="1622" t="str">
        <f>VLOOKUP($A187,'Diesel Data'!$A$2:$K$196,11,FALSE)</f>
        <v>N/A</v>
      </c>
      <c r="L187" s="1622" t="str">
        <f t="shared" si="2"/>
        <v>Plant,Community Center,,,</v>
      </c>
      <c r="O187" s="1590" t="s">
        <v>1534</v>
      </c>
      <c r="S187" s="90" t="s">
        <v>38</v>
      </c>
      <c r="T187" s="90" t="s">
        <v>596</v>
      </c>
      <c r="U187" s="90" t="s">
        <v>596</v>
      </c>
      <c r="V187" s="90" t="s">
        <v>2142</v>
      </c>
      <c r="W187" s="90" t="s">
        <v>2183</v>
      </c>
    </row>
    <row r="188" spans="1:25" ht="15.95" customHeight="1">
      <c r="A188" s="90" t="s">
        <v>1029</v>
      </c>
      <c r="J188" s="1622" t="e">
        <f>VLOOKUP($A188,'Diesel Data'!$A$2:$K$196,10,FALSE)</f>
        <v>#N/A</v>
      </c>
      <c r="K188" s="1622" t="e">
        <f>VLOOKUP($A188,'Diesel Data'!$A$2:$K$196,11,FALSE)</f>
        <v>#N/A</v>
      </c>
      <c r="L188" s="1622" t="str">
        <f t="shared" si="2"/>
        <v>,,,,</v>
      </c>
      <c r="S188" s="90" t="s">
        <v>169</v>
      </c>
      <c r="T188" s="90" t="s">
        <v>596</v>
      </c>
      <c r="V188" s="90" t="s">
        <v>2184</v>
      </c>
    </row>
    <row r="189" spans="1:25" ht="15.95" customHeight="1">
      <c r="A189" s="90" t="s">
        <v>295</v>
      </c>
      <c r="J189" s="1622" t="e">
        <f>VLOOKUP($A189,'Diesel Data'!$A$2:$K$196,10,FALSE)</f>
        <v>#N/A</v>
      </c>
      <c r="K189" s="1622" t="e">
        <f>VLOOKUP($A189,'Diesel Data'!$A$2:$K$196,11,FALSE)</f>
        <v>#N/A</v>
      </c>
      <c r="L189" s="1622" t="str">
        <f t="shared" si="2"/>
        <v>,,,,</v>
      </c>
      <c r="S189" s="90" t="s">
        <v>33</v>
      </c>
    </row>
    <row r="190" spans="1:25" ht="15.95" customHeight="1">
      <c r="A190" s="90" t="s">
        <v>1030</v>
      </c>
      <c r="B190" s="1622" t="s">
        <v>1526</v>
      </c>
      <c r="C190" s="1606" t="s">
        <v>1532</v>
      </c>
      <c r="D190" s="1606" t="s">
        <v>1532</v>
      </c>
      <c r="E190" s="1606" t="s">
        <v>1532</v>
      </c>
      <c r="I190" s="1622" t="s">
        <v>1515</v>
      </c>
      <c r="J190" s="1622" t="e">
        <f>VLOOKUP($A190,'Diesel Data'!$A$2:$K$196,10,FALSE)</f>
        <v>#N/A</v>
      </c>
      <c r="K190" s="1622" t="e">
        <f>VLOOKUP($A190,'Diesel Data'!$A$2:$K$196,11,FALSE)</f>
        <v>#N/A</v>
      </c>
      <c r="L190" s="1622" t="str">
        <f t="shared" si="2"/>
        <v>,,,,</v>
      </c>
      <c r="N190" s="1590" t="s">
        <v>1686</v>
      </c>
      <c r="R190" s="90" t="s">
        <v>1541</v>
      </c>
      <c r="S190" s="90" t="s">
        <v>85</v>
      </c>
    </row>
    <row r="191" spans="1:25" ht="15.95" customHeight="1">
      <c r="A191" s="90" t="s">
        <v>296</v>
      </c>
      <c r="J191" s="1622">
        <f>VLOOKUP($A191,'Diesel Data'!$A$2:$K$196,10,FALSE)</f>
        <v>0</v>
      </c>
      <c r="K191" s="1622">
        <f>VLOOKUP($A191,'Diesel Data'!$A$2:$K$196,11,FALSE)</f>
        <v>0</v>
      </c>
      <c r="L191" s="1622" t="str">
        <f t="shared" si="2"/>
        <v>,,,,</v>
      </c>
      <c r="S191" s="90" t="s">
        <v>258</v>
      </c>
      <c r="T191" s="90" t="s">
        <v>596</v>
      </c>
      <c r="V191" s="90" t="s">
        <v>2156</v>
      </c>
    </row>
    <row r="192" spans="1:25" ht="15.95" customHeight="1">
      <c r="A192" s="90" t="s">
        <v>46</v>
      </c>
      <c r="J192" s="1622" t="str">
        <f>VLOOKUP($A192,'Diesel Data'!$A$2:$K$196,10,FALSE)</f>
        <v>unknown</v>
      </c>
      <c r="K192" s="1622" t="str">
        <f>VLOOKUP($A192,'Diesel Data'!$A$2:$K$196,11,FALSE)</f>
        <v>unknown</v>
      </c>
      <c r="L192" s="1622" t="str">
        <f t="shared" si="2"/>
        <v>,,,,</v>
      </c>
      <c r="S192" s="90" t="s">
        <v>1032</v>
      </c>
    </row>
    <row r="193" spans="1:23" ht="15.95" customHeight="1">
      <c r="A193" s="90" t="s">
        <v>162</v>
      </c>
      <c r="B193" s="1622" t="s">
        <v>1526</v>
      </c>
      <c r="C193" s="1606" t="s">
        <v>1516</v>
      </c>
      <c r="D193" s="1606" t="s">
        <v>1516</v>
      </c>
      <c r="E193" s="1606" t="s">
        <v>1532</v>
      </c>
      <c r="I193" s="1622" t="s">
        <v>1515</v>
      </c>
      <c r="J193" s="1622" t="str">
        <f>VLOOKUP($A193,'Diesel Data'!$A$2:$K$196,10,FALSE)</f>
        <v>work being completed</v>
      </c>
      <c r="K193" s="1622" t="str">
        <f>VLOOKUP($A193,'Diesel Data'!$A$2:$K$196,11,FALSE)</f>
        <v>none</v>
      </c>
      <c r="L193" s="1622" t="str">
        <f t="shared" si="2"/>
        <v>Community buildings,,,,</v>
      </c>
      <c r="R193" s="90" t="s">
        <v>1541</v>
      </c>
      <c r="S193" s="90" t="s">
        <v>173</v>
      </c>
      <c r="T193" s="90" t="s">
        <v>596</v>
      </c>
      <c r="V193" s="90" t="s">
        <v>2185</v>
      </c>
    </row>
    <row r="194" spans="1:23" ht="15.95" customHeight="1">
      <c r="A194" s="90" t="s">
        <v>1401</v>
      </c>
      <c r="H194" s="1606" t="s">
        <v>814</v>
      </c>
      <c r="J194" s="1622" t="e">
        <f>VLOOKUP($A194,'Diesel Data'!$A$2:$K$196,10,FALSE)</f>
        <v>#N/A</v>
      </c>
      <c r="K194" s="1622" t="e">
        <f>VLOOKUP($A194,'Diesel Data'!$A$2:$K$196,11,FALSE)</f>
        <v>#N/A</v>
      </c>
      <c r="L194" s="1622" t="str">
        <f t="shared" si="2"/>
        <v>,,,,</v>
      </c>
      <c r="R194" s="90" t="s">
        <v>1541</v>
      </c>
      <c r="S194" s="90" t="s">
        <v>1033</v>
      </c>
      <c r="T194" s="90" t="s">
        <v>596</v>
      </c>
      <c r="U194" s="90" t="s">
        <v>596</v>
      </c>
      <c r="V194" s="90" t="s">
        <v>2142</v>
      </c>
    </row>
    <row r="195" spans="1:23" ht="15.95" customHeight="1">
      <c r="A195" s="90" t="s">
        <v>1031</v>
      </c>
      <c r="B195" s="1622" t="s">
        <v>1526</v>
      </c>
      <c r="C195" s="1606" t="s">
        <v>1532</v>
      </c>
      <c r="D195" s="1606" t="s">
        <v>1532</v>
      </c>
      <c r="E195" s="1606" t="s">
        <v>1532</v>
      </c>
      <c r="I195" s="1622" t="s">
        <v>1515</v>
      </c>
      <c r="J195" s="1622" t="e">
        <f>VLOOKUP($A195,'Diesel Data'!$A$2:$K$196,10,FALSE)</f>
        <v>#N/A</v>
      </c>
      <c r="K195" s="1622" t="e">
        <f>VLOOKUP($A195,'Diesel Data'!$A$2:$K$196,11,FALSE)</f>
        <v>#N/A</v>
      </c>
      <c r="L195" s="1622" t="str">
        <f t="shared" si="2"/>
        <v>,,,,</v>
      </c>
      <c r="N195" s="1590" t="s">
        <v>1709</v>
      </c>
      <c r="R195" s="90" t="s">
        <v>1541</v>
      </c>
      <c r="S195" s="90" t="s">
        <v>1366</v>
      </c>
    </row>
    <row r="196" spans="1:23" ht="15.95" customHeight="1">
      <c r="A196" s="90" t="s">
        <v>257</v>
      </c>
      <c r="B196" s="1622" t="s">
        <v>1526</v>
      </c>
      <c r="C196" s="1606" t="s">
        <v>1516</v>
      </c>
      <c r="D196" s="1606" t="s">
        <v>1516</v>
      </c>
      <c r="E196" s="1606" t="s">
        <v>1532</v>
      </c>
      <c r="I196" s="1622" t="s">
        <v>1515</v>
      </c>
      <c r="J196" s="1622" t="e">
        <f>VLOOKUP($A196,'Diesel Data'!$A$2:$K$196,10,FALSE)</f>
        <v>#N/A</v>
      </c>
      <c r="K196" s="1622" t="e">
        <f>VLOOKUP($A196,'Diesel Data'!$A$2:$K$196,11,FALSE)</f>
        <v>#N/A</v>
      </c>
      <c r="L196" s="1622" t="str">
        <f t="shared" ref="L196:L259" si="3">CONCATENATE(VLOOKUP(A196,$S$2:$Z$379,4,FALSE),",",VLOOKUP(A196,$S$2:$Z$379,5,FALSE),",",VLOOKUP(A196,$S$2:$Z$379,6,FALSE),",",VLOOKUP(A196,$S$2:$Z$379,7,FALSE),",",VLOOKUP(A196,$S$2:$Z$379,8,FALSE))</f>
        <v>,,,,</v>
      </c>
      <c r="N196" s="1590" t="s">
        <v>1710</v>
      </c>
      <c r="O196" s="1590" t="s">
        <v>1563</v>
      </c>
      <c r="R196" s="90" t="s">
        <v>1624</v>
      </c>
      <c r="S196" s="90" t="s">
        <v>1179</v>
      </c>
    </row>
    <row r="197" spans="1:23" ht="15.95" customHeight="1">
      <c r="A197" s="90" t="s">
        <v>84</v>
      </c>
      <c r="J197" s="1622" t="str">
        <f>VLOOKUP($A197,'Diesel Data'!$A$2:$K$196,10,FALSE)</f>
        <v>operator new, not aware AVEC has records</v>
      </c>
      <c r="K197" s="1622" t="str">
        <f>VLOOKUP($A197,'Diesel Data'!$A$2:$K$196,11,FALSE)</f>
        <v>operator new, not aware AVEC has records</v>
      </c>
      <c r="L197" s="1622" t="str">
        <f t="shared" si="3"/>
        <v>,,,,</v>
      </c>
      <c r="S197" s="90" t="s">
        <v>1604</v>
      </c>
    </row>
    <row r="198" spans="1:23" ht="15.95" customHeight="1">
      <c r="A198" s="90" t="s">
        <v>62</v>
      </c>
      <c r="J198" s="1622">
        <f>VLOOKUP($A198,'Diesel Data'!$A$2:$K$196,10,FALSE)</f>
        <v>0</v>
      </c>
      <c r="K198" s="1622">
        <f>VLOOKUP($A198,'Diesel Data'!$A$2:$K$196,11,FALSE)</f>
        <v>0</v>
      </c>
      <c r="L198" s="1622" t="str">
        <f t="shared" si="3"/>
        <v>,,,,</v>
      </c>
      <c r="S198" s="90" t="s">
        <v>177</v>
      </c>
      <c r="T198" s="90" t="s">
        <v>597</v>
      </c>
    </row>
    <row r="199" spans="1:23" ht="15.95" customHeight="1">
      <c r="A199" s="90" t="s">
        <v>159</v>
      </c>
      <c r="J199" s="1622" t="e">
        <f>VLOOKUP($A199,'Diesel Data'!$A$2:$K$196,10,FALSE)</f>
        <v>#N/A</v>
      </c>
      <c r="K199" s="1622" t="e">
        <f>VLOOKUP($A199,'Diesel Data'!$A$2:$K$196,11,FALSE)</f>
        <v>#N/A</v>
      </c>
      <c r="L199" s="1622" t="str">
        <f t="shared" si="3"/>
        <v>,,,,</v>
      </c>
      <c r="S199" s="90" t="s">
        <v>1605</v>
      </c>
    </row>
    <row r="200" spans="1:23" ht="15.95" customHeight="1">
      <c r="A200" s="90" t="s">
        <v>1602</v>
      </c>
      <c r="J200" s="1622" t="e">
        <f>VLOOKUP($A200,'Diesel Data'!$A$2:$K$196,10,FALSE)</f>
        <v>#N/A</v>
      </c>
      <c r="K200" s="1622" t="e">
        <f>VLOOKUP($A200,'Diesel Data'!$A$2:$K$196,11,FALSE)</f>
        <v>#N/A</v>
      </c>
      <c r="L200" s="1622" t="str">
        <f t="shared" si="3"/>
        <v>,,,,</v>
      </c>
      <c r="S200" s="90" t="s">
        <v>179</v>
      </c>
      <c r="T200" s="90" t="s">
        <v>596</v>
      </c>
      <c r="V200" s="90" t="s">
        <v>2156</v>
      </c>
    </row>
    <row r="201" spans="1:23" ht="15.95" customHeight="1">
      <c r="A201" s="90" t="s">
        <v>1603</v>
      </c>
      <c r="J201" s="1622" t="e">
        <f>VLOOKUP($A201,'Diesel Data'!$A$2:$K$196,10,FALSE)</f>
        <v>#N/A</v>
      </c>
      <c r="K201" s="1622" t="e">
        <f>VLOOKUP($A201,'Diesel Data'!$A$2:$K$196,11,FALSE)</f>
        <v>#N/A</v>
      </c>
      <c r="L201" s="1622" t="str">
        <f t="shared" si="3"/>
        <v>,,,,</v>
      </c>
      <c r="S201" s="90" t="s">
        <v>181</v>
      </c>
      <c r="T201" s="90" t="s">
        <v>597</v>
      </c>
    </row>
    <row r="202" spans="1:23" ht="15.95" customHeight="1">
      <c r="A202" s="90" t="s">
        <v>43</v>
      </c>
      <c r="J202" s="1622" t="str">
        <f>VLOOKUP($A202,'Diesel Data'!$A$2:$K$196,10,FALSE)</f>
        <v>N/A</v>
      </c>
      <c r="K202" s="1622" t="str">
        <f>VLOOKUP($A202,'Diesel Data'!$A$2:$K$196,11,FALSE)</f>
        <v>N/A</v>
      </c>
      <c r="L202" s="1622" t="str">
        <f t="shared" si="3"/>
        <v>,,,,</v>
      </c>
      <c r="S202" s="90" t="s">
        <v>1378</v>
      </c>
    </row>
    <row r="203" spans="1:23" ht="15.95" customHeight="1">
      <c r="A203" s="8" t="s">
        <v>549</v>
      </c>
      <c r="B203" s="1624" t="s">
        <v>1526</v>
      </c>
      <c r="C203" s="1605" t="s">
        <v>1532</v>
      </c>
      <c r="D203" s="1604" t="s">
        <v>1532</v>
      </c>
      <c r="E203" s="1604" t="s">
        <v>1516</v>
      </c>
      <c r="F203" s="1605" t="s">
        <v>1516</v>
      </c>
      <c r="G203" s="1604"/>
      <c r="H203" s="1604"/>
      <c r="I203" s="1624" t="s">
        <v>1529</v>
      </c>
      <c r="J203" s="1622">
        <f>VLOOKUP($A203,'Diesel Data'!$A$2:$K$196,10,FALSE)</f>
        <v>0</v>
      </c>
      <c r="K203" s="1622">
        <f>VLOOKUP($A203,'Diesel Data'!$A$2:$K$196,11,FALSE)</f>
        <v>0</v>
      </c>
      <c r="L203" s="1622" t="str">
        <f t="shared" si="3"/>
        <v>,,,,</v>
      </c>
      <c r="M203" s="1637"/>
      <c r="N203" s="230" t="s">
        <v>1711</v>
      </c>
      <c r="S203" s="90" t="s">
        <v>1404</v>
      </c>
    </row>
    <row r="204" spans="1:23" ht="15.95" customHeight="1">
      <c r="A204" s="90" t="s">
        <v>1170</v>
      </c>
      <c r="J204" s="1622" t="e">
        <f>VLOOKUP($A204,'Diesel Data'!$A$2:$K$196,10,FALSE)</f>
        <v>#N/A</v>
      </c>
      <c r="K204" s="1622" t="e">
        <f>VLOOKUP($A204,'Diesel Data'!$A$2:$K$196,11,FALSE)</f>
        <v>#N/A</v>
      </c>
      <c r="L204" s="1622" t="str">
        <f t="shared" si="3"/>
        <v>,,,,</v>
      </c>
      <c r="S204" s="90" t="s">
        <v>86</v>
      </c>
      <c r="T204" s="90" t="s">
        <v>597</v>
      </c>
    </row>
    <row r="205" spans="1:23" ht="15.95" customHeight="1">
      <c r="A205" s="90" t="s">
        <v>44</v>
      </c>
      <c r="B205" s="1622" t="s">
        <v>1515</v>
      </c>
      <c r="C205" s="1606" t="s">
        <v>1516</v>
      </c>
      <c r="D205" s="1606" t="s">
        <v>1516</v>
      </c>
      <c r="E205" s="1606" t="s">
        <v>1532</v>
      </c>
      <c r="I205" s="1622" t="s">
        <v>1529</v>
      </c>
      <c r="J205" s="1622" t="str">
        <f>VLOOKUP($A205,'Diesel Data'!$A$2:$K$196,10,FALSE)</f>
        <v>unknown</v>
      </c>
      <c r="K205" s="1622" t="str">
        <f>VLOOKUP($A205,'Diesel Data'!$A$2:$K$196,11,FALSE)</f>
        <v>unknown</v>
      </c>
      <c r="L205" s="1622" t="str">
        <f t="shared" si="3"/>
        <v>School,,,,</v>
      </c>
      <c r="N205" s="1590" t="s">
        <v>1712</v>
      </c>
      <c r="S205" s="90" t="s">
        <v>1376</v>
      </c>
    </row>
    <row r="206" spans="1:23" ht="15.95" customHeight="1">
      <c r="A206" s="90" t="s">
        <v>167</v>
      </c>
      <c r="B206" s="1622" t="s">
        <v>1515</v>
      </c>
      <c r="C206" s="1606" t="s">
        <v>1516</v>
      </c>
      <c r="D206" s="1606" t="s">
        <v>1516</v>
      </c>
      <c r="E206" s="1606" t="s">
        <v>1516</v>
      </c>
      <c r="H206" s="1606" t="s">
        <v>1713</v>
      </c>
      <c r="I206" s="1622" t="s">
        <v>1529</v>
      </c>
      <c r="J206" s="1622" t="str">
        <f>VLOOKUP($A206,'Diesel Data'!$A$2:$K$196,10,FALSE)</f>
        <v>unknown</v>
      </c>
      <c r="K206" s="1622" t="str">
        <f>VLOOKUP($A206,'Diesel Data'!$A$2:$K$196,11,FALSE)</f>
        <v>unknown</v>
      </c>
      <c r="L206" s="1622" t="str">
        <f t="shared" si="3"/>
        <v>Garage,Office,Clinic ,New School,</v>
      </c>
      <c r="S206" s="90" t="s">
        <v>1034</v>
      </c>
      <c r="T206" s="90" t="s">
        <v>596</v>
      </c>
      <c r="V206" s="90" t="s">
        <v>2186</v>
      </c>
      <c r="W206" s="90" t="s">
        <v>2187</v>
      </c>
    </row>
    <row r="207" spans="1:23" ht="15.95" customHeight="1">
      <c r="A207" s="90" t="s">
        <v>38</v>
      </c>
      <c r="B207" s="1622" t="s">
        <v>1515</v>
      </c>
      <c r="C207" s="1606" t="s">
        <v>1516</v>
      </c>
      <c r="D207" s="1606" t="s">
        <v>1516</v>
      </c>
      <c r="E207" s="1606" t="s">
        <v>1532</v>
      </c>
      <c r="I207" s="1622" t="s">
        <v>1515</v>
      </c>
      <c r="J207" s="1622" t="str">
        <f>VLOOKUP($A207,'Diesel Data'!$A$2:$K$196,10,FALSE)</f>
        <v>unknown</v>
      </c>
      <c r="K207" s="1622" t="str">
        <f>VLOOKUP($A207,'Diesel Data'!$A$2:$K$196,11,FALSE)</f>
        <v>unknown</v>
      </c>
      <c r="L207" s="1622" t="str">
        <f t="shared" si="3"/>
        <v>Water Plant,Laundromat,,,</v>
      </c>
      <c r="N207" s="1618" t="s">
        <v>1714</v>
      </c>
      <c r="O207" s="1590" t="s">
        <v>1534</v>
      </c>
      <c r="S207" s="90" t="s">
        <v>185</v>
      </c>
      <c r="T207" s="90" t="s">
        <v>596</v>
      </c>
    </row>
    <row r="208" spans="1:23" ht="15.95" customHeight="1">
      <c r="A208" s="90" t="s">
        <v>169</v>
      </c>
      <c r="B208" s="1622" t="s">
        <v>1526</v>
      </c>
      <c r="C208" s="1606" t="s">
        <v>1516</v>
      </c>
      <c r="D208" s="1606" t="s">
        <v>1516</v>
      </c>
      <c r="E208" s="1606" t="s">
        <v>1532</v>
      </c>
      <c r="I208" s="1622" t="s">
        <v>1515</v>
      </c>
      <c r="J208" s="1622" t="str">
        <f>VLOOKUP($A208,'Diesel Data'!$A$2:$K$196,10,FALSE)</f>
        <v>unknown</v>
      </c>
      <c r="K208" s="1622" t="str">
        <f>VLOOKUP($A208,'Diesel Data'!$A$2:$K$196,11,FALSE)</f>
        <v>unknown</v>
      </c>
      <c r="L208" s="1622" t="str">
        <f t="shared" si="3"/>
        <v>School Plant Facility,,,,</v>
      </c>
      <c r="S208" s="90" t="s">
        <v>87</v>
      </c>
      <c r="T208" s="90" t="s">
        <v>596</v>
      </c>
      <c r="U208" s="90" t="s">
        <v>596</v>
      </c>
      <c r="V208" s="90" t="s">
        <v>2161</v>
      </c>
    </row>
    <row r="209" spans="1:26" ht="15.95" customHeight="1">
      <c r="A209" s="90" t="s">
        <v>33</v>
      </c>
      <c r="J209" s="1622">
        <f>VLOOKUP($A209,'Diesel Data'!$A$2:$K$196,10,FALSE)</f>
        <v>0</v>
      </c>
      <c r="K209" s="1622">
        <f>VLOOKUP($A209,'Diesel Data'!$A$2:$K$196,11,FALSE)</f>
        <v>0</v>
      </c>
      <c r="L209" s="1622" t="str">
        <f t="shared" si="3"/>
        <v>,,,,</v>
      </c>
      <c r="S209" s="90" t="s">
        <v>1405</v>
      </c>
    </row>
    <row r="210" spans="1:26" ht="15.95" customHeight="1">
      <c r="A210" s="90" t="s">
        <v>85</v>
      </c>
      <c r="J210" s="1622" t="str">
        <f>VLOOKUP($A210,'Diesel Data'!$A$2:$K$196,10,FALSE)</f>
        <v>unknown</v>
      </c>
      <c r="K210" s="1622" t="str">
        <f>VLOOKUP($A210,'Diesel Data'!$A$2:$K$196,11,FALSE)</f>
        <v>unknown</v>
      </c>
      <c r="L210" s="1622" t="str">
        <f t="shared" si="3"/>
        <v>,,,,</v>
      </c>
      <c r="S210" s="90" t="s">
        <v>1035</v>
      </c>
    </row>
    <row r="211" spans="1:26" ht="15.95" customHeight="1">
      <c r="A211" s="90" t="s">
        <v>258</v>
      </c>
      <c r="B211" s="1622" t="s">
        <v>1515</v>
      </c>
      <c r="C211" s="1606" t="s">
        <v>1516</v>
      </c>
      <c r="D211" s="1606" t="s">
        <v>1516</v>
      </c>
      <c r="E211" s="1606" t="s">
        <v>1516</v>
      </c>
      <c r="F211" s="1606" t="s">
        <v>1516</v>
      </c>
      <c r="I211" s="1622" t="s">
        <v>1526</v>
      </c>
      <c r="J211" s="1622">
        <f>VLOOKUP($A211,'Diesel Data'!$A$2:$K$196,10,FALSE)</f>
        <v>18250</v>
      </c>
      <c r="K211" s="1622" t="str">
        <f>VLOOKUP($A211,'Diesel Data'!$A$2:$K$196,11,FALSE)</f>
        <v>none</v>
      </c>
      <c r="L211" s="1622" t="str">
        <f t="shared" si="3"/>
        <v>School,,,,</v>
      </c>
      <c r="N211" s="1590" t="s">
        <v>1715</v>
      </c>
      <c r="S211" s="90" t="s">
        <v>16</v>
      </c>
      <c r="T211" s="90" t="s">
        <v>596</v>
      </c>
      <c r="V211" s="90" t="s">
        <v>2156</v>
      </c>
      <c r="W211" s="90" t="s">
        <v>2168</v>
      </c>
      <c r="X211" s="90" t="s">
        <v>2188</v>
      </c>
      <c r="Y211" s="90" t="s">
        <v>2189</v>
      </c>
      <c r="Z211" s="90" t="s">
        <v>2190</v>
      </c>
    </row>
    <row r="212" spans="1:26" ht="15.95" customHeight="1">
      <c r="A212" s="90" t="s">
        <v>1032</v>
      </c>
      <c r="J212" s="1622" t="e">
        <f>VLOOKUP($A212,'Diesel Data'!$A$2:$K$196,10,FALSE)</f>
        <v>#N/A</v>
      </c>
      <c r="K212" s="1622" t="e">
        <f>VLOOKUP($A212,'Diesel Data'!$A$2:$K$196,11,FALSE)</f>
        <v>#N/A</v>
      </c>
      <c r="L212" s="1622" t="str">
        <f t="shared" si="3"/>
        <v>,,,,</v>
      </c>
      <c r="S212" s="90" t="s">
        <v>1367</v>
      </c>
    </row>
    <row r="213" spans="1:26" ht="15.95" customHeight="1">
      <c r="A213" s="90" t="s">
        <v>173</v>
      </c>
      <c r="B213" s="1622" t="s">
        <v>1515</v>
      </c>
      <c r="C213" s="1606" t="s">
        <v>1516</v>
      </c>
      <c r="D213" s="1606" t="s">
        <v>1516</v>
      </c>
      <c r="E213" s="1606" t="s">
        <v>1516</v>
      </c>
      <c r="H213" s="1606" t="s">
        <v>1661</v>
      </c>
      <c r="I213" s="1622" t="s">
        <v>1529</v>
      </c>
      <c r="J213" s="1622" t="str">
        <f>VLOOKUP($A213,'Diesel Data'!$A$2:$K$196,10,FALSE)</f>
        <v>N/A</v>
      </c>
      <c r="K213" s="1622" t="str">
        <f>VLOOKUP($A213,'Diesel Data'!$A$2:$K$196,11,FALSE)</f>
        <v>N/A</v>
      </c>
      <c r="L213" s="1622" t="str">
        <f t="shared" si="3"/>
        <v>High school,,,,</v>
      </c>
      <c r="N213" s="1590" t="s">
        <v>1716</v>
      </c>
      <c r="O213" s="1590" t="s">
        <v>1567</v>
      </c>
      <c r="S213" s="90" t="s">
        <v>1606</v>
      </c>
    </row>
    <row r="214" spans="1:26" ht="15.95" customHeight="1">
      <c r="A214" s="90" t="s">
        <v>1033</v>
      </c>
      <c r="B214" s="1622" t="s">
        <v>1529</v>
      </c>
      <c r="C214" s="1606" t="s">
        <v>1532</v>
      </c>
      <c r="D214" s="1606" t="s">
        <v>1532</v>
      </c>
      <c r="E214" s="1606" t="s">
        <v>1516</v>
      </c>
      <c r="F214" s="1606" t="s">
        <v>1516</v>
      </c>
      <c r="H214" s="1606" t="s">
        <v>1673</v>
      </c>
      <c r="I214" s="1622" t="s">
        <v>1515</v>
      </c>
      <c r="J214" s="1622">
        <f>VLOOKUP($A214,'Diesel Data'!$A$2:$K$196,10,FALSE)</f>
        <v>0</v>
      </c>
      <c r="K214" s="1622">
        <f>VLOOKUP($A214,'Diesel Data'!$A$2:$K$196,11,FALSE)</f>
        <v>0</v>
      </c>
      <c r="L214" s="1622" t="str">
        <f t="shared" si="3"/>
        <v>Water Plant,,,,</v>
      </c>
      <c r="N214" s="1618" t="s">
        <v>1717</v>
      </c>
      <c r="O214" s="1590" t="s">
        <v>1534</v>
      </c>
      <c r="S214" s="90" t="s">
        <v>28</v>
      </c>
      <c r="T214" s="90" t="s">
        <v>2191</v>
      </c>
    </row>
    <row r="215" spans="1:26" ht="15.95" customHeight="1">
      <c r="A215" s="90" t="s">
        <v>1366</v>
      </c>
      <c r="J215" s="1622" t="e">
        <f>VLOOKUP($A215,'Diesel Data'!$A$2:$K$196,10,FALSE)</f>
        <v>#N/A</v>
      </c>
      <c r="K215" s="1622" t="e">
        <f>VLOOKUP($A215,'Diesel Data'!$A$2:$K$196,11,FALSE)</f>
        <v>#N/A</v>
      </c>
      <c r="L215" s="1622" t="str">
        <f t="shared" si="3"/>
        <v>,,,,</v>
      </c>
      <c r="S215" s="90" t="s">
        <v>1357</v>
      </c>
    </row>
    <row r="216" spans="1:26" ht="15.95" customHeight="1">
      <c r="A216" s="90" t="s">
        <v>1179</v>
      </c>
      <c r="B216" s="1622" t="s">
        <v>1526</v>
      </c>
      <c r="I216" s="1622" t="s">
        <v>1526</v>
      </c>
      <c r="J216" s="1622" t="e">
        <f>VLOOKUP($A216,'Diesel Data'!$A$2:$K$196,10,FALSE)</f>
        <v>#N/A</v>
      </c>
      <c r="K216" s="1622" t="e">
        <f>VLOOKUP($A216,'Diesel Data'!$A$2:$K$196,11,FALSE)</f>
        <v>#N/A</v>
      </c>
      <c r="L216" s="1622" t="str">
        <f t="shared" si="3"/>
        <v>,,,,</v>
      </c>
      <c r="N216" s="1590" t="s">
        <v>1568</v>
      </c>
      <c r="S216" s="90" t="s">
        <v>1037</v>
      </c>
    </row>
    <row r="217" spans="1:26" ht="15.95" customHeight="1">
      <c r="A217" s="90" t="s">
        <v>1604</v>
      </c>
      <c r="J217" s="1622" t="e">
        <f>VLOOKUP($A217,'Diesel Data'!$A$2:$K$196,10,FALSE)</f>
        <v>#N/A</v>
      </c>
      <c r="K217" s="1622" t="e">
        <f>VLOOKUP($A217,'Diesel Data'!$A$2:$K$196,11,FALSE)</f>
        <v>#N/A</v>
      </c>
      <c r="L217" s="1622" t="str">
        <f t="shared" si="3"/>
        <v>,,,,</v>
      </c>
      <c r="S217" s="90" t="s">
        <v>867</v>
      </c>
    </row>
    <row r="218" spans="1:26" ht="15.95" customHeight="1">
      <c r="A218" s="8" t="s">
        <v>177</v>
      </c>
      <c r="B218" s="1624" t="s">
        <v>1526</v>
      </c>
      <c r="C218" s="1604" t="s">
        <v>1532</v>
      </c>
      <c r="D218" s="1604" t="s">
        <v>1532</v>
      </c>
      <c r="E218" s="1604" t="s">
        <v>1532</v>
      </c>
      <c r="F218" s="1604" t="s">
        <v>1516</v>
      </c>
      <c r="G218" s="1604"/>
      <c r="H218" s="1604"/>
      <c r="I218" s="1624" t="s">
        <v>1529</v>
      </c>
      <c r="J218" s="1622">
        <f>VLOOKUP($A218,'Diesel Data'!$A$2:$K$196,10,FALSE)</f>
        <v>0</v>
      </c>
      <c r="K218" s="1622">
        <f>VLOOKUP($A218,'Diesel Data'!$A$2:$K$196,11,FALSE)</f>
        <v>0</v>
      </c>
      <c r="L218" s="1622" t="str">
        <f t="shared" si="3"/>
        <v>,,,,</v>
      </c>
      <c r="M218" s="1637"/>
      <c r="N218" s="230" t="s">
        <v>1718</v>
      </c>
      <c r="S218" s="90" t="s">
        <v>1038</v>
      </c>
    </row>
    <row r="219" spans="1:26" ht="15.95" customHeight="1">
      <c r="A219" s="90" t="s">
        <v>1605</v>
      </c>
      <c r="J219" s="1622" t="e">
        <f>VLOOKUP($A219,'Diesel Data'!$A$2:$K$196,10,FALSE)</f>
        <v>#N/A</v>
      </c>
      <c r="K219" s="1622" t="e">
        <f>VLOOKUP($A219,'Diesel Data'!$A$2:$K$196,11,FALSE)</f>
        <v>#N/A</v>
      </c>
      <c r="L219" s="1622" t="str">
        <f t="shared" si="3"/>
        <v>,,,,</v>
      </c>
      <c r="S219" s="90" t="s">
        <v>1607</v>
      </c>
    </row>
    <row r="220" spans="1:26" ht="15.95" customHeight="1">
      <c r="A220" s="90" t="s">
        <v>179</v>
      </c>
      <c r="B220" s="1622" t="s">
        <v>1529</v>
      </c>
      <c r="C220" s="1606" t="s">
        <v>1532</v>
      </c>
      <c r="D220" s="1606" t="s">
        <v>1532</v>
      </c>
      <c r="E220" s="1606" t="s">
        <v>1516</v>
      </c>
      <c r="H220" s="1606" t="s">
        <v>1713</v>
      </c>
      <c r="I220" s="1622" t="s">
        <v>1526</v>
      </c>
      <c r="J220" s="1622">
        <f>VLOOKUP($A220,'Diesel Data'!$A$2:$K$196,10,FALSE)</f>
        <v>9300</v>
      </c>
      <c r="K220" s="1622">
        <f>VLOOKUP($A220,'Diesel Data'!$A$2:$K$196,11,FALSE)</f>
        <v>900</v>
      </c>
      <c r="L220" s="1622" t="str">
        <f t="shared" si="3"/>
        <v>School,,,,</v>
      </c>
      <c r="S220" s="90" t="s">
        <v>88</v>
      </c>
      <c r="T220" s="90" t="s">
        <v>596</v>
      </c>
      <c r="U220" s="90" t="s">
        <v>596</v>
      </c>
      <c r="V220" s="90" t="s">
        <v>2161</v>
      </c>
    </row>
    <row r="221" spans="1:26" ht="15.95" customHeight="1">
      <c r="A221" s="90" t="s">
        <v>181</v>
      </c>
      <c r="B221" s="1622" t="s">
        <v>1526</v>
      </c>
      <c r="C221" s="1606" t="s">
        <v>1532</v>
      </c>
      <c r="D221" s="1606" t="s">
        <v>1532</v>
      </c>
      <c r="E221" s="1606" t="s">
        <v>1532</v>
      </c>
      <c r="I221" s="1622" t="s">
        <v>1526</v>
      </c>
      <c r="J221" s="1622" t="e">
        <f>VLOOKUP($A221,'Diesel Data'!$A$2:$K$196,10,FALSE)</f>
        <v>#N/A</v>
      </c>
      <c r="K221" s="1622" t="e">
        <f>VLOOKUP($A221,'Diesel Data'!$A$2:$K$196,11,FALSE)</f>
        <v>#N/A</v>
      </c>
      <c r="L221" s="1622" t="str">
        <f t="shared" si="3"/>
        <v>,,,,</v>
      </c>
      <c r="S221" s="90" t="s">
        <v>1608</v>
      </c>
    </row>
    <row r="222" spans="1:26" ht="15.95" customHeight="1">
      <c r="A222" s="90" t="s">
        <v>1378</v>
      </c>
      <c r="J222" s="1622" t="e">
        <f>VLOOKUP($A222,'Diesel Data'!$A$2:$K$196,10,FALSE)</f>
        <v>#N/A</v>
      </c>
      <c r="K222" s="1622" t="e">
        <f>VLOOKUP($A222,'Diesel Data'!$A$2:$K$196,11,FALSE)</f>
        <v>#N/A</v>
      </c>
      <c r="L222" s="1622" t="str">
        <f t="shared" si="3"/>
        <v>,,,,</v>
      </c>
      <c r="S222" s="90" t="s">
        <v>1040</v>
      </c>
    </row>
    <row r="223" spans="1:26" ht="15.95" customHeight="1">
      <c r="A223" s="90" t="s">
        <v>1403</v>
      </c>
      <c r="J223" s="1622" t="e">
        <f>VLOOKUP($A223,'Diesel Data'!$A$2:$K$196,10,FALSE)</f>
        <v>#N/A</v>
      </c>
      <c r="K223" s="1622" t="e">
        <f>VLOOKUP($A223,'Diesel Data'!$A$2:$K$196,11,FALSE)</f>
        <v>#N/A</v>
      </c>
      <c r="L223" s="1622" t="e">
        <f t="shared" si="3"/>
        <v>#N/A</v>
      </c>
      <c r="S223" s="90" t="s">
        <v>1174</v>
      </c>
    </row>
    <row r="224" spans="1:26" ht="15.95" customHeight="1">
      <c r="A224" s="90" t="s">
        <v>1404</v>
      </c>
      <c r="J224" s="1622" t="e">
        <f>VLOOKUP($A224,'Diesel Data'!$A$2:$K$196,10,FALSE)</f>
        <v>#N/A</v>
      </c>
      <c r="K224" s="1622" t="e">
        <f>VLOOKUP($A224,'Diesel Data'!$A$2:$K$196,11,FALSE)</f>
        <v>#N/A</v>
      </c>
      <c r="L224" s="1622" t="str">
        <f t="shared" si="3"/>
        <v>,,,,</v>
      </c>
      <c r="S224" s="90" t="s">
        <v>89</v>
      </c>
      <c r="T224" s="90" t="s">
        <v>596</v>
      </c>
      <c r="V224" s="90" t="s">
        <v>2192</v>
      </c>
    </row>
    <row r="225" spans="1:24" ht="15.95" customHeight="1">
      <c r="A225" s="90" t="s">
        <v>86</v>
      </c>
      <c r="B225" s="1622" t="s">
        <v>1526</v>
      </c>
      <c r="C225" s="1606" t="s">
        <v>1532</v>
      </c>
      <c r="D225" s="1606" t="s">
        <v>1532</v>
      </c>
      <c r="E225" s="1606" t="s">
        <v>1532</v>
      </c>
      <c r="F225" s="1606" t="s">
        <v>1532</v>
      </c>
      <c r="I225" s="1622" t="s">
        <v>1529</v>
      </c>
      <c r="J225" s="1622" t="e">
        <f>VLOOKUP($A225,'Diesel Data'!$A$2:$K$196,10,FALSE)</f>
        <v>#N/A</v>
      </c>
      <c r="K225" s="1622" t="e">
        <f>VLOOKUP($A225,'Diesel Data'!$A$2:$K$196,11,FALSE)</f>
        <v>#N/A</v>
      </c>
      <c r="L225" s="1622" t="str">
        <f t="shared" si="3"/>
        <v>,,,,</v>
      </c>
      <c r="N225" s="1590" t="s">
        <v>1706</v>
      </c>
      <c r="O225" s="1590" t="s">
        <v>1558</v>
      </c>
      <c r="S225" s="90" t="s">
        <v>1175</v>
      </c>
    </row>
    <row r="226" spans="1:24" ht="15.95" customHeight="1">
      <c r="A226" s="90" t="s">
        <v>1376</v>
      </c>
      <c r="J226" s="1622" t="e">
        <f>VLOOKUP($A226,'Diesel Data'!$A$2:$K$196,10,FALSE)</f>
        <v>#N/A</v>
      </c>
      <c r="K226" s="1622" t="e">
        <f>VLOOKUP($A226,'Diesel Data'!$A$2:$K$196,11,FALSE)</f>
        <v>#N/A</v>
      </c>
      <c r="L226" s="1622" t="str">
        <f t="shared" si="3"/>
        <v>,,,,</v>
      </c>
      <c r="S226" s="90" t="s">
        <v>1041</v>
      </c>
      <c r="T226" s="90" t="s">
        <v>596</v>
      </c>
      <c r="V226" s="90" t="s">
        <v>2193</v>
      </c>
      <c r="W226" s="90" t="s">
        <v>943</v>
      </c>
      <c r="X226" s="90" t="s">
        <v>2194</v>
      </c>
    </row>
    <row r="227" spans="1:24" ht="15.95" customHeight="1">
      <c r="A227" s="90" t="s">
        <v>1034</v>
      </c>
      <c r="B227" s="1622" t="s">
        <v>1529</v>
      </c>
      <c r="C227" s="1606" t="s">
        <v>1516</v>
      </c>
      <c r="D227" s="1606" t="s">
        <v>1516</v>
      </c>
      <c r="I227" s="1622" t="s">
        <v>1526</v>
      </c>
      <c r="J227" s="1622" t="str">
        <f>VLOOKUP($A227,'Diesel Data'!$A$2:$K$196,10,FALSE)</f>
        <v>unknown</v>
      </c>
      <c r="K227" s="1622" t="str">
        <f>VLOOKUP($A227,'Diesel Data'!$A$2:$K$196,11,FALSE)</f>
        <v>unknown</v>
      </c>
      <c r="L227" s="1622" t="str">
        <f t="shared" si="3"/>
        <v>Trading Post,Hangar,,,</v>
      </c>
      <c r="N227" s="1590" t="s">
        <v>1719</v>
      </c>
      <c r="S227" s="90" t="s">
        <v>1008</v>
      </c>
    </row>
    <row r="228" spans="1:24" ht="15.95" customHeight="1">
      <c r="A228" s="90" t="s">
        <v>185</v>
      </c>
      <c r="B228" s="1622" t="s">
        <v>1526</v>
      </c>
      <c r="C228" s="1606" t="s">
        <v>1516</v>
      </c>
      <c r="D228" s="1606" t="s">
        <v>1532</v>
      </c>
      <c r="E228" s="1606" t="s">
        <v>1532</v>
      </c>
      <c r="I228" s="1622" t="s">
        <v>1526</v>
      </c>
      <c r="J228" s="1622" t="str">
        <f>VLOOKUP($A228,'Diesel Data'!$A$2:$K$196,10,FALSE)</f>
        <v>unknown</v>
      </c>
      <c r="K228" s="1622" t="str">
        <f>VLOOKUP($A228,'Diesel Data'!$A$2:$K$196,11,FALSE)</f>
        <v>unknown</v>
      </c>
      <c r="L228" s="1622" t="str">
        <f t="shared" si="3"/>
        <v>,,,,</v>
      </c>
      <c r="N228" s="1590" t="s">
        <v>1720</v>
      </c>
      <c r="S228" s="90" t="s">
        <v>1042</v>
      </c>
    </row>
    <row r="229" spans="1:24" ht="15.95" customHeight="1">
      <c r="A229" s="90" t="s">
        <v>87</v>
      </c>
      <c r="B229" s="1622" t="s">
        <v>1526</v>
      </c>
      <c r="C229" s="1606" t="s">
        <v>1516</v>
      </c>
      <c r="D229" s="1606" t="s">
        <v>1516</v>
      </c>
      <c r="E229" s="1606" t="s">
        <v>1532</v>
      </c>
      <c r="G229" s="1606" t="s">
        <v>1665</v>
      </c>
      <c r="I229" s="1622" t="s">
        <v>1526</v>
      </c>
      <c r="J229" s="1622" t="str">
        <f>VLOOKUP($A229,'Diesel Data'!$A$2:$K$196,10,FALSE)</f>
        <v>unknown</v>
      </c>
      <c r="K229" s="1622" t="str">
        <f>VLOOKUP($A229,'Diesel Data'!$A$2:$K$196,11,FALSE)</f>
        <v>unknown</v>
      </c>
      <c r="L229" s="1622" t="str">
        <f t="shared" si="3"/>
        <v>Water Treatment Plant,,,,</v>
      </c>
      <c r="N229" s="1618" t="s">
        <v>1721</v>
      </c>
      <c r="S229" s="90" t="s">
        <v>196</v>
      </c>
      <c r="T229" s="90" t="s">
        <v>597</v>
      </c>
    </row>
    <row r="230" spans="1:24" ht="15.95" customHeight="1">
      <c r="A230" s="90" t="s">
        <v>1405</v>
      </c>
      <c r="J230" s="1622" t="e">
        <f>VLOOKUP($A230,'Diesel Data'!$A$2:$K$196,10,FALSE)</f>
        <v>#N/A</v>
      </c>
      <c r="K230" s="1622" t="e">
        <f>VLOOKUP($A230,'Diesel Data'!$A$2:$K$196,11,FALSE)</f>
        <v>#N/A</v>
      </c>
      <c r="L230" s="1622" t="str">
        <f t="shared" si="3"/>
        <v>,,,,</v>
      </c>
      <c r="S230" s="90" t="s">
        <v>39</v>
      </c>
      <c r="T230" s="90" t="s">
        <v>597</v>
      </c>
    </row>
    <row r="231" spans="1:24" ht="15.95" customHeight="1">
      <c r="A231" s="90" t="s">
        <v>1035</v>
      </c>
      <c r="B231" s="1622" t="s">
        <v>1526</v>
      </c>
      <c r="C231" s="1606" t="s">
        <v>1532</v>
      </c>
      <c r="D231" s="1606" t="s">
        <v>1532</v>
      </c>
      <c r="E231" s="1606" t="s">
        <v>1532</v>
      </c>
      <c r="I231" s="1622" t="s">
        <v>1515</v>
      </c>
      <c r="J231" s="1622" t="e">
        <f>VLOOKUP($A231,'Diesel Data'!$A$2:$K$196,10,FALSE)</f>
        <v>#N/A</v>
      </c>
      <c r="K231" s="1622" t="e">
        <f>VLOOKUP($A231,'Diesel Data'!$A$2:$K$196,11,FALSE)</f>
        <v>#N/A</v>
      </c>
      <c r="L231" s="1622" t="str">
        <f t="shared" si="3"/>
        <v>,,,,</v>
      </c>
      <c r="N231" s="1590" t="s">
        <v>1568</v>
      </c>
      <c r="S231" s="90" t="s">
        <v>1176</v>
      </c>
    </row>
    <row r="232" spans="1:24" ht="15.95" customHeight="1">
      <c r="A232" s="90" t="s">
        <v>16</v>
      </c>
      <c r="B232" s="1622" t="s">
        <v>1526</v>
      </c>
      <c r="C232" s="1606" t="s">
        <v>1516</v>
      </c>
      <c r="D232" s="1606" t="s">
        <v>1516</v>
      </c>
      <c r="E232" s="1606" t="s">
        <v>1532</v>
      </c>
      <c r="F232" s="1606" t="s">
        <v>1532</v>
      </c>
      <c r="I232" s="1622" t="s">
        <v>1515</v>
      </c>
      <c r="J232" s="1622">
        <f>VLOOKUP($A232,'Diesel Data'!$A$2:$K$196,10,FALSE)</f>
        <v>60000</v>
      </c>
      <c r="K232" s="1622" t="str">
        <f>VLOOKUP($A232,'Diesel Data'!$A$2:$K$196,11,FALSE)</f>
        <v>unknown</v>
      </c>
      <c r="L232" s="1622" t="str">
        <f t="shared" si="3"/>
        <v>School,Clinic,Offices,AC store,Hotel</v>
      </c>
      <c r="S232" s="90" t="s">
        <v>1358</v>
      </c>
    </row>
    <row r="233" spans="1:24" ht="15.95" customHeight="1">
      <c r="A233" s="90" t="s">
        <v>1367</v>
      </c>
      <c r="J233" s="1622" t="e">
        <f>VLOOKUP($A233,'Diesel Data'!$A$2:$K$196,10,FALSE)</f>
        <v>#N/A</v>
      </c>
      <c r="K233" s="1622" t="e">
        <f>VLOOKUP($A233,'Diesel Data'!$A$2:$K$196,11,FALSE)</f>
        <v>#N/A</v>
      </c>
      <c r="L233" s="1622" t="str">
        <f t="shared" si="3"/>
        <v>,,,,</v>
      </c>
      <c r="S233" s="90" t="s">
        <v>201</v>
      </c>
      <c r="T233" s="90" t="s">
        <v>597</v>
      </c>
    </row>
    <row r="234" spans="1:24" ht="15.95" customHeight="1">
      <c r="A234" s="90" t="s">
        <v>1606</v>
      </c>
      <c r="J234" s="1622" t="e">
        <f>VLOOKUP($A234,'Diesel Data'!$A$2:$K$196,10,FALSE)</f>
        <v>#N/A</v>
      </c>
      <c r="K234" s="1622" t="e">
        <f>VLOOKUP($A234,'Diesel Data'!$A$2:$K$196,11,FALSE)</f>
        <v>#N/A</v>
      </c>
      <c r="L234" s="1622" t="str">
        <f t="shared" si="3"/>
        <v>,,,,</v>
      </c>
      <c r="S234" s="90" t="s">
        <v>1043</v>
      </c>
    </row>
    <row r="235" spans="1:24" ht="15.95" customHeight="1">
      <c r="A235" s="90" t="s">
        <v>28</v>
      </c>
      <c r="B235" s="1622" t="s">
        <v>1526</v>
      </c>
      <c r="C235" s="1606" t="s">
        <v>1516</v>
      </c>
      <c r="D235" s="1606" t="s">
        <v>1516</v>
      </c>
      <c r="E235" s="1606" t="s">
        <v>1532</v>
      </c>
      <c r="I235" s="1622" t="s">
        <v>1526</v>
      </c>
      <c r="J235" s="1622" t="str">
        <f>VLOOKUP($A235,'Diesel Data'!$A$2:$K$196,10,FALSE)</f>
        <v>N/A</v>
      </c>
      <c r="K235" s="1622" t="str">
        <f>VLOOKUP($A235,'Diesel Data'!$A$2:$K$196,11,FALSE)</f>
        <v>N/A</v>
      </c>
      <c r="L235" s="1622" t="str">
        <f t="shared" si="3"/>
        <v>,,,,</v>
      </c>
      <c r="N235" s="1618" t="s">
        <v>1722</v>
      </c>
      <c r="O235" s="1590" t="s">
        <v>1534</v>
      </c>
      <c r="S235" s="90" t="s">
        <v>1180</v>
      </c>
    </row>
    <row r="236" spans="1:24" ht="15.95" customHeight="1">
      <c r="A236" s="90" t="s">
        <v>1357</v>
      </c>
      <c r="J236" s="1622" t="e">
        <f>VLOOKUP($A236,'Diesel Data'!$A$2:$K$196,10,FALSE)</f>
        <v>#N/A</v>
      </c>
      <c r="K236" s="1622" t="e">
        <f>VLOOKUP($A236,'Diesel Data'!$A$2:$K$196,11,FALSE)</f>
        <v>#N/A</v>
      </c>
      <c r="L236" s="1622" t="str">
        <f t="shared" si="3"/>
        <v>,,,,</v>
      </c>
      <c r="S236" s="90" t="s">
        <v>90</v>
      </c>
      <c r="T236" s="90" t="s">
        <v>596</v>
      </c>
      <c r="V236" s="90" t="s">
        <v>2195</v>
      </c>
      <c r="W236" s="90" t="s">
        <v>2196</v>
      </c>
    </row>
    <row r="237" spans="1:24" ht="15.95" customHeight="1">
      <c r="A237" s="90" t="s">
        <v>1037</v>
      </c>
      <c r="B237" s="1622" t="s">
        <v>1526</v>
      </c>
      <c r="C237" s="1606" t="s">
        <v>1532</v>
      </c>
      <c r="D237" s="1606" t="s">
        <v>1532</v>
      </c>
      <c r="E237" s="1606" t="s">
        <v>1532</v>
      </c>
      <c r="J237" s="1622" t="e">
        <f>VLOOKUP($A237,'Diesel Data'!$A$2:$K$196,10,FALSE)</f>
        <v>#N/A</v>
      </c>
      <c r="K237" s="1622" t="e">
        <f>VLOOKUP($A237,'Diesel Data'!$A$2:$K$196,11,FALSE)</f>
        <v>#N/A</v>
      </c>
      <c r="L237" s="1622" t="str">
        <f t="shared" si="3"/>
        <v>,,,,</v>
      </c>
      <c r="N237" s="1590" t="s">
        <v>1723</v>
      </c>
      <c r="S237" s="90" t="s">
        <v>1044</v>
      </c>
      <c r="T237" s="90" t="s">
        <v>596</v>
      </c>
      <c r="V237" s="90" t="s">
        <v>2197</v>
      </c>
      <c r="W237" s="90" t="s">
        <v>2198</v>
      </c>
    </row>
    <row r="238" spans="1:24" ht="15.95" customHeight="1">
      <c r="A238" s="90" t="s">
        <v>1407</v>
      </c>
      <c r="B238" s="1622" t="s">
        <v>1529</v>
      </c>
      <c r="I238" s="1622" t="s">
        <v>1526</v>
      </c>
      <c r="J238" s="1622" t="e">
        <f>VLOOKUP($A238,'Diesel Data'!$A$2:$K$196,10,FALSE)</f>
        <v>#N/A</v>
      </c>
      <c r="K238" s="1622" t="e">
        <f>VLOOKUP($A238,'Diesel Data'!$A$2:$K$196,11,FALSE)</f>
        <v>#N/A</v>
      </c>
      <c r="L238" s="1622" t="e">
        <f t="shared" si="3"/>
        <v>#N/A</v>
      </c>
      <c r="N238" s="1590" t="s">
        <v>1724</v>
      </c>
      <c r="S238" s="90" t="s">
        <v>250</v>
      </c>
      <c r="T238" s="90" t="s">
        <v>596</v>
      </c>
      <c r="U238" s="90" t="s">
        <v>596</v>
      </c>
      <c r="V238" s="90" t="s">
        <v>2199</v>
      </c>
    </row>
    <row r="239" spans="1:24" ht="15.95" customHeight="1">
      <c r="A239" s="90" t="s">
        <v>867</v>
      </c>
      <c r="J239" s="1622">
        <f>VLOOKUP($A239,'Diesel Data'!$A$2:$K$196,10,FALSE)</f>
        <v>0</v>
      </c>
      <c r="K239" s="1622">
        <f>VLOOKUP($A239,'Diesel Data'!$A$2:$K$196,11,FALSE)</f>
        <v>0</v>
      </c>
      <c r="L239" s="1622" t="str">
        <f t="shared" si="3"/>
        <v>,,,,</v>
      </c>
      <c r="S239" s="90" t="s">
        <v>91</v>
      </c>
      <c r="T239" s="90" t="s">
        <v>597</v>
      </c>
    </row>
    <row r="240" spans="1:24" ht="15.95" customHeight="1">
      <c r="A240" s="90" t="s">
        <v>1038</v>
      </c>
      <c r="J240" s="1622" t="e">
        <f>VLOOKUP($A240,'Diesel Data'!$A$2:$K$196,10,FALSE)</f>
        <v>#N/A</v>
      </c>
      <c r="K240" s="1622" t="e">
        <f>VLOOKUP($A240,'Diesel Data'!$A$2:$K$196,11,FALSE)</f>
        <v>#N/A</v>
      </c>
      <c r="L240" s="1622" t="str">
        <f t="shared" si="3"/>
        <v>,,,,</v>
      </c>
      <c r="S240" s="90" t="s">
        <v>1045</v>
      </c>
    </row>
    <row r="241" spans="1:22" ht="15.95" customHeight="1">
      <c r="A241" s="90" t="s">
        <v>1607</v>
      </c>
      <c r="J241" s="1622" t="e">
        <f>VLOOKUP($A241,'Diesel Data'!$A$2:$K$196,10,FALSE)</f>
        <v>#N/A</v>
      </c>
      <c r="K241" s="1622" t="e">
        <f>VLOOKUP($A241,'Diesel Data'!$A$2:$K$196,11,FALSE)</f>
        <v>#N/A</v>
      </c>
      <c r="L241" s="1622" t="str">
        <f t="shared" si="3"/>
        <v>,,,,</v>
      </c>
      <c r="S241" s="90" t="s">
        <v>1046</v>
      </c>
    </row>
    <row r="242" spans="1:22" ht="15.95" customHeight="1">
      <c r="A242" s="90" t="s">
        <v>88</v>
      </c>
      <c r="B242" s="1622" t="s">
        <v>1515</v>
      </c>
      <c r="C242" s="1606" t="s">
        <v>1516</v>
      </c>
      <c r="D242" s="1606" t="s">
        <v>1516</v>
      </c>
      <c r="E242" s="1606" t="s">
        <v>1516</v>
      </c>
      <c r="F242" s="1606" t="s">
        <v>1516</v>
      </c>
      <c r="H242" s="1606" t="s">
        <v>1685</v>
      </c>
      <c r="I242" s="1622" t="s">
        <v>1529</v>
      </c>
      <c r="J242" s="1622" t="str">
        <f>VLOOKUP($A242,'Diesel Data'!$A$2:$K$196,10,FALSE)</f>
        <v>unknown</v>
      </c>
      <c r="K242" s="1622" t="str">
        <f>VLOOKUP($A242,'Diesel Data'!$A$2:$K$196,11,FALSE)</f>
        <v>unknown</v>
      </c>
      <c r="L242" s="1622" t="str">
        <f t="shared" si="3"/>
        <v>Water Treatment Plant,,,,</v>
      </c>
      <c r="N242" s="1590" t="s">
        <v>1725</v>
      </c>
      <c r="S242" s="90" t="s">
        <v>203</v>
      </c>
    </row>
    <row r="243" spans="1:22" ht="15.95" customHeight="1">
      <c r="A243" s="90" t="s">
        <v>1608</v>
      </c>
      <c r="J243" s="1622" t="e">
        <f>VLOOKUP($A243,'Diesel Data'!$A$2:$K$196,10,FALSE)</f>
        <v>#N/A</v>
      </c>
      <c r="K243" s="1622" t="e">
        <f>VLOOKUP($A243,'Diesel Data'!$A$2:$K$196,11,FALSE)</f>
        <v>#N/A</v>
      </c>
      <c r="L243" s="1622" t="str">
        <f t="shared" si="3"/>
        <v>,,,,</v>
      </c>
      <c r="S243" s="90" t="s">
        <v>35</v>
      </c>
      <c r="T243" s="90" t="s">
        <v>596</v>
      </c>
      <c r="V243" s="90" t="s">
        <v>2200</v>
      </c>
    </row>
    <row r="244" spans="1:22" ht="15.95" customHeight="1">
      <c r="A244" s="90" t="s">
        <v>1040</v>
      </c>
      <c r="J244" s="1622" t="e">
        <f>VLOOKUP($A244,'Diesel Data'!$A$2:$K$196,10,FALSE)</f>
        <v>#N/A</v>
      </c>
      <c r="K244" s="1622" t="e">
        <f>VLOOKUP($A244,'Diesel Data'!$A$2:$K$196,11,FALSE)</f>
        <v>#N/A</v>
      </c>
      <c r="L244" s="1622" t="str">
        <f t="shared" si="3"/>
        <v>,,,,</v>
      </c>
      <c r="S244" s="90" t="s">
        <v>1047</v>
      </c>
    </row>
    <row r="245" spans="1:22" ht="15.95" customHeight="1">
      <c r="A245" s="90" t="s">
        <v>1174</v>
      </c>
      <c r="J245" s="1622" t="e">
        <f>VLOOKUP($A245,'Diesel Data'!$A$2:$K$196,10,FALSE)</f>
        <v>#N/A</v>
      </c>
      <c r="K245" s="1622" t="e">
        <f>VLOOKUP($A245,'Diesel Data'!$A$2:$K$196,11,FALSE)</f>
        <v>#N/A</v>
      </c>
      <c r="L245" s="1622" t="str">
        <f t="shared" si="3"/>
        <v>,,,,</v>
      </c>
      <c r="S245" s="90" t="s">
        <v>31</v>
      </c>
    </row>
    <row r="246" spans="1:22" ht="15.95" customHeight="1">
      <c r="A246" s="90" t="s">
        <v>89</v>
      </c>
      <c r="B246" s="1622" t="s">
        <v>1526</v>
      </c>
      <c r="C246" s="1606" t="s">
        <v>1516</v>
      </c>
      <c r="D246" s="1606" t="s">
        <v>1516</v>
      </c>
      <c r="E246" s="1606" t="s">
        <v>1532</v>
      </c>
      <c r="I246" s="1622" t="s">
        <v>1529</v>
      </c>
      <c r="J246" s="1622" t="str">
        <f>VLOOKUP($A246,'Diesel Data'!$A$2:$K$196,10,FALSE)</f>
        <v>unknown</v>
      </c>
      <c r="K246" s="1622" t="str">
        <f>VLOOKUP($A246,'Diesel Data'!$A$2:$K$196,11,FALSE)</f>
        <v>unknown</v>
      </c>
      <c r="L246" s="1622" t="str">
        <f t="shared" si="3"/>
        <v>Power Plant Bldgs,,,,</v>
      </c>
      <c r="N246" s="1590" t="s">
        <v>1726</v>
      </c>
      <c r="O246" s="1590" t="s">
        <v>1572</v>
      </c>
      <c r="S246" s="90" t="s">
        <v>21</v>
      </c>
    </row>
    <row r="247" spans="1:22" ht="15.95" customHeight="1">
      <c r="A247" s="90" t="s">
        <v>1175</v>
      </c>
      <c r="J247" s="1622" t="e">
        <f>VLOOKUP($A247,'Diesel Data'!$A$2:$K$196,10,FALSE)</f>
        <v>#N/A</v>
      </c>
      <c r="K247" s="1622" t="e">
        <f>VLOOKUP($A247,'Diesel Data'!$A$2:$K$196,11,FALSE)</f>
        <v>#N/A</v>
      </c>
      <c r="L247" s="1622" t="str">
        <f t="shared" si="3"/>
        <v>,,,,</v>
      </c>
      <c r="S247" s="90" t="s">
        <v>1048</v>
      </c>
    </row>
    <row r="248" spans="1:22" ht="15.95" customHeight="1">
      <c r="A248" s="90" t="s">
        <v>1409</v>
      </c>
      <c r="J248" s="1622" t="e">
        <f>VLOOKUP($A248,'Diesel Data'!$A$2:$K$196,10,FALSE)</f>
        <v>#N/A</v>
      </c>
      <c r="K248" s="1622" t="e">
        <f>VLOOKUP($A248,'Diesel Data'!$A$2:$K$196,11,FALSE)</f>
        <v>#N/A</v>
      </c>
      <c r="L248" s="1622" t="e">
        <f t="shared" si="3"/>
        <v>#N/A</v>
      </c>
      <c r="S248" s="90" t="s">
        <v>92</v>
      </c>
    </row>
    <row r="249" spans="1:22" ht="15.95" customHeight="1">
      <c r="A249" s="90" t="s">
        <v>1041</v>
      </c>
      <c r="B249" s="1622" t="s">
        <v>1515</v>
      </c>
      <c r="C249" s="1606" t="s">
        <v>1516</v>
      </c>
      <c r="D249" s="1606" t="s">
        <v>1516</v>
      </c>
      <c r="E249" s="1606" t="s">
        <v>1516</v>
      </c>
      <c r="I249" s="1622" t="s">
        <v>1515</v>
      </c>
      <c r="J249" s="1622">
        <f>VLOOKUP($A249,'Diesel Data'!$A$2:$K$196,10,FALSE)</f>
        <v>0</v>
      </c>
      <c r="K249" s="1622">
        <f>VLOOKUP($A249,'Diesel Data'!$A$2:$K$196,11,FALSE)</f>
        <v>0</v>
      </c>
      <c r="L249" s="1622" t="str">
        <f t="shared" si="3"/>
        <v>BBB School District,Pool,8 residences,,</v>
      </c>
      <c r="S249" s="90" t="s">
        <v>1049</v>
      </c>
    </row>
    <row r="250" spans="1:22" ht="15.95" customHeight="1">
      <c r="A250" s="90" t="s">
        <v>1008</v>
      </c>
      <c r="J250" s="1622" t="e">
        <f>VLOOKUP($A250,'Diesel Data'!$A$2:$K$196,10,FALSE)</f>
        <v>#N/A</v>
      </c>
      <c r="K250" s="1622" t="e">
        <f>VLOOKUP($A250,'Diesel Data'!$A$2:$K$196,11,FALSE)</f>
        <v>#N/A</v>
      </c>
      <c r="L250" s="1622" t="str">
        <f t="shared" si="3"/>
        <v>,,,,</v>
      </c>
      <c r="S250" s="90" t="s">
        <v>1050</v>
      </c>
    </row>
    <row r="251" spans="1:22" ht="15.95" customHeight="1">
      <c r="A251" s="90" t="s">
        <v>1042</v>
      </c>
      <c r="J251" s="1622" t="e">
        <f>VLOOKUP($A251,'Diesel Data'!$A$2:$K$196,10,FALSE)</f>
        <v>#N/A</v>
      </c>
      <c r="K251" s="1622" t="e">
        <f>VLOOKUP($A251,'Diesel Data'!$A$2:$K$196,11,FALSE)</f>
        <v>#N/A</v>
      </c>
      <c r="L251" s="1622" t="str">
        <f t="shared" si="3"/>
        <v>,,,,</v>
      </c>
      <c r="S251" s="90" t="s">
        <v>1181</v>
      </c>
    </row>
    <row r="252" spans="1:22" ht="15.95" customHeight="1">
      <c r="A252" s="90" t="s">
        <v>196</v>
      </c>
      <c r="B252" s="1622" t="s">
        <v>1526</v>
      </c>
      <c r="C252" s="1606" t="s">
        <v>1532</v>
      </c>
      <c r="D252" s="1606" t="s">
        <v>1532</v>
      </c>
      <c r="E252" s="1606" t="s">
        <v>1532</v>
      </c>
      <c r="I252" s="1622" t="s">
        <v>1515</v>
      </c>
      <c r="J252" s="1622" t="str">
        <f>VLOOKUP($A252,'Diesel Data'!$A$2:$K$196,10,FALSE)</f>
        <v>N/A</v>
      </c>
      <c r="K252" s="1622" t="str">
        <f>VLOOKUP($A252,'Diesel Data'!$A$2:$K$196,11,FALSE)</f>
        <v>N/A</v>
      </c>
      <c r="L252" s="1622" t="str">
        <f t="shared" si="3"/>
        <v>,,,,</v>
      </c>
      <c r="N252" s="1590" t="s">
        <v>1727</v>
      </c>
      <c r="O252" s="1590" t="s">
        <v>1573</v>
      </c>
      <c r="S252" s="90" t="s">
        <v>1182</v>
      </c>
    </row>
    <row r="253" spans="1:22" ht="15.95" customHeight="1">
      <c r="A253" s="90" t="s">
        <v>39</v>
      </c>
      <c r="B253" s="1622" t="s">
        <v>1529</v>
      </c>
      <c r="C253" s="1606" t="s">
        <v>1532</v>
      </c>
      <c r="D253" s="1606" t="s">
        <v>1532</v>
      </c>
      <c r="E253" s="1606" t="s">
        <v>1516</v>
      </c>
      <c r="I253" s="1622" t="s">
        <v>1526</v>
      </c>
      <c r="J253" s="1622" t="str">
        <f>VLOOKUP($A253,'Diesel Data'!$A$2:$K$196,10,FALSE)</f>
        <v>N/A</v>
      </c>
      <c r="K253" s="1622" t="str">
        <f>VLOOKUP($A253,'Diesel Data'!$A$2:$K$196,11,FALSE)</f>
        <v>N/A</v>
      </c>
      <c r="L253" s="1622" t="str">
        <f t="shared" si="3"/>
        <v>,,,,</v>
      </c>
      <c r="N253" s="1590" t="s">
        <v>1728</v>
      </c>
      <c r="S253" s="90" t="s">
        <v>209</v>
      </c>
    </row>
    <row r="254" spans="1:22" ht="15.95" customHeight="1">
      <c r="A254" s="90" t="s">
        <v>1176</v>
      </c>
      <c r="J254" s="1622" t="e">
        <f>VLOOKUP($A254,'Diesel Data'!$A$2:$K$196,10,FALSE)</f>
        <v>#N/A</v>
      </c>
      <c r="K254" s="1622" t="e">
        <f>VLOOKUP($A254,'Diesel Data'!$A$2:$K$196,11,FALSE)</f>
        <v>#N/A</v>
      </c>
      <c r="L254" s="1622" t="str">
        <f t="shared" si="3"/>
        <v>,,,,</v>
      </c>
      <c r="S254" s="90" t="s">
        <v>93</v>
      </c>
    </row>
    <row r="255" spans="1:22" ht="15.95" customHeight="1">
      <c r="A255" s="90" t="s">
        <v>1358</v>
      </c>
      <c r="B255" s="1622" t="s">
        <v>1526</v>
      </c>
      <c r="C255" s="1606" t="s">
        <v>1532</v>
      </c>
      <c r="D255" s="1606" t="s">
        <v>1532</v>
      </c>
      <c r="E255" s="1606" t="s">
        <v>1532</v>
      </c>
      <c r="I255" s="1622" t="s">
        <v>1515</v>
      </c>
      <c r="J255" s="1622" t="e">
        <f>VLOOKUP($A255,'Diesel Data'!$A$2:$K$196,10,FALSE)</f>
        <v>#N/A</v>
      </c>
      <c r="K255" s="1622" t="e">
        <f>VLOOKUP($A255,'Diesel Data'!$A$2:$K$196,11,FALSE)</f>
        <v>#N/A</v>
      </c>
      <c r="L255" s="1622" t="str">
        <f t="shared" si="3"/>
        <v>,,,,</v>
      </c>
      <c r="N255" s="1590" t="s">
        <v>1686</v>
      </c>
      <c r="S255" s="90" t="s">
        <v>214</v>
      </c>
      <c r="T255" s="90" t="s">
        <v>596</v>
      </c>
      <c r="U255" s="90" t="s">
        <v>596</v>
      </c>
      <c r="V255" s="90" t="s">
        <v>2201</v>
      </c>
    </row>
    <row r="256" spans="1:22" ht="15.95" customHeight="1">
      <c r="A256" s="90" t="s">
        <v>201</v>
      </c>
      <c r="B256" s="1622" t="s">
        <v>1529</v>
      </c>
      <c r="I256" s="1622" t="s">
        <v>1526</v>
      </c>
      <c r="J256" s="1622" t="str">
        <f>VLOOKUP($A256,'Diesel Data'!$A$2:$K$196,10,FALSE)</f>
        <v>N/A</v>
      </c>
      <c r="K256" s="1622" t="str">
        <f>VLOOKUP($A256,'Diesel Data'!$A$2:$K$196,11,FALSE)</f>
        <v>N/A</v>
      </c>
      <c r="L256" s="1622" t="str">
        <f t="shared" si="3"/>
        <v>,,,,</v>
      </c>
      <c r="N256" s="1590" t="s">
        <v>1729</v>
      </c>
      <c r="S256" s="90" t="s">
        <v>94</v>
      </c>
      <c r="T256" s="90" t="s">
        <v>596</v>
      </c>
      <c r="V256" s="90" t="s">
        <v>2202</v>
      </c>
    </row>
    <row r="257" spans="1:23" ht="15.95" customHeight="1">
      <c r="A257" s="90" t="s">
        <v>1043</v>
      </c>
      <c r="B257" s="1622" t="s">
        <v>1526</v>
      </c>
      <c r="C257" s="1606" t="s">
        <v>1532</v>
      </c>
      <c r="D257" s="1606" t="s">
        <v>1532</v>
      </c>
      <c r="E257" s="1606" t="s">
        <v>1532</v>
      </c>
      <c r="I257" s="1622" t="s">
        <v>1515</v>
      </c>
      <c r="J257" s="1622" t="e">
        <f>VLOOKUP($A257,'Diesel Data'!$A$2:$K$196,10,FALSE)</f>
        <v>#N/A</v>
      </c>
      <c r="K257" s="1622" t="e">
        <f>VLOOKUP($A257,'Diesel Data'!$A$2:$K$196,11,FALSE)</f>
        <v>#N/A</v>
      </c>
      <c r="L257" s="1622" t="str">
        <f t="shared" si="3"/>
        <v>,,,,</v>
      </c>
      <c r="S257" s="90" t="s">
        <v>1518</v>
      </c>
    </row>
    <row r="258" spans="1:23" ht="15.95" customHeight="1">
      <c r="A258" s="90" t="s">
        <v>1180</v>
      </c>
      <c r="J258" s="1622" t="e">
        <f>VLOOKUP($A258,'Diesel Data'!$A$2:$K$196,10,FALSE)</f>
        <v>#N/A</v>
      </c>
      <c r="K258" s="1622" t="e">
        <f>VLOOKUP($A258,'Diesel Data'!$A$2:$K$196,11,FALSE)</f>
        <v>#N/A</v>
      </c>
      <c r="L258" s="1622" t="str">
        <f t="shared" si="3"/>
        <v>,,,,</v>
      </c>
      <c r="S258" s="90" t="s">
        <v>29</v>
      </c>
      <c r="T258" s="90" t="s">
        <v>597</v>
      </c>
    </row>
    <row r="259" spans="1:23" ht="15.95" customHeight="1">
      <c r="A259" s="90" t="s">
        <v>90</v>
      </c>
      <c r="B259" s="1622" t="s">
        <v>1526</v>
      </c>
      <c r="C259" s="1606" t="s">
        <v>1516</v>
      </c>
      <c r="D259" s="1606" t="s">
        <v>1532</v>
      </c>
      <c r="E259" s="1606" t="s">
        <v>1516</v>
      </c>
      <c r="G259" s="1606" t="s">
        <v>1665</v>
      </c>
      <c r="I259" s="1622" t="s">
        <v>1515</v>
      </c>
      <c r="J259" s="1622" t="str">
        <f>VLOOKUP($A259,'Diesel Data'!$A$2:$K$196,10,FALSE)</f>
        <v>unknown</v>
      </c>
      <c r="K259" s="1622" t="str">
        <f>VLOOKUP($A259,'Diesel Data'!$A$2:$K$196,11,FALSE)</f>
        <v>unknown</v>
      </c>
      <c r="L259" s="1622" t="str">
        <f t="shared" si="3"/>
        <v>AVTEC Shack,Bunk House,,,</v>
      </c>
      <c r="N259" s="1590" t="s">
        <v>1730</v>
      </c>
      <c r="S259" s="90" t="s">
        <v>1052</v>
      </c>
      <c r="T259" s="90" t="s">
        <v>890</v>
      </c>
    </row>
    <row r="260" spans="1:23" ht="15.95" customHeight="1">
      <c r="A260" s="90" t="s">
        <v>1044</v>
      </c>
      <c r="B260" s="1622" t="s">
        <v>1515</v>
      </c>
      <c r="C260" s="1606" t="s">
        <v>1516</v>
      </c>
      <c r="D260" s="1606" t="s">
        <v>1516</v>
      </c>
      <c r="E260" s="1606" t="s">
        <v>1532</v>
      </c>
      <c r="I260" s="1622" t="s">
        <v>1529</v>
      </c>
      <c r="J260" s="1622">
        <f>VLOOKUP($A260,'Diesel Data'!$A$2:$K$196,10,FALSE)</f>
        <v>5000</v>
      </c>
      <c r="K260" s="1622">
        <f>VLOOKUP($A260,'Diesel Data'!$A$2:$K$196,11,FALSE)</f>
        <v>16000</v>
      </c>
      <c r="L260" s="1622" t="str">
        <f t="shared" ref="L260:L323" si="4">CONCATENATE(VLOOKUP(A260,$S$2:$Z$379,4,FALSE),",",VLOOKUP(A260,$S$2:$Z$379,5,FALSE),",",VLOOKUP(A260,$S$2:$Z$379,6,FALSE),",",VLOOKUP(A260,$S$2:$Z$379,7,FALSE),",",VLOOKUP(A260,$S$2:$Z$379,8,FALSE))</f>
        <v>City Office ,Fire Hall,,,</v>
      </c>
      <c r="N260" s="1590" t="s">
        <v>1705</v>
      </c>
      <c r="S260" s="90" t="s">
        <v>217</v>
      </c>
      <c r="T260" s="90" t="s">
        <v>597</v>
      </c>
    </row>
    <row r="261" spans="1:23" ht="15.95" customHeight="1">
      <c r="A261" s="90" t="s">
        <v>250</v>
      </c>
      <c r="B261" s="1622" t="s">
        <v>1526</v>
      </c>
      <c r="C261" s="1473" t="s">
        <v>1516</v>
      </c>
      <c r="D261" s="1473" t="s">
        <v>1516</v>
      </c>
      <c r="E261" s="1473" t="s">
        <v>1532</v>
      </c>
      <c r="F261" s="1473"/>
      <c r="G261" s="1473"/>
      <c r="H261" s="1473"/>
      <c r="I261" s="1622" t="s">
        <v>1529</v>
      </c>
      <c r="J261" s="1622" t="e">
        <f>VLOOKUP($A261,'Diesel Data'!$A$2:$K$196,10,FALSE)</f>
        <v>#N/A</v>
      </c>
      <c r="K261" s="1622" t="e">
        <f>VLOOKUP($A261,'Diesel Data'!$A$2:$K$196,11,FALSE)</f>
        <v>#N/A</v>
      </c>
      <c r="L261" s="1622" t="str">
        <f t="shared" si="4"/>
        <v>Water Holding Facility,,,,</v>
      </c>
      <c r="N261" s="1618" t="s">
        <v>1731</v>
      </c>
      <c r="O261" s="1590" t="s">
        <v>1623</v>
      </c>
      <c r="S261" s="90" t="s">
        <v>1413</v>
      </c>
    </row>
    <row r="262" spans="1:23" ht="15.95" customHeight="1">
      <c r="A262" s="90" t="s">
        <v>91</v>
      </c>
      <c r="B262" s="1622" t="s">
        <v>1526</v>
      </c>
      <c r="C262" s="1606" t="s">
        <v>1532</v>
      </c>
      <c r="D262" s="1606" t="s">
        <v>1532</v>
      </c>
      <c r="E262" s="1606" t="s">
        <v>1532</v>
      </c>
      <c r="I262" s="1622" t="s">
        <v>1515</v>
      </c>
      <c r="J262" s="1622" t="str">
        <f>VLOOKUP($A262,'Diesel Data'!$A$2:$K$196,10,FALSE)</f>
        <v>N/A</v>
      </c>
      <c r="K262" s="1622" t="str">
        <f>VLOOKUP($A262,'Diesel Data'!$A$2:$K$196,11,FALSE)</f>
        <v>N/A</v>
      </c>
      <c r="L262" s="1622" t="str">
        <f t="shared" si="4"/>
        <v>,,,,</v>
      </c>
      <c r="N262" s="1590" t="s">
        <v>1732</v>
      </c>
      <c r="S262" s="90" t="s">
        <v>297</v>
      </c>
    </row>
    <row r="263" spans="1:23" ht="15.95" customHeight="1">
      <c r="A263" s="90" t="s">
        <v>1045</v>
      </c>
      <c r="J263" s="1622" t="e">
        <f>VLOOKUP($A263,'Diesel Data'!$A$2:$K$196,10,FALSE)</f>
        <v>#N/A</v>
      </c>
      <c r="K263" s="1622" t="e">
        <f>VLOOKUP($A263,'Diesel Data'!$A$2:$K$196,11,FALSE)</f>
        <v>#N/A</v>
      </c>
      <c r="L263" s="1622" t="str">
        <f t="shared" si="4"/>
        <v>,,,,</v>
      </c>
      <c r="S263" s="90" t="s">
        <v>2128</v>
      </c>
    </row>
    <row r="264" spans="1:23" ht="15.95" customHeight="1">
      <c r="A264" s="90" t="s">
        <v>1046</v>
      </c>
      <c r="J264" s="1622" t="e">
        <f>VLOOKUP($A264,'Diesel Data'!$A$2:$K$196,10,FALSE)</f>
        <v>#N/A</v>
      </c>
      <c r="K264" s="1622" t="e">
        <f>VLOOKUP($A264,'Diesel Data'!$A$2:$K$196,11,FALSE)</f>
        <v>#N/A</v>
      </c>
      <c r="L264" s="1622" t="str">
        <f t="shared" si="4"/>
        <v>,,,,</v>
      </c>
      <c r="S264" s="90" t="s">
        <v>1053</v>
      </c>
    </row>
    <row r="265" spans="1:23" ht="15.95" customHeight="1">
      <c r="A265" s="90" t="s">
        <v>203</v>
      </c>
      <c r="B265" s="1622" t="s">
        <v>1529</v>
      </c>
      <c r="C265" s="1606" t="s">
        <v>1516</v>
      </c>
      <c r="I265" s="1622" t="s">
        <v>1526</v>
      </c>
      <c r="J265" s="1622" t="str">
        <f>VLOOKUP($A265,'Diesel Data'!$A$2:$K$196,10,FALSE)</f>
        <v>N/A</v>
      </c>
      <c r="K265" s="1622" t="str">
        <f>VLOOKUP($A265,'Diesel Data'!$A$2:$K$196,11,FALSE)</f>
        <v>N/A</v>
      </c>
      <c r="L265" s="1622" t="str">
        <f t="shared" si="4"/>
        <v>,,,,</v>
      </c>
      <c r="N265" s="1590" t="s">
        <v>1733</v>
      </c>
      <c r="S265" s="90" t="s">
        <v>45</v>
      </c>
      <c r="T265" s="90" t="s">
        <v>596</v>
      </c>
      <c r="V265" s="90" t="s">
        <v>2203</v>
      </c>
      <c r="W265" s="90" t="s">
        <v>2204</v>
      </c>
    </row>
    <row r="266" spans="1:23" ht="15.95" customHeight="1">
      <c r="A266" s="90" t="s">
        <v>35</v>
      </c>
      <c r="B266" s="1622" t="s">
        <v>1526</v>
      </c>
      <c r="C266" s="1606" t="s">
        <v>1516</v>
      </c>
      <c r="E266" s="1606" t="s">
        <v>1532</v>
      </c>
      <c r="I266" s="1622" t="s">
        <v>1529</v>
      </c>
      <c r="J266" s="1622">
        <f>VLOOKUP($A266,'Diesel Data'!$A$2:$K$196,10,FALSE)</f>
        <v>660</v>
      </c>
      <c r="K266" s="1622" t="str">
        <f>VLOOKUP($A266,'Diesel Data'!$A$2:$K$196,11,FALSE)</f>
        <v>none</v>
      </c>
      <c r="L266" s="1622" t="str">
        <f t="shared" si="4"/>
        <v>Utility Office,,,,</v>
      </c>
      <c r="N266" s="1590" t="s">
        <v>1734</v>
      </c>
      <c r="S266" s="90" t="s">
        <v>1054</v>
      </c>
    </row>
    <row r="267" spans="1:23" ht="15.95" customHeight="1">
      <c r="A267" s="90" t="s">
        <v>1047</v>
      </c>
      <c r="J267" s="1622" t="e">
        <f>VLOOKUP($A267,'Diesel Data'!$A$2:$K$196,10,FALSE)</f>
        <v>#N/A</v>
      </c>
      <c r="K267" s="1622" t="e">
        <f>VLOOKUP($A267,'Diesel Data'!$A$2:$K$196,11,FALSE)</f>
        <v>#N/A</v>
      </c>
      <c r="L267" s="1622" t="str">
        <f t="shared" si="4"/>
        <v>,,,,</v>
      </c>
      <c r="S267" s="90" t="s">
        <v>1055</v>
      </c>
      <c r="T267" s="90" t="s">
        <v>596</v>
      </c>
      <c r="V267" s="90" t="s">
        <v>2156</v>
      </c>
    </row>
    <row r="268" spans="1:23" ht="15.95" customHeight="1">
      <c r="A268" s="90" t="s">
        <v>31</v>
      </c>
      <c r="J268" s="1622" t="str">
        <f>VLOOKUP($A268,'Diesel Data'!$A$2:$K$196,10,FALSE)</f>
        <v>unknown</v>
      </c>
      <c r="K268" s="1622" t="str">
        <f>VLOOKUP($A268,'Diesel Data'!$A$2:$K$196,11,FALSE)</f>
        <v>unknown</v>
      </c>
      <c r="L268" s="1622" t="str">
        <f t="shared" si="4"/>
        <v>,,,,</v>
      </c>
      <c r="S268" s="90" t="s">
        <v>550</v>
      </c>
    </row>
    <row r="269" spans="1:23" ht="15.95" customHeight="1">
      <c r="A269" s="90" t="s">
        <v>21</v>
      </c>
      <c r="J269" s="1622" t="str">
        <f>VLOOKUP($A269,'Diesel Data'!$A$2:$K$196,10,FALSE)</f>
        <v>unknown</v>
      </c>
      <c r="K269" s="1622" t="str">
        <f>VLOOKUP($A269,'Diesel Data'!$A$2:$K$196,11,FALSE)</f>
        <v>unknown</v>
      </c>
      <c r="L269" s="1622" t="str">
        <f t="shared" si="4"/>
        <v>,,,,</v>
      </c>
      <c r="S269" s="90" t="s">
        <v>2131</v>
      </c>
    </row>
    <row r="270" spans="1:23" ht="15.95" customHeight="1">
      <c r="A270" s="90" t="s">
        <v>1048</v>
      </c>
      <c r="B270" s="1622" t="s">
        <v>1515</v>
      </c>
      <c r="C270" s="1606" t="s">
        <v>1516</v>
      </c>
      <c r="D270" s="1606" t="s">
        <v>1516</v>
      </c>
      <c r="E270" s="1606" t="s">
        <v>1532</v>
      </c>
      <c r="I270" s="1622" t="s">
        <v>1529</v>
      </c>
      <c r="J270" s="1622">
        <f>VLOOKUP($A270,'Diesel Data'!$A$2:$K$196,10,FALSE)</f>
        <v>0</v>
      </c>
      <c r="K270" s="1622">
        <f>VLOOKUP($A270,'Diesel Data'!$A$2:$K$196,11,FALSE)</f>
        <v>0</v>
      </c>
      <c r="L270" s="1622" t="str">
        <f t="shared" si="4"/>
        <v>,,,,</v>
      </c>
      <c r="N270" s="1590" t="s">
        <v>1705</v>
      </c>
      <c r="S270" s="90" t="s">
        <v>220</v>
      </c>
      <c r="T270" s="90" t="s">
        <v>596</v>
      </c>
      <c r="V270" s="90" t="s">
        <v>2156</v>
      </c>
    </row>
    <row r="271" spans="1:23" ht="15.95" customHeight="1">
      <c r="A271" s="90" t="s">
        <v>92</v>
      </c>
      <c r="J271" s="1622" t="str">
        <f>VLOOKUP($A271,'Diesel Data'!$A$2:$K$196,10,FALSE)</f>
        <v>N/A</v>
      </c>
      <c r="K271" s="1622" t="str">
        <f>VLOOKUP($A271,'Diesel Data'!$A$2:$K$196,11,FALSE)</f>
        <v>N/A</v>
      </c>
      <c r="L271" s="1622" t="str">
        <f t="shared" si="4"/>
        <v>,,,,</v>
      </c>
      <c r="S271" s="90" t="s">
        <v>95</v>
      </c>
      <c r="T271" s="90" t="s">
        <v>597</v>
      </c>
    </row>
    <row r="272" spans="1:23" ht="15.95" customHeight="1">
      <c r="A272" s="90" t="s">
        <v>1049</v>
      </c>
      <c r="J272" s="1622" t="e">
        <f>VLOOKUP($A272,'Diesel Data'!$A$2:$K$196,10,FALSE)</f>
        <v>#N/A</v>
      </c>
      <c r="K272" s="1622" t="e">
        <f>VLOOKUP($A272,'Diesel Data'!$A$2:$K$196,11,FALSE)</f>
        <v>#N/A</v>
      </c>
      <c r="L272" s="1622" t="str">
        <f t="shared" si="4"/>
        <v>,,,,</v>
      </c>
      <c r="S272" s="90" t="s">
        <v>96</v>
      </c>
    </row>
    <row r="273" spans="1:23" ht="15.95" customHeight="1">
      <c r="A273" s="90" t="s">
        <v>1050</v>
      </c>
      <c r="B273" s="1622" t="s">
        <v>1529</v>
      </c>
      <c r="C273" s="1606" t="s">
        <v>1532</v>
      </c>
      <c r="D273" s="1606" t="s">
        <v>1532</v>
      </c>
      <c r="I273" s="1622" t="s">
        <v>1526</v>
      </c>
      <c r="J273" s="1622" t="str">
        <f>VLOOKUP($A273,'Diesel Data'!$A$2:$K$196,10,FALSE)</f>
        <v>N/A</v>
      </c>
      <c r="K273" s="1622" t="str">
        <f>VLOOKUP($A273,'Diesel Data'!$A$2:$K$196,11,FALSE)</f>
        <v>N/A</v>
      </c>
      <c r="L273" s="1622" t="str">
        <f t="shared" si="4"/>
        <v>,,,,</v>
      </c>
      <c r="N273" s="1590" t="s">
        <v>1735</v>
      </c>
      <c r="S273" s="90" t="s">
        <v>259</v>
      </c>
    </row>
    <row r="274" spans="1:23" ht="15.95" customHeight="1">
      <c r="A274" s="90" t="s">
        <v>1181</v>
      </c>
      <c r="J274" s="1622" t="e">
        <f>VLOOKUP($A274,'Diesel Data'!$A$2:$K$196,10,FALSE)</f>
        <v>#N/A</v>
      </c>
      <c r="K274" s="1622" t="e">
        <f>VLOOKUP($A274,'Diesel Data'!$A$2:$K$196,11,FALSE)</f>
        <v>#N/A</v>
      </c>
      <c r="L274" s="1622" t="str">
        <f t="shared" si="4"/>
        <v>,,,,</v>
      </c>
      <c r="S274" s="90" t="s">
        <v>1610</v>
      </c>
    </row>
    <row r="275" spans="1:23" ht="15.95" customHeight="1">
      <c r="A275" s="90" t="s">
        <v>1182</v>
      </c>
      <c r="J275" s="1622" t="e">
        <f>VLOOKUP($A275,'Diesel Data'!$A$2:$K$196,10,FALSE)</f>
        <v>#N/A</v>
      </c>
      <c r="K275" s="1622" t="e">
        <f>VLOOKUP($A275,'Diesel Data'!$A$2:$K$196,11,FALSE)</f>
        <v>#N/A</v>
      </c>
      <c r="L275" s="1622" t="str">
        <f t="shared" si="4"/>
        <v>,,,,</v>
      </c>
      <c r="S275" s="90" t="s">
        <v>1056</v>
      </c>
    </row>
    <row r="276" spans="1:23" ht="15.95" customHeight="1">
      <c r="A276" s="90" t="s">
        <v>209</v>
      </c>
      <c r="J276" s="1622" t="str">
        <f>VLOOKUP($A276,'Diesel Data'!$A$2:$K$196,10,FALSE)</f>
        <v>unknown</v>
      </c>
      <c r="K276" s="1622" t="str">
        <f>VLOOKUP($A276,'Diesel Data'!$A$2:$K$196,11,FALSE)</f>
        <v>unknown</v>
      </c>
      <c r="L276" s="1622" t="str">
        <f t="shared" si="4"/>
        <v>,,,,</v>
      </c>
      <c r="S276" s="90" t="s">
        <v>210</v>
      </c>
    </row>
    <row r="277" spans="1:23" ht="15.95" customHeight="1">
      <c r="A277" s="90" t="s">
        <v>93</v>
      </c>
      <c r="B277" s="1622" t="s">
        <v>1526</v>
      </c>
      <c r="C277" s="1606" t="s">
        <v>1532</v>
      </c>
      <c r="D277" s="1606" t="s">
        <v>1532</v>
      </c>
      <c r="E277" s="1606" t="s">
        <v>1516</v>
      </c>
      <c r="F277" s="1606" t="s">
        <v>1532</v>
      </c>
      <c r="I277" s="1622" t="s">
        <v>1529</v>
      </c>
      <c r="J277" s="1622">
        <f>VLOOKUP($A277,'Diesel Data'!$A$2:$K$196,10,FALSE)</f>
        <v>7300</v>
      </c>
      <c r="K277" s="1622" t="str">
        <f>VLOOKUP($A277,'Diesel Data'!$A$2:$K$196,11,FALSE)</f>
        <v>none</v>
      </c>
      <c r="L277" s="1622" t="str">
        <f t="shared" si="4"/>
        <v>,,,,</v>
      </c>
      <c r="S277" s="90" t="s">
        <v>211</v>
      </c>
    </row>
    <row r="278" spans="1:23" ht="15.95" customHeight="1">
      <c r="A278" s="90" t="s">
        <v>214</v>
      </c>
      <c r="B278" s="1622" t="s">
        <v>1515</v>
      </c>
      <c r="C278" s="1606" t="s">
        <v>1516</v>
      </c>
      <c r="D278" s="1606" t="s">
        <v>1532</v>
      </c>
      <c r="E278" s="1606" t="s">
        <v>1516</v>
      </c>
      <c r="G278" s="1606" t="s">
        <v>1665</v>
      </c>
      <c r="I278" s="1622" t="s">
        <v>1515</v>
      </c>
      <c r="J278" s="1622">
        <f>VLOOKUP($A278,'Diesel Data'!$A$2:$K$196,10,FALSE)</f>
        <v>9000</v>
      </c>
      <c r="K278" s="1622" t="str">
        <f>VLOOKUP($A278,'Diesel Data'!$A$2:$K$196,11,FALSE)</f>
        <v>unknown</v>
      </c>
      <c r="L278" s="1622" t="str">
        <f t="shared" si="4"/>
        <v>Water Plant/Sewer Plant,,,,</v>
      </c>
      <c r="N278" s="1590" t="s">
        <v>1736</v>
      </c>
      <c r="S278" s="90" t="s">
        <v>1611</v>
      </c>
    </row>
    <row r="279" spans="1:23" ht="15.95" customHeight="1">
      <c r="A279" s="90" t="s">
        <v>94</v>
      </c>
      <c r="B279" s="1622" t="s">
        <v>1526</v>
      </c>
      <c r="C279" s="1606" t="s">
        <v>1532</v>
      </c>
      <c r="D279" s="1606" t="s">
        <v>1532</v>
      </c>
      <c r="E279" s="1606" t="s">
        <v>1532</v>
      </c>
      <c r="I279" s="1622" t="s">
        <v>1515</v>
      </c>
      <c r="J279" s="1622" t="str">
        <f>VLOOKUP($A279,'Diesel Data'!$A$2:$K$196,10,FALSE)</f>
        <v>N/A</v>
      </c>
      <c r="K279" s="1622" t="str">
        <f>VLOOKUP($A279,'Diesel Data'!$A$2:$K$196,11,FALSE)</f>
        <v>N/A</v>
      </c>
      <c r="L279" s="1622" t="str">
        <f t="shared" si="4"/>
        <v>AVEC,,,,</v>
      </c>
      <c r="N279" s="1590" t="s">
        <v>1737</v>
      </c>
      <c r="O279" s="1590" t="s">
        <v>1573</v>
      </c>
      <c r="S279" s="90" t="s">
        <v>1354</v>
      </c>
    </row>
    <row r="280" spans="1:23" ht="15.95" customHeight="1">
      <c r="A280" s="90" t="s">
        <v>1518</v>
      </c>
      <c r="J280" s="1622" t="e">
        <f>VLOOKUP($A280,'Diesel Data'!$A$2:$K$196,10,FALSE)</f>
        <v>#N/A</v>
      </c>
      <c r="K280" s="1622" t="e">
        <f>VLOOKUP($A280,'Diesel Data'!$A$2:$K$196,11,FALSE)</f>
        <v>#N/A</v>
      </c>
      <c r="L280" s="1622" t="str">
        <f t="shared" si="4"/>
        <v>,,,,</v>
      </c>
      <c r="S280" s="90" t="s">
        <v>1057</v>
      </c>
    </row>
    <row r="281" spans="1:23" ht="15.95" customHeight="1">
      <c r="A281" s="8" t="s">
        <v>29</v>
      </c>
      <c r="B281" s="1624" t="s">
        <v>1529</v>
      </c>
      <c r="C281" s="1604" t="s">
        <v>1532</v>
      </c>
      <c r="D281" s="1604" t="s">
        <v>1532</v>
      </c>
      <c r="E281" s="1604" t="s">
        <v>1516</v>
      </c>
      <c r="F281" s="1604" t="s">
        <v>1516</v>
      </c>
      <c r="G281" s="1604"/>
      <c r="H281" s="1604"/>
      <c r="I281" s="1624" t="s">
        <v>1529</v>
      </c>
      <c r="J281" s="1622" t="str">
        <f>VLOOKUP($A281,'Diesel Data'!$A$2:$K$196,10,FALSE)</f>
        <v>N/A</v>
      </c>
      <c r="K281" s="1622" t="str">
        <f>VLOOKUP($A281,'Diesel Data'!$A$2:$K$196,11,FALSE)</f>
        <v>N/A</v>
      </c>
      <c r="L281" s="1622" t="str">
        <f t="shared" si="4"/>
        <v>,,,,</v>
      </c>
      <c r="M281" s="1637"/>
      <c r="N281" s="230" t="s">
        <v>1738</v>
      </c>
      <c r="S281" s="90" t="s">
        <v>233</v>
      </c>
      <c r="T281" s="90" t="s">
        <v>596</v>
      </c>
      <c r="V281" s="90" t="s">
        <v>2156</v>
      </c>
    </row>
    <row r="282" spans="1:23" ht="15.95" customHeight="1">
      <c r="A282" s="90" t="s">
        <v>1052</v>
      </c>
      <c r="B282" s="1622" t="s">
        <v>1526</v>
      </c>
      <c r="C282" s="1606" t="s">
        <v>1532</v>
      </c>
      <c r="D282" s="1606" t="s">
        <v>1532</v>
      </c>
      <c r="E282" s="1606" t="s">
        <v>1532</v>
      </c>
      <c r="I282" s="1622" t="s">
        <v>1515</v>
      </c>
      <c r="J282" s="1622" t="e">
        <f>VLOOKUP($A282,'Diesel Data'!$A$2:$K$196,10,FALSE)</f>
        <v>#N/A</v>
      </c>
      <c r="K282" s="1622" t="e">
        <f>VLOOKUP($A282,'Diesel Data'!$A$2:$K$196,11,FALSE)</f>
        <v>#N/A</v>
      </c>
      <c r="L282" s="1622" t="str">
        <f t="shared" si="4"/>
        <v>,,,,</v>
      </c>
      <c r="N282" s="1590" t="s">
        <v>1727</v>
      </c>
      <c r="O282" s="1590" t="s">
        <v>1573</v>
      </c>
      <c r="S282" s="90" t="s">
        <v>1418</v>
      </c>
    </row>
    <row r="283" spans="1:23" ht="15.95" customHeight="1">
      <c r="A283" s="8" t="s">
        <v>217</v>
      </c>
      <c r="B283" s="1624" t="s">
        <v>1529</v>
      </c>
      <c r="C283" s="1604" t="s">
        <v>1532</v>
      </c>
      <c r="D283" s="1604" t="s">
        <v>1532</v>
      </c>
      <c r="E283" s="1604" t="s">
        <v>1516</v>
      </c>
      <c r="F283" s="1604" t="s">
        <v>1516</v>
      </c>
      <c r="G283" s="1604"/>
      <c r="H283" s="1604"/>
      <c r="I283" s="1624" t="s">
        <v>1529</v>
      </c>
      <c r="J283" s="1622">
        <f>VLOOKUP($A283,'Diesel Data'!$A$2:$K$196,10,FALSE)</f>
        <v>0</v>
      </c>
      <c r="K283" s="1622">
        <f>VLOOKUP($A283,'Diesel Data'!$A$2:$K$196,11,FALSE)</f>
        <v>0</v>
      </c>
      <c r="L283" s="1622" t="str">
        <f t="shared" si="4"/>
        <v>,,,,</v>
      </c>
      <c r="M283" s="1637"/>
      <c r="N283" s="230" t="s">
        <v>1739</v>
      </c>
      <c r="S283" s="90" t="s">
        <v>1058</v>
      </c>
    </row>
    <row r="284" spans="1:23" ht="15.95" customHeight="1">
      <c r="A284" s="90" t="s">
        <v>1413</v>
      </c>
      <c r="J284" s="1622" t="e">
        <f>VLOOKUP($A284,'Diesel Data'!$A$2:$K$196,10,FALSE)</f>
        <v>#N/A</v>
      </c>
      <c r="K284" s="1622" t="e">
        <f>VLOOKUP($A284,'Diesel Data'!$A$2:$K$196,11,FALSE)</f>
        <v>#N/A</v>
      </c>
      <c r="L284" s="1622" t="str">
        <f t="shared" si="4"/>
        <v>,,,,</v>
      </c>
      <c r="S284" s="90" t="s">
        <v>223</v>
      </c>
      <c r="T284" s="90" t="s">
        <v>596</v>
      </c>
      <c r="V284" s="90" t="s">
        <v>2205</v>
      </c>
      <c r="W284" s="90" t="s">
        <v>2206</v>
      </c>
    </row>
    <row r="285" spans="1:23" ht="15.95" customHeight="1">
      <c r="A285" s="90" t="s">
        <v>297</v>
      </c>
      <c r="J285" s="1622" t="e">
        <f>VLOOKUP($A285,'Diesel Data'!$A$2:$K$196,10,FALSE)</f>
        <v>#N/A</v>
      </c>
      <c r="K285" s="1622" t="e">
        <f>VLOOKUP($A285,'Diesel Data'!$A$2:$K$196,11,FALSE)</f>
        <v>#N/A</v>
      </c>
      <c r="L285" s="1622" t="str">
        <f t="shared" si="4"/>
        <v>,,,,</v>
      </c>
      <c r="S285" s="90" t="s">
        <v>1059</v>
      </c>
      <c r="T285" s="90" t="s">
        <v>597</v>
      </c>
    </row>
    <row r="286" spans="1:23" ht="15.95" customHeight="1">
      <c r="A286" s="90" t="s">
        <v>1414</v>
      </c>
      <c r="J286" s="1622" t="e">
        <f>VLOOKUP($A286,'Diesel Data'!$A$2:$K$196,10,FALSE)</f>
        <v>#N/A</v>
      </c>
      <c r="K286" s="1622" t="e">
        <f>VLOOKUP($A286,'Diesel Data'!$A$2:$K$196,11,FALSE)</f>
        <v>#N/A</v>
      </c>
      <c r="L286" s="1622" t="e">
        <f t="shared" si="4"/>
        <v>#N/A</v>
      </c>
      <c r="S286" s="90" t="s">
        <v>1060</v>
      </c>
    </row>
    <row r="287" spans="1:23" ht="15.95" customHeight="1">
      <c r="A287" s="90" t="s">
        <v>1053</v>
      </c>
      <c r="J287" s="1622" t="e">
        <f>VLOOKUP($A287,'Diesel Data'!$A$2:$K$196,10,FALSE)</f>
        <v>#N/A</v>
      </c>
      <c r="K287" s="1622" t="e">
        <f>VLOOKUP($A287,'Diesel Data'!$A$2:$K$196,11,FALSE)</f>
        <v>#N/A</v>
      </c>
      <c r="L287" s="1622" t="str">
        <f t="shared" si="4"/>
        <v>,,,,</v>
      </c>
      <c r="S287" s="90" t="s">
        <v>1420</v>
      </c>
    </row>
    <row r="288" spans="1:23" ht="15.95" customHeight="1">
      <c r="A288" s="90" t="s">
        <v>45</v>
      </c>
      <c r="B288" s="1622" t="s">
        <v>1526</v>
      </c>
      <c r="C288" s="1606" t="s">
        <v>1516</v>
      </c>
      <c r="D288" s="1606" t="s">
        <v>1516</v>
      </c>
      <c r="E288" s="1606" t="s">
        <v>1532</v>
      </c>
      <c r="H288" s="1606" t="s">
        <v>1665</v>
      </c>
      <c r="I288" s="1622" t="s">
        <v>1515</v>
      </c>
      <c r="J288" s="1622" t="str">
        <f>VLOOKUP($A288,'Diesel Data'!$A$2:$K$196,10,FALSE)</f>
        <v xml:space="preserve">N/A </v>
      </c>
      <c r="K288" s="1622" t="str">
        <f>VLOOKUP($A288,'Diesel Data'!$A$2:$K$196,11,FALSE)</f>
        <v>N/A</v>
      </c>
      <c r="L288" s="1622" t="str">
        <f t="shared" si="4"/>
        <v>Main Office Bldg,EMS,,,</v>
      </c>
      <c r="N288" s="1590" t="s">
        <v>1740</v>
      </c>
      <c r="S288" s="90" t="s">
        <v>1355</v>
      </c>
    </row>
    <row r="289" spans="1:24" ht="15.95" customHeight="1">
      <c r="A289" s="90" t="s">
        <v>1054</v>
      </c>
      <c r="J289" s="1622" t="str">
        <f>VLOOKUP($A289,'Diesel Data'!$A$2:$K$196,10,FALSE)</f>
        <v>unknown</v>
      </c>
      <c r="K289" s="1622" t="str">
        <f>VLOOKUP($A289,'Diesel Data'!$A$2:$K$196,11,FALSE)</f>
        <v>unknown</v>
      </c>
      <c r="L289" s="1622" t="str">
        <f t="shared" si="4"/>
        <v>,,,,</v>
      </c>
      <c r="S289" s="90" t="s">
        <v>1612</v>
      </c>
    </row>
    <row r="290" spans="1:24" ht="15.95" customHeight="1">
      <c r="A290" s="90" t="s">
        <v>1055</v>
      </c>
      <c r="B290" s="1622" t="s">
        <v>1515</v>
      </c>
      <c r="C290" s="1606" t="s">
        <v>1516</v>
      </c>
      <c r="D290" s="1606" t="s">
        <v>1516</v>
      </c>
      <c r="E290" s="1606" t="s">
        <v>1516</v>
      </c>
      <c r="H290" s="1606" t="s">
        <v>1713</v>
      </c>
      <c r="I290" s="1622" t="s">
        <v>1529</v>
      </c>
      <c r="J290" s="1622">
        <f>VLOOKUP($A290,'Diesel Data'!$A$2:$K$196,10,FALSE)</f>
        <v>10950</v>
      </c>
      <c r="K290" s="1622" t="str">
        <f>VLOOKUP($A290,'Diesel Data'!$A$2:$K$196,11,FALSE)</f>
        <v>unknown</v>
      </c>
      <c r="L290" s="1622" t="str">
        <f t="shared" si="4"/>
        <v>School,,,,</v>
      </c>
      <c r="S290" s="90" t="s">
        <v>1576</v>
      </c>
    </row>
    <row r="291" spans="1:24" ht="15.95" customHeight="1">
      <c r="A291" s="90" t="s">
        <v>550</v>
      </c>
      <c r="J291" s="1622">
        <f>VLOOKUP($A291,'Diesel Data'!$A$2:$K$196,10,FALSE)</f>
        <v>0</v>
      </c>
      <c r="K291" s="1622">
        <f>VLOOKUP($A291,'Diesel Data'!$A$2:$K$196,11,FALSE)</f>
        <v>0</v>
      </c>
      <c r="L291" s="1622" t="str">
        <f t="shared" si="4"/>
        <v>,,,,</v>
      </c>
      <c r="S291" s="90" t="s">
        <v>27</v>
      </c>
      <c r="T291" s="90" t="s">
        <v>597</v>
      </c>
    </row>
    <row r="292" spans="1:24" ht="15.95" customHeight="1">
      <c r="A292" s="90" t="s">
        <v>1609</v>
      </c>
      <c r="J292" s="1622" t="e">
        <f>VLOOKUP($A292,'Diesel Data'!$A$2:$K$196,10,FALSE)</f>
        <v>#N/A</v>
      </c>
      <c r="K292" s="1622" t="e">
        <f>VLOOKUP($A292,'Diesel Data'!$A$2:$K$196,11,FALSE)</f>
        <v>#N/A</v>
      </c>
      <c r="L292" s="1622" t="e">
        <f t="shared" si="4"/>
        <v>#N/A</v>
      </c>
      <c r="S292" s="90" t="s">
        <v>409</v>
      </c>
    </row>
    <row r="293" spans="1:24" ht="15.95" customHeight="1">
      <c r="A293" s="90" t="s">
        <v>220</v>
      </c>
      <c r="B293" s="1622" t="s">
        <v>1515</v>
      </c>
      <c r="C293" s="1606" t="s">
        <v>1516</v>
      </c>
      <c r="D293" s="1606" t="s">
        <v>1516</v>
      </c>
      <c r="E293" s="1606" t="s">
        <v>1516</v>
      </c>
      <c r="I293" s="1622" t="s">
        <v>1529</v>
      </c>
      <c r="J293" s="1622" t="str">
        <f>VLOOKUP($A293,'Diesel Data'!$A$2:$K$196,10,FALSE)</f>
        <v>unknown</v>
      </c>
      <c r="K293" s="1622" t="str">
        <f>VLOOKUP($A293,'Diesel Data'!$A$2:$K$196,11,FALSE)</f>
        <v>unknown</v>
      </c>
      <c r="L293" s="1622" t="str">
        <f t="shared" si="4"/>
        <v>School,,,,</v>
      </c>
      <c r="N293" s="1590" t="s">
        <v>1741</v>
      </c>
      <c r="S293" s="90" t="s">
        <v>190</v>
      </c>
      <c r="T293" s="90" t="s">
        <v>597</v>
      </c>
    </row>
    <row r="294" spans="1:24" ht="15.95" customHeight="1">
      <c r="A294" s="90" t="s">
        <v>95</v>
      </c>
      <c r="B294" s="1622" t="s">
        <v>1529</v>
      </c>
      <c r="C294" s="1606" t="s">
        <v>1516</v>
      </c>
      <c r="D294" s="1473"/>
      <c r="E294" s="1473"/>
      <c r="I294" s="1622" t="s">
        <v>1526</v>
      </c>
      <c r="J294" s="1622">
        <f>VLOOKUP($A294,'Diesel Data'!$A$2:$K$196,10,FALSE)</f>
        <v>0</v>
      </c>
      <c r="K294" s="1622">
        <f>VLOOKUP($A294,'Diesel Data'!$A$2:$K$196,11,FALSE)</f>
        <v>0</v>
      </c>
      <c r="L294" s="1622" t="str">
        <f t="shared" si="4"/>
        <v>,,,,</v>
      </c>
      <c r="N294" s="1590" t="s">
        <v>1742</v>
      </c>
      <c r="S294" s="90" t="s">
        <v>1577</v>
      </c>
    </row>
    <row r="295" spans="1:24" ht="15.95" customHeight="1">
      <c r="A295" s="90" t="s">
        <v>96</v>
      </c>
      <c r="B295" s="1622" t="s">
        <v>1526</v>
      </c>
      <c r="C295" s="1606" t="s">
        <v>1532</v>
      </c>
      <c r="D295" s="1606" t="s">
        <v>1532</v>
      </c>
      <c r="E295" s="1606" t="s">
        <v>1532</v>
      </c>
      <c r="I295" s="1622" t="s">
        <v>1515</v>
      </c>
      <c r="J295" s="1622" t="e">
        <f>VLOOKUP($A295,'Diesel Data'!$A$2:$K$196,10,FALSE)</f>
        <v>#N/A</v>
      </c>
      <c r="K295" s="1622" t="e">
        <f>VLOOKUP($A295,'Diesel Data'!$A$2:$K$196,11,FALSE)</f>
        <v>#N/A</v>
      </c>
      <c r="L295" s="1622" t="str">
        <f t="shared" si="4"/>
        <v>,,,,</v>
      </c>
      <c r="N295" s="1590" t="s">
        <v>1743</v>
      </c>
      <c r="O295" s="1590" t="s">
        <v>1573</v>
      </c>
      <c r="S295" s="90" t="s">
        <v>1613</v>
      </c>
    </row>
    <row r="296" spans="1:24" ht="15.95" customHeight="1">
      <c r="A296" s="90" t="s">
        <v>259</v>
      </c>
      <c r="B296" s="1622" t="s">
        <v>1529</v>
      </c>
      <c r="C296" s="1606" t="s">
        <v>1532</v>
      </c>
      <c r="D296" s="1473"/>
      <c r="E296" s="1473"/>
      <c r="I296" s="1622" t="s">
        <v>1526</v>
      </c>
      <c r="J296" s="1622" t="str">
        <f>VLOOKUP($A296,'Diesel Data'!$A$2:$K$196,10,FALSE)</f>
        <v>N/A</v>
      </c>
      <c r="K296" s="1622">
        <f>VLOOKUP($A296,'Diesel Data'!$A$2:$K$196,11,FALSE)</f>
        <v>0</v>
      </c>
      <c r="L296" s="1622" t="str">
        <f t="shared" si="4"/>
        <v>,,,,</v>
      </c>
      <c r="N296" s="1590" t="s">
        <v>1744</v>
      </c>
      <c r="S296" s="90" t="s">
        <v>34</v>
      </c>
      <c r="T296" s="90" t="s">
        <v>596</v>
      </c>
      <c r="U296" s="90" t="s">
        <v>596</v>
      </c>
      <c r="V296" s="90" t="s">
        <v>2145</v>
      </c>
      <c r="W296" s="90" t="s">
        <v>2168</v>
      </c>
      <c r="X296" s="90" t="s">
        <v>2207</v>
      </c>
    </row>
    <row r="297" spans="1:24" ht="15.95" customHeight="1">
      <c r="A297" s="90" t="s">
        <v>1610</v>
      </c>
      <c r="J297" s="1622" t="e">
        <f>VLOOKUP($A297,'Diesel Data'!$A$2:$K$196,10,FALSE)</f>
        <v>#N/A</v>
      </c>
      <c r="K297" s="1622" t="e">
        <f>VLOOKUP($A297,'Diesel Data'!$A$2:$K$196,11,FALSE)</f>
        <v>#N/A</v>
      </c>
      <c r="L297" s="1622" t="str">
        <f t="shared" si="4"/>
        <v>,,,,</v>
      </c>
      <c r="S297" s="90" t="s">
        <v>97</v>
      </c>
      <c r="T297" s="90" t="s">
        <v>597</v>
      </c>
    </row>
    <row r="298" spans="1:24" ht="15.95" customHeight="1">
      <c r="A298" s="90" t="s">
        <v>1056</v>
      </c>
      <c r="J298" s="1622" t="e">
        <f>VLOOKUP($A298,'Diesel Data'!$A$2:$K$196,10,FALSE)</f>
        <v>#N/A</v>
      </c>
      <c r="K298" s="1622" t="e">
        <f>VLOOKUP($A298,'Diesel Data'!$A$2:$K$196,11,FALSE)</f>
        <v>#N/A</v>
      </c>
      <c r="L298" s="1622" t="str">
        <f t="shared" si="4"/>
        <v>,,,,</v>
      </c>
      <c r="S298" s="90" t="s">
        <v>1061</v>
      </c>
      <c r="T298" s="90" t="s">
        <v>597</v>
      </c>
    </row>
    <row r="299" spans="1:24" ht="15.95" customHeight="1">
      <c r="A299" s="90" t="s">
        <v>210</v>
      </c>
      <c r="J299" s="1622">
        <f>VLOOKUP($A299,'Diesel Data'!$A$2:$K$196,10,FALSE)</f>
        <v>0</v>
      </c>
      <c r="K299" s="1622">
        <f>VLOOKUP($A299,'Diesel Data'!$A$2:$K$196,11,FALSE)</f>
        <v>0</v>
      </c>
      <c r="L299" s="1622" t="str">
        <f t="shared" si="4"/>
        <v>,,,,</v>
      </c>
      <c r="S299" s="90" t="s">
        <v>1062</v>
      </c>
      <c r="T299" s="90" t="s">
        <v>596</v>
      </c>
      <c r="V299" s="90" t="s">
        <v>2208</v>
      </c>
    </row>
    <row r="300" spans="1:24" ht="15.95" customHeight="1">
      <c r="A300" s="90" t="s">
        <v>211</v>
      </c>
      <c r="J300" s="1622">
        <f>VLOOKUP($A300,'Diesel Data'!$A$2:$K$196,10,FALSE)</f>
        <v>0</v>
      </c>
      <c r="K300" s="1622">
        <f>VLOOKUP($A300,'Diesel Data'!$A$2:$K$196,11,FALSE)</f>
        <v>0</v>
      </c>
      <c r="L300" s="1622" t="str">
        <f t="shared" si="4"/>
        <v>,,,,</v>
      </c>
      <c r="S300" s="90" t="s">
        <v>1063</v>
      </c>
    </row>
    <row r="301" spans="1:24" ht="15.95" customHeight="1">
      <c r="A301" s="90" t="s">
        <v>1611</v>
      </c>
      <c r="J301" s="1622" t="e">
        <f>VLOOKUP($A301,'Diesel Data'!$A$2:$K$196,10,FALSE)</f>
        <v>#N/A</v>
      </c>
      <c r="K301" s="1622" t="e">
        <f>VLOOKUP($A301,'Diesel Data'!$A$2:$K$196,11,FALSE)</f>
        <v>#N/A</v>
      </c>
      <c r="L301" s="1622" t="str">
        <f t="shared" si="4"/>
        <v>,,,,</v>
      </c>
      <c r="S301" s="90" t="s">
        <v>1064</v>
      </c>
      <c r="T301" s="90" t="s">
        <v>596</v>
      </c>
      <c r="V301" s="90" t="s">
        <v>2209</v>
      </c>
      <c r="W301" s="90" t="s">
        <v>2210</v>
      </c>
      <c r="X301" s="90" t="s">
        <v>2211</v>
      </c>
    </row>
    <row r="302" spans="1:24" ht="15.95" customHeight="1">
      <c r="A302" s="90" t="s">
        <v>1416</v>
      </c>
      <c r="J302" s="1622" t="e">
        <f>VLOOKUP($A302,'Diesel Data'!$A$2:$K$196,10,FALSE)</f>
        <v>#N/A</v>
      </c>
      <c r="K302" s="1622" t="e">
        <f>VLOOKUP($A302,'Diesel Data'!$A$2:$K$196,11,FALSE)</f>
        <v>#N/A</v>
      </c>
      <c r="L302" s="1622" t="e">
        <f t="shared" si="4"/>
        <v>#N/A</v>
      </c>
      <c r="S302" s="90" t="s">
        <v>1368</v>
      </c>
    </row>
    <row r="303" spans="1:24" ht="15.95" customHeight="1">
      <c r="A303" s="90" t="s">
        <v>1354</v>
      </c>
      <c r="J303" s="1622" t="e">
        <f>VLOOKUP($A303,'Diesel Data'!$A$2:$K$196,10,FALSE)</f>
        <v>#N/A</v>
      </c>
      <c r="K303" s="1622" t="e">
        <f>VLOOKUP($A303,'Diesel Data'!$A$2:$K$196,11,FALSE)</f>
        <v>#N/A</v>
      </c>
      <c r="L303" s="1622" t="str">
        <f t="shared" si="4"/>
        <v>,,,,</v>
      </c>
      <c r="S303" s="90" t="s">
        <v>1065</v>
      </c>
    </row>
    <row r="304" spans="1:24" ht="15.95" customHeight="1">
      <c r="A304" s="90" t="s">
        <v>1057</v>
      </c>
      <c r="J304" s="1622" t="e">
        <f>VLOOKUP($A304,'Diesel Data'!$A$2:$K$196,10,FALSE)</f>
        <v>#N/A</v>
      </c>
      <c r="K304" s="1622" t="e">
        <f>VLOOKUP($A304,'Diesel Data'!$A$2:$K$196,11,FALSE)</f>
        <v>#N/A</v>
      </c>
      <c r="L304" s="1622" t="str">
        <f t="shared" si="4"/>
        <v>,,,,</v>
      </c>
      <c r="S304" s="90" t="s">
        <v>227</v>
      </c>
      <c r="T304" s="90" t="s">
        <v>596</v>
      </c>
      <c r="V304" s="90" t="s">
        <v>2212</v>
      </c>
    </row>
    <row r="305" spans="1:23" ht="15.95" customHeight="1">
      <c r="A305" s="90" t="s">
        <v>233</v>
      </c>
      <c r="B305" s="1622" t="s">
        <v>1515</v>
      </c>
      <c r="C305" s="1606" t="s">
        <v>1516</v>
      </c>
      <c r="D305" s="1606" t="s">
        <v>1532</v>
      </c>
      <c r="E305" s="1606" t="s">
        <v>1516</v>
      </c>
      <c r="H305" s="1606" t="s">
        <v>1713</v>
      </c>
      <c r="I305" s="1622" t="s">
        <v>1515</v>
      </c>
      <c r="J305" s="1622">
        <f>VLOOKUP($A305,'Diesel Data'!$A$2:$K$196,10,FALSE)</f>
        <v>14600</v>
      </c>
      <c r="K305" s="1622">
        <f>VLOOKUP($A305,'Diesel Data'!$A$2:$K$196,11,FALSE)</f>
        <v>2500</v>
      </c>
      <c r="L305" s="1622" t="str">
        <f t="shared" si="4"/>
        <v>School,,,,</v>
      </c>
      <c r="S305" s="90" t="s">
        <v>98</v>
      </c>
    </row>
    <row r="306" spans="1:23" ht="15.95" customHeight="1">
      <c r="A306" s="90" t="s">
        <v>1418</v>
      </c>
      <c r="J306" s="1622" t="e">
        <f>VLOOKUP($A306,'Diesel Data'!$A$2:$K$196,10,FALSE)</f>
        <v>#N/A</v>
      </c>
      <c r="K306" s="1622" t="e">
        <f>VLOOKUP($A306,'Diesel Data'!$A$2:$K$196,11,FALSE)</f>
        <v>#N/A</v>
      </c>
      <c r="L306" s="1622" t="str">
        <f t="shared" si="4"/>
        <v>,,,,</v>
      </c>
      <c r="S306" s="90" t="s">
        <v>1066</v>
      </c>
    </row>
    <row r="307" spans="1:23" ht="15.95" customHeight="1">
      <c r="A307" s="90" t="s">
        <v>1058</v>
      </c>
      <c r="J307" s="1622" t="e">
        <f>VLOOKUP($A307,'Diesel Data'!$A$2:$K$196,10,FALSE)</f>
        <v>#N/A</v>
      </c>
      <c r="K307" s="1622" t="e">
        <f>VLOOKUP($A307,'Diesel Data'!$A$2:$K$196,11,FALSE)</f>
        <v>#N/A</v>
      </c>
      <c r="L307" s="1622" t="str">
        <f t="shared" si="4"/>
        <v>,,,,</v>
      </c>
      <c r="S307" s="90" t="s">
        <v>99</v>
      </c>
      <c r="T307" s="90" t="s">
        <v>596</v>
      </c>
      <c r="V307" s="90" t="s">
        <v>2172</v>
      </c>
      <c r="W307" s="90" t="s">
        <v>2213</v>
      </c>
    </row>
    <row r="308" spans="1:23" ht="15.95" customHeight="1">
      <c r="A308" s="90" t="s">
        <v>223</v>
      </c>
      <c r="B308" s="1622" t="s">
        <v>1515</v>
      </c>
      <c r="C308" s="1606" t="s">
        <v>1516</v>
      </c>
      <c r="D308" s="1606" t="s">
        <v>1532</v>
      </c>
      <c r="E308" s="1606" t="s">
        <v>1516</v>
      </c>
      <c r="H308" s="1606" t="s">
        <v>1713</v>
      </c>
      <c r="I308" s="1622" t="s">
        <v>1515</v>
      </c>
      <c r="J308" s="1622" t="str">
        <f>VLOOKUP($A308,'Diesel Data'!$A$2:$K$196,10,FALSE)</f>
        <v>unknown</v>
      </c>
      <c r="K308" s="1622" t="str">
        <f>VLOOKUP($A308,'Diesel Data'!$A$2:$K$196,11,FALSE)</f>
        <v>unknown</v>
      </c>
      <c r="L308" s="1622" t="str">
        <f t="shared" si="4"/>
        <v>Fire Depot,VPSO,,,</v>
      </c>
      <c r="S308" s="90" t="s">
        <v>100</v>
      </c>
    </row>
    <row r="309" spans="1:23" ht="15.95" customHeight="1">
      <c r="A309" s="8" t="s">
        <v>1059</v>
      </c>
      <c r="B309" s="1624" t="s">
        <v>1526</v>
      </c>
      <c r="C309" s="1605" t="s">
        <v>1532</v>
      </c>
      <c r="D309" s="1604" t="s">
        <v>1532</v>
      </c>
      <c r="E309" s="1604" t="s">
        <v>1516</v>
      </c>
      <c r="F309" s="1605" t="s">
        <v>1516</v>
      </c>
      <c r="G309" s="1604"/>
      <c r="H309" s="1604"/>
      <c r="I309" s="1624"/>
      <c r="J309" s="1622" t="e">
        <f>VLOOKUP($A309,'Diesel Data'!$A$2:$K$196,10,FALSE)</f>
        <v>#N/A</v>
      </c>
      <c r="K309" s="1622" t="e">
        <f>VLOOKUP($A309,'Diesel Data'!$A$2:$K$196,11,FALSE)</f>
        <v>#N/A</v>
      </c>
      <c r="L309" s="1622" t="str">
        <f t="shared" si="4"/>
        <v>,,,,</v>
      </c>
      <c r="M309" s="1637"/>
      <c r="N309" s="230" t="s">
        <v>1745</v>
      </c>
      <c r="S309" s="90" t="s">
        <v>1067</v>
      </c>
    </row>
    <row r="310" spans="1:23" ht="15.95" customHeight="1">
      <c r="A310" s="90" t="s">
        <v>1060</v>
      </c>
      <c r="J310" s="1622" t="e">
        <f>VLOOKUP($A310,'Diesel Data'!$A$2:$K$196,10,FALSE)</f>
        <v>#N/A</v>
      </c>
      <c r="K310" s="1622" t="e">
        <f>VLOOKUP($A310,'Diesel Data'!$A$2:$K$196,11,FALSE)</f>
        <v>#N/A</v>
      </c>
      <c r="L310" s="1622" t="str">
        <f t="shared" si="4"/>
        <v>,,,,</v>
      </c>
      <c r="S310" s="90" t="s">
        <v>1369</v>
      </c>
    </row>
    <row r="311" spans="1:23" ht="15.95" customHeight="1">
      <c r="A311" s="90" t="s">
        <v>1420</v>
      </c>
      <c r="J311" s="1622" t="e">
        <f>VLOOKUP($A311,'Diesel Data'!$A$2:$K$196,10,FALSE)</f>
        <v>#N/A</v>
      </c>
      <c r="K311" s="1622" t="e">
        <f>VLOOKUP($A311,'Diesel Data'!$A$2:$K$196,11,FALSE)</f>
        <v>#N/A</v>
      </c>
      <c r="L311" s="1622" t="str">
        <f t="shared" si="4"/>
        <v>,,,,</v>
      </c>
      <c r="S311" s="90" t="s">
        <v>1068</v>
      </c>
    </row>
    <row r="312" spans="1:23" ht="15.95" customHeight="1">
      <c r="A312" s="90" t="s">
        <v>1355</v>
      </c>
      <c r="J312" s="1622" t="e">
        <f>VLOOKUP($A312,'Diesel Data'!$A$2:$K$196,10,FALSE)</f>
        <v>#N/A</v>
      </c>
      <c r="K312" s="1622" t="e">
        <f>VLOOKUP($A312,'Diesel Data'!$A$2:$K$196,11,FALSE)</f>
        <v>#N/A</v>
      </c>
      <c r="L312" s="1622" t="str">
        <f t="shared" si="4"/>
        <v>,,,,</v>
      </c>
      <c r="S312" s="90" t="s">
        <v>101</v>
      </c>
      <c r="T312" s="90" t="s">
        <v>597</v>
      </c>
    </row>
    <row r="313" spans="1:23" ht="15.95" customHeight="1">
      <c r="A313" s="90" t="s">
        <v>1612</v>
      </c>
      <c r="J313" s="1622" t="e">
        <f>VLOOKUP($A313,'Diesel Data'!$A$2:$K$196,10,FALSE)</f>
        <v>#N/A</v>
      </c>
      <c r="K313" s="1622" t="e">
        <f>VLOOKUP($A313,'Diesel Data'!$A$2:$K$196,11,FALSE)</f>
        <v>#N/A</v>
      </c>
      <c r="L313" s="1622" t="str">
        <f t="shared" si="4"/>
        <v>,,,,</v>
      </c>
      <c r="S313" s="90" t="s">
        <v>102</v>
      </c>
    </row>
    <row r="314" spans="1:23" ht="15.95" customHeight="1">
      <c r="A314" s="90" t="s">
        <v>1576</v>
      </c>
      <c r="J314" s="1622" t="e">
        <f>VLOOKUP($A314,'Diesel Data'!$A$2:$K$196,10,FALSE)</f>
        <v>#N/A</v>
      </c>
      <c r="K314" s="1622" t="e">
        <f>VLOOKUP($A314,'Diesel Data'!$A$2:$K$196,11,FALSE)</f>
        <v>#N/A</v>
      </c>
      <c r="L314" s="1622" t="str">
        <f t="shared" si="4"/>
        <v>,,,,</v>
      </c>
      <c r="S314" s="90" t="s">
        <v>1513</v>
      </c>
    </row>
    <row r="315" spans="1:23" ht="15.95" customHeight="1">
      <c r="A315" s="90" t="s">
        <v>27</v>
      </c>
      <c r="B315" s="1622" t="s">
        <v>1515</v>
      </c>
      <c r="C315" s="1606" t="s">
        <v>1516</v>
      </c>
      <c r="D315" s="1606" t="s">
        <v>1516</v>
      </c>
      <c r="E315" s="1606" t="s">
        <v>1516</v>
      </c>
      <c r="G315" s="1606" t="s">
        <v>1665</v>
      </c>
      <c r="I315" s="1622" t="s">
        <v>1526</v>
      </c>
      <c r="J315" s="1622" t="str">
        <f>VLOOKUP($A315,'Diesel Data'!$A$2:$K$196,10,FALSE)</f>
        <v>unknown</v>
      </c>
      <c r="K315" s="1622" t="str">
        <f>VLOOKUP($A315,'Diesel Data'!$A$2:$K$196,11,FALSE)</f>
        <v>unknown</v>
      </c>
      <c r="L315" s="1622" t="str">
        <f t="shared" si="4"/>
        <v>,,,,</v>
      </c>
      <c r="N315" s="1590" t="s">
        <v>1742</v>
      </c>
      <c r="O315" s="1590" t="s">
        <v>1534</v>
      </c>
      <c r="S315" s="90" t="s">
        <v>103</v>
      </c>
    </row>
    <row r="316" spans="1:23" ht="15.95" customHeight="1">
      <c r="A316" s="90" t="s">
        <v>409</v>
      </c>
      <c r="B316" s="1622" t="s">
        <v>1529</v>
      </c>
      <c r="C316" s="1606" t="s">
        <v>1532</v>
      </c>
      <c r="D316" s="1606" t="s">
        <v>1532</v>
      </c>
      <c r="I316" s="1622" t="s">
        <v>1526</v>
      </c>
      <c r="J316" s="1622" t="str">
        <f>VLOOKUP($A316,'Diesel Data'!$A$2:$K$196,10,FALSE)</f>
        <v>unknown</v>
      </c>
      <c r="K316" s="1622" t="str">
        <f>VLOOKUP($A316,'Diesel Data'!$A$2:$K$196,11,FALSE)</f>
        <v>unknown</v>
      </c>
      <c r="L316" s="1622" t="str">
        <f t="shared" si="4"/>
        <v>,,,,</v>
      </c>
      <c r="N316" s="1590" t="s">
        <v>1735</v>
      </c>
      <c r="P316" s="90" t="s">
        <v>1746</v>
      </c>
      <c r="S316" s="90" t="s">
        <v>32</v>
      </c>
    </row>
    <row r="317" spans="1:23" ht="15.95" customHeight="1">
      <c r="A317" s="90" t="s">
        <v>190</v>
      </c>
      <c r="B317" s="1622" t="s">
        <v>1526</v>
      </c>
      <c r="C317" s="1606" t="s">
        <v>1532</v>
      </c>
      <c r="D317" s="1606" t="s">
        <v>1532</v>
      </c>
      <c r="E317" s="1606" t="s">
        <v>1532</v>
      </c>
      <c r="I317" s="1622" t="s">
        <v>1526</v>
      </c>
      <c r="J317" s="1622">
        <f>VLOOKUP($A317,'Diesel Data'!$A$2:$K$196,10,FALSE)</f>
        <v>0</v>
      </c>
      <c r="K317" s="1622">
        <f>VLOOKUP($A317,'Diesel Data'!$A$2:$K$196,11,FALSE)</f>
        <v>0</v>
      </c>
      <c r="L317" s="1622" t="str">
        <f t="shared" si="4"/>
        <v>,,,,</v>
      </c>
      <c r="S317" s="90" t="s">
        <v>1168</v>
      </c>
    </row>
    <row r="318" spans="1:23" ht="15.95" customHeight="1">
      <c r="A318" s="90" t="s">
        <v>1577</v>
      </c>
      <c r="J318" s="1622" t="e">
        <f>VLOOKUP($A318,'Diesel Data'!$A$2:$K$196,10,FALSE)</f>
        <v>#N/A</v>
      </c>
      <c r="K318" s="1622" t="e">
        <f>VLOOKUP($A318,'Diesel Data'!$A$2:$K$196,11,FALSE)</f>
        <v>#N/A</v>
      </c>
      <c r="L318" s="1622" t="str">
        <f t="shared" si="4"/>
        <v>,,,,</v>
      </c>
      <c r="S318" s="90" t="s">
        <v>551</v>
      </c>
    </row>
    <row r="319" spans="1:23" ht="15.95" customHeight="1">
      <c r="A319" s="90" t="s">
        <v>1613</v>
      </c>
      <c r="J319" s="1622" t="e">
        <f>VLOOKUP($A319,'Diesel Data'!$A$2:$K$196,10,FALSE)</f>
        <v>#N/A</v>
      </c>
      <c r="K319" s="1622" t="e">
        <f>VLOOKUP($A319,'Diesel Data'!$A$2:$K$196,11,FALSE)</f>
        <v>#N/A</v>
      </c>
      <c r="L319" s="1622" t="str">
        <f t="shared" si="4"/>
        <v>,,,,</v>
      </c>
      <c r="S319" s="90" t="s">
        <v>20</v>
      </c>
    </row>
    <row r="320" spans="1:23" ht="15.95" customHeight="1">
      <c r="A320" s="90" t="s">
        <v>34</v>
      </c>
      <c r="B320" s="1622" t="s">
        <v>1526</v>
      </c>
      <c r="C320" s="1606" t="s">
        <v>1516</v>
      </c>
      <c r="D320" s="1606" t="s">
        <v>1516</v>
      </c>
      <c r="E320" s="1606" t="s">
        <v>1532</v>
      </c>
      <c r="H320" s="1606" t="s">
        <v>1665</v>
      </c>
      <c r="I320" s="1622" t="s">
        <v>1515</v>
      </c>
      <c r="J320" s="1622">
        <f>VLOOKUP($A320,'Diesel Data'!$A$2:$K$196,10,FALSE)</f>
        <v>14600</v>
      </c>
      <c r="K320" s="1622">
        <f>VLOOKUP($A320,'Diesel Data'!$A$2:$K$196,11,FALSE)</f>
        <v>3650</v>
      </c>
      <c r="L320" s="1622" t="str">
        <f t="shared" si="4"/>
        <v>Washeteria ,Clinic,Public Safety Bldg,,</v>
      </c>
      <c r="N320" s="1590" t="s">
        <v>1747</v>
      </c>
      <c r="S320" s="90" t="s">
        <v>1070</v>
      </c>
    </row>
    <row r="321" spans="1:22" ht="15.95" customHeight="1">
      <c r="A321" s="90" t="s">
        <v>97</v>
      </c>
      <c r="B321" s="1622" t="s">
        <v>1526</v>
      </c>
      <c r="C321" s="1606" t="s">
        <v>1516</v>
      </c>
      <c r="D321" s="1606" t="s">
        <v>1516</v>
      </c>
      <c r="E321" s="1606" t="s">
        <v>1532</v>
      </c>
      <c r="G321" s="1606" t="s">
        <v>1665</v>
      </c>
      <c r="I321" s="1622" t="s">
        <v>1515</v>
      </c>
      <c r="J321" s="1622" t="str">
        <f>VLOOKUP($A321,'Diesel Data'!$A$2:$K$196,10,FALSE)</f>
        <v>unknown</v>
      </c>
      <c r="K321" s="1622" t="str">
        <f>VLOOKUP($A321,'Diesel Data'!$A$2:$K$196,11,FALSE)</f>
        <v>unknown</v>
      </c>
      <c r="L321" s="1622" t="str">
        <f t="shared" si="4"/>
        <v>,,,,</v>
      </c>
      <c r="N321" s="1590" t="s">
        <v>1748</v>
      </c>
      <c r="S321" s="90" t="s">
        <v>253</v>
      </c>
      <c r="T321" s="90" t="s">
        <v>2214</v>
      </c>
    </row>
    <row r="322" spans="1:22" ht="15.95" customHeight="1">
      <c r="A322" s="90" t="s">
        <v>1061</v>
      </c>
      <c r="B322" s="1622" t="s">
        <v>1526</v>
      </c>
      <c r="C322" s="1606" t="s">
        <v>1516</v>
      </c>
      <c r="D322" s="1606" t="s">
        <v>1516</v>
      </c>
      <c r="E322" s="1606" t="s">
        <v>1532</v>
      </c>
      <c r="H322" s="1606" t="s">
        <v>1713</v>
      </c>
      <c r="I322" s="1622" t="s">
        <v>1515</v>
      </c>
      <c r="J322" s="1622" t="str">
        <f>VLOOKUP($A322,'Diesel Data'!$A$2:$K$196,10,FALSE)</f>
        <v>N/A</v>
      </c>
      <c r="K322" s="1622" t="str">
        <f>VLOOKUP($A322,'Diesel Data'!$A$2:$K$196,11,FALSE)</f>
        <v>N/A</v>
      </c>
      <c r="L322" s="1622" t="str">
        <f t="shared" si="4"/>
        <v>,,,,</v>
      </c>
      <c r="S322" s="90" t="s">
        <v>191</v>
      </c>
      <c r="T322" s="90" t="s">
        <v>597</v>
      </c>
    </row>
    <row r="323" spans="1:22" ht="15.95" customHeight="1">
      <c r="A323" s="90" t="s">
        <v>1062</v>
      </c>
      <c r="B323" s="1622" t="s">
        <v>1526</v>
      </c>
      <c r="C323" s="1606" t="s">
        <v>1516</v>
      </c>
      <c r="D323" s="1606" t="s">
        <v>1516</v>
      </c>
      <c r="E323" s="1606" t="s">
        <v>1532</v>
      </c>
      <c r="H323" s="1606" t="s">
        <v>1665</v>
      </c>
      <c r="I323" s="1622" t="s">
        <v>1515</v>
      </c>
      <c r="J323" s="1622" t="str">
        <f>VLOOKUP($A323,'Diesel Data'!$A$2:$K$196,10,FALSE)</f>
        <v>unknown</v>
      </c>
      <c r="K323" s="1622" t="str">
        <f>VLOOKUP($A323,'Diesel Data'!$A$2:$K$196,11,FALSE)</f>
        <v>unknown</v>
      </c>
      <c r="L323" s="1622" t="str">
        <f t="shared" si="4"/>
        <v>City Bldg,,,,</v>
      </c>
      <c r="N323" s="1590" t="s">
        <v>1749</v>
      </c>
      <c r="O323" s="1590" t="s">
        <v>1517</v>
      </c>
      <c r="S323" s="90" t="s">
        <v>1071</v>
      </c>
    </row>
    <row r="324" spans="1:22" ht="15.95" customHeight="1">
      <c r="A324" s="90" t="s">
        <v>1063</v>
      </c>
      <c r="J324" s="1622" t="str">
        <f>VLOOKUP($A324,'Diesel Data'!$A$2:$K$196,10,FALSE)</f>
        <v>N/A</v>
      </c>
      <c r="K324" s="1622" t="str">
        <f>VLOOKUP($A324,'Diesel Data'!$A$2:$K$196,11,FALSE)</f>
        <v>N/A</v>
      </c>
      <c r="L324" s="1622" t="str">
        <f t="shared" ref="L324:L387" si="5">CONCATENATE(VLOOKUP(A324,$S$2:$Z$379,4,FALSE),",",VLOOKUP(A324,$S$2:$Z$379,5,FALSE),",",VLOOKUP(A324,$S$2:$Z$379,6,FALSE),",",VLOOKUP(A324,$S$2:$Z$379,7,FALSE),",",VLOOKUP(A324,$S$2:$Z$379,8,FALSE))</f>
        <v>,,,,</v>
      </c>
      <c r="S324" s="90" t="s">
        <v>1424</v>
      </c>
    </row>
    <row r="325" spans="1:22" ht="15.95" customHeight="1">
      <c r="A325" s="90" t="s">
        <v>1064</v>
      </c>
      <c r="B325" s="1622" t="s">
        <v>1526</v>
      </c>
      <c r="C325" s="1606" t="s">
        <v>1516</v>
      </c>
      <c r="D325" s="1606" t="s">
        <v>1516</v>
      </c>
      <c r="E325" s="1606" t="s">
        <v>1532</v>
      </c>
      <c r="G325" s="1606" t="s">
        <v>1665</v>
      </c>
      <c r="I325" s="1622" t="s">
        <v>1515</v>
      </c>
      <c r="J325" s="1622" t="str">
        <f>VLOOKUP($A325,'Diesel Data'!$A$2:$K$196,10,FALSE)</f>
        <v>unknown</v>
      </c>
      <c r="K325" s="1622" t="str">
        <f>VLOOKUP($A325,'Diesel Data'!$A$2:$K$196,11,FALSE)</f>
        <v>unknown</v>
      </c>
      <c r="L325" s="1622" t="str">
        <f t="shared" si="5"/>
        <v>Motor Pool,Public Works,Fire Station ,,</v>
      </c>
      <c r="N325" s="1590" t="s">
        <v>1750</v>
      </c>
      <c r="S325" s="90" t="s">
        <v>1072</v>
      </c>
    </row>
    <row r="326" spans="1:22" ht="15.95" customHeight="1">
      <c r="A326" s="90" t="s">
        <v>1368</v>
      </c>
      <c r="J326" s="1622" t="e">
        <f>VLOOKUP($A326,'Diesel Data'!$A$2:$K$196,10,FALSE)</f>
        <v>#N/A</v>
      </c>
      <c r="K326" s="1622" t="e">
        <f>VLOOKUP($A326,'Diesel Data'!$A$2:$K$196,11,FALSE)</f>
        <v>#N/A</v>
      </c>
      <c r="L326" s="1622" t="str">
        <f t="shared" si="5"/>
        <v>,,,,</v>
      </c>
      <c r="S326" s="90" t="s">
        <v>106</v>
      </c>
    </row>
    <row r="327" spans="1:22" ht="15.95" customHeight="1">
      <c r="A327" s="90" t="s">
        <v>1065</v>
      </c>
      <c r="J327" s="1622" t="e">
        <f>VLOOKUP($A327,'Diesel Data'!$A$2:$K$196,10,FALSE)</f>
        <v>#N/A</v>
      </c>
      <c r="K327" s="1622" t="e">
        <f>VLOOKUP($A327,'Diesel Data'!$A$2:$K$196,11,FALSE)</f>
        <v>#N/A</v>
      </c>
      <c r="L327" s="1622" t="str">
        <f t="shared" si="5"/>
        <v>,,,,</v>
      </c>
      <c r="S327" s="90" t="s">
        <v>1073</v>
      </c>
    </row>
    <row r="328" spans="1:22" ht="15.95" customHeight="1">
      <c r="A328" s="90" t="s">
        <v>227</v>
      </c>
      <c r="B328" s="1622" t="s">
        <v>1515</v>
      </c>
      <c r="C328" s="1606" t="s">
        <v>1516</v>
      </c>
      <c r="D328" s="1606" t="s">
        <v>1516</v>
      </c>
      <c r="E328" s="1606" t="s">
        <v>1516</v>
      </c>
      <c r="F328" s="1606" t="s">
        <v>1516</v>
      </c>
      <c r="I328" s="1622" t="s">
        <v>1529</v>
      </c>
      <c r="J328" s="1622">
        <f>VLOOKUP($A328,'Diesel Data'!$A$2:$K$196,10,FALSE)</f>
        <v>3650</v>
      </c>
      <c r="K328" s="1622">
        <f>VLOOKUP($A328,'Diesel Data'!$A$2:$K$196,11,FALSE)</f>
        <v>18250</v>
      </c>
      <c r="L328" s="1622" t="str">
        <f t="shared" si="5"/>
        <v>TDX Buidling,,,,</v>
      </c>
      <c r="N328" s="1590" t="s">
        <v>1751</v>
      </c>
      <c r="S328" s="90" t="s">
        <v>411</v>
      </c>
      <c r="T328" s="90" t="s">
        <v>596</v>
      </c>
      <c r="U328" s="90" t="s">
        <v>596</v>
      </c>
      <c r="V328" s="90" t="s">
        <v>2215</v>
      </c>
    </row>
    <row r="329" spans="1:22" ht="15.95" customHeight="1">
      <c r="A329" s="90" t="s">
        <v>98</v>
      </c>
      <c r="J329" s="1622" t="str">
        <f>VLOOKUP($A329,'Diesel Data'!$A$2:$K$196,10,FALSE)</f>
        <v>unknown</v>
      </c>
      <c r="K329" s="1622" t="str">
        <f>VLOOKUP($A329,'Diesel Data'!$A$2:$K$196,11,FALSE)</f>
        <v>unknown</v>
      </c>
      <c r="L329" s="1622" t="str">
        <f t="shared" si="5"/>
        <v>,,,,</v>
      </c>
      <c r="S329" s="90" t="s">
        <v>192</v>
      </c>
      <c r="T329" s="90" t="s">
        <v>597</v>
      </c>
    </row>
    <row r="330" spans="1:22" ht="15.95" customHeight="1">
      <c r="A330" s="90" t="s">
        <v>1066</v>
      </c>
      <c r="J330" s="1622" t="e">
        <f>VLOOKUP($A330,'Diesel Data'!$A$2:$K$196,10,FALSE)</f>
        <v>#N/A</v>
      </c>
      <c r="K330" s="1622" t="e">
        <f>VLOOKUP($A330,'Diesel Data'!$A$2:$K$196,11,FALSE)</f>
        <v>#N/A</v>
      </c>
      <c r="L330" s="1622" t="str">
        <f t="shared" si="5"/>
        <v>,,,,</v>
      </c>
      <c r="S330" s="90" t="s">
        <v>1615</v>
      </c>
    </row>
    <row r="331" spans="1:22" ht="15.95" customHeight="1">
      <c r="A331" s="90" t="s">
        <v>99</v>
      </c>
      <c r="B331" s="1622" t="s">
        <v>1515</v>
      </c>
      <c r="C331" s="1606" t="s">
        <v>1516</v>
      </c>
      <c r="D331" s="1606" t="s">
        <v>1532</v>
      </c>
      <c r="E331" s="1606" t="s">
        <v>1516</v>
      </c>
      <c r="I331" s="1622" t="s">
        <v>1515</v>
      </c>
      <c r="J331" s="1622" t="str">
        <f>VLOOKUP($A331,'Diesel Data'!$A$2:$K$196,10,FALSE)</f>
        <v>N/A</v>
      </c>
      <c r="K331" s="1622" t="str">
        <f>VLOOKUP($A331,'Diesel Data'!$A$2:$K$196,11,FALSE)</f>
        <v>N/A</v>
      </c>
      <c r="L331" s="1622" t="str">
        <f t="shared" si="5"/>
        <v>AVEC Bunk House,Connex,,,</v>
      </c>
      <c r="N331" s="1590" t="s">
        <v>1752</v>
      </c>
      <c r="S331" s="90" t="s">
        <v>1616</v>
      </c>
    </row>
    <row r="332" spans="1:22" ht="15.95" customHeight="1">
      <c r="A332" s="90" t="s">
        <v>100</v>
      </c>
      <c r="J332" s="1622" t="str">
        <f>VLOOKUP($A332,'Diesel Data'!$A$2:$K$196,10,FALSE)</f>
        <v>unknown</v>
      </c>
      <c r="K332" s="1622" t="str">
        <f>VLOOKUP($A332,'Diesel Data'!$A$2:$K$196,11,FALSE)</f>
        <v>unknown</v>
      </c>
      <c r="L332" s="1622" t="str">
        <f t="shared" si="5"/>
        <v>,,,,</v>
      </c>
      <c r="S332" s="90" t="s">
        <v>1618</v>
      </c>
    </row>
    <row r="333" spans="1:22" ht="15.95" customHeight="1">
      <c r="A333" s="90" t="s">
        <v>1067</v>
      </c>
      <c r="J333" s="1622">
        <f>VLOOKUP($A333,'Diesel Data'!$A$2:$K$196,10,FALSE)</f>
        <v>0</v>
      </c>
      <c r="K333" s="1622">
        <f>VLOOKUP($A333,'Diesel Data'!$A$2:$K$196,11,FALSE)</f>
        <v>0</v>
      </c>
      <c r="L333" s="1622" t="str">
        <f t="shared" si="5"/>
        <v>,,,,</v>
      </c>
      <c r="S333" s="90" t="s">
        <v>231</v>
      </c>
    </row>
    <row r="334" spans="1:22" ht="15.95" customHeight="1">
      <c r="A334" s="90" t="s">
        <v>1369</v>
      </c>
      <c r="J334" s="1622" t="e">
        <f>VLOOKUP($A334,'Diesel Data'!$A$2:$K$196,10,FALSE)</f>
        <v>#N/A</v>
      </c>
      <c r="K334" s="1622" t="e">
        <f>VLOOKUP($A334,'Diesel Data'!$A$2:$K$196,11,FALSE)</f>
        <v>#N/A</v>
      </c>
      <c r="L334" s="1622" t="str">
        <f t="shared" si="5"/>
        <v>,,,,</v>
      </c>
      <c r="S334" s="90" t="s">
        <v>1075</v>
      </c>
    </row>
    <row r="335" spans="1:22" ht="15.95" customHeight="1">
      <c r="A335" s="90" t="s">
        <v>1068</v>
      </c>
      <c r="J335" s="1622">
        <f>VLOOKUP($A335,'Diesel Data'!$A$2:$K$196,10,FALSE)</f>
        <v>0</v>
      </c>
      <c r="K335" s="1622">
        <f>VLOOKUP($A335,'Diesel Data'!$A$2:$K$196,11,FALSE)</f>
        <v>0</v>
      </c>
      <c r="L335" s="1622" t="str">
        <f t="shared" si="5"/>
        <v>,,,,</v>
      </c>
      <c r="S335" s="90" t="s">
        <v>1076</v>
      </c>
    </row>
    <row r="336" spans="1:22" ht="15.95" customHeight="1">
      <c r="A336" s="90" t="s">
        <v>101</v>
      </c>
      <c r="B336" s="1622" t="s">
        <v>1526</v>
      </c>
      <c r="C336" s="1606" t="s">
        <v>1516</v>
      </c>
      <c r="D336" s="1606" t="s">
        <v>1516</v>
      </c>
      <c r="F336" s="1606" t="s">
        <v>1532</v>
      </c>
      <c r="I336" s="1622" t="s">
        <v>1529</v>
      </c>
      <c r="J336" s="1622" t="str">
        <f>VLOOKUP($A336,'Diesel Data'!$A$2:$K$196,10,FALSE)</f>
        <v>unknown</v>
      </c>
      <c r="K336" s="1622" t="str">
        <f>VLOOKUP($A336,'Diesel Data'!$A$2:$K$196,11,FALSE)</f>
        <v>unknown</v>
      </c>
      <c r="L336" s="1622" t="str">
        <f t="shared" si="5"/>
        <v>,,,,</v>
      </c>
      <c r="S336" s="90" t="s">
        <v>1370</v>
      </c>
    </row>
    <row r="337" spans="1:24" ht="15.95" customHeight="1">
      <c r="A337" s="90" t="s">
        <v>102</v>
      </c>
      <c r="J337" s="1622" t="str">
        <f>VLOOKUP($A337,'Diesel Data'!$A$2:$K$196,10,FALSE)</f>
        <v>unknown</v>
      </c>
      <c r="K337" s="1622" t="str">
        <f>VLOOKUP($A337,'Diesel Data'!$A$2:$K$196,11,FALSE)</f>
        <v>unknown</v>
      </c>
      <c r="L337" s="1622" t="str">
        <f t="shared" si="5"/>
        <v>,,,,</v>
      </c>
      <c r="S337" s="90" t="s">
        <v>235</v>
      </c>
      <c r="T337" s="90" t="s">
        <v>596</v>
      </c>
    </row>
    <row r="338" spans="1:24" ht="15.95" customHeight="1">
      <c r="A338" s="90" t="s">
        <v>1513</v>
      </c>
      <c r="J338" s="1622" t="e">
        <f>VLOOKUP($A338,'Diesel Data'!$A$2:$K$196,10,FALSE)</f>
        <v>#N/A</v>
      </c>
      <c r="K338" s="1622" t="e">
        <f>VLOOKUP($A338,'Diesel Data'!$A$2:$K$196,11,FALSE)</f>
        <v>#N/A</v>
      </c>
      <c r="L338" s="1622" t="str">
        <f t="shared" si="5"/>
        <v>,,,,</v>
      </c>
      <c r="S338" s="90" t="s">
        <v>237</v>
      </c>
      <c r="T338" s="90" t="s">
        <v>597</v>
      </c>
    </row>
    <row r="339" spans="1:24" ht="15.95" customHeight="1">
      <c r="A339" s="90" t="s">
        <v>103</v>
      </c>
      <c r="J339" s="1622" t="str">
        <f>VLOOKUP($A339,'Diesel Data'!$A$2:$K$196,10,FALSE)</f>
        <v>unknown</v>
      </c>
      <c r="K339" s="1622" t="str">
        <f>VLOOKUP($A339,'Diesel Data'!$A$2:$K$196,11,FALSE)</f>
        <v>unknown</v>
      </c>
      <c r="L339" s="1622" t="str">
        <f t="shared" si="5"/>
        <v>,,,,</v>
      </c>
      <c r="S339" s="90" t="s">
        <v>1077</v>
      </c>
    </row>
    <row r="340" spans="1:24" ht="15.95" customHeight="1">
      <c r="A340" s="90" t="s">
        <v>32</v>
      </c>
      <c r="J340" s="1622" t="str">
        <f>VLOOKUP($A340,'Diesel Data'!$A$2:$K$196,10,FALSE)</f>
        <v>unknown</v>
      </c>
      <c r="K340" s="1622" t="str">
        <f>VLOOKUP($A340,'Diesel Data'!$A$2:$K$196,11,FALSE)</f>
        <v>unknown</v>
      </c>
      <c r="L340" s="1622" t="str">
        <f t="shared" si="5"/>
        <v>,,,,</v>
      </c>
      <c r="S340" s="90" t="s">
        <v>1379</v>
      </c>
    </row>
    <row r="341" spans="1:24" ht="15.95" customHeight="1">
      <c r="A341" s="90" t="s">
        <v>1168</v>
      </c>
      <c r="B341" s="1622" t="s">
        <v>1526</v>
      </c>
      <c r="C341" s="1606" t="s">
        <v>1532</v>
      </c>
      <c r="D341" s="1606" t="s">
        <v>1532</v>
      </c>
      <c r="E341" s="1606" t="s">
        <v>1532</v>
      </c>
      <c r="I341" s="1622" t="s">
        <v>1515</v>
      </c>
      <c r="J341" s="1622" t="e">
        <f>VLOOKUP($A341,'Diesel Data'!$A$2:$K$196,10,FALSE)</f>
        <v>#N/A</v>
      </c>
      <c r="K341" s="1622" t="e">
        <f>VLOOKUP($A341,'Diesel Data'!$A$2:$K$196,11,FALSE)</f>
        <v>#N/A</v>
      </c>
      <c r="L341" s="1622" t="str">
        <f t="shared" si="5"/>
        <v>,,,,</v>
      </c>
      <c r="N341" s="1590" t="s">
        <v>1686</v>
      </c>
      <c r="S341" s="90" t="s">
        <v>254</v>
      </c>
    </row>
    <row r="342" spans="1:24" ht="15.95" customHeight="1">
      <c r="A342" s="90" t="s">
        <v>551</v>
      </c>
      <c r="J342" s="1622">
        <f>VLOOKUP($A342,'Diesel Data'!$A$2:$K$196,10,FALSE)</f>
        <v>0</v>
      </c>
      <c r="K342" s="1622">
        <f>VLOOKUP($A342,'Diesel Data'!$A$2:$K$196,11,FALSE)</f>
        <v>0</v>
      </c>
      <c r="L342" s="1622" t="str">
        <f t="shared" si="5"/>
        <v>,,,,</v>
      </c>
      <c r="S342" s="90" t="s">
        <v>239</v>
      </c>
    </row>
    <row r="343" spans="1:24" ht="15.95" customHeight="1">
      <c r="A343" s="90" t="s">
        <v>20</v>
      </c>
      <c r="J343" s="1622">
        <f>VLOOKUP($A343,'Diesel Data'!$A$2:$K$196,10,FALSE)</f>
        <v>0</v>
      </c>
      <c r="K343" s="1622">
        <f>VLOOKUP($A343,'Diesel Data'!$A$2:$K$196,11,FALSE)</f>
        <v>0</v>
      </c>
      <c r="L343" s="1622" t="str">
        <f t="shared" si="5"/>
        <v>,,,,</v>
      </c>
      <c r="S343" s="90" t="s">
        <v>66</v>
      </c>
    </row>
    <row r="344" spans="1:24" ht="15.95" customHeight="1">
      <c r="A344" s="90" t="s">
        <v>1070</v>
      </c>
      <c r="J344" s="1622" t="e">
        <f>VLOOKUP($A344,'Diesel Data'!$A$2:$K$196,10,FALSE)</f>
        <v>#N/A</v>
      </c>
      <c r="K344" s="1622" t="e">
        <f>VLOOKUP($A344,'Diesel Data'!$A$2:$K$196,11,FALSE)</f>
        <v>#N/A</v>
      </c>
      <c r="L344" s="1622" t="str">
        <f t="shared" si="5"/>
        <v>,,,,</v>
      </c>
      <c r="S344" s="90" t="s">
        <v>1620</v>
      </c>
    </row>
    <row r="345" spans="1:24" ht="15.95" customHeight="1">
      <c r="A345" s="90" t="s">
        <v>253</v>
      </c>
      <c r="B345" s="1622" t="s">
        <v>1526</v>
      </c>
      <c r="C345" s="1606" t="s">
        <v>1516</v>
      </c>
      <c r="D345" s="1606" t="s">
        <v>1516</v>
      </c>
      <c r="E345" s="1606" t="s">
        <v>1532</v>
      </c>
      <c r="I345" s="1622" t="s">
        <v>1526</v>
      </c>
      <c r="J345" s="1622" t="str">
        <f>VLOOKUP($A345,'Diesel Data'!$A$2:$K$196,10,FALSE)</f>
        <v>unknown</v>
      </c>
      <c r="K345" s="1622" t="str">
        <f>VLOOKUP($A345,'Diesel Data'!$A$2:$K$196,11,FALSE)</f>
        <v>unknown</v>
      </c>
      <c r="L345" s="1622" t="str">
        <f t="shared" si="5"/>
        <v>,,,,</v>
      </c>
      <c r="S345" s="90" t="s">
        <v>423</v>
      </c>
    </row>
    <row r="346" spans="1:24" ht="15.95" customHeight="1">
      <c r="A346" s="90" t="s">
        <v>191</v>
      </c>
      <c r="B346" s="1622" t="s">
        <v>1526</v>
      </c>
      <c r="C346" s="1606" t="s">
        <v>1516</v>
      </c>
      <c r="D346" s="1606" t="s">
        <v>1516</v>
      </c>
      <c r="E346" s="1606" t="s">
        <v>1532</v>
      </c>
      <c r="G346" s="1606" t="s">
        <v>1665</v>
      </c>
      <c r="I346" s="1622" t="s">
        <v>1515</v>
      </c>
      <c r="J346" s="1622">
        <f>VLOOKUP($A346,'Diesel Data'!$A$2:$K$196,10,FALSE)</f>
        <v>0</v>
      </c>
      <c r="K346" s="1622">
        <f>VLOOKUP($A346,'Diesel Data'!$A$2:$K$196,11,FALSE)</f>
        <v>0</v>
      </c>
      <c r="L346" s="1622" t="str">
        <f t="shared" si="5"/>
        <v>,,,,</v>
      </c>
      <c r="N346" s="1590" t="s">
        <v>1753</v>
      </c>
      <c r="S346" s="90" t="s">
        <v>107</v>
      </c>
      <c r="T346" s="90" t="s">
        <v>596</v>
      </c>
      <c r="V346" s="90" t="s">
        <v>2216</v>
      </c>
      <c r="W346" s="90" t="s">
        <v>2196</v>
      </c>
    </row>
    <row r="347" spans="1:24" ht="15.95" customHeight="1">
      <c r="A347" s="90" t="s">
        <v>1071</v>
      </c>
      <c r="J347" s="1622" t="e">
        <f>VLOOKUP($A347,'Diesel Data'!$A$2:$K$196,10,FALSE)</f>
        <v>#N/A</v>
      </c>
      <c r="K347" s="1622" t="e">
        <f>VLOOKUP($A347,'Diesel Data'!$A$2:$K$196,11,FALSE)</f>
        <v>#N/A</v>
      </c>
      <c r="L347" s="1622" t="str">
        <f t="shared" si="5"/>
        <v>,,,,</v>
      </c>
      <c r="S347" s="90" t="s">
        <v>13</v>
      </c>
      <c r="T347" s="90" t="s">
        <v>597</v>
      </c>
    </row>
    <row r="348" spans="1:24" ht="15.95" customHeight="1">
      <c r="A348" s="90" t="s">
        <v>1424</v>
      </c>
      <c r="J348" s="1622" t="e">
        <f>VLOOKUP($A348,'Diesel Data'!$A$2:$K$196,10,FALSE)</f>
        <v>#N/A</v>
      </c>
      <c r="K348" s="1622" t="e">
        <f>VLOOKUP($A348,'Diesel Data'!$A$2:$K$196,11,FALSE)</f>
        <v>#N/A</v>
      </c>
      <c r="L348" s="1622" t="str">
        <f t="shared" si="5"/>
        <v>,,,,</v>
      </c>
      <c r="S348" s="90" t="s">
        <v>108</v>
      </c>
      <c r="T348" s="90" t="s">
        <v>596</v>
      </c>
      <c r="U348" s="90" t="s">
        <v>596</v>
      </c>
      <c r="V348" s="90" t="s">
        <v>2163</v>
      </c>
      <c r="W348" s="90" t="s">
        <v>2142</v>
      </c>
      <c r="X348" s="90" t="s">
        <v>2217</v>
      </c>
    </row>
    <row r="349" spans="1:24" ht="15.95" customHeight="1">
      <c r="A349" s="90" t="s">
        <v>1072</v>
      </c>
      <c r="B349" s="1622" t="s">
        <v>1526</v>
      </c>
      <c r="C349" s="1606" t="s">
        <v>1532</v>
      </c>
      <c r="D349" s="1606" t="s">
        <v>1532</v>
      </c>
      <c r="E349" s="1606" t="s">
        <v>1532</v>
      </c>
      <c r="I349" s="1622" t="s">
        <v>1515</v>
      </c>
      <c r="J349" s="1622" t="e">
        <f>VLOOKUP($A349,'Diesel Data'!$A$2:$K$196,10,FALSE)</f>
        <v>#N/A</v>
      </c>
      <c r="K349" s="1622" t="e">
        <f>VLOOKUP($A349,'Diesel Data'!$A$2:$K$196,11,FALSE)</f>
        <v>#N/A</v>
      </c>
      <c r="L349" s="1622" t="str">
        <f t="shared" si="5"/>
        <v>,,,,</v>
      </c>
      <c r="N349" s="1590" t="s">
        <v>1709</v>
      </c>
      <c r="S349" s="90" t="s">
        <v>1359</v>
      </c>
    </row>
    <row r="350" spans="1:24" ht="15.95" customHeight="1">
      <c r="A350" s="90" t="s">
        <v>1614</v>
      </c>
      <c r="J350" s="1622" t="e">
        <f>VLOOKUP($A350,'Diesel Data'!$A$2:$K$196,10,FALSE)</f>
        <v>#N/A</v>
      </c>
      <c r="K350" s="1622" t="e">
        <f>VLOOKUP($A350,'Diesel Data'!$A$2:$K$196,11,FALSE)</f>
        <v>#N/A</v>
      </c>
      <c r="L350" s="1622" t="e">
        <f t="shared" si="5"/>
        <v>#N/A</v>
      </c>
      <c r="S350" s="90" t="s">
        <v>1078</v>
      </c>
    </row>
    <row r="351" spans="1:24" ht="15.95" customHeight="1">
      <c r="A351" s="90" t="s">
        <v>106</v>
      </c>
      <c r="J351" s="1622" t="str">
        <f>VLOOKUP($A351,'Diesel Data'!$A$2:$K$196,10,FALSE)</f>
        <v>N/A</v>
      </c>
      <c r="K351" s="1622" t="str">
        <f>VLOOKUP($A351,'Diesel Data'!$A$2:$K$196,11,FALSE)</f>
        <v>N/A</v>
      </c>
      <c r="L351" s="1622" t="str">
        <f t="shared" si="5"/>
        <v>,,,,</v>
      </c>
      <c r="S351" s="90" t="s">
        <v>1079</v>
      </c>
    </row>
    <row r="352" spans="1:24" ht="15.95" customHeight="1">
      <c r="A352" s="90" t="s">
        <v>1426</v>
      </c>
      <c r="J352" s="1622" t="e">
        <f>VLOOKUP($A352,'Diesel Data'!$A$2:$K$196,10,FALSE)</f>
        <v>#N/A</v>
      </c>
      <c r="K352" s="1622" t="e">
        <f>VLOOKUP($A352,'Diesel Data'!$A$2:$K$196,11,FALSE)</f>
        <v>#N/A</v>
      </c>
      <c r="L352" s="1622" t="e">
        <f t="shared" si="5"/>
        <v>#N/A</v>
      </c>
      <c r="S352" s="90" t="s">
        <v>241</v>
      </c>
      <c r="T352" s="90" t="s">
        <v>597</v>
      </c>
    </row>
    <row r="353" spans="1:22" ht="15.95" customHeight="1">
      <c r="A353" s="90" t="s">
        <v>1073</v>
      </c>
      <c r="J353" s="1622" t="e">
        <f>VLOOKUP($A353,'Diesel Data'!$A$2:$K$196,10,FALSE)</f>
        <v>#N/A</v>
      </c>
      <c r="K353" s="1622" t="e">
        <f>VLOOKUP($A353,'Diesel Data'!$A$2:$K$196,11,FALSE)</f>
        <v>#N/A</v>
      </c>
      <c r="L353" s="1622" t="str">
        <f t="shared" si="5"/>
        <v>,,,,</v>
      </c>
      <c r="S353" s="90" t="s">
        <v>243</v>
      </c>
      <c r="T353" s="90" t="s">
        <v>597</v>
      </c>
    </row>
    <row r="354" spans="1:22" ht="15.95" customHeight="1">
      <c r="A354" s="90" t="s">
        <v>411</v>
      </c>
      <c r="B354" s="1622" t="s">
        <v>1529</v>
      </c>
      <c r="C354" s="1606" t="s">
        <v>1516</v>
      </c>
      <c r="D354" s="1606" t="s">
        <v>1516</v>
      </c>
      <c r="I354" s="1622" t="s">
        <v>1526</v>
      </c>
      <c r="J354" s="1622" t="str">
        <f>VLOOKUP($A354,'Diesel Data'!$A$2:$K$196,10,FALSE)</f>
        <v>unknown</v>
      </c>
      <c r="K354" s="1622" t="str">
        <f>VLOOKUP($A354,'Diesel Data'!$A$2:$K$196,11,FALSE)</f>
        <v>unknown</v>
      </c>
      <c r="L354" s="1622" t="str">
        <f t="shared" si="5"/>
        <v>WTP,,,,</v>
      </c>
      <c r="N354" s="1590" t="s">
        <v>1754</v>
      </c>
      <c r="S354" s="90" t="s">
        <v>1080</v>
      </c>
      <c r="T354" s="90" t="s">
        <v>597</v>
      </c>
    </row>
    <row r="355" spans="1:22" ht="15.95" customHeight="1">
      <c r="A355" s="90" t="s">
        <v>192</v>
      </c>
      <c r="B355" s="1622" t="s">
        <v>1526</v>
      </c>
      <c r="C355" s="1606" t="s">
        <v>1516</v>
      </c>
      <c r="D355" s="1606" t="s">
        <v>1516</v>
      </c>
      <c r="E355" s="1606" t="s">
        <v>1532</v>
      </c>
      <c r="F355" s="1606" t="s">
        <v>1532</v>
      </c>
      <c r="I355" s="1622" t="s">
        <v>1526</v>
      </c>
      <c r="J355" s="1622">
        <f>VLOOKUP($A355,'Diesel Data'!$A$2:$K$196,10,FALSE)</f>
        <v>0</v>
      </c>
      <c r="K355" s="1622">
        <f>VLOOKUP($A355,'Diesel Data'!$A$2:$K$196,11,FALSE)</f>
        <v>0</v>
      </c>
      <c r="L355" s="1622" t="str">
        <f t="shared" si="5"/>
        <v>,,,,</v>
      </c>
      <c r="S355" s="90" t="s">
        <v>245</v>
      </c>
      <c r="T355" s="90" t="s">
        <v>597</v>
      </c>
    </row>
    <row r="356" spans="1:22" ht="15.95" customHeight="1">
      <c r="A356" s="90" t="s">
        <v>1615</v>
      </c>
      <c r="J356" s="1622" t="e">
        <f>VLOOKUP($A356,'Diesel Data'!$A$2:$K$196,10,FALSE)</f>
        <v>#N/A</v>
      </c>
      <c r="K356" s="1622" t="e">
        <f>VLOOKUP($A356,'Diesel Data'!$A$2:$K$196,11,FALSE)</f>
        <v>#N/A</v>
      </c>
      <c r="L356" s="1622" t="str">
        <f t="shared" si="5"/>
        <v>,,,,</v>
      </c>
      <c r="S356" s="90" t="s">
        <v>1371</v>
      </c>
    </row>
    <row r="357" spans="1:22" ht="15.95" customHeight="1">
      <c r="A357" s="90" t="s">
        <v>1616</v>
      </c>
      <c r="J357" s="1622" t="e">
        <f>VLOOKUP($A357,'Diesel Data'!$A$2:$K$196,10,FALSE)</f>
        <v>#N/A</v>
      </c>
      <c r="K357" s="1622" t="e">
        <f>VLOOKUP($A357,'Diesel Data'!$A$2:$K$196,11,FALSE)</f>
        <v>#N/A</v>
      </c>
      <c r="L357" s="1622" t="str">
        <f t="shared" si="5"/>
        <v>,,,,</v>
      </c>
      <c r="S357" s="90" t="s">
        <v>1081</v>
      </c>
    </row>
    <row r="358" spans="1:22" ht="15.95" customHeight="1">
      <c r="A358" s="90" t="s">
        <v>1617</v>
      </c>
      <c r="J358" s="1622" t="e">
        <f>VLOOKUP($A358,'Diesel Data'!$A$2:$K$196,10,FALSE)</f>
        <v>#N/A</v>
      </c>
      <c r="K358" s="1622" t="e">
        <f>VLOOKUP($A358,'Diesel Data'!$A$2:$K$196,11,FALSE)</f>
        <v>#N/A</v>
      </c>
      <c r="L358" s="1622" t="e">
        <f t="shared" si="5"/>
        <v>#N/A</v>
      </c>
      <c r="S358" s="90" t="s">
        <v>1082</v>
      </c>
    </row>
    <row r="359" spans="1:22" ht="15.95" customHeight="1">
      <c r="A359" s="90" t="s">
        <v>1618</v>
      </c>
      <c r="J359" s="1622" t="e">
        <f>VLOOKUP($A359,'Diesel Data'!$A$2:$K$196,10,FALSE)</f>
        <v>#N/A</v>
      </c>
      <c r="K359" s="1622" t="e">
        <f>VLOOKUP($A359,'Diesel Data'!$A$2:$K$196,11,FALSE)</f>
        <v>#N/A</v>
      </c>
      <c r="L359" s="1622" t="str">
        <f t="shared" si="5"/>
        <v>,,,,</v>
      </c>
      <c r="S359" s="90" t="s">
        <v>1525</v>
      </c>
    </row>
    <row r="360" spans="1:22" ht="15.95" customHeight="1">
      <c r="A360" s="90" t="s">
        <v>231</v>
      </c>
      <c r="B360" s="1622" t="s">
        <v>1529</v>
      </c>
      <c r="C360" s="1606" t="s">
        <v>1516</v>
      </c>
      <c r="D360" s="1606" t="s">
        <v>1516</v>
      </c>
      <c r="I360" s="1622" t="s">
        <v>1526</v>
      </c>
      <c r="J360" s="1622" t="str">
        <f>VLOOKUP($A360,'Diesel Data'!$A$2:$K$196,10,FALSE)</f>
        <v>N/A</v>
      </c>
      <c r="K360" s="1622" t="str">
        <f>VLOOKUP($A360,'Diesel Data'!$A$2:$K$196,11,FALSE)</f>
        <v>N/A</v>
      </c>
      <c r="L360" s="1622" t="str">
        <f t="shared" si="5"/>
        <v>,,,,</v>
      </c>
      <c r="N360" s="1590" t="s">
        <v>1755</v>
      </c>
      <c r="S360" s="90" t="s">
        <v>22</v>
      </c>
    </row>
    <row r="361" spans="1:22" ht="15.95" customHeight="1">
      <c r="A361" s="90" t="s">
        <v>1075</v>
      </c>
      <c r="J361" s="1622" t="e">
        <f>VLOOKUP($A361,'Diesel Data'!$A$2:$K$196,10,FALSE)</f>
        <v>#N/A</v>
      </c>
      <c r="K361" s="1622" t="e">
        <f>VLOOKUP($A361,'Diesel Data'!$A$2:$K$196,11,FALSE)</f>
        <v>#N/A</v>
      </c>
      <c r="L361" s="1622" t="str">
        <f t="shared" si="5"/>
        <v>,,,,</v>
      </c>
      <c r="S361" s="90" t="s">
        <v>36</v>
      </c>
      <c r="T361" s="90" t="s">
        <v>596</v>
      </c>
      <c r="V361" s="90" t="s">
        <v>2163</v>
      </c>
    </row>
    <row r="362" spans="1:22" ht="15.95" customHeight="1">
      <c r="A362" s="90" t="s">
        <v>1076</v>
      </c>
      <c r="B362" s="1622" t="s">
        <v>1526</v>
      </c>
      <c r="C362" s="1606" t="s">
        <v>1532</v>
      </c>
      <c r="D362" s="1606" t="s">
        <v>1532</v>
      </c>
      <c r="E362" s="1606" t="s">
        <v>1532</v>
      </c>
      <c r="I362" s="1622" t="s">
        <v>1515</v>
      </c>
      <c r="J362" s="1622" t="e">
        <f>VLOOKUP($A362,'Diesel Data'!$A$2:$K$196,10,FALSE)</f>
        <v>#N/A</v>
      </c>
      <c r="K362" s="1622" t="e">
        <f>VLOOKUP($A362,'Diesel Data'!$A$2:$K$196,11,FALSE)</f>
        <v>#N/A</v>
      </c>
      <c r="L362" s="1622" t="str">
        <f t="shared" si="5"/>
        <v>,,,,</v>
      </c>
      <c r="N362" s="1590" t="s">
        <v>1550</v>
      </c>
      <c r="S362" s="90" t="s">
        <v>1429</v>
      </c>
    </row>
    <row r="363" spans="1:22" ht="15.95" customHeight="1">
      <c r="A363" s="90" t="s">
        <v>1370</v>
      </c>
      <c r="J363" s="1622" t="e">
        <f>VLOOKUP($A363,'Diesel Data'!$A$2:$K$196,10,FALSE)</f>
        <v>#N/A</v>
      </c>
      <c r="K363" s="1622" t="e">
        <f>VLOOKUP($A363,'Diesel Data'!$A$2:$K$196,11,FALSE)</f>
        <v>#N/A</v>
      </c>
      <c r="L363" s="1622" t="str">
        <f t="shared" si="5"/>
        <v>,,,,</v>
      </c>
      <c r="S363" s="90" t="s">
        <v>1083</v>
      </c>
      <c r="T363" s="90" t="s">
        <v>597</v>
      </c>
    </row>
    <row r="364" spans="1:22" ht="15.95" customHeight="1">
      <c r="A364" s="90" t="s">
        <v>235</v>
      </c>
      <c r="B364" s="1622" t="s">
        <v>1529</v>
      </c>
      <c r="C364" s="1606" t="s">
        <v>1516</v>
      </c>
      <c r="D364" s="1606" t="s">
        <v>1516</v>
      </c>
      <c r="I364" s="1622" t="s">
        <v>1526</v>
      </c>
      <c r="J364" s="1622" t="str">
        <f>VLOOKUP($A364,'Diesel Data'!$A$2:$K$196,10,FALSE)</f>
        <v>unknown</v>
      </c>
      <c r="K364" s="1622" t="str">
        <f>VLOOKUP($A364,'Diesel Data'!$A$2:$K$196,11,FALSE)</f>
        <v>unknown</v>
      </c>
      <c r="L364" s="1622" t="str">
        <f t="shared" si="5"/>
        <v>,,,,</v>
      </c>
      <c r="N364" s="1590" t="s">
        <v>1735</v>
      </c>
      <c r="P364" s="90" t="s">
        <v>1746</v>
      </c>
      <c r="S364" s="90" t="s">
        <v>1084</v>
      </c>
      <c r="T364" s="90" t="s">
        <v>597</v>
      </c>
    </row>
    <row r="365" spans="1:22" ht="15.95" customHeight="1">
      <c r="A365" s="90" t="s">
        <v>237</v>
      </c>
      <c r="B365" s="1622" t="s">
        <v>1526</v>
      </c>
      <c r="C365" s="1606" t="s">
        <v>1516</v>
      </c>
      <c r="E365" s="1606" t="s">
        <v>1532</v>
      </c>
      <c r="G365" s="1606" t="s">
        <v>1665</v>
      </c>
      <c r="I365" s="1622" t="s">
        <v>1515</v>
      </c>
      <c r="J365" s="1622" t="str">
        <f>VLOOKUP($A365,'Diesel Data'!$A$2:$K$196,10,FALSE)</f>
        <v>unknown</v>
      </c>
      <c r="K365" s="1622" t="str">
        <f>VLOOKUP($A365,'Diesel Data'!$A$2:$K$196,11,FALSE)</f>
        <v>unknown</v>
      </c>
      <c r="L365" s="1622" t="str">
        <f t="shared" si="5"/>
        <v>,,,,</v>
      </c>
      <c r="N365" s="1590" t="s">
        <v>1756</v>
      </c>
      <c r="S365" s="90" t="s">
        <v>2134</v>
      </c>
      <c r="T365" s="90" t="s">
        <v>597</v>
      </c>
    </row>
    <row r="366" spans="1:22" ht="15.95" customHeight="1">
      <c r="A366" s="90" t="s">
        <v>1077</v>
      </c>
      <c r="B366" s="1622" t="s">
        <v>1526</v>
      </c>
      <c r="C366" s="1606" t="s">
        <v>1532</v>
      </c>
      <c r="D366" s="1606" t="s">
        <v>1532</v>
      </c>
      <c r="E366" s="1606" t="s">
        <v>1532</v>
      </c>
      <c r="I366" s="1622" t="s">
        <v>1515</v>
      </c>
      <c r="J366" s="1622" t="e">
        <f>VLOOKUP($A366,'Diesel Data'!$A$2:$K$196,10,FALSE)</f>
        <v>#N/A</v>
      </c>
      <c r="K366" s="1622" t="e">
        <f>VLOOKUP($A366,'Diesel Data'!$A$2:$K$196,11,FALSE)</f>
        <v>#N/A</v>
      </c>
      <c r="L366" s="1622" t="str">
        <f t="shared" si="5"/>
        <v>,,,,</v>
      </c>
      <c r="N366" s="1590" t="s">
        <v>1686</v>
      </c>
      <c r="S366" s="90" t="s">
        <v>212</v>
      </c>
    </row>
    <row r="367" spans="1:22" ht="15.95" customHeight="1">
      <c r="A367" s="90" t="s">
        <v>1379</v>
      </c>
      <c r="B367" s="1622" t="s">
        <v>1529</v>
      </c>
      <c r="C367" s="1606" t="s">
        <v>1532</v>
      </c>
      <c r="D367" s="1606" t="s">
        <v>1532</v>
      </c>
      <c r="I367" s="1622" t="s">
        <v>1526</v>
      </c>
      <c r="J367" s="1622" t="str">
        <f>VLOOKUP($A367,'Diesel Data'!$A$2:$K$196,10,FALSE)</f>
        <v>N/A</v>
      </c>
      <c r="K367" s="1622" t="str">
        <f>VLOOKUP($A367,'Diesel Data'!$A$2:$K$196,11,FALSE)</f>
        <v>N/A</v>
      </c>
      <c r="L367" s="1622" t="str">
        <f t="shared" si="5"/>
        <v>,,,,</v>
      </c>
      <c r="N367" s="1590" t="s">
        <v>1757</v>
      </c>
      <c r="S367" s="90" t="s">
        <v>110</v>
      </c>
    </row>
    <row r="368" spans="1:22" ht="15.95" customHeight="1">
      <c r="A368" s="90" t="s">
        <v>254</v>
      </c>
      <c r="J368" s="1622" t="str">
        <f>VLOOKUP($A368,'Diesel Data'!$A$2:$K$196,10,FALSE)</f>
        <v>N/A</v>
      </c>
      <c r="K368" s="1622" t="str">
        <f>VLOOKUP($A368,'Diesel Data'!$A$2:$K$196,11,FALSE)</f>
        <v>N/A</v>
      </c>
      <c r="L368" s="1622" t="str">
        <f t="shared" si="5"/>
        <v>,,,,</v>
      </c>
      <c r="S368" s="90" t="s">
        <v>298</v>
      </c>
    </row>
    <row r="369" spans="1:19" ht="15.95" customHeight="1">
      <c r="A369" s="90" t="s">
        <v>239</v>
      </c>
      <c r="J369" s="1622" t="e">
        <f>VLOOKUP($A369,'Diesel Data'!$A$2:$K$196,10,FALSE)</f>
        <v>#N/A</v>
      </c>
      <c r="K369" s="1622" t="e">
        <f>VLOOKUP($A369,'Diesel Data'!$A$2:$K$196,11,FALSE)</f>
        <v>#N/A</v>
      </c>
      <c r="L369" s="1622" t="str">
        <f t="shared" si="5"/>
        <v>,,,,</v>
      </c>
      <c r="S369" s="90" t="s">
        <v>68</v>
      </c>
    </row>
    <row r="370" spans="1:19" ht="15.95" customHeight="1">
      <c r="A370" s="90" t="s">
        <v>66</v>
      </c>
      <c r="B370" s="1622" t="s">
        <v>1526</v>
      </c>
      <c r="C370" s="1606" t="s">
        <v>1532</v>
      </c>
      <c r="D370" s="1606" t="s">
        <v>1532</v>
      </c>
      <c r="E370" s="1606" t="s">
        <v>1532</v>
      </c>
      <c r="I370" s="1622" t="s">
        <v>1515</v>
      </c>
      <c r="J370" s="1622" t="e">
        <f>VLOOKUP($A370,'Diesel Data'!$A$2:$K$196,10,FALSE)</f>
        <v>#N/A</v>
      </c>
      <c r="K370" s="1622" t="e">
        <f>VLOOKUP($A370,'Diesel Data'!$A$2:$K$196,11,FALSE)</f>
        <v>#N/A</v>
      </c>
      <c r="L370" s="1622" t="str">
        <f t="shared" si="5"/>
        <v>,,,,</v>
      </c>
      <c r="N370" s="1590" t="s">
        <v>1550</v>
      </c>
      <c r="S370" s="90" t="s">
        <v>261</v>
      </c>
    </row>
    <row r="371" spans="1:19" ht="15.95" customHeight="1">
      <c r="A371" s="90" t="s">
        <v>1620</v>
      </c>
      <c r="J371" s="1622" t="e">
        <f>VLOOKUP($A371,'Diesel Data'!$A$2:$K$196,10,FALSE)</f>
        <v>#N/A</v>
      </c>
      <c r="K371" s="1622" t="e">
        <f>VLOOKUP($A371,'Diesel Data'!$A$2:$K$196,11,FALSE)</f>
        <v>#N/A</v>
      </c>
      <c r="L371" s="1622" t="str">
        <f t="shared" si="5"/>
        <v>,,,,</v>
      </c>
      <c r="S371" s="90" t="s">
        <v>1432</v>
      </c>
    </row>
    <row r="372" spans="1:19" ht="15.95" customHeight="1">
      <c r="A372" s="90" t="s">
        <v>423</v>
      </c>
      <c r="J372" s="1622" t="str">
        <f>VLOOKUP($A372,'Diesel Data'!$A$2:$K$196,10,FALSE)</f>
        <v>unknown</v>
      </c>
      <c r="K372" s="1622" t="str">
        <f>VLOOKUP($A372,'Diesel Data'!$A$2:$K$196,11,FALSE)</f>
        <v>unknown</v>
      </c>
      <c r="L372" s="1622" t="str">
        <f t="shared" si="5"/>
        <v>,,,,</v>
      </c>
      <c r="S372" s="90" t="s">
        <v>1086</v>
      </c>
    </row>
    <row r="373" spans="1:19" ht="15.95" customHeight="1">
      <c r="A373" s="90" t="s">
        <v>107</v>
      </c>
      <c r="B373" s="1622" t="s">
        <v>1526</v>
      </c>
      <c r="C373" s="1606" t="s">
        <v>1516</v>
      </c>
      <c r="D373" s="1606" t="s">
        <v>1516</v>
      </c>
      <c r="E373" s="1606" t="s">
        <v>1516</v>
      </c>
      <c r="I373" s="1622" t="s">
        <v>1515</v>
      </c>
      <c r="J373" s="1622" t="str">
        <f>VLOOKUP($A373,'Diesel Data'!$A$2:$K$196,10,FALSE)</f>
        <v>unknown</v>
      </c>
      <c r="K373" s="1622" t="str">
        <f>VLOOKUP($A373,'Diesel Data'!$A$2:$K$196,11,FALSE)</f>
        <v>unknown</v>
      </c>
      <c r="L373" s="1622" t="str">
        <f t="shared" si="5"/>
        <v>AVTEC Tool Shack,Bunk House,,,</v>
      </c>
      <c r="N373" s="1590" t="s">
        <v>1758</v>
      </c>
      <c r="S373" s="90" t="s">
        <v>1087</v>
      </c>
    </row>
    <row r="374" spans="1:19" ht="15.95" customHeight="1">
      <c r="A374" s="90" t="s">
        <v>13</v>
      </c>
      <c r="B374" s="1622" t="s">
        <v>1529</v>
      </c>
      <c r="C374" s="1606" t="s">
        <v>1516</v>
      </c>
      <c r="D374" s="1606" t="s">
        <v>1516</v>
      </c>
      <c r="E374" s="1606" t="s">
        <v>1516</v>
      </c>
      <c r="F374" s="1606" t="s">
        <v>1532</v>
      </c>
      <c r="I374" s="1622" t="s">
        <v>1529</v>
      </c>
      <c r="J374" s="1622" t="str">
        <f>VLOOKUP($A374,'Diesel Data'!$A$2:$K$196,10,FALSE)</f>
        <v>unknown</v>
      </c>
      <c r="K374" s="1622" t="str">
        <f>VLOOKUP($A374,'Diesel Data'!$A$2:$K$196,11,FALSE)</f>
        <v>unknown</v>
      </c>
      <c r="L374" s="1622" t="str">
        <f t="shared" si="5"/>
        <v>,,,,</v>
      </c>
      <c r="S374" s="90" t="s">
        <v>2129</v>
      </c>
    </row>
    <row r="375" spans="1:19" ht="15.95" customHeight="1">
      <c r="A375" s="90" t="s">
        <v>108</v>
      </c>
      <c r="B375" s="1622" t="s">
        <v>1515</v>
      </c>
      <c r="C375" s="1606" t="s">
        <v>1516</v>
      </c>
      <c r="D375" s="1606" t="s">
        <v>1516</v>
      </c>
      <c r="E375" s="1606" t="s">
        <v>1516</v>
      </c>
      <c r="H375" s="1606" t="s">
        <v>1673</v>
      </c>
      <c r="I375" s="1622" t="s">
        <v>1515</v>
      </c>
      <c r="J375" s="1622" t="str">
        <f>VLOOKUP($A375,'Diesel Data'!$A$2:$K$196,10,FALSE)</f>
        <v>N/A</v>
      </c>
      <c r="K375" s="1622" t="str">
        <f>VLOOKUP($A375,'Diesel Data'!$A$2:$K$196,11,FALSE)</f>
        <v>N/A</v>
      </c>
      <c r="L375" s="1622" t="str">
        <f t="shared" si="5"/>
        <v>Power Plant,Water Plant,AVEC connex,,</v>
      </c>
      <c r="N375" s="1590" t="s">
        <v>1759</v>
      </c>
      <c r="S375" s="90" t="s">
        <v>1088</v>
      </c>
    </row>
    <row r="376" spans="1:19" ht="15.95" customHeight="1">
      <c r="A376" s="90" t="s">
        <v>1359</v>
      </c>
      <c r="B376" s="1622" t="s">
        <v>1526</v>
      </c>
      <c r="C376" s="1606" t="s">
        <v>1532</v>
      </c>
      <c r="D376" s="1606" t="s">
        <v>1532</v>
      </c>
      <c r="E376" s="1606" t="s">
        <v>1532</v>
      </c>
      <c r="I376" s="1622" t="s">
        <v>1515</v>
      </c>
      <c r="J376" s="1622" t="e">
        <f>VLOOKUP($A376,'Diesel Data'!$A$2:$K$196,10,FALSE)</f>
        <v>#N/A</v>
      </c>
      <c r="K376" s="1622" t="e">
        <f>VLOOKUP($A376,'Diesel Data'!$A$2:$K$196,11,FALSE)</f>
        <v>#N/A</v>
      </c>
      <c r="L376" s="1622" t="str">
        <f t="shared" si="5"/>
        <v>,,,,</v>
      </c>
      <c r="N376" s="1590" t="s">
        <v>1686</v>
      </c>
      <c r="S376" s="90" t="s">
        <v>1171</v>
      </c>
    </row>
    <row r="377" spans="1:19" ht="15.95" customHeight="1">
      <c r="A377" s="90" t="s">
        <v>1078</v>
      </c>
      <c r="B377" s="1622" t="s">
        <v>1526</v>
      </c>
      <c r="C377" s="1606" t="s">
        <v>1532</v>
      </c>
      <c r="D377" s="1606" t="s">
        <v>1532</v>
      </c>
      <c r="E377" s="1606" t="s">
        <v>1532</v>
      </c>
      <c r="I377" s="1622" t="s">
        <v>1515</v>
      </c>
      <c r="J377" s="1622" t="e">
        <f>VLOOKUP($A377,'Diesel Data'!$A$2:$K$196,10,FALSE)</f>
        <v>#N/A</v>
      </c>
      <c r="K377" s="1622" t="e">
        <f>VLOOKUP($A377,'Diesel Data'!$A$2:$K$196,11,FALSE)</f>
        <v>#N/A</v>
      </c>
      <c r="L377" s="1622" t="str">
        <f t="shared" si="5"/>
        <v>,,,,</v>
      </c>
      <c r="N377" s="1590" t="s">
        <v>1686</v>
      </c>
      <c r="S377" s="90" t="s">
        <v>1514</v>
      </c>
    </row>
    <row r="378" spans="1:19" ht="15.95" customHeight="1">
      <c r="A378" s="90" t="s">
        <v>1079</v>
      </c>
      <c r="J378" s="1622" t="e">
        <f>VLOOKUP($A378,'Diesel Data'!$A$2:$K$196,10,FALSE)</f>
        <v>#N/A</v>
      </c>
      <c r="K378" s="1622" t="e">
        <f>VLOOKUP($A378,'Diesel Data'!$A$2:$K$196,11,FALSE)</f>
        <v>#N/A</v>
      </c>
      <c r="L378" s="1622" t="str">
        <f t="shared" si="5"/>
        <v>,,,,</v>
      </c>
      <c r="S378" s="90" t="s">
        <v>552</v>
      </c>
    </row>
    <row r="379" spans="1:19" ht="15.95" customHeight="1">
      <c r="A379" s="90" t="s">
        <v>241</v>
      </c>
      <c r="B379" s="1622" t="s">
        <v>1526</v>
      </c>
      <c r="C379" s="1606" t="s">
        <v>1532</v>
      </c>
      <c r="D379" s="1606" t="s">
        <v>1532</v>
      </c>
      <c r="E379" s="1606" t="s">
        <v>1532</v>
      </c>
      <c r="F379" s="1606" t="s">
        <v>1532</v>
      </c>
      <c r="I379" s="1622" t="s">
        <v>1529</v>
      </c>
      <c r="J379" s="1622" t="str">
        <f>VLOOKUP($A379,'Diesel Data'!$A$2:$K$196,10,FALSE)</f>
        <v>N/A</v>
      </c>
      <c r="K379" s="1622" t="str">
        <f>VLOOKUP($A379,'Diesel Data'!$A$2:$K$196,11,FALSE)</f>
        <v>N/A</v>
      </c>
      <c r="L379" s="1622" t="str">
        <f t="shared" si="5"/>
        <v>,,,,</v>
      </c>
      <c r="S379" s="90" t="s">
        <v>25</v>
      </c>
    </row>
    <row r="380" spans="1:19" ht="15.95" customHeight="1">
      <c r="A380" s="90" t="s">
        <v>243</v>
      </c>
      <c r="B380" s="1622" t="s">
        <v>1526</v>
      </c>
      <c r="C380" s="1606" t="s">
        <v>1516</v>
      </c>
      <c r="D380" s="1606" t="s">
        <v>1516</v>
      </c>
      <c r="E380" s="1606" t="s">
        <v>1532</v>
      </c>
      <c r="G380" s="1606" t="s">
        <v>1665</v>
      </c>
      <c r="I380" s="1622" t="s">
        <v>1515</v>
      </c>
      <c r="J380" s="1622">
        <f>VLOOKUP($A380,'Diesel Data'!$A$2:$K$196,10,FALSE)</f>
        <v>0</v>
      </c>
      <c r="K380" s="1622">
        <f>VLOOKUP($A380,'Diesel Data'!$A$2:$K$196,11,FALSE)</f>
        <v>0</v>
      </c>
      <c r="L380" s="1622" t="str">
        <f t="shared" si="5"/>
        <v>,,,,</v>
      </c>
      <c r="N380" s="1618" t="s">
        <v>1760</v>
      </c>
    </row>
    <row r="381" spans="1:19" ht="15.95" customHeight="1">
      <c r="A381" s="90" t="s">
        <v>1080</v>
      </c>
      <c r="B381" s="1622" t="s">
        <v>1526</v>
      </c>
      <c r="C381" s="1606" t="s">
        <v>1532</v>
      </c>
      <c r="D381" s="1606" t="s">
        <v>1532</v>
      </c>
      <c r="E381" s="1606" t="s">
        <v>1532</v>
      </c>
      <c r="I381" s="1622" t="s">
        <v>1515</v>
      </c>
      <c r="J381" s="1622" t="str">
        <f>VLOOKUP($A381,'Diesel Data'!$A$2:$K$196,10,FALSE)</f>
        <v>N/A</v>
      </c>
      <c r="K381" s="1622" t="str">
        <f>VLOOKUP($A381,'Diesel Data'!$A$2:$K$196,11,FALSE)</f>
        <v>N/A</v>
      </c>
      <c r="L381" s="1622" t="str">
        <f t="shared" si="5"/>
        <v>,,,,</v>
      </c>
      <c r="N381" s="1590" t="s">
        <v>1732</v>
      </c>
    </row>
    <row r="382" spans="1:19" ht="15.95" customHeight="1">
      <c r="A382" s="90" t="s">
        <v>245</v>
      </c>
      <c r="B382" s="1622" t="s">
        <v>1526</v>
      </c>
      <c r="C382" s="1606" t="s">
        <v>1516</v>
      </c>
      <c r="D382" s="1606" t="s">
        <v>1516</v>
      </c>
      <c r="E382" s="1606" t="s">
        <v>1532</v>
      </c>
      <c r="F382" s="1473"/>
      <c r="G382" s="1473"/>
      <c r="H382" s="1473"/>
      <c r="I382" s="1622" t="s">
        <v>1529</v>
      </c>
      <c r="J382" s="1622" t="str">
        <f>VLOOKUP($A382,'Diesel Data'!$A$2:$K$196,10,FALSE)</f>
        <v>N/A</v>
      </c>
      <c r="K382" s="1622" t="str">
        <f>VLOOKUP($A382,'Diesel Data'!$A$2:$K$196,11,FALSE)</f>
        <v>N/A</v>
      </c>
      <c r="L382" s="1622" t="str">
        <f t="shared" si="5"/>
        <v>,,,,</v>
      </c>
      <c r="N382" s="1590" t="s">
        <v>1761</v>
      </c>
    </row>
    <row r="383" spans="1:19" ht="15.95" customHeight="1">
      <c r="A383" s="90" t="s">
        <v>1371</v>
      </c>
      <c r="J383" s="1622" t="e">
        <f>VLOOKUP($A383,'Diesel Data'!$A$2:$K$196,10,FALSE)</f>
        <v>#N/A</v>
      </c>
      <c r="K383" s="1622" t="e">
        <f>VLOOKUP($A383,'Diesel Data'!$A$2:$K$196,11,FALSE)</f>
        <v>#N/A</v>
      </c>
      <c r="L383" s="1622" t="str">
        <f t="shared" si="5"/>
        <v>,,,,</v>
      </c>
    </row>
    <row r="384" spans="1:19" ht="15.95" customHeight="1">
      <c r="A384" s="90" t="s">
        <v>1081</v>
      </c>
      <c r="J384" s="1622" t="e">
        <f>VLOOKUP($A384,'Diesel Data'!$A$2:$K$196,10,FALSE)</f>
        <v>#N/A</v>
      </c>
      <c r="K384" s="1622" t="e">
        <f>VLOOKUP($A384,'Diesel Data'!$A$2:$K$196,11,FALSE)</f>
        <v>#N/A</v>
      </c>
      <c r="L384" s="1622" t="str">
        <f t="shared" si="5"/>
        <v>,,,,</v>
      </c>
    </row>
    <row r="385" spans="1:14" ht="15.95" customHeight="1">
      <c r="A385" s="90" t="s">
        <v>1427</v>
      </c>
      <c r="J385" s="1622" t="e">
        <f>VLOOKUP($A385,'Diesel Data'!$A$2:$K$196,10,FALSE)</f>
        <v>#N/A</v>
      </c>
      <c r="K385" s="1622" t="e">
        <f>VLOOKUP($A385,'Diesel Data'!$A$2:$K$196,11,FALSE)</f>
        <v>#N/A</v>
      </c>
      <c r="L385" s="1622" t="e">
        <f t="shared" si="5"/>
        <v>#N/A</v>
      </c>
    </row>
    <row r="386" spans="1:14" ht="15.95" customHeight="1">
      <c r="A386" s="90" t="s">
        <v>1082</v>
      </c>
      <c r="J386" s="1622" t="e">
        <f>VLOOKUP($A386,'Diesel Data'!$A$2:$K$196,10,FALSE)</f>
        <v>#N/A</v>
      </c>
      <c r="K386" s="1622" t="e">
        <f>VLOOKUP($A386,'Diesel Data'!$A$2:$K$196,11,FALSE)</f>
        <v>#N/A</v>
      </c>
      <c r="L386" s="1622" t="str">
        <f t="shared" si="5"/>
        <v>,,,,</v>
      </c>
    </row>
    <row r="387" spans="1:14" ht="15.95" customHeight="1">
      <c r="A387" s="90" t="s">
        <v>1525</v>
      </c>
      <c r="J387" s="1622" t="e">
        <f>VLOOKUP($A387,'Diesel Data'!$A$2:$K$196,10,FALSE)</f>
        <v>#N/A</v>
      </c>
      <c r="K387" s="1622" t="e">
        <f>VLOOKUP($A387,'Diesel Data'!$A$2:$K$196,11,FALSE)</f>
        <v>#N/A</v>
      </c>
      <c r="L387" s="1622" t="str">
        <f t="shared" si="5"/>
        <v>,,,,</v>
      </c>
    </row>
    <row r="388" spans="1:14" ht="15.95" customHeight="1">
      <c r="A388" s="90" t="s">
        <v>22</v>
      </c>
      <c r="J388" s="1622" t="str">
        <f>VLOOKUP($A388,'Diesel Data'!$A$2:$K$196,10,FALSE)</f>
        <v>unknown</v>
      </c>
      <c r="K388" s="1622" t="str">
        <f>VLOOKUP($A388,'Diesel Data'!$A$2:$K$196,11,FALSE)</f>
        <v>unknown</v>
      </c>
      <c r="L388" s="1622" t="str">
        <f t="shared" ref="L388:L409" si="6">CONCATENATE(VLOOKUP(A388,$S$2:$Z$379,4,FALSE),",",VLOOKUP(A388,$S$2:$Z$379,5,FALSE),",",VLOOKUP(A388,$S$2:$Z$379,6,FALSE),",",VLOOKUP(A388,$S$2:$Z$379,7,FALSE),",",VLOOKUP(A388,$S$2:$Z$379,8,FALSE))</f>
        <v>,,,,</v>
      </c>
    </row>
    <row r="389" spans="1:14" ht="15.95" customHeight="1">
      <c r="A389" s="90" t="s">
        <v>36</v>
      </c>
      <c r="B389" s="1622" t="s">
        <v>1526</v>
      </c>
      <c r="C389" s="1606" t="s">
        <v>1516</v>
      </c>
      <c r="D389" s="1606" t="s">
        <v>1516</v>
      </c>
      <c r="F389" s="1606" t="s">
        <v>1532</v>
      </c>
      <c r="I389" s="1622" t="s">
        <v>1515</v>
      </c>
      <c r="J389" s="1622">
        <f>VLOOKUP($A389,'Diesel Data'!$A$2:$K$196,10,FALSE)</f>
        <v>0</v>
      </c>
      <c r="K389" s="1622">
        <f>VLOOKUP($A389,'Diesel Data'!$A$2:$K$196,11,FALSE)</f>
        <v>0</v>
      </c>
      <c r="L389" s="1622" t="str">
        <f t="shared" si="6"/>
        <v>Power Plant,,,,</v>
      </c>
      <c r="N389" s="1590" t="s">
        <v>1762</v>
      </c>
    </row>
    <row r="390" spans="1:14" ht="15.95" customHeight="1">
      <c r="A390" s="90" t="s">
        <v>1429</v>
      </c>
      <c r="J390" s="1622" t="e">
        <f>VLOOKUP($A390,'Diesel Data'!$A$2:$K$196,10,FALSE)</f>
        <v>#N/A</v>
      </c>
      <c r="K390" s="1622" t="e">
        <f>VLOOKUP($A390,'Diesel Data'!$A$2:$K$196,11,FALSE)</f>
        <v>#N/A</v>
      </c>
      <c r="L390" s="1622" t="str">
        <f t="shared" si="6"/>
        <v>,,,,</v>
      </c>
    </row>
    <row r="391" spans="1:14" ht="15.95" customHeight="1">
      <c r="A391" s="90" t="s">
        <v>1430</v>
      </c>
      <c r="J391" s="1622" t="e">
        <f>VLOOKUP($A391,'Diesel Data'!$A$2:$K$196,10,FALSE)</f>
        <v>#N/A</v>
      </c>
      <c r="K391" s="1622" t="e">
        <f>VLOOKUP($A391,'Diesel Data'!$A$2:$K$196,11,FALSE)</f>
        <v>#N/A</v>
      </c>
      <c r="L391" s="1622" t="e">
        <f t="shared" si="6"/>
        <v>#N/A</v>
      </c>
    </row>
    <row r="392" spans="1:14" ht="15.95" customHeight="1">
      <c r="A392" s="90" t="s">
        <v>1084</v>
      </c>
      <c r="B392" s="1622" t="s">
        <v>1526</v>
      </c>
      <c r="C392" s="1606" t="s">
        <v>1516</v>
      </c>
      <c r="D392" s="1606" t="s">
        <v>1516</v>
      </c>
      <c r="E392" s="1606" t="s">
        <v>1532</v>
      </c>
      <c r="F392" s="1606" t="s">
        <v>1516</v>
      </c>
      <c r="I392" s="1622" t="s">
        <v>1526</v>
      </c>
      <c r="J392" s="1622">
        <f>VLOOKUP($A392,'Diesel Data'!$A$2:$K$196,10,FALSE)</f>
        <v>0</v>
      </c>
      <c r="K392" s="1622">
        <f>VLOOKUP($A392,'Diesel Data'!$A$2:$K$196,11,FALSE)</f>
        <v>0</v>
      </c>
      <c r="L392" s="1622" t="str">
        <f t="shared" si="6"/>
        <v>,,,,</v>
      </c>
      <c r="N392" s="1590" t="s">
        <v>1763</v>
      </c>
    </row>
    <row r="393" spans="1:14" ht="15.95" customHeight="1">
      <c r="A393" s="90" t="s">
        <v>414</v>
      </c>
      <c r="B393" s="1622" t="s">
        <v>1526</v>
      </c>
      <c r="C393" s="1606" t="s">
        <v>1516</v>
      </c>
      <c r="D393" s="1606" t="s">
        <v>1516</v>
      </c>
      <c r="E393" s="1606" t="s">
        <v>1532</v>
      </c>
      <c r="F393" s="1606" t="s">
        <v>1532</v>
      </c>
      <c r="G393" s="1606" t="s">
        <v>1665</v>
      </c>
      <c r="I393" s="1622" t="s">
        <v>1515</v>
      </c>
      <c r="J393" s="1622">
        <f>VLOOKUP($A393,'Diesel Data'!$A$2:$K$196,10,FALSE)</f>
        <v>2000</v>
      </c>
      <c r="K393" s="1622" t="str">
        <f>VLOOKUP($A393,'Diesel Data'!$A$2:$K$196,11,FALSE)</f>
        <v>unknown</v>
      </c>
      <c r="L393" s="1622" t="e">
        <f t="shared" si="6"/>
        <v>#N/A</v>
      </c>
      <c r="N393" s="1590" t="s">
        <v>1764</v>
      </c>
    </row>
    <row r="394" spans="1:14" ht="15.95" customHeight="1">
      <c r="A394" s="90" t="s">
        <v>212</v>
      </c>
      <c r="J394" s="1622" t="str">
        <f>VLOOKUP($A394,'Diesel Data'!$A$2:$K$196,10,FALSE)</f>
        <v>unknown</v>
      </c>
      <c r="K394" s="1622" t="str">
        <f>VLOOKUP($A394,'Diesel Data'!$A$2:$K$196,11,FALSE)</f>
        <v>unknown</v>
      </c>
      <c r="L394" s="1622" t="str">
        <f t="shared" si="6"/>
        <v>,,,,</v>
      </c>
    </row>
    <row r="395" spans="1:14" ht="15.95" customHeight="1">
      <c r="A395" s="90" t="s">
        <v>110</v>
      </c>
      <c r="J395" s="1622" t="str">
        <f>VLOOKUP($A395,'Diesel Data'!$A$2:$K$196,10,FALSE)</f>
        <v>unknown</v>
      </c>
      <c r="K395" s="1622" t="str">
        <f>VLOOKUP($A395,'Diesel Data'!$A$2:$K$196,11,FALSE)</f>
        <v>unknown</v>
      </c>
      <c r="L395" s="1622" t="str">
        <f t="shared" si="6"/>
        <v>,,,,</v>
      </c>
    </row>
    <row r="396" spans="1:14" ht="15.95" customHeight="1">
      <c r="A396" s="90" t="s">
        <v>1085</v>
      </c>
      <c r="J396" s="1622" t="e">
        <f>VLOOKUP($A396,'Diesel Data'!$A$2:$K$196,10,FALSE)</f>
        <v>#N/A</v>
      </c>
      <c r="K396" s="1622" t="e">
        <f>VLOOKUP($A396,'Diesel Data'!$A$2:$K$196,11,FALSE)</f>
        <v>#N/A</v>
      </c>
      <c r="L396" s="1622" t="e">
        <f t="shared" si="6"/>
        <v>#N/A</v>
      </c>
    </row>
    <row r="397" spans="1:14" ht="15.95" customHeight="1">
      <c r="A397" s="90" t="s">
        <v>298</v>
      </c>
      <c r="J397" s="1622" t="e">
        <f>VLOOKUP($A397,'Diesel Data'!$A$2:$K$196,10,FALSE)</f>
        <v>#N/A</v>
      </c>
      <c r="K397" s="1622" t="e">
        <f>VLOOKUP($A397,'Diesel Data'!$A$2:$K$196,11,FALSE)</f>
        <v>#N/A</v>
      </c>
      <c r="L397" s="1622" t="str">
        <f t="shared" si="6"/>
        <v>,,,,</v>
      </c>
    </row>
    <row r="398" spans="1:14" ht="15.95" customHeight="1">
      <c r="A398" s="90" t="s">
        <v>68</v>
      </c>
      <c r="J398" s="1622" t="str">
        <f>VLOOKUP($A398,'Diesel Data'!$A$2:$K$196,10,FALSE)</f>
        <v>unknown</v>
      </c>
      <c r="K398" s="1622" t="str">
        <f>VLOOKUP($A398,'Diesel Data'!$A$2:$K$196,11,FALSE)</f>
        <v>unknown</v>
      </c>
      <c r="L398" s="1622" t="str">
        <f t="shared" si="6"/>
        <v>,,,,</v>
      </c>
    </row>
    <row r="399" spans="1:14" ht="15.95" customHeight="1">
      <c r="A399" s="90" t="s">
        <v>261</v>
      </c>
      <c r="J399" s="1622" t="str">
        <f>VLOOKUP($A399,'Diesel Data'!$A$2:$K$196,10,FALSE)</f>
        <v>unknown</v>
      </c>
      <c r="K399" s="1622" t="str">
        <f>VLOOKUP($A399,'Diesel Data'!$A$2:$K$196,11,FALSE)</f>
        <v>unknown</v>
      </c>
      <c r="L399" s="1622" t="str">
        <f t="shared" si="6"/>
        <v>,,,,</v>
      </c>
    </row>
    <row r="400" spans="1:14" ht="15.95" customHeight="1">
      <c r="A400" s="90" t="s">
        <v>1431</v>
      </c>
      <c r="J400" s="1622" t="e">
        <f>VLOOKUP($A400,'Diesel Data'!$A$2:$K$196,10,FALSE)</f>
        <v>#N/A</v>
      </c>
      <c r="K400" s="1622" t="e">
        <f>VLOOKUP($A400,'Diesel Data'!$A$2:$K$196,11,FALSE)</f>
        <v>#N/A</v>
      </c>
      <c r="L400" s="1622" t="e">
        <f t="shared" si="6"/>
        <v>#N/A</v>
      </c>
    </row>
    <row r="401" spans="1:12" ht="15.95" customHeight="1">
      <c r="A401" s="90" t="s">
        <v>1432</v>
      </c>
      <c r="J401" s="1622" t="e">
        <f>VLOOKUP($A401,'Diesel Data'!$A$2:$K$196,10,FALSE)</f>
        <v>#N/A</v>
      </c>
      <c r="K401" s="1622" t="e">
        <f>VLOOKUP($A401,'Diesel Data'!$A$2:$K$196,11,FALSE)</f>
        <v>#N/A</v>
      </c>
      <c r="L401" s="1622" t="str">
        <f t="shared" si="6"/>
        <v>,,,,</v>
      </c>
    </row>
    <row r="402" spans="1:12" ht="15.95" customHeight="1">
      <c r="A402" s="90" t="s">
        <v>1086</v>
      </c>
      <c r="B402" s="1622" t="s">
        <v>1526</v>
      </c>
      <c r="C402" s="1606" t="s">
        <v>1532</v>
      </c>
      <c r="D402" s="1606" t="s">
        <v>1532</v>
      </c>
      <c r="E402" s="1606" t="s">
        <v>1532</v>
      </c>
      <c r="I402" s="1622" t="s">
        <v>1526</v>
      </c>
      <c r="J402" s="1622" t="e">
        <f>VLOOKUP($A402,'Diesel Data'!$A$2:$K$196,10,FALSE)</f>
        <v>#N/A</v>
      </c>
      <c r="K402" s="1622" t="e">
        <f>VLOOKUP($A402,'Diesel Data'!$A$2:$K$196,11,FALSE)</f>
        <v>#N/A</v>
      </c>
      <c r="L402" s="1622" t="str">
        <f t="shared" si="6"/>
        <v>,,,,</v>
      </c>
    </row>
    <row r="403" spans="1:12" ht="15.95" customHeight="1">
      <c r="A403" s="90" t="s">
        <v>1087</v>
      </c>
      <c r="J403" s="1622" t="e">
        <f>VLOOKUP($A403,'Diesel Data'!$A$2:$K$196,10,FALSE)</f>
        <v>#N/A</v>
      </c>
      <c r="K403" s="1622" t="e">
        <f>VLOOKUP($A403,'Diesel Data'!$A$2:$K$196,11,FALSE)</f>
        <v>#N/A</v>
      </c>
      <c r="L403" s="1622" t="str">
        <f t="shared" si="6"/>
        <v>,,,,</v>
      </c>
    </row>
    <row r="404" spans="1:12" ht="15.95" customHeight="1">
      <c r="A404" s="90" t="s">
        <v>1169</v>
      </c>
      <c r="J404" s="1622" t="e">
        <f>VLOOKUP($A404,'Diesel Data'!$A$2:$K$196,10,FALSE)</f>
        <v>#N/A</v>
      </c>
      <c r="K404" s="1622" t="e">
        <f>VLOOKUP($A404,'Diesel Data'!$A$2:$K$196,11,FALSE)</f>
        <v>#N/A</v>
      </c>
      <c r="L404" s="1622" t="e">
        <f t="shared" si="6"/>
        <v>#N/A</v>
      </c>
    </row>
    <row r="405" spans="1:12" ht="15.95" customHeight="1">
      <c r="A405" s="90" t="s">
        <v>1088</v>
      </c>
      <c r="J405" s="1622" t="e">
        <f>VLOOKUP($A405,'Diesel Data'!$A$2:$K$196,10,FALSE)</f>
        <v>#N/A</v>
      </c>
      <c r="K405" s="1622" t="e">
        <f>VLOOKUP($A405,'Diesel Data'!$A$2:$K$196,11,FALSE)</f>
        <v>#N/A</v>
      </c>
      <c r="L405" s="1622" t="str">
        <f t="shared" si="6"/>
        <v>,,,,</v>
      </c>
    </row>
    <row r="406" spans="1:12" ht="15.95" customHeight="1">
      <c r="A406" s="90" t="s">
        <v>1171</v>
      </c>
      <c r="J406" s="1622" t="e">
        <f>VLOOKUP($A406,'Diesel Data'!$A$2:$K$196,10,FALSE)</f>
        <v>#N/A</v>
      </c>
      <c r="K406" s="1622" t="e">
        <f>VLOOKUP($A406,'Diesel Data'!$A$2:$K$196,11,FALSE)</f>
        <v>#N/A</v>
      </c>
      <c r="L406" s="1622" t="str">
        <f t="shared" si="6"/>
        <v>,,,,</v>
      </c>
    </row>
    <row r="407" spans="1:12" ht="15.95" customHeight="1">
      <c r="A407" s="90" t="s">
        <v>1514</v>
      </c>
      <c r="J407" s="1622" t="e">
        <f>VLOOKUP($A407,'Diesel Data'!$A$2:$K$196,10,FALSE)</f>
        <v>#N/A</v>
      </c>
      <c r="K407" s="1622" t="e">
        <f>VLOOKUP($A407,'Diesel Data'!$A$2:$K$196,11,FALSE)</f>
        <v>#N/A</v>
      </c>
      <c r="L407" s="1622" t="str">
        <f t="shared" si="6"/>
        <v>,,,,</v>
      </c>
    </row>
    <row r="408" spans="1:12" ht="15.95" customHeight="1">
      <c r="A408" s="90" t="s">
        <v>552</v>
      </c>
      <c r="J408" s="1622">
        <f>VLOOKUP($A408,'Diesel Data'!$A$2:$K$196,10,FALSE)</f>
        <v>0</v>
      </c>
      <c r="K408" s="1622">
        <f>VLOOKUP($A408,'Diesel Data'!$A$2:$K$196,11,FALSE)</f>
        <v>0</v>
      </c>
      <c r="L408" s="1622" t="str">
        <f t="shared" si="6"/>
        <v>,,,,</v>
      </c>
    </row>
    <row r="409" spans="1:12" ht="15.95" customHeight="1">
      <c r="A409" s="90" t="s">
        <v>25</v>
      </c>
      <c r="J409" s="1622" t="str">
        <f>VLOOKUP($A409,'Diesel Data'!$A$2:$K$196,10,FALSE)</f>
        <v>unknown</v>
      </c>
      <c r="K409" s="1622" t="str">
        <f>VLOOKUP($A409,'Diesel Data'!$A$2:$K$196,11,FALSE)</f>
        <v>unknown</v>
      </c>
      <c r="L409" s="1622" t="str">
        <f t="shared" si="6"/>
        <v>,,,,</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pageSetUpPr fitToPage="1"/>
  </sheetPr>
  <dimension ref="A1:BR118"/>
  <sheetViews>
    <sheetView zoomScale="70" zoomScaleNormal="70" workbookViewId="0">
      <selection activeCell="C15" sqref="C15"/>
    </sheetView>
  </sheetViews>
  <sheetFormatPr defaultColWidth="9.140625" defaultRowHeight="15"/>
  <cols>
    <col min="1" max="1" width="2.42578125" style="118" bestFit="1" customWidth="1"/>
    <col min="2" max="2" width="29.7109375" style="119" customWidth="1"/>
    <col min="3" max="3" width="26.85546875" style="203" bestFit="1" customWidth="1"/>
    <col min="4" max="4" width="37.28515625" style="120" customWidth="1"/>
    <col min="5" max="5" width="24.28515625" style="120" bestFit="1" customWidth="1"/>
    <col min="6" max="6" width="17.140625" style="120" customWidth="1"/>
    <col min="7" max="7" width="18" style="120" customWidth="1"/>
    <col min="8" max="8" width="17.42578125" style="120" customWidth="1"/>
    <col min="9" max="9" width="28.85546875" style="120" customWidth="1"/>
    <col min="10" max="10" width="17.28515625" style="120" customWidth="1"/>
    <col min="11" max="11" width="16.5703125" style="120" customWidth="1"/>
    <col min="12" max="13" width="12.85546875" style="120" bestFit="1" customWidth="1"/>
    <col min="14" max="14" width="16" style="120" customWidth="1"/>
    <col min="15" max="15" width="18.85546875" style="120" customWidth="1"/>
    <col min="16" max="16" width="15" style="120" bestFit="1" customWidth="1"/>
    <col min="17" max="17" width="13.85546875" style="120" customWidth="1"/>
    <col min="18" max="18" width="15.140625" style="120" customWidth="1"/>
    <col min="19" max="19" width="14.42578125" style="136" customWidth="1"/>
    <col min="20" max="20" width="13.28515625" style="136" customWidth="1"/>
    <col min="21" max="22" width="12.140625" style="136" customWidth="1"/>
    <col min="23" max="23" width="12" style="136" customWidth="1"/>
    <col min="24" max="26" width="12.140625" style="136" customWidth="1"/>
    <col min="27" max="27" width="12"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57031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989" t="s">
        <v>1162</v>
      </c>
      <c r="B1" s="1989"/>
      <c r="C1" s="1989"/>
      <c r="D1" s="1989"/>
      <c r="E1" s="1989"/>
      <c r="F1" s="1989"/>
      <c r="G1" s="1989"/>
      <c r="H1" s="1989"/>
      <c r="I1" s="1989"/>
      <c r="J1" s="1989"/>
      <c r="K1" s="1989"/>
      <c r="L1" s="1989"/>
      <c r="M1" s="1989"/>
      <c r="N1" s="1989"/>
      <c r="O1" s="1989"/>
      <c r="P1" s="1989"/>
      <c r="Q1" s="198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2008" t="s">
        <v>334</v>
      </c>
      <c r="C2" s="2008"/>
      <c r="D2" s="2008"/>
      <c r="E2" s="2008"/>
      <c r="G2" s="221"/>
      <c r="H2" s="2017" t="s">
        <v>618</v>
      </c>
      <c r="I2" s="2018"/>
      <c r="J2" s="2018"/>
      <c r="K2" s="2018"/>
      <c r="L2" s="2018"/>
      <c r="M2" s="2018"/>
      <c r="N2" s="2018"/>
      <c r="O2" s="2018"/>
      <c r="P2" s="2018"/>
      <c r="Q2" s="2018"/>
      <c r="R2" s="201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77"/>
      <c r="I3" s="179" t="s">
        <v>1102</v>
      </c>
      <c r="J3" s="929" t="str">
        <f>IF(Average_Load&lt;100,"No","Yes")</f>
        <v>No</v>
      </c>
      <c r="K3" s="2075" t="s">
        <v>1103</v>
      </c>
      <c r="L3" s="2075"/>
      <c r="M3" s="125"/>
      <c r="N3" s="125"/>
      <c r="O3" s="125"/>
      <c r="P3" s="125"/>
      <c r="Q3" s="125"/>
      <c r="R3" s="930"/>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8.75" customHeight="1" thickBot="1">
      <c r="B4" s="126" t="s">
        <v>331</v>
      </c>
      <c r="C4" s="489"/>
      <c r="D4" s="121"/>
      <c r="E4" s="916" t="s">
        <v>1211</v>
      </c>
      <c r="F4" s="1204" t="str">
        <f>VLOOKUP($C$5,'Wind Data'!$A$3:$J$409,2,FALSE)</f>
        <v>L</v>
      </c>
      <c r="G4" s="219"/>
      <c r="H4" s="1818" t="s">
        <v>2334</v>
      </c>
      <c r="I4" s="1816" t="s">
        <v>2319</v>
      </c>
      <c r="J4" s="1817">
        <f>IF(ISNA(VLOOKUP(C5,'Exisiting Wind'!A2:B35,2,FALSE)),0,VLOOKUP(C5,'Exisiting Wind'!A2:B35,2,FALSE))</f>
        <v>0</v>
      </c>
      <c r="K4" s="125"/>
      <c r="L4" s="125"/>
      <c r="M4" s="125"/>
      <c r="N4" s="125"/>
      <c r="O4" s="125"/>
      <c r="P4" s="125"/>
      <c r="Q4" s="125"/>
      <c r="R4" s="930"/>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4.25">
      <c r="B5" s="128" t="s">
        <v>375</v>
      </c>
      <c r="C5" s="587" t="str">
        <f>Community_Name</f>
        <v>Manley Hot Springs</v>
      </c>
      <c r="D5" s="125"/>
      <c r="E5" s="47" t="s">
        <v>1209</v>
      </c>
      <c r="F5" s="1204" t="str">
        <f>VLOOKUP($C$5,'Wind Data'!$A$3:$J$409,10,FALSE)</f>
        <v>L</v>
      </c>
      <c r="G5" s="219"/>
      <c r="H5" s="377"/>
      <c r="I5" s="127" t="s">
        <v>619</v>
      </c>
      <c r="J5" s="626" t="str">
        <f>'Community data'!B39</f>
        <v>Yes</v>
      </c>
      <c r="K5" s="125"/>
      <c r="L5" s="131"/>
      <c r="M5" s="125"/>
      <c r="N5" s="2074" t="s">
        <v>579</v>
      </c>
      <c r="O5" s="2074"/>
      <c r="P5" s="2074"/>
      <c r="Q5" s="2074"/>
      <c r="R5" s="2067"/>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thickBot="1">
      <c r="B6" s="128" t="s">
        <v>376</v>
      </c>
      <c r="C6" s="587" t="str">
        <f>IF('Community data'!B7="Yes",'Community data'!B8,Community_Name)</f>
        <v>Manley Hot Springs</v>
      </c>
      <c r="D6" s="125"/>
      <c r="E6" s="417" t="s">
        <v>1210</v>
      </c>
      <c r="F6" s="1212" t="b">
        <f>IF(OR(C9="Construction",C9="Design"),"High", IF(C9="Feasibility", "Medium", IF(C9="Recon", "Low")))</f>
        <v>0</v>
      </c>
      <c r="G6" s="219"/>
      <c r="H6" s="377"/>
      <c r="I6" s="129" t="s">
        <v>529</v>
      </c>
      <c r="J6" s="130">
        <f>IF(J3="Yes",VLOOKUP($C$5,'Wind Data'!$A$2:$J$409,4,FALSE),0)</f>
        <v>0</v>
      </c>
      <c r="K6" s="131"/>
      <c r="L6" s="131"/>
      <c r="M6" s="125"/>
      <c r="N6" s="2074"/>
      <c r="O6" s="2074"/>
      <c r="P6" s="2074"/>
      <c r="Q6" s="2074"/>
      <c r="R6" s="2067"/>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33" customHeight="1">
      <c r="B7" s="128" t="s">
        <v>332</v>
      </c>
      <c r="C7" s="640" t="s">
        <v>291</v>
      </c>
      <c r="D7" s="125"/>
      <c r="E7" s="136"/>
      <c r="G7" s="219"/>
      <c r="H7" s="377"/>
      <c r="I7" s="129" t="s">
        <v>570</v>
      </c>
      <c r="J7" s="627">
        <f>C9</f>
        <v>0</v>
      </c>
      <c r="K7" s="131"/>
      <c r="L7" s="131"/>
      <c r="M7" s="125"/>
      <c r="N7" s="2073" t="s">
        <v>599</v>
      </c>
      <c r="O7" s="2073"/>
      <c r="P7" s="628">
        <f>J8</f>
        <v>0</v>
      </c>
      <c r="Q7" s="246" t="s">
        <v>388</v>
      </c>
      <c r="R7" s="931"/>
      <c r="S7" s="2076"/>
      <c r="T7" s="2076"/>
      <c r="U7" s="2076"/>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27" customHeight="1">
      <c r="B8" s="128" t="s">
        <v>569</v>
      </c>
      <c r="C8" s="640" t="s">
        <v>2</v>
      </c>
      <c r="D8" s="125"/>
      <c r="E8" s="121"/>
      <c r="G8" s="219"/>
      <c r="H8" s="377"/>
      <c r="I8" s="129" t="s">
        <v>593</v>
      </c>
      <c r="J8" s="242">
        <f>IF(AND(OR(F4="H",F4="M"),J4&lt;MROUND('Community data'!B19*0.3,25)),MROUND('Community data'!B19*0.3,25)-J4, 0)</f>
        <v>0</v>
      </c>
      <c r="K8" s="132" t="s">
        <v>682</v>
      </c>
      <c r="L8" s="131"/>
      <c r="M8" s="125"/>
      <c r="N8" s="2073" t="s">
        <v>620</v>
      </c>
      <c r="O8" s="2073"/>
      <c r="P8" s="245">
        <f>J13+J8</f>
        <v>0</v>
      </c>
      <c r="Q8" s="246" t="s">
        <v>388</v>
      </c>
      <c r="R8" s="931"/>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42" customHeight="1">
      <c r="B9" s="128" t="s">
        <v>570</v>
      </c>
      <c r="C9" s="639"/>
      <c r="D9" s="125"/>
      <c r="E9" s="121"/>
      <c r="G9" s="219"/>
      <c r="H9" s="377"/>
      <c r="I9" s="129" t="s">
        <v>594</v>
      </c>
      <c r="J9" s="130"/>
      <c r="K9" s="131"/>
      <c r="L9" s="131"/>
      <c r="M9" s="125"/>
      <c r="N9" s="2078" t="s">
        <v>600</v>
      </c>
      <c r="O9" s="2078"/>
      <c r="P9" s="340" t="b">
        <f>IF(J14="Yes", J15, IF(AND(J8&gt;999,J14="No"), J22*P7, IF(AND(J8&lt;1000,J14="No"), J23*P7)))</f>
        <v>0</v>
      </c>
      <c r="Q9" s="247"/>
      <c r="R9" s="932"/>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37.5" customHeight="1">
      <c r="B10" s="128"/>
      <c r="C10" s="640"/>
      <c r="D10" s="125"/>
      <c r="E10" s="121"/>
      <c r="G10" s="219"/>
      <c r="H10" s="377"/>
      <c r="I10" s="139" t="s">
        <v>684</v>
      </c>
      <c r="J10" s="130"/>
      <c r="K10" s="275" t="s">
        <v>692</v>
      </c>
      <c r="L10" s="131"/>
      <c r="M10" s="125"/>
      <c r="N10" s="2078" t="s">
        <v>601</v>
      </c>
      <c r="O10" s="2078"/>
      <c r="P10" s="340" t="b">
        <f>IF(AND(J8&gt;999,J14="No"),J22,IF(AND(J8&lt;1000,J14="No"),J23,IF(J14="Yes",P9/P7)))</f>
        <v>0</v>
      </c>
      <c r="Q10" s="247" t="s">
        <v>580</v>
      </c>
      <c r="R10" s="932"/>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26.25" customHeight="1" thickBot="1">
      <c r="B11" s="134"/>
      <c r="C11" s="611"/>
      <c r="D11" s="125"/>
      <c r="E11" s="121"/>
      <c r="F11" s="135"/>
      <c r="G11" s="219"/>
      <c r="H11" s="377"/>
      <c r="I11" s="129" t="s">
        <v>595</v>
      </c>
      <c r="J11" s="627" t="str">
        <f>'Community data'!B30</f>
        <v>No</v>
      </c>
      <c r="K11" s="131"/>
      <c r="L11" s="136"/>
      <c r="M11" s="125"/>
      <c r="N11" s="2078" t="s">
        <v>602</v>
      </c>
      <c r="O11" s="2078"/>
      <c r="P11" s="629">
        <f>IF(J8&gt;0,IF(J11="No", 150000, 0),0)</f>
        <v>0</v>
      </c>
      <c r="Q11" s="247"/>
      <c r="R11" s="932"/>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34.5" customHeight="1">
      <c r="B12" s="137" t="s">
        <v>360</v>
      </c>
      <c r="C12" s="515" t="s">
        <v>384</v>
      </c>
      <c r="D12" s="306"/>
      <c r="E12" s="306"/>
      <c r="F12" s="118"/>
      <c r="G12" s="219"/>
      <c r="H12" s="377"/>
      <c r="I12" s="206" t="s">
        <v>615</v>
      </c>
      <c r="J12" s="1636" t="s">
        <v>596</v>
      </c>
      <c r="K12" s="136"/>
      <c r="L12" s="136"/>
      <c r="M12" s="125"/>
      <c r="N12" s="2078" t="s">
        <v>581</v>
      </c>
      <c r="O12" s="2078"/>
      <c r="P12" s="340">
        <f>IF(J8&gt;0,IF(J12="No", 0, 200000),0)</f>
        <v>0</v>
      </c>
      <c r="Q12" s="247"/>
      <c r="R12" s="932"/>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33.75" customHeight="1">
      <c r="B13" s="128" t="s">
        <v>262</v>
      </c>
      <c r="C13" s="536">
        <f>IF(J6&gt;3, BI59, 0)</f>
        <v>0</v>
      </c>
      <c r="D13" s="136"/>
      <c r="E13" s="136"/>
      <c r="F13" s="118"/>
      <c r="G13" s="219"/>
      <c r="H13" s="377"/>
      <c r="I13" s="243" t="s">
        <v>685</v>
      </c>
      <c r="J13" s="130"/>
      <c r="K13" s="136"/>
      <c r="L13" s="136"/>
      <c r="M13" s="125"/>
      <c r="N13" s="2078" t="s">
        <v>582</v>
      </c>
      <c r="O13" s="2078"/>
      <c r="P13" s="340">
        <f>IF(J10="No", J9*250000, J9*500000)</f>
        <v>0</v>
      </c>
      <c r="Q13" s="247"/>
      <c r="R13" s="932"/>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33" customHeight="1">
      <c r="B14" s="128" t="s">
        <v>278</v>
      </c>
      <c r="C14" s="537">
        <f>IF(J6&gt;3,BI55,0)</f>
        <v>0</v>
      </c>
      <c r="D14" s="136"/>
      <c r="E14" s="136"/>
      <c r="F14" s="118"/>
      <c r="G14" s="219"/>
      <c r="H14" s="377"/>
      <c r="I14" s="206" t="s">
        <v>621</v>
      </c>
      <c r="J14" s="130"/>
      <c r="K14" s="136"/>
      <c r="L14" s="136"/>
      <c r="M14" s="125"/>
      <c r="N14" s="2079" t="s">
        <v>614</v>
      </c>
      <c r="O14" s="2079"/>
      <c r="P14" s="248">
        <f>(SUM(P11:P13)+P9)</f>
        <v>0</v>
      </c>
      <c r="Q14" s="249" t="s">
        <v>580</v>
      </c>
      <c r="R14" s="932"/>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26.25" customHeight="1" thickBot="1">
      <c r="B15" s="128" t="s">
        <v>759</v>
      </c>
      <c r="C15" s="323" t="str">
        <f>IF(AND(J6&gt;3,Wind_NPV_Benefits&gt;0), C13/C14, "N/A")</f>
        <v>N/A</v>
      </c>
      <c r="D15" s="136"/>
      <c r="E15" s="136"/>
      <c r="F15" s="118"/>
      <c r="G15" s="219"/>
      <c r="H15" s="377"/>
      <c r="I15" s="243" t="s">
        <v>622</v>
      </c>
      <c r="J15" s="205"/>
      <c r="K15" s="136"/>
      <c r="L15" s="136"/>
      <c r="M15" s="125"/>
      <c r="N15" s="2071" t="s">
        <v>603</v>
      </c>
      <c r="O15" s="2071"/>
      <c r="P15" s="630">
        <f>(P16+(J13*8760*J19))/'Community data'!B16</f>
        <v>0</v>
      </c>
      <c r="Q15" s="250"/>
      <c r="R15" s="933"/>
      <c r="S15" s="2077"/>
      <c r="T15" s="2077"/>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24.75" customHeight="1">
      <c r="A16" s="121"/>
      <c r="B16" s="140" t="s">
        <v>290</v>
      </c>
      <c r="C16" s="538">
        <f>IF(J6&gt;3,BI62,0)</f>
        <v>0</v>
      </c>
      <c r="D16" s="136"/>
      <c r="E16" s="136"/>
      <c r="F16" s="118"/>
      <c r="G16" s="219"/>
      <c r="H16" s="377"/>
      <c r="I16" s="136"/>
      <c r="J16" s="136"/>
      <c r="K16" s="136"/>
      <c r="L16" s="136"/>
      <c r="M16" s="125"/>
      <c r="N16" s="2069" t="s">
        <v>604</v>
      </c>
      <c r="O16" s="2069"/>
      <c r="P16" s="251">
        <f>J19*P7*24*365.25</f>
        <v>0</v>
      </c>
      <c r="Q16" s="252" t="s">
        <v>583</v>
      </c>
      <c r="R16" s="934"/>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31.5" customHeight="1" thickBot="1">
      <c r="A17" s="121"/>
      <c r="B17" s="142"/>
      <c r="C17" s="539"/>
      <c r="D17" s="136"/>
      <c r="E17" s="136"/>
      <c r="F17" s="118"/>
      <c r="G17" s="219"/>
      <c r="H17" s="377"/>
      <c r="I17" s="136"/>
      <c r="J17" s="136"/>
      <c r="K17" s="136"/>
      <c r="L17" s="125"/>
      <c r="M17" s="125"/>
      <c r="N17" s="2071" t="s">
        <v>605</v>
      </c>
      <c r="O17" s="2071"/>
      <c r="P17" s="631">
        <f>'Community data'!B22</f>
        <v>0.121</v>
      </c>
      <c r="Q17" s="253"/>
      <c r="R17" s="931"/>
      <c r="S17" s="217"/>
      <c r="T17" s="217"/>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31.5" customHeight="1" thickBot="1">
      <c r="B18" s="138"/>
      <c r="C18" s="145"/>
      <c r="D18" s="136"/>
      <c r="E18" s="136"/>
      <c r="F18" s="118"/>
      <c r="G18" s="219"/>
      <c r="H18" s="377"/>
      <c r="I18" s="2081" t="s">
        <v>571</v>
      </c>
      <c r="J18" s="2082"/>
      <c r="K18" s="125"/>
      <c r="L18" s="121"/>
      <c r="M18" s="125"/>
      <c r="N18" s="2071" t="s">
        <v>584</v>
      </c>
      <c r="O18" s="2071"/>
      <c r="P18" s="245">
        <f>P16*P17</f>
        <v>0</v>
      </c>
      <c r="Q18" s="250" t="s">
        <v>583</v>
      </c>
      <c r="R18" s="931"/>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30.75" customHeight="1">
      <c r="B19" s="137" t="s">
        <v>361</v>
      </c>
      <c r="C19" s="314" t="s">
        <v>271</v>
      </c>
      <c r="D19" s="315" t="s">
        <v>384</v>
      </c>
      <c r="E19" s="307"/>
      <c r="F19" s="306"/>
      <c r="G19" s="219"/>
      <c r="H19" s="377"/>
      <c r="I19" s="141" t="s">
        <v>598</v>
      </c>
      <c r="J19" s="144">
        <f>IF(J6=7, Assumptions!H28, IF(J6=6, Assumptions!H27, IF(J6=5, Assumptions!H26, IF(J6=4, Assumptions!H25, IF(J6=3, Assumptions!H24, IF(J6=2, Assumptions!H23, 0))))))</f>
        <v>0</v>
      </c>
      <c r="K19" s="136"/>
      <c r="L19" s="121"/>
      <c r="M19" s="125"/>
      <c r="N19" s="2080" t="s">
        <v>606</v>
      </c>
      <c r="O19" s="2080"/>
      <c r="P19" s="251">
        <f>(P16-P18)*0.15</f>
        <v>0</v>
      </c>
      <c r="Q19" s="254" t="s">
        <v>583</v>
      </c>
      <c r="R19" s="934"/>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4.25">
      <c r="B20" s="316" t="s">
        <v>362</v>
      </c>
      <c r="C20" s="208" t="s">
        <v>266</v>
      </c>
      <c r="D20" s="606">
        <f>IF(SUM(F67:BH67)&gt;0,SUM(F67:BH67)/COUNTIF(F67:BH67,"&gt;0"),0)</f>
        <v>0</v>
      </c>
      <c r="E20" s="121"/>
      <c r="F20" s="136"/>
      <c r="G20" s="219"/>
      <c r="H20" s="377"/>
      <c r="I20" s="139"/>
      <c r="J20" s="139"/>
      <c r="K20" s="136"/>
      <c r="L20" s="121"/>
      <c r="M20" s="125"/>
      <c r="N20" s="2069" t="s">
        <v>607</v>
      </c>
      <c r="O20" s="2069"/>
      <c r="P20" s="251">
        <f>P16-P18-P19</f>
        <v>0</v>
      </c>
      <c r="Q20" s="252" t="s">
        <v>583</v>
      </c>
      <c r="R20" s="934"/>
      <c r="S20" s="217"/>
      <c r="T20" s="217"/>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35.25" customHeight="1">
      <c r="B21" s="316" t="s">
        <v>362</v>
      </c>
      <c r="C21" s="209" t="s">
        <v>363</v>
      </c>
      <c r="D21" s="607">
        <f>SUM(F67:BH67)</f>
        <v>0</v>
      </c>
      <c r="E21" s="121"/>
      <c r="F21" s="136"/>
      <c r="G21" s="219"/>
      <c r="H21" s="377"/>
      <c r="I21" s="141" t="s">
        <v>757</v>
      </c>
      <c r="J21" s="139" t="s">
        <v>758</v>
      </c>
      <c r="K21" s="845"/>
      <c r="L21" s="121"/>
      <c r="M21" s="125"/>
      <c r="N21" s="2071" t="s">
        <v>608</v>
      </c>
      <c r="O21" s="2071"/>
      <c r="P21" s="255">
        <f>IF(P16=0,0,P19/P16)</f>
        <v>0</v>
      </c>
      <c r="Q21" s="250"/>
      <c r="R21" s="931"/>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2.75">
      <c r="B22" s="316" t="s">
        <v>364</v>
      </c>
      <c r="C22" s="209" t="s">
        <v>268</v>
      </c>
      <c r="D22" s="606">
        <f>G72+G90</f>
        <v>0</v>
      </c>
      <c r="E22" s="121"/>
      <c r="F22" s="136"/>
      <c r="G22" s="219"/>
      <c r="H22" s="377"/>
      <c r="I22" s="139" t="s">
        <v>573</v>
      </c>
      <c r="J22" s="146">
        <v>5801</v>
      </c>
      <c r="K22" s="121"/>
      <c r="L22" s="121"/>
      <c r="M22" s="125"/>
      <c r="N22" s="2071" t="s">
        <v>585</v>
      </c>
      <c r="O22" s="2071"/>
      <c r="P22" s="256">
        <f>P21*0.7</f>
        <v>0</v>
      </c>
      <c r="Q22" s="253"/>
      <c r="R22" s="931"/>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27.75" customHeight="1">
      <c r="B23" s="316" t="s">
        <v>364</v>
      </c>
      <c r="C23" s="209" t="s">
        <v>365</v>
      </c>
      <c r="D23" s="606">
        <f>SUM(G72:T72)+SUM(G90:BH90)</f>
        <v>0</v>
      </c>
      <c r="E23" s="121"/>
      <c r="F23" s="136"/>
      <c r="G23" s="219"/>
      <c r="H23" s="377"/>
      <c r="I23" s="139" t="s">
        <v>574</v>
      </c>
      <c r="J23" s="146">
        <v>10897</v>
      </c>
      <c r="K23" s="121"/>
      <c r="L23" s="121"/>
      <c r="M23" s="125"/>
      <c r="N23" s="2071" t="s">
        <v>586</v>
      </c>
      <c r="O23" s="2071"/>
      <c r="P23" s="257">
        <f>IF(J12="Yes", P22*P16, 0)</f>
        <v>0</v>
      </c>
      <c r="Q23" s="258" t="s">
        <v>583</v>
      </c>
      <c r="R23" s="935"/>
      <c r="S23" s="124"/>
      <c r="T23" s="124"/>
      <c r="U23" s="69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32.25" customHeight="1">
      <c r="B24" s="128"/>
      <c r="D24" s="1385"/>
      <c r="E24" s="122"/>
      <c r="F24" s="125"/>
      <c r="G24" s="145"/>
      <c r="H24" s="377"/>
      <c r="I24" s="127"/>
      <c r="J24" s="139"/>
      <c r="K24" s="121"/>
      <c r="L24" s="121"/>
      <c r="M24" s="125"/>
      <c r="N24" s="2072" t="s">
        <v>609</v>
      </c>
      <c r="O24" s="2072"/>
      <c r="P24" s="259">
        <f>P23*0.99/0.138/0.8/293</f>
        <v>0</v>
      </c>
      <c r="Q24" s="260" t="s">
        <v>588</v>
      </c>
      <c r="R24" s="935"/>
      <c r="S24" s="211"/>
      <c r="T24" s="211"/>
      <c r="U24" s="69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25.5" customHeight="1">
      <c r="B25" s="128"/>
      <c r="C25" s="145"/>
      <c r="D25" s="317"/>
      <c r="E25" s="121"/>
      <c r="F25" s="136"/>
      <c r="G25" s="219"/>
      <c r="H25" s="377"/>
      <c r="I25" s="139"/>
      <c r="J25" s="139" t="s">
        <v>575</v>
      </c>
      <c r="K25" s="240"/>
      <c r="L25" s="121"/>
      <c r="M25" s="125"/>
      <c r="N25" s="2069" t="s">
        <v>587</v>
      </c>
      <c r="O25" s="2069"/>
      <c r="P25" s="251">
        <f>IF(Generation_Efficiency&gt;13,P20/Generation_Efficiency, P20/13)</f>
        <v>0</v>
      </c>
      <c r="Q25" s="261" t="s">
        <v>588</v>
      </c>
      <c r="R25" s="934" t="s">
        <v>1307</v>
      </c>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27.75" customHeight="1">
      <c r="B26" s="316"/>
      <c r="C26" s="209"/>
      <c r="D26" s="606"/>
      <c r="E26" s="121"/>
      <c r="F26" s="136"/>
      <c r="G26" s="219"/>
      <c r="H26" s="377"/>
      <c r="I26" s="141" t="s">
        <v>683</v>
      </c>
      <c r="J26" s="343">
        <v>4.9000000000000002E-2</v>
      </c>
      <c r="K26" s="121"/>
      <c r="L26" s="121"/>
      <c r="M26" s="125"/>
      <c r="N26" s="2070" t="s">
        <v>589</v>
      </c>
      <c r="O26" s="2070"/>
      <c r="P26" s="251">
        <f>IF(J5="Yes", P25*0.15, 0)</f>
        <v>0</v>
      </c>
      <c r="Q26" s="262" t="s">
        <v>588</v>
      </c>
      <c r="R26" s="934"/>
      <c r="S26" s="689"/>
      <c r="T26" s="68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34.5" customHeight="1" thickBot="1">
      <c r="B27" s="318"/>
      <c r="C27" s="319"/>
      <c r="D27" s="609"/>
      <c r="E27" s="121"/>
      <c r="F27" s="136"/>
      <c r="G27" s="219"/>
      <c r="H27" s="377"/>
      <c r="I27" s="136"/>
      <c r="J27" s="136"/>
      <c r="K27" s="240"/>
      <c r="L27" s="121"/>
      <c r="M27" s="125"/>
      <c r="N27" s="2069" t="s">
        <v>590</v>
      </c>
      <c r="O27" s="2069"/>
      <c r="P27" s="251">
        <f>P24-P26</f>
        <v>0</v>
      </c>
      <c r="Q27" s="252" t="s">
        <v>588</v>
      </c>
      <c r="R27" s="934"/>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30" customHeight="1" thickBot="1">
      <c r="B28" s="143"/>
      <c r="C28" s="143"/>
      <c r="D28" s="148"/>
      <c r="E28" s="121"/>
      <c r="F28" s="136"/>
      <c r="G28" s="219"/>
      <c r="H28" s="377"/>
      <c r="I28" s="121"/>
      <c r="J28" s="121"/>
      <c r="K28" s="121"/>
      <c r="L28" s="121"/>
      <c r="M28" s="125"/>
      <c r="N28" s="2068" t="s">
        <v>610</v>
      </c>
      <c r="O28" s="2068"/>
      <c r="P28" s="263">
        <f>P14*0.01</f>
        <v>0</v>
      </c>
      <c r="Q28" s="264" t="s">
        <v>611</v>
      </c>
      <c r="R28" s="931"/>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27" customHeight="1">
      <c r="B29" s="149" t="s">
        <v>366</v>
      </c>
      <c r="C29" s="150" t="s">
        <v>271</v>
      </c>
      <c r="D29" s="312" t="s">
        <v>384</v>
      </c>
      <c r="E29" s="307"/>
      <c r="F29" s="306"/>
      <c r="G29" s="219"/>
      <c r="H29" s="377"/>
      <c r="I29" s="136"/>
      <c r="J29" s="136"/>
      <c r="K29" s="136"/>
      <c r="L29" s="136"/>
      <c r="M29" s="125"/>
      <c r="N29" s="2068" t="s">
        <v>612</v>
      </c>
      <c r="O29" s="2068"/>
      <c r="P29" s="265"/>
      <c r="Q29" s="266"/>
      <c r="R29" s="931"/>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590">
        <f>P14</f>
        <v>0</v>
      </c>
      <c r="E30" s="118"/>
      <c r="G30" s="219"/>
      <c r="H30" s="377"/>
      <c r="I30" s="121"/>
      <c r="J30" s="121"/>
      <c r="K30" s="121"/>
      <c r="L30" s="121"/>
      <c r="M30" s="125"/>
      <c r="N30" s="2068" t="s">
        <v>591</v>
      </c>
      <c r="O30" s="2068"/>
      <c r="P30" s="276">
        <f>J9*10000</f>
        <v>0</v>
      </c>
      <c r="Q30" s="264" t="s">
        <v>830</v>
      </c>
      <c r="R30" s="931"/>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4.25">
      <c r="B31" s="128" t="s">
        <v>286</v>
      </c>
      <c r="C31" s="138" t="s">
        <v>333</v>
      </c>
      <c r="D31" s="589"/>
      <c r="E31" s="118"/>
      <c r="G31" s="219"/>
      <c r="H31" s="377"/>
      <c r="I31" s="327"/>
      <c r="J31" s="121"/>
      <c r="K31" s="121"/>
      <c r="L31" s="121"/>
      <c r="M31" s="125"/>
      <c r="N31" s="2072" t="s">
        <v>592</v>
      </c>
      <c r="O31" s="2072"/>
      <c r="P31" s="632">
        <v>20</v>
      </c>
      <c r="Q31" s="246" t="s">
        <v>280</v>
      </c>
      <c r="R31" s="931"/>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28.5" customHeight="1" thickBot="1">
      <c r="B32" s="128" t="s">
        <v>279</v>
      </c>
      <c r="C32" s="138" t="s">
        <v>280</v>
      </c>
      <c r="D32" s="664">
        <v>20</v>
      </c>
      <c r="E32" s="118"/>
      <c r="G32" s="219"/>
      <c r="H32" s="378"/>
      <c r="I32" s="379"/>
      <c r="J32" s="380"/>
      <c r="K32" s="379"/>
      <c r="L32" s="379"/>
      <c r="M32" s="381"/>
      <c r="N32" s="382"/>
      <c r="O32" s="382"/>
      <c r="P32" s="382"/>
      <c r="Q32" s="382"/>
      <c r="R32" s="352"/>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21.75" customHeight="1">
      <c r="B33" s="128" t="s">
        <v>367</v>
      </c>
      <c r="C33" s="151" t="s">
        <v>266</v>
      </c>
      <c r="D33" s="591">
        <f>P20</f>
        <v>0</v>
      </c>
      <c r="E33" s="118"/>
      <c r="G33" s="219"/>
      <c r="H33" s="122"/>
      <c r="I33" s="121"/>
      <c r="J33" s="328"/>
      <c r="K33" s="121"/>
      <c r="L33" s="121"/>
      <c r="M33" s="125"/>
      <c r="N33" s="125"/>
      <c r="O33" s="125"/>
      <c r="P33" s="125"/>
      <c r="Q33" s="125"/>
      <c r="R33" s="12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5" customHeight="1">
      <c r="B34" s="128" t="s">
        <v>368</v>
      </c>
      <c r="C34" s="138" t="str">
        <f>IF(C7="Railbelt South of Alaska Range","mmBtu displaced per year", "gallons displaced per year")</f>
        <v>gallons displaced per year</v>
      </c>
      <c r="D34" s="592">
        <f>P27</f>
        <v>0</v>
      </c>
      <c r="E34" s="118"/>
      <c r="G34" s="219"/>
      <c r="H34" s="122"/>
      <c r="I34" s="121"/>
      <c r="J34" s="328"/>
      <c r="K34" s="121"/>
      <c r="L34" s="121"/>
      <c r="M34" s="125"/>
      <c r="N34" s="125"/>
      <c r="O34" s="125"/>
      <c r="P34" s="125"/>
      <c r="Q34" s="125"/>
      <c r="R34" s="1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369</v>
      </c>
      <c r="C35" s="138" t="s">
        <v>315</v>
      </c>
      <c r="D35" s="593"/>
      <c r="E35" s="118"/>
      <c r="G35" s="219"/>
      <c r="H35" s="122"/>
      <c r="I35" s="136"/>
      <c r="J35" s="136"/>
      <c r="K35" s="121"/>
      <c r="L35" s="121"/>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264</v>
      </c>
      <c r="D36" s="594">
        <f>$P$28</f>
        <v>0</v>
      </c>
      <c r="E36" s="118"/>
      <c r="G36" s="219"/>
      <c r="H36" s="122"/>
      <c r="K36" s="121"/>
      <c r="L36" s="121"/>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596"/>
      <c r="E37" s="118"/>
      <c r="G37" s="219"/>
      <c r="H37" s="122"/>
      <c r="K37" s="121"/>
      <c r="L37" s="121"/>
      <c r="M37" s="125"/>
      <c r="N37" s="125"/>
      <c r="O37" s="125"/>
      <c r="P37" s="125"/>
      <c r="Q37" s="125"/>
      <c r="R37" s="1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595"/>
      <c r="E38" s="118"/>
      <c r="G38" s="219"/>
      <c r="H38" s="122"/>
      <c r="I38" s="136"/>
      <c r="J38" s="136"/>
      <c r="K38" s="121"/>
      <c r="L38" s="121"/>
      <c r="M38" s="125"/>
      <c r="N38" s="125"/>
      <c r="O38" s="125"/>
      <c r="P38" s="125"/>
      <c r="Q38" s="125"/>
      <c r="R38" s="1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597"/>
      <c r="E39" s="118"/>
      <c r="G39" s="219"/>
      <c r="H39" s="122"/>
      <c r="I39" s="358"/>
      <c r="J39" s="358"/>
      <c r="K39" s="121"/>
      <c r="L39" s="122"/>
      <c r="M39" s="125"/>
      <c r="N39" s="125"/>
      <c r="O39" s="125"/>
      <c r="P39" s="125"/>
      <c r="Q39" s="125"/>
      <c r="R39" s="1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3" t="s">
        <v>352</v>
      </c>
      <c r="D40" s="598"/>
      <c r="E40" s="118"/>
      <c r="G40" s="219"/>
      <c r="H40" s="122"/>
      <c r="I40" s="358"/>
      <c r="J40" s="358"/>
      <c r="K40" s="136" t="s">
        <v>814</v>
      </c>
      <c r="L40" s="125"/>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19"/>
      <c r="H41" s="122"/>
      <c r="I41" s="125"/>
      <c r="J41" s="125"/>
      <c r="K41" s="125"/>
      <c r="L41" s="125"/>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04" t="s">
        <v>327</v>
      </c>
      <c r="C42" s="505" t="s">
        <v>271</v>
      </c>
      <c r="D42" s="506" t="s">
        <v>272</v>
      </c>
      <c r="E42" s="118"/>
      <c r="G42" s="219"/>
      <c r="H42" s="122"/>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311" t="s">
        <v>276</v>
      </c>
      <c r="C43" s="138" t="s">
        <v>265</v>
      </c>
      <c r="D43" s="599">
        <v>4.9000000000000002E-2</v>
      </c>
      <c r="E43" s="118" t="s">
        <v>1308</v>
      </c>
      <c r="F43" s="159"/>
      <c r="G43" s="219"/>
      <c r="H43" s="122"/>
      <c r="I43" s="125"/>
      <c r="J43" s="125"/>
      <c r="K43" s="125"/>
      <c r="L43" s="125"/>
      <c r="M43" s="125"/>
      <c r="N43" s="125"/>
      <c r="O43" s="125"/>
      <c r="P43" s="125"/>
      <c r="Q43" s="125"/>
      <c r="R43" s="1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07" t="s">
        <v>328</v>
      </c>
      <c r="C44" s="143" t="s">
        <v>281</v>
      </c>
      <c r="D44" s="614">
        <f>'Community data'!B21</f>
        <v>10.802351555020987</v>
      </c>
      <c r="E44" s="118"/>
      <c r="F44" s="159"/>
      <c r="G44" s="219"/>
      <c r="H44" s="122"/>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19"/>
      <c r="H45" s="122"/>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0" t="s">
        <v>272</v>
      </c>
      <c r="E46" s="118"/>
      <c r="F46" s="159"/>
      <c r="G46" s="219"/>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1" t="s">
        <v>282</v>
      </c>
      <c r="C47" s="138" t="s">
        <v>269</v>
      </c>
      <c r="D47" s="601">
        <f>VLOOKUP(Energy_Region,Assumptions!$A$28:$B$38,2,FALSE)</f>
        <v>1.5507921943016665</v>
      </c>
      <c r="E47" s="118"/>
      <c r="F47" s="136"/>
      <c r="G47" s="219"/>
      <c r="H47" s="122"/>
      <c r="I47" s="125"/>
      <c r="J47" s="125"/>
      <c r="K47" s="125"/>
      <c r="L47" s="125" t="s">
        <v>814</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02">
        <f>Assumptions!B26</f>
        <v>0</v>
      </c>
      <c r="E48" s="118"/>
      <c r="F48" s="159"/>
      <c r="G48" s="219"/>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04"/>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AL54" si="0">F54+1</f>
        <v>2015</v>
      </c>
      <c r="H54" s="171">
        <f t="shared" si="0"/>
        <v>2016</v>
      </c>
      <c r="I54" s="171">
        <f t="shared" si="0"/>
        <v>2017</v>
      </c>
      <c r="J54" s="171">
        <f t="shared" si="0"/>
        <v>2018</v>
      </c>
      <c r="K54" s="171">
        <f t="shared" si="0"/>
        <v>2019</v>
      </c>
      <c r="L54" s="171">
        <f t="shared" si="0"/>
        <v>2020</v>
      </c>
      <c r="M54" s="171">
        <f t="shared" si="0"/>
        <v>2021</v>
      </c>
      <c r="N54" s="171">
        <f>M54+1</f>
        <v>2022</v>
      </c>
      <c r="O54" s="171">
        <f t="shared" si="0"/>
        <v>2023</v>
      </c>
      <c r="P54" s="171">
        <f t="shared" si="0"/>
        <v>2024</v>
      </c>
      <c r="Q54" s="171">
        <f t="shared" si="0"/>
        <v>2025</v>
      </c>
      <c r="R54" s="171">
        <f t="shared" si="0"/>
        <v>2026</v>
      </c>
      <c r="S54" s="306">
        <f>R54+1</f>
        <v>2027</v>
      </c>
      <c r="T54" s="306">
        <f t="shared" si="0"/>
        <v>2028</v>
      </c>
      <c r="U54" s="306">
        <f t="shared" si="0"/>
        <v>2029</v>
      </c>
      <c r="V54" s="306">
        <f t="shared" si="0"/>
        <v>2030</v>
      </c>
      <c r="W54" s="306">
        <f t="shared" si="0"/>
        <v>2031</v>
      </c>
      <c r="X54" s="306">
        <f t="shared" si="0"/>
        <v>2032</v>
      </c>
      <c r="Y54" s="306">
        <f t="shared" si="0"/>
        <v>2033</v>
      </c>
      <c r="Z54" s="306">
        <f t="shared" si="0"/>
        <v>2034</v>
      </c>
      <c r="AA54" s="306">
        <f t="shared" si="0"/>
        <v>2035</v>
      </c>
      <c r="AB54" s="306">
        <f t="shared" si="0"/>
        <v>2036</v>
      </c>
      <c r="AC54" s="306">
        <f t="shared" si="0"/>
        <v>2037</v>
      </c>
      <c r="AD54" s="306">
        <f t="shared" si="0"/>
        <v>2038</v>
      </c>
      <c r="AE54" s="306">
        <f t="shared" si="0"/>
        <v>2039</v>
      </c>
      <c r="AF54" s="306">
        <f t="shared" si="0"/>
        <v>2040</v>
      </c>
      <c r="AG54" s="306">
        <f t="shared" si="0"/>
        <v>2041</v>
      </c>
      <c r="AH54" s="306">
        <f t="shared" si="0"/>
        <v>2042</v>
      </c>
      <c r="AI54" s="306">
        <f t="shared" si="0"/>
        <v>2043</v>
      </c>
      <c r="AJ54" s="306">
        <f t="shared" si="0"/>
        <v>2044</v>
      </c>
      <c r="AK54" s="306">
        <f t="shared" si="0"/>
        <v>2045</v>
      </c>
      <c r="AL54" s="306">
        <f t="shared" si="0"/>
        <v>2046</v>
      </c>
      <c r="AM54" s="306">
        <f t="shared" ref="AM54:BH54" si="1">AL54+1</f>
        <v>2047</v>
      </c>
      <c r="AN54" s="306">
        <f t="shared" si="1"/>
        <v>2048</v>
      </c>
      <c r="AO54" s="306">
        <f t="shared" si="1"/>
        <v>2049</v>
      </c>
      <c r="AP54" s="306">
        <f t="shared" si="1"/>
        <v>2050</v>
      </c>
      <c r="AQ54" s="306">
        <f t="shared" si="1"/>
        <v>2051</v>
      </c>
      <c r="AR54" s="306">
        <f t="shared" si="1"/>
        <v>2052</v>
      </c>
      <c r="AS54" s="306">
        <f t="shared" si="1"/>
        <v>2053</v>
      </c>
      <c r="AT54" s="306">
        <f t="shared" si="1"/>
        <v>2054</v>
      </c>
      <c r="AU54" s="306">
        <f t="shared" si="1"/>
        <v>2055</v>
      </c>
      <c r="AV54" s="306">
        <f t="shared" si="1"/>
        <v>2056</v>
      </c>
      <c r="AW54" s="306">
        <f t="shared" si="1"/>
        <v>2057</v>
      </c>
      <c r="AX54" s="306">
        <f t="shared" si="1"/>
        <v>2058</v>
      </c>
      <c r="AY54" s="306">
        <f t="shared" si="1"/>
        <v>2059</v>
      </c>
      <c r="AZ54" s="306">
        <f t="shared" si="1"/>
        <v>2060</v>
      </c>
      <c r="BA54" s="306">
        <f t="shared" si="1"/>
        <v>2061</v>
      </c>
      <c r="BB54" s="306">
        <f t="shared" si="1"/>
        <v>2062</v>
      </c>
      <c r="BC54" s="306">
        <f t="shared" si="1"/>
        <v>2063</v>
      </c>
      <c r="BD54" s="306">
        <f t="shared" si="1"/>
        <v>2064</v>
      </c>
      <c r="BE54" s="306">
        <f t="shared" si="1"/>
        <v>2065</v>
      </c>
      <c r="BF54" s="306">
        <f t="shared" si="1"/>
        <v>2066</v>
      </c>
      <c r="BG54" s="306">
        <f t="shared" si="1"/>
        <v>2067</v>
      </c>
      <c r="BH54" s="306">
        <f t="shared" si="1"/>
        <v>2068</v>
      </c>
      <c r="BI54" s="69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AK57" si="2">F78-F69</f>
        <v>0</v>
      </c>
      <c r="G57" s="178">
        <f t="shared" si="2"/>
        <v>0</v>
      </c>
      <c r="H57" s="178">
        <f t="shared" si="2"/>
        <v>0</v>
      </c>
      <c r="I57" s="178">
        <f t="shared" si="2"/>
        <v>0</v>
      </c>
      <c r="J57" s="178">
        <f t="shared" si="2"/>
        <v>0</v>
      </c>
      <c r="K57" s="178">
        <f t="shared" si="2"/>
        <v>0</v>
      </c>
      <c r="L57" s="178">
        <f t="shared" si="2"/>
        <v>0</v>
      </c>
      <c r="M57" s="178">
        <f t="shared" si="2"/>
        <v>0</v>
      </c>
      <c r="N57" s="178">
        <f t="shared" si="2"/>
        <v>0</v>
      </c>
      <c r="O57" s="178">
        <f t="shared" si="2"/>
        <v>0</v>
      </c>
      <c r="P57" s="178">
        <f t="shared" si="2"/>
        <v>0</v>
      </c>
      <c r="Q57" s="178">
        <f t="shared" si="2"/>
        <v>0</v>
      </c>
      <c r="R57" s="178">
        <f t="shared" si="2"/>
        <v>0</v>
      </c>
      <c r="S57" s="178">
        <f t="shared" si="2"/>
        <v>0</v>
      </c>
      <c r="T57" s="178">
        <f t="shared" si="2"/>
        <v>0</v>
      </c>
      <c r="U57" s="178">
        <f t="shared" si="2"/>
        <v>0</v>
      </c>
      <c r="V57" s="178">
        <f t="shared" si="2"/>
        <v>0</v>
      </c>
      <c r="W57" s="178">
        <f t="shared" si="2"/>
        <v>0</v>
      </c>
      <c r="X57" s="178">
        <f t="shared" si="2"/>
        <v>0</v>
      </c>
      <c r="Y57" s="178">
        <f t="shared" si="2"/>
        <v>0</v>
      </c>
      <c r="Z57" s="178">
        <f t="shared" si="2"/>
        <v>0</v>
      </c>
      <c r="AA57" s="178">
        <f t="shared" si="2"/>
        <v>0</v>
      </c>
      <c r="AB57" s="178">
        <f t="shared" si="2"/>
        <v>0</v>
      </c>
      <c r="AC57" s="178">
        <f t="shared" si="2"/>
        <v>0</v>
      </c>
      <c r="AD57" s="178">
        <f t="shared" si="2"/>
        <v>0</v>
      </c>
      <c r="AE57" s="178">
        <f t="shared" si="2"/>
        <v>0</v>
      </c>
      <c r="AF57" s="178">
        <f t="shared" si="2"/>
        <v>0</v>
      </c>
      <c r="AG57" s="178">
        <f t="shared" si="2"/>
        <v>0</v>
      </c>
      <c r="AH57" s="178">
        <f t="shared" si="2"/>
        <v>0</v>
      </c>
      <c r="AI57" s="178">
        <f t="shared" si="2"/>
        <v>0</v>
      </c>
      <c r="AJ57" s="178">
        <f t="shared" si="2"/>
        <v>0</v>
      </c>
      <c r="AK57" s="178">
        <f t="shared" si="2"/>
        <v>0</v>
      </c>
      <c r="AL57" s="178">
        <f t="shared" ref="AL57:BH57" si="3">AL78-AL69</f>
        <v>0</v>
      </c>
      <c r="AM57" s="178">
        <f t="shared" si="3"/>
        <v>0</v>
      </c>
      <c r="AN57" s="178">
        <f t="shared" si="3"/>
        <v>0</v>
      </c>
      <c r="AO57" s="178">
        <f t="shared" si="3"/>
        <v>0</v>
      </c>
      <c r="AP57" s="178">
        <f t="shared" si="3"/>
        <v>0</v>
      </c>
      <c r="AQ57" s="178">
        <f t="shared" si="3"/>
        <v>0</v>
      </c>
      <c r="AR57" s="178">
        <f t="shared" si="3"/>
        <v>0</v>
      </c>
      <c r="AS57" s="178">
        <f t="shared" si="3"/>
        <v>0</v>
      </c>
      <c r="AT57" s="178">
        <f t="shared" si="3"/>
        <v>0</v>
      </c>
      <c r="AU57" s="178">
        <f t="shared" si="3"/>
        <v>0</v>
      </c>
      <c r="AV57" s="178">
        <f t="shared" si="3"/>
        <v>0</v>
      </c>
      <c r="AW57" s="178">
        <f t="shared" si="3"/>
        <v>0</v>
      </c>
      <c r="AX57" s="178">
        <f t="shared" si="3"/>
        <v>0</v>
      </c>
      <c r="AY57" s="178">
        <f t="shared" si="3"/>
        <v>0</v>
      </c>
      <c r="AZ57" s="178">
        <f t="shared" si="3"/>
        <v>0</v>
      </c>
      <c r="BA57" s="178">
        <f t="shared" si="3"/>
        <v>0</v>
      </c>
      <c r="BB57" s="178">
        <f t="shared" si="3"/>
        <v>0</v>
      </c>
      <c r="BC57" s="178">
        <f t="shared" si="3"/>
        <v>0</v>
      </c>
      <c r="BD57" s="178">
        <f t="shared" si="3"/>
        <v>0</v>
      </c>
      <c r="BE57" s="178">
        <f t="shared" si="3"/>
        <v>0</v>
      </c>
      <c r="BF57" s="178">
        <f t="shared" si="3"/>
        <v>0</v>
      </c>
      <c r="BG57" s="178">
        <f t="shared" si="3"/>
        <v>0</v>
      </c>
      <c r="BH57" s="178">
        <f t="shared" si="3"/>
        <v>0</v>
      </c>
      <c r="BI57" s="175">
        <f>NPV($D$49,F57:BH57)</f>
        <v>0</v>
      </c>
      <c r="BJ57" s="121"/>
      <c r="BK57" s="121"/>
      <c r="BL57" s="121"/>
      <c r="BM57" s="121"/>
      <c r="BN57" s="121"/>
      <c r="BO57" s="121"/>
    </row>
    <row r="58" spans="2:67" ht="12.75">
      <c r="C58" s="177"/>
      <c r="D58" s="136" t="s">
        <v>626</v>
      </c>
      <c r="E58" s="121" t="s">
        <v>264</v>
      </c>
      <c r="F58" s="178">
        <f>F95-F87</f>
        <v>0</v>
      </c>
      <c r="G58" s="410">
        <f>G95</f>
        <v>0</v>
      </c>
      <c r="H58" s="410">
        <f t="shared" ref="H58:BH58" si="4">H95</f>
        <v>0</v>
      </c>
      <c r="I58" s="410">
        <f t="shared" si="4"/>
        <v>0</v>
      </c>
      <c r="J58" s="410">
        <f t="shared" si="4"/>
        <v>0</v>
      </c>
      <c r="K58" s="410">
        <f t="shared" si="4"/>
        <v>0</v>
      </c>
      <c r="L58" s="410">
        <f t="shared" si="4"/>
        <v>0</v>
      </c>
      <c r="M58" s="410">
        <f t="shared" si="4"/>
        <v>0</v>
      </c>
      <c r="N58" s="410">
        <f t="shared" si="4"/>
        <v>0</v>
      </c>
      <c r="O58" s="410">
        <f t="shared" si="4"/>
        <v>0</v>
      </c>
      <c r="P58" s="410">
        <f t="shared" si="4"/>
        <v>0</v>
      </c>
      <c r="Q58" s="410">
        <f t="shared" si="4"/>
        <v>0</v>
      </c>
      <c r="R58" s="410">
        <f t="shared" si="4"/>
        <v>0</v>
      </c>
      <c r="S58" s="410">
        <f t="shared" si="4"/>
        <v>0</v>
      </c>
      <c r="T58" s="410">
        <f t="shared" si="4"/>
        <v>0</v>
      </c>
      <c r="U58" s="410">
        <f t="shared" si="4"/>
        <v>0</v>
      </c>
      <c r="V58" s="410">
        <f t="shared" si="4"/>
        <v>0</v>
      </c>
      <c r="W58" s="410">
        <f t="shared" si="4"/>
        <v>0</v>
      </c>
      <c r="X58" s="410">
        <f t="shared" si="4"/>
        <v>0</v>
      </c>
      <c r="Y58" s="410">
        <f t="shared" si="4"/>
        <v>0</v>
      </c>
      <c r="Z58" s="410">
        <f t="shared" si="4"/>
        <v>0</v>
      </c>
      <c r="AA58" s="410">
        <f t="shared" si="4"/>
        <v>0</v>
      </c>
      <c r="AB58" s="410">
        <f t="shared" si="4"/>
        <v>0</v>
      </c>
      <c r="AC58" s="410">
        <f t="shared" si="4"/>
        <v>0</v>
      </c>
      <c r="AD58" s="410">
        <f t="shared" si="4"/>
        <v>0</v>
      </c>
      <c r="AE58" s="410">
        <f t="shared" si="4"/>
        <v>0</v>
      </c>
      <c r="AF58" s="410">
        <f t="shared" si="4"/>
        <v>0</v>
      </c>
      <c r="AG58" s="410">
        <f t="shared" si="4"/>
        <v>0</v>
      </c>
      <c r="AH58" s="410">
        <f t="shared" si="4"/>
        <v>0</v>
      </c>
      <c r="AI58" s="410">
        <f t="shared" si="4"/>
        <v>0</v>
      </c>
      <c r="AJ58" s="410">
        <f t="shared" si="4"/>
        <v>0</v>
      </c>
      <c r="AK58" s="410">
        <f t="shared" si="4"/>
        <v>0</v>
      </c>
      <c r="AL58" s="410">
        <f t="shared" si="4"/>
        <v>0</v>
      </c>
      <c r="AM58" s="410">
        <f t="shared" si="4"/>
        <v>0</v>
      </c>
      <c r="AN58" s="410">
        <f t="shared" si="4"/>
        <v>0</v>
      </c>
      <c r="AO58" s="410">
        <f t="shared" si="4"/>
        <v>0</v>
      </c>
      <c r="AP58" s="410">
        <f t="shared" si="4"/>
        <v>0</v>
      </c>
      <c r="AQ58" s="410">
        <f t="shared" si="4"/>
        <v>0</v>
      </c>
      <c r="AR58" s="410">
        <f t="shared" si="4"/>
        <v>0</v>
      </c>
      <c r="AS58" s="410">
        <f t="shared" si="4"/>
        <v>0</v>
      </c>
      <c r="AT58" s="410">
        <f t="shared" si="4"/>
        <v>0</v>
      </c>
      <c r="AU58" s="410">
        <f t="shared" si="4"/>
        <v>0</v>
      </c>
      <c r="AV58" s="410">
        <f t="shared" si="4"/>
        <v>0</v>
      </c>
      <c r="AW58" s="410">
        <f t="shared" si="4"/>
        <v>0</v>
      </c>
      <c r="AX58" s="410">
        <f t="shared" si="4"/>
        <v>0</v>
      </c>
      <c r="AY58" s="410">
        <f t="shared" si="4"/>
        <v>0</v>
      </c>
      <c r="AZ58" s="410">
        <f t="shared" si="4"/>
        <v>0</v>
      </c>
      <c r="BA58" s="410">
        <f t="shared" si="4"/>
        <v>0</v>
      </c>
      <c r="BB58" s="410">
        <f t="shared" si="4"/>
        <v>0</v>
      </c>
      <c r="BC58" s="410">
        <f t="shared" si="4"/>
        <v>0</v>
      </c>
      <c r="BD58" s="410">
        <f t="shared" si="4"/>
        <v>0</v>
      </c>
      <c r="BE58" s="410">
        <f t="shared" si="4"/>
        <v>0</v>
      </c>
      <c r="BF58" s="410">
        <f t="shared" si="4"/>
        <v>0</v>
      </c>
      <c r="BG58" s="410">
        <f t="shared" si="4"/>
        <v>0</v>
      </c>
      <c r="BH58" s="410">
        <f t="shared" si="4"/>
        <v>0</v>
      </c>
      <c r="BI58" s="175">
        <f>NPV($D$49,F58:BH58)</f>
        <v>0</v>
      </c>
      <c r="BJ58" s="121"/>
      <c r="BK58" s="121"/>
      <c r="BL58" s="121"/>
      <c r="BM58" s="121"/>
      <c r="BN58" s="121"/>
      <c r="BO58" s="121"/>
    </row>
    <row r="59" spans="2:67" ht="12.75">
      <c r="C59" s="177"/>
      <c r="D59" s="179" t="s">
        <v>627</v>
      </c>
      <c r="E59" s="180" t="s">
        <v>264</v>
      </c>
      <c r="F59" s="178">
        <f t="shared" ref="F59:AK59" si="5">F57+F58</f>
        <v>0</v>
      </c>
      <c r="G59" s="178">
        <f t="shared" si="5"/>
        <v>0</v>
      </c>
      <c r="H59" s="178">
        <f t="shared" si="5"/>
        <v>0</v>
      </c>
      <c r="I59" s="178">
        <f t="shared" si="5"/>
        <v>0</v>
      </c>
      <c r="J59" s="178">
        <f t="shared" si="5"/>
        <v>0</v>
      </c>
      <c r="K59" s="178">
        <f t="shared" si="5"/>
        <v>0</v>
      </c>
      <c r="L59" s="178">
        <f t="shared" si="5"/>
        <v>0</v>
      </c>
      <c r="M59" s="178">
        <f t="shared" si="5"/>
        <v>0</v>
      </c>
      <c r="N59" s="178">
        <f t="shared" si="5"/>
        <v>0</v>
      </c>
      <c r="O59" s="178">
        <f t="shared" si="5"/>
        <v>0</v>
      </c>
      <c r="P59" s="178">
        <f t="shared" si="5"/>
        <v>0</v>
      </c>
      <c r="Q59" s="178">
        <f t="shared" si="5"/>
        <v>0</v>
      </c>
      <c r="R59" s="178">
        <f t="shared" si="5"/>
        <v>0</v>
      </c>
      <c r="S59" s="178">
        <f t="shared" si="5"/>
        <v>0</v>
      </c>
      <c r="T59" s="178">
        <f t="shared" si="5"/>
        <v>0</v>
      </c>
      <c r="U59" s="178">
        <f t="shared" si="5"/>
        <v>0</v>
      </c>
      <c r="V59" s="178">
        <f t="shared" si="5"/>
        <v>0</v>
      </c>
      <c r="W59" s="178">
        <f t="shared" si="5"/>
        <v>0</v>
      </c>
      <c r="X59" s="178">
        <f t="shared" si="5"/>
        <v>0</v>
      </c>
      <c r="Y59" s="178">
        <f t="shared" si="5"/>
        <v>0</v>
      </c>
      <c r="Z59" s="178">
        <f t="shared" si="5"/>
        <v>0</v>
      </c>
      <c r="AA59" s="178">
        <f t="shared" si="5"/>
        <v>0</v>
      </c>
      <c r="AB59" s="178">
        <f t="shared" si="5"/>
        <v>0</v>
      </c>
      <c r="AC59" s="178">
        <f t="shared" si="5"/>
        <v>0</v>
      </c>
      <c r="AD59" s="178">
        <f t="shared" si="5"/>
        <v>0</v>
      </c>
      <c r="AE59" s="178">
        <f t="shared" si="5"/>
        <v>0</v>
      </c>
      <c r="AF59" s="178">
        <f t="shared" si="5"/>
        <v>0</v>
      </c>
      <c r="AG59" s="178">
        <f t="shared" si="5"/>
        <v>0</v>
      </c>
      <c r="AH59" s="178">
        <f t="shared" si="5"/>
        <v>0</v>
      </c>
      <c r="AI59" s="178">
        <f t="shared" si="5"/>
        <v>0</v>
      </c>
      <c r="AJ59" s="178">
        <f t="shared" si="5"/>
        <v>0</v>
      </c>
      <c r="AK59" s="178">
        <f t="shared" si="5"/>
        <v>0</v>
      </c>
      <c r="AL59" s="178">
        <f t="shared" ref="AL59:BH59" si="6">AL57+AL58</f>
        <v>0</v>
      </c>
      <c r="AM59" s="178">
        <f t="shared" si="6"/>
        <v>0</v>
      </c>
      <c r="AN59" s="178">
        <f t="shared" si="6"/>
        <v>0</v>
      </c>
      <c r="AO59" s="178">
        <f t="shared" si="6"/>
        <v>0</v>
      </c>
      <c r="AP59" s="178">
        <f t="shared" si="6"/>
        <v>0</v>
      </c>
      <c r="AQ59" s="178">
        <f t="shared" si="6"/>
        <v>0</v>
      </c>
      <c r="AR59" s="178">
        <f t="shared" si="6"/>
        <v>0</v>
      </c>
      <c r="AS59" s="178">
        <f t="shared" si="6"/>
        <v>0</v>
      </c>
      <c r="AT59" s="178">
        <f t="shared" si="6"/>
        <v>0</v>
      </c>
      <c r="AU59" s="178">
        <f t="shared" si="6"/>
        <v>0</v>
      </c>
      <c r="AV59" s="178">
        <f t="shared" si="6"/>
        <v>0</v>
      </c>
      <c r="AW59" s="178">
        <f t="shared" si="6"/>
        <v>0</v>
      </c>
      <c r="AX59" s="178">
        <f t="shared" si="6"/>
        <v>0</v>
      </c>
      <c r="AY59" s="178">
        <f t="shared" si="6"/>
        <v>0</v>
      </c>
      <c r="AZ59" s="178">
        <f t="shared" si="6"/>
        <v>0</v>
      </c>
      <c r="BA59" s="178">
        <f t="shared" si="6"/>
        <v>0</v>
      </c>
      <c r="BB59" s="178">
        <f t="shared" si="6"/>
        <v>0</v>
      </c>
      <c r="BC59" s="178">
        <f t="shared" si="6"/>
        <v>0</v>
      </c>
      <c r="BD59" s="178">
        <f t="shared" si="6"/>
        <v>0</v>
      </c>
      <c r="BE59" s="178">
        <f t="shared" si="6"/>
        <v>0</v>
      </c>
      <c r="BF59" s="178">
        <f t="shared" si="6"/>
        <v>0</v>
      </c>
      <c r="BG59" s="178">
        <f t="shared" si="6"/>
        <v>0</v>
      </c>
      <c r="BH59" s="178">
        <f t="shared" si="6"/>
        <v>0</v>
      </c>
      <c r="BI59" s="175">
        <f>NPV($D$49,F59:BH59)</f>
        <v>0</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AK62" si="7">F59-F55</f>
        <v>0</v>
      </c>
      <c r="G62" s="185">
        <f t="shared" si="7"/>
        <v>0</v>
      </c>
      <c r="H62" s="185">
        <f t="shared" si="7"/>
        <v>0</v>
      </c>
      <c r="I62" s="185">
        <f t="shared" si="7"/>
        <v>0</v>
      </c>
      <c r="J62" s="185">
        <f t="shared" si="7"/>
        <v>0</v>
      </c>
      <c r="K62" s="185">
        <f t="shared" si="7"/>
        <v>0</v>
      </c>
      <c r="L62" s="185">
        <f t="shared" si="7"/>
        <v>0</v>
      </c>
      <c r="M62" s="185">
        <f t="shared" si="7"/>
        <v>0</v>
      </c>
      <c r="N62" s="185">
        <f t="shared" si="7"/>
        <v>0</v>
      </c>
      <c r="O62" s="185">
        <f t="shared" si="7"/>
        <v>0</v>
      </c>
      <c r="P62" s="185">
        <f t="shared" si="7"/>
        <v>0</v>
      </c>
      <c r="Q62" s="185">
        <f t="shared" si="7"/>
        <v>0</v>
      </c>
      <c r="R62" s="185">
        <f t="shared" si="7"/>
        <v>0</v>
      </c>
      <c r="S62" s="696">
        <f t="shared" si="7"/>
        <v>0</v>
      </c>
      <c r="T62" s="696">
        <f t="shared" si="7"/>
        <v>0</v>
      </c>
      <c r="U62" s="696">
        <f t="shared" si="7"/>
        <v>0</v>
      </c>
      <c r="V62" s="696">
        <f t="shared" si="7"/>
        <v>0</v>
      </c>
      <c r="W62" s="696">
        <f t="shared" si="7"/>
        <v>0</v>
      </c>
      <c r="X62" s="696">
        <f t="shared" si="7"/>
        <v>0</v>
      </c>
      <c r="Y62" s="696">
        <f t="shared" si="7"/>
        <v>0</v>
      </c>
      <c r="Z62" s="696">
        <f t="shared" si="7"/>
        <v>0</v>
      </c>
      <c r="AA62" s="696">
        <f t="shared" si="7"/>
        <v>0</v>
      </c>
      <c r="AB62" s="696">
        <f t="shared" si="7"/>
        <v>0</v>
      </c>
      <c r="AC62" s="696">
        <f t="shared" si="7"/>
        <v>0</v>
      </c>
      <c r="AD62" s="696">
        <f t="shared" si="7"/>
        <v>0</v>
      </c>
      <c r="AE62" s="696">
        <f t="shared" si="7"/>
        <v>0</v>
      </c>
      <c r="AF62" s="696">
        <f t="shared" si="7"/>
        <v>0</v>
      </c>
      <c r="AG62" s="696">
        <f t="shared" si="7"/>
        <v>0</v>
      </c>
      <c r="AH62" s="696">
        <f t="shared" si="7"/>
        <v>0</v>
      </c>
      <c r="AI62" s="696">
        <f t="shared" si="7"/>
        <v>0</v>
      </c>
      <c r="AJ62" s="696">
        <f t="shared" si="7"/>
        <v>0</v>
      </c>
      <c r="AK62" s="696">
        <f t="shared" si="7"/>
        <v>0</v>
      </c>
      <c r="AL62" s="696">
        <f t="shared" ref="AL62:BH62" si="8">AL59-AL55</f>
        <v>0</v>
      </c>
      <c r="AM62" s="696">
        <f t="shared" si="8"/>
        <v>0</v>
      </c>
      <c r="AN62" s="696">
        <f t="shared" si="8"/>
        <v>0</v>
      </c>
      <c r="AO62" s="696">
        <f t="shared" si="8"/>
        <v>0</v>
      </c>
      <c r="AP62" s="696">
        <f t="shared" si="8"/>
        <v>0</v>
      </c>
      <c r="AQ62" s="696">
        <f t="shared" si="8"/>
        <v>0</v>
      </c>
      <c r="AR62" s="696">
        <f t="shared" si="8"/>
        <v>0</v>
      </c>
      <c r="AS62" s="696">
        <f t="shared" si="8"/>
        <v>0</v>
      </c>
      <c r="AT62" s="696">
        <f t="shared" si="8"/>
        <v>0</v>
      </c>
      <c r="AU62" s="696">
        <f t="shared" si="8"/>
        <v>0</v>
      </c>
      <c r="AV62" s="696">
        <f t="shared" si="8"/>
        <v>0</v>
      </c>
      <c r="AW62" s="696">
        <f t="shared" si="8"/>
        <v>0</v>
      </c>
      <c r="AX62" s="696">
        <f t="shared" si="8"/>
        <v>0</v>
      </c>
      <c r="AY62" s="696">
        <f t="shared" si="8"/>
        <v>0</v>
      </c>
      <c r="AZ62" s="696">
        <f t="shared" si="8"/>
        <v>0</v>
      </c>
      <c r="BA62" s="696">
        <f t="shared" si="8"/>
        <v>0</v>
      </c>
      <c r="BB62" s="696">
        <f t="shared" si="8"/>
        <v>0</v>
      </c>
      <c r="BC62" s="696">
        <f t="shared" si="8"/>
        <v>0</v>
      </c>
      <c r="BD62" s="696">
        <f t="shared" si="8"/>
        <v>0</v>
      </c>
      <c r="BE62" s="696">
        <f t="shared" si="8"/>
        <v>0</v>
      </c>
      <c r="BF62" s="696">
        <f t="shared" si="8"/>
        <v>0</v>
      </c>
      <c r="BG62" s="696">
        <f t="shared" si="8"/>
        <v>0</v>
      </c>
      <c r="BH62" s="696">
        <f t="shared" si="8"/>
        <v>0</v>
      </c>
      <c r="BI62" s="175">
        <f>NPV($D$49,F62:BH62)</f>
        <v>0</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AL65" si="9">F65+1</f>
        <v>2015</v>
      </c>
      <c r="H65" s="171">
        <f t="shared" si="9"/>
        <v>2016</v>
      </c>
      <c r="I65" s="171">
        <f t="shared" si="9"/>
        <v>2017</v>
      </c>
      <c r="J65" s="171">
        <f t="shared" si="9"/>
        <v>2018</v>
      </c>
      <c r="K65" s="171">
        <f t="shared" si="9"/>
        <v>2019</v>
      </c>
      <c r="L65" s="171">
        <f t="shared" si="9"/>
        <v>2020</v>
      </c>
      <c r="M65" s="171">
        <f t="shared" si="9"/>
        <v>2021</v>
      </c>
      <c r="N65" s="171">
        <f>M65+1</f>
        <v>2022</v>
      </c>
      <c r="O65" s="171">
        <f t="shared" si="9"/>
        <v>2023</v>
      </c>
      <c r="P65" s="171">
        <f t="shared" si="9"/>
        <v>2024</v>
      </c>
      <c r="Q65" s="171">
        <f t="shared" si="9"/>
        <v>2025</v>
      </c>
      <c r="R65" s="171">
        <f t="shared" si="9"/>
        <v>2026</v>
      </c>
      <c r="S65" s="306">
        <f>R65+1</f>
        <v>2027</v>
      </c>
      <c r="T65" s="306">
        <f t="shared" si="9"/>
        <v>2028</v>
      </c>
      <c r="U65" s="306">
        <f t="shared" si="9"/>
        <v>2029</v>
      </c>
      <c r="V65" s="306">
        <f t="shared" si="9"/>
        <v>2030</v>
      </c>
      <c r="W65" s="306">
        <f t="shared" si="9"/>
        <v>2031</v>
      </c>
      <c r="X65" s="306">
        <f t="shared" si="9"/>
        <v>2032</v>
      </c>
      <c r="Y65" s="306">
        <f t="shared" si="9"/>
        <v>2033</v>
      </c>
      <c r="Z65" s="306">
        <f t="shared" si="9"/>
        <v>2034</v>
      </c>
      <c r="AA65" s="306">
        <f t="shared" si="9"/>
        <v>2035</v>
      </c>
      <c r="AB65" s="306">
        <f t="shared" si="9"/>
        <v>2036</v>
      </c>
      <c r="AC65" s="306">
        <f t="shared" si="9"/>
        <v>2037</v>
      </c>
      <c r="AD65" s="306">
        <f t="shared" si="9"/>
        <v>2038</v>
      </c>
      <c r="AE65" s="306">
        <f t="shared" si="9"/>
        <v>2039</v>
      </c>
      <c r="AF65" s="306">
        <f t="shared" si="9"/>
        <v>2040</v>
      </c>
      <c r="AG65" s="306">
        <f t="shared" si="9"/>
        <v>2041</v>
      </c>
      <c r="AH65" s="306">
        <f t="shared" si="9"/>
        <v>2042</v>
      </c>
      <c r="AI65" s="306">
        <f t="shared" si="9"/>
        <v>2043</v>
      </c>
      <c r="AJ65" s="306">
        <f t="shared" si="9"/>
        <v>2044</v>
      </c>
      <c r="AK65" s="306">
        <f t="shared" si="9"/>
        <v>2045</v>
      </c>
      <c r="AL65" s="306">
        <f t="shared" si="9"/>
        <v>2046</v>
      </c>
      <c r="AM65" s="306">
        <f t="shared" ref="AM65:BH65" si="10">AL65+1</f>
        <v>2047</v>
      </c>
      <c r="AN65" s="306">
        <f t="shared" si="10"/>
        <v>2048</v>
      </c>
      <c r="AO65" s="306">
        <f t="shared" si="10"/>
        <v>2049</v>
      </c>
      <c r="AP65" s="306">
        <f t="shared" si="10"/>
        <v>2050</v>
      </c>
      <c r="AQ65" s="306">
        <f t="shared" si="10"/>
        <v>2051</v>
      </c>
      <c r="AR65" s="306">
        <f t="shared" si="10"/>
        <v>2052</v>
      </c>
      <c r="AS65" s="306">
        <f t="shared" si="10"/>
        <v>2053</v>
      </c>
      <c r="AT65" s="306">
        <f t="shared" si="10"/>
        <v>2054</v>
      </c>
      <c r="AU65" s="306">
        <f t="shared" si="10"/>
        <v>2055</v>
      </c>
      <c r="AV65" s="306">
        <f t="shared" si="10"/>
        <v>2056</v>
      </c>
      <c r="AW65" s="306">
        <f t="shared" si="10"/>
        <v>2057</v>
      </c>
      <c r="AX65" s="306">
        <f t="shared" si="10"/>
        <v>2058</v>
      </c>
      <c r="AY65" s="306">
        <f t="shared" si="10"/>
        <v>2059</v>
      </c>
      <c r="AZ65" s="306">
        <f t="shared" si="10"/>
        <v>2060</v>
      </c>
      <c r="BA65" s="306">
        <f t="shared" si="10"/>
        <v>2061</v>
      </c>
      <c r="BB65" s="306">
        <f t="shared" si="10"/>
        <v>2062</v>
      </c>
      <c r="BC65" s="306">
        <f t="shared" si="10"/>
        <v>2063</v>
      </c>
      <c r="BD65" s="306">
        <f t="shared" si="10"/>
        <v>2064</v>
      </c>
      <c r="BE65" s="306">
        <f t="shared" si="10"/>
        <v>2065</v>
      </c>
      <c r="BF65" s="306">
        <f t="shared" si="10"/>
        <v>2066</v>
      </c>
      <c r="BG65" s="306">
        <f t="shared" si="10"/>
        <v>2067</v>
      </c>
      <c r="BH65" s="306">
        <f t="shared" si="10"/>
        <v>2068</v>
      </c>
      <c r="BI65" s="695" t="s">
        <v>4</v>
      </c>
      <c r="BJ65" s="121"/>
      <c r="BK65" s="121"/>
      <c r="BL65" s="121"/>
      <c r="BM65" s="121"/>
      <c r="BN65" s="121"/>
      <c r="BO65" s="121"/>
    </row>
    <row r="66" spans="2:67" ht="12.75">
      <c r="C66" s="2005" t="s">
        <v>284</v>
      </c>
      <c r="D66" s="2006"/>
      <c r="E66" s="200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IF(AND(F54&gt;=$D$31,F54&lt;=($D$31+$D$32)),$P$20,0)</f>
        <v>0</v>
      </c>
      <c r="G67" s="189">
        <f>IF(AND(G54&gt;=$D$31,G54&lt;=($D$31+$D$32)),$P$20,0)</f>
        <v>0</v>
      </c>
      <c r="H67" s="189">
        <f t="shared" ref="H67:BH67" si="11">IF(AND(H54&gt;=$D$31,H54&lt;=($D$31+$D$32)),$P$20,0)</f>
        <v>0</v>
      </c>
      <c r="I67" s="189">
        <f t="shared" si="11"/>
        <v>0</v>
      </c>
      <c r="J67" s="189">
        <f t="shared" si="11"/>
        <v>0</v>
      </c>
      <c r="K67" s="189">
        <f t="shared" si="11"/>
        <v>0</v>
      </c>
      <c r="L67" s="189">
        <f t="shared" si="11"/>
        <v>0</v>
      </c>
      <c r="M67" s="189">
        <f t="shared" si="11"/>
        <v>0</v>
      </c>
      <c r="N67" s="189">
        <f t="shared" si="11"/>
        <v>0</v>
      </c>
      <c r="O67" s="189">
        <f t="shared" si="11"/>
        <v>0</v>
      </c>
      <c r="P67" s="189">
        <f t="shared" si="11"/>
        <v>0</v>
      </c>
      <c r="Q67" s="189">
        <f t="shared" si="11"/>
        <v>0</v>
      </c>
      <c r="R67" s="189">
        <f t="shared" si="11"/>
        <v>0</v>
      </c>
      <c r="S67" s="189">
        <f t="shared" si="11"/>
        <v>0</v>
      </c>
      <c r="T67" s="189">
        <f t="shared" si="11"/>
        <v>0</v>
      </c>
      <c r="U67" s="189">
        <f t="shared" si="11"/>
        <v>0</v>
      </c>
      <c r="V67" s="189">
        <f t="shared" si="11"/>
        <v>0</v>
      </c>
      <c r="W67" s="189">
        <f t="shared" si="11"/>
        <v>0</v>
      </c>
      <c r="X67" s="189">
        <f t="shared" si="11"/>
        <v>0</v>
      </c>
      <c r="Y67" s="189">
        <f t="shared" si="11"/>
        <v>0</v>
      </c>
      <c r="Z67" s="189">
        <f t="shared" si="11"/>
        <v>0</v>
      </c>
      <c r="AA67" s="189">
        <f t="shared" si="11"/>
        <v>0</v>
      </c>
      <c r="AB67" s="189">
        <f t="shared" si="11"/>
        <v>0</v>
      </c>
      <c r="AC67" s="189">
        <f t="shared" si="11"/>
        <v>0</v>
      </c>
      <c r="AD67" s="189">
        <f t="shared" si="11"/>
        <v>0</v>
      </c>
      <c r="AE67" s="189">
        <f t="shared" si="11"/>
        <v>0</v>
      </c>
      <c r="AF67" s="189">
        <f t="shared" si="11"/>
        <v>0</v>
      </c>
      <c r="AG67" s="189">
        <f t="shared" si="11"/>
        <v>0</v>
      </c>
      <c r="AH67" s="189">
        <f t="shared" si="11"/>
        <v>0</v>
      </c>
      <c r="AI67" s="189">
        <f t="shared" si="11"/>
        <v>0</v>
      </c>
      <c r="AJ67" s="189">
        <f t="shared" si="11"/>
        <v>0</v>
      </c>
      <c r="AK67" s="189">
        <f t="shared" si="11"/>
        <v>0</v>
      </c>
      <c r="AL67" s="189">
        <f t="shared" si="11"/>
        <v>0</v>
      </c>
      <c r="AM67" s="189">
        <f t="shared" si="11"/>
        <v>0</v>
      </c>
      <c r="AN67" s="189">
        <f t="shared" si="11"/>
        <v>0</v>
      </c>
      <c r="AO67" s="189">
        <f t="shared" si="11"/>
        <v>0</v>
      </c>
      <c r="AP67" s="189">
        <f t="shared" si="11"/>
        <v>0</v>
      </c>
      <c r="AQ67" s="189">
        <f t="shared" si="11"/>
        <v>0</v>
      </c>
      <c r="AR67" s="189">
        <f t="shared" si="11"/>
        <v>0</v>
      </c>
      <c r="AS67" s="189">
        <f t="shared" si="11"/>
        <v>0</v>
      </c>
      <c r="AT67" s="189">
        <f t="shared" si="11"/>
        <v>0</v>
      </c>
      <c r="AU67" s="189">
        <f t="shared" si="11"/>
        <v>0</v>
      </c>
      <c r="AV67" s="189">
        <f t="shared" si="11"/>
        <v>0</v>
      </c>
      <c r="AW67" s="189">
        <f t="shared" si="11"/>
        <v>0</v>
      </c>
      <c r="AX67" s="189">
        <f t="shared" si="11"/>
        <v>0</v>
      </c>
      <c r="AY67" s="189">
        <f t="shared" si="11"/>
        <v>0</v>
      </c>
      <c r="AZ67" s="189">
        <f t="shared" si="11"/>
        <v>0</v>
      </c>
      <c r="BA67" s="189">
        <f t="shared" si="11"/>
        <v>0</v>
      </c>
      <c r="BB67" s="189">
        <f t="shared" si="11"/>
        <v>0</v>
      </c>
      <c r="BC67" s="189">
        <f t="shared" si="11"/>
        <v>0</v>
      </c>
      <c r="BD67" s="189">
        <f t="shared" si="11"/>
        <v>0</v>
      </c>
      <c r="BE67" s="189">
        <f t="shared" si="11"/>
        <v>0</v>
      </c>
      <c r="BF67" s="189">
        <f t="shared" si="11"/>
        <v>0</v>
      </c>
      <c r="BG67" s="189">
        <f t="shared" si="11"/>
        <v>0</v>
      </c>
      <c r="BH67" s="189">
        <f t="shared" si="11"/>
        <v>0</v>
      </c>
      <c r="BI67" s="188"/>
      <c r="BJ67" s="121"/>
      <c r="BK67" s="121"/>
      <c r="BL67" s="121"/>
      <c r="BM67" s="121"/>
      <c r="BN67" s="121"/>
      <c r="BO67" s="121"/>
    </row>
    <row r="68" spans="2:67" ht="12.75">
      <c r="C68" s="190"/>
      <c r="D68" s="121" t="s">
        <v>565</v>
      </c>
      <c r="E68" s="121" t="s">
        <v>264</v>
      </c>
      <c r="F68" s="191">
        <f>IF(AND(F54&gt;=$D$31,F54&lt;=($D$31+$D$32)),$P$28*$P$16,0)</f>
        <v>0</v>
      </c>
      <c r="G68" s="191">
        <f>IF(AND(G54&gt;=$D$31,G54&lt;=($D$31+$D$32)),$P$28,0)</f>
        <v>0</v>
      </c>
      <c r="H68" s="191">
        <f t="shared" ref="H68:BH68" si="12">IF(AND(H54&gt;=$D$31,H54&lt;=($D$31+$D$32)),$P$28,0)</f>
        <v>0</v>
      </c>
      <c r="I68" s="191">
        <f t="shared" si="12"/>
        <v>0</v>
      </c>
      <c r="J68" s="191">
        <f t="shared" si="12"/>
        <v>0</v>
      </c>
      <c r="K68" s="191">
        <f t="shared" si="12"/>
        <v>0</v>
      </c>
      <c r="L68" s="191">
        <f t="shared" si="12"/>
        <v>0</v>
      </c>
      <c r="M68" s="191">
        <f t="shared" si="12"/>
        <v>0</v>
      </c>
      <c r="N68" s="191">
        <f t="shared" si="12"/>
        <v>0</v>
      </c>
      <c r="O68" s="191">
        <f t="shared" si="12"/>
        <v>0</v>
      </c>
      <c r="P68" s="191">
        <f t="shared" si="12"/>
        <v>0</v>
      </c>
      <c r="Q68" s="191">
        <f t="shared" si="12"/>
        <v>0</v>
      </c>
      <c r="R68" s="191">
        <f t="shared" si="12"/>
        <v>0</v>
      </c>
      <c r="S68" s="191">
        <f t="shared" si="12"/>
        <v>0</v>
      </c>
      <c r="T68" s="191">
        <f t="shared" si="12"/>
        <v>0</v>
      </c>
      <c r="U68" s="191">
        <f t="shared" si="12"/>
        <v>0</v>
      </c>
      <c r="V68" s="191">
        <f t="shared" si="12"/>
        <v>0</v>
      </c>
      <c r="W68" s="191">
        <f t="shared" si="12"/>
        <v>0</v>
      </c>
      <c r="X68" s="191">
        <f t="shared" si="12"/>
        <v>0</v>
      </c>
      <c r="Y68" s="191">
        <f t="shared" si="12"/>
        <v>0</v>
      </c>
      <c r="Z68" s="191">
        <f t="shared" si="12"/>
        <v>0</v>
      </c>
      <c r="AA68" s="191">
        <f t="shared" si="12"/>
        <v>0</v>
      </c>
      <c r="AB68" s="191">
        <f t="shared" si="12"/>
        <v>0</v>
      </c>
      <c r="AC68" s="191">
        <f t="shared" si="12"/>
        <v>0</v>
      </c>
      <c r="AD68" s="191">
        <f t="shared" si="12"/>
        <v>0</v>
      </c>
      <c r="AE68" s="191">
        <f t="shared" si="12"/>
        <v>0</v>
      </c>
      <c r="AF68" s="191">
        <f t="shared" si="12"/>
        <v>0</v>
      </c>
      <c r="AG68" s="191">
        <f t="shared" si="12"/>
        <v>0</v>
      </c>
      <c r="AH68" s="191">
        <f t="shared" si="12"/>
        <v>0</v>
      </c>
      <c r="AI68" s="191">
        <f t="shared" si="12"/>
        <v>0</v>
      </c>
      <c r="AJ68" s="191">
        <f t="shared" si="12"/>
        <v>0</v>
      </c>
      <c r="AK68" s="191">
        <f t="shared" si="12"/>
        <v>0</v>
      </c>
      <c r="AL68" s="191">
        <f t="shared" si="12"/>
        <v>0</v>
      </c>
      <c r="AM68" s="191">
        <f t="shared" si="12"/>
        <v>0</v>
      </c>
      <c r="AN68" s="191">
        <f t="shared" si="12"/>
        <v>0</v>
      </c>
      <c r="AO68" s="191">
        <f t="shared" si="12"/>
        <v>0</v>
      </c>
      <c r="AP68" s="191">
        <f t="shared" si="12"/>
        <v>0</v>
      </c>
      <c r="AQ68" s="191">
        <f t="shared" si="12"/>
        <v>0</v>
      </c>
      <c r="AR68" s="191">
        <f t="shared" si="12"/>
        <v>0</v>
      </c>
      <c r="AS68" s="191">
        <f t="shared" si="12"/>
        <v>0</v>
      </c>
      <c r="AT68" s="191">
        <f t="shared" si="12"/>
        <v>0</v>
      </c>
      <c r="AU68" s="191">
        <f t="shared" si="12"/>
        <v>0</v>
      </c>
      <c r="AV68" s="191">
        <f t="shared" si="12"/>
        <v>0</v>
      </c>
      <c r="AW68" s="191">
        <f t="shared" si="12"/>
        <v>0</v>
      </c>
      <c r="AX68" s="191">
        <f t="shared" si="12"/>
        <v>0</v>
      </c>
      <c r="AY68" s="191">
        <f t="shared" si="12"/>
        <v>0</v>
      </c>
      <c r="AZ68" s="191">
        <f t="shared" si="12"/>
        <v>0</v>
      </c>
      <c r="BA68" s="191">
        <f t="shared" si="12"/>
        <v>0</v>
      </c>
      <c r="BB68" s="191">
        <f t="shared" si="12"/>
        <v>0</v>
      </c>
      <c r="BC68" s="191">
        <f t="shared" si="12"/>
        <v>0</v>
      </c>
      <c r="BD68" s="191">
        <f t="shared" si="12"/>
        <v>0</v>
      </c>
      <c r="BE68" s="191">
        <f t="shared" si="12"/>
        <v>0</v>
      </c>
      <c r="BF68" s="191">
        <f t="shared" si="12"/>
        <v>0</v>
      </c>
      <c r="BG68" s="191">
        <f t="shared" si="12"/>
        <v>0</v>
      </c>
      <c r="BH68" s="191">
        <f t="shared" si="12"/>
        <v>0</v>
      </c>
      <c r="BI68" s="175">
        <f>NPV($D$49,F68:BH68)</f>
        <v>0</v>
      </c>
      <c r="BJ68" s="121"/>
      <c r="BK68" s="121"/>
      <c r="BL68" s="121"/>
      <c r="BM68" s="121"/>
      <c r="BN68" s="121"/>
      <c r="BO68" s="121"/>
    </row>
    <row r="69" spans="2:67" s="192" customFormat="1" ht="12.75">
      <c r="B69" s="193"/>
      <c r="C69" s="177"/>
      <c r="D69" s="180" t="s">
        <v>371</v>
      </c>
      <c r="E69" s="180" t="s">
        <v>264</v>
      </c>
      <c r="F69" s="194">
        <f>F68</f>
        <v>0</v>
      </c>
      <c r="G69" s="194">
        <f t="shared" ref="G69:BH69" si="13">G68</f>
        <v>0</v>
      </c>
      <c r="H69" s="194">
        <f t="shared" si="13"/>
        <v>0</v>
      </c>
      <c r="I69" s="194">
        <f t="shared" si="13"/>
        <v>0</v>
      </c>
      <c r="J69" s="194">
        <f t="shared" si="13"/>
        <v>0</v>
      </c>
      <c r="K69" s="194">
        <f t="shared" si="13"/>
        <v>0</v>
      </c>
      <c r="L69" s="194">
        <f t="shared" si="13"/>
        <v>0</v>
      </c>
      <c r="M69" s="194">
        <f t="shared" si="13"/>
        <v>0</v>
      </c>
      <c r="N69" s="194">
        <f t="shared" si="13"/>
        <v>0</v>
      </c>
      <c r="O69" s="194">
        <f t="shared" si="13"/>
        <v>0</v>
      </c>
      <c r="P69" s="194">
        <f t="shared" si="13"/>
        <v>0</v>
      </c>
      <c r="Q69" s="194">
        <f t="shared" si="13"/>
        <v>0</v>
      </c>
      <c r="R69" s="194">
        <f t="shared" si="13"/>
        <v>0</v>
      </c>
      <c r="S69" s="194">
        <f t="shared" si="13"/>
        <v>0</v>
      </c>
      <c r="T69" s="194">
        <f t="shared" si="13"/>
        <v>0</v>
      </c>
      <c r="U69" s="194">
        <f t="shared" si="13"/>
        <v>0</v>
      </c>
      <c r="V69" s="194">
        <f t="shared" si="13"/>
        <v>0</v>
      </c>
      <c r="W69" s="194">
        <f t="shared" si="13"/>
        <v>0</v>
      </c>
      <c r="X69" s="194">
        <f t="shared" si="13"/>
        <v>0</v>
      </c>
      <c r="Y69" s="194">
        <f t="shared" si="13"/>
        <v>0</v>
      </c>
      <c r="Z69" s="194">
        <f t="shared" si="13"/>
        <v>0</v>
      </c>
      <c r="AA69" s="194">
        <f t="shared" si="13"/>
        <v>0</v>
      </c>
      <c r="AB69" s="194">
        <f t="shared" si="13"/>
        <v>0</v>
      </c>
      <c r="AC69" s="194">
        <f t="shared" si="13"/>
        <v>0</v>
      </c>
      <c r="AD69" s="194">
        <f t="shared" si="13"/>
        <v>0</v>
      </c>
      <c r="AE69" s="194">
        <f t="shared" si="13"/>
        <v>0</v>
      </c>
      <c r="AF69" s="194">
        <f t="shared" si="13"/>
        <v>0</v>
      </c>
      <c r="AG69" s="194">
        <f t="shared" si="13"/>
        <v>0</v>
      </c>
      <c r="AH69" s="194">
        <f t="shared" si="13"/>
        <v>0</v>
      </c>
      <c r="AI69" s="194">
        <f t="shared" si="13"/>
        <v>0</v>
      </c>
      <c r="AJ69" s="194">
        <f t="shared" si="13"/>
        <v>0</v>
      </c>
      <c r="AK69" s="194">
        <f t="shared" si="13"/>
        <v>0</v>
      </c>
      <c r="AL69" s="194">
        <f t="shared" si="13"/>
        <v>0</v>
      </c>
      <c r="AM69" s="194">
        <f t="shared" si="13"/>
        <v>0</v>
      </c>
      <c r="AN69" s="194">
        <f t="shared" si="13"/>
        <v>0</v>
      </c>
      <c r="AO69" s="194">
        <f t="shared" si="13"/>
        <v>0</v>
      </c>
      <c r="AP69" s="194">
        <f t="shared" si="13"/>
        <v>0</v>
      </c>
      <c r="AQ69" s="194">
        <f t="shared" si="13"/>
        <v>0</v>
      </c>
      <c r="AR69" s="194">
        <f t="shared" si="13"/>
        <v>0</v>
      </c>
      <c r="AS69" s="194">
        <f t="shared" si="13"/>
        <v>0</v>
      </c>
      <c r="AT69" s="194">
        <f t="shared" si="13"/>
        <v>0</v>
      </c>
      <c r="AU69" s="194">
        <f t="shared" si="13"/>
        <v>0</v>
      </c>
      <c r="AV69" s="194">
        <f t="shared" si="13"/>
        <v>0</v>
      </c>
      <c r="AW69" s="194">
        <f t="shared" si="13"/>
        <v>0</v>
      </c>
      <c r="AX69" s="194">
        <f t="shared" si="13"/>
        <v>0</v>
      </c>
      <c r="AY69" s="194">
        <f t="shared" si="13"/>
        <v>0</v>
      </c>
      <c r="AZ69" s="194">
        <f t="shared" si="13"/>
        <v>0</v>
      </c>
      <c r="BA69" s="194">
        <f t="shared" si="13"/>
        <v>0</v>
      </c>
      <c r="BB69" s="194">
        <f t="shared" si="13"/>
        <v>0</v>
      </c>
      <c r="BC69" s="194">
        <f t="shared" si="13"/>
        <v>0</v>
      </c>
      <c r="BD69" s="194">
        <f t="shared" si="13"/>
        <v>0</v>
      </c>
      <c r="BE69" s="194">
        <f t="shared" si="13"/>
        <v>0</v>
      </c>
      <c r="BF69" s="194">
        <f t="shared" si="13"/>
        <v>0</v>
      </c>
      <c r="BG69" s="194">
        <f t="shared" si="13"/>
        <v>0</v>
      </c>
      <c r="BH69" s="194">
        <f t="shared" si="13"/>
        <v>0</v>
      </c>
      <c r="BI69" s="175">
        <f>NPV($D$49,F69:BH69)</f>
        <v>0</v>
      </c>
      <c r="BJ69" s="180"/>
      <c r="BK69" s="180"/>
      <c r="BL69" s="180"/>
      <c r="BM69" s="180"/>
      <c r="BN69" s="180"/>
      <c r="BO69" s="180"/>
    </row>
    <row r="70" spans="2:67" s="121" customFormat="1" ht="12.75">
      <c r="B70" s="138"/>
      <c r="C70" s="177"/>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75"/>
    </row>
    <row r="71" spans="2:67" ht="12.75">
      <c r="C71" s="2005" t="s">
        <v>285</v>
      </c>
      <c r="D71" s="2006"/>
      <c r="E71" s="2006"/>
      <c r="F71" s="136"/>
      <c r="G71" s="136"/>
      <c r="H71" s="136"/>
      <c r="I71" s="136"/>
      <c r="J71" s="136"/>
      <c r="K71" s="136"/>
      <c r="L71" s="136"/>
      <c r="M71" s="136"/>
      <c r="N71" s="136"/>
      <c r="O71" s="136"/>
      <c r="P71" s="136"/>
      <c r="Q71" s="136"/>
      <c r="R71" s="136"/>
      <c r="BI71" s="188"/>
      <c r="BJ71" s="121"/>
      <c r="BK71" s="121"/>
      <c r="BL71" s="121"/>
      <c r="BM71" s="121"/>
      <c r="BN71" s="121"/>
      <c r="BO71" s="121"/>
    </row>
    <row r="72" spans="2:67" ht="12.75">
      <c r="C72" s="172"/>
      <c r="D72" s="173" t="s">
        <v>623</v>
      </c>
      <c r="E72" s="121" t="s">
        <v>266</v>
      </c>
      <c r="F72" s="189">
        <f t="shared" ref="F72:AK72" si="14">IF(AND(F54&gt;=$D$31,F54&lt;=($D$31+$D$32)),$D$33,0)</f>
        <v>0</v>
      </c>
      <c r="G72" s="189">
        <f t="shared" si="14"/>
        <v>0</v>
      </c>
      <c r="H72" s="189">
        <f t="shared" si="14"/>
        <v>0</v>
      </c>
      <c r="I72" s="189">
        <f t="shared" si="14"/>
        <v>0</v>
      </c>
      <c r="J72" s="189">
        <f t="shared" si="14"/>
        <v>0</v>
      </c>
      <c r="K72" s="189">
        <f t="shared" si="14"/>
        <v>0</v>
      </c>
      <c r="L72" s="189">
        <f t="shared" si="14"/>
        <v>0</v>
      </c>
      <c r="M72" s="189">
        <f t="shared" si="14"/>
        <v>0</v>
      </c>
      <c r="N72" s="189">
        <f t="shared" si="14"/>
        <v>0</v>
      </c>
      <c r="O72" s="189">
        <f t="shared" si="14"/>
        <v>0</v>
      </c>
      <c r="P72" s="189">
        <f t="shared" si="14"/>
        <v>0</v>
      </c>
      <c r="Q72" s="189">
        <f t="shared" si="14"/>
        <v>0</v>
      </c>
      <c r="R72" s="189">
        <f t="shared" si="14"/>
        <v>0</v>
      </c>
      <c r="S72" s="189">
        <f t="shared" si="14"/>
        <v>0</v>
      </c>
      <c r="T72" s="189">
        <f t="shared" si="14"/>
        <v>0</v>
      </c>
      <c r="U72" s="189">
        <f t="shared" si="14"/>
        <v>0</v>
      </c>
      <c r="V72" s="189">
        <f t="shared" si="14"/>
        <v>0</v>
      </c>
      <c r="W72" s="189">
        <f t="shared" si="14"/>
        <v>0</v>
      </c>
      <c r="X72" s="189">
        <f t="shared" si="14"/>
        <v>0</v>
      </c>
      <c r="Y72" s="189">
        <f t="shared" si="14"/>
        <v>0</v>
      </c>
      <c r="Z72" s="189">
        <f t="shared" si="14"/>
        <v>0</v>
      </c>
      <c r="AA72" s="189">
        <f t="shared" si="14"/>
        <v>0</v>
      </c>
      <c r="AB72" s="189">
        <f t="shared" si="14"/>
        <v>0</v>
      </c>
      <c r="AC72" s="189">
        <f t="shared" si="14"/>
        <v>0</v>
      </c>
      <c r="AD72" s="189">
        <f t="shared" si="14"/>
        <v>0</v>
      </c>
      <c r="AE72" s="189">
        <f t="shared" si="14"/>
        <v>0</v>
      </c>
      <c r="AF72" s="189">
        <f t="shared" si="14"/>
        <v>0</v>
      </c>
      <c r="AG72" s="189">
        <f t="shared" si="14"/>
        <v>0</v>
      </c>
      <c r="AH72" s="189">
        <f t="shared" si="14"/>
        <v>0</v>
      </c>
      <c r="AI72" s="189">
        <f t="shared" si="14"/>
        <v>0</v>
      </c>
      <c r="AJ72" s="189">
        <f t="shared" si="14"/>
        <v>0</v>
      </c>
      <c r="AK72" s="189">
        <f t="shared" si="14"/>
        <v>0</v>
      </c>
      <c r="AL72" s="189">
        <f t="shared" ref="AL72:BH72" si="15">IF(AND(AL54&gt;=$D$31,AL54&lt;=($D$31+$D$32)),$D$33,0)</f>
        <v>0</v>
      </c>
      <c r="AM72" s="189">
        <f t="shared" si="15"/>
        <v>0</v>
      </c>
      <c r="AN72" s="189">
        <f t="shared" si="15"/>
        <v>0</v>
      </c>
      <c r="AO72" s="189">
        <f t="shared" si="15"/>
        <v>0</v>
      </c>
      <c r="AP72" s="189">
        <f t="shared" si="15"/>
        <v>0</v>
      </c>
      <c r="AQ72" s="189">
        <f t="shared" si="15"/>
        <v>0</v>
      </c>
      <c r="AR72" s="189">
        <f t="shared" si="15"/>
        <v>0</v>
      </c>
      <c r="AS72" s="189">
        <f t="shared" si="15"/>
        <v>0</v>
      </c>
      <c r="AT72" s="189">
        <f t="shared" si="15"/>
        <v>0</v>
      </c>
      <c r="AU72" s="189">
        <f t="shared" si="15"/>
        <v>0</v>
      </c>
      <c r="AV72" s="189">
        <f t="shared" si="15"/>
        <v>0</v>
      </c>
      <c r="AW72" s="189">
        <f t="shared" si="15"/>
        <v>0</v>
      </c>
      <c r="AX72" s="189">
        <f t="shared" si="15"/>
        <v>0</v>
      </c>
      <c r="AY72" s="189">
        <f t="shared" si="15"/>
        <v>0</v>
      </c>
      <c r="AZ72" s="189">
        <f t="shared" si="15"/>
        <v>0</v>
      </c>
      <c r="BA72" s="189">
        <f t="shared" si="15"/>
        <v>0</v>
      </c>
      <c r="BB72" s="189">
        <f t="shared" si="15"/>
        <v>0</v>
      </c>
      <c r="BC72" s="189">
        <f t="shared" si="15"/>
        <v>0</v>
      </c>
      <c r="BD72" s="189">
        <f t="shared" si="15"/>
        <v>0</v>
      </c>
      <c r="BE72" s="189">
        <f t="shared" si="15"/>
        <v>0</v>
      </c>
      <c r="BF72" s="189">
        <f t="shared" si="15"/>
        <v>0</v>
      </c>
      <c r="BG72" s="189">
        <f t="shared" si="15"/>
        <v>0</v>
      </c>
      <c r="BH72" s="189">
        <f t="shared" si="15"/>
        <v>0</v>
      </c>
      <c r="BI72" s="188"/>
      <c r="BJ72" s="121"/>
      <c r="BK72" s="121"/>
      <c r="BL72" s="121"/>
      <c r="BM72" s="121"/>
      <c r="BN72" s="121"/>
      <c r="BO72" s="121"/>
    </row>
    <row r="73" spans="2:67" s="121" customFormat="1" ht="12.75">
      <c r="B73" s="138"/>
      <c r="C73" s="177"/>
      <c r="D73" s="121" t="str">
        <f>IF(C7="rural","Fuel Cost","Avoided Geneartion Cost")</f>
        <v>Fuel Cost</v>
      </c>
      <c r="E73" s="121" t="str">
        <f>IF(C7="Rural","$ per gallon","$ per kWh")</f>
        <v>$ per gallon</v>
      </c>
      <c r="F73" s="187"/>
      <c r="G73" s="187">
        <f>VLOOKUP($C$6,'Diesel Fuel Prices'!$D$7:$BN$183,-6+G53,0)</f>
        <v>2.6551872277966839</v>
      </c>
      <c r="H73" s="187">
        <f>VLOOKUP($C$6,'Diesel Fuel Prices'!$D$7:$BN$183,-6+H53,0)</f>
        <v>3.1224832058686216</v>
      </c>
      <c r="I73" s="187">
        <f>VLOOKUP($C$6,'Diesel Fuel Prices'!$D$7:$BN$183,-6+I53,0)</f>
        <v>3.2868240966699549</v>
      </c>
      <c r="J73" s="187">
        <f>VLOOKUP($C$6,'Diesel Fuel Prices'!$D$7:$BN$183,-6+J53,0)</f>
        <v>3.2988439943120245</v>
      </c>
      <c r="K73" s="187">
        <f>VLOOKUP($C$6,'Diesel Fuel Prices'!$D$7:$BN$183,-6+K53,0)</f>
        <v>3.3548353301647462</v>
      </c>
      <c r="L73" s="187">
        <f>VLOOKUP($C$6,'Diesel Fuel Prices'!$D$7:$BN$183,-6+L53,0)</f>
        <v>3.4111187308488184</v>
      </c>
      <c r="M73" s="187">
        <f>VLOOKUP($C$6,'Diesel Fuel Prices'!$D$7:$BN$183,-6+M53,0)</f>
        <v>3.4873851625443617</v>
      </c>
      <c r="N73" s="187">
        <f>VLOOKUP($C$6,'Diesel Fuel Prices'!$D$7:$BN$183,-6+N53,0)</f>
        <v>3.5691384112625424</v>
      </c>
      <c r="O73" s="187">
        <f>VLOOKUP($C$6,'Diesel Fuel Prices'!$D$7:$BN$183,-6+O53,0)</f>
        <v>3.6538119974574412</v>
      </c>
      <c r="P73" s="187">
        <f>VLOOKUP($C$6,'Diesel Fuel Prices'!$D$7:$BN$183,-6+P53,0)</f>
        <v>3.7402810266587672</v>
      </c>
      <c r="Q73" s="187">
        <f>VLOOKUP($C$6,'Diesel Fuel Prices'!$D$7:$BN$183,-6+Q53,0)</f>
        <v>3.8271557774647453</v>
      </c>
      <c r="R73" s="187">
        <f>VLOOKUP($C$6,'Diesel Fuel Prices'!$D$7:$BN$183,-6+R53,0)</f>
        <v>3.9197045120745102</v>
      </c>
      <c r="S73" s="187">
        <f>VLOOKUP($C$6,'Diesel Fuel Prices'!$D$7:$BN$183,-6+S53,0)</f>
        <v>4.0145168849374322</v>
      </c>
      <c r="T73" s="187">
        <f>VLOOKUP($C$6,'Diesel Fuel Prices'!$D$7:$BN$183,-6+T53,0)</f>
        <v>4.1116492906592335</v>
      </c>
      <c r="U73" s="187">
        <f>VLOOKUP($C$6,'Diesel Fuel Prices'!$D$7:$BN$183,-6+U53,0)</f>
        <v>4.2111592178865571</v>
      </c>
      <c r="V73" s="187">
        <f>VLOOKUP($C$6,'Diesel Fuel Prices'!$D$7:$BN$183,-6+V53,0)</f>
        <v>4.3131053947023483</v>
      </c>
      <c r="W73" s="187">
        <f>VLOOKUP($C$6,'Diesel Fuel Prices'!$D$7:$BN$183,-6+W53,0)</f>
        <v>4.4175486538963149</v>
      </c>
      <c r="X73" s="187">
        <f>VLOOKUP($C$6,'Diesel Fuel Prices'!$D$7:$BN$183,-6+X53,0)</f>
        <v>4.5245507325726093</v>
      </c>
      <c r="Y73" s="187">
        <f>VLOOKUP($C$6,'Diesel Fuel Prices'!$D$7:$BN$183,-6+Y53,0)</f>
        <v>4.6340259638166303</v>
      </c>
      <c r="Z73" s="187">
        <f>VLOOKUP($C$6,'Diesel Fuel Prices'!$D$7:$BN$183,-6+Z53,0)</f>
        <v>4.7416270426335583</v>
      </c>
      <c r="AA73" s="187">
        <f>VLOOKUP($C$6,'Diesel Fuel Prices'!$D$7:$BN$183,-6+AA53,0)</f>
        <v>4.8548324203107942</v>
      </c>
      <c r="AB73" s="187">
        <f>VLOOKUP($C$6,'Diesel Fuel Prices'!$D$7:$BN$183,-6+AB53,0)</f>
        <v>4.9711608830034164</v>
      </c>
      <c r="AC73" s="187">
        <f>VLOOKUP($C$6,'Diesel Fuel Prices'!$D$7:$BN$183,-6+AC53,0)</f>
        <v>5.0852484007868171</v>
      </c>
      <c r="AD73" s="187">
        <f>VLOOKUP($C$6,'Diesel Fuel Prices'!$D$7:$BN$183,-6+AD53,0)</f>
        <v>5.2079104480425524</v>
      </c>
      <c r="AE73" s="187">
        <f>VLOOKUP($C$6,'Diesel Fuel Prices'!$D$7:$BN$183,-6+AE53,0)</f>
        <v>5.3402464274736552</v>
      </c>
      <c r="AF73" s="187">
        <f>VLOOKUP($C$6,'Diesel Fuel Prices'!$D$7:$BN$183,-6+AF53,0)</f>
        <v>5.4636003299453852</v>
      </c>
      <c r="AG73" s="187">
        <f>VLOOKUP($C$6,'Diesel Fuel Prices'!$D$7:$BN$183,-6+AG53,0)</f>
        <v>5.4636003299453852</v>
      </c>
      <c r="AH73" s="187">
        <f>VLOOKUP($C$6,'Diesel Fuel Prices'!$D$7:$BN$183,-6+AH53,0)</f>
        <v>5.4636003299453852</v>
      </c>
      <c r="AI73" s="187">
        <f>VLOOKUP($C$6,'Diesel Fuel Prices'!$D$7:$BN$183,-6+AI53,0)</f>
        <v>5.4636003299453852</v>
      </c>
      <c r="AJ73" s="187">
        <f>VLOOKUP($C$6,'Diesel Fuel Prices'!$D$7:$BN$183,-6+AJ53,0)</f>
        <v>5.4636003299453852</v>
      </c>
      <c r="AK73" s="187">
        <f>VLOOKUP($C$6,'Diesel Fuel Prices'!$D$7:$BN$183,-6+AK53,0)</f>
        <v>5.4636003299453852</v>
      </c>
      <c r="AL73" s="187">
        <f>VLOOKUP($C$6,'Diesel Fuel Prices'!$D$7:$BN$183,-6+AL53,0)</f>
        <v>5.4636003299453852</v>
      </c>
      <c r="AM73" s="187">
        <f>VLOOKUP($C$6,'Diesel Fuel Prices'!$D$7:$BN$183,-6+AM53,0)</f>
        <v>5.4636003299453852</v>
      </c>
      <c r="AN73" s="187">
        <f>VLOOKUP($C$6,'Diesel Fuel Prices'!$D$7:$BN$183,-6+AN53,0)</f>
        <v>5.4636003299453852</v>
      </c>
      <c r="AO73" s="187">
        <f>VLOOKUP($C$6,'Diesel Fuel Prices'!$D$7:$BN$183,-6+AO53,0)</f>
        <v>5.4636003299453852</v>
      </c>
      <c r="AP73" s="187">
        <f>VLOOKUP($C$6,'Diesel Fuel Prices'!$D$7:$BN$183,-6+AP53,0)</f>
        <v>5.4636003299453852</v>
      </c>
      <c r="AQ73" s="187">
        <f>VLOOKUP($C$6,'Diesel Fuel Prices'!$D$7:$BN$183,-6+AQ53,0)</f>
        <v>5.4636003299453852</v>
      </c>
      <c r="AR73" s="187">
        <f>VLOOKUP($C$6,'Diesel Fuel Prices'!$D$7:$BN$183,-6+AR53,0)</f>
        <v>5.4636003299453852</v>
      </c>
      <c r="AS73" s="187">
        <f>VLOOKUP($C$6,'Diesel Fuel Prices'!$D$7:$BN$183,-6+AS53,0)</f>
        <v>5.4636003299453852</v>
      </c>
      <c r="AT73" s="187">
        <f>VLOOKUP($C$6,'Diesel Fuel Prices'!$D$7:$BN$183,-6+AT53,0)</f>
        <v>5.4636003299453852</v>
      </c>
      <c r="AU73" s="187">
        <f>VLOOKUP($C$6,'Diesel Fuel Prices'!$D$7:$BN$183,-6+AU53,0)</f>
        <v>5.4636003299453852</v>
      </c>
      <c r="AV73" s="187">
        <f>VLOOKUP($C$6,'Diesel Fuel Prices'!$D$7:$BN$183,-6+AV53,0)</f>
        <v>5.4636003299453852</v>
      </c>
      <c r="AW73" s="187">
        <f>VLOOKUP($C$6,'Diesel Fuel Prices'!$D$7:$BN$183,-6+AW53,0)</f>
        <v>5.4636003299453852</v>
      </c>
      <c r="AX73" s="187">
        <f>VLOOKUP($C$6,'Diesel Fuel Prices'!$D$7:$BN$183,-6+AX53,0)</f>
        <v>5.4636003299453852</v>
      </c>
      <c r="AY73" s="187">
        <f>VLOOKUP($C$6,'Diesel Fuel Prices'!$D$7:$BN$183,-6+AY53,0)</f>
        <v>5.4636003299453852</v>
      </c>
      <c r="AZ73" s="187">
        <f>VLOOKUP($C$6,'Diesel Fuel Prices'!$D$7:$BN$183,-6+AZ53,0)</f>
        <v>5.4636003299453852</v>
      </c>
      <c r="BA73" s="187">
        <f>VLOOKUP($C$6,'Diesel Fuel Prices'!$D$7:$BN$183,-6+BA53,0)</f>
        <v>5.4636003299453852</v>
      </c>
      <c r="BB73" s="187">
        <f>VLOOKUP($C$6,'Diesel Fuel Prices'!$D$7:$BN$183,-6+BB53,0)</f>
        <v>5.4636003299453852</v>
      </c>
      <c r="BC73" s="187">
        <f>VLOOKUP($C$6,'Diesel Fuel Prices'!$D$7:$BN$183,-6+BC53,0)</f>
        <v>5.4636003299453852</v>
      </c>
      <c r="BD73" s="187">
        <f>VLOOKUP($C$6,'Diesel Fuel Prices'!$D$7:$BN$183,-6+BD53,0)</f>
        <v>5.4636003299453852</v>
      </c>
      <c r="BE73" s="187">
        <f>VLOOKUP($C$6,'Diesel Fuel Prices'!$D$7:$BN$183,-6+BE53,0)</f>
        <v>5.4636003299453852</v>
      </c>
      <c r="BF73" s="187">
        <f>VLOOKUP($C$6,'Diesel Fuel Prices'!$D$7:$BN$183,-6+BF53,0)</f>
        <v>5.4636003299453852</v>
      </c>
      <c r="BG73" s="187">
        <f>VLOOKUP($C$6,'Diesel Fuel Prices'!$D$7:$BN$183,-6+BG53,0)</f>
        <v>5.4636003299453852</v>
      </c>
      <c r="BH73" s="187">
        <f>VLOOKUP($C$6,'Diesel Fuel Prices'!$D$7:$BN$183,-6+BH53,0)</f>
        <v>5.4636003299453852</v>
      </c>
      <c r="BI73" s="175"/>
    </row>
    <row r="74" spans="2:67" ht="12.75">
      <c r="C74" s="172" t="s">
        <v>277</v>
      </c>
      <c r="D74" s="121" t="s">
        <v>381</v>
      </c>
      <c r="E74" s="121" t="s">
        <v>264</v>
      </c>
      <c r="F74" s="176"/>
      <c r="G74" s="176"/>
      <c r="H74" s="176"/>
      <c r="I74" s="176"/>
      <c r="J74" s="176"/>
      <c r="K74" s="176"/>
      <c r="L74" s="176"/>
      <c r="M74" s="176"/>
      <c r="N74" s="176"/>
      <c r="O74" s="176"/>
      <c r="P74" s="176"/>
      <c r="Q74" s="176"/>
      <c r="R74" s="176"/>
      <c r="S74" s="176"/>
      <c r="T74" s="176"/>
      <c r="U74" s="176"/>
      <c r="V74" s="176"/>
      <c r="W74" s="176"/>
      <c r="X74" s="176"/>
      <c r="Y74" s="176"/>
      <c r="Z74" s="176"/>
      <c r="AA74" s="176"/>
      <c r="AB74" s="176"/>
      <c r="AC74" s="176"/>
      <c r="AD74" s="176"/>
      <c r="AE74" s="176"/>
      <c r="AF74" s="176"/>
      <c r="AG74" s="176"/>
      <c r="AH74" s="176"/>
      <c r="AI74" s="176"/>
      <c r="AJ74" s="176"/>
      <c r="AK74" s="176"/>
      <c r="AL74" s="176"/>
      <c r="AM74" s="176"/>
      <c r="AN74" s="176"/>
      <c r="AO74" s="176"/>
      <c r="AP74" s="176"/>
      <c r="AQ74" s="176"/>
      <c r="AR74" s="176"/>
      <c r="AS74" s="176"/>
      <c r="AT74" s="176"/>
      <c r="AU74" s="176"/>
      <c r="AV74" s="176"/>
      <c r="AW74" s="176"/>
      <c r="AX74" s="176"/>
      <c r="AY74" s="176"/>
      <c r="AZ74" s="176"/>
      <c r="BA74" s="176"/>
      <c r="BB74" s="176"/>
      <c r="BC74" s="176"/>
      <c r="BD74" s="176"/>
      <c r="BE74" s="176"/>
      <c r="BF74" s="176"/>
      <c r="BG74" s="176"/>
      <c r="BH74" s="176"/>
      <c r="BI74" s="175">
        <f>NPV($D$49,F74:BH74)</f>
        <v>0</v>
      </c>
      <c r="BJ74" s="121"/>
      <c r="BK74" s="121"/>
      <c r="BL74" s="121"/>
      <c r="BM74" s="121"/>
      <c r="BN74" s="121"/>
      <c r="BO74" s="121"/>
    </row>
    <row r="75" spans="2:67" ht="12.75">
      <c r="C75" s="172"/>
      <c r="D75" s="120" t="s">
        <v>5</v>
      </c>
      <c r="E75" s="120" t="s">
        <v>264</v>
      </c>
      <c r="G75" s="403"/>
      <c r="H75" s="403"/>
      <c r="I75" s="403"/>
      <c r="J75" s="403"/>
      <c r="K75" s="403"/>
      <c r="L75" s="403"/>
      <c r="M75" s="403"/>
      <c r="N75" s="403"/>
      <c r="O75" s="403"/>
      <c r="P75" s="403"/>
      <c r="Q75" s="403"/>
      <c r="R75" s="403"/>
      <c r="S75" s="410"/>
      <c r="T75" s="410"/>
      <c r="U75" s="410"/>
      <c r="V75" s="410"/>
      <c r="W75" s="410"/>
      <c r="X75" s="410"/>
      <c r="Y75" s="410"/>
      <c r="Z75" s="410"/>
      <c r="AA75" s="410"/>
      <c r="AB75" s="410"/>
      <c r="AC75" s="410"/>
      <c r="AD75" s="410"/>
      <c r="AE75" s="410"/>
      <c r="AF75" s="410"/>
      <c r="AG75" s="410"/>
      <c r="AH75" s="410"/>
      <c r="AI75" s="410"/>
      <c r="AJ75" s="410"/>
      <c r="AK75" s="410"/>
      <c r="AL75" s="410"/>
      <c r="AM75" s="410"/>
      <c r="AN75" s="410"/>
      <c r="AO75" s="410"/>
      <c r="AP75" s="410"/>
      <c r="AQ75" s="410"/>
      <c r="AR75" s="410"/>
      <c r="AS75" s="410"/>
      <c r="AT75" s="410"/>
      <c r="AU75" s="410"/>
      <c r="AV75" s="410"/>
      <c r="AW75" s="410"/>
      <c r="AX75" s="410"/>
      <c r="AY75" s="410"/>
      <c r="AZ75" s="410"/>
      <c r="BA75" s="410"/>
      <c r="BB75" s="410"/>
      <c r="BC75" s="410"/>
      <c r="BD75" s="410"/>
      <c r="BE75" s="410"/>
      <c r="BF75" s="410"/>
      <c r="BG75" s="410"/>
      <c r="BH75" s="410"/>
      <c r="BJ75" s="121"/>
      <c r="BK75" s="121"/>
      <c r="BL75" s="121"/>
      <c r="BM75" s="121"/>
      <c r="BN75" s="121"/>
      <c r="BO75" s="121"/>
    </row>
    <row r="76" spans="2:67" ht="12.75">
      <c r="C76" s="190"/>
      <c r="D76" s="121" t="s">
        <v>267</v>
      </c>
      <c r="E76" s="121" t="str">
        <f>IF(C7="Railbelt South of Alaska Range","mmBtu per year","gallons per year")</f>
        <v>gallons per year</v>
      </c>
      <c r="F76" s="196">
        <f t="shared" ref="F76:AK76" si="16">IF(AND(F54&gt;=$D$31,F54&lt;=($D$31+$D$32)),$P$25,0)</f>
        <v>0</v>
      </c>
      <c r="G76" s="196">
        <f t="shared" si="16"/>
        <v>0</v>
      </c>
      <c r="H76" s="196">
        <f t="shared" si="16"/>
        <v>0</v>
      </c>
      <c r="I76" s="196">
        <f t="shared" si="16"/>
        <v>0</v>
      </c>
      <c r="J76" s="196">
        <f t="shared" si="16"/>
        <v>0</v>
      </c>
      <c r="K76" s="196">
        <f t="shared" si="16"/>
        <v>0</v>
      </c>
      <c r="L76" s="196">
        <f t="shared" si="16"/>
        <v>0</v>
      </c>
      <c r="M76" s="196">
        <f t="shared" si="16"/>
        <v>0</v>
      </c>
      <c r="N76" s="196">
        <f t="shared" si="16"/>
        <v>0</v>
      </c>
      <c r="O76" s="196">
        <f t="shared" si="16"/>
        <v>0</v>
      </c>
      <c r="P76" s="196">
        <f t="shared" si="16"/>
        <v>0</v>
      </c>
      <c r="Q76" s="196">
        <f t="shared" si="16"/>
        <v>0</v>
      </c>
      <c r="R76" s="196">
        <f t="shared" si="16"/>
        <v>0</v>
      </c>
      <c r="S76" s="196">
        <f t="shared" si="16"/>
        <v>0</v>
      </c>
      <c r="T76" s="196">
        <f t="shared" si="16"/>
        <v>0</v>
      </c>
      <c r="U76" s="196">
        <f t="shared" si="16"/>
        <v>0</v>
      </c>
      <c r="V76" s="196">
        <f t="shared" si="16"/>
        <v>0</v>
      </c>
      <c r="W76" s="196">
        <f t="shared" si="16"/>
        <v>0</v>
      </c>
      <c r="X76" s="196">
        <f t="shared" si="16"/>
        <v>0</v>
      </c>
      <c r="Y76" s="196">
        <f t="shared" si="16"/>
        <v>0</v>
      </c>
      <c r="Z76" s="196">
        <f t="shared" si="16"/>
        <v>0</v>
      </c>
      <c r="AA76" s="196">
        <f t="shared" si="16"/>
        <v>0</v>
      </c>
      <c r="AB76" s="196">
        <f t="shared" si="16"/>
        <v>0</v>
      </c>
      <c r="AC76" s="196">
        <f t="shared" si="16"/>
        <v>0</v>
      </c>
      <c r="AD76" s="196">
        <f t="shared" si="16"/>
        <v>0</v>
      </c>
      <c r="AE76" s="196">
        <f t="shared" si="16"/>
        <v>0</v>
      </c>
      <c r="AF76" s="196">
        <f t="shared" si="16"/>
        <v>0</v>
      </c>
      <c r="AG76" s="196">
        <f t="shared" si="16"/>
        <v>0</v>
      </c>
      <c r="AH76" s="196">
        <f t="shared" si="16"/>
        <v>0</v>
      </c>
      <c r="AI76" s="196">
        <f t="shared" si="16"/>
        <v>0</v>
      </c>
      <c r="AJ76" s="196">
        <f t="shared" si="16"/>
        <v>0</v>
      </c>
      <c r="AK76" s="196">
        <f t="shared" si="16"/>
        <v>0</v>
      </c>
      <c r="AL76" s="196">
        <f t="shared" ref="AL76:BH76" si="17">IF(AND(AL54&gt;=$D$31,AL54&lt;=($D$31+$D$32)),$P$25,0)</f>
        <v>0</v>
      </c>
      <c r="AM76" s="196">
        <f t="shared" si="17"/>
        <v>0</v>
      </c>
      <c r="AN76" s="196">
        <f t="shared" si="17"/>
        <v>0</v>
      </c>
      <c r="AO76" s="196">
        <f t="shared" si="17"/>
        <v>0</v>
      </c>
      <c r="AP76" s="196">
        <f t="shared" si="17"/>
        <v>0</v>
      </c>
      <c r="AQ76" s="196">
        <f t="shared" si="17"/>
        <v>0</v>
      </c>
      <c r="AR76" s="196">
        <f t="shared" si="17"/>
        <v>0</v>
      </c>
      <c r="AS76" s="196">
        <f t="shared" si="17"/>
        <v>0</v>
      </c>
      <c r="AT76" s="196">
        <f t="shared" si="17"/>
        <v>0</v>
      </c>
      <c r="AU76" s="196">
        <f t="shared" si="17"/>
        <v>0</v>
      </c>
      <c r="AV76" s="196">
        <f t="shared" si="17"/>
        <v>0</v>
      </c>
      <c r="AW76" s="196">
        <f t="shared" si="17"/>
        <v>0</v>
      </c>
      <c r="AX76" s="196">
        <f t="shared" si="17"/>
        <v>0</v>
      </c>
      <c r="AY76" s="196">
        <f t="shared" si="17"/>
        <v>0</v>
      </c>
      <c r="AZ76" s="196">
        <f t="shared" si="17"/>
        <v>0</v>
      </c>
      <c r="BA76" s="196">
        <f t="shared" si="17"/>
        <v>0</v>
      </c>
      <c r="BB76" s="196">
        <f t="shared" si="17"/>
        <v>0</v>
      </c>
      <c r="BC76" s="196">
        <f t="shared" si="17"/>
        <v>0</v>
      </c>
      <c r="BD76" s="196">
        <f t="shared" si="17"/>
        <v>0</v>
      </c>
      <c r="BE76" s="196">
        <f t="shared" si="17"/>
        <v>0</v>
      </c>
      <c r="BF76" s="196">
        <f t="shared" si="17"/>
        <v>0</v>
      </c>
      <c r="BG76" s="196">
        <f t="shared" si="17"/>
        <v>0</v>
      </c>
      <c r="BH76" s="196">
        <f t="shared" si="17"/>
        <v>0</v>
      </c>
      <c r="BI76" s="175"/>
      <c r="BJ76" s="121"/>
      <c r="BK76" s="121"/>
      <c r="BL76" s="121"/>
      <c r="BM76" s="121"/>
      <c r="BN76" s="121"/>
      <c r="BO76" s="121"/>
    </row>
    <row r="77" spans="2:67" ht="12.75">
      <c r="C77" s="177"/>
      <c r="D77" s="121" t="str">
        <f>IF(C7="rural","Fuel Cost","N/A")</f>
        <v>Fuel Cost</v>
      </c>
      <c r="E77" s="121" t="str">
        <f>IF(C7="rural","$ per year","")</f>
        <v>$ per year</v>
      </c>
      <c r="F77" s="191">
        <f t="shared" ref="F77:AK77" si="18">IF($C$7="rural",F76*F73,"")</f>
        <v>0</v>
      </c>
      <c r="G77" s="191">
        <f t="shared" si="18"/>
        <v>0</v>
      </c>
      <c r="H77" s="191">
        <f t="shared" si="18"/>
        <v>0</v>
      </c>
      <c r="I77" s="191">
        <f t="shared" si="18"/>
        <v>0</v>
      </c>
      <c r="J77" s="191">
        <f t="shared" si="18"/>
        <v>0</v>
      </c>
      <c r="K77" s="191">
        <f t="shared" si="18"/>
        <v>0</v>
      </c>
      <c r="L77" s="191">
        <f t="shared" si="18"/>
        <v>0</v>
      </c>
      <c r="M77" s="191">
        <f t="shared" si="18"/>
        <v>0</v>
      </c>
      <c r="N77" s="191">
        <f t="shared" si="18"/>
        <v>0</v>
      </c>
      <c r="O77" s="191">
        <f t="shared" si="18"/>
        <v>0</v>
      </c>
      <c r="P77" s="191">
        <f t="shared" si="18"/>
        <v>0</v>
      </c>
      <c r="Q77" s="191">
        <f t="shared" si="18"/>
        <v>0</v>
      </c>
      <c r="R77" s="191">
        <f t="shared" si="18"/>
        <v>0</v>
      </c>
      <c r="S77" s="191">
        <f t="shared" si="18"/>
        <v>0</v>
      </c>
      <c r="T77" s="191">
        <f t="shared" si="18"/>
        <v>0</v>
      </c>
      <c r="U77" s="191">
        <f t="shared" si="18"/>
        <v>0</v>
      </c>
      <c r="V77" s="191">
        <f t="shared" si="18"/>
        <v>0</v>
      </c>
      <c r="W77" s="191">
        <f t="shared" si="18"/>
        <v>0</v>
      </c>
      <c r="X77" s="191">
        <f t="shared" si="18"/>
        <v>0</v>
      </c>
      <c r="Y77" s="191">
        <f t="shared" si="18"/>
        <v>0</v>
      </c>
      <c r="Z77" s="191">
        <f t="shared" si="18"/>
        <v>0</v>
      </c>
      <c r="AA77" s="191">
        <f t="shared" si="18"/>
        <v>0</v>
      </c>
      <c r="AB77" s="191">
        <f t="shared" si="18"/>
        <v>0</v>
      </c>
      <c r="AC77" s="191">
        <f t="shared" si="18"/>
        <v>0</v>
      </c>
      <c r="AD77" s="191">
        <f t="shared" si="18"/>
        <v>0</v>
      </c>
      <c r="AE77" s="191">
        <f t="shared" si="18"/>
        <v>0</v>
      </c>
      <c r="AF77" s="191">
        <f t="shared" si="18"/>
        <v>0</v>
      </c>
      <c r="AG77" s="191">
        <f t="shared" si="18"/>
        <v>0</v>
      </c>
      <c r="AH77" s="191">
        <f t="shared" si="18"/>
        <v>0</v>
      </c>
      <c r="AI77" s="191">
        <f t="shared" si="18"/>
        <v>0</v>
      </c>
      <c r="AJ77" s="191">
        <f t="shared" si="18"/>
        <v>0</v>
      </c>
      <c r="AK77" s="191">
        <f t="shared" si="18"/>
        <v>0</v>
      </c>
      <c r="AL77" s="191">
        <f t="shared" ref="AL77:BH77" si="19">IF($C$7="rural",AL76*AL73,"")</f>
        <v>0</v>
      </c>
      <c r="AM77" s="191">
        <f t="shared" si="19"/>
        <v>0</v>
      </c>
      <c r="AN77" s="191">
        <f t="shared" si="19"/>
        <v>0</v>
      </c>
      <c r="AO77" s="191">
        <f t="shared" si="19"/>
        <v>0</v>
      </c>
      <c r="AP77" s="191">
        <f t="shared" si="19"/>
        <v>0</v>
      </c>
      <c r="AQ77" s="191">
        <f t="shared" si="19"/>
        <v>0</v>
      </c>
      <c r="AR77" s="191">
        <f t="shared" si="19"/>
        <v>0</v>
      </c>
      <c r="AS77" s="191">
        <f t="shared" si="19"/>
        <v>0</v>
      </c>
      <c r="AT77" s="191">
        <f t="shared" si="19"/>
        <v>0</v>
      </c>
      <c r="AU77" s="191">
        <f t="shared" si="19"/>
        <v>0</v>
      </c>
      <c r="AV77" s="191">
        <f t="shared" si="19"/>
        <v>0</v>
      </c>
      <c r="AW77" s="191">
        <f t="shared" si="19"/>
        <v>0</v>
      </c>
      <c r="AX77" s="191">
        <f t="shared" si="19"/>
        <v>0</v>
      </c>
      <c r="AY77" s="191">
        <f t="shared" si="19"/>
        <v>0</v>
      </c>
      <c r="AZ77" s="191">
        <f t="shared" si="19"/>
        <v>0</v>
      </c>
      <c r="BA77" s="191">
        <f t="shared" si="19"/>
        <v>0</v>
      </c>
      <c r="BB77" s="191">
        <f t="shared" si="19"/>
        <v>0</v>
      </c>
      <c r="BC77" s="191">
        <f t="shared" si="19"/>
        <v>0</v>
      </c>
      <c r="BD77" s="191">
        <f t="shared" si="19"/>
        <v>0</v>
      </c>
      <c r="BE77" s="191">
        <f t="shared" si="19"/>
        <v>0</v>
      </c>
      <c r="BF77" s="191">
        <f t="shared" si="19"/>
        <v>0</v>
      </c>
      <c r="BG77" s="191">
        <f t="shared" si="19"/>
        <v>0</v>
      </c>
      <c r="BH77" s="191">
        <f t="shared" si="19"/>
        <v>0</v>
      </c>
      <c r="BI77" s="175">
        <f>NPV($D$49,F77:BH77)</f>
        <v>0</v>
      </c>
      <c r="BJ77" s="121"/>
      <c r="BK77" s="121"/>
      <c r="BL77" s="121"/>
      <c r="BM77" s="121"/>
      <c r="BN77" s="121"/>
      <c r="BO77" s="121"/>
    </row>
    <row r="78" spans="2:67" s="192" customFormat="1" ht="12.75">
      <c r="B78" s="193"/>
      <c r="C78" s="182"/>
      <c r="D78" s="184" t="s">
        <v>372</v>
      </c>
      <c r="E78" s="184" t="s">
        <v>264</v>
      </c>
      <c r="F78" s="197"/>
      <c r="G78" s="197">
        <f>IF($C$7="Rural",G77+G75+G74,G73*G72)</f>
        <v>0</v>
      </c>
      <c r="H78" s="197">
        <f t="shared" ref="H78:AA78" si="20">IF($C$7="Rural",H77+H75+H74,H73*H72)</f>
        <v>0</v>
      </c>
      <c r="I78" s="197">
        <f t="shared" si="20"/>
        <v>0</v>
      </c>
      <c r="J78" s="197">
        <f t="shared" si="20"/>
        <v>0</v>
      </c>
      <c r="K78" s="197">
        <f t="shared" si="20"/>
        <v>0</v>
      </c>
      <c r="L78" s="197">
        <f t="shared" si="20"/>
        <v>0</v>
      </c>
      <c r="M78" s="197">
        <f t="shared" si="20"/>
        <v>0</v>
      </c>
      <c r="N78" s="197">
        <f t="shared" si="20"/>
        <v>0</v>
      </c>
      <c r="O78" s="197">
        <f t="shared" si="20"/>
        <v>0</v>
      </c>
      <c r="P78" s="197">
        <f t="shared" si="20"/>
        <v>0</v>
      </c>
      <c r="Q78" s="197">
        <f t="shared" si="20"/>
        <v>0</v>
      </c>
      <c r="R78" s="197">
        <f t="shared" si="20"/>
        <v>0</v>
      </c>
      <c r="S78" s="194">
        <f t="shared" si="20"/>
        <v>0</v>
      </c>
      <c r="T78" s="194">
        <f t="shared" si="20"/>
        <v>0</v>
      </c>
      <c r="U78" s="194">
        <f t="shared" si="20"/>
        <v>0</v>
      </c>
      <c r="V78" s="194">
        <f t="shared" si="20"/>
        <v>0</v>
      </c>
      <c r="W78" s="194">
        <f t="shared" si="20"/>
        <v>0</v>
      </c>
      <c r="X78" s="194">
        <f t="shared" si="20"/>
        <v>0</v>
      </c>
      <c r="Y78" s="194">
        <f t="shared" si="20"/>
        <v>0</v>
      </c>
      <c r="Z78" s="194">
        <f t="shared" si="20"/>
        <v>0</v>
      </c>
      <c r="AA78" s="194">
        <f t="shared" si="20"/>
        <v>0</v>
      </c>
      <c r="AB78" s="194">
        <f t="shared" ref="AB78:BH78" si="21">IF($C$7="Rural",AB77+AB75+AB74,AB73*AB72)</f>
        <v>0</v>
      </c>
      <c r="AC78" s="194">
        <f t="shared" si="21"/>
        <v>0</v>
      </c>
      <c r="AD78" s="194">
        <f t="shared" si="21"/>
        <v>0</v>
      </c>
      <c r="AE78" s="194">
        <f t="shared" si="21"/>
        <v>0</v>
      </c>
      <c r="AF78" s="194">
        <f t="shared" si="21"/>
        <v>0</v>
      </c>
      <c r="AG78" s="194">
        <f t="shared" si="21"/>
        <v>0</v>
      </c>
      <c r="AH78" s="194">
        <f t="shared" si="21"/>
        <v>0</v>
      </c>
      <c r="AI78" s="194">
        <f t="shared" si="21"/>
        <v>0</v>
      </c>
      <c r="AJ78" s="194">
        <f t="shared" si="21"/>
        <v>0</v>
      </c>
      <c r="AK78" s="194">
        <f t="shared" si="21"/>
        <v>0</v>
      </c>
      <c r="AL78" s="194">
        <f t="shared" si="21"/>
        <v>0</v>
      </c>
      <c r="AM78" s="194">
        <f t="shared" si="21"/>
        <v>0</v>
      </c>
      <c r="AN78" s="194">
        <f t="shared" si="21"/>
        <v>0</v>
      </c>
      <c r="AO78" s="194">
        <f t="shared" si="21"/>
        <v>0</v>
      </c>
      <c r="AP78" s="194">
        <f t="shared" si="21"/>
        <v>0</v>
      </c>
      <c r="AQ78" s="194">
        <f t="shared" si="21"/>
        <v>0</v>
      </c>
      <c r="AR78" s="194">
        <f t="shared" si="21"/>
        <v>0</v>
      </c>
      <c r="AS78" s="194">
        <f t="shared" si="21"/>
        <v>0</v>
      </c>
      <c r="AT78" s="194">
        <f t="shared" si="21"/>
        <v>0</v>
      </c>
      <c r="AU78" s="194">
        <f t="shared" si="21"/>
        <v>0</v>
      </c>
      <c r="AV78" s="194">
        <f t="shared" si="21"/>
        <v>0</v>
      </c>
      <c r="AW78" s="194">
        <f t="shared" si="21"/>
        <v>0</v>
      </c>
      <c r="AX78" s="194">
        <f t="shared" si="21"/>
        <v>0</v>
      </c>
      <c r="AY78" s="194">
        <f t="shared" si="21"/>
        <v>0</v>
      </c>
      <c r="AZ78" s="194">
        <f t="shared" si="21"/>
        <v>0</v>
      </c>
      <c r="BA78" s="194">
        <f t="shared" si="21"/>
        <v>0</v>
      </c>
      <c r="BB78" s="194">
        <f t="shared" si="21"/>
        <v>0</v>
      </c>
      <c r="BC78" s="194">
        <f t="shared" si="21"/>
        <v>0</v>
      </c>
      <c r="BD78" s="194">
        <f t="shared" si="21"/>
        <v>0</v>
      </c>
      <c r="BE78" s="194">
        <f t="shared" si="21"/>
        <v>0</v>
      </c>
      <c r="BF78" s="194">
        <f t="shared" si="21"/>
        <v>0</v>
      </c>
      <c r="BG78" s="194">
        <f t="shared" si="21"/>
        <v>0</v>
      </c>
      <c r="BH78" s="194">
        <f t="shared" si="21"/>
        <v>0</v>
      </c>
      <c r="BI78" s="175">
        <f>NPV($D$49,F78:BH78)</f>
        <v>0</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70"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70" ht="12.75">
      <c r="C82" s="168" t="s">
        <v>340</v>
      </c>
      <c r="D82" s="198"/>
      <c r="E82" s="170" t="s">
        <v>263</v>
      </c>
      <c r="F82" s="199">
        <v>2014</v>
      </c>
      <c r="G82" s="199">
        <f t="shared" ref="G82:AL82" si="22">F82+1</f>
        <v>2015</v>
      </c>
      <c r="H82" s="199">
        <f t="shared" si="22"/>
        <v>2016</v>
      </c>
      <c r="I82" s="199">
        <f t="shared" si="22"/>
        <v>2017</v>
      </c>
      <c r="J82" s="199">
        <f t="shared" si="22"/>
        <v>2018</v>
      </c>
      <c r="K82" s="199">
        <f t="shared" si="22"/>
        <v>2019</v>
      </c>
      <c r="L82" s="199">
        <f t="shared" si="22"/>
        <v>2020</v>
      </c>
      <c r="M82" s="199">
        <f t="shared" si="22"/>
        <v>2021</v>
      </c>
      <c r="N82" s="199">
        <f>M82+1</f>
        <v>2022</v>
      </c>
      <c r="O82" s="199">
        <f t="shared" si="22"/>
        <v>2023</v>
      </c>
      <c r="P82" s="199">
        <f t="shared" si="22"/>
        <v>2024</v>
      </c>
      <c r="Q82" s="199">
        <f t="shared" si="22"/>
        <v>2025</v>
      </c>
      <c r="R82" s="199">
        <f t="shared" si="22"/>
        <v>2026</v>
      </c>
      <c r="S82" s="691">
        <f>R82+1</f>
        <v>2027</v>
      </c>
      <c r="T82" s="691">
        <f t="shared" si="22"/>
        <v>2028</v>
      </c>
      <c r="U82" s="691">
        <f t="shared" si="22"/>
        <v>2029</v>
      </c>
      <c r="V82" s="691">
        <f t="shared" si="22"/>
        <v>2030</v>
      </c>
      <c r="W82" s="691">
        <f t="shared" si="22"/>
        <v>2031</v>
      </c>
      <c r="X82" s="691">
        <f t="shared" si="22"/>
        <v>2032</v>
      </c>
      <c r="Y82" s="691">
        <f t="shared" si="22"/>
        <v>2033</v>
      </c>
      <c r="Z82" s="691">
        <f t="shared" si="22"/>
        <v>2034</v>
      </c>
      <c r="AA82" s="691">
        <f t="shared" si="22"/>
        <v>2035</v>
      </c>
      <c r="AB82" s="691">
        <f t="shared" si="22"/>
        <v>2036</v>
      </c>
      <c r="AC82" s="691">
        <f t="shared" si="22"/>
        <v>2037</v>
      </c>
      <c r="AD82" s="691">
        <f t="shared" si="22"/>
        <v>2038</v>
      </c>
      <c r="AE82" s="691">
        <f t="shared" si="22"/>
        <v>2039</v>
      </c>
      <c r="AF82" s="691">
        <f t="shared" si="22"/>
        <v>2040</v>
      </c>
      <c r="AG82" s="691">
        <f t="shared" si="22"/>
        <v>2041</v>
      </c>
      <c r="AH82" s="691">
        <f t="shared" si="22"/>
        <v>2042</v>
      </c>
      <c r="AI82" s="691">
        <f t="shared" si="22"/>
        <v>2043</v>
      </c>
      <c r="AJ82" s="691">
        <f t="shared" si="22"/>
        <v>2044</v>
      </c>
      <c r="AK82" s="691">
        <f t="shared" si="22"/>
        <v>2045</v>
      </c>
      <c r="AL82" s="691">
        <f t="shared" si="22"/>
        <v>2046</v>
      </c>
      <c r="AM82" s="691">
        <f t="shared" ref="AM82:BH82" si="23">AL82+1</f>
        <v>2047</v>
      </c>
      <c r="AN82" s="691">
        <f t="shared" si="23"/>
        <v>2048</v>
      </c>
      <c r="AO82" s="691">
        <f t="shared" si="23"/>
        <v>2049</v>
      </c>
      <c r="AP82" s="691">
        <f t="shared" si="23"/>
        <v>2050</v>
      </c>
      <c r="AQ82" s="691">
        <f t="shared" si="23"/>
        <v>2051</v>
      </c>
      <c r="AR82" s="691">
        <f t="shared" si="23"/>
        <v>2052</v>
      </c>
      <c r="AS82" s="691">
        <f t="shared" si="23"/>
        <v>2053</v>
      </c>
      <c r="AT82" s="691">
        <f t="shared" si="23"/>
        <v>2054</v>
      </c>
      <c r="AU82" s="691">
        <f t="shared" si="23"/>
        <v>2055</v>
      </c>
      <c r="AV82" s="691">
        <f t="shared" si="23"/>
        <v>2056</v>
      </c>
      <c r="AW82" s="691">
        <f t="shared" si="23"/>
        <v>2057</v>
      </c>
      <c r="AX82" s="691">
        <f t="shared" si="23"/>
        <v>2058</v>
      </c>
      <c r="AY82" s="691">
        <f t="shared" si="23"/>
        <v>2059</v>
      </c>
      <c r="AZ82" s="691">
        <f t="shared" si="23"/>
        <v>2060</v>
      </c>
      <c r="BA82" s="691">
        <f t="shared" si="23"/>
        <v>2061</v>
      </c>
      <c r="BB82" s="691">
        <f t="shared" si="23"/>
        <v>2062</v>
      </c>
      <c r="BC82" s="691">
        <f t="shared" si="23"/>
        <v>2063</v>
      </c>
      <c r="BD82" s="691">
        <f t="shared" si="23"/>
        <v>2064</v>
      </c>
      <c r="BE82" s="691">
        <f t="shared" si="23"/>
        <v>2065</v>
      </c>
      <c r="BF82" s="691">
        <f t="shared" si="23"/>
        <v>2066</v>
      </c>
      <c r="BG82" s="691">
        <f t="shared" si="23"/>
        <v>2067</v>
      </c>
      <c r="BH82" s="691">
        <f t="shared" si="23"/>
        <v>2068</v>
      </c>
      <c r="BI82" s="697" t="s">
        <v>4</v>
      </c>
      <c r="BJ82" s="121"/>
      <c r="BK82" s="121"/>
      <c r="BL82" s="121"/>
      <c r="BM82" s="121"/>
      <c r="BN82" s="121"/>
      <c r="BO82" s="121"/>
    </row>
    <row r="83" spans="2:70" ht="12.75">
      <c r="C83" s="2005" t="s">
        <v>284</v>
      </c>
      <c r="D83" s="2007"/>
      <c r="E83" s="2007"/>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70" ht="12.75">
      <c r="C84" s="201"/>
      <c r="D84" s="121" t="s">
        <v>616</v>
      </c>
      <c r="E84" s="121" t="str">
        <f>IF(C7="Railbelt South of Alaska Range", "mmBtu per year", "gallons displaced per year")</f>
        <v>gallons displaced per year</v>
      </c>
      <c r="F84" s="196">
        <f t="shared" ref="F84:AK84" si="24">IF(AND(F54&gt;=$D$31,F54&lt;=($D$31+$D$32)),$P$24,0)</f>
        <v>0</v>
      </c>
      <c r="G84" s="196">
        <f t="shared" si="24"/>
        <v>0</v>
      </c>
      <c r="H84" s="196">
        <f t="shared" si="24"/>
        <v>0</v>
      </c>
      <c r="I84" s="196">
        <f t="shared" si="24"/>
        <v>0</v>
      </c>
      <c r="J84" s="196">
        <f t="shared" si="24"/>
        <v>0</v>
      </c>
      <c r="K84" s="196">
        <f t="shared" si="24"/>
        <v>0</v>
      </c>
      <c r="L84" s="196">
        <f t="shared" si="24"/>
        <v>0</v>
      </c>
      <c r="M84" s="196">
        <f t="shared" si="24"/>
        <v>0</v>
      </c>
      <c r="N84" s="196">
        <f t="shared" si="24"/>
        <v>0</v>
      </c>
      <c r="O84" s="196">
        <f t="shared" si="24"/>
        <v>0</v>
      </c>
      <c r="P84" s="196">
        <f t="shared" si="24"/>
        <v>0</v>
      </c>
      <c r="Q84" s="196">
        <f t="shared" si="24"/>
        <v>0</v>
      </c>
      <c r="R84" s="196">
        <f t="shared" si="24"/>
        <v>0</v>
      </c>
      <c r="S84" s="196">
        <f t="shared" si="24"/>
        <v>0</v>
      </c>
      <c r="T84" s="196">
        <f t="shared" si="24"/>
        <v>0</v>
      </c>
      <c r="U84" s="196">
        <f t="shared" si="24"/>
        <v>0</v>
      </c>
      <c r="V84" s="196">
        <f t="shared" si="24"/>
        <v>0</v>
      </c>
      <c r="W84" s="196">
        <f t="shared" si="24"/>
        <v>0</v>
      </c>
      <c r="X84" s="196">
        <f t="shared" si="24"/>
        <v>0</v>
      </c>
      <c r="Y84" s="196">
        <f t="shared" si="24"/>
        <v>0</v>
      </c>
      <c r="Z84" s="196">
        <f t="shared" si="24"/>
        <v>0</v>
      </c>
      <c r="AA84" s="196">
        <f t="shared" si="24"/>
        <v>0</v>
      </c>
      <c r="AB84" s="196">
        <f t="shared" si="24"/>
        <v>0</v>
      </c>
      <c r="AC84" s="196">
        <f t="shared" si="24"/>
        <v>0</v>
      </c>
      <c r="AD84" s="196">
        <f t="shared" si="24"/>
        <v>0</v>
      </c>
      <c r="AE84" s="196">
        <f t="shared" si="24"/>
        <v>0</v>
      </c>
      <c r="AF84" s="196">
        <f t="shared" si="24"/>
        <v>0</v>
      </c>
      <c r="AG84" s="196">
        <f t="shared" si="24"/>
        <v>0</v>
      </c>
      <c r="AH84" s="196">
        <f t="shared" si="24"/>
        <v>0</v>
      </c>
      <c r="AI84" s="196">
        <f t="shared" si="24"/>
        <v>0</v>
      </c>
      <c r="AJ84" s="196">
        <f t="shared" si="24"/>
        <v>0</v>
      </c>
      <c r="AK84" s="196">
        <f t="shared" si="24"/>
        <v>0</v>
      </c>
      <c r="AL84" s="196">
        <f t="shared" ref="AL84:BH84" si="25">IF(AND(AL54&gt;=$D$31,AL54&lt;=($D$31+$D$32)),$P$24,0)</f>
        <v>0</v>
      </c>
      <c r="AM84" s="196">
        <f t="shared" si="25"/>
        <v>0</v>
      </c>
      <c r="AN84" s="196">
        <f t="shared" si="25"/>
        <v>0</v>
      </c>
      <c r="AO84" s="196">
        <f t="shared" si="25"/>
        <v>0</v>
      </c>
      <c r="AP84" s="196">
        <f t="shared" si="25"/>
        <v>0</v>
      </c>
      <c r="AQ84" s="196">
        <f t="shared" si="25"/>
        <v>0</v>
      </c>
      <c r="AR84" s="196">
        <f t="shared" si="25"/>
        <v>0</v>
      </c>
      <c r="AS84" s="196">
        <f t="shared" si="25"/>
        <v>0</v>
      </c>
      <c r="AT84" s="196">
        <f t="shared" si="25"/>
        <v>0</v>
      </c>
      <c r="AU84" s="196">
        <f t="shared" si="25"/>
        <v>0</v>
      </c>
      <c r="AV84" s="196">
        <f t="shared" si="25"/>
        <v>0</v>
      </c>
      <c r="AW84" s="196">
        <f t="shared" si="25"/>
        <v>0</v>
      </c>
      <c r="AX84" s="196">
        <f t="shared" si="25"/>
        <v>0</v>
      </c>
      <c r="AY84" s="196">
        <f t="shared" si="25"/>
        <v>0</v>
      </c>
      <c r="AZ84" s="196">
        <f t="shared" si="25"/>
        <v>0</v>
      </c>
      <c r="BA84" s="196">
        <f t="shared" si="25"/>
        <v>0</v>
      </c>
      <c r="BB84" s="196">
        <f t="shared" si="25"/>
        <v>0</v>
      </c>
      <c r="BC84" s="196">
        <f t="shared" si="25"/>
        <v>0</v>
      </c>
      <c r="BD84" s="196">
        <f t="shared" si="25"/>
        <v>0</v>
      </c>
      <c r="BE84" s="196">
        <f t="shared" si="25"/>
        <v>0</v>
      </c>
      <c r="BF84" s="196">
        <f t="shared" si="25"/>
        <v>0</v>
      </c>
      <c r="BG84" s="196">
        <f t="shared" si="25"/>
        <v>0</v>
      </c>
      <c r="BH84" s="196">
        <f t="shared" si="25"/>
        <v>0</v>
      </c>
      <c r="BI84" s="175"/>
      <c r="BJ84" s="121"/>
      <c r="BK84" s="121"/>
      <c r="BL84" s="121"/>
      <c r="BM84" s="121"/>
      <c r="BN84" s="121"/>
      <c r="BO84" s="121"/>
    </row>
    <row r="85" spans="2:70" ht="12.75">
      <c r="C85" s="201" t="s">
        <v>277</v>
      </c>
      <c r="D85" s="121" t="s">
        <v>568</v>
      </c>
      <c r="E85" s="121" t="s">
        <v>264</v>
      </c>
      <c r="F85" s="176">
        <v>0</v>
      </c>
      <c r="G85" s="176">
        <f t="shared" ref="G85:AL85" si="26">IF(AND(G54&gt;=$D$31,G54&lt;=($D$31+$D$32)),500,0)</f>
        <v>0</v>
      </c>
      <c r="H85" s="176">
        <f t="shared" si="26"/>
        <v>0</v>
      </c>
      <c r="I85" s="176">
        <f t="shared" si="26"/>
        <v>0</v>
      </c>
      <c r="J85" s="176">
        <f t="shared" si="26"/>
        <v>0</v>
      </c>
      <c r="K85" s="176">
        <f t="shared" si="26"/>
        <v>0</v>
      </c>
      <c r="L85" s="176">
        <f t="shared" si="26"/>
        <v>0</v>
      </c>
      <c r="M85" s="176">
        <f t="shared" si="26"/>
        <v>0</v>
      </c>
      <c r="N85" s="176">
        <f t="shared" si="26"/>
        <v>0</v>
      </c>
      <c r="O85" s="176">
        <f t="shared" si="26"/>
        <v>0</v>
      </c>
      <c r="P85" s="176">
        <f t="shared" si="26"/>
        <v>0</v>
      </c>
      <c r="Q85" s="176">
        <f t="shared" si="26"/>
        <v>0</v>
      </c>
      <c r="R85" s="176">
        <f t="shared" si="26"/>
        <v>0</v>
      </c>
      <c r="S85" s="176">
        <f t="shared" si="26"/>
        <v>0</v>
      </c>
      <c r="T85" s="176">
        <f t="shared" si="26"/>
        <v>0</v>
      </c>
      <c r="U85" s="176">
        <f t="shared" si="26"/>
        <v>0</v>
      </c>
      <c r="V85" s="176">
        <f t="shared" si="26"/>
        <v>0</v>
      </c>
      <c r="W85" s="176">
        <f t="shared" si="26"/>
        <v>0</v>
      </c>
      <c r="X85" s="176">
        <f t="shared" si="26"/>
        <v>0</v>
      </c>
      <c r="Y85" s="176">
        <f t="shared" si="26"/>
        <v>0</v>
      </c>
      <c r="Z85" s="176">
        <f t="shared" si="26"/>
        <v>0</v>
      </c>
      <c r="AA85" s="176">
        <f t="shared" si="26"/>
        <v>0</v>
      </c>
      <c r="AB85" s="176">
        <f t="shared" si="26"/>
        <v>0</v>
      </c>
      <c r="AC85" s="176">
        <f t="shared" si="26"/>
        <v>0</v>
      </c>
      <c r="AD85" s="176">
        <f t="shared" si="26"/>
        <v>0</v>
      </c>
      <c r="AE85" s="176">
        <f t="shared" si="26"/>
        <v>0</v>
      </c>
      <c r="AF85" s="176">
        <f t="shared" si="26"/>
        <v>0</v>
      </c>
      <c r="AG85" s="176">
        <f t="shared" si="26"/>
        <v>0</v>
      </c>
      <c r="AH85" s="176">
        <f t="shared" si="26"/>
        <v>0</v>
      </c>
      <c r="AI85" s="176">
        <f t="shared" si="26"/>
        <v>0</v>
      </c>
      <c r="AJ85" s="176">
        <f t="shared" si="26"/>
        <v>0</v>
      </c>
      <c r="AK85" s="176">
        <f t="shared" si="26"/>
        <v>0</v>
      </c>
      <c r="AL85" s="176">
        <f t="shared" si="26"/>
        <v>0</v>
      </c>
      <c r="AM85" s="176">
        <f t="shared" ref="AM85:BH85" si="27">IF(AND(AM54&gt;=$D$31,AM54&lt;=($D$31+$D$32)),500,0)</f>
        <v>0</v>
      </c>
      <c r="AN85" s="176">
        <f t="shared" si="27"/>
        <v>0</v>
      </c>
      <c r="AO85" s="176">
        <f t="shared" si="27"/>
        <v>0</v>
      </c>
      <c r="AP85" s="176">
        <f t="shared" si="27"/>
        <v>0</v>
      </c>
      <c r="AQ85" s="176">
        <f t="shared" si="27"/>
        <v>0</v>
      </c>
      <c r="AR85" s="176">
        <f t="shared" si="27"/>
        <v>0</v>
      </c>
      <c r="AS85" s="176">
        <f t="shared" si="27"/>
        <v>0</v>
      </c>
      <c r="AT85" s="176">
        <f t="shared" si="27"/>
        <v>0</v>
      </c>
      <c r="AU85" s="176">
        <f t="shared" si="27"/>
        <v>0</v>
      </c>
      <c r="AV85" s="176">
        <f t="shared" si="27"/>
        <v>0</v>
      </c>
      <c r="AW85" s="176">
        <f t="shared" si="27"/>
        <v>0</v>
      </c>
      <c r="AX85" s="176">
        <f t="shared" si="27"/>
        <v>0</v>
      </c>
      <c r="AY85" s="176">
        <f t="shared" si="27"/>
        <v>0</v>
      </c>
      <c r="AZ85" s="176">
        <f t="shared" si="27"/>
        <v>0</v>
      </c>
      <c r="BA85" s="176">
        <f t="shared" si="27"/>
        <v>0</v>
      </c>
      <c r="BB85" s="176">
        <f t="shared" si="27"/>
        <v>0</v>
      </c>
      <c r="BC85" s="176">
        <f t="shared" si="27"/>
        <v>0</v>
      </c>
      <c r="BD85" s="176">
        <f t="shared" si="27"/>
        <v>0</v>
      </c>
      <c r="BE85" s="176">
        <f t="shared" si="27"/>
        <v>0</v>
      </c>
      <c r="BF85" s="176">
        <f t="shared" si="27"/>
        <v>0</v>
      </c>
      <c r="BG85" s="176">
        <f t="shared" si="27"/>
        <v>0</v>
      </c>
      <c r="BH85" s="176">
        <f t="shared" si="27"/>
        <v>0</v>
      </c>
      <c r="BI85" s="175">
        <f>NPV($D$49,F85:BH85)</f>
        <v>0</v>
      </c>
      <c r="BJ85" s="121"/>
      <c r="BK85" s="121"/>
      <c r="BL85" s="121"/>
      <c r="BM85" s="121"/>
      <c r="BN85" s="121"/>
      <c r="BO85" s="121"/>
    </row>
    <row r="86" spans="2:70" ht="12.75">
      <c r="C86" s="201" t="s">
        <v>277</v>
      </c>
      <c r="D86" s="121" t="s">
        <v>567</v>
      </c>
      <c r="E86" s="121" t="s">
        <v>264</v>
      </c>
      <c r="F86" s="176">
        <v>0</v>
      </c>
      <c r="G86" s="176">
        <f t="shared" ref="G86:AL86" si="28">IF(AND(G54&gt;=$D$31,G54&lt;=($D$31+$D$32)),1000,0)</f>
        <v>0</v>
      </c>
      <c r="H86" s="176">
        <f t="shared" si="28"/>
        <v>0</v>
      </c>
      <c r="I86" s="176">
        <f t="shared" si="28"/>
        <v>0</v>
      </c>
      <c r="J86" s="176">
        <f t="shared" si="28"/>
        <v>0</v>
      </c>
      <c r="K86" s="176">
        <f t="shared" si="28"/>
        <v>0</v>
      </c>
      <c r="L86" s="176">
        <f t="shared" si="28"/>
        <v>0</v>
      </c>
      <c r="M86" s="176">
        <f t="shared" si="28"/>
        <v>0</v>
      </c>
      <c r="N86" s="176">
        <f t="shared" si="28"/>
        <v>0</v>
      </c>
      <c r="O86" s="176">
        <f t="shared" si="28"/>
        <v>0</v>
      </c>
      <c r="P86" s="176">
        <f t="shared" si="28"/>
        <v>0</v>
      </c>
      <c r="Q86" s="176">
        <f t="shared" si="28"/>
        <v>0</v>
      </c>
      <c r="R86" s="176">
        <f t="shared" si="28"/>
        <v>0</v>
      </c>
      <c r="S86" s="176">
        <f t="shared" si="28"/>
        <v>0</v>
      </c>
      <c r="T86" s="176">
        <f t="shared" si="28"/>
        <v>0</v>
      </c>
      <c r="U86" s="176">
        <f t="shared" si="28"/>
        <v>0</v>
      </c>
      <c r="V86" s="176">
        <f t="shared" si="28"/>
        <v>0</v>
      </c>
      <c r="W86" s="176">
        <f t="shared" si="28"/>
        <v>0</v>
      </c>
      <c r="X86" s="176">
        <f t="shared" si="28"/>
        <v>0</v>
      </c>
      <c r="Y86" s="176">
        <f t="shared" si="28"/>
        <v>0</v>
      </c>
      <c r="Z86" s="176">
        <f t="shared" si="28"/>
        <v>0</v>
      </c>
      <c r="AA86" s="176">
        <f t="shared" si="28"/>
        <v>0</v>
      </c>
      <c r="AB86" s="176">
        <f t="shared" si="28"/>
        <v>0</v>
      </c>
      <c r="AC86" s="176">
        <f t="shared" si="28"/>
        <v>0</v>
      </c>
      <c r="AD86" s="176">
        <f t="shared" si="28"/>
        <v>0</v>
      </c>
      <c r="AE86" s="176">
        <f t="shared" si="28"/>
        <v>0</v>
      </c>
      <c r="AF86" s="176">
        <f t="shared" si="28"/>
        <v>0</v>
      </c>
      <c r="AG86" s="176">
        <f t="shared" si="28"/>
        <v>0</v>
      </c>
      <c r="AH86" s="176">
        <f t="shared" si="28"/>
        <v>0</v>
      </c>
      <c r="AI86" s="176">
        <f t="shared" si="28"/>
        <v>0</v>
      </c>
      <c r="AJ86" s="176">
        <f t="shared" si="28"/>
        <v>0</v>
      </c>
      <c r="AK86" s="176">
        <f t="shared" si="28"/>
        <v>0</v>
      </c>
      <c r="AL86" s="176">
        <f t="shared" si="28"/>
        <v>0</v>
      </c>
      <c r="AM86" s="176">
        <f t="shared" ref="AM86:BH86" si="29">IF(AND(AM54&gt;=$D$31,AM54&lt;=($D$31+$D$32)),1000,0)</f>
        <v>0</v>
      </c>
      <c r="AN86" s="176">
        <f t="shared" si="29"/>
        <v>0</v>
      </c>
      <c r="AO86" s="176">
        <f t="shared" si="29"/>
        <v>0</v>
      </c>
      <c r="AP86" s="176">
        <f t="shared" si="29"/>
        <v>0</v>
      </c>
      <c r="AQ86" s="176">
        <f t="shared" si="29"/>
        <v>0</v>
      </c>
      <c r="AR86" s="176">
        <f t="shared" si="29"/>
        <v>0</v>
      </c>
      <c r="AS86" s="176">
        <f t="shared" si="29"/>
        <v>0</v>
      </c>
      <c r="AT86" s="176">
        <f t="shared" si="29"/>
        <v>0</v>
      </c>
      <c r="AU86" s="176">
        <f t="shared" si="29"/>
        <v>0</v>
      </c>
      <c r="AV86" s="176">
        <f t="shared" si="29"/>
        <v>0</v>
      </c>
      <c r="AW86" s="176">
        <f t="shared" si="29"/>
        <v>0</v>
      </c>
      <c r="AX86" s="176">
        <f t="shared" si="29"/>
        <v>0</v>
      </c>
      <c r="AY86" s="176">
        <f t="shared" si="29"/>
        <v>0</v>
      </c>
      <c r="AZ86" s="176">
        <f t="shared" si="29"/>
        <v>0</v>
      </c>
      <c r="BA86" s="176">
        <f t="shared" si="29"/>
        <v>0</v>
      </c>
      <c r="BB86" s="176">
        <f t="shared" si="29"/>
        <v>0</v>
      </c>
      <c r="BC86" s="176">
        <f t="shared" si="29"/>
        <v>0</v>
      </c>
      <c r="BD86" s="176">
        <f t="shared" si="29"/>
        <v>0</v>
      </c>
      <c r="BE86" s="176">
        <f t="shared" si="29"/>
        <v>0</v>
      </c>
      <c r="BF86" s="176">
        <f t="shared" si="29"/>
        <v>0</v>
      </c>
      <c r="BG86" s="176">
        <f t="shared" si="29"/>
        <v>0</v>
      </c>
      <c r="BH86" s="176">
        <f t="shared" si="29"/>
        <v>0</v>
      </c>
      <c r="BI86" s="175">
        <f>NPV($D$49,F86:BH86)</f>
        <v>0</v>
      </c>
      <c r="BJ86" s="121"/>
      <c r="BK86" s="121"/>
      <c r="BL86" s="121"/>
      <c r="BM86" s="121"/>
      <c r="BN86" s="121"/>
      <c r="BO86" s="121"/>
    </row>
    <row r="87" spans="2:70" ht="12.75">
      <c r="C87" s="373"/>
      <c r="D87" s="121" t="s">
        <v>373</v>
      </c>
      <c r="E87" s="121" t="s">
        <v>264</v>
      </c>
      <c r="F87" s="195">
        <f>F85+F86</f>
        <v>0</v>
      </c>
      <c r="G87" s="195">
        <f>G85+G86</f>
        <v>0</v>
      </c>
      <c r="H87" s="195">
        <f t="shared" ref="H87:BH87" si="30">H85+H86</f>
        <v>0</v>
      </c>
      <c r="I87" s="195">
        <f t="shared" si="30"/>
        <v>0</v>
      </c>
      <c r="J87" s="195">
        <f t="shared" si="30"/>
        <v>0</v>
      </c>
      <c r="K87" s="195">
        <f t="shared" si="30"/>
        <v>0</v>
      </c>
      <c r="L87" s="195">
        <f t="shared" si="30"/>
        <v>0</v>
      </c>
      <c r="M87" s="195">
        <f t="shared" si="30"/>
        <v>0</v>
      </c>
      <c r="N87" s="195">
        <f t="shared" si="30"/>
        <v>0</v>
      </c>
      <c r="O87" s="195">
        <f t="shared" si="30"/>
        <v>0</v>
      </c>
      <c r="P87" s="195">
        <f t="shared" si="30"/>
        <v>0</v>
      </c>
      <c r="Q87" s="195">
        <f t="shared" si="30"/>
        <v>0</v>
      </c>
      <c r="R87" s="195">
        <f t="shared" si="30"/>
        <v>0</v>
      </c>
      <c r="S87" s="195">
        <f t="shared" si="30"/>
        <v>0</v>
      </c>
      <c r="T87" s="195">
        <f t="shared" si="30"/>
        <v>0</v>
      </c>
      <c r="U87" s="195">
        <f t="shared" si="30"/>
        <v>0</v>
      </c>
      <c r="V87" s="195">
        <f t="shared" si="30"/>
        <v>0</v>
      </c>
      <c r="W87" s="195">
        <f t="shared" si="30"/>
        <v>0</v>
      </c>
      <c r="X87" s="195">
        <f t="shared" si="30"/>
        <v>0</v>
      </c>
      <c r="Y87" s="195">
        <f t="shared" si="30"/>
        <v>0</v>
      </c>
      <c r="Z87" s="195">
        <f t="shared" si="30"/>
        <v>0</v>
      </c>
      <c r="AA87" s="195">
        <f t="shared" si="30"/>
        <v>0</v>
      </c>
      <c r="AB87" s="195">
        <f t="shared" si="30"/>
        <v>0</v>
      </c>
      <c r="AC87" s="195">
        <f t="shared" si="30"/>
        <v>0</v>
      </c>
      <c r="AD87" s="195">
        <f t="shared" si="30"/>
        <v>0</v>
      </c>
      <c r="AE87" s="195">
        <f t="shared" si="30"/>
        <v>0</v>
      </c>
      <c r="AF87" s="195">
        <f t="shared" si="30"/>
        <v>0</v>
      </c>
      <c r="AG87" s="195">
        <f t="shared" si="30"/>
        <v>0</v>
      </c>
      <c r="AH87" s="195">
        <f t="shared" si="30"/>
        <v>0</v>
      </c>
      <c r="AI87" s="195">
        <f t="shared" si="30"/>
        <v>0</v>
      </c>
      <c r="AJ87" s="195">
        <f t="shared" si="30"/>
        <v>0</v>
      </c>
      <c r="AK87" s="195">
        <f t="shared" si="30"/>
        <v>0</v>
      </c>
      <c r="AL87" s="195">
        <f t="shared" si="30"/>
        <v>0</v>
      </c>
      <c r="AM87" s="195">
        <f t="shared" si="30"/>
        <v>0</v>
      </c>
      <c r="AN87" s="195">
        <f t="shared" si="30"/>
        <v>0</v>
      </c>
      <c r="AO87" s="195">
        <f t="shared" si="30"/>
        <v>0</v>
      </c>
      <c r="AP87" s="195">
        <f t="shared" si="30"/>
        <v>0</v>
      </c>
      <c r="AQ87" s="195">
        <f t="shared" si="30"/>
        <v>0</v>
      </c>
      <c r="AR87" s="195">
        <f t="shared" si="30"/>
        <v>0</v>
      </c>
      <c r="AS87" s="195">
        <f t="shared" si="30"/>
        <v>0</v>
      </c>
      <c r="AT87" s="195">
        <f t="shared" si="30"/>
        <v>0</v>
      </c>
      <c r="AU87" s="195">
        <f t="shared" si="30"/>
        <v>0</v>
      </c>
      <c r="AV87" s="195">
        <f t="shared" si="30"/>
        <v>0</v>
      </c>
      <c r="AW87" s="195">
        <f t="shared" si="30"/>
        <v>0</v>
      </c>
      <c r="AX87" s="195">
        <f t="shared" si="30"/>
        <v>0</v>
      </c>
      <c r="AY87" s="195">
        <f t="shared" si="30"/>
        <v>0</v>
      </c>
      <c r="AZ87" s="195">
        <f t="shared" si="30"/>
        <v>0</v>
      </c>
      <c r="BA87" s="195">
        <f t="shared" si="30"/>
        <v>0</v>
      </c>
      <c r="BB87" s="195">
        <f t="shared" si="30"/>
        <v>0</v>
      </c>
      <c r="BC87" s="195">
        <f t="shared" si="30"/>
        <v>0</v>
      </c>
      <c r="BD87" s="195">
        <f t="shared" si="30"/>
        <v>0</v>
      </c>
      <c r="BE87" s="195">
        <f t="shared" si="30"/>
        <v>0</v>
      </c>
      <c r="BF87" s="195">
        <f t="shared" si="30"/>
        <v>0</v>
      </c>
      <c r="BG87" s="195">
        <f t="shared" si="30"/>
        <v>0</v>
      </c>
      <c r="BH87" s="195">
        <f t="shared" si="30"/>
        <v>0</v>
      </c>
      <c r="BI87" s="374">
        <f>NPV($D$49,F87:BH87)</f>
        <v>0</v>
      </c>
      <c r="BJ87" s="121"/>
      <c r="BK87" s="121"/>
      <c r="BL87" s="121"/>
      <c r="BM87" s="121"/>
      <c r="BN87" s="121"/>
      <c r="BO87" s="121"/>
    </row>
    <row r="88" spans="2:70" ht="12.75">
      <c r="C88" s="190"/>
      <c r="D88" s="121" t="s">
        <v>828</v>
      </c>
      <c r="E88" s="121" t="s">
        <v>829</v>
      </c>
      <c r="F88" s="195"/>
      <c r="G88" s="375">
        <f t="shared" ref="G88:AL88" si="31">IF(AND(G54&gt;=$D$31,G54&lt;=($D$31+$D$32)),G84*G91-G87,0)</f>
        <v>0</v>
      </c>
      <c r="H88" s="375">
        <f t="shared" si="31"/>
        <v>0</v>
      </c>
      <c r="I88" s="375">
        <f t="shared" si="31"/>
        <v>0</v>
      </c>
      <c r="J88" s="375">
        <f t="shared" si="31"/>
        <v>0</v>
      </c>
      <c r="K88" s="375">
        <f t="shared" si="31"/>
        <v>0</v>
      </c>
      <c r="L88" s="375">
        <f t="shared" si="31"/>
        <v>0</v>
      </c>
      <c r="M88" s="375">
        <f t="shared" si="31"/>
        <v>0</v>
      </c>
      <c r="N88" s="375">
        <f t="shared" si="31"/>
        <v>0</v>
      </c>
      <c r="O88" s="375">
        <f t="shared" si="31"/>
        <v>0</v>
      </c>
      <c r="P88" s="375">
        <f t="shared" si="31"/>
        <v>0</v>
      </c>
      <c r="Q88" s="375">
        <f t="shared" si="31"/>
        <v>0</v>
      </c>
      <c r="R88" s="375">
        <f t="shared" si="31"/>
        <v>0</v>
      </c>
      <c r="S88" s="375">
        <f t="shared" si="31"/>
        <v>0</v>
      </c>
      <c r="T88" s="375">
        <f t="shared" si="31"/>
        <v>0</v>
      </c>
      <c r="U88" s="375">
        <f t="shared" si="31"/>
        <v>0</v>
      </c>
      <c r="V88" s="375">
        <f t="shared" si="31"/>
        <v>0</v>
      </c>
      <c r="W88" s="375">
        <f t="shared" si="31"/>
        <v>0</v>
      </c>
      <c r="X88" s="375">
        <f t="shared" si="31"/>
        <v>0</v>
      </c>
      <c r="Y88" s="375">
        <f t="shared" si="31"/>
        <v>0</v>
      </c>
      <c r="Z88" s="375">
        <f t="shared" si="31"/>
        <v>0</v>
      </c>
      <c r="AA88" s="375">
        <f t="shared" si="31"/>
        <v>0</v>
      </c>
      <c r="AB88" s="375">
        <f t="shared" si="31"/>
        <v>0</v>
      </c>
      <c r="AC88" s="375">
        <f t="shared" si="31"/>
        <v>0</v>
      </c>
      <c r="AD88" s="375">
        <f t="shared" si="31"/>
        <v>0</v>
      </c>
      <c r="AE88" s="375">
        <f t="shared" si="31"/>
        <v>0</v>
      </c>
      <c r="AF88" s="375">
        <f t="shared" si="31"/>
        <v>0</v>
      </c>
      <c r="AG88" s="375">
        <f t="shared" si="31"/>
        <v>0</v>
      </c>
      <c r="AH88" s="375">
        <f t="shared" si="31"/>
        <v>0</v>
      </c>
      <c r="AI88" s="375">
        <f t="shared" si="31"/>
        <v>0</v>
      </c>
      <c r="AJ88" s="375">
        <f t="shared" si="31"/>
        <v>0</v>
      </c>
      <c r="AK88" s="375">
        <f t="shared" si="31"/>
        <v>0</v>
      </c>
      <c r="AL88" s="375">
        <f t="shared" si="31"/>
        <v>0</v>
      </c>
      <c r="AM88" s="375">
        <f t="shared" ref="AM88:BH88" si="32">IF(AND(AM54&gt;=$D$31,AM54&lt;=($D$31+$D$32)),AM84*AM91-AM87,0)</f>
        <v>0</v>
      </c>
      <c r="AN88" s="375">
        <f t="shared" si="32"/>
        <v>0</v>
      </c>
      <c r="AO88" s="375">
        <f t="shared" si="32"/>
        <v>0</v>
      </c>
      <c r="AP88" s="375">
        <f t="shared" si="32"/>
        <v>0</v>
      </c>
      <c r="AQ88" s="375">
        <f t="shared" si="32"/>
        <v>0</v>
      </c>
      <c r="AR88" s="375">
        <f t="shared" si="32"/>
        <v>0</v>
      </c>
      <c r="AS88" s="375">
        <f t="shared" si="32"/>
        <v>0</v>
      </c>
      <c r="AT88" s="375">
        <f t="shared" si="32"/>
        <v>0</v>
      </c>
      <c r="AU88" s="375">
        <f t="shared" si="32"/>
        <v>0</v>
      </c>
      <c r="AV88" s="375">
        <f t="shared" si="32"/>
        <v>0</v>
      </c>
      <c r="AW88" s="375">
        <f t="shared" si="32"/>
        <v>0</v>
      </c>
      <c r="AX88" s="375">
        <f t="shared" si="32"/>
        <v>0</v>
      </c>
      <c r="AY88" s="375">
        <f t="shared" si="32"/>
        <v>0</v>
      </c>
      <c r="AZ88" s="375">
        <f t="shared" si="32"/>
        <v>0</v>
      </c>
      <c r="BA88" s="375">
        <f t="shared" si="32"/>
        <v>0</v>
      </c>
      <c r="BB88" s="375">
        <f t="shared" si="32"/>
        <v>0</v>
      </c>
      <c r="BC88" s="375">
        <f t="shared" si="32"/>
        <v>0</v>
      </c>
      <c r="BD88" s="375">
        <f t="shared" si="32"/>
        <v>0</v>
      </c>
      <c r="BE88" s="375">
        <f t="shared" si="32"/>
        <v>0</v>
      </c>
      <c r="BF88" s="375">
        <f t="shared" si="32"/>
        <v>0</v>
      </c>
      <c r="BG88" s="375">
        <f t="shared" si="32"/>
        <v>0</v>
      </c>
      <c r="BH88" s="375">
        <f t="shared" si="32"/>
        <v>0</v>
      </c>
      <c r="BI88" s="175"/>
      <c r="BJ88" s="121"/>
      <c r="BK88" s="121"/>
      <c r="BL88" s="121"/>
      <c r="BM88" s="121"/>
      <c r="BN88" s="121"/>
      <c r="BO88" s="121"/>
    </row>
    <row r="89" spans="2:70" ht="12.75">
      <c r="C89" s="2005" t="s">
        <v>285</v>
      </c>
      <c r="D89" s="2007"/>
      <c r="E89" s="2007"/>
      <c r="F89" s="121"/>
      <c r="G89" s="121"/>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200"/>
      <c r="BJ89" s="121"/>
      <c r="BK89" s="121"/>
      <c r="BL89" s="121"/>
      <c r="BM89" s="121"/>
      <c r="BN89" s="121"/>
      <c r="BO89" s="121"/>
    </row>
    <row r="90" spans="2:70" ht="12.75">
      <c r="C90" s="201"/>
      <c r="D90" s="121" t="s">
        <v>827</v>
      </c>
      <c r="E90" s="121" t="str">
        <f>IF(C7="railbelt south of Alaska Range","mmBtu per year","gallons per year")</f>
        <v>gallons per year</v>
      </c>
      <c r="F90" s="196">
        <f t="shared" ref="F90:AK90" si="33">IF(AND(F54&gt;=$D$31,F54&lt;=($D$31+$D$32)),$P$26,0)</f>
        <v>0</v>
      </c>
      <c r="G90" s="196">
        <f t="shared" si="33"/>
        <v>0</v>
      </c>
      <c r="H90" s="196">
        <f t="shared" si="33"/>
        <v>0</v>
      </c>
      <c r="I90" s="196">
        <f t="shared" si="33"/>
        <v>0</v>
      </c>
      <c r="J90" s="196">
        <f t="shared" si="33"/>
        <v>0</v>
      </c>
      <c r="K90" s="196">
        <f t="shared" si="33"/>
        <v>0</v>
      </c>
      <c r="L90" s="196">
        <f t="shared" si="33"/>
        <v>0</v>
      </c>
      <c r="M90" s="196">
        <f t="shared" si="33"/>
        <v>0</v>
      </c>
      <c r="N90" s="196">
        <f t="shared" si="33"/>
        <v>0</v>
      </c>
      <c r="O90" s="196">
        <f t="shared" si="33"/>
        <v>0</v>
      </c>
      <c r="P90" s="196">
        <f t="shared" si="33"/>
        <v>0</v>
      </c>
      <c r="Q90" s="196">
        <f t="shared" si="33"/>
        <v>0</v>
      </c>
      <c r="R90" s="196">
        <f t="shared" si="33"/>
        <v>0</v>
      </c>
      <c r="S90" s="196">
        <f t="shared" si="33"/>
        <v>0</v>
      </c>
      <c r="T90" s="196">
        <f t="shared" si="33"/>
        <v>0</v>
      </c>
      <c r="U90" s="196">
        <f t="shared" si="33"/>
        <v>0</v>
      </c>
      <c r="V90" s="196">
        <f t="shared" si="33"/>
        <v>0</v>
      </c>
      <c r="W90" s="196">
        <f t="shared" si="33"/>
        <v>0</v>
      </c>
      <c r="X90" s="196">
        <f t="shared" si="33"/>
        <v>0</v>
      </c>
      <c r="Y90" s="196">
        <f t="shared" si="33"/>
        <v>0</v>
      </c>
      <c r="Z90" s="196">
        <f t="shared" si="33"/>
        <v>0</v>
      </c>
      <c r="AA90" s="196">
        <f t="shared" si="33"/>
        <v>0</v>
      </c>
      <c r="AB90" s="196">
        <f t="shared" si="33"/>
        <v>0</v>
      </c>
      <c r="AC90" s="196">
        <f t="shared" si="33"/>
        <v>0</v>
      </c>
      <c r="AD90" s="196">
        <f t="shared" si="33"/>
        <v>0</v>
      </c>
      <c r="AE90" s="196">
        <f t="shared" si="33"/>
        <v>0</v>
      </c>
      <c r="AF90" s="196">
        <f t="shared" si="33"/>
        <v>0</v>
      </c>
      <c r="AG90" s="196">
        <f t="shared" si="33"/>
        <v>0</v>
      </c>
      <c r="AH90" s="196">
        <f t="shared" si="33"/>
        <v>0</v>
      </c>
      <c r="AI90" s="196">
        <f t="shared" si="33"/>
        <v>0</v>
      </c>
      <c r="AJ90" s="196">
        <f t="shared" si="33"/>
        <v>0</v>
      </c>
      <c r="AK90" s="196">
        <f t="shared" si="33"/>
        <v>0</v>
      </c>
      <c r="AL90" s="196">
        <f t="shared" ref="AL90:BH90" si="34">IF(AND(AL54&gt;=$D$31,AL54&lt;=($D$31+$D$32)),$P$26,0)</f>
        <v>0</v>
      </c>
      <c r="AM90" s="196">
        <f t="shared" si="34"/>
        <v>0</v>
      </c>
      <c r="AN90" s="196">
        <f t="shared" si="34"/>
        <v>0</v>
      </c>
      <c r="AO90" s="196">
        <f t="shared" si="34"/>
        <v>0</v>
      </c>
      <c r="AP90" s="196">
        <f t="shared" si="34"/>
        <v>0</v>
      </c>
      <c r="AQ90" s="196">
        <f t="shared" si="34"/>
        <v>0</v>
      </c>
      <c r="AR90" s="196">
        <f t="shared" si="34"/>
        <v>0</v>
      </c>
      <c r="AS90" s="196">
        <f t="shared" si="34"/>
        <v>0</v>
      </c>
      <c r="AT90" s="196">
        <f t="shared" si="34"/>
        <v>0</v>
      </c>
      <c r="AU90" s="196">
        <f t="shared" si="34"/>
        <v>0</v>
      </c>
      <c r="AV90" s="196">
        <f t="shared" si="34"/>
        <v>0</v>
      </c>
      <c r="AW90" s="196">
        <f t="shared" si="34"/>
        <v>0</v>
      </c>
      <c r="AX90" s="196">
        <f t="shared" si="34"/>
        <v>0</v>
      </c>
      <c r="AY90" s="196">
        <f t="shared" si="34"/>
        <v>0</v>
      </c>
      <c r="AZ90" s="196">
        <f t="shared" si="34"/>
        <v>0</v>
      </c>
      <c r="BA90" s="196">
        <f t="shared" si="34"/>
        <v>0</v>
      </c>
      <c r="BB90" s="196">
        <f t="shared" si="34"/>
        <v>0</v>
      </c>
      <c r="BC90" s="196">
        <f t="shared" si="34"/>
        <v>0</v>
      </c>
      <c r="BD90" s="196">
        <f t="shared" si="34"/>
        <v>0</v>
      </c>
      <c r="BE90" s="196">
        <f t="shared" si="34"/>
        <v>0</v>
      </c>
      <c r="BF90" s="196">
        <f t="shared" si="34"/>
        <v>0</v>
      </c>
      <c r="BG90" s="196">
        <f t="shared" si="34"/>
        <v>0</v>
      </c>
      <c r="BH90" s="196">
        <f t="shared" si="34"/>
        <v>0</v>
      </c>
      <c r="BI90" s="175"/>
      <c r="BJ90" s="121"/>
      <c r="BK90" s="121"/>
      <c r="BL90" s="121"/>
      <c r="BM90" s="121"/>
      <c r="BN90" s="121"/>
      <c r="BO90" s="121"/>
    </row>
    <row r="91" spans="2:70" ht="12.75">
      <c r="C91" s="201"/>
      <c r="D91" s="121" t="s">
        <v>270</v>
      </c>
      <c r="E91" s="121" t="str">
        <f>IF(C7="railbelt south of alaska range","$ per mmBtu","$ per gallon")</f>
        <v>$ per gallon</v>
      </c>
      <c r="F91" s="187"/>
      <c r="G91" s="187">
        <f>G73+$D$47</f>
        <v>4.2059794220983502</v>
      </c>
      <c r="H91" s="187">
        <f t="shared" ref="H91:BH91" si="35">H73+$D$47</f>
        <v>4.6732754001702883</v>
      </c>
      <c r="I91" s="187">
        <f t="shared" si="35"/>
        <v>4.8376162909716216</v>
      </c>
      <c r="J91" s="187">
        <f t="shared" si="35"/>
        <v>4.8496361886136912</v>
      </c>
      <c r="K91" s="187">
        <f t="shared" si="35"/>
        <v>4.9056275244664125</v>
      </c>
      <c r="L91" s="187">
        <f t="shared" si="35"/>
        <v>4.9619109251504847</v>
      </c>
      <c r="M91" s="187">
        <f t="shared" si="35"/>
        <v>5.0381773568460284</v>
      </c>
      <c r="N91" s="187">
        <f t="shared" si="35"/>
        <v>5.1199306055642086</v>
      </c>
      <c r="O91" s="187">
        <f t="shared" si="35"/>
        <v>5.2046041917591079</v>
      </c>
      <c r="P91" s="187">
        <f t="shared" si="35"/>
        <v>5.2910732209604339</v>
      </c>
      <c r="Q91" s="187">
        <f t="shared" si="35"/>
        <v>5.377947971766412</v>
      </c>
      <c r="R91" s="187">
        <f t="shared" si="35"/>
        <v>5.4704967063761769</v>
      </c>
      <c r="S91" s="187">
        <f t="shared" si="35"/>
        <v>5.5653090792390989</v>
      </c>
      <c r="T91" s="187">
        <f t="shared" si="35"/>
        <v>5.6624414849609002</v>
      </c>
      <c r="U91" s="187">
        <f t="shared" si="35"/>
        <v>5.7619514121882238</v>
      </c>
      <c r="V91" s="187">
        <f t="shared" si="35"/>
        <v>5.863897589004015</v>
      </c>
      <c r="W91" s="187">
        <f t="shared" si="35"/>
        <v>5.9683408481979816</v>
      </c>
      <c r="X91" s="187">
        <f t="shared" si="35"/>
        <v>6.075342926874276</v>
      </c>
      <c r="Y91" s="187">
        <f t="shared" si="35"/>
        <v>6.184818158118297</v>
      </c>
      <c r="Z91" s="187">
        <f t="shared" si="35"/>
        <v>6.292419236935225</v>
      </c>
      <c r="AA91" s="187">
        <f t="shared" si="35"/>
        <v>6.4056246146124609</v>
      </c>
      <c r="AB91" s="187">
        <f t="shared" si="35"/>
        <v>6.5219530773050831</v>
      </c>
      <c r="AC91" s="187">
        <f t="shared" si="35"/>
        <v>6.6360405950884838</v>
      </c>
      <c r="AD91" s="187">
        <f t="shared" si="35"/>
        <v>6.7587026423442191</v>
      </c>
      <c r="AE91" s="187">
        <f t="shared" si="35"/>
        <v>6.8910386217753219</v>
      </c>
      <c r="AF91" s="187">
        <f t="shared" si="35"/>
        <v>7.014392524247052</v>
      </c>
      <c r="AG91" s="187">
        <f t="shared" si="35"/>
        <v>7.014392524247052</v>
      </c>
      <c r="AH91" s="187">
        <f t="shared" si="35"/>
        <v>7.014392524247052</v>
      </c>
      <c r="AI91" s="187">
        <f t="shared" si="35"/>
        <v>7.014392524247052</v>
      </c>
      <c r="AJ91" s="187">
        <f t="shared" si="35"/>
        <v>7.014392524247052</v>
      </c>
      <c r="AK91" s="187">
        <f t="shared" si="35"/>
        <v>7.014392524247052</v>
      </c>
      <c r="AL91" s="187">
        <f t="shared" si="35"/>
        <v>7.014392524247052</v>
      </c>
      <c r="AM91" s="187">
        <f t="shared" si="35"/>
        <v>7.014392524247052</v>
      </c>
      <c r="AN91" s="187">
        <f t="shared" si="35"/>
        <v>7.014392524247052</v>
      </c>
      <c r="AO91" s="187">
        <f t="shared" si="35"/>
        <v>7.014392524247052</v>
      </c>
      <c r="AP91" s="187">
        <f t="shared" si="35"/>
        <v>7.014392524247052</v>
      </c>
      <c r="AQ91" s="187">
        <f t="shared" si="35"/>
        <v>7.014392524247052</v>
      </c>
      <c r="AR91" s="187">
        <f t="shared" si="35"/>
        <v>7.014392524247052</v>
      </c>
      <c r="AS91" s="187">
        <f t="shared" si="35"/>
        <v>7.014392524247052</v>
      </c>
      <c r="AT91" s="187">
        <f t="shared" si="35"/>
        <v>7.014392524247052</v>
      </c>
      <c r="AU91" s="187">
        <f t="shared" si="35"/>
        <v>7.014392524247052</v>
      </c>
      <c r="AV91" s="187">
        <f t="shared" si="35"/>
        <v>7.014392524247052</v>
      </c>
      <c r="AW91" s="187">
        <f t="shared" si="35"/>
        <v>7.014392524247052</v>
      </c>
      <c r="AX91" s="187">
        <f t="shared" si="35"/>
        <v>7.014392524247052</v>
      </c>
      <c r="AY91" s="187">
        <f t="shared" si="35"/>
        <v>7.014392524247052</v>
      </c>
      <c r="AZ91" s="187">
        <f t="shared" si="35"/>
        <v>7.014392524247052</v>
      </c>
      <c r="BA91" s="187">
        <f t="shared" si="35"/>
        <v>7.014392524247052</v>
      </c>
      <c r="BB91" s="187">
        <f t="shared" si="35"/>
        <v>7.014392524247052</v>
      </c>
      <c r="BC91" s="187">
        <f t="shared" si="35"/>
        <v>7.014392524247052</v>
      </c>
      <c r="BD91" s="187">
        <f t="shared" si="35"/>
        <v>7.014392524247052</v>
      </c>
      <c r="BE91" s="187">
        <f t="shared" si="35"/>
        <v>7.014392524247052</v>
      </c>
      <c r="BF91" s="187">
        <f t="shared" si="35"/>
        <v>7.014392524247052</v>
      </c>
      <c r="BG91" s="187">
        <f t="shared" si="35"/>
        <v>7.014392524247052</v>
      </c>
      <c r="BH91" s="187">
        <f t="shared" si="35"/>
        <v>7.014392524247052</v>
      </c>
      <c r="BI91" s="175"/>
      <c r="BJ91" s="121"/>
      <c r="BK91" s="121"/>
      <c r="BL91" s="121"/>
      <c r="BM91" s="121"/>
      <c r="BN91" s="121"/>
      <c r="BO91" s="121"/>
    </row>
    <row r="92" spans="2:70" ht="12.75">
      <c r="C92" s="201" t="s">
        <v>277</v>
      </c>
      <c r="D92" s="121" t="s">
        <v>382</v>
      </c>
      <c r="E92" s="121" t="s">
        <v>264</v>
      </c>
      <c r="F92" s="176">
        <v>0</v>
      </c>
      <c r="G92" s="176">
        <f t="shared" ref="G92:AL92" si="36">IF(AND(G54&gt;=$D$31,G54&lt;=($D$31+$D$32)),500,0)</f>
        <v>0</v>
      </c>
      <c r="H92" s="176">
        <f t="shared" si="36"/>
        <v>0</v>
      </c>
      <c r="I92" s="176">
        <f t="shared" si="36"/>
        <v>0</v>
      </c>
      <c r="J92" s="176">
        <f t="shared" si="36"/>
        <v>0</v>
      </c>
      <c r="K92" s="176">
        <f t="shared" si="36"/>
        <v>0</v>
      </c>
      <c r="L92" s="176">
        <f t="shared" si="36"/>
        <v>0</v>
      </c>
      <c r="M92" s="176">
        <f t="shared" si="36"/>
        <v>0</v>
      </c>
      <c r="N92" s="176">
        <f t="shared" si="36"/>
        <v>0</v>
      </c>
      <c r="O92" s="176">
        <f t="shared" si="36"/>
        <v>0</v>
      </c>
      <c r="P92" s="176">
        <f t="shared" si="36"/>
        <v>0</v>
      </c>
      <c r="Q92" s="176">
        <f t="shared" si="36"/>
        <v>0</v>
      </c>
      <c r="R92" s="176">
        <f t="shared" si="36"/>
        <v>0</v>
      </c>
      <c r="S92" s="176">
        <f t="shared" si="36"/>
        <v>0</v>
      </c>
      <c r="T92" s="176">
        <f t="shared" si="36"/>
        <v>0</v>
      </c>
      <c r="U92" s="176">
        <f t="shared" si="36"/>
        <v>0</v>
      </c>
      <c r="V92" s="176">
        <f t="shared" si="36"/>
        <v>0</v>
      </c>
      <c r="W92" s="176">
        <f t="shared" si="36"/>
        <v>0</v>
      </c>
      <c r="X92" s="176">
        <f t="shared" si="36"/>
        <v>0</v>
      </c>
      <c r="Y92" s="176">
        <f t="shared" si="36"/>
        <v>0</v>
      </c>
      <c r="Z92" s="176">
        <f t="shared" si="36"/>
        <v>0</v>
      </c>
      <c r="AA92" s="176">
        <f t="shared" si="36"/>
        <v>0</v>
      </c>
      <c r="AB92" s="176">
        <f t="shared" si="36"/>
        <v>0</v>
      </c>
      <c r="AC92" s="176">
        <f t="shared" si="36"/>
        <v>0</v>
      </c>
      <c r="AD92" s="176">
        <f t="shared" si="36"/>
        <v>0</v>
      </c>
      <c r="AE92" s="176">
        <f t="shared" si="36"/>
        <v>0</v>
      </c>
      <c r="AF92" s="176">
        <f t="shared" si="36"/>
        <v>0</v>
      </c>
      <c r="AG92" s="176">
        <f t="shared" si="36"/>
        <v>0</v>
      </c>
      <c r="AH92" s="176">
        <f t="shared" si="36"/>
        <v>0</v>
      </c>
      <c r="AI92" s="176">
        <f t="shared" si="36"/>
        <v>0</v>
      </c>
      <c r="AJ92" s="176">
        <f t="shared" si="36"/>
        <v>0</v>
      </c>
      <c r="AK92" s="176">
        <f t="shared" si="36"/>
        <v>0</v>
      </c>
      <c r="AL92" s="176">
        <f t="shared" si="36"/>
        <v>0</v>
      </c>
      <c r="AM92" s="176">
        <f t="shared" ref="AM92:BH92" si="37">IF(AND(AM54&gt;=$D$31,AM54&lt;=($D$31+$D$32)),500,0)</f>
        <v>0</v>
      </c>
      <c r="AN92" s="176">
        <f t="shared" si="37"/>
        <v>0</v>
      </c>
      <c r="AO92" s="176">
        <f t="shared" si="37"/>
        <v>0</v>
      </c>
      <c r="AP92" s="176">
        <f t="shared" si="37"/>
        <v>0</v>
      </c>
      <c r="AQ92" s="176">
        <f t="shared" si="37"/>
        <v>0</v>
      </c>
      <c r="AR92" s="176">
        <f t="shared" si="37"/>
        <v>0</v>
      </c>
      <c r="AS92" s="176">
        <f t="shared" si="37"/>
        <v>0</v>
      </c>
      <c r="AT92" s="176">
        <f t="shared" si="37"/>
        <v>0</v>
      </c>
      <c r="AU92" s="176">
        <f t="shared" si="37"/>
        <v>0</v>
      </c>
      <c r="AV92" s="176">
        <f t="shared" si="37"/>
        <v>0</v>
      </c>
      <c r="AW92" s="176">
        <f t="shared" si="37"/>
        <v>0</v>
      </c>
      <c r="AX92" s="176">
        <f t="shared" si="37"/>
        <v>0</v>
      </c>
      <c r="AY92" s="176">
        <f t="shared" si="37"/>
        <v>0</v>
      </c>
      <c r="AZ92" s="176">
        <f t="shared" si="37"/>
        <v>0</v>
      </c>
      <c r="BA92" s="176">
        <f t="shared" si="37"/>
        <v>0</v>
      </c>
      <c r="BB92" s="176">
        <f t="shared" si="37"/>
        <v>0</v>
      </c>
      <c r="BC92" s="176">
        <f t="shared" si="37"/>
        <v>0</v>
      </c>
      <c r="BD92" s="176">
        <f t="shared" si="37"/>
        <v>0</v>
      </c>
      <c r="BE92" s="176">
        <f t="shared" si="37"/>
        <v>0</v>
      </c>
      <c r="BF92" s="176">
        <f t="shared" si="37"/>
        <v>0</v>
      </c>
      <c r="BG92" s="176">
        <f t="shared" si="37"/>
        <v>0</v>
      </c>
      <c r="BH92" s="176">
        <f t="shared" si="37"/>
        <v>0</v>
      </c>
      <c r="BI92" s="175">
        <f>NPV($D$49,F92:BH92)</f>
        <v>0</v>
      </c>
      <c r="BJ92" s="121"/>
      <c r="BK92" s="121"/>
      <c r="BL92" s="121"/>
      <c r="BM92" s="121"/>
      <c r="BN92" s="121"/>
      <c r="BO92" s="121"/>
    </row>
    <row r="93" spans="2:70" ht="12.75">
      <c r="C93" s="201" t="s">
        <v>277</v>
      </c>
      <c r="D93" s="121" t="s">
        <v>316</v>
      </c>
      <c r="E93" s="121" t="s">
        <v>264</v>
      </c>
      <c r="F93" s="176">
        <v>0</v>
      </c>
      <c r="G93" s="176">
        <f t="shared" ref="G93:AL93" si="38">IF(AND(G54&gt;=$D$31,G54&lt;=($D$31+$D$31)),1000,0)</f>
        <v>0</v>
      </c>
      <c r="H93" s="176">
        <f t="shared" si="38"/>
        <v>0</v>
      </c>
      <c r="I93" s="176">
        <f t="shared" si="38"/>
        <v>0</v>
      </c>
      <c r="J93" s="176">
        <f t="shared" si="38"/>
        <v>0</v>
      </c>
      <c r="K93" s="176">
        <f t="shared" si="38"/>
        <v>0</v>
      </c>
      <c r="L93" s="176">
        <f t="shared" si="38"/>
        <v>0</v>
      </c>
      <c r="M93" s="176">
        <f t="shared" si="38"/>
        <v>0</v>
      </c>
      <c r="N93" s="176">
        <f t="shared" si="38"/>
        <v>0</v>
      </c>
      <c r="O93" s="176">
        <f t="shared" si="38"/>
        <v>0</v>
      </c>
      <c r="P93" s="176">
        <f t="shared" si="38"/>
        <v>0</v>
      </c>
      <c r="Q93" s="176">
        <f t="shared" si="38"/>
        <v>0</v>
      </c>
      <c r="R93" s="176">
        <f t="shared" si="38"/>
        <v>0</v>
      </c>
      <c r="S93" s="176">
        <f t="shared" si="38"/>
        <v>0</v>
      </c>
      <c r="T93" s="176">
        <f t="shared" si="38"/>
        <v>0</v>
      </c>
      <c r="U93" s="176">
        <f t="shared" si="38"/>
        <v>0</v>
      </c>
      <c r="V93" s="176">
        <f t="shared" si="38"/>
        <v>0</v>
      </c>
      <c r="W93" s="176">
        <f t="shared" si="38"/>
        <v>0</v>
      </c>
      <c r="X93" s="176">
        <f t="shared" si="38"/>
        <v>0</v>
      </c>
      <c r="Y93" s="176">
        <f t="shared" si="38"/>
        <v>0</v>
      </c>
      <c r="Z93" s="176">
        <f t="shared" si="38"/>
        <v>0</v>
      </c>
      <c r="AA93" s="176">
        <f t="shared" si="38"/>
        <v>0</v>
      </c>
      <c r="AB93" s="176">
        <f t="shared" si="38"/>
        <v>0</v>
      </c>
      <c r="AC93" s="176">
        <f t="shared" si="38"/>
        <v>0</v>
      </c>
      <c r="AD93" s="176">
        <f t="shared" si="38"/>
        <v>0</v>
      </c>
      <c r="AE93" s="176">
        <f t="shared" si="38"/>
        <v>0</v>
      </c>
      <c r="AF93" s="176">
        <f t="shared" si="38"/>
        <v>0</v>
      </c>
      <c r="AG93" s="176">
        <f t="shared" si="38"/>
        <v>0</v>
      </c>
      <c r="AH93" s="176">
        <f t="shared" si="38"/>
        <v>0</v>
      </c>
      <c r="AI93" s="176">
        <f t="shared" si="38"/>
        <v>0</v>
      </c>
      <c r="AJ93" s="176">
        <f t="shared" si="38"/>
        <v>0</v>
      </c>
      <c r="AK93" s="176">
        <f t="shared" si="38"/>
        <v>0</v>
      </c>
      <c r="AL93" s="176">
        <f t="shared" si="38"/>
        <v>0</v>
      </c>
      <c r="AM93" s="176">
        <f t="shared" ref="AM93:BH93" si="39">IF(AND(AM54&gt;=$D$31,AM54&lt;=($D$31+$D$31)),1000,0)</f>
        <v>0</v>
      </c>
      <c r="AN93" s="176">
        <f t="shared" si="39"/>
        <v>0</v>
      </c>
      <c r="AO93" s="176">
        <f t="shared" si="39"/>
        <v>0</v>
      </c>
      <c r="AP93" s="176">
        <f t="shared" si="39"/>
        <v>0</v>
      </c>
      <c r="AQ93" s="176">
        <f t="shared" si="39"/>
        <v>0</v>
      </c>
      <c r="AR93" s="176">
        <f t="shared" si="39"/>
        <v>0</v>
      </c>
      <c r="AS93" s="176">
        <f t="shared" si="39"/>
        <v>0</v>
      </c>
      <c r="AT93" s="176">
        <f t="shared" si="39"/>
        <v>0</v>
      </c>
      <c r="AU93" s="176">
        <f t="shared" si="39"/>
        <v>0</v>
      </c>
      <c r="AV93" s="176">
        <f t="shared" si="39"/>
        <v>0</v>
      </c>
      <c r="AW93" s="176">
        <f t="shared" si="39"/>
        <v>0</v>
      </c>
      <c r="AX93" s="176">
        <f t="shared" si="39"/>
        <v>0</v>
      </c>
      <c r="AY93" s="176">
        <f t="shared" si="39"/>
        <v>0</v>
      </c>
      <c r="AZ93" s="176">
        <f t="shared" si="39"/>
        <v>0</v>
      </c>
      <c r="BA93" s="176">
        <f t="shared" si="39"/>
        <v>0</v>
      </c>
      <c r="BB93" s="176">
        <f t="shared" si="39"/>
        <v>0</v>
      </c>
      <c r="BC93" s="176">
        <f t="shared" si="39"/>
        <v>0</v>
      </c>
      <c r="BD93" s="176">
        <f t="shared" si="39"/>
        <v>0</v>
      </c>
      <c r="BE93" s="176">
        <f t="shared" si="39"/>
        <v>0</v>
      </c>
      <c r="BF93" s="176">
        <f t="shared" si="39"/>
        <v>0</v>
      </c>
      <c r="BG93" s="176">
        <f t="shared" si="39"/>
        <v>0</v>
      </c>
      <c r="BH93" s="176">
        <f t="shared" si="39"/>
        <v>0</v>
      </c>
      <c r="BI93" s="175">
        <f>NPV($D$49,F93:BH93)</f>
        <v>0</v>
      </c>
      <c r="BJ93" s="121"/>
      <c r="BK93" s="121"/>
      <c r="BL93" s="121"/>
      <c r="BM93" s="121"/>
      <c r="BN93" s="121"/>
      <c r="BO93" s="121"/>
    </row>
    <row r="94" spans="2:70" ht="12.75">
      <c r="C94" s="190"/>
      <c r="D94" s="121" t="s">
        <v>270</v>
      </c>
      <c r="E94" s="121" t="s">
        <v>264</v>
      </c>
      <c r="F94" s="191">
        <f t="shared" ref="F94:AK94" si="40">F90*F91</f>
        <v>0</v>
      </c>
      <c r="G94" s="191">
        <f t="shared" si="40"/>
        <v>0</v>
      </c>
      <c r="H94" s="191">
        <f t="shared" si="40"/>
        <v>0</v>
      </c>
      <c r="I94" s="191">
        <f t="shared" si="40"/>
        <v>0</v>
      </c>
      <c r="J94" s="191">
        <f t="shared" si="40"/>
        <v>0</v>
      </c>
      <c r="K94" s="191">
        <f t="shared" si="40"/>
        <v>0</v>
      </c>
      <c r="L94" s="191">
        <f t="shared" si="40"/>
        <v>0</v>
      </c>
      <c r="M94" s="191">
        <f t="shared" si="40"/>
        <v>0</v>
      </c>
      <c r="N94" s="191">
        <f t="shared" si="40"/>
        <v>0</v>
      </c>
      <c r="O94" s="191">
        <f t="shared" si="40"/>
        <v>0</v>
      </c>
      <c r="P94" s="191">
        <f t="shared" si="40"/>
        <v>0</v>
      </c>
      <c r="Q94" s="191">
        <f t="shared" si="40"/>
        <v>0</v>
      </c>
      <c r="R94" s="191">
        <f t="shared" si="40"/>
        <v>0</v>
      </c>
      <c r="S94" s="191">
        <f t="shared" si="40"/>
        <v>0</v>
      </c>
      <c r="T94" s="191">
        <f t="shared" si="40"/>
        <v>0</v>
      </c>
      <c r="U94" s="191">
        <f t="shared" si="40"/>
        <v>0</v>
      </c>
      <c r="V94" s="191">
        <f t="shared" si="40"/>
        <v>0</v>
      </c>
      <c r="W94" s="191">
        <f t="shared" si="40"/>
        <v>0</v>
      </c>
      <c r="X94" s="191">
        <f t="shared" si="40"/>
        <v>0</v>
      </c>
      <c r="Y94" s="191">
        <f t="shared" si="40"/>
        <v>0</v>
      </c>
      <c r="Z94" s="191">
        <f t="shared" si="40"/>
        <v>0</v>
      </c>
      <c r="AA94" s="191">
        <f t="shared" si="40"/>
        <v>0</v>
      </c>
      <c r="AB94" s="191">
        <f t="shared" si="40"/>
        <v>0</v>
      </c>
      <c r="AC94" s="191">
        <f t="shared" si="40"/>
        <v>0</v>
      </c>
      <c r="AD94" s="191">
        <f t="shared" si="40"/>
        <v>0</v>
      </c>
      <c r="AE94" s="191">
        <f t="shared" si="40"/>
        <v>0</v>
      </c>
      <c r="AF94" s="191">
        <f t="shared" si="40"/>
        <v>0</v>
      </c>
      <c r="AG94" s="191">
        <f t="shared" si="40"/>
        <v>0</v>
      </c>
      <c r="AH94" s="191">
        <f t="shared" si="40"/>
        <v>0</v>
      </c>
      <c r="AI94" s="191">
        <f t="shared" si="40"/>
        <v>0</v>
      </c>
      <c r="AJ94" s="191">
        <f t="shared" si="40"/>
        <v>0</v>
      </c>
      <c r="AK94" s="191">
        <f t="shared" si="40"/>
        <v>0</v>
      </c>
      <c r="AL94" s="191">
        <f t="shared" ref="AL94:BH94" si="41">AL90*AL91</f>
        <v>0</v>
      </c>
      <c r="AM94" s="191">
        <f t="shared" si="41"/>
        <v>0</v>
      </c>
      <c r="AN94" s="191">
        <f t="shared" si="41"/>
        <v>0</v>
      </c>
      <c r="AO94" s="191">
        <f t="shared" si="41"/>
        <v>0</v>
      </c>
      <c r="AP94" s="191">
        <f t="shared" si="41"/>
        <v>0</v>
      </c>
      <c r="AQ94" s="191">
        <f t="shared" si="41"/>
        <v>0</v>
      </c>
      <c r="AR94" s="191">
        <f t="shared" si="41"/>
        <v>0</v>
      </c>
      <c r="AS94" s="191">
        <f t="shared" si="41"/>
        <v>0</v>
      </c>
      <c r="AT94" s="191">
        <f t="shared" si="41"/>
        <v>0</v>
      </c>
      <c r="AU94" s="191">
        <f t="shared" si="41"/>
        <v>0</v>
      </c>
      <c r="AV94" s="191">
        <f t="shared" si="41"/>
        <v>0</v>
      </c>
      <c r="AW94" s="191">
        <f t="shared" si="41"/>
        <v>0</v>
      </c>
      <c r="AX94" s="191">
        <f t="shared" si="41"/>
        <v>0</v>
      </c>
      <c r="AY94" s="191">
        <f t="shared" si="41"/>
        <v>0</v>
      </c>
      <c r="AZ94" s="191">
        <f t="shared" si="41"/>
        <v>0</v>
      </c>
      <c r="BA94" s="191">
        <f t="shared" si="41"/>
        <v>0</v>
      </c>
      <c r="BB94" s="191">
        <f t="shared" si="41"/>
        <v>0</v>
      </c>
      <c r="BC94" s="191">
        <f t="shared" si="41"/>
        <v>0</v>
      </c>
      <c r="BD94" s="191">
        <f t="shared" si="41"/>
        <v>0</v>
      </c>
      <c r="BE94" s="191">
        <f t="shared" si="41"/>
        <v>0</v>
      </c>
      <c r="BF94" s="191">
        <f t="shared" si="41"/>
        <v>0</v>
      </c>
      <c r="BG94" s="191">
        <f t="shared" si="41"/>
        <v>0</v>
      </c>
      <c r="BH94" s="191">
        <f t="shared" si="41"/>
        <v>0</v>
      </c>
      <c r="BI94" s="175">
        <f>NPV($D$49,F94:BH94)</f>
        <v>0</v>
      </c>
      <c r="BJ94" s="121"/>
      <c r="BK94" s="121"/>
      <c r="BL94" s="121"/>
      <c r="BM94" s="121"/>
      <c r="BN94" s="121"/>
      <c r="BO94" s="121"/>
    </row>
    <row r="95" spans="2:70" s="192" customFormat="1" ht="12.75">
      <c r="B95" s="193"/>
      <c r="C95" s="202"/>
      <c r="D95" s="184" t="s">
        <v>1164</v>
      </c>
      <c r="E95" s="184" t="s">
        <v>264</v>
      </c>
      <c r="F95" s="197">
        <f>F94+F93+F92</f>
        <v>0</v>
      </c>
      <c r="G95" s="197">
        <f>G91*(G84-G90)</f>
        <v>0</v>
      </c>
      <c r="H95" s="197">
        <f t="shared" ref="H95:BH95" si="42">H91*(H84-H90)</f>
        <v>0</v>
      </c>
      <c r="I95" s="197">
        <f t="shared" si="42"/>
        <v>0</v>
      </c>
      <c r="J95" s="197">
        <f t="shared" si="42"/>
        <v>0</v>
      </c>
      <c r="K95" s="197">
        <f t="shared" si="42"/>
        <v>0</v>
      </c>
      <c r="L95" s="197">
        <f t="shared" si="42"/>
        <v>0</v>
      </c>
      <c r="M95" s="197">
        <f t="shared" si="42"/>
        <v>0</v>
      </c>
      <c r="N95" s="197">
        <f t="shared" si="42"/>
        <v>0</v>
      </c>
      <c r="O95" s="197">
        <f t="shared" si="42"/>
        <v>0</v>
      </c>
      <c r="P95" s="197">
        <f t="shared" si="42"/>
        <v>0</v>
      </c>
      <c r="Q95" s="197">
        <f t="shared" si="42"/>
        <v>0</v>
      </c>
      <c r="R95" s="197">
        <f t="shared" si="42"/>
        <v>0</v>
      </c>
      <c r="S95" s="197">
        <f t="shared" si="42"/>
        <v>0</v>
      </c>
      <c r="T95" s="197">
        <f t="shared" si="42"/>
        <v>0</v>
      </c>
      <c r="U95" s="197">
        <f t="shared" si="42"/>
        <v>0</v>
      </c>
      <c r="V95" s="197">
        <f t="shared" si="42"/>
        <v>0</v>
      </c>
      <c r="W95" s="197">
        <f t="shared" si="42"/>
        <v>0</v>
      </c>
      <c r="X95" s="197">
        <f t="shared" si="42"/>
        <v>0</v>
      </c>
      <c r="Y95" s="197">
        <f t="shared" si="42"/>
        <v>0</v>
      </c>
      <c r="Z95" s="197">
        <f t="shared" si="42"/>
        <v>0</v>
      </c>
      <c r="AA95" s="197">
        <f t="shared" si="42"/>
        <v>0</v>
      </c>
      <c r="AB95" s="197">
        <f t="shared" si="42"/>
        <v>0</v>
      </c>
      <c r="AC95" s="197">
        <f t="shared" si="42"/>
        <v>0</v>
      </c>
      <c r="AD95" s="197">
        <f t="shared" si="42"/>
        <v>0</v>
      </c>
      <c r="AE95" s="197">
        <f t="shared" si="42"/>
        <v>0</v>
      </c>
      <c r="AF95" s="197">
        <f t="shared" si="42"/>
        <v>0</v>
      </c>
      <c r="AG95" s="197">
        <f t="shared" si="42"/>
        <v>0</v>
      </c>
      <c r="AH95" s="197">
        <f t="shared" si="42"/>
        <v>0</v>
      </c>
      <c r="AI95" s="197">
        <f t="shared" si="42"/>
        <v>0</v>
      </c>
      <c r="AJ95" s="197">
        <f t="shared" si="42"/>
        <v>0</v>
      </c>
      <c r="AK95" s="197">
        <f t="shared" si="42"/>
        <v>0</v>
      </c>
      <c r="AL95" s="197">
        <f t="shared" si="42"/>
        <v>0</v>
      </c>
      <c r="AM95" s="197">
        <f t="shared" si="42"/>
        <v>0</v>
      </c>
      <c r="AN95" s="197">
        <f t="shared" si="42"/>
        <v>0</v>
      </c>
      <c r="AO95" s="197">
        <f t="shared" si="42"/>
        <v>0</v>
      </c>
      <c r="AP95" s="197">
        <f t="shared" si="42"/>
        <v>0</v>
      </c>
      <c r="AQ95" s="197">
        <f t="shared" si="42"/>
        <v>0</v>
      </c>
      <c r="AR95" s="197">
        <f t="shared" si="42"/>
        <v>0</v>
      </c>
      <c r="AS95" s="197">
        <f t="shared" si="42"/>
        <v>0</v>
      </c>
      <c r="AT95" s="197">
        <f t="shared" si="42"/>
        <v>0</v>
      </c>
      <c r="AU95" s="197">
        <f t="shared" si="42"/>
        <v>0</v>
      </c>
      <c r="AV95" s="197">
        <f t="shared" si="42"/>
        <v>0</v>
      </c>
      <c r="AW95" s="197">
        <f t="shared" si="42"/>
        <v>0</v>
      </c>
      <c r="AX95" s="197">
        <f t="shared" si="42"/>
        <v>0</v>
      </c>
      <c r="AY95" s="197">
        <f t="shared" si="42"/>
        <v>0</v>
      </c>
      <c r="AZ95" s="197">
        <f t="shared" si="42"/>
        <v>0</v>
      </c>
      <c r="BA95" s="197">
        <f t="shared" si="42"/>
        <v>0</v>
      </c>
      <c r="BB95" s="197">
        <f t="shared" si="42"/>
        <v>0</v>
      </c>
      <c r="BC95" s="197">
        <f t="shared" si="42"/>
        <v>0</v>
      </c>
      <c r="BD95" s="197">
        <f t="shared" si="42"/>
        <v>0</v>
      </c>
      <c r="BE95" s="197">
        <f t="shared" si="42"/>
        <v>0</v>
      </c>
      <c r="BF95" s="197">
        <f t="shared" si="42"/>
        <v>0</v>
      </c>
      <c r="BG95" s="197">
        <f t="shared" si="42"/>
        <v>0</v>
      </c>
      <c r="BH95" s="197">
        <f t="shared" si="42"/>
        <v>0</v>
      </c>
      <c r="BI95" s="175">
        <f>NPV($D$49,F95:BH95)</f>
        <v>0</v>
      </c>
      <c r="BJ95" s="180"/>
      <c r="BK95" s="180"/>
      <c r="BL95" s="180"/>
      <c r="BM95" s="180"/>
      <c r="BN95" s="180"/>
      <c r="BO95" s="180"/>
    </row>
    <row r="96" spans="2:70" ht="12.75">
      <c r="C96" s="186"/>
      <c r="D96" s="121"/>
      <c r="E96" s="121"/>
      <c r="F96" s="195"/>
      <c r="G96" s="195"/>
      <c r="H96" s="195"/>
      <c r="I96" s="195"/>
      <c r="J96" s="195"/>
      <c r="K96" s="195"/>
      <c r="L96" s="195"/>
      <c r="M96" s="195"/>
      <c r="N96" s="195"/>
      <c r="O96" s="195"/>
      <c r="P96" s="195"/>
      <c r="Q96" s="195"/>
      <c r="R96" s="195"/>
      <c r="S96" s="195"/>
      <c r="T96" s="195"/>
      <c r="U96" s="195"/>
      <c r="V96" s="195"/>
      <c r="W96" s="195"/>
      <c r="X96" s="195"/>
      <c r="Y96" s="195"/>
      <c r="Z96" s="195"/>
      <c r="AA96" s="195"/>
      <c r="AB96" s="195"/>
      <c r="AC96" s="195"/>
      <c r="AD96" s="195"/>
      <c r="AE96" s="195"/>
      <c r="AF96" s="195"/>
      <c r="AG96" s="195"/>
      <c r="AH96" s="195"/>
      <c r="AI96" s="195"/>
      <c r="AJ96" s="195"/>
      <c r="AK96" s="195"/>
      <c r="AL96" s="195"/>
      <c r="AM96" s="195"/>
      <c r="AN96" s="195"/>
      <c r="AO96" s="195"/>
      <c r="AP96" s="195"/>
      <c r="AQ96" s="195"/>
      <c r="AR96" s="195"/>
      <c r="AS96" s="195"/>
      <c r="AT96" s="195"/>
      <c r="AU96" s="195"/>
      <c r="AV96" s="195"/>
      <c r="AW96" s="195"/>
      <c r="AX96" s="195"/>
      <c r="AY96" s="195"/>
      <c r="AZ96" s="195"/>
      <c r="BA96" s="195"/>
      <c r="BB96" s="195"/>
      <c r="BC96" s="195"/>
      <c r="BD96" s="195"/>
      <c r="BE96" s="195"/>
      <c r="BF96" s="195"/>
      <c r="BG96" s="195"/>
      <c r="BH96" s="195"/>
      <c r="BI96" s="195"/>
      <c r="BJ96" s="195"/>
      <c r="BK96" s="195"/>
      <c r="BL96" s="195"/>
      <c r="BM96" s="195"/>
      <c r="BN96" s="195"/>
      <c r="BO96" s="175"/>
      <c r="BP96" s="121"/>
      <c r="BQ96" s="121"/>
      <c r="BR96" s="121"/>
    </row>
    <row r="97" spans="3:70" ht="12.75">
      <c r="C97" s="186"/>
      <c r="D97" s="136"/>
      <c r="E97" s="136"/>
      <c r="F97" s="136"/>
      <c r="G97" s="136"/>
      <c r="H97" s="136"/>
      <c r="I97" s="136"/>
      <c r="J97" s="136"/>
      <c r="K97" s="136"/>
      <c r="L97" s="136"/>
      <c r="M97" s="136"/>
      <c r="N97" s="136"/>
      <c r="O97" s="136"/>
      <c r="P97" s="136"/>
      <c r="Q97" s="136"/>
      <c r="R97" s="136"/>
      <c r="BO97" s="136"/>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4.25">
      <c r="F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2.75">
      <c r="C112" s="186"/>
      <c r="D112" s="136"/>
      <c r="E112" s="136"/>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4.25">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c r="F118" s="136"/>
      <c r="K118" s="136"/>
      <c r="L118" s="136"/>
      <c r="M118" s="136"/>
      <c r="N118" s="136"/>
      <c r="O118" s="136"/>
      <c r="P118" s="136"/>
      <c r="Q118" s="136"/>
      <c r="R118" s="136"/>
      <c r="BP118" s="121"/>
      <c r="BQ118" s="121"/>
      <c r="BR118" s="121"/>
    </row>
  </sheetData>
  <mergeCells count="38">
    <mergeCell ref="A1:Q1"/>
    <mergeCell ref="N17:O17"/>
    <mergeCell ref="N9:O9"/>
    <mergeCell ref="N10:O10"/>
    <mergeCell ref="N11:O11"/>
    <mergeCell ref="B2:E2"/>
    <mergeCell ref="C89:E89"/>
    <mergeCell ref="N18:O18"/>
    <mergeCell ref="N19:O19"/>
    <mergeCell ref="C66:E66"/>
    <mergeCell ref="C71:E71"/>
    <mergeCell ref="C83:E83"/>
    <mergeCell ref="N31:O31"/>
    <mergeCell ref="N29:O29"/>
    <mergeCell ref="I18:J18"/>
    <mergeCell ref="S7:U7"/>
    <mergeCell ref="N7:O7"/>
    <mergeCell ref="S15:T15"/>
    <mergeCell ref="N12:O12"/>
    <mergeCell ref="N13:O13"/>
    <mergeCell ref="N14:O14"/>
    <mergeCell ref="N15:O15"/>
    <mergeCell ref="R5:R6"/>
    <mergeCell ref="N30:O30"/>
    <mergeCell ref="H2:R2"/>
    <mergeCell ref="N25:O25"/>
    <mergeCell ref="N26:O26"/>
    <mergeCell ref="N27:O27"/>
    <mergeCell ref="N28:O28"/>
    <mergeCell ref="N20:O20"/>
    <mergeCell ref="N21:O21"/>
    <mergeCell ref="N23:O23"/>
    <mergeCell ref="N22:O22"/>
    <mergeCell ref="N24:O24"/>
    <mergeCell ref="N8:O8"/>
    <mergeCell ref="N5:Q6"/>
    <mergeCell ref="N16:O16"/>
    <mergeCell ref="K3:L3"/>
  </mergeCells>
  <dataValidations count="4">
    <dataValidation type="list" allowBlank="1" showInputMessage="1" showErrorMessage="1" sqref="C7">
      <formula1>Region</formula1>
    </dataValidation>
    <dataValidation type="list" allowBlank="1" showInputMessage="1" showErrorMessage="1" sqref="C8">
      <formula1>RE_Technology</formula1>
    </dataValidation>
    <dataValidation type="list" allowBlank="1" showInputMessage="1" showErrorMessage="1" sqref="J14 J12">
      <formula1>"Yes,No"</formula1>
    </dataValidation>
    <dataValidation type="list" allowBlank="1" showInputMessage="1" showErrorMessage="1" sqref="J5">
      <formula1>$A$42:$A$43</formula1>
    </dataValidation>
  </dataValidations>
  <pageMargins left="0.7" right="0.7" top="0.75" bottom="0.75" header="0.3" footer="0.3"/>
  <pageSetup paperSize="5" scale="31"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J10:J11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N410"/>
  <sheetViews>
    <sheetView workbookViewId="0">
      <selection activeCell="J1" sqref="J1:J1048576"/>
    </sheetView>
  </sheetViews>
  <sheetFormatPr defaultRowHeight="12.75"/>
  <cols>
    <col min="1" max="1" width="23.28515625" bestFit="1" customWidth="1"/>
    <col min="4" max="4" width="10" style="90" customWidth="1"/>
    <col min="5" max="5" width="10.7109375" customWidth="1"/>
    <col min="7" max="7" width="11.140625" customWidth="1"/>
    <col min="10" max="10" width="10.28515625" style="1689" customWidth="1"/>
    <col min="11" max="11" width="11.85546875" style="1638" customWidth="1"/>
    <col min="12" max="12" width="10.28515625" style="1638" customWidth="1"/>
    <col min="13" max="13" width="130" bestFit="1" customWidth="1"/>
  </cols>
  <sheetData>
    <row r="1" spans="1:14" ht="48">
      <c r="A1" s="90"/>
      <c r="B1" s="1608"/>
      <c r="C1" s="1609" t="s">
        <v>1499</v>
      </c>
      <c r="D1" s="1609"/>
      <c r="E1" s="1611"/>
      <c r="F1" s="90" t="s">
        <v>1500</v>
      </c>
      <c r="G1" s="1606"/>
      <c r="H1" s="1606"/>
      <c r="I1" s="1608"/>
      <c r="M1" s="90" t="s">
        <v>1501</v>
      </c>
    </row>
    <row r="2" spans="1:14" ht="56.25">
      <c r="A2" s="1612" t="s">
        <v>1502</v>
      </c>
      <c r="B2" s="1613" t="s">
        <v>1503</v>
      </c>
      <c r="C2" s="1614" t="s">
        <v>1504</v>
      </c>
      <c r="D2" s="1614" t="s">
        <v>1886</v>
      </c>
      <c r="E2" s="1615" t="s">
        <v>1505</v>
      </c>
      <c r="F2" s="1615" t="s">
        <v>1506</v>
      </c>
      <c r="G2" s="1615" t="s">
        <v>1507</v>
      </c>
      <c r="H2" s="1615" t="s">
        <v>1508</v>
      </c>
      <c r="I2" s="1613" t="s">
        <v>1509</v>
      </c>
      <c r="J2" s="1615" t="s">
        <v>1207</v>
      </c>
      <c r="K2" s="1639" t="s">
        <v>1898</v>
      </c>
      <c r="L2" s="1639" t="s">
        <v>1897</v>
      </c>
      <c r="M2" s="1612" t="s">
        <v>1510</v>
      </c>
      <c r="N2" t="s">
        <v>1511</v>
      </c>
    </row>
    <row r="3" spans="1:14" ht="18.75">
      <c r="A3" s="90" t="s">
        <v>969</v>
      </c>
      <c r="B3" s="1608" t="s">
        <v>1515</v>
      </c>
      <c r="C3" s="1610" t="s">
        <v>1515</v>
      </c>
      <c r="D3" s="1610">
        <v>6</v>
      </c>
      <c r="E3" s="1606" t="s">
        <v>1515</v>
      </c>
      <c r="F3" s="1606" t="s">
        <v>1516</v>
      </c>
      <c r="G3" s="1606" t="s">
        <v>1516</v>
      </c>
      <c r="H3" s="1606" t="s">
        <v>1516</v>
      </c>
      <c r="I3" s="1608" t="s">
        <v>1516</v>
      </c>
      <c r="J3" s="1689" t="s">
        <v>1526</v>
      </c>
      <c r="M3" s="1590" t="s">
        <v>1527</v>
      </c>
      <c r="N3" t="s">
        <v>1528</v>
      </c>
    </row>
    <row r="4" spans="1:14" ht="18.75">
      <c r="A4" s="90" t="s">
        <v>1384</v>
      </c>
      <c r="B4" s="1608"/>
      <c r="C4" s="1610"/>
      <c r="D4" s="1610" t="b">
        <v>0</v>
      </c>
      <c r="E4" s="1606"/>
      <c r="F4" s="1606"/>
      <c r="G4" s="1606"/>
      <c r="H4" s="1606"/>
      <c r="I4" s="1608"/>
      <c r="M4" s="90"/>
    </row>
    <row r="5" spans="1:14" ht="18.75">
      <c r="A5" s="90" t="s">
        <v>970</v>
      </c>
      <c r="B5" s="1608" t="s">
        <v>1526</v>
      </c>
      <c r="C5" s="1610" t="s">
        <v>1529</v>
      </c>
      <c r="D5" s="1610">
        <v>4</v>
      </c>
      <c r="E5" s="1606" t="s">
        <v>1526</v>
      </c>
      <c r="F5" s="1606" t="s">
        <v>1516</v>
      </c>
      <c r="G5" s="1606" t="s">
        <v>1516</v>
      </c>
      <c r="H5" s="1606" t="s">
        <v>1516</v>
      </c>
      <c r="I5" s="1608" t="s">
        <v>1530</v>
      </c>
      <c r="J5" s="1689" t="s">
        <v>1529</v>
      </c>
      <c r="M5" s="90" t="s">
        <v>1531</v>
      </c>
    </row>
    <row r="6" spans="1:14" ht="18.75">
      <c r="A6" s="90" t="s">
        <v>49</v>
      </c>
      <c r="B6" s="1608" t="s">
        <v>1526</v>
      </c>
      <c r="C6" s="1610" t="s">
        <v>1526</v>
      </c>
      <c r="D6" s="1610">
        <v>2</v>
      </c>
      <c r="E6" s="1606" t="s">
        <v>1529</v>
      </c>
      <c r="F6" s="1606" t="s">
        <v>1516</v>
      </c>
      <c r="G6" s="1606" t="s">
        <v>1516</v>
      </c>
      <c r="H6" s="1606" t="s">
        <v>1532</v>
      </c>
      <c r="I6" s="1608" t="s">
        <v>1516</v>
      </c>
      <c r="J6" s="1689" t="s">
        <v>1515</v>
      </c>
      <c r="M6" s="90"/>
    </row>
    <row r="7" spans="1:14" ht="18.75">
      <c r="A7" s="90" t="s">
        <v>51</v>
      </c>
      <c r="B7" s="1608" t="s">
        <v>1526</v>
      </c>
      <c r="C7" s="1610" t="s">
        <v>1526</v>
      </c>
      <c r="D7" s="1610">
        <v>2</v>
      </c>
      <c r="E7" s="1606" t="s">
        <v>1529</v>
      </c>
      <c r="F7" s="1606" t="s">
        <v>1516</v>
      </c>
      <c r="G7" s="1606" t="s">
        <v>1516</v>
      </c>
      <c r="H7" s="1606" t="s">
        <v>1532</v>
      </c>
      <c r="I7" s="1608" t="s">
        <v>1516</v>
      </c>
      <c r="J7" s="1689" t="s">
        <v>1515</v>
      </c>
      <c r="M7" s="90"/>
    </row>
    <row r="8" spans="1:14" ht="18.75">
      <c r="A8" s="90" t="s">
        <v>53</v>
      </c>
      <c r="B8" s="1608" t="s">
        <v>1526</v>
      </c>
      <c r="C8" s="1610" t="s">
        <v>1515</v>
      </c>
      <c r="D8" s="1610">
        <v>6</v>
      </c>
      <c r="E8" s="1606" t="s">
        <v>1526</v>
      </c>
      <c r="F8" s="1606" t="s">
        <v>1516</v>
      </c>
      <c r="G8" s="1606" t="s">
        <v>1532</v>
      </c>
      <c r="H8" s="1606" t="s">
        <v>1516</v>
      </c>
      <c r="I8" s="1608" t="s">
        <v>1530</v>
      </c>
      <c r="J8" s="1689" t="s">
        <v>1526</v>
      </c>
      <c r="M8" s="1590" t="s">
        <v>1533</v>
      </c>
      <c r="N8" t="s">
        <v>1528</v>
      </c>
    </row>
    <row r="9" spans="1:14" ht="18.75">
      <c r="A9" s="90" t="s">
        <v>70</v>
      </c>
      <c r="B9" s="1608" t="s">
        <v>1529</v>
      </c>
      <c r="C9" s="1610" t="s">
        <v>1529</v>
      </c>
      <c r="D9" s="1610">
        <v>4</v>
      </c>
      <c r="E9" s="1606" t="s">
        <v>1515</v>
      </c>
      <c r="F9" s="1606" t="s">
        <v>1516</v>
      </c>
      <c r="G9" s="1606" t="s">
        <v>1516</v>
      </c>
      <c r="H9" s="1606" t="s">
        <v>1516</v>
      </c>
      <c r="I9" s="1608" t="s">
        <v>1516</v>
      </c>
      <c r="J9" s="1689" t="s">
        <v>1515</v>
      </c>
      <c r="M9" s="90" t="s">
        <v>1534</v>
      </c>
    </row>
    <row r="10" spans="1:14" ht="18.75">
      <c r="A10" s="90" t="s">
        <v>971</v>
      </c>
      <c r="B10" s="1608" t="s">
        <v>1526</v>
      </c>
      <c r="C10" s="1610" t="s">
        <v>1526</v>
      </c>
      <c r="D10" s="1610">
        <v>2</v>
      </c>
      <c r="E10" s="1606" t="s">
        <v>1526</v>
      </c>
      <c r="F10" s="1606" t="s">
        <v>1516</v>
      </c>
      <c r="G10" s="1606" t="s">
        <v>1516</v>
      </c>
      <c r="H10" s="1606" t="s">
        <v>1516</v>
      </c>
      <c r="I10" s="1608" t="s">
        <v>1530</v>
      </c>
      <c r="J10" s="1689" t="s">
        <v>1529</v>
      </c>
      <c r="M10" s="90"/>
    </row>
    <row r="11" spans="1:14" ht="18.75">
      <c r="A11" s="90" t="s">
        <v>972</v>
      </c>
      <c r="B11" s="1608" t="s">
        <v>1529</v>
      </c>
      <c r="C11" s="1610" t="s">
        <v>1515</v>
      </c>
      <c r="D11" s="1610">
        <v>6</v>
      </c>
      <c r="E11" s="1606" t="s">
        <v>1529</v>
      </c>
      <c r="F11" s="1606" t="s">
        <v>1532</v>
      </c>
      <c r="G11" s="1606" t="s">
        <v>1516</v>
      </c>
      <c r="H11" s="1606" t="s">
        <v>1516</v>
      </c>
      <c r="I11" s="1608" t="s">
        <v>1516</v>
      </c>
      <c r="J11" s="1689" t="s">
        <v>1529</v>
      </c>
      <c r="M11" s="90" t="s">
        <v>1535</v>
      </c>
      <c r="N11" t="s">
        <v>1536</v>
      </c>
    </row>
    <row r="12" spans="1:14" ht="18.75">
      <c r="A12" s="90" t="s">
        <v>1360</v>
      </c>
      <c r="B12" s="1608"/>
      <c r="C12" s="1610"/>
      <c r="D12" s="1610" t="b">
        <v>0</v>
      </c>
      <c r="E12" s="1606"/>
      <c r="F12" s="1606"/>
      <c r="G12" s="1606"/>
      <c r="H12" s="1606"/>
      <c r="I12" s="1608"/>
      <c r="M12" s="90"/>
    </row>
    <row r="13" spans="1:14" ht="18.75">
      <c r="A13" s="90" t="s">
        <v>973</v>
      </c>
      <c r="B13" s="1608" t="s">
        <v>1526</v>
      </c>
      <c r="C13" s="1610" t="s">
        <v>1526</v>
      </c>
      <c r="D13" s="1610">
        <v>2</v>
      </c>
      <c r="E13" s="1606" t="s">
        <v>1526</v>
      </c>
      <c r="F13" s="1606" t="s">
        <v>1516</v>
      </c>
      <c r="G13" s="1606" t="s">
        <v>1516</v>
      </c>
      <c r="H13" s="1606" t="s">
        <v>1516</v>
      </c>
      <c r="I13" s="1608" t="s">
        <v>1530</v>
      </c>
      <c r="J13" s="1689" t="s">
        <v>1529</v>
      </c>
      <c r="M13" s="90"/>
    </row>
    <row r="14" spans="1:14" ht="18.75">
      <c r="A14" s="90" t="s">
        <v>30</v>
      </c>
      <c r="B14" s="1608"/>
      <c r="C14" s="1610"/>
      <c r="D14" s="1610">
        <v>1</v>
      </c>
      <c r="E14" s="1606"/>
      <c r="F14" s="1606"/>
      <c r="G14" s="1606"/>
      <c r="H14" s="1606"/>
      <c r="I14" s="1608"/>
      <c r="J14" s="1689" t="s">
        <v>1529</v>
      </c>
      <c r="M14" s="90"/>
    </row>
    <row r="15" spans="1:14" ht="18.75">
      <c r="A15" s="90" t="s">
        <v>206</v>
      </c>
      <c r="B15" s="1608"/>
      <c r="C15" s="1610"/>
      <c r="D15" s="1610">
        <v>2</v>
      </c>
      <c r="E15" s="1606"/>
      <c r="F15" s="1606"/>
      <c r="G15" s="1606"/>
      <c r="H15" s="1606"/>
      <c r="I15" s="1608"/>
      <c r="J15" s="1689" t="s">
        <v>1515</v>
      </c>
      <c r="M15" s="90" t="s">
        <v>1888</v>
      </c>
    </row>
    <row r="16" spans="1:14" ht="18.75">
      <c r="A16" s="90" t="s">
        <v>1385</v>
      </c>
      <c r="B16" s="1608" t="s">
        <v>1515</v>
      </c>
      <c r="C16" s="1610" t="s">
        <v>1515</v>
      </c>
      <c r="D16" s="1610">
        <v>6</v>
      </c>
      <c r="E16" s="1606" t="s">
        <v>1515</v>
      </c>
      <c r="F16" s="1606" t="s">
        <v>1516</v>
      </c>
      <c r="G16" s="1606" t="s">
        <v>1516</v>
      </c>
      <c r="H16" s="1606" t="s">
        <v>1516</v>
      </c>
      <c r="I16" s="1608" t="s">
        <v>1516</v>
      </c>
      <c r="J16" s="1689" t="s">
        <v>1515</v>
      </c>
      <c r="M16" s="90" t="s">
        <v>1517</v>
      </c>
    </row>
    <row r="17" spans="1:14" ht="18.75">
      <c r="A17" s="90" t="s">
        <v>40</v>
      </c>
      <c r="B17" s="1608"/>
      <c r="C17" s="1610"/>
      <c r="D17" s="1610">
        <v>2</v>
      </c>
      <c r="E17" s="1606"/>
      <c r="F17" s="1606"/>
      <c r="G17" s="1606"/>
      <c r="H17" s="1606"/>
      <c r="I17" s="1608"/>
      <c r="M17" s="90"/>
    </row>
    <row r="18" spans="1:14" ht="18.75">
      <c r="A18" s="90" t="s">
        <v>115</v>
      </c>
      <c r="B18" s="1608" t="s">
        <v>1526</v>
      </c>
      <c r="C18" s="1610" t="s">
        <v>1526</v>
      </c>
      <c r="D18" s="1610">
        <v>2</v>
      </c>
      <c r="E18" s="1606" t="s">
        <v>1529</v>
      </c>
      <c r="F18" s="1606" t="s">
        <v>1516</v>
      </c>
      <c r="G18" s="1606" t="s">
        <v>1516</v>
      </c>
      <c r="H18" s="1606" t="s">
        <v>1532</v>
      </c>
      <c r="I18" s="1608" t="s">
        <v>1516</v>
      </c>
      <c r="J18" s="1689" t="s">
        <v>1515</v>
      </c>
      <c r="M18" s="90" t="s">
        <v>1537</v>
      </c>
      <c r="N18" t="s">
        <v>1538</v>
      </c>
    </row>
    <row r="19" spans="1:14" ht="18.75">
      <c r="A19" s="90" t="s">
        <v>71</v>
      </c>
      <c r="B19" s="1608" t="s">
        <v>1526</v>
      </c>
      <c r="C19" s="1610" t="s">
        <v>1526</v>
      </c>
      <c r="D19" s="1610">
        <v>2</v>
      </c>
      <c r="E19" s="1606" t="s">
        <v>1526</v>
      </c>
      <c r="F19" s="1606" t="s">
        <v>1516</v>
      </c>
      <c r="G19" s="1606" t="s">
        <v>1516</v>
      </c>
      <c r="H19" s="1606" t="s">
        <v>1516</v>
      </c>
      <c r="I19" s="1608" t="s">
        <v>1530</v>
      </c>
      <c r="J19" s="1689" t="s">
        <v>1529</v>
      </c>
      <c r="M19" s="90"/>
    </row>
    <row r="20" spans="1:14" ht="18.75">
      <c r="A20" s="90" t="s">
        <v>398</v>
      </c>
      <c r="B20" s="1608" t="s">
        <v>1526</v>
      </c>
      <c r="C20" s="1610" t="s">
        <v>1526</v>
      </c>
      <c r="D20" s="1610">
        <v>2</v>
      </c>
      <c r="E20" s="1606" t="s">
        <v>1526</v>
      </c>
      <c r="F20" s="1606" t="s">
        <v>1516</v>
      </c>
      <c r="G20" s="1606" t="s">
        <v>1516</v>
      </c>
      <c r="H20" s="1606" t="s">
        <v>1516</v>
      </c>
      <c r="I20" s="1608" t="s">
        <v>1530</v>
      </c>
      <c r="J20" s="1689" t="s">
        <v>1529</v>
      </c>
      <c r="M20" s="90"/>
    </row>
    <row r="21" spans="1:14" ht="18.75">
      <c r="A21" s="90" t="s">
        <v>24</v>
      </c>
      <c r="B21" s="1608" t="s">
        <v>1529</v>
      </c>
      <c r="C21" s="1610" t="s">
        <v>1515</v>
      </c>
      <c r="D21" s="1610">
        <v>6</v>
      </c>
      <c r="E21" s="1606" t="s">
        <v>1529</v>
      </c>
      <c r="F21" s="1606" t="s">
        <v>1516</v>
      </c>
      <c r="G21" s="1606" t="s">
        <v>1516</v>
      </c>
      <c r="H21" s="1606" t="s">
        <v>1516</v>
      </c>
      <c r="I21" s="1608" t="s">
        <v>1532</v>
      </c>
      <c r="J21" s="1689" t="s">
        <v>1526</v>
      </c>
      <c r="M21" s="90" t="s">
        <v>1539</v>
      </c>
      <c r="N21" t="s">
        <v>1528</v>
      </c>
    </row>
    <row r="22" spans="1:14" ht="18.75">
      <c r="A22" s="90" t="s">
        <v>117</v>
      </c>
      <c r="B22" s="1608" t="s">
        <v>1529</v>
      </c>
      <c r="C22" s="1610" t="s">
        <v>1515</v>
      </c>
      <c r="D22" s="1610">
        <v>6</v>
      </c>
      <c r="E22" s="1606" t="s">
        <v>1529</v>
      </c>
      <c r="F22" s="1606" t="s">
        <v>1516</v>
      </c>
      <c r="G22" s="1606" t="s">
        <v>1516</v>
      </c>
      <c r="H22" s="1606" t="s">
        <v>1516</v>
      </c>
      <c r="I22" s="1608" t="s">
        <v>1516</v>
      </c>
      <c r="J22" s="1689" t="s">
        <v>1515</v>
      </c>
      <c r="M22" s="90" t="s">
        <v>1540</v>
      </c>
      <c r="N22" t="s">
        <v>1541</v>
      </c>
    </row>
    <row r="23" spans="1:14" ht="18.75">
      <c r="A23" s="90" t="s">
        <v>207</v>
      </c>
      <c r="B23" s="1608"/>
      <c r="C23" s="1610"/>
      <c r="D23" s="1610">
        <v>3</v>
      </c>
      <c r="E23" s="1606"/>
      <c r="F23" s="1606"/>
      <c r="G23" s="1606"/>
      <c r="H23" s="1606"/>
      <c r="I23" s="1608"/>
      <c r="M23" s="90" t="s">
        <v>1888</v>
      </c>
    </row>
    <row r="24" spans="1:14" ht="18.75">
      <c r="A24" s="90" t="s">
        <v>976</v>
      </c>
      <c r="B24" s="1608"/>
      <c r="C24" s="1610"/>
      <c r="D24" s="1610" t="b">
        <v>0</v>
      </c>
      <c r="E24" s="1606"/>
      <c r="F24" s="1606"/>
      <c r="G24" s="1606"/>
      <c r="H24" s="1606"/>
      <c r="I24" s="1608"/>
      <c r="M24" s="90"/>
    </row>
    <row r="25" spans="1:14" ht="18.75">
      <c r="A25" s="90" t="s">
        <v>1387</v>
      </c>
      <c r="B25" s="1608"/>
      <c r="C25" s="1610"/>
      <c r="D25" s="1610" t="b">
        <v>0</v>
      </c>
      <c r="E25" s="1606"/>
      <c r="F25" s="1606"/>
      <c r="G25" s="1606"/>
      <c r="H25" s="1606"/>
      <c r="I25" s="1608"/>
      <c r="M25" s="90"/>
    </row>
    <row r="26" spans="1:14" ht="18.75">
      <c r="A26" s="90" t="s">
        <v>978</v>
      </c>
      <c r="B26" s="1608"/>
      <c r="C26" s="1610"/>
      <c r="D26" s="1610">
        <v>4</v>
      </c>
      <c r="E26" s="1606"/>
      <c r="F26" s="1606"/>
      <c r="G26" s="1606"/>
      <c r="H26" s="1606"/>
      <c r="I26" s="1608"/>
      <c r="M26" s="1590"/>
    </row>
    <row r="27" spans="1:14" ht="18.75">
      <c r="A27" s="90" t="s">
        <v>119</v>
      </c>
      <c r="B27" s="1608" t="s">
        <v>1526</v>
      </c>
      <c r="C27" s="1610" t="s">
        <v>1526</v>
      </c>
      <c r="D27" s="1610">
        <v>2</v>
      </c>
      <c r="E27" s="1606" t="s">
        <v>1526</v>
      </c>
      <c r="F27" s="1606" t="s">
        <v>1516</v>
      </c>
      <c r="G27" s="1606" t="s">
        <v>1516</v>
      </c>
      <c r="H27" s="1606" t="s">
        <v>1516</v>
      </c>
      <c r="I27" s="1608" t="s">
        <v>1530</v>
      </c>
      <c r="J27" s="1689" t="s">
        <v>1529</v>
      </c>
      <c r="M27" s="90"/>
    </row>
    <row r="28" spans="1:14" ht="18.75">
      <c r="A28" s="90" t="s">
        <v>26</v>
      </c>
      <c r="B28" s="1608" t="s">
        <v>1515</v>
      </c>
      <c r="C28" s="1610" t="s">
        <v>1529</v>
      </c>
      <c r="D28" s="1610">
        <v>4</v>
      </c>
      <c r="E28" s="1606" t="s">
        <v>1515</v>
      </c>
      <c r="F28" s="1606" t="s">
        <v>1516</v>
      </c>
      <c r="G28" s="1606" t="s">
        <v>1516</v>
      </c>
      <c r="H28" s="1606" t="s">
        <v>1516</v>
      </c>
      <c r="I28" s="1608" t="s">
        <v>1516</v>
      </c>
      <c r="J28" s="1689" t="s">
        <v>1515</v>
      </c>
      <c r="M28" s="90" t="s">
        <v>1542</v>
      </c>
    </row>
    <row r="29" spans="1:14" ht="18.75">
      <c r="A29" s="90" t="s">
        <v>979</v>
      </c>
      <c r="B29" s="1608" t="s">
        <v>1526</v>
      </c>
      <c r="C29" s="1610" t="s">
        <v>1526</v>
      </c>
      <c r="D29" s="1610">
        <v>2</v>
      </c>
      <c r="E29" s="1606" t="s">
        <v>1526</v>
      </c>
      <c r="F29" s="1606" t="s">
        <v>1532</v>
      </c>
      <c r="G29" s="1606" t="s">
        <v>1516</v>
      </c>
      <c r="H29" s="1606" t="s">
        <v>1516</v>
      </c>
      <c r="I29" s="1608" t="s">
        <v>1530</v>
      </c>
      <c r="J29" s="1689" t="s">
        <v>1529</v>
      </c>
      <c r="M29" s="90"/>
    </row>
    <row r="30" spans="1:14" ht="18.75">
      <c r="A30" s="90" t="s">
        <v>399</v>
      </c>
      <c r="B30" s="1608" t="s">
        <v>1526</v>
      </c>
      <c r="C30" s="1610" t="s">
        <v>1526</v>
      </c>
      <c r="D30" s="1610">
        <v>2</v>
      </c>
      <c r="E30" s="1606" t="s">
        <v>1526</v>
      </c>
      <c r="F30" s="1606" t="s">
        <v>1516</v>
      </c>
      <c r="G30" s="1606" t="s">
        <v>1516</v>
      </c>
      <c r="H30" s="1606" t="s">
        <v>1516</v>
      </c>
      <c r="I30" s="1608" t="s">
        <v>1530</v>
      </c>
      <c r="J30" s="1689" t="s">
        <v>1529</v>
      </c>
      <c r="M30" s="90"/>
    </row>
    <row r="31" spans="1:14" ht="18.75">
      <c r="A31" s="90" t="s">
        <v>72</v>
      </c>
      <c r="B31" s="1608"/>
      <c r="C31" s="1610"/>
      <c r="D31" s="1610">
        <v>7</v>
      </c>
      <c r="E31" s="1606"/>
      <c r="F31" s="1606"/>
      <c r="G31" s="1606"/>
      <c r="H31" s="1606"/>
      <c r="I31" s="1608"/>
      <c r="M31" s="90"/>
    </row>
    <row r="32" spans="1:14" ht="18.75">
      <c r="A32" s="90" t="s">
        <v>41</v>
      </c>
      <c r="B32" s="1608"/>
      <c r="C32" s="1610"/>
      <c r="D32" s="1610">
        <v>4</v>
      </c>
      <c r="E32" s="1606"/>
      <c r="F32" s="1606"/>
      <c r="G32" s="1606"/>
      <c r="H32" s="1606"/>
      <c r="I32" s="1608"/>
      <c r="M32" s="90"/>
    </row>
    <row r="33" spans="1:14" ht="18.75">
      <c r="A33" s="90" t="s">
        <v>123</v>
      </c>
      <c r="B33" s="1608" t="s">
        <v>1526</v>
      </c>
      <c r="C33" s="1610" t="s">
        <v>1526</v>
      </c>
      <c r="D33" s="1610">
        <v>2</v>
      </c>
      <c r="E33" s="1606" t="s">
        <v>1526</v>
      </c>
      <c r="F33" s="1606" t="s">
        <v>1516</v>
      </c>
      <c r="G33" s="1606" t="s">
        <v>1516</v>
      </c>
      <c r="H33" s="1606" t="s">
        <v>1516</v>
      </c>
      <c r="I33" s="1608" t="s">
        <v>1530</v>
      </c>
      <c r="J33" s="1689" t="s">
        <v>1529</v>
      </c>
      <c r="M33" s="90"/>
    </row>
    <row r="34" spans="1:14" ht="18.75">
      <c r="A34" s="90" t="s">
        <v>985</v>
      </c>
      <c r="B34" s="1608" t="s">
        <v>1526</v>
      </c>
      <c r="C34" s="1610" t="s">
        <v>1526</v>
      </c>
      <c r="D34" s="1610">
        <v>2</v>
      </c>
      <c r="E34" s="1606" t="s">
        <v>1526</v>
      </c>
      <c r="F34" s="1606" t="s">
        <v>1516</v>
      </c>
      <c r="G34" s="1606" t="s">
        <v>1516</v>
      </c>
      <c r="H34" s="1606" t="s">
        <v>1516</v>
      </c>
      <c r="I34" s="1608" t="s">
        <v>1530</v>
      </c>
      <c r="J34" s="1689" t="s">
        <v>1529</v>
      </c>
      <c r="M34" s="90"/>
    </row>
    <row r="35" spans="1:14" ht="18.75">
      <c r="A35" s="90" t="s">
        <v>1520</v>
      </c>
      <c r="B35" s="1608"/>
      <c r="C35" s="1610"/>
      <c r="D35" s="1610" t="b">
        <v>0</v>
      </c>
      <c r="E35" s="1606"/>
      <c r="F35" s="1606"/>
      <c r="G35" s="1606"/>
      <c r="H35" s="1606"/>
      <c r="I35" s="1608"/>
      <c r="M35" s="90"/>
    </row>
    <row r="36" spans="1:14" ht="18.75">
      <c r="A36" s="90" t="s">
        <v>199</v>
      </c>
      <c r="B36" s="1608" t="s">
        <v>1515</v>
      </c>
      <c r="C36" s="1610" t="s">
        <v>1515</v>
      </c>
      <c r="D36" s="1610">
        <v>6</v>
      </c>
      <c r="E36" s="1606" t="s">
        <v>1515</v>
      </c>
      <c r="F36" s="1606" t="s">
        <v>1516</v>
      </c>
      <c r="G36" s="1606" t="s">
        <v>1516</v>
      </c>
      <c r="H36" s="1606" t="s">
        <v>1516</v>
      </c>
      <c r="I36" s="1608" t="s">
        <v>1516</v>
      </c>
      <c r="J36" s="1689" t="s">
        <v>1515</v>
      </c>
      <c r="M36" s="90"/>
      <c r="N36" t="s">
        <v>1541</v>
      </c>
    </row>
    <row r="37" spans="1:14" ht="18.75">
      <c r="A37" s="90" t="s">
        <v>987</v>
      </c>
      <c r="B37" s="1608" t="s">
        <v>1526</v>
      </c>
      <c r="C37" s="1610" t="s">
        <v>1526</v>
      </c>
      <c r="D37" s="1610">
        <v>2</v>
      </c>
      <c r="E37" s="1606" t="s">
        <v>1526</v>
      </c>
      <c r="F37" s="1606" t="s">
        <v>1516</v>
      </c>
      <c r="G37" s="1606" t="s">
        <v>1516</v>
      </c>
      <c r="H37" s="1606" t="s">
        <v>1516</v>
      </c>
      <c r="I37" s="1608" t="s">
        <v>1530</v>
      </c>
      <c r="J37" s="1689" t="s">
        <v>1529</v>
      </c>
      <c r="M37" s="90"/>
    </row>
    <row r="38" spans="1:14" ht="18.75">
      <c r="A38" s="90" t="s">
        <v>1356</v>
      </c>
      <c r="B38" s="1608" t="s">
        <v>1526</v>
      </c>
      <c r="C38" s="1610" t="s">
        <v>1526</v>
      </c>
      <c r="D38" s="1610">
        <v>2</v>
      </c>
      <c r="E38" s="1606" t="s">
        <v>1526</v>
      </c>
      <c r="F38" s="1606" t="s">
        <v>1516</v>
      </c>
      <c r="G38" s="1606" t="s">
        <v>1516</v>
      </c>
      <c r="H38" s="1606" t="s">
        <v>1516</v>
      </c>
      <c r="I38" s="1608" t="s">
        <v>1530</v>
      </c>
      <c r="J38" s="1473" t="s">
        <v>1529</v>
      </c>
      <c r="M38" s="90"/>
    </row>
    <row r="39" spans="1:14" ht="18.75">
      <c r="A39" s="90" t="s">
        <v>73</v>
      </c>
      <c r="B39" s="1608" t="s">
        <v>1515</v>
      </c>
      <c r="C39" s="1610" t="s">
        <v>1515</v>
      </c>
      <c r="D39" s="1610">
        <v>6</v>
      </c>
      <c r="E39" s="1606" t="s">
        <v>1515</v>
      </c>
      <c r="F39" s="1606"/>
      <c r="G39" s="1606"/>
      <c r="H39" s="1606"/>
      <c r="I39" s="1608"/>
      <c r="J39" s="1689" t="s">
        <v>1515</v>
      </c>
      <c r="M39" s="90" t="s">
        <v>1534</v>
      </c>
    </row>
    <row r="40" spans="1:14" ht="18.75">
      <c r="A40" s="90" t="s">
        <v>990</v>
      </c>
      <c r="B40" s="1608" t="s">
        <v>1526</v>
      </c>
      <c r="C40" s="1610" t="s">
        <v>1515</v>
      </c>
      <c r="D40" s="1610">
        <v>6</v>
      </c>
      <c r="E40" s="1606" t="s">
        <v>1526</v>
      </c>
      <c r="F40" s="1606" t="s">
        <v>1532</v>
      </c>
      <c r="G40" s="1606" t="s">
        <v>1516</v>
      </c>
      <c r="H40" s="1606" t="s">
        <v>1530</v>
      </c>
      <c r="I40" s="1608" t="s">
        <v>1516</v>
      </c>
      <c r="J40" s="1689" t="s">
        <v>1515</v>
      </c>
      <c r="M40" s="90" t="s">
        <v>1543</v>
      </c>
      <c r="N40" t="s">
        <v>1544</v>
      </c>
    </row>
    <row r="41" spans="1:14" ht="18.75">
      <c r="A41" s="90" t="s">
        <v>9</v>
      </c>
      <c r="B41" s="1608" t="s">
        <v>1526</v>
      </c>
      <c r="C41" s="1610" t="s">
        <v>1526</v>
      </c>
      <c r="D41" s="1610">
        <v>2</v>
      </c>
      <c r="E41" s="1606" t="s">
        <v>1526</v>
      </c>
      <c r="F41" s="1606" t="s">
        <v>1516</v>
      </c>
      <c r="G41" s="1606" t="s">
        <v>1516</v>
      </c>
      <c r="H41" s="1606" t="s">
        <v>1516</v>
      </c>
      <c r="I41" s="1608" t="s">
        <v>1530</v>
      </c>
      <c r="J41" s="1689" t="s">
        <v>1515</v>
      </c>
      <c r="M41" s="90"/>
      <c r="N41" t="s">
        <v>1544</v>
      </c>
    </row>
    <row r="42" spans="1:14" ht="18.75">
      <c r="A42" s="90" t="s">
        <v>255</v>
      </c>
      <c r="B42" s="1608" t="s">
        <v>1526</v>
      </c>
      <c r="C42" s="1610" t="s">
        <v>1529</v>
      </c>
      <c r="D42" s="1610">
        <v>4</v>
      </c>
      <c r="E42" s="1606" t="s">
        <v>1526</v>
      </c>
      <c r="F42" s="1606" t="s">
        <v>1516</v>
      </c>
      <c r="G42" s="1606" t="s">
        <v>1516</v>
      </c>
      <c r="H42" s="1606" t="s">
        <v>1516</v>
      </c>
      <c r="I42" s="1608" t="s">
        <v>1530</v>
      </c>
      <c r="J42" s="1689" t="s">
        <v>1529</v>
      </c>
      <c r="M42" s="90" t="s">
        <v>1545</v>
      </c>
      <c r="N42" t="s">
        <v>1544</v>
      </c>
    </row>
    <row r="43" spans="1:14" ht="18.75">
      <c r="A43" s="90" t="s">
        <v>158</v>
      </c>
      <c r="B43" s="1608"/>
      <c r="C43" s="1610"/>
      <c r="D43" s="1610" t="b">
        <v>0</v>
      </c>
      <c r="E43" s="1606"/>
      <c r="F43" s="1606"/>
      <c r="G43" s="1606"/>
      <c r="H43" s="1606"/>
      <c r="I43" s="1608"/>
      <c r="M43" s="90"/>
    </row>
    <row r="44" spans="1:14" ht="18.75">
      <c r="A44" s="90" t="s">
        <v>991</v>
      </c>
      <c r="B44" s="1608"/>
      <c r="C44" s="1610"/>
      <c r="D44" s="1610">
        <v>5</v>
      </c>
      <c r="E44" s="1606"/>
      <c r="F44" s="1606"/>
      <c r="G44" s="1606"/>
      <c r="H44" s="1606"/>
      <c r="I44" s="1608"/>
      <c r="M44" s="90"/>
    </row>
    <row r="45" spans="1:14" ht="18.75">
      <c r="A45" s="90" t="s">
        <v>1388</v>
      </c>
      <c r="B45" s="1608"/>
      <c r="C45" s="1610"/>
      <c r="D45" s="1610" t="b">
        <v>0</v>
      </c>
      <c r="E45" s="1606"/>
      <c r="F45" s="1606"/>
      <c r="G45" s="1606"/>
      <c r="H45" s="1606"/>
      <c r="I45" s="1608"/>
      <c r="M45" s="90"/>
    </row>
    <row r="46" spans="1:14" ht="18.75">
      <c r="A46" s="90" t="s">
        <v>10</v>
      </c>
      <c r="B46" s="1608" t="s">
        <v>1526</v>
      </c>
      <c r="C46" s="1610" t="s">
        <v>1526</v>
      </c>
      <c r="D46" s="1610">
        <v>2</v>
      </c>
      <c r="E46" s="1606" t="s">
        <v>1526</v>
      </c>
      <c r="F46" s="1606" t="s">
        <v>1516</v>
      </c>
      <c r="G46" s="1606" t="s">
        <v>1516</v>
      </c>
      <c r="H46" s="1606" t="s">
        <v>1516</v>
      </c>
      <c r="I46" s="1608" t="s">
        <v>1530</v>
      </c>
      <c r="J46" s="1689" t="s">
        <v>1529</v>
      </c>
      <c r="M46" s="90"/>
    </row>
    <row r="47" spans="1:14" ht="18.75">
      <c r="A47" s="90" t="s">
        <v>992</v>
      </c>
      <c r="B47" s="1608" t="s">
        <v>1526</v>
      </c>
      <c r="C47" s="1610" t="s">
        <v>1529</v>
      </c>
      <c r="D47" s="1610">
        <v>4</v>
      </c>
      <c r="E47" s="1606" t="s">
        <v>1526</v>
      </c>
      <c r="F47" s="1606" t="s">
        <v>1532</v>
      </c>
      <c r="G47" s="1606" t="s">
        <v>1516</v>
      </c>
      <c r="H47" s="1606" t="s">
        <v>1516</v>
      </c>
      <c r="I47" s="1608" t="s">
        <v>1530</v>
      </c>
      <c r="J47" s="1689" t="s">
        <v>1529</v>
      </c>
      <c r="M47" s="90"/>
      <c r="N47" t="s">
        <v>1546</v>
      </c>
    </row>
    <row r="48" spans="1:14" ht="18.75">
      <c r="A48" s="90" t="s">
        <v>188</v>
      </c>
      <c r="B48" s="1608" t="s">
        <v>1526</v>
      </c>
      <c r="C48" s="1610" t="s">
        <v>1526</v>
      </c>
      <c r="D48" s="1610">
        <v>2</v>
      </c>
      <c r="E48" s="1606" t="s">
        <v>1526</v>
      </c>
      <c r="F48" s="1606" t="s">
        <v>1532</v>
      </c>
      <c r="G48" s="1606" t="s">
        <v>1532</v>
      </c>
      <c r="H48" s="1606" t="s">
        <v>1532</v>
      </c>
      <c r="I48" s="1608" t="s">
        <v>1530</v>
      </c>
      <c r="J48" s="1689" t="s">
        <v>1529</v>
      </c>
      <c r="M48" s="90"/>
    </row>
    <row r="49" spans="1:14" ht="18.75">
      <c r="A49" s="90" t="s">
        <v>132</v>
      </c>
      <c r="B49" s="1608" t="s">
        <v>1526</v>
      </c>
      <c r="C49" s="1610" t="s">
        <v>1526</v>
      </c>
      <c r="D49" s="1610">
        <v>2</v>
      </c>
      <c r="E49" s="1606" t="s">
        <v>1526</v>
      </c>
      <c r="F49" s="1606" t="s">
        <v>1516</v>
      </c>
      <c r="G49" s="1606" t="s">
        <v>1516</v>
      </c>
      <c r="H49" s="1606" t="s">
        <v>1516</v>
      </c>
      <c r="I49" s="1608" t="s">
        <v>1530</v>
      </c>
      <c r="J49" s="1689" t="s">
        <v>1529</v>
      </c>
      <c r="M49" s="90"/>
    </row>
    <row r="50" spans="1:14" ht="18.75">
      <c r="A50" s="90" t="s">
        <v>996</v>
      </c>
      <c r="B50" s="1608" t="s">
        <v>1526</v>
      </c>
      <c r="C50" s="1610" t="s">
        <v>1529</v>
      </c>
      <c r="D50" s="1610">
        <v>4</v>
      </c>
      <c r="E50" s="1606" t="s">
        <v>1526</v>
      </c>
      <c r="F50" s="1606" t="s">
        <v>1516</v>
      </c>
      <c r="G50" s="1606" t="s">
        <v>1516</v>
      </c>
      <c r="H50" s="1606" t="s">
        <v>1516</v>
      </c>
      <c r="I50" s="1608" t="s">
        <v>1530</v>
      </c>
      <c r="J50" s="1689" t="s">
        <v>1529</v>
      </c>
      <c r="M50" s="90" t="s">
        <v>1547</v>
      </c>
      <c r="N50" t="s">
        <v>1548</v>
      </c>
    </row>
    <row r="51" spans="1:14" ht="18.75">
      <c r="A51" s="90" t="s">
        <v>12</v>
      </c>
      <c r="B51" s="1619"/>
      <c r="C51" s="1620"/>
      <c r="D51" s="1610">
        <v>5</v>
      </c>
      <c r="E51" s="1621"/>
      <c r="F51" s="1621"/>
      <c r="G51" s="1621"/>
      <c r="H51" s="1621"/>
      <c r="I51" s="1619"/>
      <c r="M51" s="90"/>
    </row>
    <row r="52" spans="1:14" ht="18.75">
      <c r="A52" s="90" t="s">
        <v>145</v>
      </c>
      <c r="B52" s="1608" t="s">
        <v>1515</v>
      </c>
      <c r="C52" s="1610" t="s">
        <v>1515</v>
      </c>
      <c r="D52" s="1610">
        <v>6</v>
      </c>
      <c r="E52" s="1606" t="s">
        <v>1515</v>
      </c>
      <c r="F52" s="1606" t="s">
        <v>1516</v>
      </c>
      <c r="G52" s="1606" t="s">
        <v>1516</v>
      </c>
      <c r="H52" s="1606" t="s">
        <v>1516</v>
      </c>
      <c r="I52" s="1608" t="s">
        <v>1516</v>
      </c>
      <c r="J52" s="1689" t="s">
        <v>1515</v>
      </c>
      <c r="M52" s="90"/>
      <c r="N52" t="s">
        <v>1544</v>
      </c>
    </row>
    <row r="53" spans="1:14" ht="18.75">
      <c r="A53" s="90" t="s">
        <v>998</v>
      </c>
      <c r="B53" s="1608"/>
      <c r="C53" s="1610"/>
      <c r="D53" s="1610" t="b">
        <v>0</v>
      </c>
      <c r="E53" s="1606"/>
      <c r="F53" s="1606"/>
      <c r="G53" s="1606"/>
      <c r="H53" s="1606"/>
      <c r="I53" s="1608"/>
      <c r="M53" s="90"/>
    </row>
    <row r="54" spans="1:14" ht="18.75">
      <c r="A54" s="90" t="s">
        <v>1000</v>
      </c>
      <c r="B54" s="1608" t="s">
        <v>1526</v>
      </c>
      <c r="C54" s="1610" t="s">
        <v>1526</v>
      </c>
      <c r="D54" s="1610">
        <v>2</v>
      </c>
      <c r="E54" s="1606" t="s">
        <v>1515</v>
      </c>
      <c r="F54" s="1606" t="s">
        <v>1516</v>
      </c>
      <c r="G54" s="1606" t="s">
        <v>1516</v>
      </c>
      <c r="H54" s="1606" t="s">
        <v>1516</v>
      </c>
      <c r="I54" s="1608" t="s">
        <v>1516</v>
      </c>
      <c r="J54" s="1689" t="s">
        <v>1529</v>
      </c>
      <c r="M54" s="90"/>
    </row>
    <row r="55" spans="1:14" ht="18.75">
      <c r="A55" s="90" t="s">
        <v>11</v>
      </c>
      <c r="B55" s="1608" t="s">
        <v>1529</v>
      </c>
      <c r="C55" s="1610" t="s">
        <v>1529</v>
      </c>
      <c r="D55" s="1610">
        <v>4</v>
      </c>
      <c r="E55" s="1606" t="s">
        <v>1515</v>
      </c>
      <c r="F55" s="1606" t="s">
        <v>1516</v>
      </c>
      <c r="G55" s="1606" t="s">
        <v>1516</v>
      </c>
      <c r="H55" s="1606" t="s">
        <v>1516</v>
      </c>
      <c r="I55" s="1608" t="s">
        <v>1516</v>
      </c>
      <c r="J55" s="1689" t="s">
        <v>1515</v>
      </c>
      <c r="M55" s="90"/>
      <c r="N55" t="s">
        <v>1549</v>
      </c>
    </row>
    <row r="56" spans="1:14" ht="18.75">
      <c r="A56" s="90" t="s">
        <v>1173</v>
      </c>
      <c r="B56" s="1608"/>
      <c r="C56" s="1610"/>
      <c r="D56" s="1610" t="b">
        <v>0</v>
      </c>
      <c r="E56" s="1606"/>
      <c r="F56" s="1606"/>
      <c r="G56" s="1606"/>
      <c r="H56" s="1606"/>
      <c r="I56" s="1608"/>
      <c r="M56" s="90"/>
    </row>
    <row r="57" spans="1:14" ht="18.75">
      <c r="A57" s="90" t="s">
        <v>57</v>
      </c>
      <c r="B57" s="1608"/>
      <c r="C57" s="1610"/>
      <c r="D57" s="1610">
        <v>7</v>
      </c>
      <c r="E57" s="1606"/>
      <c r="F57" s="1606"/>
      <c r="G57" s="1606"/>
      <c r="H57" s="1606"/>
      <c r="I57" s="1608"/>
      <c r="M57" s="90"/>
    </row>
    <row r="58" spans="1:14" ht="18.75">
      <c r="A58" s="90" t="s">
        <v>189</v>
      </c>
      <c r="B58" s="1608" t="s">
        <v>1526</v>
      </c>
      <c r="C58" s="1610" t="s">
        <v>1526</v>
      </c>
      <c r="D58" s="1610">
        <v>2</v>
      </c>
      <c r="E58" s="1606" t="s">
        <v>1526</v>
      </c>
      <c r="F58" s="1606" t="s">
        <v>1530</v>
      </c>
      <c r="G58" s="1606" t="s">
        <v>1532</v>
      </c>
      <c r="H58" s="1606" t="s">
        <v>1532</v>
      </c>
      <c r="I58" s="1608" t="s">
        <v>1530</v>
      </c>
      <c r="J58" s="1689" t="s">
        <v>1529</v>
      </c>
      <c r="M58" s="90"/>
    </row>
    <row r="59" spans="1:14" ht="18.75">
      <c r="A59" s="90" t="s">
        <v>42</v>
      </c>
      <c r="B59" s="1608"/>
      <c r="C59" s="1610"/>
      <c r="D59" s="1610">
        <v>3</v>
      </c>
      <c r="E59" s="1606"/>
      <c r="F59" s="1606"/>
      <c r="G59" s="1606"/>
      <c r="H59" s="1606"/>
      <c r="I59" s="1608"/>
      <c r="M59" s="90"/>
    </row>
    <row r="60" spans="1:14" ht="18.75">
      <c r="A60" s="90" t="s">
        <v>23</v>
      </c>
      <c r="B60" s="1608" t="s">
        <v>1529</v>
      </c>
      <c r="C60" s="1610" t="s">
        <v>1529</v>
      </c>
      <c r="D60" s="1610">
        <v>4</v>
      </c>
      <c r="E60" s="1606" t="s">
        <v>1515</v>
      </c>
      <c r="F60" s="1606" t="s">
        <v>1516</v>
      </c>
      <c r="G60" s="1606" t="s">
        <v>1516</v>
      </c>
      <c r="H60" s="1606" t="s">
        <v>1516</v>
      </c>
      <c r="I60" s="1608" t="s">
        <v>1516</v>
      </c>
      <c r="J60" s="1689" t="s">
        <v>1515</v>
      </c>
      <c r="M60" s="90"/>
    </row>
    <row r="61" spans="1:14" ht="18.75">
      <c r="A61" s="90" t="s">
        <v>135</v>
      </c>
      <c r="B61" s="1608"/>
      <c r="C61" s="1610"/>
      <c r="D61" s="1610">
        <v>7</v>
      </c>
      <c r="E61" s="1606"/>
      <c r="F61" s="1606"/>
      <c r="G61" s="1606"/>
      <c r="H61" s="1606"/>
      <c r="I61" s="1608"/>
      <c r="M61" s="90"/>
    </row>
    <row r="62" spans="1:14" ht="18.75">
      <c r="A62" s="90" t="s">
        <v>58</v>
      </c>
      <c r="B62" s="1608" t="s">
        <v>1526</v>
      </c>
      <c r="C62" s="1610" t="s">
        <v>1526</v>
      </c>
      <c r="D62" s="1610">
        <v>2</v>
      </c>
      <c r="E62" s="1606" t="s">
        <v>1515</v>
      </c>
      <c r="F62" s="1606" t="s">
        <v>1516</v>
      </c>
      <c r="G62" s="1606" t="s">
        <v>1516</v>
      </c>
      <c r="H62" s="1606" t="s">
        <v>1516</v>
      </c>
      <c r="I62" s="1608" t="s">
        <v>1516</v>
      </c>
      <c r="J62" s="1689" t="s">
        <v>1529</v>
      </c>
      <c r="M62" s="90" t="s">
        <v>1550</v>
      </c>
    </row>
    <row r="63" spans="1:14" ht="18.75">
      <c r="A63" s="90" t="s">
        <v>1177</v>
      </c>
      <c r="B63" s="1608"/>
      <c r="C63" s="1610"/>
      <c r="D63" s="1610">
        <v>4</v>
      </c>
      <c r="E63" s="1606"/>
      <c r="F63" s="1606"/>
      <c r="G63" s="1606"/>
      <c r="H63" s="1606"/>
      <c r="I63" s="1608"/>
      <c r="M63" s="90"/>
    </row>
    <row r="64" spans="1:14" ht="18.75">
      <c r="A64" s="90" t="s">
        <v>1003</v>
      </c>
      <c r="B64" s="1608"/>
      <c r="C64" s="1610"/>
      <c r="D64" s="1610" t="b">
        <v>0</v>
      </c>
      <c r="E64" s="1606"/>
      <c r="F64" s="1606"/>
      <c r="G64" s="1606"/>
      <c r="H64" s="1606"/>
      <c r="I64" s="1608"/>
      <c r="M64" s="90"/>
    </row>
    <row r="65" spans="1:14" ht="18.75">
      <c r="A65" s="90" t="s">
        <v>1004</v>
      </c>
      <c r="B65" s="1608"/>
      <c r="C65" s="1610"/>
      <c r="D65" s="1610" t="b">
        <v>0</v>
      </c>
      <c r="E65" s="1606"/>
      <c r="F65" s="1606"/>
      <c r="G65" s="1606"/>
      <c r="H65" s="1606"/>
      <c r="I65" s="1608"/>
      <c r="M65" s="90"/>
    </row>
    <row r="66" spans="1:14" ht="18.75">
      <c r="A66" s="90" t="s">
        <v>1005</v>
      </c>
      <c r="B66" s="1608"/>
      <c r="C66" s="1610"/>
      <c r="D66" s="1610" t="b">
        <v>0</v>
      </c>
      <c r="E66" s="1606"/>
      <c r="F66" s="1606"/>
      <c r="G66" s="1606"/>
      <c r="H66" s="1606"/>
      <c r="I66" s="1608"/>
      <c r="M66" s="90" t="s">
        <v>1889</v>
      </c>
    </row>
    <row r="67" spans="1:14" ht="18.75">
      <c r="A67" s="90" t="s">
        <v>1006</v>
      </c>
      <c r="B67" s="1608" t="s">
        <v>1526</v>
      </c>
      <c r="C67" s="1610" t="s">
        <v>1526</v>
      </c>
      <c r="D67" s="1610">
        <v>2</v>
      </c>
      <c r="E67" s="1606" t="s">
        <v>1526</v>
      </c>
      <c r="F67" s="1606" t="s">
        <v>1516</v>
      </c>
      <c r="G67" s="1606" t="s">
        <v>1516</v>
      </c>
      <c r="H67" s="1606" t="s">
        <v>1516</v>
      </c>
      <c r="I67" s="1608" t="s">
        <v>1530</v>
      </c>
      <c r="J67" s="1689" t="s">
        <v>1529</v>
      </c>
      <c r="M67" s="90"/>
    </row>
    <row r="68" spans="1:14" ht="18.75">
      <c r="A68" s="90" t="s">
        <v>1178</v>
      </c>
      <c r="B68" s="1608"/>
      <c r="C68" s="1610"/>
      <c r="D68" s="1610">
        <v>4</v>
      </c>
      <c r="E68" s="1606"/>
      <c r="F68" s="1606"/>
      <c r="G68" s="1606"/>
      <c r="H68" s="1606"/>
      <c r="I68" s="1608"/>
      <c r="M68" s="90"/>
    </row>
    <row r="69" spans="1:14" ht="18.75">
      <c r="A69" s="90" t="s">
        <v>1372</v>
      </c>
      <c r="B69" s="1608"/>
      <c r="C69" s="1610"/>
      <c r="D69" s="1610" t="b">
        <v>0</v>
      </c>
      <c r="E69" s="1606"/>
      <c r="F69" s="1606"/>
      <c r="G69" s="1606"/>
      <c r="H69" s="1606"/>
      <c r="I69" s="1608"/>
      <c r="M69" s="90"/>
    </row>
    <row r="70" spans="1:14" ht="18.75">
      <c r="A70" s="90" t="s">
        <v>74</v>
      </c>
      <c r="B70" s="1608" t="s">
        <v>1529</v>
      </c>
      <c r="C70" s="1610" t="s">
        <v>1529</v>
      </c>
      <c r="D70" s="1610">
        <v>4</v>
      </c>
      <c r="E70" s="1606" t="s">
        <v>1529</v>
      </c>
      <c r="F70" s="1606" t="s">
        <v>1532</v>
      </c>
      <c r="G70" s="1606" t="s">
        <v>1532</v>
      </c>
      <c r="H70" s="1606" t="s">
        <v>1532</v>
      </c>
      <c r="I70" s="1608" t="s">
        <v>1516</v>
      </c>
      <c r="J70" s="1689" t="s">
        <v>1529</v>
      </c>
      <c r="M70" s="90"/>
    </row>
    <row r="71" spans="1:14" ht="18.75">
      <c r="A71" s="90" t="s">
        <v>137</v>
      </c>
      <c r="B71" s="1608" t="s">
        <v>1526</v>
      </c>
      <c r="C71" s="1610" t="s">
        <v>1529</v>
      </c>
      <c r="D71" s="1610">
        <v>4</v>
      </c>
      <c r="E71" s="1606" t="s">
        <v>1526</v>
      </c>
      <c r="F71" s="1606" t="s">
        <v>1516</v>
      </c>
      <c r="G71" s="1606" t="s">
        <v>1516</v>
      </c>
      <c r="H71" s="1606" t="s">
        <v>1516</v>
      </c>
      <c r="I71" s="1608" t="s">
        <v>1530</v>
      </c>
      <c r="J71" s="1689" t="s">
        <v>1529</v>
      </c>
      <c r="M71" s="90"/>
      <c r="N71" t="s">
        <v>1551</v>
      </c>
    </row>
    <row r="72" spans="1:14" ht="18.75">
      <c r="A72" s="90" t="s">
        <v>139</v>
      </c>
      <c r="B72" s="1608" t="s">
        <v>1526</v>
      </c>
      <c r="C72" s="1610" t="s">
        <v>1526</v>
      </c>
      <c r="D72" s="1610">
        <v>2</v>
      </c>
      <c r="E72" s="1606" t="s">
        <v>1526</v>
      </c>
      <c r="F72" s="1606" t="s">
        <v>1532</v>
      </c>
      <c r="G72" s="1606" t="s">
        <v>1516</v>
      </c>
      <c r="H72" s="1606" t="s">
        <v>1532</v>
      </c>
      <c r="I72" s="1608" t="s">
        <v>1530</v>
      </c>
      <c r="J72" s="1689" t="s">
        <v>1529</v>
      </c>
      <c r="M72" s="90" t="s">
        <v>1552</v>
      </c>
    </row>
    <row r="73" spans="1:14" ht="18.75">
      <c r="A73" s="90" t="s">
        <v>141</v>
      </c>
      <c r="B73" s="1608"/>
      <c r="C73" s="1610"/>
      <c r="D73" s="1610">
        <v>7</v>
      </c>
      <c r="E73" s="1606"/>
      <c r="F73" s="1606"/>
      <c r="G73" s="1606"/>
      <c r="H73" s="1606"/>
      <c r="I73" s="1608"/>
      <c r="M73" s="90" t="s">
        <v>1890</v>
      </c>
    </row>
    <row r="74" spans="1:14" ht="18.75">
      <c r="A74" s="90" t="s">
        <v>75</v>
      </c>
      <c r="B74" s="1608"/>
      <c r="C74" s="1610"/>
      <c r="D74" s="1610">
        <v>4</v>
      </c>
      <c r="E74" s="1606"/>
      <c r="F74" s="1606"/>
      <c r="G74" s="1606"/>
      <c r="H74" s="1606"/>
      <c r="I74" s="1608"/>
      <c r="J74" s="1689" t="s">
        <v>1515</v>
      </c>
      <c r="M74" s="1606" t="s">
        <v>1888</v>
      </c>
    </row>
    <row r="75" spans="1:14" ht="18.75">
      <c r="A75" s="90" t="s">
        <v>76</v>
      </c>
      <c r="B75" s="1608" t="s">
        <v>1529</v>
      </c>
      <c r="C75" s="1610" t="s">
        <v>1529</v>
      </c>
      <c r="D75" s="1610">
        <v>4</v>
      </c>
      <c r="E75" s="1606" t="s">
        <v>1515</v>
      </c>
      <c r="F75" s="1606" t="s">
        <v>1516</v>
      </c>
      <c r="G75" s="1606" t="s">
        <v>1516</v>
      </c>
      <c r="H75" s="1606" t="s">
        <v>1516</v>
      </c>
      <c r="I75" s="1608" t="s">
        <v>1516</v>
      </c>
      <c r="J75" s="1689" t="s">
        <v>1515</v>
      </c>
      <c r="M75" s="90" t="s">
        <v>1534</v>
      </c>
    </row>
    <row r="76" spans="1:14" ht="18.75">
      <c r="A76" s="90" t="s">
        <v>1010</v>
      </c>
      <c r="B76" s="1608"/>
      <c r="C76" s="1610"/>
      <c r="D76" s="1610">
        <v>3</v>
      </c>
      <c r="E76" s="1606"/>
      <c r="F76" s="1606"/>
      <c r="G76" s="1606"/>
      <c r="H76" s="1606"/>
      <c r="I76" s="1608"/>
      <c r="M76" s="90"/>
    </row>
    <row r="77" spans="1:14" ht="18.75">
      <c r="A77" s="90" t="s">
        <v>1011</v>
      </c>
      <c r="B77" s="1608" t="s">
        <v>1529</v>
      </c>
      <c r="C77" s="1610" t="s">
        <v>1529</v>
      </c>
      <c r="D77" s="1610">
        <v>4</v>
      </c>
      <c r="E77" s="1606" t="s">
        <v>1515</v>
      </c>
      <c r="F77" s="1606" t="s">
        <v>1516</v>
      </c>
      <c r="G77" s="1606" t="s">
        <v>1516</v>
      </c>
      <c r="H77" s="1606" t="s">
        <v>1516</v>
      </c>
      <c r="I77" s="1608" t="s">
        <v>1516</v>
      </c>
      <c r="J77" s="1689" t="s">
        <v>1515</v>
      </c>
      <c r="M77" s="90"/>
      <c r="N77" t="s">
        <v>1549</v>
      </c>
    </row>
    <row r="78" spans="1:14" ht="18.75">
      <c r="A78" s="90" t="s">
        <v>143</v>
      </c>
      <c r="B78" s="1608" t="s">
        <v>1526</v>
      </c>
      <c r="C78" s="1610" t="s">
        <v>1515</v>
      </c>
      <c r="D78" s="1610">
        <v>6</v>
      </c>
      <c r="E78" s="1606" t="s">
        <v>1526</v>
      </c>
      <c r="F78" s="1606" t="s">
        <v>1516</v>
      </c>
      <c r="G78" s="1606" t="s">
        <v>1516</v>
      </c>
      <c r="H78" s="1606" t="s">
        <v>1516</v>
      </c>
      <c r="I78" s="1608" t="s">
        <v>1530</v>
      </c>
      <c r="J78" s="1689" t="s">
        <v>1515</v>
      </c>
      <c r="M78" s="90" t="s">
        <v>1553</v>
      </c>
      <c r="N78" t="s">
        <v>1544</v>
      </c>
    </row>
    <row r="79" spans="1:14" ht="18.75">
      <c r="A79" s="90" t="s">
        <v>17</v>
      </c>
      <c r="B79" s="1608" t="s">
        <v>1526</v>
      </c>
      <c r="C79" s="1610" t="s">
        <v>1526</v>
      </c>
      <c r="D79" s="1610">
        <v>2</v>
      </c>
      <c r="E79" s="1606" t="s">
        <v>1515</v>
      </c>
      <c r="F79" s="1606" t="s">
        <v>1516</v>
      </c>
      <c r="G79" s="1606" t="s">
        <v>1516</v>
      </c>
      <c r="H79" s="1606" t="s">
        <v>1516</v>
      </c>
      <c r="I79" s="1608"/>
      <c r="J79" s="1689" t="s">
        <v>1529</v>
      </c>
      <c r="M79" s="90"/>
    </row>
    <row r="80" spans="1:14" ht="18.75">
      <c r="A80" s="90" t="s">
        <v>1012</v>
      </c>
      <c r="B80" s="1608" t="s">
        <v>1526</v>
      </c>
      <c r="C80" s="1610" t="s">
        <v>1526</v>
      </c>
      <c r="D80" s="1610">
        <v>2</v>
      </c>
      <c r="E80" s="1606" t="s">
        <v>1529</v>
      </c>
      <c r="F80" s="1606" t="s">
        <v>1532</v>
      </c>
      <c r="G80" s="1606" t="s">
        <v>1516</v>
      </c>
      <c r="H80" s="1606" t="s">
        <v>1516</v>
      </c>
      <c r="I80" s="1608" t="s">
        <v>1516</v>
      </c>
      <c r="J80" s="1689" t="s">
        <v>1515</v>
      </c>
      <c r="M80" s="90" t="s">
        <v>1554</v>
      </c>
      <c r="N80" t="s">
        <v>1555</v>
      </c>
    </row>
    <row r="81" spans="1:13" ht="18.75">
      <c r="A81" s="90" t="s">
        <v>256</v>
      </c>
      <c r="B81" s="1608" t="s">
        <v>1526</v>
      </c>
      <c r="C81" s="1610" t="s">
        <v>1526</v>
      </c>
      <c r="D81" s="1610">
        <v>2</v>
      </c>
      <c r="E81" s="1606" t="s">
        <v>1515</v>
      </c>
      <c r="F81" s="1606" t="s">
        <v>1516</v>
      </c>
      <c r="G81" s="1606" t="s">
        <v>1516</v>
      </c>
      <c r="H81" s="1606" t="s">
        <v>1516</v>
      </c>
      <c r="I81" s="1608"/>
      <c r="J81" s="1689" t="s">
        <v>1529</v>
      </c>
      <c r="M81" s="90"/>
    </row>
    <row r="82" spans="1:13" ht="18.75">
      <c r="A82" s="90" t="s">
        <v>77</v>
      </c>
      <c r="B82" s="1608"/>
      <c r="C82" s="1610"/>
      <c r="D82" s="1610">
        <v>7</v>
      </c>
      <c r="E82" s="1606"/>
      <c r="F82" s="1606"/>
      <c r="G82" s="1606"/>
      <c r="H82" s="1606"/>
      <c r="I82" s="1608"/>
      <c r="M82" s="90"/>
    </row>
    <row r="83" spans="1:13" ht="18.75">
      <c r="A83" s="90" t="s">
        <v>1167</v>
      </c>
      <c r="B83" s="1608" t="s">
        <v>1526</v>
      </c>
      <c r="C83" s="1610" t="s">
        <v>1526</v>
      </c>
      <c r="D83" s="1610">
        <v>2</v>
      </c>
      <c r="E83" s="1606" t="s">
        <v>1515</v>
      </c>
      <c r="F83" s="1606" t="s">
        <v>1516</v>
      </c>
      <c r="G83" s="1606" t="s">
        <v>1516</v>
      </c>
      <c r="H83" s="1606" t="s">
        <v>1516</v>
      </c>
      <c r="I83" s="1608" t="s">
        <v>1516</v>
      </c>
      <c r="J83" s="1689" t="s">
        <v>1529</v>
      </c>
      <c r="M83" s="90"/>
    </row>
    <row r="84" spans="1:13" ht="18.75">
      <c r="A84" s="90" t="s">
        <v>148</v>
      </c>
      <c r="B84" s="1608"/>
      <c r="C84" s="1610"/>
      <c r="D84" s="1610">
        <v>4</v>
      </c>
      <c r="E84" s="1606"/>
      <c r="F84" s="1606"/>
      <c r="G84" s="1606"/>
      <c r="H84" s="1606"/>
      <c r="I84" s="1608"/>
      <c r="M84" s="1590"/>
    </row>
    <row r="85" spans="1:13" ht="18.75">
      <c r="A85" s="90" t="s">
        <v>78</v>
      </c>
      <c r="B85" s="1608" t="s">
        <v>1515</v>
      </c>
      <c r="C85" s="1610" t="s">
        <v>1515</v>
      </c>
      <c r="D85" s="1610">
        <v>6</v>
      </c>
      <c r="E85" s="1606" t="s">
        <v>1515</v>
      </c>
      <c r="F85" s="1606" t="s">
        <v>1516</v>
      </c>
      <c r="G85" s="1606" t="s">
        <v>1516</v>
      </c>
      <c r="H85" s="1606" t="s">
        <v>1516</v>
      </c>
      <c r="I85" s="1608" t="s">
        <v>1516</v>
      </c>
      <c r="J85" s="1689" t="s">
        <v>1515</v>
      </c>
      <c r="M85" s="90"/>
    </row>
    <row r="86" spans="1:13" ht="18.75">
      <c r="A86" s="90" t="s">
        <v>79</v>
      </c>
      <c r="B86" s="1608" t="s">
        <v>1526</v>
      </c>
      <c r="C86" s="1610" t="s">
        <v>1526</v>
      </c>
      <c r="D86" s="1610">
        <v>2</v>
      </c>
      <c r="E86" s="1606" t="s">
        <v>1526</v>
      </c>
      <c r="F86" s="1606" t="s">
        <v>1516</v>
      </c>
      <c r="G86" s="1606" t="s">
        <v>1516</v>
      </c>
      <c r="H86" s="1606" t="s">
        <v>1516</v>
      </c>
      <c r="I86" s="1608" t="s">
        <v>1530</v>
      </c>
      <c r="J86" s="1689" t="s">
        <v>1529</v>
      </c>
      <c r="M86" s="90"/>
    </row>
    <row r="87" spans="1:13" ht="18.75">
      <c r="A87" s="90" t="s">
        <v>1015</v>
      </c>
      <c r="B87" s="1608" t="s">
        <v>1526</v>
      </c>
      <c r="C87" s="1610" t="s">
        <v>1526</v>
      </c>
      <c r="D87" s="1610">
        <v>2</v>
      </c>
      <c r="E87" s="1606" t="s">
        <v>1515</v>
      </c>
      <c r="F87" s="1606" t="s">
        <v>1516</v>
      </c>
      <c r="G87" s="1606" t="s">
        <v>1516</v>
      </c>
      <c r="H87" s="1606" t="s">
        <v>1516</v>
      </c>
      <c r="I87" s="1608" t="s">
        <v>1516</v>
      </c>
      <c r="J87" s="1689" t="s">
        <v>1529</v>
      </c>
      <c r="M87" s="90"/>
    </row>
    <row r="88" spans="1:13" ht="18.75">
      <c r="A88" s="90" t="s">
        <v>8</v>
      </c>
      <c r="B88" s="1608"/>
      <c r="C88" s="1610"/>
      <c r="D88" s="1610">
        <v>1</v>
      </c>
      <c r="E88" s="1606"/>
      <c r="F88" s="1606"/>
      <c r="G88" s="1606"/>
      <c r="H88" s="1606"/>
      <c r="I88" s="1608"/>
      <c r="M88" s="90"/>
    </row>
    <row r="89" spans="1:13" ht="18.75">
      <c r="A89" s="90" t="s">
        <v>18</v>
      </c>
      <c r="B89" s="1608"/>
      <c r="C89" s="1610"/>
      <c r="D89" s="1610">
        <v>3</v>
      </c>
      <c r="E89" s="1606"/>
      <c r="F89" s="1606"/>
      <c r="G89" s="1606"/>
      <c r="H89" s="1606"/>
      <c r="I89" s="1608"/>
      <c r="J89" s="1689" t="s">
        <v>1529</v>
      </c>
      <c r="M89" s="90" t="s">
        <v>1891</v>
      </c>
    </row>
    <row r="90" spans="1:13" ht="18.75">
      <c r="A90" s="90" t="s">
        <v>60</v>
      </c>
      <c r="B90" s="1608" t="s">
        <v>1526</v>
      </c>
      <c r="C90" s="1610" t="s">
        <v>1526</v>
      </c>
      <c r="D90" s="1610">
        <v>2</v>
      </c>
      <c r="E90" s="1606" t="s">
        <v>1526</v>
      </c>
      <c r="F90" s="1606" t="s">
        <v>1516</v>
      </c>
      <c r="G90" s="1606" t="s">
        <v>1516</v>
      </c>
      <c r="H90" s="1606" t="s">
        <v>1516</v>
      </c>
      <c r="I90" s="1608" t="s">
        <v>1530</v>
      </c>
      <c r="J90" s="1689" t="s">
        <v>1529</v>
      </c>
      <c r="M90" s="90"/>
    </row>
    <row r="91" spans="1:13" ht="18.75">
      <c r="A91" s="90" t="s">
        <v>61</v>
      </c>
      <c r="B91" s="1608"/>
      <c r="C91" s="1610"/>
      <c r="D91" s="1610">
        <v>5</v>
      </c>
      <c r="E91" s="1606"/>
      <c r="F91" s="1606"/>
      <c r="G91" s="1606"/>
      <c r="H91" s="1606"/>
      <c r="I91" s="1608"/>
      <c r="M91" s="90"/>
    </row>
    <row r="92" spans="1:13" ht="18.75">
      <c r="A92" s="90" t="s">
        <v>80</v>
      </c>
      <c r="B92" s="1608" t="s">
        <v>1526</v>
      </c>
      <c r="C92" s="1610" t="s">
        <v>1526</v>
      </c>
      <c r="D92" s="1610">
        <v>2</v>
      </c>
      <c r="E92" s="1606" t="s">
        <v>1526</v>
      </c>
      <c r="F92" s="1606" t="s">
        <v>1516</v>
      </c>
      <c r="G92" s="1606" t="s">
        <v>1516</v>
      </c>
      <c r="H92" s="1606" t="s">
        <v>1516</v>
      </c>
      <c r="I92" s="1608" t="s">
        <v>1530</v>
      </c>
      <c r="J92" s="1689" t="s">
        <v>1529</v>
      </c>
      <c r="M92" s="90"/>
    </row>
    <row r="93" spans="1:13" ht="18.75">
      <c r="A93" s="90" t="s">
        <v>14</v>
      </c>
      <c r="B93" s="1608"/>
      <c r="C93" s="1610"/>
      <c r="D93" s="1610">
        <v>4</v>
      </c>
      <c r="E93" s="1606"/>
      <c r="F93" s="1606"/>
      <c r="G93" s="1606"/>
      <c r="H93" s="1606"/>
      <c r="I93" s="1608"/>
      <c r="M93" s="90"/>
    </row>
    <row r="94" spans="1:13" ht="18.75">
      <c r="A94" s="90" t="s">
        <v>19</v>
      </c>
      <c r="B94" s="1608" t="s">
        <v>1515</v>
      </c>
      <c r="C94" s="1610" t="s">
        <v>1515</v>
      </c>
      <c r="D94" s="1610">
        <v>6</v>
      </c>
      <c r="E94" s="1606" t="s">
        <v>1515</v>
      </c>
      <c r="F94" s="1606"/>
      <c r="G94" s="1606"/>
      <c r="H94" s="1606"/>
      <c r="I94" s="1608"/>
      <c r="J94" s="1689" t="s">
        <v>1515</v>
      </c>
      <c r="M94" s="90" t="s">
        <v>1534</v>
      </c>
    </row>
    <row r="95" spans="1:13" ht="18.75">
      <c r="A95" s="90" t="s">
        <v>152</v>
      </c>
      <c r="B95" s="1608" t="s">
        <v>1526</v>
      </c>
      <c r="C95" s="1610" t="s">
        <v>1526</v>
      </c>
      <c r="D95" s="1610">
        <v>2</v>
      </c>
      <c r="E95" s="1606" t="s">
        <v>1526</v>
      </c>
      <c r="F95" s="1606" t="s">
        <v>1516</v>
      </c>
      <c r="G95" s="1606" t="s">
        <v>1516</v>
      </c>
      <c r="H95" s="1606" t="s">
        <v>1516</v>
      </c>
      <c r="I95" s="1608" t="s">
        <v>1530</v>
      </c>
      <c r="J95" s="1689" t="s">
        <v>1526</v>
      </c>
      <c r="M95" s="90" t="s">
        <v>1556</v>
      </c>
    </row>
    <row r="96" spans="1:13" ht="18.75">
      <c r="A96" s="90" t="s">
        <v>81</v>
      </c>
      <c r="B96" s="1608" t="s">
        <v>1526</v>
      </c>
      <c r="C96" s="1610" t="s">
        <v>1526</v>
      </c>
      <c r="D96" s="1610">
        <v>2</v>
      </c>
      <c r="E96" s="1606" t="s">
        <v>1515</v>
      </c>
      <c r="F96" s="1606" t="s">
        <v>1516</v>
      </c>
      <c r="G96" s="1606" t="s">
        <v>1516</v>
      </c>
      <c r="H96" s="1606" t="s">
        <v>1516</v>
      </c>
      <c r="I96" s="1608"/>
      <c r="J96" s="1689" t="s">
        <v>1529</v>
      </c>
      <c r="M96" s="90"/>
    </row>
    <row r="97" spans="1:14" ht="18.75">
      <c r="A97" s="90" t="s">
        <v>37</v>
      </c>
      <c r="B97" s="1608"/>
      <c r="C97" s="1610"/>
      <c r="D97" s="1610">
        <v>4</v>
      </c>
      <c r="E97" s="1606"/>
      <c r="F97" s="1606"/>
      <c r="G97" s="1606"/>
      <c r="H97" s="1606"/>
      <c r="I97" s="1608"/>
      <c r="M97" s="90"/>
    </row>
    <row r="98" spans="1:14" ht="18.75">
      <c r="A98" s="90" t="s">
        <v>1021</v>
      </c>
      <c r="B98" s="1608"/>
      <c r="C98" s="1610"/>
      <c r="D98" s="1610" t="b">
        <v>0</v>
      </c>
      <c r="E98" s="1606"/>
      <c r="F98" s="1606"/>
      <c r="G98" s="1606"/>
      <c r="H98" s="1473"/>
      <c r="I98" s="1608"/>
      <c r="M98" s="90"/>
    </row>
    <row r="99" spans="1:14" ht="18.75">
      <c r="A99" s="90" t="s">
        <v>154</v>
      </c>
      <c r="B99" s="1608" t="s">
        <v>1526</v>
      </c>
      <c r="C99" s="1610" t="s">
        <v>1526</v>
      </c>
      <c r="D99" s="1610">
        <v>2</v>
      </c>
      <c r="E99" s="1606" t="s">
        <v>1526</v>
      </c>
      <c r="F99" s="1606" t="s">
        <v>1516</v>
      </c>
      <c r="G99" s="1606" t="s">
        <v>1516</v>
      </c>
      <c r="H99" s="1606" t="s">
        <v>1516</v>
      </c>
      <c r="I99" s="1608" t="s">
        <v>1530</v>
      </c>
      <c r="J99" s="1689" t="s">
        <v>1515</v>
      </c>
      <c r="M99" s="90"/>
      <c r="N99" t="s">
        <v>1544</v>
      </c>
    </row>
    <row r="100" spans="1:14" ht="18.75">
      <c r="A100" s="90" t="s">
        <v>1022</v>
      </c>
      <c r="B100" s="1608" t="s">
        <v>1526</v>
      </c>
      <c r="C100" s="1610" t="s">
        <v>1526</v>
      </c>
      <c r="D100" s="1610">
        <v>2</v>
      </c>
      <c r="E100" s="1606" t="s">
        <v>1515</v>
      </c>
      <c r="F100" s="1606" t="s">
        <v>1516</v>
      </c>
      <c r="G100" s="1606" t="s">
        <v>1516</v>
      </c>
      <c r="H100" s="1606" t="s">
        <v>1516</v>
      </c>
      <c r="I100" s="1608" t="s">
        <v>1516</v>
      </c>
      <c r="J100" s="1689" t="s">
        <v>1526</v>
      </c>
      <c r="M100" s="90" t="s">
        <v>1557</v>
      </c>
    </row>
    <row r="101" spans="1:14" ht="18.75">
      <c r="A101" s="90" t="s">
        <v>1024</v>
      </c>
      <c r="B101" s="1608"/>
      <c r="C101" s="1610"/>
      <c r="D101" s="1610" t="b">
        <v>0</v>
      </c>
      <c r="E101" s="1606"/>
      <c r="F101" s="1606"/>
      <c r="G101" s="1606"/>
      <c r="H101" s="1606"/>
      <c r="I101" s="1608"/>
      <c r="M101" s="90"/>
    </row>
    <row r="102" spans="1:14" ht="18.75">
      <c r="A102" s="90" t="s">
        <v>1025</v>
      </c>
      <c r="B102" s="1608"/>
      <c r="C102" s="1610"/>
      <c r="D102" s="1610" t="b">
        <v>0</v>
      </c>
      <c r="E102" s="1606"/>
      <c r="F102" s="1606"/>
      <c r="G102" s="1606"/>
      <c r="H102" s="1606"/>
      <c r="I102" s="1608"/>
      <c r="M102" s="90"/>
    </row>
    <row r="103" spans="1:14" ht="18.75">
      <c r="A103" s="90" t="s">
        <v>294</v>
      </c>
      <c r="B103" s="1608"/>
      <c r="C103" s="1610"/>
      <c r="D103" s="1610" t="b">
        <v>0</v>
      </c>
      <c r="E103" s="1606"/>
      <c r="F103" s="1606"/>
      <c r="G103" s="1606"/>
      <c r="H103" s="1606"/>
      <c r="I103" s="1608"/>
      <c r="M103" s="90"/>
    </row>
    <row r="104" spans="1:14" ht="18.75">
      <c r="A104" s="90" t="s">
        <v>15</v>
      </c>
      <c r="B104" s="1608"/>
      <c r="C104" s="1610"/>
      <c r="D104" s="1610">
        <v>3</v>
      </c>
      <c r="E104" s="1606"/>
      <c r="F104" s="1606"/>
      <c r="G104" s="1606"/>
      <c r="H104" s="1606"/>
      <c r="I104" s="1608"/>
      <c r="J104" s="1689" t="s">
        <v>1515</v>
      </c>
      <c r="M104" s="90" t="s">
        <v>1892</v>
      </c>
    </row>
    <row r="105" spans="1:14" ht="18.75">
      <c r="A105" s="90" t="s">
        <v>208</v>
      </c>
      <c r="B105" s="1608"/>
      <c r="C105" s="1610"/>
      <c r="D105" s="1610">
        <v>5</v>
      </c>
      <c r="E105" s="1606"/>
      <c r="F105" s="1606"/>
      <c r="G105" s="1606"/>
      <c r="H105" s="1606"/>
      <c r="I105" s="1608"/>
      <c r="M105" s="90"/>
    </row>
    <row r="106" spans="1:14" ht="18.75">
      <c r="A106" s="90" t="s">
        <v>1490</v>
      </c>
      <c r="B106" s="1608" t="s">
        <v>1529</v>
      </c>
      <c r="C106" s="1610" t="s">
        <v>1529</v>
      </c>
      <c r="D106" s="1610">
        <v>4</v>
      </c>
      <c r="E106" s="1606" t="s">
        <v>1529</v>
      </c>
      <c r="F106" s="1606" t="s">
        <v>1516</v>
      </c>
      <c r="G106" s="1606" t="s">
        <v>1516</v>
      </c>
      <c r="H106" s="1606" t="s">
        <v>1516</v>
      </c>
      <c r="I106" s="1608" t="s">
        <v>1516</v>
      </c>
      <c r="J106" s="1689" t="s">
        <v>1526</v>
      </c>
      <c r="M106" s="90" t="s">
        <v>1558</v>
      </c>
      <c r="N106" t="s">
        <v>1559</v>
      </c>
    </row>
    <row r="107" spans="1:14" ht="18.75">
      <c r="A107" s="90" t="s">
        <v>82</v>
      </c>
      <c r="B107" s="1608" t="s">
        <v>1526</v>
      </c>
      <c r="C107" s="1610" t="s">
        <v>1526</v>
      </c>
      <c r="D107" s="1610">
        <v>2</v>
      </c>
      <c r="E107" s="1606" t="s">
        <v>1526</v>
      </c>
      <c r="F107" s="1606" t="s">
        <v>1516</v>
      </c>
      <c r="G107" s="1606" t="s">
        <v>1516</v>
      </c>
      <c r="H107" s="1606" t="s">
        <v>1516</v>
      </c>
      <c r="I107" s="1608" t="s">
        <v>1530</v>
      </c>
      <c r="J107" s="1689" t="s">
        <v>1529</v>
      </c>
      <c r="M107" s="90"/>
    </row>
    <row r="108" spans="1:14" ht="18.75">
      <c r="A108" s="90" t="s">
        <v>112</v>
      </c>
      <c r="B108" s="1608" t="s">
        <v>1526</v>
      </c>
      <c r="C108" s="1610" t="s">
        <v>1526</v>
      </c>
      <c r="D108" s="1610">
        <v>2</v>
      </c>
      <c r="E108" s="1606" t="s">
        <v>1526</v>
      </c>
      <c r="F108" s="1606" t="s">
        <v>1516</v>
      </c>
      <c r="G108" s="1606" t="s">
        <v>1532</v>
      </c>
      <c r="H108" s="1606" t="s">
        <v>1532</v>
      </c>
      <c r="I108" s="1608" t="s">
        <v>1530</v>
      </c>
      <c r="J108" s="1689" t="s">
        <v>1526</v>
      </c>
      <c r="M108" s="90" t="s">
        <v>1560</v>
      </c>
    </row>
    <row r="109" spans="1:14" ht="18.75">
      <c r="A109" s="90" t="s">
        <v>1028</v>
      </c>
      <c r="B109" s="1608"/>
      <c r="C109" s="1610"/>
      <c r="D109" s="1610">
        <v>3</v>
      </c>
      <c r="E109" s="1606"/>
      <c r="F109" s="1606"/>
      <c r="G109" s="1606"/>
      <c r="H109" s="1606"/>
      <c r="I109" s="1608"/>
      <c r="M109" s="90"/>
    </row>
    <row r="110" spans="1:14" ht="18.75">
      <c r="A110" s="90" t="s">
        <v>83</v>
      </c>
      <c r="B110" s="1608" t="s">
        <v>1515</v>
      </c>
      <c r="C110" s="1610" t="s">
        <v>1515</v>
      </c>
      <c r="D110" s="1610">
        <v>6</v>
      </c>
      <c r="E110" s="1606" t="s">
        <v>1515</v>
      </c>
      <c r="F110" s="1606"/>
      <c r="G110" s="1606"/>
      <c r="H110" s="1606"/>
      <c r="I110" s="1608"/>
      <c r="J110" s="1689" t="s">
        <v>1515</v>
      </c>
      <c r="M110" s="90" t="s">
        <v>1534</v>
      </c>
    </row>
    <row r="111" spans="1:14" ht="18.75">
      <c r="A111" s="90" t="s">
        <v>1030</v>
      </c>
      <c r="B111" s="1608" t="s">
        <v>1526</v>
      </c>
      <c r="C111" s="1610" t="s">
        <v>1526</v>
      </c>
      <c r="D111" s="1610">
        <v>2</v>
      </c>
      <c r="E111" s="1606" t="s">
        <v>1515</v>
      </c>
      <c r="F111" s="1606" t="s">
        <v>1516</v>
      </c>
      <c r="G111" s="1606" t="s">
        <v>1516</v>
      </c>
      <c r="H111" s="1606" t="s">
        <v>1516</v>
      </c>
      <c r="I111" s="1608" t="s">
        <v>1516</v>
      </c>
      <c r="J111" s="1689" t="s">
        <v>1529</v>
      </c>
      <c r="M111" s="90"/>
    </row>
    <row r="112" spans="1:14" ht="18.75">
      <c r="A112" s="90" t="s">
        <v>296</v>
      </c>
      <c r="B112" s="1608"/>
      <c r="C112" s="1610"/>
      <c r="D112" s="1610">
        <v>6</v>
      </c>
      <c r="E112" s="1606"/>
      <c r="F112" s="1606"/>
      <c r="G112" s="1606"/>
      <c r="H112" s="1606"/>
      <c r="I112" s="1608"/>
      <c r="M112" s="90"/>
    </row>
    <row r="113" spans="1:14" ht="18.75">
      <c r="A113" s="90" t="s">
        <v>46</v>
      </c>
      <c r="B113" s="1608"/>
      <c r="C113" s="1610"/>
      <c r="D113" s="1610">
        <v>2</v>
      </c>
      <c r="E113" s="1606"/>
      <c r="F113" s="1606"/>
      <c r="G113" s="1606"/>
      <c r="H113" s="1606"/>
      <c r="I113" s="1608"/>
      <c r="M113" s="90"/>
    </row>
    <row r="114" spans="1:14" ht="18.75">
      <c r="A114" s="90" t="s">
        <v>162</v>
      </c>
      <c r="B114" s="1608" t="s">
        <v>1515</v>
      </c>
      <c r="C114" s="1610" t="s">
        <v>1515</v>
      </c>
      <c r="D114" s="1610">
        <v>6</v>
      </c>
      <c r="E114" s="1606" t="s">
        <v>1515</v>
      </c>
      <c r="F114" s="1606" t="s">
        <v>1516</v>
      </c>
      <c r="G114" s="1606" t="s">
        <v>1516</v>
      </c>
      <c r="H114" s="1606" t="s">
        <v>1516</v>
      </c>
      <c r="I114" s="1608" t="s">
        <v>1516</v>
      </c>
      <c r="J114" s="1689" t="s">
        <v>1526</v>
      </c>
      <c r="M114" s="90" t="s">
        <v>1561</v>
      </c>
    </row>
    <row r="115" spans="1:14" ht="18.75">
      <c r="A115" s="90" t="s">
        <v>1031</v>
      </c>
      <c r="B115" s="1608" t="s">
        <v>1529</v>
      </c>
      <c r="C115" s="1610" t="s">
        <v>1529</v>
      </c>
      <c r="D115" s="1610">
        <v>4</v>
      </c>
      <c r="E115" s="1606" t="s">
        <v>1515</v>
      </c>
      <c r="F115" s="1606" t="s">
        <v>1516</v>
      </c>
      <c r="G115" s="1606" t="s">
        <v>1516</v>
      </c>
      <c r="H115" s="1606" t="s">
        <v>1516</v>
      </c>
      <c r="I115" s="1608" t="s">
        <v>1516</v>
      </c>
      <c r="J115" s="1689" t="s">
        <v>1515</v>
      </c>
      <c r="M115" s="90" t="s">
        <v>1562</v>
      </c>
      <c r="N115" t="s">
        <v>1555</v>
      </c>
    </row>
    <row r="116" spans="1:14" ht="18.75">
      <c r="A116" s="90" t="s">
        <v>257</v>
      </c>
      <c r="B116" s="1608" t="s">
        <v>1529</v>
      </c>
      <c r="C116" s="1610" t="s">
        <v>1515</v>
      </c>
      <c r="D116" s="1610">
        <v>6</v>
      </c>
      <c r="E116" s="1606" t="s">
        <v>1529</v>
      </c>
      <c r="F116" s="1606" t="s">
        <v>1516</v>
      </c>
      <c r="G116" s="1606" t="s">
        <v>1516</v>
      </c>
      <c r="H116" s="1606" t="s">
        <v>1516</v>
      </c>
      <c r="I116" s="1608" t="s">
        <v>1516</v>
      </c>
      <c r="J116" s="1689" t="s">
        <v>1529</v>
      </c>
      <c r="M116" s="90" t="s">
        <v>1563</v>
      </c>
      <c r="N116" t="s">
        <v>1564</v>
      </c>
    </row>
    <row r="117" spans="1:14" ht="18.75">
      <c r="A117" s="90" t="s">
        <v>84</v>
      </c>
      <c r="B117" s="1608"/>
      <c r="C117" s="1610"/>
      <c r="D117" s="1610">
        <v>5</v>
      </c>
      <c r="E117" s="1606"/>
      <c r="F117" s="1606"/>
      <c r="G117" s="1606"/>
      <c r="H117" s="1606"/>
      <c r="I117" s="1608"/>
      <c r="M117" s="90"/>
    </row>
    <row r="118" spans="1:14" ht="18.75">
      <c r="A118" s="90" t="s">
        <v>62</v>
      </c>
      <c r="B118" s="1608"/>
      <c r="C118" s="1610"/>
      <c r="D118" s="1610">
        <v>3</v>
      </c>
      <c r="E118" s="1606"/>
      <c r="F118" s="1606"/>
      <c r="G118" s="1606"/>
      <c r="H118" s="1606"/>
      <c r="I118" s="1608"/>
      <c r="M118" s="90"/>
    </row>
    <row r="119" spans="1:14" ht="18.75">
      <c r="A119" s="90" t="s">
        <v>159</v>
      </c>
      <c r="B119" s="1608"/>
      <c r="C119" s="1610"/>
      <c r="D119" s="1610">
        <v>1</v>
      </c>
      <c r="E119" s="1606"/>
      <c r="F119" s="1606"/>
      <c r="G119" s="1606"/>
      <c r="H119" s="1606"/>
      <c r="I119" s="1608"/>
      <c r="M119" s="90"/>
    </row>
    <row r="120" spans="1:14" ht="18.75">
      <c r="A120" s="90" t="s">
        <v>43</v>
      </c>
      <c r="B120" s="1608"/>
      <c r="C120" s="1610"/>
      <c r="D120" s="1610">
        <v>1</v>
      </c>
      <c r="E120" s="1606"/>
      <c r="F120" s="1606"/>
      <c r="G120" s="1606"/>
      <c r="H120" s="1606"/>
      <c r="I120" s="1608"/>
      <c r="M120" s="90"/>
    </row>
    <row r="121" spans="1:14" ht="18.75">
      <c r="A121" s="90" t="s">
        <v>549</v>
      </c>
      <c r="B121" s="1608" t="s">
        <v>1529</v>
      </c>
      <c r="C121" s="1610" t="s">
        <v>1515</v>
      </c>
      <c r="D121" s="1610">
        <v>6</v>
      </c>
      <c r="E121" s="1606" t="s">
        <v>1529</v>
      </c>
      <c r="F121" s="1606" t="s">
        <v>1516</v>
      </c>
      <c r="G121" s="1606" t="s">
        <v>1516</v>
      </c>
      <c r="H121" s="1606" t="s">
        <v>1516</v>
      </c>
      <c r="I121" s="1608" t="s">
        <v>1532</v>
      </c>
      <c r="J121" s="1689" t="s">
        <v>1515</v>
      </c>
      <c r="M121" s="1590" t="s">
        <v>1565</v>
      </c>
    </row>
    <row r="122" spans="1:14" ht="18.75">
      <c r="A122" s="90" t="s">
        <v>1170</v>
      </c>
      <c r="B122" s="1608"/>
      <c r="C122" s="1610"/>
      <c r="D122" s="1610" t="b">
        <v>0</v>
      </c>
      <c r="E122" s="1606"/>
      <c r="F122" s="1606"/>
      <c r="G122" s="1606"/>
      <c r="H122" s="1606"/>
      <c r="I122" s="1608"/>
      <c r="M122" s="90"/>
    </row>
    <row r="123" spans="1:14" ht="18.75">
      <c r="A123" s="90" t="s">
        <v>44</v>
      </c>
      <c r="B123" s="1608" t="s">
        <v>1515</v>
      </c>
      <c r="C123" s="1610" t="s">
        <v>1515</v>
      </c>
      <c r="D123" s="1610">
        <v>6</v>
      </c>
      <c r="E123" s="1606" t="s">
        <v>1515</v>
      </c>
      <c r="F123" s="1606"/>
      <c r="G123" s="1606"/>
      <c r="H123" s="1606"/>
      <c r="I123" s="1608" t="s">
        <v>1515</v>
      </c>
      <c r="J123" s="1689" t="s">
        <v>1515</v>
      </c>
      <c r="M123" s="1590" t="s">
        <v>1534</v>
      </c>
    </row>
    <row r="124" spans="1:14" ht="18.75">
      <c r="A124" s="90" t="s">
        <v>167</v>
      </c>
      <c r="B124" s="1608" t="s">
        <v>1529</v>
      </c>
      <c r="C124" s="1610" t="s">
        <v>1529</v>
      </c>
      <c r="D124" s="1610">
        <v>4</v>
      </c>
      <c r="E124" s="1606" t="s">
        <v>1515</v>
      </c>
      <c r="F124" s="1606" t="s">
        <v>1516</v>
      </c>
      <c r="G124" s="1606" t="s">
        <v>1516</v>
      </c>
      <c r="H124" s="1606" t="s">
        <v>1516</v>
      </c>
      <c r="I124" s="1608" t="s">
        <v>1516</v>
      </c>
      <c r="J124" s="1689" t="s">
        <v>1515</v>
      </c>
      <c r="M124" s="90"/>
      <c r="N124" t="s">
        <v>1544</v>
      </c>
    </row>
    <row r="125" spans="1:14" ht="18.75">
      <c r="A125" s="90" t="s">
        <v>38</v>
      </c>
      <c r="B125" s="1608" t="s">
        <v>1515</v>
      </c>
      <c r="C125" s="1610" t="s">
        <v>1515</v>
      </c>
      <c r="D125" s="1610">
        <v>6</v>
      </c>
      <c r="E125" s="1606" t="s">
        <v>1515</v>
      </c>
      <c r="F125" s="1606"/>
      <c r="G125" s="1606"/>
      <c r="H125" s="1606"/>
      <c r="I125" s="1608"/>
      <c r="J125" s="1689" t="s">
        <v>1515</v>
      </c>
      <c r="M125" s="90" t="s">
        <v>1534</v>
      </c>
    </row>
    <row r="126" spans="1:14" ht="18.75">
      <c r="A126" s="90" t="s">
        <v>169</v>
      </c>
      <c r="B126" s="1608" t="s">
        <v>1529</v>
      </c>
      <c r="C126" s="1610" t="s">
        <v>1529</v>
      </c>
      <c r="D126" s="1610">
        <v>4</v>
      </c>
      <c r="E126" s="1606" t="s">
        <v>1529</v>
      </c>
      <c r="F126" s="1606" t="s">
        <v>1532</v>
      </c>
      <c r="G126" s="1606" t="s">
        <v>1532</v>
      </c>
      <c r="H126" s="1606" t="s">
        <v>1532</v>
      </c>
      <c r="I126" s="1608" t="s">
        <v>1516</v>
      </c>
      <c r="J126" s="1689" t="s">
        <v>1526</v>
      </c>
      <c r="M126" s="90"/>
    </row>
    <row r="127" spans="1:14" ht="18.75">
      <c r="A127" s="90" t="s">
        <v>33</v>
      </c>
      <c r="B127" s="1608"/>
      <c r="C127" s="1610"/>
      <c r="D127" s="1610">
        <v>4</v>
      </c>
      <c r="E127" s="1606"/>
      <c r="F127" s="1606"/>
      <c r="G127" s="1606"/>
      <c r="H127" s="1606"/>
      <c r="I127" s="1608"/>
      <c r="M127" s="90"/>
    </row>
    <row r="128" spans="1:14" ht="18.75">
      <c r="A128" s="90" t="s">
        <v>85</v>
      </c>
      <c r="B128" s="1608"/>
      <c r="C128" s="1610"/>
      <c r="D128" s="1610">
        <v>4</v>
      </c>
      <c r="E128" s="1606"/>
      <c r="F128" s="1606"/>
      <c r="G128" s="1606"/>
      <c r="H128" s="1606"/>
      <c r="I128" s="1608"/>
      <c r="M128" s="90"/>
    </row>
    <row r="129" spans="1:14" ht="18.75">
      <c r="A129" s="90" t="s">
        <v>258</v>
      </c>
      <c r="B129" s="1608" t="s">
        <v>1526</v>
      </c>
      <c r="C129" s="1610" t="s">
        <v>1526</v>
      </c>
      <c r="D129" s="1610">
        <v>2</v>
      </c>
      <c r="E129" s="1606" t="s">
        <v>1526</v>
      </c>
      <c r="F129" s="1606" t="s">
        <v>1516</v>
      </c>
      <c r="G129" s="1606" t="s">
        <v>1516</v>
      </c>
      <c r="H129" s="1606" t="s">
        <v>1516</v>
      </c>
      <c r="I129" s="1608" t="s">
        <v>1530</v>
      </c>
      <c r="J129" s="1689" t="s">
        <v>1526</v>
      </c>
      <c r="M129" s="90" t="s">
        <v>1566</v>
      </c>
    </row>
    <row r="130" spans="1:14" ht="18.75">
      <c r="A130" s="90" t="s">
        <v>173</v>
      </c>
      <c r="B130" s="1608" t="s">
        <v>1526</v>
      </c>
      <c r="C130" s="1610" t="s">
        <v>1526</v>
      </c>
      <c r="D130" s="1610">
        <v>2</v>
      </c>
      <c r="E130" s="1606" t="s">
        <v>1526</v>
      </c>
      <c r="F130" s="1606" t="s">
        <v>1516</v>
      </c>
      <c r="G130" s="1606" t="s">
        <v>1516</v>
      </c>
      <c r="H130" s="1606" t="s">
        <v>1532</v>
      </c>
      <c r="I130" s="1608" t="s">
        <v>1516</v>
      </c>
      <c r="J130" s="1689" t="s">
        <v>1515</v>
      </c>
      <c r="M130" s="90" t="s">
        <v>1567</v>
      </c>
      <c r="N130" t="s">
        <v>1541</v>
      </c>
    </row>
    <row r="131" spans="1:14" ht="18.75">
      <c r="A131" s="90" t="s">
        <v>1033</v>
      </c>
      <c r="B131" s="1608" t="s">
        <v>1515</v>
      </c>
      <c r="C131" s="1610" t="s">
        <v>1515</v>
      </c>
      <c r="D131" s="1610">
        <v>6</v>
      </c>
      <c r="E131" s="1606" t="s">
        <v>1515</v>
      </c>
      <c r="F131" s="1606"/>
      <c r="G131" s="1606"/>
      <c r="H131" s="1606"/>
      <c r="I131" s="1608"/>
      <c r="J131" s="1689" t="s">
        <v>1515</v>
      </c>
      <c r="M131" s="90" t="s">
        <v>1534</v>
      </c>
    </row>
    <row r="132" spans="1:14" ht="18.75">
      <c r="A132" s="90" t="s">
        <v>1179</v>
      </c>
      <c r="B132" s="1608" t="s">
        <v>1526</v>
      </c>
      <c r="C132" s="1610" t="s">
        <v>1526</v>
      </c>
      <c r="D132" s="1610">
        <v>2</v>
      </c>
      <c r="E132" s="1606" t="s">
        <v>1526</v>
      </c>
      <c r="F132" s="1606" t="s">
        <v>1516</v>
      </c>
      <c r="G132" s="1606" t="s">
        <v>1516</v>
      </c>
      <c r="H132" s="1606" t="s">
        <v>1516</v>
      </c>
      <c r="I132" s="1608" t="s">
        <v>1530</v>
      </c>
      <c r="J132" s="1689" t="s">
        <v>1529</v>
      </c>
      <c r="M132" s="90" t="s">
        <v>1568</v>
      </c>
    </row>
    <row r="133" spans="1:14" ht="18.75">
      <c r="A133" s="90" t="s">
        <v>177</v>
      </c>
      <c r="B133" s="1608" t="s">
        <v>1526</v>
      </c>
      <c r="C133" s="1610" t="s">
        <v>1529</v>
      </c>
      <c r="D133" s="1610">
        <v>4</v>
      </c>
      <c r="E133" s="1606" t="s">
        <v>1526</v>
      </c>
      <c r="F133" s="1606" t="s">
        <v>1516</v>
      </c>
      <c r="G133" s="1606" t="s">
        <v>1516</v>
      </c>
      <c r="H133" s="1606" t="s">
        <v>1516</v>
      </c>
      <c r="I133" s="1608" t="s">
        <v>1530</v>
      </c>
      <c r="J133" s="1689" t="s">
        <v>1529</v>
      </c>
      <c r="M133" s="90"/>
    </row>
    <row r="134" spans="1:14" ht="18.75">
      <c r="A134" s="90" t="s">
        <v>179</v>
      </c>
      <c r="B134" s="1608" t="s">
        <v>1526</v>
      </c>
      <c r="C134" s="1610" t="s">
        <v>1526</v>
      </c>
      <c r="D134" s="1610">
        <v>2</v>
      </c>
      <c r="E134" s="1606" t="s">
        <v>1526</v>
      </c>
      <c r="F134" s="1606" t="s">
        <v>1516</v>
      </c>
      <c r="G134" s="1606" t="s">
        <v>1516</v>
      </c>
      <c r="H134" s="1606" t="s">
        <v>1516</v>
      </c>
      <c r="I134" s="1608" t="s">
        <v>1530</v>
      </c>
      <c r="J134" s="1689" t="s">
        <v>1526</v>
      </c>
      <c r="M134" s="90"/>
    </row>
    <row r="135" spans="1:14" ht="18.75">
      <c r="A135" s="90" t="s">
        <v>181</v>
      </c>
      <c r="B135" s="1608" t="s">
        <v>1526</v>
      </c>
      <c r="C135" s="1610" t="s">
        <v>1526</v>
      </c>
      <c r="D135" s="1610">
        <v>2</v>
      </c>
      <c r="E135" s="1606" t="s">
        <v>1526</v>
      </c>
      <c r="F135" s="1606" t="s">
        <v>1532</v>
      </c>
      <c r="G135" s="1606" t="s">
        <v>1532</v>
      </c>
      <c r="H135" s="1606" t="s">
        <v>1532</v>
      </c>
      <c r="I135" s="1608" t="s">
        <v>1530</v>
      </c>
      <c r="J135" s="1689" t="s">
        <v>1529</v>
      </c>
      <c r="M135" s="90"/>
    </row>
    <row r="136" spans="1:14" ht="18.75">
      <c r="A136" s="90" t="s">
        <v>86</v>
      </c>
      <c r="B136" s="1608" t="s">
        <v>1529</v>
      </c>
      <c r="C136" s="1610" t="s">
        <v>1529</v>
      </c>
      <c r="D136" s="1610">
        <v>4</v>
      </c>
      <c r="E136" s="1606" t="s">
        <v>1529</v>
      </c>
      <c r="F136" s="1606" t="s">
        <v>1516</v>
      </c>
      <c r="G136" s="1606" t="s">
        <v>1516</v>
      </c>
      <c r="H136" s="1606" t="s">
        <v>1516</v>
      </c>
      <c r="I136" s="1608" t="s">
        <v>1516</v>
      </c>
      <c r="J136" s="1689" t="s">
        <v>1526</v>
      </c>
      <c r="M136" s="90" t="s">
        <v>1569</v>
      </c>
    </row>
    <row r="137" spans="1:14" ht="18.75">
      <c r="A137" s="90" t="s">
        <v>1034</v>
      </c>
      <c r="B137" s="1608" t="s">
        <v>1526</v>
      </c>
      <c r="C137" s="1610" t="s">
        <v>1529</v>
      </c>
      <c r="D137" s="1610">
        <v>4</v>
      </c>
      <c r="E137" s="1606" t="s">
        <v>1526</v>
      </c>
      <c r="F137" s="1606" t="s">
        <v>1516</v>
      </c>
      <c r="G137" s="1606" t="s">
        <v>1516</v>
      </c>
      <c r="H137" s="1606" t="s">
        <v>1516</v>
      </c>
      <c r="I137" s="1608" t="s">
        <v>1530</v>
      </c>
      <c r="J137" s="1689" t="s">
        <v>1526</v>
      </c>
      <c r="M137" s="90"/>
    </row>
    <row r="138" spans="1:14" ht="18.75">
      <c r="A138" s="90" t="s">
        <v>185</v>
      </c>
      <c r="B138" s="1608" t="s">
        <v>1529</v>
      </c>
      <c r="C138" s="1610" t="s">
        <v>1529</v>
      </c>
      <c r="D138" s="1610">
        <v>4</v>
      </c>
      <c r="E138" s="1606" t="s">
        <v>1515</v>
      </c>
      <c r="F138" s="1606" t="s">
        <v>1516</v>
      </c>
      <c r="G138" s="1606" t="s">
        <v>1516</v>
      </c>
      <c r="H138" s="1606" t="s">
        <v>1516</v>
      </c>
      <c r="I138" s="1608" t="s">
        <v>1516</v>
      </c>
      <c r="J138" s="1689" t="s">
        <v>1515</v>
      </c>
      <c r="M138" s="90" t="s">
        <v>1570</v>
      </c>
      <c r="N138" t="s">
        <v>1544</v>
      </c>
    </row>
    <row r="139" spans="1:14" ht="18.75">
      <c r="A139" s="90" t="s">
        <v>87</v>
      </c>
      <c r="B139" s="1608" t="s">
        <v>1529</v>
      </c>
      <c r="C139" s="1610" t="s">
        <v>1529</v>
      </c>
      <c r="D139" s="1610">
        <v>4</v>
      </c>
      <c r="E139" s="1606" t="s">
        <v>1529</v>
      </c>
      <c r="F139" s="1606" t="s">
        <v>1516</v>
      </c>
      <c r="G139" s="1606" t="s">
        <v>1516</v>
      </c>
      <c r="H139" s="1606" t="s">
        <v>1516</v>
      </c>
      <c r="I139" s="1608" t="s">
        <v>1516</v>
      </c>
      <c r="J139" s="1689" t="s">
        <v>1515</v>
      </c>
      <c r="M139" s="90"/>
      <c r="N139" t="s">
        <v>1541</v>
      </c>
    </row>
    <row r="140" spans="1:14" ht="18.75">
      <c r="A140" s="90" t="s">
        <v>1405</v>
      </c>
      <c r="B140" s="1608"/>
      <c r="C140" s="1610"/>
      <c r="D140" s="1610" t="b">
        <v>0</v>
      </c>
      <c r="E140" s="1606"/>
      <c r="F140" s="1606"/>
      <c r="G140" s="1606"/>
      <c r="H140" s="1606"/>
      <c r="I140" s="1608"/>
      <c r="M140" s="90"/>
    </row>
    <row r="141" spans="1:14" ht="18.75">
      <c r="A141" s="90" t="s">
        <v>1035</v>
      </c>
      <c r="B141" s="1608" t="s">
        <v>1526</v>
      </c>
      <c r="C141" s="1610" t="s">
        <v>1526</v>
      </c>
      <c r="D141" s="1610">
        <v>2</v>
      </c>
      <c r="E141" s="1606" t="s">
        <v>1526</v>
      </c>
      <c r="F141" s="1606" t="s">
        <v>1516</v>
      </c>
      <c r="G141" s="1606" t="s">
        <v>1516</v>
      </c>
      <c r="H141" s="1606" t="s">
        <v>1516</v>
      </c>
      <c r="I141" s="1608" t="s">
        <v>1530</v>
      </c>
      <c r="J141" s="1689" t="s">
        <v>1529</v>
      </c>
      <c r="M141" s="90"/>
    </row>
    <row r="142" spans="1:14" ht="18.75">
      <c r="A142" s="90" t="s">
        <v>16</v>
      </c>
      <c r="B142" s="1608" t="s">
        <v>1526</v>
      </c>
      <c r="C142" s="1610" t="s">
        <v>1526</v>
      </c>
      <c r="D142" s="1610">
        <v>2</v>
      </c>
      <c r="E142" s="1606" t="s">
        <v>1515</v>
      </c>
      <c r="F142" s="1606" t="s">
        <v>1516</v>
      </c>
      <c r="G142" s="1606" t="s">
        <v>1516</v>
      </c>
      <c r="H142" s="1606" t="s">
        <v>1516</v>
      </c>
      <c r="I142" s="1608"/>
      <c r="J142" s="1689" t="s">
        <v>1529</v>
      </c>
      <c r="M142" s="90"/>
    </row>
    <row r="143" spans="1:14" ht="18.75">
      <c r="A143" s="90" t="s">
        <v>28</v>
      </c>
      <c r="B143" s="1608" t="s">
        <v>1515</v>
      </c>
      <c r="C143" s="1610" t="s">
        <v>1515</v>
      </c>
      <c r="D143" s="1610">
        <v>6</v>
      </c>
      <c r="E143" s="1606" t="s">
        <v>1515</v>
      </c>
      <c r="F143" s="1606"/>
      <c r="G143" s="1606"/>
      <c r="H143" s="1606"/>
      <c r="I143" s="1608"/>
      <c r="J143" s="1689" t="s">
        <v>1515</v>
      </c>
      <c r="M143" s="90" t="s">
        <v>1534</v>
      </c>
    </row>
    <row r="144" spans="1:14" ht="18.75">
      <c r="A144" s="90" t="s">
        <v>1357</v>
      </c>
      <c r="B144" s="1608"/>
      <c r="C144" s="1610"/>
      <c r="D144" s="1610">
        <v>1</v>
      </c>
      <c r="E144" s="1606"/>
      <c r="F144" s="1606"/>
      <c r="G144" s="1606"/>
      <c r="H144" s="1606"/>
      <c r="I144" s="1608"/>
      <c r="M144" s="90"/>
    </row>
    <row r="145" spans="1:14" ht="18.75">
      <c r="A145" s="90" t="s">
        <v>1037</v>
      </c>
      <c r="B145" s="1608" t="s">
        <v>1526</v>
      </c>
      <c r="C145" s="1610" t="s">
        <v>1529</v>
      </c>
      <c r="D145" s="1610">
        <v>4</v>
      </c>
      <c r="E145" s="1606" t="s">
        <v>1526</v>
      </c>
      <c r="F145" s="1606" t="s">
        <v>1516</v>
      </c>
      <c r="G145" s="1606" t="s">
        <v>1516</v>
      </c>
      <c r="H145" s="1606" t="s">
        <v>1516</v>
      </c>
      <c r="I145" s="1608" t="s">
        <v>1530</v>
      </c>
      <c r="J145" s="1689" t="s">
        <v>1526</v>
      </c>
      <c r="M145" s="90"/>
    </row>
    <row r="146" spans="1:14" ht="18.75">
      <c r="A146" s="90" t="s">
        <v>1407</v>
      </c>
      <c r="B146" s="1608" t="s">
        <v>1526</v>
      </c>
      <c r="C146" s="1610" t="s">
        <v>1515</v>
      </c>
      <c r="D146" s="1610">
        <v>6</v>
      </c>
      <c r="E146" s="1606" t="s">
        <v>1526</v>
      </c>
      <c r="F146" s="1606" t="s">
        <v>1516</v>
      </c>
      <c r="G146" s="1606" t="s">
        <v>1516</v>
      </c>
      <c r="H146" s="1606" t="s">
        <v>1516</v>
      </c>
      <c r="I146" s="1608" t="s">
        <v>1530</v>
      </c>
      <c r="J146" s="1689" t="s">
        <v>1529</v>
      </c>
      <c r="M146" s="90"/>
      <c r="N146" t="s">
        <v>1571</v>
      </c>
    </row>
    <row r="147" spans="1:14" ht="18.75">
      <c r="A147" s="90" t="s">
        <v>867</v>
      </c>
      <c r="B147" s="1608"/>
      <c r="C147" s="1610"/>
      <c r="D147" s="1610">
        <v>3</v>
      </c>
      <c r="E147" s="1606"/>
      <c r="F147" s="1606"/>
      <c r="G147" s="1606"/>
      <c r="H147" s="1606"/>
      <c r="I147" s="1608"/>
      <c r="M147" s="90"/>
    </row>
    <row r="148" spans="1:14" ht="18.75">
      <c r="A148" s="90"/>
      <c r="B148" s="1608"/>
      <c r="C148" s="1610"/>
      <c r="D148" s="1610"/>
      <c r="E148" s="1606"/>
      <c r="F148" s="1606"/>
      <c r="G148" s="1606"/>
      <c r="H148" s="1606"/>
      <c r="I148" s="1608"/>
      <c r="M148" s="90"/>
    </row>
    <row r="149" spans="1:14" ht="18.75">
      <c r="A149" s="90"/>
      <c r="B149" s="1608"/>
      <c r="C149" s="1610"/>
      <c r="D149" s="1610"/>
      <c r="E149" s="1606"/>
      <c r="F149" s="1606"/>
      <c r="G149" s="1606"/>
      <c r="H149" s="1606"/>
      <c r="I149" s="1608"/>
      <c r="M149" s="90"/>
    </row>
    <row r="150" spans="1:14" ht="18.75">
      <c r="A150" s="90" t="s">
        <v>88</v>
      </c>
      <c r="B150" s="1608" t="s">
        <v>1526</v>
      </c>
      <c r="C150" s="1610" t="s">
        <v>1529</v>
      </c>
      <c r="D150" s="1610">
        <v>4</v>
      </c>
      <c r="E150" s="1606" t="s">
        <v>1526</v>
      </c>
      <c r="F150" s="1606" t="s">
        <v>1516</v>
      </c>
      <c r="G150" s="1606" t="s">
        <v>1516</v>
      </c>
      <c r="H150" s="1606" t="s">
        <v>1516</v>
      </c>
      <c r="I150" s="1608" t="s">
        <v>1530</v>
      </c>
      <c r="J150" s="1689" t="s">
        <v>1526</v>
      </c>
      <c r="M150" s="90"/>
    </row>
    <row r="151" spans="1:14" ht="18.75">
      <c r="A151" s="90" t="s">
        <v>89</v>
      </c>
      <c r="B151" s="1608" t="s">
        <v>1529</v>
      </c>
      <c r="C151" s="1610" t="s">
        <v>1515</v>
      </c>
      <c r="D151" s="1610">
        <v>6</v>
      </c>
      <c r="E151" s="1606" t="s">
        <v>1529</v>
      </c>
      <c r="F151" s="1606" t="s">
        <v>1516</v>
      </c>
      <c r="G151" s="1606" t="s">
        <v>1516</v>
      </c>
      <c r="H151" s="1606" t="s">
        <v>1516</v>
      </c>
      <c r="I151" s="1608" t="s">
        <v>1516</v>
      </c>
      <c r="J151" s="1689" t="s">
        <v>1515</v>
      </c>
      <c r="M151" s="90" t="s">
        <v>1572</v>
      </c>
      <c r="N151" t="s">
        <v>1541</v>
      </c>
    </row>
    <row r="152" spans="1:14" ht="18.75">
      <c r="A152" s="90" t="s">
        <v>1175</v>
      </c>
      <c r="B152" s="1608"/>
      <c r="C152" s="1610"/>
      <c r="D152" s="1610" t="b">
        <v>0</v>
      </c>
      <c r="E152" s="1606"/>
      <c r="F152" s="1606"/>
      <c r="G152" s="1606"/>
      <c r="H152" s="1606"/>
      <c r="I152" s="1608"/>
      <c r="M152" s="90"/>
    </row>
    <row r="153" spans="1:14" ht="18.75">
      <c r="A153" s="90" t="s">
        <v>1409</v>
      </c>
      <c r="B153" s="1608"/>
      <c r="C153" s="1610"/>
      <c r="D153" s="1610" t="b">
        <v>0</v>
      </c>
      <c r="E153" s="1606"/>
      <c r="F153" s="1606"/>
      <c r="G153" s="1606"/>
      <c r="H153" s="1606"/>
      <c r="I153" s="1608"/>
      <c r="M153" s="90"/>
    </row>
    <row r="154" spans="1:14" ht="18.75">
      <c r="A154" s="90" t="s">
        <v>1041</v>
      </c>
      <c r="B154" s="1608" t="s">
        <v>1529</v>
      </c>
      <c r="C154" s="1610" t="s">
        <v>1529</v>
      </c>
      <c r="D154" s="1610">
        <v>4</v>
      </c>
      <c r="E154" s="1606" t="s">
        <v>1515</v>
      </c>
      <c r="F154" s="1606" t="s">
        <v>1516</v>
      </c>
      <c r="G154" s="1606" t="s">
        <v>1516</v>
      </c>
      <c r="H154" s="1606" t="s">
        <v>1516</v>
      </c>
      <c r="I154" s="1608" t="s">
        <v>1516</v>
      </c>
      <c r="J154" s="1689" t="s">
        <v>1515</v>
      </c>
      <c r="M154" s="90" t="s">
        <v>1562</v>
      </c>
      <c r="N154" t="s">
        <v>1555</v>
      </c>
    </row>
    <row r="155" spans="1:14" ht="18.75">
      <c r="A155" s="90" t="s">
        <v>1008</v>
      </c>
      <c r="B155" s="1608"/>
      <c r="C155" s="1610"/>
      <c r="D155" s="1610" t="b">
        <v>0</v>
      </c>
      <c r="E155" s="1606"/>
      <c r="F155" s="1606"/>
      <c r="G155" s="1606"/>
      <c r="H155" s="1606"/>
      <c r="I155" s="1608"/>
      <c r="M155" s="90"/>
    </row>
    <row r="156" spans="1:14" ht="18.75">
      <c r="A156" s="90" t="s">
        <v>1042</v>
      </c>
      <c r="B156" s="1608"/>
      <c r="C156" s="1610"/>
      <c r="D156" s="1610" t="b">
        <v>0</v>
      </c>
      <c r="E156" s="1606"/>
      <c r="F156" s="1606"/>
      <c r="G156" s="1606"/>
      <c r="H156" s="1606"/>
      <c r="I156" s="1608"/>
      <c r="M156" s="90"/>
    </row>
    <row r="157" spans="1:14" ht="18.75">
      <c r="A157" s="90" t="s">
        <v>196</v>
      </c>
      <c r="B157" s="1608" t="s">
        <v>1529</v>
      </c>
      <c r="C157" s="1610" t="s">
        <v>1529</v>
      </c>
      <c r="D157" s="1610">
        <v>4</v>
      </c>
      <c r="E157" s="1606" t="s">
        <v>1529</v>
      </c>
      <c r="F157" s="1606" t="s">
        <v>1516</v>
      </c>
      <c r="G157" s="1606" t="s">
        <v>1516</v>
      </c>
      <c r="H157" s="1606" t="s">
        <v>1516</v>
      </c>
      <c r="I157" s="1608" t="s">
        <v>1516</v>
      </c>
      <c r="J157" s="1689" t="s">
        <v>1515</v>
      </c>
      <c r="M157" s="90" t="s">
        <v>1573</v>
      </c>
      <c r="N157" t="s">
        <v>1541</v>
      </c>
    </row>
    <row r="158" spans="1:14" ht="18.75">
      <c r="A158" s="90" t="s">
        <v>39</v>
      </c>
      <c r="B158" s="1608" t="s">
        <v>1526</v>
      </c>
      <c r="C158" s="1610" t="s">
        <v>1526</v>
      </c>
      <c r="D158" s="1610">
        <v>2</v>
      </c>
      <c r="E158" s="1606" t="s">
        <v>1529</v>
      </c>
      <c r="F158" s="1606" t="s">
        <v>1516</v>
      </c>
      <c r="G158" s="1606" t="s">
        <v>1516</v>
      </c>
      <c r="H158" s="1606" t="s">
        <v>1532</v>
      </c>
      <c r="I158" s="1608" t="s">
        <v>1516</v>
      </c>
      <c r="J158" s="1689" t="s">
        <v>1515</v>
      </c>
      <c r="M158" s="90"/>
      <c r="N158" t="s">
        <v>1541</v>
      </c>
    </row>
    <row r="159" spans="1:14" ht="18.75">
      <c r="A159" s="90" t="s">
        <v>1176</v>
      </c>
      <c r="B159" s="1608"/>
      <c r="C159" s="1610"/>
      <c r="D159" s="1610" t="b">
        <v>0</v>
      </c>
      <c r="E159" s="1606"/>
      <c r="F159" s="1606"/>
      <c r="G159" s="1606"/>
      <c r="H159" s="1606"/>
      <c r="I159" s="1608"/>
      <c r="M159" s="90"/>
    </row>
    <row r="160" spans="1:14" ht="18.75">
      <c r="A160" s="90" t="s">
        <v>1358</v>
      </c>
      <c r="B160" s="1608" t="s">
        <v>1526</v>
      </c>
      <c r="C160" s="1610" t="s">
        <v>1526</v>
      </c>
      <c r="D160" s="1610">
        <v>2</v>
      </c>
      <c r="E160" s="1606" t="s">
        <v>1515</v>
      </c>
      <c r="F160" s="1606" t="s">
        <v>1516</v>
      </c>
      <c r="G160" s="1606" t="s">
        <v>1516</v>
      </c>
      <c r="H160" s="1606" t="s">
        <v>1516</v>
      </c>
      <c r="I160" s="1608" t="s">
        <v>1516</v>
      </c>
      <c r="J160" s="1689" t="s">
        <v>1529</v>
      </c>
      <c r="M160" s="90"/>
    </row>
    <row r="161" spans="1:14" ht="18.75">
      <c r="A161" s="90" t="s">
        <v>201</v>
      </c>
      <c r="B161" s="1608" t="s">
        <v>1526</v>
      </c>
      <c r="C161" s="1610" t="s">
        <v>1515</v>
      </c>
      <c r="D161" s="1610">
        <v>6</v>
      </c>
      <c r="E161" s="1606" t="s">
        <v>1526</v>
      </c>
      <c r="F161" s="1606" t="s">
        <v>1516</v>
      </c>
      <c r="G161" s="1606" t="s">
        <v>1532</v>
      </c>
      <c r="H161" s="1606" t="s">
        <v>1516</v>
      </c>
      <c r="I161" s="1608" t="s">
        <v>1530</v>
      </c>
      <c r="J161" s="1689" t="s">
        <v>1529</v>
      </c>
      <c r="M161" s="90" t="s">
        <v>1621</v>
      </c>
    </row>
    <row r="162" spans="1:14" ht="18.75">
      <c r="A162" s="90" t="s">
        <v>1043</v>
      </c>
      <c r="B162" s="1608" t="s">
        <v>1529</v>
      </c>
      <c r="C162" s="1610" t="s">
        <v>1529</v>
      </c>
      <c r="D162" s="1610">
        <v>4</v>
      </c>
      <c r="E162" s="1606" t="s">
        <v>1515</v>
      </c>
      <c r="F162" s="1606" t="s">
        <v>1516</v>
      </c>
      <c r="G162" s="1606" t="s">
        <v>1516</v>
      </c>
      <c r="H162" s="1606" t="s">
        <v>1516</v>
      </c>
      <c r="I162" s="1608"/>
      <c r="J162" s="1689" t="s">
        <v>1526</v>
      </c>
      <c r="M162" s="90"/>
    </row>
    <row r="163" spans="1:14" ht="18.75">
      <c r="A163" s="90" t="s">
        <v>1180</v>
      </c>
      <c r="B163" s="1608"/>
      <c r="C163" s="1610"/>
      <c r="D163" s="1610">
        <v>1</v>
      </c>
      <c r="E163" s="1606"/>
      <c r="F163" s="1606"/>
      <c r="G163" s="1606"/>
      <c r="H163" s="1606"/>
      <c r="I163" s="1608"/>
      <c r="M163" s="90"/>
    </row>
    <row r="164" spans="1:14" ht="18.75">
      <c r="A164" s="90" t="s">
        <v>90</v>
      </c>
      <c r="B164" s="1608" t="s">
        <v>1529</v>
      </c>
      <c r="C164" s="1610" t="s">
        <v>1529</v>
      </c>
      <c r="D164" s="1610">
        <v>4</v>
      </c>
      <c r="E164" s="1606" t="s">
        <v>1529</v>
      </c>
      <c r="F164" s="1606" t="s">
        <v>1516</v>
      </c>
      <c r="G164" s="1606" t="s">
        <v>1516</v>
      </c>
      <c r="H164" s="1606" t="s">
        <v>1516</v>
      </c>
      <c r="I164" s="1608" t="s">
        <v>1516</v>
      </c>
      <c r="J164" s="1689" t="s">
        <v>1515</v>
      </c>
      <c r="M164" s="90" t="s">
        <v>1622</v>
      </c>
      <c r="N164" t="s">
        <v>1544</v>
      </c>
    </row>
    <row r="165" spans="1:14" ht="18.75">
      <c r="A165" s="90" t="s">
        <v>1044</v>
      </c>
      <c r="B165" s="1608" t="s">
        <v>1529</v>
      </c>
      <c r="C165" s="1610" t="s">
        <v>1529</v>
      </c>
      <c r="D165" s="1610">
        <v>4</v>
      </c>
      <c r="E165" s="1606" t="s">
        <v>1515</v>
      </c>
      <c r="F165" s="1606" t="s">
        <v>1516</v>
      </c>
      <c r="G165" s="1606" t="s">
        <v>1516</v>
      </c>
      <c r="H165" s="1606" t="s">
        <v>1516</v>
      </c>
      <c r="I165" s="1608" t="s">
        <v>1516</v>
      </c>
      <c r="J165" s="1689" t="s">
        <v>1526</v>
      </c>
      <c r="M165" s="90" t="s">
        <v>1557</v>
      </c>
    </row>
    <row r="166" spans="1:14" ht="18.75">
      <c r="A166" s="90" t="s">
        <v>250</v>
      </c>
      <c r="B166" s="1608" t="s">
        <v>1526</v>
      </c>
      <c r="C166" s="1610" t="s">
        <v>1515</v>
      </c>
      <c r="D166" s="1610">
        <v>6</v>
      </c>
      <c r="E166" s="1606" t="s">
        <v>1526</v>
      </c>
      <c r="F166" s="1606"/>
      <c r="G166" s="1606"/>
      <c r="H166" s="1606"/>
      <c r="I166" s="1608"/>
      <c r="J166" s="1689" t="s">
        <v>1529</v>
      </c>
      <c r="M166" s="90" t="s">
        <v>1623</v>
      </c>
      <c r="N166" t="s">
        <v>1624</v>
      </c>
    </row>
    <row r="167" spans="1:14" ht="18.75">
      <c r="A167" s="90" t="s">
        <v>91</v>
      </c>
      <c r="B167" s="1608" t="s">
        <v>1515</v>
      </c>
      <c r="C167" s="1610" t="s">
        <v>1515</v>
      </c>
      <c r="D167" s="1610">
        <v>6</v>
      </c>
      <c r="E167" s="1606" t="s">
        <v>1515</v>
      </c>
      <c r="F167" s="1606"/>
      <c r="G167" s="1606"/>
      <c r="H167" s="1606"/>
      <c r="I167" s="1608"/>
      <c r="J167" s="1689" t="s">
        <v>1515</v>
      </c>
      <c r="M167" s="90" t="s">
        <v>1534</v>
      </c>
    </row>
    <row r="168" spans="1:14" ht="18.75">
      <c r="A168" s="90" t="s">
        <v>1046</v>
      </c>
      <c r="B168" s="1608"/>
      <c r="C168" s="1610"/>
      <c r="D168" s="1610" t="b">
        <v>0</v>
      </c>
      <c r="E168" s="1606"/>
      <c r="F168" s="1606"/>
      <c r="G168" s="1606"/>
      <c r="H168" s="1606"/>
      <c r="I168" s="1608"/>
      <c r="M168" s="90"/>
    </row>
    <row r="169" spans="1:14" ht="18.75">
      <c r="A169" s="90" t="s">
        <v>203</v>
      </c>
      <c r="B169" s="1608" t="s">
        <v>1526</v>
      </c>
      <c r="C169" s="1610" t="s">
        <v>1526</v>
      </c>
      <c r="D169" s="1610">
        <v>2</v>
      </c>
      <c r="E169" s="1606" t="s">
        <v>1526</v>
      </c>
      <c r="F169" s="1606" t="s">
        <v>1516</v>
      </c>
      <c r="G169" s="1606" t="s">
        <v>1516</v>
      </c>
      <c r="H169" s="1606" t="s">
        <v>1516</v>
      </c>
      <c r="I169" s="1608" t="s">
        <v>1530</v>
      </c>
      <c r="J169" s="1689" t="s">
        <v>1529</v>
      </c>
      <c r="M169" s="90"/>
    </row>
    <row r="170" spans="1:14" ht="18.75">
      <c r="A170" s="90" t="s">
        <v>35</v>
      </c>
      <c r="B170" s="1608" t="s">
        <v>1526</v>
      </c>
      <c r="C170" s="1610" t="s">
        <v>1515</v>
      </c>
      <c r="D170" s="1610">
        <v>6</v>
      </c>
      <c r="E170" s="1606" t="s">
        <v>1526</v>
      </c>
      <c r="F170" s="1606" t="s">
        <v>1516</v>
      </c>
      <c r="G170" s="1606" t="s">
        <v>1516</v>
      </c>
      <c r="H170" s="1606" t="s">
        <v>1516</v>
      </c>
      <c r="I170" s="1608" t="s">
        <v>1530</v>
      </c>
      <c r="J170" s="1689" t="s">
        <v>1515</v>
      </c>
      <c r="M170" s="90" t="s">
        <v>1625</v>
      </c>
      <c r="N170" t="s">
        <v>1544</v>
      </c>
    </row>
    <row r="171" spans="1:14" ht="18.75">
      <c r="A171" s="90" t="s">
        <v>31</v>
      </c>
      <c r="B171" s="1608"/>
      <c r="C171" s="1610"/>
      <c r="D171" s="1610">
        <v>1</v>
      </c>
      <c r="E171" s="1606"/>
      <c r="F171" s="1606"/>
      <c r="G171" s="1606"/>
      <c r="H171" s="1606"/>
      <c r="I171" s="1608"/>
      <c r="M171" s="90"/>
    </row>
    <row r="172" spans="1:14" ht="18.75">
      <c r="A172" s="90" t="s">
        <v>21</v>
      </c>
      <c r="B172" s="1608"/>
      <c r="C172" s="1610"/>
      <c r="D172" s="1610">
        <v>7</v>
      </c>
      <c r="E172" s="1606"/>
      <c r="F172" s="1606"/>
      <c r="G172" s="1606"/>
      <c r="H172" s="1606"/>
      <c r="I172" s="1608"/>
      <c r="M172" s="90"/>
    </row>
    <row r="173" spans="1:14" ht="18.75">
      <c r="A173" s="90" t="s">
        <v>1048</v>
      </c>
      <c r="B173" s="1608" t="s">
        <v>1526</v>
      </c>
      <c r="C173" s="1610" t="s">
        <v>1526</v>
      </c>
      <c r="D173" s="1610">
        <v>2</v>
      </c>
      <c r="E173" s="1606" t="s">
        <v>1526</v>
      </c>
      <c r="F173" s="1606" t="s">
        <v>1532</v>
      </c>
      <c r="G173" s="1606" t="s">
        <v>1516</v>
      </c>
      <c r="H173" s="1606" t="s">
        <v>1532</v>
      </c>
      <c r="I173" s="1608" t="s">
        <v>1516</v>
      </c>
      <c r="J173" s="1689" t="s">
        <v>1529</v>
      </c>
      <c r="M173" s="90" t="s">
        <v>1557</v>
      </c>
    </row>
    <row r="174" spans="1:14" ht="18.75">
      <c r="A174" s="90" t="s">
        <v>92</v>
      </c>
      <c r="B174" s="1608"/>
      <c r="C174" s="1610"/>
      <c r="D174" s="1610">
        <v>3</v>
      </c>
      <c r="E174" s="1606"/>
      <c r="F174" s="1606"/>
      <c r="G174" s="1606"/>
      <c r="H174" s="1606"/>
      <c r="I174" s="1608"/>
      <c r="M174" s="90" t="s">
        <v>1893</v>
      </c>
    </row>
    <row r="175" spans="1:14" ht="18.75">
      <c r="A175" s="90" t="s">
        <v>1050</v>
      </c>
      <c r="B175" s="1608" t="s">
        <v>1526</v>
      </c>
      <c r="C175" s="1610" t="s">
        <v>1526</v>
      </c>
      <c r="D175" s="1610">
        <v>2</v>
      </c>
      <c r="E175" s="1606" t="s">
        <v>1515</v>
      </c>
      <c r="F175" s="1606" t="s">
        <v>1516</v>
      </c>
      <c r="G175" s="1606" t="s">
        <v>1516</v>
      </c>
      <c r="H175" s="1606" t="s">
        <v>1516</v>
      </c>
      <c r="I175" s="1608"/>
      <c r="J175" s="1689" t="s">
        <v>1529</v>
      </c>
      <c r="M175" s="90"/>
    </row>
    <row r="176" spans="1:14" ht="18.75">
      <c r="A176" s="90" t="s">
        <v>1181</v>
      </c>
      <c r="B176" s="1608"/>
      <c r="C176" s="1610"/>
      <c r="D176" s="1610">
        <v>2</v>
      </c>
      <c r="E176" s="1606"/>
      <c r="F176" s="1606"/>
      <c r="G176" s="1606"/>
      <c r="H176" s="1606"/>
      <c r="I176" s="1608"/>
      <c r="M176" s="90"/>
    </row>
    <row r="177" spans="1:14" ht="18.75">
      <c r="A177" s="90" t="s">
        <v>1182</v>
      </c>
      <c r="B177" s="1608"/>
      <c r="C177" s="1610"/>
      <c r="D177" s="1610">
        <v>1</v>
      </c>
      <c r="E177" s="1606"/>
      <c r="F177" s="1606"/>
      <c r="G177" s="1606"/>
      <c r="H177" s="1606"/>
      <c r="I177" s="1608"/>
      <c r="M177" s="90"/>
    </row>
    <row r="178" spans="1:14" ht="18.75">
      <c r="A178" s="90" t="s">
        <v>209</v>
      </c>
      <c r="B178" s="1608"/>
      <c r="C178" s="1610"/>
      <c r="D178" s="1610">
        <v>3</v>
      </c>
      <c r="E178" s="1606"/>
      <c r="F178" s="1606"/>
      <c r="G178" s="1606"/>
      <c r="H178" s="1606"/>
      <c r="I178" s="1608"/>
      <c r="M178" s="90"/>
    </row>
    <row r="179" spans="1:14" ht="18.75">
      <c r="A179" s="90" t="s">
        <v>93</v>
      </c>
      <c r="B179" s="1608" t="s">
        <v>1526</v>
      </c>
      <c r="C179" s="1610" t="s">
        <v>1526</v>
      </c>
      <c r="D179" s="1610">
        <v>2</v>
      </c>
      <c r="E179" s="1606" t="s">
        <v>1515</v>
      </c>
      <c r="F179" s="1606" t="s">
        <v>1516</v>
      </c>
      <c r="G179" s="1606" t="s">
        <v>1516</v>
      </c>
      <c r="H179" s="1606" t="s">
        <v>1516</v>
      </c>
      <c r="I179" s="1608"/>
      <c r="J179" s="1689" t="s">
        <v>1529</v>
      </c>
      <c r="M179" s="90"/>
    </row>
    <row r="180" spans="1:14" ht="18.75">
      <c r="A180" s="90" t="s">
        <v>214</v>
      </c>
      <c r="B180" s="1608" t="s">
        <v>1529</v>
      </c>
      <c r="C180" s="1610" t="s">
        <v>1529</v>
      </c>
      <c r="D180" s="1610">
        <v>4</v>
      </c>
      <c r="E180" s="1606" t="s">
        <v>1529</v>
      </c>
      <c r="F180" s="1606" t="s">
        <v>1516</v>
      </c>
      <c r="G180" s="1606" t="s">
        <v>1516</v>
      </c>
      <c r="H180" s="1606" t="s">
        <v>1516</v>
      </c>
      <c r="I180" s="1608" t="s">
        <v>1516</v>
      </c>
      <c r="J180" s="1689" t="s">
        <v>1515</v>
      </c>
      <c r="M180" s="90" t="s">
        <v>1626</v>
      </c>
      <c r="N180" t="s">
        <v>1627</v>
      </c>
    </row>
    <row r="181" spans="1:14" ht="18.75">
      <c r="A181" s="90" t="s">
        <v>94</v>
      </c>
      <c r="B181" s="1608" t="s">
        <v>1515</v>
      </c>
      <c r="C181" s="1610" t="s">
        <v>1515</v>
      </c>
      <c r="D181" s="1610">
        <v>6</v>
      </c>
      <c r="E181" s="1606" t="s">
        <v>1515</v>
      </c>
      <c r="F181" s="1606"/>
      <c r="G181" s="1606"/>
      <c r="H181" s="1606"/>
      <c r="I181" s="1608"/>
      <c r="J181" s="1689" t="s">
        <v>1515</v>
      </c>
      <c r="M181" s="90" t="s">
        <v>1534</v>
      </c>
    </row>
    <row r="182" spans="1:14" ht="18.75">
      <c r="A182" s="90" t="s">
        <v>29</v>
      </c>
      <c r="B182" s="1608" t="s">
        <v>1526</v>
      </c>
      <c r="C182" s="1610" t="s">
        <v>1526</v>
      </c>
      <c r="D182" s="1610">
        <v>2</v>
      </c>
      <c r="E182" s="1606" t="s">
        <v>1515</v>
      </c>
      <c r="F182" s="1606" t="s">
        <v>1516</v>
      </c>
      <c r="G182" s="1606" t="s">
        <v>1516</v>
      </c>
      <c r="H182" s="1606" t="s">
        <v>1516</v>
      </c>
      <c r="I182" s="1608" t="s">
        <v>1516</v>
      </c>
      <c r="J182" s="1689" t="s">
        <v>1529</v>
      </c>
      <c r="M182" s="90" t="s">
        <v>1628</v>
      </c>
    </row>
    <row r="183" spans="1:14" ht="18.75">
      <c r="A183" s="90" t="s">
        <v>1052</v>
      </c>
      <c r="B183" s="1608" t="s">
        <v>1515</v>
      </c>
      <c r="C183" s="1610" t="s">
        <v>1529</v>
      </c>
      <c r="D183" s="1610">
        <v>4</v>
      </c>
      <c r="E183" s="1606" t="s">
        <v>1515</v>
      </c>
      <c r="F183" s="1606" t="s">
        <v>1516</v>
      </c>
      <c r="G183" s="1606" t="s">
        <v>1516</v>
      </c>
      <c r="H183" s="1606" t="s">
        <v>1516</v>
      </c>
      <c r="I183" s="1608" t="s">
        <v>1516</v>
      </c>
      <c r="J183" s="1689" t="s">
        <v>1515</v>
      </c>
      <c r="M183" s="90" t="s">
        <v>1629</v>
      </c>
    </row>
    <row r="184" spans="1:14" ht="18.75">
      <c r="A184" s="90" t="s">
        <v>217</v>
      </c>
      <c r="B184" s="1608" t="s">
        <v>1526</v>
      </c>
      <c r="C184" s="1610" t="s">
        <v>1529</v>
      </c>
      <c r="D184" s="1610">
        <v>4</v>
      </c>
      <c r="E184" s="1606" t="s">
        <v>1526</v>
      </c>
      <c r="F184" s="1606" t="s">
        <v>1516</v>
      </c>
      <c r="G184" s="1606" t="s">
        <v>1516</v>
      </c>
      <c r="H184" s="1606" t="s">
        <v>1516</v>
      </c>
      <c r="I184" s="1608" t="s">
        <v>1530</v>
      </c>
      <c r="J184" s="1689" t="s">
        <v>1529</v>
      </c>
      <c r="M184" s="90"/>
    </row>
    <row r="185" spans="1:14" ht="18.75">
      <c r="A185" s="90" t="s">
        <v>1053</v>
      </c>
      <c r="B185" s="1608"/>
      <c r="C185" s="1610"/>
      <c r="D185" s="1610" t="b">
        <v>0</v>
      </c>
      <c r="E185" s="1606"/>
      <c r="F185" s="1606"/>
      <c r="G185" s="1606"/>
      <c r="H185" s="1606"/>
      <c r="I185" s="1608"/>
      <c r="M185" s="90"/>
    </row>
    <row r="186" spans="1:14" ht="18.75">
      <c r="A186" s="90" t="s">
        <v>45</v>
      </c>
      <c r="B186" s="1608" t="s">
        <v>1526</v>
      </c>
      <c r="C186" s="1610" t="s">
        <v>1529</v>
      </c>
      <c r="D186" s="1610">
        <v>4</v>
      </c>
      <c r="E186" s="1606" t="s">
        <v>1526</v>
      </c>
      <c r="F186" s="1606" t="s">
        <v>1516</v>
      </c>
      <c r="G186" s="1606" t="s">
        <v>1516</v>
      </c>
      <c r="H186" s="1606" t="s">
        <v>1516</v>
      </c>
      <c r="I186" s="1608" t="s">
        <v>1530</v>
      </c>
      <c r="J186" s="1689" t="s">
        <v>1526</v>
      </c>
      <c r="M186" s="90"/>
    </row>
    <row r="187" spans="1:14" ht="18.75">
      <c r="A187" s="90" t="s">
        <v>1054</v>
      </c>
      <c r="B187" s="1608"/>
      <c r="C187" s="1610"/>
      <c r="D187" s="1610">
        <v>3</v>
      </c>
      <c r="E187" s="1606"/>
      <c r="F187" s="1606"/>
      <c r="G187" s="1606"/>
      <c r="H187" s="1606"/>
      <c r="I187" s="1608"/>
      <c r="M187" s="90"/>
    </row>
    <row r="188" spans="1:14" ht="18.75">
      <c r="A188" s="90" t="s">
        <v>1055</v>
      </c>
      <c r="B188" s="1608" t="s">
        <v>1529</v>
      </c>
      <c r="C188" s="1610" t="s">
        <v>1515</v>
      </c>
      <c r="D188" s="1610">
        <v>6</v>
      </c>
      <c r="E188" s="1606" t="s">
        <v>1529</v>
      </c>
      <c r="F188" s="1606" t="s">
        <v>1516</v>
      </c>
      <c r="G188" s="1606" t="s">
        <v>1516</v>
      </c>
      <c r="H188" s="1606" t="s">
        <v>1516</v>
      </c>
      <c r="I188" s="1608" t="s">
        <v>1530</v>
      </c>
      <c r="J188" s="1689" t="s">
        <v>1515</v>
      </c>
      <c r="M188" s="90" t="s">
        <v>1630</v>
      </c>
      <c r="N188" t="s">
        <v>1555</v>
      </c>
    </row>
    <row r="189" spans="1:14" ht="18.75">
      <c r="A189" s="90" t="s">
        <v>550</v>
      </c>
      <c r="B189" s="1608"/>
      <c r="C189" s="1610"/>
      <c r="D189" s="1610">
        <v>5</v>
      </c>
      <c r="E189" s="1606"/>
      <c r="F189" s="1606"/>
      <c r="G189" s="1606"/>
      <c r="H189" s="1606"/>
      <c r="I189" s="1608"/>
      <c r="M189" s="90"/>
    </row>
    <row r="190" spans="1:14" ht="18.75">
      <c r="A190" s="90" t="s">
        <v>220</v>
      </c>
      <c r="B190" s="1608" t="s">
        <v>1529</v>
      </c>
      <c r="C190" s="1610" t="s">
        <v>1529</v>
      </c>
      <c r="D190" s="1610">
        <v>4</v>
      </c>
      <c r="E190" s="1606" t="s">
        <v>1529</v>
      </c>
      <c r="F190" s="1606" t="s">
        <v>1516</v>
      </c>
      <c r="G190" s="1606" t="s">
        <v>1516</v>
      </c>
      <c r="H190" s="1606" t="s">
        <v>1516</v>
      </c>
      <c r="I190" s="1608" t="s">
        <v>1530</v>
      </c>
      <c r="J190" s="1689" t="s">
        <v>1515</v>
      </c>
      <c r="M190" s="90" t="s">
        <v>1631</v>
      </c>
      <c r="N190" t="s">
        <v>1555</v>
      </c>
    </row>
    <row r="191" spans="1:14" ht="18.75">
      <c r="A191" s="90" t="s">
        <v>95</v>
      </c>
      <c r="B191" s="1608" t="s">
        <v>1529</v>
      </c>
      <c r="C191" s="1610" t="s">
        <v>1529</v>
      </c>
      <c r="D191" s="1610">
        <v>4</v>
      </c>
      <c r="E191" s="1606" t="s">
        <v>1515</v>
      </c>
      <c r="F191" s="1606" t="s">
        <v>1516</v>
      </c>
      <c r="G191" s="1606" t="s">
        <v>1516</v>
      </c>
      <c r="H191" s="1606" t="s">
        <v>1516</v>
      </c>
      <c r="I191" s="1608" t="s">
        <v>1516</v>
      </c>
      <c r="J191" s="1689" t="s">
        <v>1529</v>
      </c>
      <c r="M191" s="90" t="s">
        <v>1632</v>
      </c>
      <c r="N191" t="s">
        <v>1633</v>
      </c>
    </row>
    <row r="192" spans="1:14" ht="18.75">
      <c r="A192" s="90" t="s">
        <v>96</v>
      </c>
      <c r="B192" s="1608" t="s">
        <v>1515</v>
      </c>
      <c r="C192" s="1610" t="s">
        <v>1515</v>
      </c>
      <c r="D192" s="1610">
        <v>6</v>
      </c>
      <c r="E192" s="1606" t="s">
        <v>1515</v>
      </c>
      <c r="F192" s="1606" t="s">
        <v>1516</v>
      </c>
      <c r="G192" s="1606" t="s">
        <v>1516</v>
      </c>
      <c r="H192" s="1606" t="s">
        <v>1516</v>
      </c>
      <c r="I192" s="1608" t="s">
        <v>1516</v>
      </c>
      <c r="J192" s="1689" t="s">
        <v>1515</v>
      </c>
      <c r="M192" s="90" t="s">
        <v>1517</v>
      </c>
    </row>
    <row r="193" spans="1:14" ht="18.75">
      <c r="A193" s="90" t="s">
        <v>259</v>
      </c>
      <c r="B193" s="1608" t="s">
        <v>1526</v>
      </c>
      <c r="C193" s="1610" t="s">
        <v>1515</v>
      </c>
      <c r="D193" s="1610">
        <v>6</v>
      </c>
      <c r="E193" s="1606" t="s">
        <v>1526</v>
      </c>
      <c r="F193" s="1606" t="s">
        <v>1532</v>
      </c>
      <c r="G193" s="1606" t="s">
        <v>1530</v>
      </c>
      <c r="H193" s="1606" t="s">
        <v>1532</v>
      </c>
      <c r="I193" s="1608" t="s">
        <v>1532</v>
      </c>
      <c r="J193" s="1689" t="s">
        <v>1526</v>
      </c>
      <c r="M193" s="1590"/>
    </row>
    <row r="194" spans="1:14" ht="18.75">
      <c r="A194" s="90" t="s">
        <v>210</v>
      </c>
      <c r="B194" s="1608"/>
      <c r="C194" s="1610"/>
      <c r="D194" s="1610">
        <v>6</v>
      </c>
      <c r="E194" s="1606"/>
      <c r="F194" s="1606"/>
      <c r="G194" s="1606"/>
      <c r="H194" s="1606"/>
      <c r="I194" s="1608"/>
      <c r="M194" s="90" t="s">
        <v>1888</v>
      </c>
    </row>
    <row r="195" spans="1:14" ht="18.75">
      <c r="A195" s="90" t="s">
        <v>211</v>
      </c>
      <c r="B195" s="1608"/>
      <c r="C195" s="1610"/>
      <c r="D195" s="1610">
        <v>5</v>
      </c>
      <c r="E195" s="1606"/>
      <c r="F195" s="1606"/>
      <c r="G195" s="1606"/>
      <c r="H195" s="1606"/>
      <c r="I195" s="1608"/>
      <c r="M195" s="1590" t="s">
        <v>1888</v>
      </c>
    </row>
    <row r="196" spans="1:14" ht="18.75">
      <c r="A196" s="90" t="s">
        <v>1057</v>
      </c>
      <c r="B196" s="1608"/>
      <c r="C196" s="1610"/>
      <c r="D196" s="1610" t="b">
        <v>0</v>
      </c>
      <c r="E196" s="1606"/>
      <c r="F196" s="1606"/>
      <c r="G196" s="1606"/>
      <c r="H196" s="1606"/>
      <c r="I196" s="1608"/>
      <c r="M196" s="90"/>
    </row>
    <row r="197" spans="1:14" ht="18.75">
      <c r="A197" s="90" t="s">
        <v>233</v>
      </c>
      <c r="B197" s="1608" t="s">
        <v>1526</v>
      </c>
      <c r="C197" s="1610" t="s">
        <v>1526</v>
      </c>
      <c r="D197" s="1610">
        <v>2</v>
      </c>
      <c r="E197" s="1606" t="s">
        <v>1526</v>
      </c>
      <c r="F197" s="1606" t="s">
        <v>1516</v>
      </c>
      <c r="G197" s="1606" t="s">
        <v>1516</v>
      </c>
      <c r="H197" s="1606" t="s">
        <v>1516</v>
      </c>
      <c r="I197" s="1608" t="s">
        <v>1530</v>
      </c>
      <c r="J197" s="1689" t="s">
        <v>1515</v>
      </c>
      <c r="M197" s="90"/>
      <c r="N197" t="s">
        <v>1544</v>
      </c>
    </row>
    <row r="198" spans="1:14" ht="18.75">
      <c r="A198" s="90" t="s">
        <v>1418</v>
      </c>
      <c r="B198" s="1608"/>
      <c r="C198" s="1610"/>
      <c r="D198" s="1610" t="b">
        <v>0</v>
      </c>
      <c r="E198" s="1606"/>
      <c r="F198" s="1606"/>
      <c r="G198" s="1606"/>
      <c r="H198" s="1606"/>
      <c r="I198" s="1608"/>
      <c r="M198" s="90"/>
    </row>
    <row r="199" spans="1:14" ht="18.75">
      <c r="A199" s="90" t="s">
        <v>1058</v>
      </c>
      <c r="B199" s="1608"/>
      <c r="C199" s="1610"/>
      <c r="D199" s="1610" t="b">
        <v>0</v>
      </c>
      <c r="E199" s="1606"/>
      <c r="F199" s="1606"/>
      <c r="G199" s="1606"/>
      <c r="H199" s="1606"/>
      <c r="I199" s="1608"/>
      <c r="M199" s="90"/>
    </row>
    <row r="200" spans="1:14" ht="18.75">
      <c r="A200" s="90" t="s">
        <v>223</v>
      </c>
      <c r="B200" s="1608" t="s">
        <v>1526</v>
      </c>
      <c r="C200" s="1610" t="s">
        <v>1529</v>
      </c>
      <c r="D200" s="1610">
        <v>4</v>
      </c>
      <c r="E200" s="1606" t="s">
        <v>1526</v>
      </c>
      <c r="F200" s="1606" t="s">
        <v>1516</v>
      </c>
      <c r="G200" s="1606" t="s">
        <v>1516</v>
      </c>
      <c r="H200" s="1606" t="s">
        <v>1516</v>
      </c>
      <c r="I200" s="1608" t="s">
        <v>1530</v>
      </c>
      <c r="J200" s="1689" t="s">
        <v>1515</v>
      </c>
      <c r="M200" s="90" t="s">
        <v>1634</v>
      </c>
      <c r="N200" t="s">
        <v>1544</v>
      </c>
    </row>
    <row r="201" spans="1:14" ht="18.75">
      <c r="A201" s="90" t="s">
        <v>1059</v>
      </c>
      <c r="B201" s="1608" t="s">
        <v>1529</v>
      </c>
      <c r="C201" s="1610" t="s">
        <v>1515</v>
      </c>
      <c r="D201" s="1610">
        <v>6</v>
      </c>
      <c r="E201" s="1606" t="s">
        <v>1529</v>
      </c>
      <c r="F201" s="1606" t="s">
        <v>1516</v>
      </c>
      <c r="G201" s="1606" t="s">
        <v>1516</v>
      </c>
      <c r="H201" s="1606" t="s">
        <v>1516</v>
      </c>
      <c r="I201" s="1608" t="s">
        <v>1532</v>
      </c>
      <c r="J201" s="1689" t="s">
        <v>1515</v>
      </c>
      <c r="M201" s="90" t="s">
        <v>1565</v>
      </c>
    </row>
    <row r="202" spans="1:14" ht="18.75">
      <c r="A202" s="90" t="s">
        <v>27</v>
      </c>
      <c r="B202" s="1608" t="s">
        <v>1515</v>
      </c>
      <c r="C202" s="1610" t="s">
        <v>1515</v>
      </c>
      <c r="D202" s="1610">
        <v>6</v>
      </c>
      <c r="E202" s="1606" t="s">
        <v>1515</v>
      </c>
      <c r="F202" s="1606"/>
      <c r="G202" s="1606"/>
      <c r="H202" s="1606"/>
      <c r="I202" s="1608"/>
      <c r="J202" s="1689" t="s">
        <v>1515</v>
      </c>
      <c r="M202" s="90" t="s">
        <v>1534</v>
      </c>
    </row>
    <row r="203" spans="1:14" ht="18.75">
      <c r="A203" s="90" t="s">
        <v>409</v>
      </c>
      <c r="B203" s="1608" t="s">
        <v>1526</v>
      </c>
      <c r="C203" s="1610" t="s">
        <v>1526</v>
      </c>
      <c r="D203" s="1610">
        <v>2</v>
      </c>
      <c r="E203" s="1606" t="s">
        <v>1526</v>
      </c>
      <c r="F203" s="1606" t="s">
        <v>1516</v>
      </c>
      <c r="G203" s="1606" t="s">
        <v>1516</v>
      </c>
      <c r="H203" s="1606" t="s">
        <v>1516</v>
      </c>
      <c r="I203" s="1608" t="s">
        <v>1530</v>
      </c>
      <c r="J203" s="1689" t="s">
        <v>1529</v>
      </c>
      <c r="M203" s="90"/>
    </row>
    <row r="204" spans="1:14" ht="18.75">
      <c r="A204" s="90" t="s">
        <v>190</v>
      </c>
      <c r="B204" s="1608" t="s">
        <v>1526</v>
      </c>
      <c r="C204" s="1610" t="s">
        <v>1529</v>
      </c>
      <c r="D204" s="1610">
        <v>4</v>
      </c>
      <c r="E204" s="1606" t="s">
        <v>1526</v>
      </c>
      <c r="F204" s="1606" t="s">
        <v>1530</v>
      </c>
      <c r="G204" s="1606" t="s">
        <v>1532</v>
      </c>
      <c r="H204" s="1606" t="s">
        <v>1532</v>
      </c>
      <c r="I204" s="1608" t="s">
        <v>1530</v>
      </c>
      <c r="J204" s="1689" t="s">
        <v>1526</v>
      </c>
      <c r="M204" s="90"/>
    </row>
    <row r="205" spans="1:14" ht="18.75">
      <c r="A205" s="90" t="s">
        <v>34</v>
      </c>
      <c r="B205" s="1608" t="s">
        <v>1526</v>
      </c>
      <c r="C205" s="1610" t="s">
        <v>1526</v>
      </c>
      <c r="D205" s="1610">
        <v>2</v>
      </c>
      <c r="E205" s="1606" t="s">
        <v>1526</v>
      </c>
      <c r="F205" s="1606" t="s">
        <v>1516</v>
      </c>
      <c r="G205" s="1606" t="s">
        <v>1516</v>
      </c>
      <c r="H205" s="1606" t="s">
        <v>1516</v>
      </c>
      <c r="I205" s="1608" t="s">
        <v>1530</v>
      </c>
      <c r="J205" s="1689" t="s">
        <v>1529</v>
      </c>
      <c r="M205" s="90"/>
    </row>
    <row r="206" spans="1:14" ht="18.75">
      <c r="A206" s="90" t="s">
        <v>97</v>
      </c>
      <c r="B206" s="1608" t="s">
        <v>1526</v>
      </c>
      <c r="C206" s="1610" t="s">
        <v>1526</v>
      </c>
      <c r="D206" s="1610">
        <v>2</v>
      </c>
      <c r="E206" s="1473" t="s">
        <v>1515</v>
      </c>
      <c r="F206" s="1473" t="s">
        <v>1516</v>
      </c>
      <c r="G206" s="1473" t="s">
        <v>1516</v>
      </c>
      <c r="H206" s="1473" t="s">
        <v>1516</v>
      </c>
      <c r="I206" s="1608" t="s">
        <v>1516</v>
      </c>
      <c r="J206" s="1689" t="s">
        <v>1529</v>
      </c>
      <c r="M206" s="90" t="s">
        <v>1635</v>
      </c>
    </row>
    <row r="207" spans="1:14" ht="18.75">
      <c r="A207" s="90" t="s">
        <v>1061</v>
      </c>
      <c r="B207" s="1608" t="s">
        <v>1515</v>
      </c>
      <c r="C207" s="1610" t="s">
        <v>1515</v>
      </c>
      <c r="D207" s="1610">
        <v>6</v>
      </c>
      <c r="E207" s="1606" t="s">
        <v>1515</v>
      </c>
      <c r="F207" s="1606"/>
      <c r="G207" s="1606"/>
      <c r="H207" s="1606"/>
      <c r="I207" s="1608"/>
      <c r="J207" s="1689" t="s">
        <v>1515</v>
      </c>
      <c r="M207" s="90" t="s">
        <v>1636</v>
      </c>
      <c r="N207" t="s">
        <v>1544</v>
      </c>
    </row>
    <row r="208" spans="1:14" ht="18.75">
      <c r="A208" s="90" t="s">
        <v>1062</v>
      </c>
      <c r="B208" s="1608" t="s">
        <v>1515</v>
      </c>
      <c r="C208" s="1610" t="s">
        <v>1515</v>
      </c>
      <c r="D208" s="1610">
        <v>6</v>
      </c>
      <c r="E208" s="1606" t="s">
        <v>1515</v>
      </c>
      <c r="F208" s="1606" t="s">
        <v>1516</v>
      </c>
      <c r="G208" s="1606" t="s">
        <v>1516</v>
      </c>
      <c r="H208" s="1606" t="s">
        <v>1516</v>
      </c>
      <c r="I208" s="1608" t="s">
        <v>1516</v>
      </c>
      <c r="J208" s="1689" t="s">
        <v>1515</v>
      </c>
      <c r="M208" s="90" t="s">
        <v>1517</v>
      </c>
    </row>
    <row r="209" spans="1:13" ht="18.75">
      <c r="A209" s="90" t="s">
        <v>1063</v>
      </c>
      <c r="B209" s="1608"/>
      <c r="C209" s="1610"/>
      <c r="D209" s="1610">
        <v>5</v>
      </c>
      <c r="E209" s="1606"/>
      <c r="F209" s="1606"/>
      <c r="G209" s="1606"/>
      <c r="H209" s="1606"/>
      <c r="I209" s="1608"/>
      <c r="M209" s="90" t="s">
        <v>1888</v>
      </c>
    </row>
    <row r="210" spans="1:13" ht="18.75">
      <c r="A210" s="90" t="s">
        <v>1064</v>
      </c>
      <c r="B210" s="1608" t="s">
        <v>1515</v>
      </c>
      <c r="C210" s="1610" t="s">
        <v>1515</v>
      </c>
      <c r="D210" s="1610">
        <v>6</v>
      </c>
      <c r="E210" s="1606" t="s">
        <v>1515</v>
      </c>
      <c r="F210" s="1606"/>
      <c r="G210" s="1606"/>
      <c r="H210" s="1606"/>
      <c r="I210" s="1608"/>
      <c r="J210" s="1689" t="s">
        <v>1515</v>
      </c>
      <c r="M210" s="90" t="s">
        <v>1534</v>
      </c>
    </row>
    <row r="211" spans="1:13" ht="18.75">
      <c r="A211" s="90" t="s">
        <v>1368</v>
      </c>
      <c r="B211" s="1608"/>
      <c r="C211" s="1610"/>
      <c r="D211" s="1610" t="b">
        <v>0</v>
      </c>
      <c r="E211" s="1606"/>
      <c r="F211" s="1606"/>
      <c r="G211" s="1606"/>
      <c r="H211" s="1606"/>
      <c r="I211" s="1608"/>
      <c r="M211" s="90"/>
    </row>
    <row r="212" spans="1:13" ht="18.75">
      <c r="A212" s="90" t="s">
        <v>227</v>
      </c>
      <c r="B212" s="1608" t="s">
        <v>1515</v>
      </c>
      <c r="C212" s="1610" t="s">
        <v>1515</v>
      </c>
      <c r="D212" s="1610">
        <v>6</v>
      </c>
      <c r="E212" s="1606" t="s">
        <v>1515</v>
      </c>
      <c r="F212" s="1606"/>
      <c r="G212" s="1606"/>
      <c r="H212" s="1606"/>
      <c r="I212" s="1608"/>
      <c r="J212" s="1689" t="s">
        <v>1515</v>
      </c>
      <c r="M212" s="90" t="s">
        <v>1534</v>
      </c>
    </row>
    <row r="213" spans="1:13" ht="18.75">
      <c r="A213" s="90" t="s">
        <v>98</v>
      </c>
      <c r="B213" s="1608"/>
      <c r="C213" s="1610"/>
      <c r="D213" s="1610">
        <v>6</v>
      </c>
      <c r="E213" s="1606"/>
      <c r="F213" s="1606"/>
      <c r="G213" s="1606"/>
      <c r="H213" s="1606"/>
      <c r="I213" s="1608"/>
      <c r="M213" s="90"/>
    </row>
    <row r="214" spans="1:13" ht="18.75">
      <c r="A214" s="90" t="s">
        <v>1066</v>
      </c>
      <c r="B214" s="1608"/>
      <c r="C214" s="1610"/>
      <c r="D214" s="1610">
        <v>3</v>
      </c>
      <c r="E214" s="1606"/>
      <c r="F214" s="1606"/>
      <c r="G214" s="1606"/>
      <c r="H214" s="1606"/>
      <c r="I214" s="1608"/>
      <c r="M214" s="90"/>
    </row>
    <row r="215" spans="1:13" ht="18.75">
      <c r="A215" s="90" t="s">
        <v>99</v>
      </c>
      <c r="B215" s="1608" t="s">
        <v>1529</v>
      </c>
      <c r="C215" s="1610" t="s">
        <v>1515</v>
      </c>
      <c r="D215" s="1610">
        <v>6</v>
      </c>
      <c r="E215" s="1606" t="s">
        <v>1529</v>
      </c>
      <c r="F215" s="1606" t="s">
        <v>1532</v>
      </c>
      <c r="G215" s="1606" t="s">
        <v>1516</v>
      </c>
      <c r="H215" s="1606" t="s">
        <v>1516</v>
      </c>
      <c r="I215" s="1608" t="s">
        <v>1516</v>
      </c>
      <c r="J215" s="1689" t="s">
        <v>1529</v>
      </c>
      <c r="M215" s="90" t="s">
        <v>1637</v>
      </c>
    </row>
    <row r="216" spans="1:13" ht="18.75">
      <c r="A216" s="90" t="s">
        <v>100</v>
      </c>
      <c r="B216" s="1608"/>
      <c r="C216" s="1610"/>
      <c r="D216" s="1610">
        <v>3</v>
      </c>
      <c r="E216" s="1606"/>
      <c r="F216" s="1606"/>
      <c r="G216" s="1606"/>
      <c r="H216" s="1606"/>
      <c r="I216" s="1608"/>
      <c r="M216" s="90"/>
    </row>
    <row r="217" spans="1:13" ht="18.75">
      <c r="A217" s="90" t="s">
        <v>101</v>
      </c>
      <c r="B217" s="1608" t="s">
        <v>1526</v>
      </c>
      <c r="C217" s="1610" t="s">
        <v>1526</v>
      </c>
      <c r="D217" s="1610">
        <v>2</v>
      </c>
      <c r="E217" s="1606" t="s">
        <v>1526</v>
      </c>
      <c r="F217" s="1606" t="s">
        <v>1516</v>
      </c>
      <c r="G217" s="1606" t="s">
        <v>1516</v>
      </c>
      <c r="H217" s="1606" t="s">
        <v>1516</v>
      </c>
      <c r="I217" s="1608" t="s">
        <v>1530</v>
      </c>
      <c r="J217" s="1689" t="s">
        <v>1529</v>
      </c>
      <c r="M217" s="90"/>
    </row>
    <row r="218" spans="1:13" ht="18.75">
      <c r="A218" s="90" t="s">
        <v>102</v>
      </c>
      <c r="B218" s="1608"/>
      <c r="C218" s="1610"/>
      <c r="D218" s="1610">
        <v>4</v>
      </c>
      <c r="E218" s="1606"/>
      <c r="F218" s="1606"/>
      <c r="G218" s="1606"/>
      <c r="H218" s="1606"/>
      <c r="I218" s="1608"/>
      <c r="M218" s="90"/>
    </row>
    <row r="219" spans="1:13" ht="18.75">
      <c r="A219" s="90" t="s">
        <v>103</v>
      </c>
      <c r="B219" s="1608"/>
      <c r="C219" s="1610"/>
      <c r="D219" s="1610">
        <v>5</v>
      </c>
      <c r="E219" s="1606"/>
      <c r="F219" s="1606"/>
      <c r="G219" s="1606"/>
      <c r="H219" s="1606"/>
      <c r="I219" s="1608"/>
      <c r="M219" s="90"/>
    </row>
    <row r="220" spans="1:13" ht="18.75">
      <c r="A220" s="90" t="s">
        <v>32</v>
      </c>
      <c r="B220" s="1608"/>
      <c r="C220" s="1610"/>
      <c r="D220" s="1610">
        <v>3</v>
      </c>
      <c r="E220" s="1606"/>
      <c r="F220" s="1606"/>
      <c r="G220" s="1606"/>
      <c r="H220" s="1606"/>
      <c r="I220" s="1608"/>
      <c r="M220" s="90" t="s">
        <v>1888</v>
      </c>
    </row>
    <row r="221" spans="1:13" ht="18.75">
      <c r="A221" s="90" t="s">
        <v>1168</v>
      </c>
      <c r="B221" s="1608" t="s">
        <v>1526</v>
      </c>
      <c r="C221" s="1610" t="s">
        <v>1526</v>
      </c>
      <c r="D221" s="1610">
        <v>2</v>
      </c>
      <c r="E221" s="1606" t="s">
        <v>1515</v>
      </c>
      <c r="F221" s="1606" t="s">
        <v>1516</v>
      </c>
      <c r="G221" s="1606" t="s">
        <v>1516</v>
      </c>
      <c r="H221" s="1606" t="s">
        <v>1516</v>
      </c>
      <c r="I221" s="1608" t="s">
        <v>1516</v>
      </c>
      <c r="J221" s="1689" t="s">
        <v>1529</v>
      </c>
      <c r="M221" s="90"/>
    </row>
    <row r="222" spans="1:13" ht="18.75">
      <c r="A222" s="90" t="s">
        <v>551</v>
      </c>
      <c r="B222" s="1608"/>
      <c r="C222" s="1610"/>
      <c r="D222" s="1610">
        <v>7</v>
      </c>
      <c r="E222" s="1606"/>
      <c r="F222" s="1606"/>
      <c r="G222" s="1606"/>
      <c r="H222" s="1606"/>
      <c r="I222" s="1608"/>
      <c r="M222" s="90"/>
    </row>
    <row r="223" spans="1:13" ht="18.75">
      <c r="A223" s="90" t="s">
        <v>20</v>
      </c>
      <c r="B223" s="1608"/>
      <c r="C223" s="1610"/>
      <c r="D223" s="1610">
        <v>3</v>
      </c>
      <c r="E223" s="1606"/>
      <c r="F223" s="1606"/>
      <c r="G223" s="1606"/>
      <c r="H223" s="1606"/>
      <c r="I223" s="1608"/>
      <c r="M223" s="90"/>
    </row>
    <row r="224" spans="1:13" ht="18.75">
      <c r="A224" s="90" t="s">
        <v>253</v>
      </c>
      <c r="B224" s="1608" t="s">
        <v>1526</v>
      </c>
      <c r="C224" s="1610" t="s">
        <v>1526</v>
      </c>
      <c r="D224" s="1610">
        <v>2</v>
      </c>
      <c r="E224" s="1606" t="s">
        <v>1526</v>
      </c>
      <c r="F224" s="1606" t="s">
        <v>1516</v>
      </c>
      <c r="G224" s="1606" t="s">
        <v>1516</v>
      </c>
      <c r="H224" s="1606" t="s">
        <v>1516</v>
      </c>
      <c r="I224" s="1608" t="s">
        <v>1530</v>
      </c>
      <c r="J224" s="1689" t="s">
        <v>1529</v>
      </c>
      <c r="M224" s="90"/>
    </row>
    <row r="225" spans="1:14" ht="18.75">
      <c r="A225" s="90" t="s">
        <v>191</v>
      </c>
      <c r="B225" s="1608" t="s">
        <v>1526</v>
      </c>
      <c r="C225" s="1610" t="s">
        <v>1515</v>
      </c>
      <c r="D225" s="1610">
        <v>6</v>
      </c>
      <c r="E225" s="1606" t="s">
        <v>1526</v>
      </c>
      <c r="F225" s="1606" t="s">
        <v>1530</v>
      </c>
      <c r="G225" s="1606" t="s">
        <v>1532</v>
      </c>
      <c r="H225" s="1606" t="s">
        <v>1532</v>
      </c>
      <c r="I225" s="1608" t="s">
        <v>1530</v>
      </c>
      <c r="J225" s="1689" t="s">
        <v>1526</v>
      </c>
      <c r="M225" s="90"/>
    </row>
    <row r="226" spans="1:14" ht="18.75">
      <c r="A226" s="90" t="s">
        <v>1072</v>
      </c>
      <c r="B226" s="1608" t="s">
        <v>1529</v>
      </c>
      <c r="C226" s="1610" t="s">
        <v>1529</v>
      </c>
      <c r="D226" s="1610">
        <v>4</v>
      </c>
      <c r="E226" s="1606" t="s">
        <v>1515</v>
      </c>
      <c r="F226" s="1606" t="s">
        <v>1516</v>
      </c>
      <c r="G226" s="1606" t="s">
        <v>1516</v>
      </c>
      <c r="H226" s="1606" t="s">
        <v>1516</v>
      </c>
      <c r="I226" s="1608" t="s">
        <v>1516</v>
      </c>
      <c r="J226" s="1689" t="s">
        <v>1515</v>
      </c>
      <c r="M226" s="90" t="s">
        <v>1562</v>
      </c>
      <c r="N226" t="s">
        <v>1544</v>
      </c>
    </row>
    <row r="227" spans="1:14" ht="18.75">
      <c r="A227" s="90" t="s">
        <v>106</v>
      </c>
      <c r="B227" s="1608"/>
      <c r="C227" s="1610"/>
      <c r="D227" s="1610">
        <v>5</v>
      </c>
      <c r="E227" s="1606"/>
      <c r="F227" s="1606"/>
      <c r="G227" s="1606"/>
      <c r="H227" s="1606"/>
      <c r="I227" s="1608"/>
      <c r="M227" s="90" t="s">
        <v>1894</v>
      </c>
    </row>
    <row r="228" spans="1:14" ht="18.75">
      <c r="A228" s="90" t="s">
        <v>411</v>
      </c>
      <c r="B228" s="1608" t="s">
        <v>1526</v>
      </c>
      <c r="C228" s="1610" t="s">
        <v>1526</v>
      </c>
      <c r="D228" s="1610">
        <v>2</v>
      </c>
      <c r="E228" s="1606" t="s">
        <v>1526</v>
      </c>
      <c r="F228" s="1606" t="s">
        <v>1516</v>
      </c>
      <c r="G228" s="1606" t="s">
        <v>1516</v>
      </c>
      <c r="H228" s="1606" t="s">
        <v>1516</v>
      </c>
      <c r="I228" s="1608" t="s">
        <v>1530</v>
      </c>
      <c r="J228" s="1689" t="s">
        <v>1529</v>
      </c>
      <c r="M228" s="90"/>
    </row>
    <row r="229" spans="1:14" ht="18.75">
      <c r="A229" s="90" t="s">
        <v>192</v>
      </c>
      <c r="B229" s="1608" t="s">
        <v>1526</v>
      </c>
      <c r="C229" s="1610" t="s">
        <v>1526</v>
      </c>
      <c r="D229" s="1610">
        <v>2</v>
      </c>
      <c r="E229" s="1606" t="s">
        <v>1526</v>
      </c>
      <c r="F229" s="1606"/>
      <c r="G229" s="1606"/>
      <c r="H229" s="1606"/>
      <c r="I229" s="1608" t="s">
        <v>1530</v>
      </c>
      <c r="J229" s="1689" t="s">
        <v>1529</v>
      </c>
      <c r="M229" s="90"/>
    </row>
    <row r="230" spans="1:14" ht="18.75">
      <c r="A230" s="90" t="s">
        <v>231</v>
      </c>
      <c r="B230" s="1608" t="s">
        <v>1526</v>
      </c>
      <c r="C230" s="1610" t="s">
        <v>1529</v>
      </c>
      <c r="D230" s="1610">
        <v>4</v>
      </c>
      <c r="E230" s="1606" t="s">
        <v>1526</v>
      </c>
      <c r="F230" s="1606" t="s">
        <v>1516</v>
      </c>
      <c r="G230" s="1606" t="s">
        <v>1516</v>
      </c>
      <c r="H230" s="1606" t="s">
        <v>1516</v>
      </c>
      <c r="I230" s="1608" t="s">
        <v>1530</v>
      </c>
      <c r="J230" s="1689" t="s">
        <v>1526</v>
      </c>
      <c r="M230" s="90"/>
    </row>
    <row r="231" spans="1:14" ht="18.75">
      <c r="A231" s="90" t="s">
        <v>1076</v>
      </c>
      <c r="B231" s="1608" t="s">
        <v>1526</v>
      </c>
      <c r="C231" s="1610" t="s">
        <v>1526</v>
      </c>
      <c r="D231" s="1610">
        <v>2</v>
      </c>
      <c r="E231" s="1606" t="s">
        <v>1515</v>
      </c>
      <c r="F231" s="1606" t="s">
        <v>1516</v>
      </c>
      <c r="G231" s="1606" t="s">
        <v>1516</v>
      </c>
      <c r="H231" s="1606" t="s">
        <v>1516</v>
      </c>
      <c r="I231" s="1608"/>
      <c r="J231" s="1689" t="s">
        <v>1529</v>
      </c>
      <c r="M231" s="90"/>
    </row>
    <row r="232" spans="1:14" ht="18.75">
      <c r="A232" s="90" t="s">
        <v>235</v>
      </c>
      <c r="B232" s="1608" t="s">
        <v>1529</v>
      </c>
      <c r="C232" s="1610" t="s">
        <v>1529</v>
      </c>
      <c r="D232" s="1610">
        <v>4</v>
      </c>
      <c r="E232" s="1606" t="s">
        <v>1515</v>
      </c>
      <c r="F232" s="1606" t="s">
        <v>1516</v>
      </c>
      <c r="G232" s="1606" t="s">
        <v>1516</v>
      </c>
      <c r="H232" s="1606" t="s">
        <v>1516</v>
      </c>
      <c r="I232" s="1608"/>
      <c r="J232" s="1689" t="s">
        <v>1526</v>
      </c>
      <c r="M232" s="90"/>
    </row>
    <row r="233" spans="1:14" ht="18.75">
      <c r="A233" s="90" t="s">
        <v>237</v>
      </c>
      <c r="B233" s="1608" t="s">
        <v>1526</v>
      </c>
      <c r="C233" s="1610" t="s">
        <v>1526</v>
      </c>
      <c r="D233" s="1610">
        <v>2</v>
      </c>
      <c r="E233" s="1606" t="s">
        <v>1526</v>
      </c>
      <c r="F233" s="1606" t="s">
        <v>1516</v>
      </c>
      <c r="G233" s="1606" t="s">
        <v>1516</v>
      </c>
      <c r="H233" s="1606" t="s">
        <v>1516</v>
      </c>
      <c r="I233" s="1608" t="s">
        <v>1530</v>
      </c>
      <c r="J233" s="1689" t="s">
        <v>1515</v>
      </c>
      <c r="M233" s="90"/>
      <c r="N233" t="s">
        <v>1555</v>
      </c>
    </row>
    <row r="234" spans="1:14" ht="18.75">
      <c r="A234" s="90" t="s">
        <v>1077</v>
      </c>
      <c r="B234" s="1608" t="s">
        <v>1526</v>
      </c>
      <c r="C234" s="1610" t="s">
        <v>1526</v>
      </c>
      <c r="D234" s="1610">
        <v>2</v>
      </c>
      <c r="E234" s="1606" t="s">
        <v>1515</v>
      </c>
      <c r="F234" s="1606" t="s">
        <v>1516</v>
      </c>
      <c r="G234" s="1606" t="s">
        <v>1516</v>
      </c>
      <c r="H234" s="1606" t="s">
        <v>1516</v>
      </c>
      <c r="I234" s="1608" t="s">
        <v>1516</v>
      </c>
      <c r="J234" s="1689" t="s">
        <v>1526</v>
      </c>
      <c r="M234" s="90"/>
    </row>
    <row r="235" spans="1:14" ht="18.75">
      <c r="A235" s="90" t="s">
        <v>1379</v>
      </c>
      <c r="B235" s="1608" t="s">
        <v>1526</v>
      </c>
      <c r="C235" s="1610" t="s">
        <v>1526</v>
      </c>
      <c r="D235" s="1610">
        <v>2</v>
      </c>
      <c r="E235" s="1606" t="s">
        <v>1526</v>
      </c>
      <c r="F235" s="1606" t="s">
        <v>1516</v>
      </c>
      <c r="G235" s="1606" t="s">
        <v>1516</v>
      </c>
      <c r="H235" s="1606" t="s">
        <v>1516</v>
      </c>
      <c r="I235" s="1608" t="s">
        <v>1530</v>
      </c>
      <c r="J235" s="1689" t="s">
        <v>1529</v>
      </c>
      <c r="M235" s="90"/>
    </row>
    <row r="236" spans="1:14" ht="18.75">
      <c r="A236" s="90" t="s">
        <v>254</v>
      </c>
      <c r="B236" s="1608"/>
      <c r="C236" s="1610"/>
      <c r="D236" s="1610">
        <v>5</v>
      </c>
      <c r="E236" s="1606"/>
      <c r="F236" s="1606"/>
      <c r="G236" s="1606"/>
      <c r="H236" s="1606"/>
      <c r="I236" s="1608"/>
      <c r="M236" s="90" t="s">
        <v>1888</v>
      </c>
    </row>
    <row r="237" spans="1:14" ht="18.75">
      <c r="A237" s="90" t="s">
        <v>239</v>
      </c>
      <c r="B237" s="1608"/>
      <c r="C237" s="1610"/>
      <c r="D237" s="1610">
        <v>3</v>
      </c>
      <c r="E237" s="1606"/>
      <c r="F237" s="1606"/>
      <c r="G237" s="1606"/>
      <c r="H237" s="1606"/>
      <c r="I237" s="1608"/>
      <c r="M237" s="90"/>
    </row>
    <row r="238" spans="1:14" ht="18.75">
      <c r="A238" s="90" t="s">
        <v>66</v>
      </c>
      <c r="B238" s="1608" t="s">
        <v>1529</v>
      </c>
      <c r="C238" s="1610" t="s">
        <v>1529</v>
      </c>
      <c r="D238" s="1610">
        <v>4</v>
      </c>
      <c r="E238" s="1606" t="s">
        <v>1515</v>
      </c>
      <c r="F238" s="1606" t="s">
        <v>1516</v>
      </c>
      <c r="G238" s="1606" t="s">
        <v>1516</v>
      </c>
      <c r="H238" s="1606" t="s">
        <v>1516</v>
      </c>
      <c r="I238" s="1608"/>
      <c r="J238" s="1689" t="s">
        <v>1526</v>
      </c>
      <c r="M238" s="90" t="s">
        <v>1638</v>
      </c>
    </row>
    <row r="239" spans="1:14" ht="18.75">
      <c r="A239" s="90" t="s">
        <v>423</v>
      </c>
      <c r="B239" s="1608"/>
      <c r="C239" s="1610"/>
      <c r="D239" s="1610">
        <v>1</v>
      </c>
      <c r="E239" s="1606"/>
      <c r="F239" s="1606"/>
      <c r="G239" s="1606"/>
      <c r="H239" s="1606"/>
      <c r="I239" s="1608"/>
      <c r="M239" s="90"/>
    </row>
    <row r="240" spans="1:14" ht="18.75">
      <c r="A240" s="90" t="s">
        <v>107</v>
      </c>
      <c r="B240" s="1608" t="s">
        <v>1529</v>
      </c>
      <c r="C240" s="1610" t="s">
        <v>1529</v>
      </c>
      <c r="D240" s="1610">
        <v>4</v>
      </c>
      <c r="E240" s="1606" t="s">
        <v>1529</v>
      </c>
      <c r="F240" s="1606" t="s">
        <v>1516</v>
      </c>
      <c r="G240" s="1606" t="s">
        <v>1516</v>
      </c>
      <c r="H240" s="1606" t="s">
        <v>1532</v>
      </c>
      <c r="I240" s="1608" t="s">
        <v>1516</v>
      </c>
      <c r="J240" s="1689" t="s">
        <v>1515</v>
      </c>
      <c r="M240" s="90" t="s">
        <v>1639</v>
      </c>
      <c r="N240" t="s">
        <v>1544</v>
      </c>
    </row>
    <row r="241" spans="1:14" ht="18.75">
      <c r="A241" s="90" t="s">
        <v>13</v>
      </c>
      <c r="B241" s="1608" t="s">
        <v>1529</v>
      </c>
      <c r="C241" s="1610" t="s">
        <v>1529</v>
      </c>
      <c r="D241" s="1610">
        <v>4</v>
      </c>
      <c r="E241" s="1606" t="s">
        <v>1515</v>
      </c>
      <c r="F241" s="1606" t="s">
        <v>1516</v>
      </c>
      <c r="G241" s="1606" t="s">
        <v>1516</v>
      </c>
      <c r="H241" s="1606" t="s">
        <v>1516</v>
      </c>
      <c r="I241" s="1608"/>
      <c r="J241" s="1689" t="s">
        <v>1529</v>
      </c>
      <c r="M241" s="90" t="s">
        <v>1640</v>
      </c>
    </row>
    <row r="242" spans="1:14" ht="18.75">
      <c r="A242" s="90" t="s">
        <v>108</v>
      </c>
      <c r="B242" s="1608" t="s">
        <v>1515</v>
      </c>
      <c r="C242" s="1610" t="s">
        <v>1515</v>
      </c>
      <c r="D242" s="1610">
        <v>6</v>
      </c>
      <c r="E242" s="1606" t="s">
        <v>1515</v>
      </c>
      <c r="F242" s="1606"/>
      <c r="G242" s="1606"/>
      <c r="H242" s="1606"/>
      <c r="I242" s="1608"/>
      <c r="J242" s="1689" t="s">
        <v>1515</v>
      </c>
      <c r="M242" s="90" t="s">
        <v>1534</v>
      </c>
    </row>
    <row r="243" spans="1:14" ht="18.75">
      <c r="A243" s="90" t="s">
        <v>1359</v>
      </c>
      <c r="B243" s="1608" t="s">
        <v>1529</v>
      </c>
      <c r="C243" s="1610" t="s">
        <v>1529</v>
      </c>
      <c r="D243" s="1610">
        <v>4</v>
      </c>
      <c r="E243" s="1606" t="s">
        <v>1515</v>
      </c>
      <c r="F243" s="1606" t="s">
        <v>1516</v>
      </c>
      <c r="G243" s="1606" t="s">
        <v>1516</v>
      </c>
      <c r="H243" s="1606" t="s">
        <v>1516</v>
      </c>
      <c r="I243" s="1608" t="s">
        <v>1516</v>
      </c>
      <c r="J243" s="1689" t="s">
        <v>1515</v>
      </c>
      <c r="M243" s="90" t="s">
        <v>1641</v>
      </c>
    </row>
    <row r="244" spans="1:14" ht="18.75">
      <c r="A244" s="90" t="s">
        <v>1078</v>
      </c>
      <c r="B244" s="1608" t="s">
        <v>1526</v>
      </c>
      <c r="C244" s="1610" t="s">
        <v>1526</v>
      </c>
      <c r="D244" s="1610">
        <v>2</v>
      </c>
      <c r="E244" s="1606" t="s">
        <v>1515</v>
      </c>
      <c r="F244" s="1606" t="s">
        <v>1516</v>
      </c>
      <c r="G244" s="1606" t="s">
        <v>1516</v>
      </c>
      <c r="H244" s="1606" t="s">
        <v>1516</v>
      </c>
      <c r="I244" s="1608" t="s">
        <v>1516</v>
      </c>
      <c r="J244" s="1689" t="s">
        <v>1526</v>
      </c>
      <c r="M244" s="90" t="s">
        <v>1642</v>
      </c>
    </row>
    <row r="245" spans="1:14" ht="18.75">
      <c r="A245" s="90" t="s">
        <v>241</v>
      </c>
      <c r="B245" s="1608" t="s">
        <v>1526</v>
      </c>
      <c r="C245" s="1610" t="s">
        <v>1529</v>
      </c>
      <c r="D245" s="1610">
        <v>4</v>
      </c>
      <c r="E245" s="1606" t="s">
        <v>1526</v>
      </c>
      <c r="F245" s="1606" t="s">
        <v>1532</v>
      </c>
      <c r="G245" s="1606" t="s">
        <v>1516</v>
      </c>
      <c r="H245" s="1606" t="s">
        <v>1532</v>
      </c>
      <c r="I245" s="1608"/>
      <c r="J245" s="1689" t="s">
        <v>1529</v>
      </c>
      <c r="M245" s="90"/>
    </row>
    <row r="246" spans="1:14" ht="18.75">
      <c r="A246" s="90" t="s">
        <v>243</v>
      </c>
      <c r="B246" s="1608" t="s">
        <v>1515</v>
      </c>
      <c r="C246" s="1610" t="s">
        <v>1515</v>
      </c>
      <c r="D246" s="1610">
        <v>6</v>
      </c>
      <c r="E246" s="1606" t="s">
        <v>1515</v>
      </c>
      <c r="F246" s="1606"/>
      <c r="G246" s="1606"/>
      <c r="H246" s="1606"/>
      <c r="I246" s="1608"/>
      <c r="J246" s="1689" t="s">
        <v>1515</v>
      </c>
      <c r="M246" s="90" t="s">
        <v>1534</v>
      </c>
    </row>
    <row r="247" spans="1:14" ht="18.75">
      <c r="A247" s="90" t="s">
        <v>1080</v>
      </c>
      <c r="B247" s="1608" t="s">
        <v>1515</v>
      </c>
      <c r="C247" s="1610" t="s">
        <v>1515</v>
      </c>
      <c r="D247" s="1610">
        <v>6</v>
      </c>
      <c r="E247" s="1606" t="s">
        <v>1515</v>
      </c>
      <c r="F247" s="1606"/>
      <c r="G247" s="1606"/>
      <c r="H247" s="1606"/>
      <c r="I247" s="1608"/>
      <c r="J247" s="1689" t="s">
        <v>1515</v>
      </c>
      <c r="M247" s="90" t="s">
        <v>1534</v>
      </c>
    </row>
    <row r="248" spans="1:14" ht="18.75">
      <c r="A248" s="90" t="s">
        <v>245</v>
      </c>
      <c r="B248" s="1608" t="s">
        <v>1526</v>
      </c>
      <c r="C248" s="1610" t="s">
        <v>1526</v>
      </c>
      <c r="D248" s="1610">
        <v>2</v>
      </c>
      <c r="E248" s="1606" t="s">
        <v>1526</v>
      </c>
      <c r="F248" s="1606" t="s">
        <v>1516</v>
      </c>
      <c r="G248" s="1606" t="s">
        <v>1516</v>
      </c>
      <c r="H248" s="1606" t="s">
        <v>1516</v>
      </c>
      <c r="I248" s="1608" t="s">
        <v>1530</v>
      </c>
      <c r="J248" s="1689" t="s">
        <v>1529</v>
      </c>
      <c r="M248" s="90" t="s">
        <v>1639</v>
      </c>
    </row>
    <row r="249" spans="1:14" ht="18.75">
      <c r="A249" s="90" t="s">
        <v>1371</v>
      </c>
      <c r="B249" s="1608"/>
      <c r="C249" s="1610"/>
      <c r="D249" s="1610" t="b">
        <v>0</v>
      </c>
      <c r="E249" s="1606"/>
      <c r="F249" s="1606"/>
      <c r="G249" s="1606"/>
      <c r="H249" s="1606"/>
      <c r="I249" s="1608"/>
      <c r="M249" s="1590"/>
    </row>
    <row r="250" spans="1:14" ht="18.75">
      <c r="A250" s="90" t="s">
        <v>1081</v>
      </c>
      <c r="B250" s="1608"/>
      <c r="C250" s="1610"/>
      <c r="D250" s="1610" t="b">
        <v>0</v>
      </c>
      <c r="E250" s="1606"/>
      <c r="F250" s="1606"/>
      <c r="G250" s="1606"/>
      <c r="H250" s="1606"/>
      <c r="I250" s="1608"/>
      <c r="M250" s="90"/>
    </row>
    <row r="251" spans="1:14" ht="18.75">
      <c r="A251" s="90" t="s">
        <v>22</v>
      </c>
      <c r="B251" s="1608"/>
      <c r="C251" s="1610"/>
      <c r="D251" s="1610">
        <v>4</v>
      </c>
      <c r="E251" s="1606"/>
      <c r="F251" s="1606"/>
      <c r="G251" s="1606"/>
      <c r="H251" s="1606"/>
      <c r="I251" s="1608"/>
      <c r="M251" s="90"/>
    </row>
    <row r="252" spans="1:14" ht="18.75">
      <c r="A252" s="90" t="s">
        <v>36</v>
      </c>
      <c r="B252" s="1608" t="s">
        <v>1515</v>
      </c>
      <c r="C252" s="1610" t="s">
        <v>1515</v>
      </c>
      <c r="D252" s="1610">
        <v>6</v>
      </c>
      <c r="E252" s="1606" t="s">
        <v>1515</v>
      </c>
      <c r="F252" s="1606" t="s">
        <v>1516</v>
      </c>
      <c r="G252" s="1606" t="s">
        <v>1516</v>
      </c>
      <c r="H252" s="1606" t="s">
        <v>1516</v>
      </c>
      <c r="I252" s="1608" t="s">
        <v>1516</v>
      </c>
      <c r="J252" s="1689" t="s">
        <v>1526</v>
      </c>
      <c r="M252" s="90" t="s">
        <v>1643</v>
      </c>
    </row>
    <row r="253" spans="1:14" ht="18.75">
      <c r="A253" s="90" t="s">
        <v>1084</v>
      </c>
      <c r="B253" s="1608" t="s">
        <v>1529</v>
      </c>
      <c r="C253" s="1610" t="s">
        <v>1529</v>
      </c>
      <c r="D253" s="1610">
        <v>4</v>
      </c>
      <c r="E253" s="1606" t="s">
        <v>1515</v>
      </c>
      <c r="F253" s="1606" t="s">
        <v>1516</v>
      </c>
      <c r="G253" s="1606" t="s">
        <v>1516</v>
      </c>
      <c r="H253" s="1606" t="s">
        <v>1516</v>
      </c>
      <c r="I253" s="1608" t="s">
        <v>1516</v>
      </c>
      <c r="J253" s="1689" t="s">
        <v>1515</v>
      </c>
      <c r="M253" s="90" t="s">
        <v>1644</v>
      </c>
      <c r="N253" t="s">
        <v>1555</v>
      </c>
    </row>
    <row r="254" spans="1:14" ht="18.75">
      <c r="A254" s="90" t="s">
        <v>414</v>
      </c>
      <c r="B254" s="1608" t="s">
        <v>1526</v>
      </c>
      <c r="C254" s="1610" t="s">
        <v>1526</v>
      </c>
      <c r="D254" s="1610">
        <v>2</v>
      </c>
      <c r="E254" s="1606" t="s">
        <v>1526</v>
      </c>
      <c r="F254" s="1606" t="s">
        <v>1516</v>
      </c>
      <c r="G254" s="1606" t="s">
        <v>1516</v>
      </c>
      <c r="H254" s="1606" t="s">
        <v>1516</v>
      </c>
      <c r="I254" s="1608" t="s">
        <v>1530</v>
      </c>
      <c r="J254" s="1689" t="s">
        <v>1529</v>
      </c>
      <c r="M254" s="90"/>
    </row>
    <row r="255" spans="1:14" ht="18.75">
      <c r="A255" s="90" t="s">
        <v>212</v>
      </c>
      <c r="B255" s="1608"/>
      <c r="C255" s="1610"/>
      <c r="D255" s="1610">
        <v>5</v>
      </c>
      <c r="E255" s="1606"/>
      <c r="F255" s="1606"/>
      <c r="G255" s="1606"/>
      <c r="H255" s="1606"/>
      <c r="I255" s="1608"/>
      <c r="M255" s="90"/>
    </row>
    <row r="256" spans="1:14" ht="18.75">
      <c r="A256" s="90" t="s">
        <v>110</v>
      </c>
      <c r="B256" s="1608"/>
      <c r="C256" s="1610"/>
      <c r="D256" s="1610">
        <v>7</v>
      </c>
      <c r="E256" s="1606"/>
      <c r="F256" s="1606"/>
      <c r="G256" s="1606"/>
      <c r="H256" s="1606"/>
      <c r="I256" s="1608"/>
      <c r="M256" s="90"/>
    </row>
    <row r="257" spans="1:13" ht="18.75">
      <c r="A257" s="90" t="s">
        <v>1085</v>
      </c>
      <c r="B257" s="1608"/>
      <c r="C257" s="1610"/>
      <c r="D257" s="1610" t="b">
        <v>0</v>
      </c>
      <c r="E257" s="1606"/>
      <c r="F257" s="1606"/>
      <c r="G257" s="1606"/>
      <c r="H257" s="1606"/>
      <c r="I257" s="1608"/>
      <c r="M257" s="90"/>
    </row>
    <row r="258" spans="1:13" ht="18.75">
      <c r="A258" s="90" t="s">
        <v>68</v>
      </c>
      <c r="B258" s="1608"/>
      <c r="C258" s="1610"/>
      <c r="D258" s="1610">
        <v>2</v>
      </c>
      <c r="E258" s="1606"/>
      <c r="F258" s="1606"/>
      <c r="G258" s="1606"/>
      <c r="H258" s="1606"/>
      <c r="I258" s="1608"/>
      <c r="M258" s="90"/>
    </row>
    <row r="259" spans="1:13" ht="18.75">
      <c r="A259" s="90" t="s">
        <v>261</v>
      </c>
      <c r="B259" s="1608"/>
      <c r="C259" s="1610"/>
      <c r="D259" s="1610">
        <v>3</v>
      </c>
      <c r="E259" s="1606"/>
      <c r="F259" s="1606"/>
      <c r="G259" s="1606"/>
      <c r="H259" s="1606"/>
      <c r="I259" s="1608"/>
      <c r="M259" s="90"/>
    </row>
    <row r="260" spans="1:13" ht="18.75">
      <c r="A260" s="90" t="s">
        <v>1431</v>
      </c>
      <c r="B260" s="1608"/>
      <c r="C260" s="1610"/>
      <c r="D260" s="1610" t="b">
        <v>0</v>
      </c>
      <c r="E260" s="1606"/>
      <c r="F260" s="1606"/>
      <c r="G260" s="1606"/>
      <c r="H260" s="1606"/>
      <c r="I260" s="1608"/>
      <c r="M260" s="90"/>
    </row>
    <row r="261" spans="1:13" ht="18.75">
      <c r="A261" s="90" t="s">
        <v>1432</v>
      </c>
      <c r="B261" s="1608"/>
      <c r="C261" s="1610"/>
      <c r="D261" s="1610" t="b">
        <v>0</v>
      </c>
      <c r="E261" s="1606"/>
      <c r="F261" s="1606"/>
      <c r="G261" s="1606"/>
      <c r="H261" s="1606"/>
      <c r="I261" s="1608"/>
      <c r="M261" s="90"/>
    </row>
    <row r="262" spans="1:13" ht="18.75">
      <c r="A262" s="90" t="s">
        <v>1086</v>
      </c>
      <c r="B262" s="1608" t="s">
        <v>1529</v>
      </c>
      <c r="C262" s="1610" t="s">
        <v>1529</v>
      </c>
      <c r="D262" s="1610">
        <v>4</v>
      </c>
      <c r="E262" s="1606" t="s">
        <v>1529</v>
      </c>
      <c r="F262" s="1606" t="s">
        <v>1532</v>
      </c>
      <c r="G262" s="1606" t="s">
        <v>1516</v>
      </c>
      <c r="H262" s="1606" t="s">
        <v>1516</v>
      </c>
      <c r="I262" s="1608" t="s">
        <v>1516</v>
      </c>
      <c r="J262" s="1689" t="s">
        <v>1526</v>
      </c>
      <c r="M262" s="90"/>
    </row>
    <row r="263" spans="1:13" ht="18.75">
      <c r="A263" s="90" t="s">
        <v>1169</v>
      </c>
      <c r="B263" s="1608"/>
      <c r="C263" s="1610"/>
      <c r="D263" s="1610">
        <v>2</v>
      </c>
      <c r="E263" s="1606"/>
      <c r="F263" s="1606"/>
      <c r="G263" s="1606"/>
      <c r="H263" s="1606"/>
      <c r="I263" s="1608"/>
      <c r="M263" s="90"/>
    </row>
    <row r="264" spans="1:13" ht="18.75">
      <c r="A264" s="90" t="s">
        <v>1088</v>
      </c>
      <c r="B264" s="1608"/>
      <c r="C264" s="1610"/>
      <c r="D264" s="1610" t="b">
        <v>0</v>
      </c>
      <c r="E264" s="1606"/>
      <c r="F264" s="1606"/>
      <c r="G264" s="1606"/>
      <c r="H264" s="1606"/>
      <c r="I264" s="1608"/>
      <c r="M264" s="90"/>
    </row>
    <row r="265" spans="1:13" ht="18.75">
      <c r="A265" s="90" t="s">
        <v>1171</v>
      </c>
      <c r="B265" s="1608"/>
      <c r="C265" s="1610"/>
      <c r="D265" s="1610">
        <v>6</v>
      </c>
      <c r="E265" s="1606"/>
      <c r="F265" s="1606"/>
      <c r="G265" s="1606"/>
      <c r="H265" s="1606"/>
      <c r="I265" s="1608"/>
      <c r="M265" s="90" t="s">
        <v>1895</v>
      </c>
    </row>
    <row r="266" spans="1:13" ht="18.75">
      <c r="A266" s="90" t="s">
        <v>552</v>
      </c>
      <c r="B266" s="1608"/>
      <c r="C266" s="1610"/>
      <c r="D266" s="1610">
        <v>4</v>
      </c>
      <c r="E266" s="1606"/>
      <c r="F266" s="1606"/>
      <c r="G266" s="1606"/>
      <c r="H266" s="1606"/>
      <c r="I266" s="1608"/>
      <c r="M266" s="1590"/>
    </row>
    <row r="267" spans="1:13" ht="18.75">
      <c r="A267" s="90" t="s">
        <v>25</v>
      </c>
      <c r="B267" s="1608"/>
      <c r="C267" s="1610"/>
      <c r="D267" s="1610">
        <v>2</v>
      </c>
      <c r="E267" s="1606"/>
      <c r="F267" s="1606"/>
      <c r="G267" s="1606"/>
      <c r="H267" s="1606"/>
      <c r="I267" s="1608"/>
      <c r="M267" s="90"/>
    </row>
    <row r="268" spans="1:13" ht="18.75">
      <c r="A268" s="90"/>
      <c r="B268" s="1608"/>
      <c r="C268" s="1610"/>
      <c r="D268" s="1610"/>
      <c r="E268" s="1606"/>
      <c r="F268" s="1606"/>
      <c r="G268" s="1606"/>
      <c r="H268" s="1606"/>
      <c r="I268" s="1608"/>
      <c r="M268" s="90"/>
    </row>
    <row r="269" spans="1:13" ht="18.75">
      <c r="A269" s="90"/>
      <c r="B269" s="1608"/>
      <c r="C269" s="1610"/>
      <c r="D269" s="1610"/>
      <c r="E269" s="1606"/>
      <c r="F269" s="1606"/>
      <c r="G269" s="1606"/>
      <c r="H269" s="1606"/>
      <c r="I269" s="1608"/>
      <c r="M269" s="90"/>
    </row>
    <row r="270" spans="1:13" ht="18.75">
      <c r="A270" s="90"/>
      <c r="B270" s="1608"/>
      <c r="C270" s="1610"/>
      <c r="D270" s="1610"/>
      <c r="E270" s="1606"/>
      <c r="F270" s="1606"/>
      <c r="G270" s="1606"/>
      <c r="H270" s="1606"/>
      <c r="I270" s="1608"/>
      <c r="M270" s="90"/>
    </row>
    <row r="271" spans="1:13" ht="18.75">
      <c r="A271" s="90"/>
      <c r="B271" s="1608"/>
      <c r="C271" s="1610"/>
      <c r="D271" s="1610"/>
      <c r="E271" s="1606"/>
      <c r="F271" s="1606"/>
      <c r="G271" s="1606"/>
      <c r="H271" s="1606"/>
      <c r="I271" s="1608"/>
      <c r="M271" s="90"/>
    </row>
    <row r="272" spans="1:13" ht="18.75">
      <c r="A272" s="90"/>
      <c r="B272" s="1608"/>
      <c r="C272" s="1610"/>
      <c r="D272" s="1610"/>
      <c r="E272" s="1606"/>
      <c r="F272" s="1606"/>
      <c r="G272" s="1606"/>
      <c r="H272" s="1606"/>
      <c r="I272" s="1608"/>
      <c r="M272" s="90"/>
    </row>
    <row r="273" spans="1:13" ht="18.75">
      <c r="A273" s="90"/>
      <c r="B273" s="1608"/>
      <c r="C273" s="1610"/>
      <c r="D273" s="1610"/>
      <c r="E273" s="1606"/>
      <c r="F273" s="1606"/>
      <c r="G273" s="1606"/>
      <c r="H273" s="1606"/>
      <c r="I273" s="1608"/>
      <c r="M273" s="90"/>
    </row>
    <row r="274" spans="1:13" ht="18.75">
      <c r="A274" s="90"/>
      <c r="B274" s="1608"/>
      <c r="C274" s="1610"/>
      <c r="D274" s="1610"/>
      <c r="E274" s="1606"/>
      <c r="F274" s="1606"/>
      <c r="G274" s="1606"/>
      <c r="H274" s="1606"/>
      <c r="I274" s="1608"/>
      <c r="M274" s="90"/>
    </row>
    <row r="275" spans="1:13" ht="18.75">
      <c r="A275" s="90"/>
      <c r="B275" s="1608"/>
      <c r="C275" s="1610"/>
      <c r="D275" s="1610"/>
      <c r="E275" s="1606"/>
      <c r="F275" s="1606"/>
      <c r="G275" s="1606"/>
      <c r="H275" s="1606"/>
      <c r="I275" s="1608"/>
      <c r="M275" s="90"/>
    </row>
    <row r="276" spans="1:13" ht="18.75">
      <c r="A276" s="90"/>
      <c r="B276" s="1608"/>
      <c r="C276" s="1610"/>
      <c r="D276" s="1610"/>
      <c r="E276" s="1606"/>
      <c r="F276" s="1606"/>
      <c r="G276" s="1606"/>
      <c r="H276" s="1606"/>
      <c r="I276" s="1608"/>
      <c r="M276" s="90"/>
    </row>
    <row r="277" spans="1:13" ht="18.75">
      <c r="A277" s="90"/>
      <c r="B277" s="1608"/>
      <c r="C277" s="1610"/>
      <c r="D277" s="1610"/>
      <c r="E277" s="1606"/>
      <c r="F277" s="1606"/>
      <c r="G277" s="1606"/>
      <c r="H277" s="1606"/>
      <c r="I277" s="1608"/>
      <c r="M277" s="90"/>
    </row>
    <row r="278" spans="1:13" ht="18.75">
      <c r="A278" s="90"/>
      <c r="B278" s="1608"/>
      <c r="C278" s="1610"/>
      <c r="D278" s="1610"/>
      <c r="E278" s="1606"/>
      <c r="F278" s="1606"/>
      <c r="G278" s="1606"/>
      <c r="H278" s="1606"/>
      <c r="I278" s="1608"/>
      <c r="M278" s="90"/>
    </row>
    <row r="279" spans="1:13" ht="18.75">
      <c r="A279" s="90"/>
      <c r="B279" s="1608"/>
      <c r="C279" s="1610"/>
      <c r="D279" s="1610"/>
      <c r="E279" s="1606"/>
      <c r="F279" s="1606"/>
      <c r="G279" s="1606"/>
      <c r="H279" s="1606"/>
      <c r="I279" s="1608"/>
      <c r="M279" s="90"/>
    </row>
    <row r="280" spans="1:13" ht="18.75">
      <c r="A280" s="90"/>
      <c r="B280" s="1608"/>
      <c r="C280" s="1610"/>
      <c r="D280" s="1610"/>
      <c r="E280" s="1606"/>
      <c r="F280" s="1606"/>
      <c r="G280" s="1606"/>
      <c r="H280" s="1606"/>
      <c r="I280" s="1608"/>
      <c r="M280" s="90"/>
    </row>
    <row r="281" spans="1:13" ht="18.75">
      <c r="A281" s="90"/>
      <c r="B281" s="1608"/>
      <c r="C281" s="1610"/>
      <c r="D281" s="1610"/>
      <c r="E281" s="1606"/>
      <c r="F281" s="1606"/>
      <c r="G281" s="1606"/>
      <c r="H281" s="1606"/>
      <c r="I281" s="1608"/>
      <c r="M281" s="90"/>
    </row>
    <row r="282" spans="1:13" ht="18.75">
      <c r="A282" s="90"/>
      <c r="B282" s="1608"/>
      <c r="C282" s="1610"/>
      <c r="D282" s="1610"/>
      <c r="E282" s="1606"/>
      <c r="F282" s="1606"/>
      <c r="G282" s="1606"/>
      <c r="H282" s="1606"/>
      <c r="I282" s="1608"/>
      <c r="J282" s="1473"/>
      <c r="M282" s="90"/>
    </row>
    <row r="283" spans="1:13" ht="18.75">
      <c r="A283" s="90"/>
      <c r="B283" s="1608"/>
      <c r="C283" s="1610"/>
      <c r="D283" s="1610"/>
      <c r="E283" s="1606"/>
      <c r="F283" s="1606"/>
      <c r="G283" s="1606"/>
      <c r="H283" s="1606"/>
      <c r="I283" s="1608"/>
      <c r="M283" s="90"/>
    </row>
    <row r="284" spans="1:13" ht="18.75">
      <c r="A284" s="90"/>
      <c r="B284" s="1608"/>
      <c r="C284" s="1610"/>
      <c r="D284" s="1610"/>
      <c r="E284" s="1606"/>
      <c r="F284" s="1606"/>
      <c r="G284" s="1606"/>
      <c r="H284" s="1606"/>
      <c r="I284" s="1608"/>
      <c r="M284" s="90"/>
    </row>
    <row r="285" spans="1:13" ht="18.75">
      <c r="A285" s="90"/>
      <c r="B285" s="1608"/>
      <c r="C285" s="1610"/>
      <c r="D285" s="1610"/>
      <c r="E285" s="1606"/>
      <c r="F285" s="1606"/>
      <c r="G285" s="1606"/>
      <c r="H285" s="1606"/>
      <c r="I285" s="1608"/>
      <c r="M285" s="90"/>
    </row>
    <row r="286" spans="1:13" ht="18.75">
      <c r="A286" s="90"/>
      <c r="B286" s="1608"/>
      <c r="C286" s="1610"/>
      <c r="D286" s="1610"/>
      <c r="E286" s="1606"/>
      <c r="F286" s="1606"/>
      <c r="G286" s="1606"/>
      <c r="H286" s="1606"/>
      <c r="I286" s="1608"/>
      <c r="M286" s="90"/>
    </row>
    <row r="287" spans="1:13" ht="18.75">
      <c r="A287" s="90"/>
      <c r="B287" s="1608"/>
      <c r="C287" s="1610"/>
      <c r="D287" s="1610"/>
      <c r="E287" s="1606"/>
      <c r="F287" s="1606"/>
      <c r="G287" s="1606"/>
      <c r="H287" s="1606"/>
      <c r="I287" s="1608"/>
      <c r="M287" s="90"/>
    </row>
    <row r="288" spans="1:13" ht="18.75">
      <c r="A288" s="90"/>
      <c r="B288" s="1608"/>
      <c r="C288" s="1610"/>
      <c r="D288" s="1610"/>
      <c r="E288" s="1606"/>
      <c r="F288" s="1606"/>
      <c r="G288" s="1606"/>
      <c r="H288" s="1606"/>
      <c r="I288" s="1608"/>
      <c r="M288" s="90"/>
    </row>
    <row r="289" spans="1:13" ht="18.75">
      <c r="A289" s="90"/>
      <c r="B289" s="1608"/>
      <c r="C289" s="1610"/>
      <c r="D289" s="1610"/>
      <c r="E289" s="1606"/>
      <c r="F289" s="1606"/>
      <c r="G289" s="1606"/>
      <c r="H289" s="1606"/>
      <c r="I289" s="1608"/>
      <c r="M289" s="90"/>
    </row>
    <row r="290" spans="1:13" ht="18.75">
      <c r="A290" s="90"/>
      <c r="B290" s="1608"/>
      <c r="C290" s="1610"/>
      <c r="D290" s="1610"/>
      <c r="E290" s="1606"/>
      <c r="F290" s="1606"/>
      <c r="G290" s="1606"/>
      <c r="H290" s="1606"/>
      <c r="I290" s="1608"/>
      <c r="J290" s="1473"/>
      <c r="M290" s="90"/>
    </row>
    <row r="291" spans="1:13" ht="18.75">
      <c r="A291" s="90"/>
      <c r="B291" s="1608"/>
      <c r="C291" s="1610"/>
      <c r="D291" s="1610"/>
      <c r="E291" s="1606"/>
      <c r="F291" s="1606"/>
      <c r="G291" s="1606"/>
      <c r="H291" s="1606"/>
      <c r="I291" s="1608"/>
      <c r="M291" s="90"/>
    </row>
    <row r="292" spans="1:13" ht="18.75">
      <c r="A292" s="90"/>
      <c r="B292" s="1608"/>
      <c r="C292" s="1610"/>
      <c r="D292" s="1610"/>
      <c r="E292" s="1606"/>
      <c r="F292" s="1606"/>
      <c r="G292" s="1606"/>
      <c r="H292" s="1606"/>
      <c r="I292" s="1608"/>
      <c r="M292" s="90"/>
    </row>
    <row r="293" spans="1:13" ht="18.75">
      <c r="A293" s="90"/>
      <c r="B293" s="1608"/>
      <c r="C293" s="1610"/>
      <c r="D293" s="1610"/>
      <c r="E293" s="1606"/>
      <c r="F293" s="1606"/>
      <c r="G293" s="1606"/>
      <c r="H293" s="1606"/>
      <c r="I293" s="1608"/>
      <c r="M293" s="1590"/>
    </row>
    <row r="294" spans="1:13" ht="18.75">
      <c r="A294" s="90"/>
      <c r="B294" s="1608"/>
      <c r="C294" s="1610"/>
      <c r="D294" s="1610"/>
      <c r="E294" s="1606"/>
      <c r="F294" s="1606"/>
      <c r="G294" s="1606"/>
      <c r="H294" s="1606"/>
      <c r="I294" s="1608"/>
      <c r="M294" s="90"/>
    </row>
    <row r="295" spans="1:13" ht="18.75">
      <c r="A295" s="90"/>
      <c r="B295" s="1608"/>
      <c r="C295" s="1610"/>
      <c r="D295" s="1610"/>
      <c r="E295" s="1606"/>
      <c r="F295" s="1606"/>
      <c r="G295" s="1606"/>
      <c r="H295" s="1606"/>
      <c r="I295" s="1608"/>
      <c r="M295" s="90"/>
    </row>
    <row r="296" spans="1:13" ht="18.75">
      <c r="A296" s="90"/>
      <c r="B296" s="1608"/>
      <c r="C296" s="1610"/>
      <c r="D296" s="1610"/>
      <c r="E296" s="1606"/>
      <c r="F296" s="1606"/>
      <c r="G296" s="1606"/>
      <c r="H296" s="1606"/>
      <c r="I296" s="1608"/>
      <c r="M296" s="90"/>
    </row>
    <row r="297" spans="1:13" ht="18.75">
      <c r="A297" s="90"/>
      <c r="B297" s="1608"/>
      <c r="C297" s="1610"/>
      <c r="D297" s="1610"/>
      <c r="E297" s="1606"/>
      <c r="F297" s="1606"/>
      <c r="G297" s="1606"/>
      <c r="H297" s="1606"/>
      <c r="I297" s="1608"/>
      <c r="M297" s="90"/>
    </row>
    <row r="298" spans="1:13" ht="18.75">
      <c r="A298" s="90"/>
      <c r="B298" s="1608"/>
      <c r="C298" s="1610"/>
      <c r="D298" s="1610"/>
      <c r="E298" s="1606"/>
      <c r="F298" s="1606"/>
      <c r="G298" s="1606"/>
      <c r="H298" s="1606"/>
      <c r="I298" s="1608"/>
      <c r="M298" s="90"/>
    </row>
    <row r="299" spans="1:13" ht="18.75">
      <c r="A299" s="90"/>
      <c r="B299" s="1608"/>
      <c r="C299" s="1610"/>
      <c r="D299" s="1610"/>
      <c r="E299" s="1606"/>
      <c r="F299" s="1606"/>
      <c r="G299" s="1606"/>
      <c r="H299" s="1606"/>
      <c r="I299" s="1608"/>
      <c r="M299" s="90"/>
    </row>
    <row r="300" spans="1:13" ht="18.75">
      <c r="A300" s="90"/>
      <c r="B300" s="1608"/>
      <c r="C300" s="1610"/>
      <c r="D300" s="1610"/>
      <c r="E300" s="1606"/>
      <c r="F300" s="1606"/>
      <c r="G300" s="1606"/>
      <c r="H300" s="1606"/>
      <c r="I300" s="1608"/>
      <c r="M300" s="90"/>
    </row>
    <row r="301" spans="1:13" ht="18.75">
      <c r="A301" s="90"/>
      <c r="B301" s="1608"/>
      <c r="C301" s="1610"/>
      <c r="D301" s="1610"/>
      <c r="E301" s="1606"/>
      <c r="F301" s="1606"/>
      <c r="G301" s="1606"/>
      <c r="H301" s="1606"/>
      <c r="I301" s="1608"/>
      <c r="M301" s="90"/>
    </row>
    <row r="302" spans="1:13" ht="18.75">
      <c r="A302" s="90"/>
      <c r="B302" s="1608"/>
      <c r="C302" s="1610"/>
      <c r="D302" s="1610"/>
      <c r="E302" s="1606"/>
      <c r="F302" s="1606"/>
      <c r="G302" s="1606"/>
      <c r="H302" s="1606"/>
      <c r="I302" s="1608"/>
      <c r="M302" s="90"/>
    </row>
    <row r="303" spans="1:13" ht="18.75">
      <c r="A303" s="90"/>
      <c r="B303" s="1608"/>
      <c r="C303" s="1610"/>
      <c r="D303" s="1610"/>
      <c r="E303" s="1606"/>
      <c r="F303" s="1606"/>
      <c r="G303" s="1606"/>
      <c r="H303" s="1606"/>
      <c r="I303" s="1608"/>
      <c r="M303" s="90"/>
    </row>
    <row r="304" spans="1:13" ht="18.75">
      <c r="A304" s="90"/>
      <c r="B304" s="1608"/>
      <c r="C304" s="1610"/>
      <c r="D304" s="1610"/>
      <c r="E304" s="1606"/>
      <c r="F304" s="1606"/>
      <c r="G304" s="1606"/>
      <c r="H304" s="1606"/>
      <c r="I304" s="1608"/>
      <c r="M304" s="90"/>
    </row>
    <row r="305" spans="1:13" ht="18.75">
      <c r="A305" s="90"/>
      <c r="B305" s="1608"/>
      <c r="C305" s="1610"/>
      <c r="D305" s="1610"/>
      <c r="E305" s="1606"/>
      <c r="F305" s="1606"/>
      <c r="G305" s="1606"/>
      <c r="H305" s="1606"/>
      <c r="I305" s="1608"/>
      <c r="M305" s="90"/>
    </row>
    <row r="306" spans="1:13" ht="18.75">
      <c r="A306" s="90"/>
      <c r="B306" s="1608"/>
      <c r="C306" s="1610"/>
      <c r="D306" s="1610"/>
      <c r="E306" s="1606"/>
      <c r="F306" s="1606"/>
      <c r="G306" s="1606"/>
      <c r="H306" s="1606"/>
      <c r="I306" s="1608"/>
      <c r="M306" s="90"/>
    </row>
    <row r="307" spans="1:13" ht="18.75">
      <c r="A307" s="90"/>
      <c r="B307" s="1608"/>
      <c r="C307" s="1610"/>
      <c r="D307" s="1610"/>
      <c r="E307" s="1606"/>
      <c r="F307" s="1606"/>
      <c r="G307" s="1606"/>
      <c r="H307" s="1606"/>
      <c r="I307" s="1608"/>
      <c r="M307" s="90"/>
    </row>
    <row r="308" spans="1:13" ht="18.75">
      <c r="A308" s="90"/>
      <c r="B308" s="1608"/>
      <c r="C308" s="1610"/>
      <c r="D308" s="1610"/>
      <c r="E308" s="1606"/>
      <c r="F308" s="1606"/>
      <c r="G308" s="1606"/>
      <c r="H308" s="1606"/>
      <c r="I308" s="1608"/>
      <c r="M308" s="90"/>
    </row>
    <row r="309" spans="1:13" ht="18.75">
      <c r="A309" s="90"/>
      <c r="B309" s="1608"/>
      <c r="C309" s="1610"/>
      <c r="D309" s="1610"/>
      <c r="E309" s="1606"/>
      <c r="F309" s="1606"/>
      <c r="G309" s="1606"/>
      <c r="H309" s="1606"/>
      <c r="I309" s="1608"/>
      <c r="M309" s="90"/>
    </row>
    <row r="310" spans="1:13" ht="18.75">
      <c r="A310" s="90"/>
      <c r="B310" s="1608"/>
      <c r="C310" s="1610"/>
      <c r="D310" s="1610"/>
      <c r="E310" s="1606"/>
      <c r="F310" s="1606"/>
      <c r="G310" s="1606"/>
      <c r="H310" s="1606"/>
      <c r="I310" s="1608"/>
      <c r="M310" s="90"/>
    </row>
    <row r="311" spans="1:13" ht="18.75">
      <c r="A311" s="90"/>
      <c r="B311" s="1608"/>
      <c r="C311" s="1610"/>
      <c r="D311" s="1610"/>
      <c r="E311" s="1606"/>
      <c r="F311" s="1606"/>
      <c r="G311" s="1606"/>
      <c r="H311" s="1606"/>
      <c r="I311" s="1608"/>
      <c r="M311" s="90"/>
    </row>
    <row r="312" spans="1:13" ht="18.75">
      <c r="A312" s="90"/>
      <c r="B312" s="1608"/>
      <c r="C312" s="1610"/>
      <c r="D312" s="1610"/>
      <c r="E312" s="1606"/>
      <c r="F312" s="1606"/>
      <c r="G312" s="1606"/>
      <c r="H312" s="1606"/>
      <c r="I312" s="1608"/>
      <c r="M312" s="90"/>
    </row>
    <row r="313" spans="1:13" ht="18.75">
      <c r="A313" s="90"/>
      <c r="B313" s="1608"/>
      <c r="C313" s="1610"/>
      <c r="D313" s="1610"/>
      <c r="E313" s="1606"/>
      <c r="F313" s="1606"/>
      <c r="G313" s="1606"/>
      <c r="H313" s="1606"/>
      <c r="I313" s="1608"/>
      <c r="M313" s="90"/>
    </row>
    <row r="314" spans="1:13" ht="18.75">
      <c r="A314" s="90"/>
      <c r="B314" s="1608"/>
      <c r="C314" s="1610"/>
      <c r="D314" s="1610"/>
      <c r="E314" s="1606"/>
      <c r="F314" s="1606"/>
      <c r="G314" s="1606"/>
      <c r="H314" s="1606"/>
      <c r="I314" s="1608"/>
      <c r="M314" s="90"/>
    </row>
    <row r="315" spans="1:13" ht="18.75">
      <c r="A315" s="90"/>
      <c r="B315" s="1608"/>
      <c r="C315" s="1610"/>
      <c r="D315" s="1610"/>
      <c r="E315" s="1606"/>
      <c r="F315" s="1606"/>
      <c r="G315" s="1606"/>
      <c r="H315" s="1606"/>
      <c r="I315" s="1608"/>
      <c r="M315" s="90"/>
    </row>
    <row r="316" spans="1:13" ht="18.75">
      <c r="A316" s="90"/>
      <c r="B316" s="1608"/>
      <c r="C316" s="1610"/>
      <c r="D316" s="1610"/>
      <c r="E316" s="1606"/>
      <c r="F316" s="1606"/>
      <c r="G316" s="1606"/>
      <c r="H316" s="1606"/>
      <c r="I316" s="1608"/>
      <c r="M316" s="90"/>
    </row>
    <row r="317" spans="1:13" ht="18.75">
      <c r="A317" s="90"/>
      <c r="B317" s="1608"/>
      <c r="C317" s="1610"/>
      <c r="D317" s="1610"/>
      <c r="E317" s="1606"/>
      <c r="F317" s="1606"/>
      <c r="G317" s="1606"/>
      <c r="H317" s="1606"/>
      <c r="I317" s="1608"/>
      <c r="M317" s="90"/>
    </row>
    <row r="318" spans="1:13" ht="18.75">
      <c r="A318" s="90"/>
      <c r="B318" s="1608"/>
      <c r="C318" s="1610"/>
      <c r="D318" s="1610"/>
      <c r="E318" s="1606"/>
      <c r="F318" s="1606"/>
      <c r="G318" s="1606"/>
      <c r="H318" s="1606"/>
      <c r="I318" s="1608"/>
      <c r="M318" s="90"/>
    </row>
    <row r="319" spans="1:13" ht="18.75">
      <c r="A319" s="90"/>
      <c r="B319" s="1608"/>
      <c r="C319" s="1610"/>
      <c r="D319" s="1610"/>
      <c r="E319" s="1606"/>
      <c r="F319" s="1606"/>
      <c r="G319" s="1606"/>
      <c r="H319" s="1606"/>
      <c r="I319" s="1608"/>
      <c r="M319" s="90"/>
    </row>
    <row r="320" spans="1:13" ht="18.75">
      <c r="A320" s="90"/>
      <c r="B320" s="1608"/>
      <c r="C320" s="1610"/>
      <c r="D320" s="1610"/>
      <c r="E320" s="1606"/>
      <c r="F320" s="1606"/>
      <c r="G320" s="1606"/>
      <c r="H320" s="1606"/>
      <c r="I320" s="1608"/>
      <c r="M320" s="90"/>
    </row>
    <row r="321" spans="1:13" ht="18.75">
      <c r="A321" s="90"/>
      <c r="B321" s="1608"/>
      <c r="C321" s="1610"/>
      <c r="D321" s="1610"/>
      <c r="E321" s="1606"/>
      <c r="F321" s="1606"/>
      <c r="G321" s="1606"/>
      <c r="H321" s="1606"/>
      <c r="I321" s="1608"/>
      <c r="M321" s="90"/>
    </row>
    <row r="322" spans="1:13" ht="18.75">
      <c r="A322" s="90"/>
      <c r="B322" s="1608"/>
      <c r="C322" s="1610"/>
      <c r="D322" s="1610"/>
      <c r="E322" s="1606"/>
      <c r="F322" s="1606"/>
      <c r="G322" s="1606"/>
      <c r="H322" s="1606"/>
      <c r="I322" s="1608"/>
      <c r="M322" s="1590"/>
    </row>
    <row r="323" spans="1:13" ht="18.75">
      <c r="A323" s="90"/>
      <c r="B323" s="1608"/>
      <c r="C323" s="1610"/>
      <c r="D323" s="1610"/>
      <c r="E323" s="1606"/>
      <c r="F323" s="1606"/>
      <c r="G323" s="1606"/>
      <c r="H323" s="1606"/>
      <c r="I323" s="1608"/>
      <c r="M323" s="90"/>
    </row>
    <row r="324" spans="1:13" ht="18.75">
      <c r="A324" s="90"/>
      <c r="B324" s="1608"/>
      <c r="C324" s="1610"/>
      <c r="D324" s="1610"/>
      <c r="E324" s="1606"/>
      <c r="F324" s="1606"/>
      <c r="G324" s="1606"/>
      <c r="H324" s="1606"/>
      <c r="I324" s="1608"/>
      <c r="M324" s="90"/>
    </row>
    <row r="325" spans="1:13" ht="18.75">
      <c r="A325" s="90"/>
      <c r="B325" s="1608"/>
      <c r="C325" s="1610"/>
      <c r="D325" s="1610"/>
      <c r="E325" s="1606"/>
      <c r="F325" s="1606"/>
      <c r="G325" s="1606"/>
      <c r="H325" s="1606"/>
      <c r="I325" s="1608"/>
      <c r="M325" s="90"/>
    </row>
    <row r="326" spans="1:13" ht="18.75">
      <c r="A326" s="90"/>
      <c r="B326" s="1608"/>
      <c r="C326" s="1610"/>
      <c r="D326" s="1610"/>
      <c r="E326" s="1606"/>
      <c r="F326" s="1606"/>
      <c r="G326" s="1606"/>
      <c r="H326" s="1606"/>
      <c r="I326" s="1608"/>
      <c r="M326" s="90"/>
    </row>
    <row r="327" spans="1:13" ht="18.75">
      <c r="A327" s="90"/>
      <c r="B327" s="1608"/>
      <c r="C327" s="1610"/>
      <c r="D327" s="1610"/>
      <c r="E327" s="1606"/>
      <c r="F327" s="1606"/>
      <c r="G327" s="1606"/>
      <c r="H327" s="1606"/>
      <c r="I327" s="1608"/>
      <c r="M327" s="90"/>
    </row>
    <row r="328" spans="1:13" ht="18.75">
      <c r="A328" s="90"/>
      <c r="B328" s="1608"/>
      <c r="C328" s="1610"/>
      <c r="D328" s="1610"/>
      <c r="E328" s="1606"/>
      <c r="F328" s="1606"/>
      <c r="G328" s="1606"/>
      <c r="H328" s="1606"/>
      <c r="I328" s="1608"/>
      <c r="M328" s="90"/>
    </row>
    <row r="329" spans="1:13" ht="18.75">
      <c r="A329" s="90"/>
      <c r="B329" s="1608"/>
      <c r="C329" s="1610"/>
      <c r="D329" s="1610"/>
      <c r="E329" s="1606"/>
      <c r="F329" s="1606"/>
      <c r="G329" s="1606"/>
      <c r="H329" s="1606"/>
      <c r="I329" s="1608"/>
      <c r="M329" s="90"/>
    </row>
    <row r="330" spans="1:13" ht="18.75">
      <c r="A330" s="90"/>
      <c r="B330" s="1608"/>
      <c r="C330" s="1610"/>
      <c r="D330" s="1610"/>
      <c r="E330" s="1606"/>
      <c r="F330" s="1606"/>
      <c r="G330" s="1606"/>
      <c r="H330" s="1606"/>
      <c r="I330" s="1608"/>
      <c r="M330" s="90"/>
    </row>
    <row r="331" spans="1:13" ht="18.75">
      <c r="A331" s="90"/>
      <c r="B331" s="1608"/>
      <c r="C331" s="1610"/>
      <c r="D331" s="1610"/>
      <c r="E331" s="1473"/>
      <c r="F331" s="1473"/>
      <c r="G331" s="1473"/>
      <c r="H331" s="1473"/>
      <c r="I331" s="1608"/>
      <c r="M331" s="90"/>
    </row>
    <row r="332" spans="1:13" ht="18.75">
      <c r="A332" s="90"/>
      <c r="B332" s="1608"/>
      <c r="C332" s="1610"/>
      <c r="D332" s="1610"/>
      <c r="E332" s="1606"/>
      <c r="F332" s="1606"/>
      <c r="G332" s="1606"/>
      <c r="H332" s="1606"/>
      <c r="I332" s="1608"/>
      <c r="M332" s="90"/>
    </row>
    <row r="333" spans="1:13" ht="18.75">
      <c r="A333" s="90"/>
      <c r="B333" s="1608"/>
      <c r="C333" s="1610"/>
      <c r="D333" s="1610"/>
      <c r="E333" s="1606"/>
      <c r="F333" s="1606"/>
      <c r="G333" s="1606"/>
      <c r="H333" s="1606"/>
      <c r="I333" s="1608"/>
      <c r="M333" s="90"/>
    </row>
    <row r="334" spans="1:13" ht="18.75">
      <c r="A334" s="90"/>
      <c r="B334" s="1608"/>
      <c r="C334" s="1610"/>
      <c r="D334" s="1610"/>
      <c r="E334" s="1606"/>
      <c r="F334" s="1606"/>
      <c r="G334" s="1606"/>
      <c r="H334" s="1606"/>
      <c r="I334" s="1608"/>
      <c r="M334" s="90"/>
    </row>
    <row r="335" spans="1:13" ht="18.75">
      <c r="A335" s="90"/>
      <c r="B335" s="1608"/>
      <c r="C335" s="1610"/>
      <c r="D335" s="1610"/>
      <c r="E335" s="1606"/>
      <c r="F335" s="1606"/>
      <c r="G335" s="1606"/>
      <c r="H335" s="1606"/>
      <c r="I335" s="1608"/>
      <c r="M335" s="90"/>
    </row>
    <row r="336" spans="1:13" ht="18.75">
      <c r="A336" s="90"/>
      <c r="B336" s="1608"/>
      <c r="C336" s="1610"/>
      <c r="D336" s="1610"/>
      <c r="E336" s="1606"/>
      <c r="F336" s="1606"/>
      <c r="G336" s="1606"/>
      <c r="H336" s="1606"/>
      <c r="I336" s="1608"/>
      <c r="M336" s="90"/>
    </row>
    <row r="337" spans="1:13" ht="18.75">
      <c r="A337" s="90"/>
      <c r="B337" s="1608"/>
      <c r="C337" s="1610"/>
      <c r="D337" s="1610"/>
      <c r="E337" s="1606"/>
      <c r="F337" s="1606"/>
      <c r="G337" s="1606"/>
      <c r="H337" s="1606"/>
      <c r="I337" s="1608"/>
      <c r="M337" s="90"/>
    </row>
    <row r="338" spans="1:13" ht="18.75">
      <c r="A338" s="90"/>
      <c r="B338" s="1608"/>
      <c r="C338" s="1610"/>
      <c r="D338" s="1610"/>
      <c r="E338" s="1606"/>
      <c r="F338" s="1606"/>
      <c r="G338" s="1606"/>
      <c r="H338" s="1606"/>
      <c r="I338" s="1608"/>
      <c r="M338" s="90"/>
    </row>
    <row r="339" spans="1:13" ht="18.75">
      <c r="A339" s="90"/>
      <c r="B339" s="1608"/>
      <c r="C339" s="1610"/>
      <c r="D339" s="1610"/>
      <c r="E339" s="1606"/>
      <c r="F339" s="1606"/>
      <c r="G339" s="1606"/>
      <c r="H339" s="1606"/>
      <c r="I339" s="1608"/>
      <c r="M339" s="90"/>
    </row>
    <row r="340" spans="1:13" ht="18.75">
      <c r="A340" s="90"/>
      <c r="B340" s="1608"/>
      <c r="C340" s="1610"/>
      <c r="D340" s="1610"/>
      <c r="E340" s="1606"/>
      <c r="F340" s="1606"/>
      <c r="G340" s="1606"/>
      <c r="H340" s="1606"/>
      <c r="I340" s="1608"/>
      <c r="M340" s="90"/>
    </row>
    <row r="341" spans="1:13" ht="18.75">
      <c r="A341" s="90"/>
      <c r="B341" s="1608"/>
      <c r="C341" s="1610"/>
      <c r="D341" s="1610"/>
      <c r="E341" s="1606"/>
      <c r="F341" s="1606"/>
      <c r="G341" s="1606"/>
      <c r="H341" s="1606"/>
      <c r="I341" s="1608"/>
      <c r="M341" s="90"/>
    </row>
    <row r="342" spans="1:13" ht="18.75">
      <c r="A342" s="90"/>
      <c r="B342" s="1608"/>
      <c r="C342" s="1610"/>
      <c r="D342" s="1610"/>
      <c r="E342" s="1606"/>
      <c r="F342" s="1606"/>
      <c r="G342" s="1606"/>
      <c r="H342" s="1606"/>
      <c r="I342" s="1608"/>
      <c r="M342" s="90"/>
    </row>
    <row r="343" spans="1:13" ht="18.75">
      <c r="A343" s="90"/>
      <c r="B343" s="1608"/>
      <c r="C343" s="1610"/>
      <c r="D343" s="1610"/>
      <c r="E343" s="1606"/>
      <c r="F343" s="1606"/>
      <c r="G343" s="1606"/>
      <c r="H343" s="1606"/>
      <c r="I343" s="1608"/>
      <c r="M343" s="90"/>
    </row>
    <row r="344" spans="1:13" ht="18.75">
      <c r="A344" s="90"/>
      <c r="B344" s="1608"/>
      <c r="C344" s="1610"/>
      <c r="D344" s="1610"/>
      <c r="E344" s="1606"/>
      <c r="F344" s="1606"/>
      <c r="G344" s="1606"/>
      <c r="H344" s="1606"/>
      <c r="I344" s="1608"/>
      <c r="M344" s="90"/>
    </row>
    <row r="345" spans="1:13" ht="18.75">
      <c r="A345" s="90"/>
      <c r="B345" s="1608"/>
      <c r="C345" s="1610"/>
      <c r="D345" s="1610"/>
      <c r="E345" s="1606"/>
      <c r="F345" s="1606"/>
      <c r="G345" s="1606"/>
      <c r="H345" s="1606"/>
      <c r="I345" s="1608"/>
      <c r="M345" s="90"/>
    </row>
    <row r="346" spans="1:13" ht="18.75">
      <c r="A346" s="90"/>
      <c r="B346" s="1608"/>
      <c r="C346" s="1610"/>
      <c r="D346" s="1610"/>
      <c r="E346" s="1606"/>
      <c r="F346" s="1606"/>
      <c r="G346" s="1606"/>
      <c r="H346" s="1606"/>
      <c r="I346" s="1608"/>
      <c r="M346" s="90"/>
    </row>
    <row r="347" spans="1:13" ht="18.75">
      <c r="A347" s="90"/>
      <c r="B347" s="1608"/>
      <c r="C347" s="1610"/>
      <c r="D347" s="1610"/>
      <c r="E347" s="1606"/>
      <c r="F347" s="1606"/>
      <c r="G347" s="1606"/>
      <c r="H347" s="1606"/>
      <c r="I347" s="1608"/>
      <c r="M347" s="90"/>
    </row>
    <row r="348" spans="1:13" ht="18.75">
      <c r="A348" s="90"/>
      <c r="B348" s="1608"/>
      <c r="C348" s="1610"/>
      <c r="D348" s="1610"/>
      <c r="E348" s="1606"/>
      <c r="F348" s="1606"/>
      <c r="G348" s="1606"/>
      <c r="H348" s="1606"/>
      <c r="I348" s="1608"/>
      <c r="M348" s="90"/>
    </row>
    <row r="349" spans="1:13" ht="18.75">
      <c r="A349" s="90"/>
      <c r="B349" s="1608"/>
      <c r="C349" s="1610"/>
      <c r="D349" s="1610"/>
      <c r="E349" s="1606"/>
      <c r="F349" s="1606"/>
      <c r="G349" s="1606"/>
      <c r="H349" s="1606"/>
      <c r="I349" s="1608"/>
      <c r="M349" s="90"/>
    </row>
    <row r="350" spans="1:13" ht="18.75">
      <c r="A350" s="90"/>
      <c r="B350" s="1608"/>
      <c r="C350" s="1610"/>
      <c r="D350" s="1610"/>
      <c r="E350" s="1606"/>
      <c r="F350" s="1606"/>
      <c r="G350" s="1606"/>
      <c r="H350" s="1606"/>
      <c r="I350" s="1608"/>
      <c r="M350" s="90"/>
    </row>
    <row r="351" spans="1:13" ht="18.75">
      <c r="A351" s="90"/>
      <c r="B351" s="1608"/>
      <c r="C351" s="1610"/>
      <c r="D351" s="1610"/>
      <c r="E351" s="1606"/>
      <c r="F351" s="1606"/>
      <c r="G351" s="1606"/>
      <c r="H351" s="1606"/>
      <c r="I351" s="1608"/>
      <c r="M351" s="90"/>
    </row>
    <row r="352" spans="1:13" ht="18.75">
      <c r="A352" s="90"/>
      <c r="B352" s="1608"/>
      <c r="C352" s="1610"/>
      <c r="D352" s="1610"/>
      <c r="E352" s="1606"/>
      <c r="F352" s="1606"/>
      <c r="G352" s="1606"/>
      <c r="H352" s="1606"/>
      <c r="I352" s="1608"/>
      <c r="M352" s="90"/>
    </row>
    <row r="353" spans="1:13" ht="18.75">
      <c r="A353" s="90"/>
      <c r="B353" s="1608"/>
      <c r="C353" s="1610"/>
      <c r="D353" s="1610"/>
      <c r="E353" s="1606"/>
      <c r="F353" s="1606"/>
      <c r="G353" s="1606"/>
      <c r="H353" s="1606"/>
      <c r="I353" s="1608"/>
      <c r="M353" s="90"/>
    </row>
    <row r="354" spans="1:13" ht="18.75">
      <c r="A354" s="90"/>
      <c r="B354" s="1608"/>
      <c r="C354" s="1610"/>
      <c r="D354" s="1610"/>
      <c r="E354" s="1606"/>
      <c r="F354" s="1606"/>
      <c r="G354" s="1606"/>
      <c r="H354" s="1606"/>
      <c r="I354" s="1608"/>
      <c r="M354" s="90"/>
    </row>
    <row r="355" spans="1:13" ht="18.75">
      <c r="A355" s="90"/>
      <c r="B355" s="1608"/>
      <c r="C355" s="1610"/>
      <c r="D355" s="1610"/>
      <c r="E355" s="1606"/>
      <c r="F355" s="1606"/>
      <c r="G355" s="1606"/>
      <c r="H355" s="1606"/>
      <c r="I355" s="1608"/>
      <c r="M355" s="90"/>
    </row>
    <row r="356" spans="1:13" ht="18.75">
      <c r="A356" s="90"/>
      <c r="B356" s="1608"/>
      <c r="C356" s="1610"/>
      <c r="D356" s="1610"/>
      <c r="E356" s="1606"/>
      <c r="F356" s="1606"/>
      <c r="G356" s="1606"/>
      <c r="H356" s="1606"/>
      <c r="I356" s="1608"/>
      <c r="M356" s="90"/>
    </row>
    <row r="357" spans="1:13" ht="18.75">
      <c r="A357" s="90"/>
      <c r="B357" s="1608"/>
      <c r="C357" s="1610"/>
      <c r="D357" s="1610"/>
      <c r="E357" s="1606"/>
      <c r="F357" s="1606"/>
      <c r="G357" s="1606"/>
      <c r="H357" s="1606"/>
      <c r="I357" s="1608"/>
      <c r="M357" s="90"/>
    </row>
    <row r="358" spans="1:13" ht="18.75">
      <c r="A358" s="90"/>
      <c r="B358" s="1608"/>
      <c r="C358" s="1610"/>
      <c r="D358" s="1610"/>
      <c r="E358" s="1606"/>
      <c r="F358" s="1606"/>
      <c r="G358" s="1606"/>
      <c r="H358" s="1606"/>
      <c r="I358" s="1608"/>
      <c r="M358" s="90"/>
    </row>
    <row r="359" spans="1:13" ht="18.75">
      <c r="A359" s="90"/>
      <c r="B359" s="1608"/>
      <c r="C359" s="1610"/>
      <c r="D359" s="1610"/>
      <c r="E359" s="1606"/>
      <c r="F359" s="1606"/>
      <c r="G359" s="1606"/>
      <c r="H359" s="1606"/>
      <c r="I359" s="1608"/>
      <c r="M359" s="90"/>
    </row>
    <row r="360" spans="1:13" ht="18.75">
      <c r="A360" s="90"/>
      <c r="B360" s="1608"/>
      <c r="C360" s="1610"/>
      <c r="D360" s="1610"/>
      <c r="E360" s="1606"/>
      <c r="F360" s="1606"/>
      <c r="G360" s="1606"/>
      <c r="H360" s="1606"/>
      <c r="I360" s="1608"/>
      <c r="M360" s="90"/>
    </row>
    <row r="361" spans="1:13" ht="18.75">
      <c r="A361" s="90"/>
      <c r="B361" s="1608"/>
      <c r="C361" s="1610"/>
      <c r="D361" s="1610"/>
      <c r="E361" s="1606"/>
      <c r="F361" s="1606"/>
      <c r="G361" s="1606"/>
      <c r="H361" s="1606"/>
      <c r="I361" s="1608"/>
      <c r="M361" s="90"/>
    </row>
    <row r="362" spans="1:13" ht="18.75">
      <c r="A362" s="90"/>
      <c r="B362" s="1608"/>
      <c r="C362" s="1610"/>
      <c r="D362" s="1610"/>
      <c r="E362" s="1606"/>
      <c r="F362" s="1606"/>
      <c r="G362" s="1606"/>
      <c r="H362" s="1606"/>
      <c r="I362" s="1608"/>
      <c r="M362" s="90"/>
    </row>
    <row r="363" spans="1:13" ht="18.75">
      <c r="A363" s="90"/>
      <c r="B363" s="1608"/>
      <c r="C363" s="1610"/>
      <c r="D363" s="1610"/>
      <c r="E363" s="1606"/>
      <c r="F363" s="1606"/>
      <c r="G363" s="1606"/>
      <c r="H363" s="1606"/>
      <c r="I363" s="1608"/>
      <c r="M363" s="90"/>
    </row>
    <row r="364" spans="1:13" ht="18.75">
      <c r="A364" s="90"/>
      <c r="B364" s="1608"/>
      <c r="C364" s="1610"/>
      <c r="D364" s="1610"/>
      <c r="E364" s="1606"/>
      <c r="F364" s="1606"/>
      <c r="G364" s="1606"/>
      <c r="H364" s="1606"/>
      <c r="I364" s="1608"/>
      <c r="M364" s="90"/>
    </row>
    <row r="365" spans="1:13" ht="18.75">
      <c r="A365" s="90"/>
      <c r="B365" s="1608"/>
      <c r="C365" s="1610"/>
      <c r="D365" s="1610"/>
      <c r="E365" s="1606"/>
      <c r="F365" s="1606"/>
      <c r="G365" s="1606"/>
      <c r="H365" s="1606"/>
      <c r="I365" s="1608"/>
      <c r="M365" s="90"/>
    </row>
    <row r="366" spans="1:13" ht="18.75">
      <c r="A366" s="90"/>
      <c r="B366" s="1608"/>
      <c r="C366" s="1610"/>
      <c r="D366" s="1610"/>
      <c r="E366" s="1606"/>
      <c r="F366" s="1606"/>
      <c r="G366" s="1606"/>
      <c r="H366" s="1606"/>
      <c r="I366" s="1608"/>
      <c r="M366" s="90"/>
    </row>
    <row r="367" spans="1:13" ht="18.75">
      <c r="A367" s="90"/>
      <c r="B367" s="1608"/>
      <c r="C367" s="1610"/>
      <c r="D367" s="1610"/>
      <c r="E367" s="1606"/>
      <c r="F367" s="1606"/>
      <c r="G367" s="1606"/>
      <c r="H367" s="1606"/>
      <c r="I367" s="1608"/>
      <c r="M367" s="90"/>
    </row>
    <row r="368" spans="1:13" ht="18.75">
      <c r="A368" s="90"/>
      <c r="B368" s="1608"/>
      <c r="C368" s="1610"/>
      <c r="D368" s="1610"/>
      <c r="E368" s="1606"/>
      <c r="F368" s="1606"/>
      <c r="G368" s="1606"/>
      <c r="H368" s="1606"/>
      <c r="I368" s="1608"/>
      <c r="M368" s="90"/>
    </row>
    <row r="369" spans="1:13" ht="18.75">
      <c r="A369" s="90"/>
      <c r="B369" s="1608"/>
      <c r="C369" s="1610"/>
      <c r="D369" s="1610"/>
      <c r="E369" s="1606"/>
      <c r="F369" s="1606"/>
      <c r="G369" s="1606"/>
      <c r="H369" s="1606"/>
      <c r="I369" s="1608"/>
      <c r="M369" s="90"/>
    </row>
    <row r="370" spans="1:13" ht="18.75">
      <c r="A370" s="90"/>
      <c r="B370" s="1608"/>
      <c r="C370" s="1610"/>
      <c r="D370" s="1610"/>
      <c r="E370" s="1606"/>
      <c r="F370" s="1606"/>
      <c r="G370" s="1606"/>
      <c r="H370" s="1606"/>
      <c r="I370" s="1608"/>
      <c r="M370" s="90"/>
    </row>
    <row r="371" spans="1:13" ht="18.75">
      <c r="A371" s="90"/>
      <c r="B371" s="1608"/>
      <c r="C371" s="1610"/>
      <c r="D371" s="1610"/>
      <c r="E371" s="1606"/>
      <c r="F371" s="1606"/>
      <c r="G371" s="1606"/>
      <c r="H371" s="1606"/>
      <c r="I371" s="1608"/>
      <c r="M371" s="90"/>
    </row>
    <row r="372" spans="1:13" ht="18.75">
      <c r="A372" s="90"/>
      <c r="B372" s="1608"/>
      <c r="C372" s="1610"/>
      <c r="D372" s="1610"/>
      <c r="E372" s="1606"/>
      <c r="F372" s="1606"/>
      <c r="G372" s="1606"/>
      <c r="H372" s="1606"/>
      <c r="I372" s="1608"/>
      <c r="M372" s="90"/>
    </row>
    <row r="373" spans="1:13" ht="18.75">
      <c r="A373" s="90"/>
      <c r="B373" s="1608"/>
      <c r="C373" s="1610"/>
      <c r="D373" s="1610"/>
      <c r="E373" s="1606"/>
      <c r="F373" s="1606"/>
      <c r="G373" s="1606"/>
      <c r="H373" s="1606"/>
      <c r="I373" s="1608"/>
      <c r="M373" s="90"/>
    </row>
    <row r="374" spans="1:13" ht="18.75">
      <c r="A374" s="90"/>
      <c r="B374" s="1608"/>
      <c r="C374" s="1610"/>
      <c r="D374" s="1610"/>
      <c r="E374" s="1606"/>
      <c r="F374" s="1606"/>
      <c r="G374" s="1606"/>
      <c r="H374" s="1606"/>
      <c r="I374" s="1608"/>
      <c r="M374" s="90"/>
    </row>
    <row r="375" spans="1:13" ht="18.75">
      <c r="A375" s="90"/>
      <c r="B375" s="1608"/>
      <c r="C375" s="1610"/>
      <c r="D375" s="1610"/>
      <c r="E375" s="1606"/>
      <c r="F375" s="1606"/>
      <c r="G375" s="1606"/>
      <c r="H375" s="1606"/>
      <c r="I375" s="1608"/>
      <c r="M375" s="90"/>
    </row>
    <row r="376" spans="1:13" ht="18.75">
      <c r="A376" s="90"/>
      <c r="B376" s="1608"/>
      <c r="C376" s="1610"/>
      <c r="D376" s="1610"/>
      <c r="E376" s="1606"/>
      <c r="F376" s="1606"/>
      <c r="G376" s="1606"/>
      <c r="H376" s="1606"/>
      <c r="I376" s="1608"/>
      <c r="M376" s="90"/>
    </row>
    <row r="377" spans="1:13" ht="18.75">
      <c r="A377" s="90"/>
      <c r="B377" s="1619"/>
      <c r="C377" s="1620"/>
      <c r="D377" s="1610"/>
      <c r="E377" s="1621"/>
      <c r="F377" s="1621"/>
      <c r="G377" s="1621"/>
      <c r="H377" s="1621"/>
      <c r="I377" s="1619"/>
      <c r="M377" s="90"/>
    </row>
    <row r="378" spans="1:13" ht="18.75">
      <c r="A378" s="90"/>
      <c r="B378" s="1608"/>
      <c r="C378" s="1610"/>
      <c r="D378" s="1610"/>
      <c r="E378" s="1606"/>
      <c r="F378" s="1606"/>
      <c r="G378" s="1606"/>
      <c r="H378" s="1606"/>
      <c r="I378" s="1608"/>
      <c r="M378" s="90"/>
    </row>
    <row r="379" spans="1:13" ht="18.75">
      <c r="A379" s="90"/>
      <c r="B379" s="1608"/>
      <c r="C379" s="1610"/>
      <c r="D379" s="1610"/>
      <c r="E379" s="1606"/>
      <c r="F379" s="1606"/>
      <c r="G379" s="1606"/>
      <c r="H379" s="1606"/>
      <c r="I379" s="1608"/>
      <c r="M379" s="90"/>
    </row>
    <row r="380" spans="1:13" ht="18.75">
      <c r="A380" s="90"/>
      <c r="B380" s="1608"/>
      <c r="C380" s="1610"/>
      <c r="D380" s="1610"/>
      <c r="E380" s="1606"/>
      <c r="F380" s="1606"/>
      <c r="G380" s="1606"/>
      <c r="H380" s="1606"/>
      <c r="I380" s="1608"/>
      <c r="M380" s="90"/>
    </row>
    <row r="381" spans="1:13" ht="18.75">
      <c r="A381" s="90"/>
      <c r="B381" s="1608"/>
      <c r="C381" s="1610"/>
      <c r="D381" s="1610"/>
      <c r="E381" s="1606"/>
      <c r="F381" s="1606"/>
      <c r="G381" s="1606"/>
      <c r="H381" s="1606"/>
      <c r="I381" s="1608"/>
      <c r="M381" s="90"/>
    </row>
    <row r="382" spans="1:13" ht="18.75">
      <c r="A382" s="90"/>
      <c r="B382" s="1608"/>
      <c r="C382" s="1610"/>
      <c r="D382" s="1610"/>
      <c r="E382" s="1606"/>
      <c r="F382" s="1606"/>
      <c r="G382" s="1606"/>
      <c r="H382" s="1606"/>
      <c r="I382" s="1608"/>
      <c r="M382" s="90"/>
    </row>
    <row r="383" spans="1:13" ht="18.75">
      <c r="A383" s="90"/>
      <c r="B383" s="1608"/>
      <c r="C383" s="1610"/>
      <c r="D383" s="1610"/>
      <c r="E383" s="1606"/>
      <c r="F383" s="1606"/>
      <c r="G383" s="1606"/>
      <c r="H383" s="1606"/>
      <c r="I383" s="1608"/>
      <c r="M383" s="90"/>
    </row>
    <row r="384" spans="1:13" ht="18.75">
      <c r="A384" s="90"/>
      <c r="B384" s="1608"/>
      <c r="C384" s="1610"/>
      <c r="D384" s="1610"/>
      <c r="E384" s="1606"/>
      <c r="F384" s="1606"/>
      <c r="G384" s="1606"/>
      <c r="H384" s="1606"/>
      <c r="I384" s="1608"/>
      <c r="M384" s="90"/>
    </row>
    <row r="385" spans="1:13" ht="18.75">
      <c r="A385" s="90"/>
      <c r="B385" s="1608"/>
      <c r="C385" s="1610"/>
      <c r="D385" s="1610"/>
      <c r="E385" s="1606"/>
      <c r="F385" s="1606"/>
      <c r="G385" s="1606"/>
      <c r="H385" s="1606"/>
      <c r="I385" s="1608"/>
      <c r="M385" s="90"/>
    </row>
    <row r="386" spans="1:13" ht="18.75">
      <c r="A386" s="90"/>
      <c r="B386" s="1608"/>
      <c r="C386" s="1610"/>
      <c r="D386" s="1610"/>
      <c r="E386" s="1606"/>
      <c r="F386" s="1606"/>
      <c r="G386" s="1606"/>
      <c r="H386" s="1606"/>
      <c r="I386" s="1608"/>
      <c r="M386" s="90"/>
    </row>
    <row r="387" spans="1:13" ht="18.75">
      <c r="A387" s="90"/>
      <c r="B387" s="1608"/>
      <c r="C387" s="1610"/>
      <c r="D387" s="1610"/>
      <c r="E387" s="1606"/>
      <c r="F387" s="1606"/>
      <c r="G387" s="1606"/>
      <c r="H387" s="1606"/>
      <c r="I387" s="1608"/>
      <c r="M387" s="90"/>
    </row>
    <row r="388" spans="1:13" ht="18.75">
      <c r="A388" s="90"/>
      <c r="B388" s="1608"/>
      <c r="C388" s="1610"/>
      <c r="D388" s="1610"/>
      <c r="E388" s="1606"/>
      <c r="F388" s="1606"/>
      <c r="G388" s="1606"/>
      <c r="H388" s="1606"/>
      <c r="I388" s="1608"/>
      <c r="M388" s="90"/>
    </row>
    <row r="389" spans="1:13" ht="18.75">
      <c r="A389" s="90"/>
      <c r="B389" s="1608"/>
      <c r="C389" s="1610"/>
      <c r="D389" s="1610"/>
      <c r="E389" s="1606"/>
      <c r="F389" s="1606"/>
      <c r="G389" s="1606"/>
      <c r="H389" s="1606"/>
      <c r="I389" s="1608"/>
      <c r="M389" s="90"/>
    </row>
    <row r="390" spans="1:13" ht="18.75">
      <c r="A390" s="90"/>
      <c r="B390" s="1608"/>
      <c r="C390" s="1610"/>
      <c r="D390" s="1610"/>
      <c r="E390" s="1606"/>
      <c r="F390" s="1606"/>
      <c r="G390" s="1606"/>
      <c r="H390" s="1606"/>
      <c r="I390" s="1608"/>
      <c r="M390" s="90"/>
    </row>
    <row r="391" spans="1:13" ht="18.75">
      <c r="A391" s="90"/>
      <c r="B391" s="1608"/>
      <c r="C391" s="1610"/>
      <c r="D391" s="1610"/>
      <c r="E391" s="1606"/>
      <c r="F391" s="1606"/>
      <c r="G391" s="1606"/>
      <c r="H391" s="1606"/>
      <c r="I391" s="1608"/>
      <c r="M391" s="90"/>
    </row>
    <row r="392" spans="1:13" ht="18.75">
      <c r="A392" s="90"/>
      <c r="B392" s="1608"/>
      <c r="C392" s="1610"/>
      <c r="D392" s="1610"/>
      <c r="E392" s="1606"/>
      <c r="F392" s="1606"/>
      <c r="G392" s="1606"/>
      <c r="H392" s="1606"/>
      <c r="I392" s="1608"/>
      <c r="M392" s="90"/>
    </row>
    <row r="393" spans="1:13" ht="18.75">
      <c r="A393" s="90"/>
      <c r="B393" s="1608"/>
      <c r="C393" s="1610"/>
      <c r="D393" s="1610"/>
      <c r="E393" s="1606"/>
      <c r="F393" s="1606"/>
      <c r="G393" s="1606"/>
      <c r="H393" s="1606"/>
      <c r="I393" s="1608"/>
      <c r="M393" s="90"/>
    </row>
    <row r="394" spans="1:13" ht="18.75">
      <c r="A394" s="90"/>
      <c r="B394" s="1608"/>
      <c r="C394" s="1610"/>
      <c r="D394" s="1610"/>
      <c r="E394" s="1606"/>
      <c r="F394" s="1606"/>
      <c r="G394" s="1606"/>
      <c r="H394" s="1606"/>
      <c r="I394" s="1608"/>
      <c r="M394" s="90"/>
    </row>
    <row r="395" spans="1:13" ht="18.75">
      <c r="A395" s="90"/>
      <c r="B395" s="1608"/>
      <c r="C395" s="1610"/>
      <c r="D395" s="1610"/>
      <c r="E395" s="1606"/>
      <c r="F395" s="1606"/>
      <c r="G395" s="1606"/>
      <c r="H395" s="1606"/>
      <c r="I395" s="1608"/>
      <c r="M395" s="90"/>
    </row>
    <row r="396" spans="1:13" ht="18.75">
      <c r="A396" s="90"/>
      <c r="B396" s="1608"/>
      <c r="C396" s="1610"/>
      <c r="D396" s="1610"/>
      <c r="E396" s="1606"/>
      <c r="F396" s="1606"/>
      <c r="G396" s="1606"/>
      <c r="H396" s="1606"/>
      <c r="I396" s="1608"/>
      <c r="M396" s="90"/>
    </row>
    <row r="397" spans="1:13" ht="18.75">
      <c r="A397" s="90"/>
      <c r="B397" s="1608"/>
      <c r="C397" s="1610"/>
      <c r="D397" s="1610"/>
      <c r="E397" s="1606"/>
      <c r="F397" s="1606"/>
      <c r="G397" s="1606"/>
      <c r="H397" s="1606"/>
      <c r="I397" s="1608"/>
      <c r="M397" s="90"/>
    </row>
    <row r="398" spans="1:13" ht="18.75">
      <c r="A398" s="90"/>
      <c r="B398" s="1608"/>
      <c r="C398" s="1610"/>
      <c r="D398" s="1610"/>
      <c r="E398" s="1606"/>
      <c r="F398" s="1606"/>
      <c r="G398" s="1606"/>
      <c r="H398" s="1606"/>
      <c r="I398" s="1608"/>
      <c r="M398" s="90"/>
    </row>
    <row r="399" spans="1:13" ht="18.75">
      <c r="A399" s="90"/>
      <c r="B399" s="1608"/>
      <c r="C399" s="1610"/>
      <c r="D399" s="1610"/>
      <c r="E399" s="1606"/>
      <c r="F399" s="1606"/>
      <c r="G399" s="1606"/>
      <c r="H399" s="1606"/>
      <c r="I399" s="1608"/>
      <c r="M399" s="90"/>
    </row>
    <row r="400" spans="1:13" ht="18.75">
      <c r="A400" s="90"/>
      <c r="B400" s="1608"/>
      <c r="C400" s="1610"/>
      <c r="D400" s="1610"/>
      <c r="E400" s="1606"/>
      <c r="F400" s="1606"/>
      <c r="G400" s="1606"/>
      <c r="H400" s="1606"/>
      <c r="I400" s="1608"/>
      <c r="M400" s="90"/>
    </row>
    <row r="401" spans="1:13" ht="18.75">
      <c r="A401" s="90"/>
      <c r="B401" s="1608"/>
      <c r="C401" s="1610"/>
      <c r="D401" s="1610"/>
      <c r="E401" s="1606"/>
      <c r="F401" s="1606"/>
      <c r="G401" s="1606"/>
      <c r="H401" s="1606"/>
      <c r="I401" s="1608"/>
      <c r="M401" s="90"/>
    </row>
    <row r="402" spans="1:13" ht="18.75">
      <c r="A402" s="90"/>
      <c r="B402" s="1608"/>
      <c r="C402" s="1610"/>
      <c r="D402" s="1610"/>
      <c r="E402" s="1606"/>
      <c r="F402" s="1606"/>
      <c r="G402" s="1606"/>
      <c r="H402" s="1606"/>
      <c r="I402" s="1608"/>
      <c r="M402" s="90"/>
    </row>
    <row r="403" spans="1:13" ht="18.75">
      <c r="A403" s="90"/>
      <c r="B403" s="1608"/>
      <c r="C403" s="1610"/>
      <c r="D403" s="1610"/>
      <c r="E403" s="1606"/>
      <c r="F403" s="1606"/>
      <c r="G403" s="1606"/>
      <c r="H403" s="1606"/>
      <c r="I403" s="1608"/>
      <c r="M403" s="90"/>
    </row>
    <row r="404" spans="1:13" ht="18.75">
      <c r="A404" s="90"/>
      <c r="B404" s="1608"/>
      <c r="C404" s="1610"/>
      <c r="D404" s="1610"/>
      <c r="E404" s="1606"/>
      <c r="F404" s="1606"/>
      <c r="G404" s="1606"/>
      <c r="H404" s="1606"/>
      <c r="I404" s="1608"/>
      <c r="M404" s="90"/>
    </row>
    <row r="405" spans="1:13" ht="18.75">
      <c r="A405" s="90"/>
      <c r="B405" s="1608"/>
      <c r="C405" s="1610"/>
      <c r="D405" s="1610"/>
      <c r="E405" s="1606"/>
      <c r="F405" s="1606"/>
      <c r="G405" s="1606"/>
      <c r="H405" s="1606"/>
      <c r="I405" s="1608"/>
      <c r="M405" s="90"/>
    </row>
    <row r="406" spans="1:13" ht="18.75">
      <c r="A406" s="90"/>
      <c r="B406" s="1608"/>
      <c r="C406" s="1610"/>
      <c r="D406" s="1610"/>
      <c r="E406" s="1606"/>
      <c r="F406" s="1606"/>
      <c r="G406" s="1606"/>
      <c r="H406" s="1606"/>
      <c r="I406" s="1608"/>
      <c r="M406" s="90"/>
    </row>
    <row r="407" spans="1:13" ht="18.75">
      <c r="A407" s="90"/>
      <c r="B407" s="1608"/>
      <c r="C407" s="1610"/>
      <c r="D407" s="1610"/>
      <c r="E407" s="1606"/>
      <c r="F407" s="1606"/>
      <c r="G407" s="1606"/>
      <c r="H407" s="1606"/>
      <c r="I407" s="1608"/>
      <c r="M407" s="90"/>
    </row>
    <row r="408" spans="1:13" ht="18.75">
      <c r="A408" s="90"/>
      <c r="B408" s="1608"/>
      <c r="C408" s="1610"/>
      <c r="D408" s="1610"/>
      <c r="E408" s="1606"/>
      <c r="F408" s="1606"/>
      <c r="G408" s="1606"/>
      <c r="H408" s="1606"/>
      <c r="I408" s="1608"/>
      <c r="M408" s="90"/>
    </row>
    <row r="409" spans="1:13" ht="18.75">
      <c r="A409" s="90"/>
      <c r="B409" s="1608"/>
      <c r="C409" s="1610"/>
      <c r="D409" s="1610"/>
      <c r="E409" s="1606"/>
      <c r="F409" s="1606"/>
      <c r="G409" s="1606"/>
      <c r="H409" s="1606"/>
      <c r="I409" s="1608"/>
      <c r="M409" s="90"/>
    </row>
    <row r="410" spans="1:13" ht="15.75">
      <c r="D410" s="1610"/>
    </row>
  </sheetData>
  <sortState ref="A3:L409">
    <sortCondition ref="A3:A409"/>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B35"/>
  <sheetViews>
    <sheetView workbookViewId="0">
      <selection activeCell="B25" sqref="B25"/>
    </sheetView>
  </sheetViews>
  <sheetFormatPr defaultRowHeight="12.75"/>
  <sheetData>
    <row r="1" spans="1:2">
      <c r="A1" s="90" t="s">
        <v>2313</v>
      </c>
      <c r="B1" s="90" t="s">
        <v>2314</v>
      </c>
    </row>
    <row r="2" spans="1:2">
      <c r="A2" s="90" t="s">
        <v>26</v>
      </c>
      <c r="B2" s="90">
        <v>100</v>
      </c>
    </row>
    <row r="3" spans="1:2">
      <c r="A3" s="90" t="s">
        <v>41</v>
      </c>
      <c r="B3" s="90">
        <v>100</v>
      </c>
    </row>
    <row r="4" spans="1:2">
      <c r="A4" s="90" t="s">
        <v>73</v>
      </c>
      <c r="B4" s="90">
        <v>100</v>
      </c>
    </row>
    <row r="5" spans="1:2">
      <c r="A5" s="90" t="s">
        <v>42</v>
      </c>
      <c r="B5" s="90">
        <v>100</v>
      </c>
    </row>
    <row r="6" spans="1:2">
      <c r="A6" s="90" t="s">
        <v>1001</v>
      </c>
      <c r="B6" s="90">
        <v>1900</v>
      </c>
    </row>
    <row r="7" spans="1:2">
      <c r="A7" s="90" t="s">
        <v>76</v>
      </c>
      <c r="B7" s="90">
        <v>100</v>
      </c>
    </row>
    <row r="8" spans="1:2">
      <c r="A8" s="90" t="s">
        <v>2315</v>
      </c>
      <c r="B8" s="90">
        <v>2050</v>
      </c>
    </row>
    <row r="9" spans="1:2">
      <c r="A9" s="90" t="s">
        <v>2316</v>
      </c>
      <c r="B9" s="90">
        <v>1600</v>
      </c>
    </row>
    <row r="10" spans="1:2">
      <c r="A10" s="90" t="s">
        <v>2317</v>
      </c>
      <c r="B10" s="90">
        <v>1600</v>
      </c>
    </row>
    <row r="11" spans="1:2">
      <c r="A11" s="90" t="s">
        <v>77</v>
      </c>
      <c r="B11" s="90">
        <v>100</v>
      </c>
    </row>
    <row r="12" spans="1:2">
      <c r="A12" s="90" t="s">
        <v>19</v>
      </c>
      <c r="B12" s="90">
        <v>100</v>
      </c>
    </row>
    <row r="13" spans="1:2">
      <c r="A13" s="90" t="s">
        <v>83</v>
      </c>
      <c r="B13" s="90">
        <v>100</v>
      </c>
    </row>
    <row r="14" spans="1:2">
      <c r="A14" s="90" t="s">
        <v>549</v>
      </c>
      <c r="B14" s="90">
        <v>3000</v>
      </c>
    </row>
    <row r="15" spans="1:2">
      <c r="A15" s="90" t="s">
        <v>44</v>
      </c>
      <c r="B15" s="90">
        <v>90</v>
      </c>
    </row>
    <row r="16" spans="1:2">
      <c r="A16" s="90" t="s">
        <v>38</v>
      </c>
      <c r="B16" s="90">
        <v>90</v>
      </c>
    </row>
    <row r="17" spans="1:2">
      <c r="A17" s="90" t="s">
        <v>33</v>
      </c>
      <c r="B17" s="90">
        <v>1350</v>
      </c>
    </row>
    <row r="18" spans="1:2">
      <c r="A18" s="90" t="s">
        <v>1033</v>
      </c>
      <c r="B18" s="90">
        <v>90</v>
      </c>
    </row>
    <row r="19" spans="1:2">
      <c r="A19" s="90" t="s">
        <v>28</v>
      </c>
      <c r="B19" s="90">
        <v>100</v>
      </c>
    </row>
    <row r="20" spans="1:2">
      <c r="A20" s="90" t="s">
        <v>35</v>
      </c>
      <c r="B20" s="90">
        <v>65</v>
      </c>
    </row>
    <row r="21" spans="1:2">
      <c r="A21" s="90" t="s">
        <v>21</v>
      </c>
      <c r="B21" s="90">
        <v>965</v>
      </c>
    </row>
    <row r="22" spans="1:2">
      <c r="A22" s="90" t="s">
        <v>1055</v>
      </c>
      <c r="B22" s="90">
        <v>2.4</v>
      </c>
    </row>
    <row r="23" spans="1:2">
      <c r="A23" s="90" t="s">
        <v>220</v>
      </c>
      <c r="B23" s="90">
        <v>100</v>
      </c>
    </row>
    <row r="24" spans="1:2">
      <c r="A24" s="90" t="s">
        <v>27</v>
      </c>
      <c r="B24" s="90">
        <v>400</v>
      </c>
    </row>
    <row r="25" spans="1:2">
      <c r="A25" s="90" t="s">
        <v>1064</v>
      </c>
      <c r="B25" s="90">
        <v>450</v>
      </c>
    </row>
    <row r="26" spans="1:2">
      <c r="A26" s="90" t="s">
        <v>227</v>
      </c>
      <c r="B26" s="90">
        <v>500</v>
      </c>
    </row>
    <row r="27" spans="1:2">
      <c r="A27" s="90" t="s">
        <v>98</v>
      </c>
      <c r="B27" s="90">
        <v>100</v>
      </c>
    </row>
    <row r="28" spans="1:2">
      <c r="A28" s="90" t="s">
        <v>100</v>
      </c>
      <c r="B28" s="90">
        <v>65</v>
      </c>
    </row>
    <row r="29" spans="1:2">
      <c r="A29" s="90" t="s">
        <v>102</v>
      </c>
      <c r="B29" s="90">
        <v>100</v>
      </c>
    </row>
    <row r="30" spans="1:2">
      <c r="A30" s="93" t="s">
        <v>1061</v>
      </c>
      <c r="B30" s="90">
        <v>95</v>
      </c>
    </row>
    <row r="31" spans="1:2">
      <c r="A31" s="90" t="s">
        <v>2318</v>
      </c>
      <c r="B31" s="90">
        <v>225</v>
      </c>
    </row>
    <row r="32" spans="1:2">
      <c r="A32" s="90" t="s">
        <v>108</v>
      </c>
      <c r="B32" s="90">
        <v>200</v>
      </c>
    </row>
    <row r="33" spans="1:2">
      <c r="A33" s="90" t="s">
        <v>243</v>
      </c>
      <c r="B33" s="90">
        <v>90</v>
      </c>
    </row>
    <row r="34" spans="1:2">
      <c r="A34" s="90" t="s">
        <v>22</v>
      </c>
      <c r="B34" s="90">
        <v>100</v>
      </c>
    </row>
    <row r="35" spans="1:2">
      <c r="A35" s="90" t="s">
        <v>110</v>
      </c>
      <c r="B35" s="90">
        <v>65</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21"/>
  <sheetViews>
    <sheetView zoomScaleNormal="100" workbookViewId="0">
      <selection activeCell="K11" sqref="K11"/>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22.7109375" style="120" customWidth="1"/>
    <col min="10" max="10" width="21.7109375"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8" ht="23.25" thickBot="1">
      <c r="A1" s="1989" t="s">
        <v>3</v>
      </c>
      <c r="B1" s="1989"/>
      <c r="C1" s="1989"/>
      <c r="D1" s="1989"/>
      <c r="E1" s="1989"/>
      <c r="F1" s="1989"/>
      <c r="G1" s="1989"/>
      <c r="H1" s="1989"/>
      <c r="I1" s="1989"/>
      <c r="J1" s="1989"/>
      <c r="K1" s="1989"/>
      <c r="L1" s="1989"/>
      <c r="M1" s="1989"/>
      <c r="N1" s="1989"/>
      <c r="O1" s="1989"/>
      <c r="P1" s="1989"/>
      <c r="Q1" s="198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8" ht="21" thickBot="1">
      <c r="B2" s="2008" t="s">
        <v>334</v>
      </c>
      <c r="C2" s="2008"/>
      <c r="D2" s="2008"/>
      <c r="E2" s="2008"/>
      <c r="G2" s="221"/>
      <c r="H2" s="2040" t="s">
        <v>618</v>
      </c>
      <c r="I2" s="2041"/>
      <c r="J2" s="2041"/>
      <c r="K2" s="2041"/>
      <c r="L2" s="2041"/>
      <c r="M2" s="2041"/>
      <c r="N2" s="2041"/>
      <c r="O2" s="2041"/>
      <c r="P2" s="2041"/>
      <c r="Q2" s="2041"/>
      <c r="R2" s="204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8" thickBot="1">
      <c r="B3" s="123"/>
      <c r="C3" s="124"/>
      <c r="D3" s="136"/>
      <c r="G3" s="173"/>
      <c r="H3" s="377"/>
      <c r="I3" s="125"/>
      <c r="J3" s="125"/>
      <c r="K3" s="125"/>
      <c r="L3" s="125"/>
      <c r="M3" s="125"/>
      <c r="N3" s="125"/>
      <c r="O3" s="125"/>
      <c r="P3" s="125"/>
      <c r="Q3" s="125"/>
      <c r="R3" s="930"/>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8" ht="15.75" thickBot="1">
      <c r="B4" s="126" t="s">
        <v>331</v>
      </c>
      <c r="C4" s="489"/>
      <c r="D4" s="121"/>
      <c r="E4" s="916" t="s">
        <v>1211</v>
      </c>
      <c r="F4" s="1204" t="str">
        <f>VLOOKUP($C$5,'Biomass Data'!$A$3:$F$409,2,FALSE)</f>
        <v>L</v>
      </c>
      <c r="G4" s="219"/>
      <c r="H4" s="377"/>
      <c r="I4" s="964"/>
      <c r="J4" s="355"/>
      <c r="K4" s="355"/>
      <c r="L4" s="355"/>
      <c r="M4" s="355"/>
      <c r="N4" s="355"/>
      <c r="O4" s="355"/>
      <c r="P4" s="355"/>
      <c r="Q4" s="355"/>
      <c r="R4" s="355"/>
      <c r="S4" s="355"/>
      <c r="T4" s="355"/>
      <c r="U4" s="35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8" ht="15.75" thickBot="1">
      <c r="B5" s="128" t="s">
        <v>375</v>
      </c>
      <c r="C5" s="587" t="str">
        <f>Community_Name</f>
        <v>Manley Hot Springs</v>
      </c>
      <c r="D5" s="125"/>
      <c r="E5" s="47" t="s">
        <v>1209</v>
      </c>
      <c r="F5" s="1204" t="str">
        <f>VLOOKUP($C$5,'Biomass Data'!$A$3:$F$409,6,FALSE)</f>
        <v>M</v>
      </c>
      <c r="G5" s="219"/>
      <c r="H5" s="377"/>
      <c r="I5" s="2086" t="s">
        <v>628</v>
      </c>
      <c r="J5" s="1945"/>
      <c r="K5" s="1945"/>
      <c r="L5" s="1945"/>
      <c r="M5" s="1945"/>
      <c r="N5" s="1945"/>
      <c r="O5" s="1945"/>
      <c r="P5" s="1945"/>
      <c r="Q5" s="1945"/>
      <c r="R5" s="1945"/>
      <c r="S5" s="1945"/>
      <c r="T5" s="1945"/>
      <c r="U5" s="1945"/>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8" ht="48.75" customHeight="1" thickBot="1">
      <c r="B6" s="128" t="s">
        <v>376</v>
      </c>
      <c r="C6" s="587" t="str">
        <f>IF('Community data'!B7="Yes",'Community data'!B8,Community_Name)</f>
        <v>Manley Hot Springs</v>
      </c>
      <c r="D6" s="125"/>
      <c r="E6" s="417" t="s">
        <v>1210</v>
      </c>
      <c r="F6" s="1212" t="b">
        <f>IF(OR(C9="Construction",C9="Design"),"High", IF(C9="Feasibility", "Medium", IF(C9="Recon", "Low")))</f>
        <v>0</v>
      </c>
      <c r="G6" s="219"/>
      <c r="H6" s="2083" t="s">
        <v>2292</v>
      </c>
      <c r="I6" s="1719" t="s">
        <v>2255</v>
      </c>
      <c r="J6" s="1752" t="s">
        <v>2256</v>
      </c>
      <c r="K6" s="1752" t="s">
        <v>2257</v>
      </c>
      <c r="L6" s="1752" t="s">
        <v>2258</v>
      </c>
      <c r="M6" s="1752" t="s">
        <v>2259</v>
      </c>
      <c r="N6" s="1752" t="s">
        <v>2260</v>
      </c>
      <c r="O6" s="1752" t="s">
        <v>2261</v>
      </c>
      <c r="P6" s="1752" t="s">
        <v>2262</v>
      </c>
      <c r="Q6" s="1752" t="s">
        <v>2263</v>
      </c>
      <c r="R6" s="1752" t="s">
        <v>2264</v>
      </c>
      <c r="S6" s="1752" t="s">
        <v>2265</v>
      </c>
      <c r="T6" s="1752" t="s">
        <v>2266</v>
      </c>
      <c r="U6" s="1722" t="s">
        <v>2267</v>
      </c>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8" ht="12.75">
      <c r="B7" s="128" t="s">
        <v>332</v>
      </c>
      <c r="C7" s="587" t="s">
        <v>291</v>
      </c>
      <c r="D7" s="125"/>
      <c r="G7" s="219"/>
      <c r="H7" s="2084"/>
      <c r="I7" s="1733">
        <f>IF(F4="L",0,'Eff (com)'!J32/3)</f>
        <v>0</v>
      </c>
      <c r="J7" s="1739">
        <f>'Eff (com)'!L32/'Eff (com)'!J32</f>
        <v>0.65971891856479647</v>
      </c>
      <c r="K7" s="1734">
        <v>0.75</v>
      </c>
      <c r="L7" s="1735">
        <f>J7*138000/8760*K7</f>
        <v>7.7946242090703688</v>
      </c>
      <c r="M7" s="1735">
        <f>L7*12*VLOOKUP(C5,'Biomass Data'!$L$2:$P$405,4,FALSE)</f>
        <v>14.404599534636782</v>
      </c>
      <c r="N7" s="1736">
        <v>4</v>
      </c>
      <c r="O7" s="1737">
        <v>0.5</v>
      </c>
      <c r="P7" s="1737">
        <v>0.88</v>
      </c>
      <c r="Q7" s="924">
        <f>M7/O7/P7</f>
        <v>32.737726215083597</v>
      </c>
      <c r="R7" s="924">
        <f>Q7*I7</f>
        <v>0</v>
      </c>
      <c r="S7" s="1738">
        <f>Q7*I7*O7*P7</f>
        <v>0</v>
      </c>
      <c r="T7" s="1732">
        <f>VLOOKUP(C5,'Biomass Data'!$L$2:$P$405,5,FALSE)</f>
        <v>0.55149816096614435</v>
      </c>
      <c r="U7" s="1753">
        <f>T7*O7</f>
        <v>0.27574908048307217</v>
      </c>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8">
      <c r="B8" s="128" t="s">
        <v>569</v>
      </c>
      <c r="C8" s="587" t="s">
        <v>3</v>
      </c>
      <c r="D8" s="125"/>
      <c r="E8" s="118"/>
      <c r="G8" s="219"/>
      <c r="H8" s="2084"/>
      <c r="I8" s="1725" t="s">
        <v>2288</v>
      </c>
      <c r="J8" s="1726" t="s">
        <v>2289</v>
      </c>
      <c r="K8" s="1727"/>
      <c r="L8" s="1717"/>
      <c r="M8" s="1718"/>
      <c r="N8" s="1718"/>
      <c r="O8" s="267"/>
      <c r="P8" s="125"/>
      <c r="Q8" s="125"/>
      <c r="R8" s="930"/>
      <c r="S8" s="124"/>
      <c r="T8" s="124"/>
      <c r="U8" s="946"/>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8">
      <c r="B9" s="128" t="s">
        <v>570</v>
      </c>
      <c r="C9" s="490"/>
      <c r="D9" s="125"/>
      <c r="E9" s="118"/>
      <c r="G9" s="219"/>
      <c r="H9" s="2084"/>
      <c r="I9" s="1720"/>
      <c r="J9" s="1728"/>
      <c r="K9" s="1720"/>
      <c r="L9" s="1718"/>
      <c r="M9" s="1718"/>
      <c r="N9" s="1718"/>
      <c r="O9" s="1717"/>
      <c r="P9" s="125"/>
      <c r="Q9" s="125"/>
      <c r="R9" s="930"/>
      <c r="S9" s="133"/>
      <c r="T9" s="124"/>
      <c r="U9" s="946"/>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8" ht="26.25">
      <c r="B10" s="128"/>
      <c r="C10" s="587"/>
      <c r="D10" s="125"/>
      <c r="E10" s="118"/>
      <c r="G10" s="219"/>
      <c r="H10" s="2084"/>
      <c r="I10" s="136" t="s">
        <v>2280</v>
      </c>
      <c r="J10" s="1723" t="s">
        <v>2268</v>
      </c>
      <c r="K10" s="228" t="s">
        <v>2269</v>
      </c>
      <c r="L10" s="228" t="s">
        <v>2270</v>
      </c>
      <c r="M10" s="228" t="s">
        <v>2274</v>
      </c>
      <c r="N10" s="1723" t="s">
        <v>2271</v>
      </c>
      <c r="O10" s="270" t="s">
        <v>2272</v>
      </c>
      <c r="P10" s="270" t="s">
        <v>2273</v>
      </c>
      <c r="Q10" s="1724" t="s">
        <v>2276</v>
      </c>
      <c r="R10" s="125" t="s">
        <v>2275</v>
      </c>
      <c r="S10" s="125" t="s">
        <v>5</v>
      </c>
      <c r="T10" s="133"/>
      <c r="U10" s="946"/>
      <c r="V10" s="124"/>
      <c r="W10" s="124"/>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row>
    <row r="11" spans="1:68" ht="13.5" thickBot="1">
      <c r="B11" s="134"/>
      <c r="C11" s="611"/>
      <c r="D11" s="125"/>
      <c r="E11" s="118"/>
      <c r="F11" s="135"/>
      <c r="G11" s="219"/>
      <c r="H11" s="2085"/>
      <c r="I11" s="1754">
        <v>16000000</v>
      </c>
      <c r="J11" s="1755">
        <f>U7*Q7*I7*8760/I11</f>
        <v>0</v>
      </c>
      <c r="K11" s="1868">
        <f>U7*Q7*I7*8760/138000</f>
        <v>0</v>
      </c>
      <c r="L11" s="1756">
        <f>Q7*0.5</f>
        <v>16.368863107541799</v>
      </c>
      <c r="M11" s="1585">
        <f>ROUND(R7/325000,)</f>
        <v>0</v>
      </c>
      <c r="N11" s="1526" t="e">
        <f>291000*LN(ROUND(R7/325000,))+192000</f>
        <v>#NUM!</v>
      </c>
      <c r="O11" s="1757">
        <v>5</v>
      </c>
      <c r="P11" s="1758">
        <v>20</v>
      </c>
      <c r="Q11" s="1759">
        <f>P11*O11*J11</f>
        <v>0</v>
      </c>
      <c r="R11" s="1760">
        <f>P11*10*M11</f>
        <v>0</v>
      </c>
      <c r="S11" s="1761">
        <f>R11+Q11</f>
        <v>0</v>
      </c>
      <c r="T11" s="1762"/>
      <c r="U11" s="1763"/>
      <c r="V11" s="124"/>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c r="BP11" s="125"/>
    </row>
    <row r="12" spans="1:68">
      <c r="B12" s="137" t="s">
        <v>360</v>
      </c>
      <c r="C12" s="515" t="s">
        <v>384</v>
      </c>
      <c r="D12" s="306"/>
      <c r="E12" s="306"/>
      <c r="F12" s="118"/>
      <c r="G12" s="219"/>
      <c r="H12" s="377"/>
      <c r="I12" s="440"/>
      <c r="J12" s="440"/>
      <c r="K12" s="440"/>
      <c r="L12" s="136"/>
      <c r="M12" s="136"/>
      <c r="N12" s="836"/>
      <c r="O12" s="836"/>
      <c r="P12" s="125"/>
      <c r="Q12" s="125"/>
      <c r="R12" s="930"/>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8">
      <c r="B13" s="128" t="s">
        <v>262</v>
      </c>
      <c r="C13" s="321" t="str">
        <f>IF(F4="L","N/A",BI59)</f>
        <v>N/A</v>
      </c>
      <c r="D13" s="136"/>
      <c r="E13" s="136"/>
      <c r="F13" s="118"/>
      <c r="G13" s="219"/>
      <c r="H13" s="377"/>
      <c r="I13" s="1705" t="s">
        <v>2277</v>
      </c>
      <c r="J13" s="1729">
        <f>IF(ISNA(VLOOKUP(C5,'Biomass rate'!A3:F67,2,FALSE)),250, VLOOKUP(C5,'Biomass rate'!A3:F67,2,FALSE))</f>
        <v>250</v>
      </c>
      <c r="K13" s="268"/>
      <c r="L13" s="136"/>
      <c r="M13" s="136"/>
      <c r="N13" s="836"/>
      <c r="O13" s="836"/>
      <c r="P13" s="125"/>
      <c r="Q13" s="125"/>
      <c r="R13" s="930"/>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8">
      <c r="B14" s="128" t="s">
        <v>278</v>
      </c>
      <c r="C14" s="322" t="str">
        <f>IF(F4="L","N/A",BI55)</f>
        <v>N/A</v>
      </c>
      <c r="D14" s="136"/>
      <c r="E14" s="136"/>
      <c r="F14" s="118"/>
      <c r="G14" s="219"/>
      <c r="H14" s="377"/>
      <c r="I14" s="1705"/>
      <c r="J14" s="1730"/>
      <c r="K14" s="268"/>
      <c r="L14" s="136"/>
      <c r="M14" s="136"/>
      <c r="N14" s="836"/>
      <c r="O14" s="836"/>
      <c r="P14" s="125"/>
      <c r="Q14" s="125"/>
      <c r="R14" s="930"/>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8" ht="15.75" thickBot="1">
      <c r="B15" s="128" t="s">
        <v>759</v>
      </c>
      <c r="C15" s="323">
        <f>IF(AND(OR(F4="M",F4="H"),Biomass_NPV_Capital_Costs&gt;0),C13/C14,0)</f>
        <v>0</v>
      </c>
      <c r="D15" s="136"/>
      <c r="E15" s="136"/>
      <c r="F15" s="118"/>
      <c r="G15" s="219"/>
      <c r="H15" s="377"/>
      <c r="I15" s="1731"/>
      <c r="J15" s="1704"/>
      <c r="K15" s="268"/>
      <c r="L15" s="136"/>
      <c r="M15" s="136"/>
      <c r="N15" s="836"/>
      <c r="O15" s="836"/>
      <c r="P15" s="125"/>
      <c r="Q15" s="125"/>
      <c r="R15" s="930"/>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8" ht="15.75" thickBot="1">
      <c r="A16" s="121"/>
      <c r="B16" s="502" t="s">
        <v>290</v>
      </c>
      <c r="C16" s="503" t="str">
        <f>IF(F4="L","N/A",BI62)</f>
        <v>N/A</v>
      </c>
      <c r="D16" s="136"/>
      <c r="E16" s="136"/>
      <c r="F16" s="118"/>
      <c r="G16" s="219"/>
      <c r="H16" s="377"/>
      <c r="I16" s="121"/>
      <c r="J16" s="121"/>
      <c r="K16" s="121"/>
      <c r="L16" s="836"/>
      <c r="M16" s="836"/>
      <c r="N16" s="836"/>
      <c r="O16" s="836"/>
      <c r="P16" s="125"/>
      <c r="Q16" s="125"/>
      <c r="R16" s="930"/>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2.75">
      <c r="A17" s="121"/>
      <c r="B17" s="157"/>
      <c r="C17" s="347"/>
      <c r="D17" s="136"/>
      <c r="E17" s="136"/>
      <c r="F17" s="118"/>
      <c r="G17" s="219"/>
      <c r="H17" s="1770"/>
      <c r="I17" s="1744"/>
      <c r="J17" s="270"/>
      <c r="K17" s="270"/>
      <c r="L17" s="270"/>
      <c r="M17" s="270"/>
      <c r="N17" s="270"/>
      <c r="O17" s="270"/>
      <c r="P17" s="270"/>
      <c r="Q17" s="270"/>
      <c r="R17" s="270"/>
      <c r="T17" s="217"/>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5.75" thickBot="1">
      <c r="B18" s="138"/>
      <c r="C18" s="145"/>
      <c r="D18" s="136"/>
      <c r="E18" s="136"/>
      <c r="F18" s="118"/>
      <c r="G18" s="219"/>
      <c r="H18" s="1770"/>
      <c r="I18" s="9"/>
      <c r="J18" s="1771"/>
      <c r="K18" s="346"/>
      <c r="L18" s="385"/>
      <c r="M18" s="385"/>
      <c r="N18" s="1745"/>
      <c r="O18" s="388"/>
      <c r="P18" s="1779"/>
      <c r="Q18" s="1772"/>
      <c r="R18" s="122"/>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c r="B19" s="137" t="s">
        <v>361</v>
      </c>
      <c r="C19" s="314" t="s">
        <v>271</v>
      </c>
      <c r="D19" s="315" t="s">
        <v>384</v>
      </c>
      <c r="E19" s="307"/>
      <c r="F19" s="306"/>
      <c r="G19" s="219"/>
      <c r="H19" s="1770"/>
      <c r="I19" s="121"/>
      <c r="J19" s="121"/>
      <c r="K19" s="121"/>
      <c r="L19" s="703"/>
      <c r="M19" s="1745"/>
      <c r="N19" s="1745"/>
      <c r="O19" s="1745"/>
      <c r="P19" s="122"/>
      <c r="Q19" s="122"/>
      <c r="R19" s="122"/>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c r="B20" s="316" t="s">
        <v>362</v>
      </c>
      <c r="C20" s="208" t="s">
        <v>266</v>
      </c>
      <c r="D20" s="606">
        <f>IF(SUM(F67:BH67)&gt;0,SUM(F67:BH67)/COUNTIF(F67:BH67,"&gt;0"),0)</f>
        <v>0</v>
      </c>
      <c r="E20" s="121"/>
      <c r="F20" s="136"/>
      <c r="G20" s="219"/>
      <c r="H20" s="1770"/>
      <c r="I20" s="121"/>
      <c r="J20" s="344"/>
      <c r="K20" s="270"/>
      <c r="L20" s="270"/>
      <c r="M20" s="344"/>
      <c r="N20" s="344"/>
      <c r="O20" s="122"/>
      <c r="P20" s="122"/>
      <c r="Q20" s="121"/>
      <c r="R20" s="121"/>
      <c r="T20" s="217"/>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c r="B21" s="316" t="s">
        <v>362</v>
      </c>
      <c r="C21" s="209" t="s">
        <v>363</v>
      </c>
      <c r="D21" s="607">
        <f>SUM(F67:BH67)</f>
        <v>0</v>
      </c>
      <c r="E21" s="121"/>
      <c r="F21" s="136"/>
      <c r="G21" s="219"/>
      <c r="H21" s="1770"/>
      <c r="I21" s="269"/>
      <c r="J21" s="1774"/>
      <c r="K21" s="1780"/>
      <c r="L21" s="1750"/>
      <c r="M21" s="1781"/>
      <c r="N21" s="9"/>
      <c r="O21" s="9"/>
      <c r="P21" s="122"/>
      <c r="Q21" s="122"/>
      <c r="R21" s="122"/>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c r="B22" s="316" t="s">
        <v>364</v>
      </c>
      <c r="C22" s="209" t="s">
        <v>268</v>
      </c>
      <c r="D22" s="606">
        <f>G73+G93</f>
        <v>0</v>
      </c>
      <c r="E22" s="121"/>
      <c r="F22" s="136"/>
      <c r="G22" s="219"/>
      <c r="H22" s="122"/>
      <c r="I22" s="269"/>
      <c r="J22" s="9"/>
      <c r="K22" s="9"/>
      <c r="L22" s="1721"/>
      <c r="M22" s="1718"/>
      <c r="N22" s="8"/>
      <c r="O22" s="8"/>
      <c r="P22" s="125"/>
      <c r="Q22" s="125"/>
      <c r="R22" s="930"/>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2.75">
      <c r="B23" s="316" t="s">
        <v>364</v>
      </c>
      <c r="C23" s="209" t="s">
        <v>365</v>
      </c>
      <c r="D23" s="608">
        <f>SUM(G73:T73)+SUM(G93:BH93)</f>
        <v>0</v>
      </c>
      <c r="E23" s="121"/>
      <c r="F23" s="136"/>
      <c r="G23" s="219"/>
      <c r="H23" s="1770"/>
      <c r="I23" s="1744"/>
      <c r="J23" s="270"/>
      <c r="K23" s="270"/>
      <c r="L23" s="270"/>
      <c r="M23" s="270"/>
      <c r="N23" s="270"/>
      <c r="O23" s="270"/>
      <c r="P23" s="270"/>
      <c r="Q23" s="270"/>
      <c r="R23" s="270"/>
      <c r="S23" s="124"/>
      <c r="T23" s="124"/>
      <c r="U23" s="69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c r="B24" s="128"/>
      <c r="D24" s="1385"/>
      <c r="E24" s="122"/>
      <c r="F24" s="125"/>
      <c r="G24" s="145"/>
      <c r="H24" s="1770"/>
      <c r="I24" s="121"/>
      <c r="J24" s="121"/>
      <c r="K24" s="121"/>
      <c r="L24" s="703"/>
      <c r="M24" s="1745"/>
      <c r="N24" s="1745"/>
      <c r="O24" s="1745"/>
      <c r="P24" s="122"/>
      <c r="Q24" s="122"/>
      <c r="R24" s="122"/>
      <c r="S24" s="211"/>
      <c r="T24" s="211"/>
      <c r="U24" s="69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c r="B25" s="128"/>
      <c r="C25" s="145"/>
      <c r="D25" s="317"/>
      <c r="E25" s="121"/>
      <c r="F25" s="136"/>
      <c r="G25" s="219"/>
      <c r="H25" s="1770"/>
      <c r="I25" s="121"/>
      <c r="J25" s="121"/>
      <c r="K25" s="121"/>
      <c r="L25" s="703"/>
      <c r="M25" s="1745"/>
      <c r="N25" s="1745"/>
      <c r="O25" s="1745"/>
      <c r="P25" s="122"/>
      <c r="Q25" s="122"/>
      <c r="R25" s="122"/>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c r="B26" s="316"/>
      <c r="C26" s="209"/>
      <c r="D26" s="606"/>
      <c r="E26" s="121"/>
      <c r="F26" s="136"/>
      <c r="G26" s="219"/>
      <c r="H26" s="1770"/>
      <c r="I26" s="121"/>
      <c r="J26" s="344"/>
      <c r="K26" s="270"/>
      <c r="L26" s="270"/>
      <c r="M26" s="344"/>
      <c r="N26" s="344"/>
      <c r="O26" s="122"/>
      <c r="P26" s="122"/>
      <c r="Q26" s="121"/>
      <c r="R26" s="121"/>
      <c r="S26" s="689"/>
      <c r="T26" s="68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5.75" thickBot="1">
      <c r="B27" s="318"/>
      <c r="C27" s="319"/>
      <c r="D27" s="609"/>
      <c r="E27" s="121"/>
      <c r="F27" s="136"/>
      <c r="G27" s="219"/>
      <c r="H27" s="1770"/>
      <c r="I27" s="269"/>
      <c r="J27" s="270"/>
      <c r="K27" s="270"/>
      <c r="L27" s="1750"/>
      <c r="M27" s="1745"/>
      <c r="N27" s="9"/>
      <c r="O27" s="9"/>
      <c r="P27" s="122"/>
      <c r="Q27" s="122"/>
      <c r="R27" s="122"/>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19"/>
      <c r="H28" s="122"/>
      <c r="I28" s="271"/>
      <c r="J28" s="9"/>
      <c r="K28" s="391"/>
      <c r="L28" s="392"/>
      <c r="M28" s="271"/>
      <c r="N28" s="9"/>
      <c r="O28" s="9"/>
      <c r="P28" s="125"/>
      <c r="Q28" s="125"/>
      <c r="R28" s="930"/>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2" t="s">
        <v>384</v>
      </c>
      <c r="E29" s="307"/>
      <c r="F29" s="306"/>
      <c r="G29" s="219"/>
      <c r="H29" s="122"/>
      <c r="I29" s="271"/>
      <c r="J29" s="9"/>
      <c r="K29" s="391"/>
      <c r="L29" s="9"/>
      <c r="M29" s="271"/>
      <c r="N29" s="9"/>
      <c r="O29" s="9"/>
      <c r="P29" s="125"/>
      <c r="Q29" s="125"/>
      <c r="R29" s="930"/>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590" t="e">
        <f>N11</f>
        <v>#NUM!</v>
      </c>
      <c r="E30" s="118"/>
      <c r="G30" s="219"/>
      <c r="H30" s="122"/>
      <c r="I30" s="704"/>
      <c r="J30" s="96"/>
      <c r="K30" s="391"/>
      <c r="L30" s="286"/>
      <c r="M30" s="271"/>
      <c r="N30" s="9"/>
      <c r="O30" s="9"/>
      <c r="P30" s="125"/>
      <c r="Q30" s="125"/>
      <c r="R30" s="930"/>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 r="B31" s="128" t="s">
        <v>286</v>
      </c>
      <c r="C31" s="138" t="s">
        <v>333</v>
      </c>
      <c r="D31" s="589">
        <v>2016</v>
      </c>
      <c r="E31" s="118"/>
      <c r="G31" s="219"/>
      <c r="H31" s="122"/>
      <c r="I31" s="704"/>
      <c r="J31" s="96"/>
      <c r="K31" s="391"/>
      <c r="L31" s="286"/>
      <c r="M31" s="271"/>
      <c r="N31" s="9"/>
      <c r="O31" s="9"/>
      <c r="P31" s="125"/>
      <c r="Q31" s="125"/>
      <c r="R31" s="930"/>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10">
        <v>20</v>
      </c>
      <c r="E32" s="118"/>
      <c r="G32" s="219"/>
      <c r="H32" s="122"/>
      <c r="I32" s="704"/>
      <c r="J32" s="96"/>
      <c r="K32" s="391"/>
      <c r="L32" s="286"/>
      <c r="M32" s="271"/>
      <c r="N32" s="9"/>
      <c r="O32" s="9"/>
      <c r="P32" s="125"/>
      <c r="Q32" s="125"/>
      <c r="R32" s="930"/>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c r="B33" s="128" t="s">
        <v>367</v>
      </c>
      <c r="C33" s="151" t="s">
        <v>266</v>
      </c>
      <c r="D33" s="591"/>
      <c r="E33" s="118"/>
      <c r="G33" s="219"/>
      <c r="H33" s="122"/>
      <c r="I33" s="704"/>
      <c r="J33" s="96"/>
      <c r="K33" s="391"/>
      <c r="L33" s="286"/>
      <c r="M33" s="271"/>
      <c r="N33" s="440"/>
      <c r="O33" s="440"/>
      <c r="P33" s="125"/>
      <c r="Q33" s="125"/>
      <c r="R33" s="930"/>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592">
        <f>K11</f>
        <v>0</v>
      </c>
      <c r="E34" s="118"/>
      <c r="G34" s="219"/>
      <c r="H34" s="377"/>
      <c r="I34" s="984"/>
      <c r="J34" s="8"/>
      <c r="K34" s="8"/>
      <c r="L34" s="8"/>
      <c r="M34" s="8"/>
      <c r="N34" s="8"/>
      <c r="O34" s="8"/>
      <c r="P34" s="125"/>
      <c r="Q34" s="125"/>
      <c r="R34" s="930"/>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5.5">
      <c r="B35" s="128" t="s">
        <v>369</v>
      </c>
      <c r="C35" s="138" t="s">
        <v>315</v>
      </c>
      <c r="D35" s="593"/>
      <c r="E35" s="118"/>
      <c r="G35" s="219"/>
      <c r="H35" s="377"/>
      <c r="M35" s="985"/>
      <c r="N35" s="8"/>
      <c r="O35" s="8"/>
      <c r="P35" s="125"/>
      <c r="Q35" s="125"/>
      <c r="R35" s="930"/>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594"/>
      <c r="E36" s="118"/>
      <c r="G36" s="219"/>
      <c r="H36" s="377"/>
      <c r="M36" s="919"/>
      <c r="N36" s="8"/>
      <c r="O36" s="8"/>
      <c r="P36" s="125"/>
      <c r="Q36" s="125"/>
      <c r="R36" s="930"/>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596"/>
      <c r="E37" s="118"/>
      <c r="G37" s="219"/>
      <c r="H37" s="377"/>
      <c r="M37" s="8"/>
      <c r="N37" s="8"/>
      <c r="O37" s="953"/>
      <c r="P37" s="125"/>
      <c r="Q37" s="125"/>
      <c r="R37" s="930"/>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595"/>
      <c r="E38" s="118"/>
      <c r="G38" s="219"/>
      <c r="H38" s="377"/>
      <c r="M38" s="8"/>
      <c r="N38" s="8"/>
      <c r="O38" s="470"/>
      <c r="P38" s="125"/>
      <c r="Q38" s="125"/>
      <c r="R38" s="930"/>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597"/>
      <c r="E39" s="118"/>
      <c r="G39" s="219"/>
      <c r="H39" s="377"/>
      <c r="M39" s="8"/>
      <c r="N39" s="8"/>
      <c r="O39" s="470"/>
      <c r="P39" s="125"/>
      <c r="Q39" s="125"/>
      <c r="R39" s="930"/>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3" t="s">
        <v>352</v>
      </c>
      <c r="D40" s="598"/>
      <c r="E40" s="118"/>
      <c r="G40" s="219"/>
      <c r="H40" s="377"/>
      <c r="M40" s="8"/>
      <c r="N40" s="8"/>
      <c r="O40" s="8"/>
      <c r="P40" s="125"/>
      <c r="Q40" s="125"/>
      <c r="R40" s="930"/>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19"/>
      <c r="H41" s="377"/>
      <c r="M41" s="8"/>
      <c r="N41" s="8"/>
      <c r="O41" s="8"/>
      <c r="P41" s="125"/>
      <c r="Q41" s="125"/>
      <c r="R41" s="930"/>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04" t="s">
        <v>327</v>
      </c>
      <c r="C42" s="505" t="s">
        <v>271</v>
      </c>
      <c r="D42" s="506" t="s">
        <v>272</v>
      </c>
      <c r="E42" s="118"/>
      <c r="G42" s="219"/>
      <c r="H42" s="377"/>
      <c r="M42" s="8"/>
      <c r="N42" s="125"/>
      <c r="O42" s="125"/>
      <c r="P42" s="125"/>
      <c r="Q42" s="125"/>
      <c r="R42" s="930"/>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311" t="s">
        <v>276</v>
      </c>
      <c r="C43" s="138" t="s">
        <v>265</v>
      </c>
      <c r="D43" s="599">
        <v>0.02</v>
      </c>
      <c r="E43" s="118"/>
      <c r="F43" s="159"/>
      <c r="G43" s="219"/>
      <c r="H43" s="377"/>
      <c r="I43" s="121"/>
      <c r="J43" s="121"/>
      <c r="K43" s="121"/>
      <c r="L43" s="437"/>
      <c r="M43" s="8"/>
      <c r="N43" s="125"/>
      <c r="O43" s="125"/>
      <c r="P43" s="125"/>
      <c r="Q43" s="125"/>
      <c r="R43" s="930"/>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07" t="s">
        <v>328</v>
      </c>
      <c r="C44" s="143" t="s">
        <v>281</v>
      </c>
      <c r="D44" s="614">
        <f>'Community data'!B21</f>
        <v>10.802351555020987</v>
      </c>
      <c r="E44" s="118"/>
      <c r="F44" s="159"/>
      <c r="G44" s="219"/>
      <c r="H44" s="377"/>
      <c r="I44" s="1591"/>
      <c r="J44" s="122"/>
      <c r="K44" s="122"/>
      <c r="L44" s="1591"/>
      <c r="M44" s="8"/>
      <c r="N44" s="125"/>
      <c r="O44" s="125"/>
      <c r="P44" s="125"/>
      <c r="Q44" s="125"/>
      <c r="R44" s="930"/>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19"/>
      <c r="H45" s="377"/>
      <c r="I45" s="136"/>
      <c r="J45" s="136"/>
      <c r="K45" s="136"/>
      <c r="L45" s="136"/>
      <c r="M45" s="125"/>
      <c r="N45" s="125"/>
      <c r="O45" s="125"/>
      <c r="P45" s="125"/>
      <c r="Q45" s="125"/>
      <c r="R45" s="930"/>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0" t="s">
        <v>272</v>
      </c>
      <c r="E46" s="118"/>
      <c r="F46" s="159"/>
      <c r="G46" s="219"/>
      <c r="H46" s="377"/>
      <c r="I46" s="125"/>
      <c r="J46" s="125"/>
      <c r="K46" s="125"/>
      <c r="L46" s="125"/>
      <c r="M46" s="125"/>
      <c r="N46" s="125"/>
      <c r="O46" s="125"/>
      <c r="P46" s="125"/>
      <c r="Q46" s="125"/>
      <c r="R46" s="930"/>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1" t="s">
        <v>282</v>
      </c>
      <c r="C47" s="138" t="s">
        <v>269</v>
      </c>
      <c r="D47" s="601">
        <f>VLOOKUP(Energy_Region,Assumptions!$A$28:$B$38,2,FALSE)</f>
        <v>1.5507921943016665</v>
      </c>
      <c r="E47" s="118"/>
      <c r="F47" s="136"/>
      <c r="G47" s="219"/>
      <c r="H47" s="377"/>
      <c r="I47" s="125"/>
      <c r="J47" s="125"/>
      <c r="K47" s="125"/>
      <c r="L47" s="125" t="s">
        <v>814</v>
      </c>
      <c r="M47" s="125"/>
      <c r="N47" s="125"/>
      <c r="O47" s="125"/>
      <c r="P47" s="125"/>
      <c r="Q47" s="125"/>
      <c r="R47" s="930"/>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3.5" thickBot="1">
      <c r="B48" s="128" t="s">
        <v>370</v>
      </c>
      <c r="C48" s="138" t="s">
        <v>269</v>
      </c>
      <c r="D48" s="602">
        <f>Assumptions!B26</f>
        <v>0</v>
      </c>
      <c r="E48" s="118"/>
      <c r="F48" s="159"/>
      <c r="G48" s="219"/>
      <c r="H48" s="378"/>
      <c r="I48" s="381"/>
      <c r="J48" s="381"/>
      <c r="K48" s="381"/>
      <c r="L48" s="381"/>
      <c r="M48" s="381"/>
      <c r="N48" s="381"/>
      <c r="O48" s="381"/>
      <c r="P48" s="381"/>
      <c r="Q48" s="381"/>
      <c r="R48" s="951"/>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04"/>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 t="shared" si="0"/>
        <v>2021</v>
      </c>
      <c r="N54" s="171">
        <f t="shared" si="0"/>
        <v>2022</v>
      </c>
      <c r="O54" s="171">
        <f t="shared" si="0"/>
        <v>2023</v>
      </c>
      <c r="P54" s="171">
        <f t="shared" si="0"/>
        <v>2024</v>
      </c>
      <c r="Q54" s="171">
        <f t="shared" si="0"/>
        <v>2025</v>
      </c>
      <c r="R54" s="171">
        <f t="shared" si="0"/>
        <v>2026</v>
      </c>
      <c r="S54" s="306">
        <f t="shared" si="0"/>
        <v>2027</v>
      </c>
      <c r="T54" s="306">
        <f t="shared" si="0"/>
        <v>2028</v>
      </c>
      <c r="U54" s="306">
        <f t="shared" si="0"/>
        <v>2029</v>
      </c>
      <c r="V54" s="306">
        <f t="shared" si="0"/>
        <v>2030</v>
      </c>
      <c r="W54" s="306">
        <f t="shared" si="0"/>
        <v>2031</v>
      </c>
      <c r="X54" s="306">
        <f t="shared" si="0"/>
        <v>2032</v>
      </c>
      <c r="Y54" s="306">
        <f t="shared" si="0"/>
        <v>2033</v>
      </c>
      <c r="Z54" s="306">
        <f t="shared" si="0"/>
        <v>2034</v>
      </c>
      <c r="AA54" s="306">
        <f t="shared" si="0"/>
        <v>2035</v>
      </c>
      <c r="AB54" s="306">
        <f t="shared" si="0"/>
        <v>2036</v>
      </c>
      <c r="AC54" s="306">
        <f t="shared" si="0"/>
        <v>2037</v>
      </c>
      <c r="AD54" s="306">
        <f t="shared" si="0"/>
        <v>2038</v>
      </c>
      <c r="AE54" s="306">
        <f t="shared" si="0"/>
        <v>2039</v>
      </c>
      <c r="AF54" s="306">
        <f t="shared" si="0"/>
        <v>2040</v>
      </c>
      <c r="AG54" s="306">
        <f t="shared" si="0"/>
        <v>2041</v>
      </c>
      <c r="AH54" s="306">
        <f t="shared" si="0"/>
        <v>2042</v>
      </c>
      <c r="AI54" s="306">
        <f t="shared" si="0"/>
        <v>2043</v>
      </c>
      <c r="AJ54" s="306">
        <f t="shared" si="0"/>
        <v>2044</v>
      </c>
      <c r="AK54" s="306">
        <f t="shared" si="0"/>
        <v>2045</v>
      </c>
      <c r="AL54" s="306">
        <f t="shared" si="0"/>
        <v>2046</v>
      </c>
      <c r="AM54" s="306">
        <f t="shared" si="0"/>
        <v>2047</v>
      </c>
      <c r="AN54" s="306">
        <f t="shared" si="0"/>
        <v>2048</v>
      </c>
      <c r="AO54" s="306">
        <f t="shared" si="0"/>
        <v>2049</v>
      </c>
      <c r="AP54" s="306">
        <f t="shared" si="0"/>
        <v>2050</v>
      </c>
      <c r="AQ54" s="306">
        <f t="shared" si="0"/>
        <v>2051</v>
      </c>
      <c r="AR54" s="306">
        <f t="shared" si="0"/>
        <v>2052</v>
      </c>
      <c r="AS54" s="306">
        <f t="shared" si="0"/>
        <v>2053</v>
      </c>
      <c r="AT54" s="306">
        <f t="shared" si="0"/>
        <v>2054</v>
      </c>
      <c r="AU54" s="306">
        <f t="shared" si="0"/>
        <v>2055</v>
      </c>
      <c r="AV54" s="306">
        <f t="shared" si="0"/>
        <v>2056</v>
      </c>
      <c r="AW54" s="306">
        <f t="shared" si="0"/>
        <v>2057</v>
      </c>
      <c r="AX54" s="306">
        <f t="shared" si="0"/>
        <v>2058</v>
      </c>
      <c r="AY54" s="306">
        <f t="shared" si="0"/>
        <v>2059</v>
      </c>
      <c r="AZ54" s="306">
        <f t="shared" si="0"/>
        <v>2060</v>
      </c>
      <c r="BA54" s="306">
        <f t="shared" si="0"/>
        <v>2061</v>
      </c>
      <c r="BB54" s="306">
        <f t="shared" si="0"/>
        <v>2062</v>
      </c>
      <c r="BC54" s="306">
        <f t="shared" si="0"/>
        <v>2063</v>
      </c>
      <c r="BD54" s="306">
        <f t="shared" si="0"/>
        <v>2064</v>
      </c>
      <c r="BE54" s="306">
        <f t="shared" si="0"/>
        <v>2065</v>
      </c>
      <c r="BF54" s="306">
        <f t="shared" si="0"/>
        <v>2066</v>
      </c>
      <c r="BG54" s="306">
        <f t="shared" si="0"/>
        <v>2067</v>
      </c>
      <c r="BH54" s="306">
        <f t="shared" si="0"/>
        <v>2068</v>
      </c>
      <c r="BI54" s="69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t="e">
        <f>IF(AND(H$54&gt;=$D$31,H$54&lt;=($D$31+$D$32)),-PMT(0.05,$D$32,$D$30)*'Fuel Price Worksheet'!H23,0)</f>
        <v>#NUM!</v>
      </c>
      <c r="I55" s="174" t="e">
        <f>IF(AND(I$54&gt;=$D$31,I$54&lt;=($D$31+$D$32)),-PMT(0.05,$D$32,$D$30)*'Fuel Price Worksheet'!I23,0)</f>
        <v>#NUM!</v>
      </c>
      <c r="J55" s="174" t="e">
        <f>IF(AND(J$54&gt;=$D$31,J$54&lt;=($D$31+$D$32)),-PMT(0.05,$D$32,$D$30)*'Fuel Price Worksheet'!J23,0)</f>
        <v>#NUM!</v>
      </c>
      <c r="K55" s="174" t="e">
        <f>IF(AND(K$54&gt;=$D$31,K$54&lt;=($D$31+$D$32)),-PMT(0.05,$D$32,$D$30)*'Fuel Price Worksheet'!K23,0)</f>
        <v>#NUM!</v>
      </c>
      <c r="L55" s="174" t="e">
        <f>IF(AND(L$54&gt;=$D$31,L$54&lt;=($D$31+$D$32)),-PMT(0.05,$D$32,$D$30)*'Fuel Price Worksheet'!L23,0)</f>
        <v>#NUM!</v>
      </c>
      <c r="M55" s="174" t="e">
        <f>IF(AND(M$54&gt;=$D$31,M$54&lt;=($D$31+$D$32)),-PMT(0.05,$D$32,$D$30)*'Fuel Price Worksheet'!M23,0)</f>
        <v>#NUM!</v>
      </c>
      <c r="N55" s="174" t="e">
        <f>IF(AND(N$54&gt;=$D$31,N$54&lt;=($D$31+$D$32)),-PMT(0.05,$D$32,$D$30)*'Fuel Price Worksheet'!N23,0)</f>
        <v>#NUM!</v>
      </c>
      <c r="O55" s="174" t="e">
        <f>IF(AND(O$54&gt;=$D$31,O$54&lt;=($D$31+$D$32)),-PMT(0.05,$D$32,$D$30)*'Fuel Price Worksheet'!O23,0)</f>
        <v>#NUM!</v>
      </c>
      <c r="P55" s="174" t="e">
        <f>IF(AND(P$54&gt;=$D$31,P$54&lt;=($D$31+$D$32)),-PMT(0.05,$D$32,$D$30)*'Fuel Price Worksheet'!P23,0)</f>
        <v>#NUM!</v>
      </c>
      <c r="Q55" s="174" t="e">
        <f>IF(AND(Q$54&gt;=$D$31,Q$54&lt;=($D$31+$D$32)),-PMT(0.05,$D$32,$D$30)*'Fuel Price Worksheet'!Q23,0)</f>
        <v>#NUM!</v>
      </c>
      <c r="R55" s="174" t="e">
        <f>IF(AND(R$54&gt;=$D$31,R$54&lt;=($D$31+$D$32)),-PMT(0.05,$D$32,$D$30)*'Fuel Price Worksheet'!R23,0)</f>
        <v>#NUM!</v>
      </c>
      <c r="S55" s="174" t="e">
        <f>IF(AND(S$54&gt;=$D$31,S$54&lt;=($D$31+$D$32)),-PMT(0.05,$D$32,$D$30)*'Fuel Price Worksheet'!S23,0)</f>
        <v>#NUM!</v>
      </c>
      <c r="T55" s="174" t="e">
        <f>IF(AND(T$54&gt;=$D$31,T$54&lt;=($D$31+$D$32)),-PMT(0.05,$D$32,$D$30)*'Fuel Price Worksheet'!T23,0)</f>
        <v>#NUM!</v>
      </c>
      <c r="U55" s="174" t="e">
        <f>IF(AND(U$54&gt;=$D$31,U$54&lt;=($D$31+$D$32)),-PMT(0.05,$D$32,$D$30)*'Fuel Price Worksheet'!U23,0)</f>
        <v>#NUM!</v>
      </c>
      <c r="V55" s="174" t="e">
        <f>IF(AND(V$54&gt;=$D$31,V$54&lt;=($D$31+$D$32)),-PMT(0.05,$D$32,$D$30)*'Fuel Price Worksheet'!V23,0)</f>
        <v>#NUM!</v>
      </c>
      <c r="W55" s="174" t="e">
        <f>IF(AND(W$54&gt;=$D$31,W$54&lt;=($D$31+$D$32)),-PMT(0.05,$D$32,$D$30)*'Fuel Price Worksheet'!W23,0)</f>
        <v>#NUM!</v>
      </c>
      <c r="X55" s="174" t="e">
        <f>IF(AND(X$54&gt;=$D$31,X$54&lt;=($D$31+$D$32)),-PMT(0.05,$D$32,$D$30)*'Fuel Price Worksheet'!X23,0)</f>
        <v>#NUM!</v>
      </c>
      <c r="Y55" s="174" t="e">
        <f>IF(AND(Y$54&gt;=$D$31,Y$54&lt;=($D$31+$D$32)),-PMT(0.05,$D$32,$D$30)*'Fuel Price Worksheet'!Y23,0)</f>
        <v>#NUM!</v>
      </c>
      <c r="Z55" s="174" t="e">
        <f>IF(AND(Z$54&gt;=$D$31,Z$54&lt;=($D$31+$D$32)),-PMT(0.05,$D$32,$D$30)*'Fuel Price Worksheet'!Z23,0)</f>
        <v>#NUM!</v>
      </c>
      <c r="AA55" s="174" t="e">
        <f>IF(AND(AA$54&gt;=$D$31,AA$54&lt;=($D$31+$D$32)),-PMT(0.05,$D$32,$D$30)*'Fuel Price Worksheet'!AA23,0)</f>
        <v>#NUM!</v>
      </c>
      <c r="AB55" s="174" t="e">
        <f>IF(AND(AB$54&gt;=$D$31,AB$54&lt;=($D$31+$D$32)),-PMT(0.05,$D$32,$D$30)*'Fuel Price Worksheet'!AB23,0)</f>
        <v>#NUM!</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t="e">
        <f>NPV($D$49,F55:BH55)</f>
        <v>#NUM!</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BH57" si="1">F79-F70</f>
        <v>0</v>
      </c>
      <c r="G57" s="178">
        <f t="shared" si="1"/>
        <v>0</v>
      </c>
      <c r="H57" s="178">
        <f t="shared" si="1"/>
        <v>0</v>
      </c>
      <c r="I57" s="178">
        <f t="shared" si="1"/>
        <v>0</v>
      </c>
      <c r="J57" s="178">
        <f t="shared" si="1"/>
        <v>0</v>
      </c>
      <c r="K57" s="178">
        <f t="shared" si="1"/>
        <v>0</v>
      </c>
      <c r="L57" s="178">
        <f t="shared" si="1"/>
        <v>0</v>
      </c>
      <c r="M57" s="178">
        <f t="shared" si="1"/>
        <v>0</v>
      </c>
      <c r="N57" s="178">
        <f t="shared" si="1"/>
        <v>0</v>
      </c>
      <c r="O57" s="178">
        <f t="shared" si="1"/>
        <v>0</v>
      </c>
      <c r="P57" s="178">
        <f t="shared" si="1"/>
        <v>0</v>
      </c>
      <c r="Q57" s="178">
        <f t="shared" si="1"/>
        <v>0</v>
      </c>
      <c r="R57" s="178">
        <f t="shared" si="1"/>
        <v>0</v>
      </c>
      <c r="S57" s="178">
        <f t="shared" si="1"/>
        <v>0</v>
      </c>
      <c r="T57" s="178">
        <f t="shared" si="1"/>
        <v>0</v>
      </c>
      <c r="U57" s="178">
        <f t="shared" si="1"/>
        <v>0</v>
      </c>
      <c r="V57" s="178">
        <f t="shared" si="1"/>
        <v>0</v>
      </c>
      <c r="W57" s="178">
        <f t="shared" si="1"/>
        <v>0</v>
      </c>
      <c r="X57" s="178">
        <f t="shared" si="1"/>
        <v>0</v>
      </c>
      <c r="Y57" s="178">
        <f t="shared" si="1"/>
        <v>0</v>
      </c>
      <c r="Z57" s="178">
        <f t="shared" si="1"/>
        <v>0</v>
      </c>
      <c r="AA57" s="178">
        <f t="shared" si="1"/>
        <v>0</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0</v>
      </c>
      <c r="BJ57" s="121"/>
      <c r="BK57" s="121"/>
      <c r="BL57" s="121"/>
      <c r="BM57" s="121"/>
      <c r="BN57" s="121"/>
      <c r="BO57" s="121"/>
    </row>
    <row r="58" spans="2:67" ht="12.75">
      <c r="C58" s="177"/>
      <c r="D58" s="136" t="s">
        <v>626</v>
      </c>
      <c r="E58" s="121" t="s">
        <v>264</v>
      </c>
      <c r="F58" s="178">
        <f>F98-F90</f>
        <v>0</v>
      </c>
      <c r="G58" s="829">
        <f>G98</f>
        <v>0</v>
      </c>
      <c r="H58" s="829">
        <f t="shared" ref="H58:BH58" si="2">H98</f>
        <v>0</v>
      </c>
      <c r="I58" s="829">
        <f t="shared" si="2"/>
        <v>0</v>
      </c>
      <c r="J58" s="829">
        <f t="shared" si="2"/>
        <v>0</v>
      </c>
      <c r="K58" s="829">
        <f t="shared" si="2"/>
        <v>0</v>
      </c>
      <c r="L58" s="829">
        <f t="shared" si="2"/>
        <v>0</v>
      </c>
      <c r="M58" s="829">
        <f t="shared" si="2"/>
        <v>0</v>
      </c>
      <c r="N58" s="829">
        <f t="shared" si="2"/>
        <v>0</v>
      </c>
      <c r="O58" s="829">
        <f t="shared" si="2"/>
        <v>0</v>
      </c>
      <c r="P58" s="829">
        <f t="shared" si="2"/>
        <v>0</v>
      </c>
      <c r="Q58" s="829">
        <f t="shared" si="2"/>
        <v>0</v>
      </c>
      <c r="R58" s="829">
        <f t="shared" si="2"/>
        <v>0</v>
      </c>
      <c r="S58" s="829">
        <f t="shared" si="2"/>
        <v>0</v>
      </c>
      <c r="T58" s="829">
        <f t="shared" si="2"/>
        <v>0</v>
      </c>
      <c r="U58" s="829">
        <f t="shared" si="2"/>
        <v>0</v>
      </c>
      <c r="V58" s="829">
        <f t="shared" si="2"/>
        <v>0</v>
      </c>
      <c r="W58" s="829">
        <f t="shared" si="2"/>
        <v>0</v>
      </c>
      <c r="X58" s="829">
        <f t="shared" si="2"/>
        <v>0</v>
      </c>
      <c r="Y58" s="829">
        <f t="shared" si="2"/>
        <v>0</v>
      </c>
      <c r="Z58" s="829">
        <f t="shared" si="2"/>
        <v>0</v>
      </c>
      <c r="AA58" s="829">
        <f t="shared" si="2"/>
        <v>0</v>
      </c>
      <c r="AB58" s="829">
        <f t="shared" si="2"/>
        <v>0</v>
      </c>
      <c r="AC58" s="829">
        <f t="shared" si="2"/>
        <v>0</v>
      </c>
      <c r="AD58" s="829">
        <f t="shared" si="2"/>
        <v>0</v>
      </c>
      <c r="AE58" s="829">
        <f t="shared" si="2"/>
        <v>0</v>
      </c>
      <c r="AF58" s="829">
        <f t="shared" si="2"/>
        <v>0</v>
      </c>
      <c r="AG58" s="829">
        <f t="shared" si="2"/>
        <v>0</v>
      </c>
      <c r="AH58" s="829">
        <f t="shared" si="2"/>
        <v>0</v>
      </c>
      <c r="AI58" s="829">
        <f t="shared" si="2"/>
        <v>0</v>
      </c>
      <c r="AJ58" s="829">
        <f t="shared" si="2"/>
        <v>0</v>
      </c>
      <c r="AK58" s="829">
        <f t="shared" si="2"/>
        <v>0</v>
      </c>
      <c r="AL58" s="829">
        <f t="shared" si="2"/>
        <v>0</v>
      </c>
      <c r="AM58" s="829">
        <f t="shared" si="2"/>
        <v>0</v>
      </c>
      <c r="AN58" s="829">
        <f t="shared" si="2"/>
        <v>0</v>
      </c>
      <c r="AO58" s="829">
        <f t="shared" si="2"/>
        <v>0</v>
      </c>
      <c r="AP58" s="829">
        <f t="shared" si="2"/>
        <v>0</v>
      </c>
      <c r="AQ58" s="829">
        <f t="shared" si="2"/>
        <v>0</v>
      </c>
      <c r="AR58" s="829">
        <f t="shared" si="2"/>
        <v>0</v>
      </c>
      <c r="AS58" s="829">
        <f t="shared" si="2"/>
        <v>0</v>
      </c>
      <c r="AT58" s="829">
        <f t="shared" si="2"/>
        <v>0</v>
      </c>
      <c r="AU58" s="829">
        <f t="shared" si="2"/>
        <v>0</v>
      </c>
      <c r="AV58" s="829">
        <f t="shared" si="2"/>
        <v>0</v>
      </c>
      <c r="AW58" s="829">
        <f t="shared" si="2"/>
        <v>0</v>
      </c>
      <c r="AX58" s="829">
        <f t="shared" si="2"/>
        <v>0</v>
      </c>
      <c r="AY58" s="829">
        <f t="shared" si="2"/>
        <v>0</v>
      </c>
      <c r="AZ58" s="829">
        <f t="shared" si="2"/>
        <v>0</v>
      </c>
      <c r="BA58" s="829">
        <f t="shared" si="2"/>
        <v>0</v>
      </c>
      <c r="BB58" s="829">
        <f t="shared" si="2"/>
        <v>0</v>
      </c>
      <c r="BC58" s="829">
        <f t="shared" si="2"/>
        <v>0</v>
      </c>
      <c r="BD58" s="829">
        <f t="shared" si="2"/>
        <v>0</v>
      </c>
      <c r="BE58" s="829">
        <f t="shared" si="2"/>
        <v>0</v>
      </c>
      <c r="BF58" s="829">
        <f t="shared" si="2"/>
        <v>0</v>
      </c>
      <c r="BG58" s="829">
        <f t="shared" si="2"/>
        <v>0</v>
      </c>
      <c r="BH58" s="829">
        <f t="shared" si="2"/>
        <v>0</v>
      </c>
      <c r="BI58" s="175">
        <f>NPV($D$49,F58:BH58)</f>
        <v>0</v>
      </c>
      <c r="BJ58" s="121"/>
      <c r="BK58" s="121"/>
      <c r="BL58" s="121"/>
      <c r="BM58" s="121"/>
      <c r="BN58" s="121"/>
      <c r="BO58" s="121"/>
    </row>
    <row r="59" spans="2:67" ht="12.75">
      <c r="C59" s="177"/>
      <c r="D59" s="179" t="s">
        <v>627</v>
      </c>
      <c r="E59" s="180" t="s">
        <v>264</v>
      </c>
      <c r="F59" s="178">
        <f t="shared" ref="F59:BH59" si="3">F57+F58</f>
        <v>0</v>
      </c>
      <c r="G59" s="178">
        <f t="shared" si="3"/>
        <v>0</v>
      </c>
      <c r="H59" s="178">
        <f t="shared" si="3"/>
        <v>0</v>
      </c>
      <c r="I59" s="178">
        <f t="shared" si="3"/>
        <v>0</v>
      </c>
      <c r="J59" s="178">
        <f t="shared" si="3"/>
        <v>0</v>
      </c>
      <c r="K59" s="178">
        <f t="shared" si="3"/>
        <v>0</v>
      </c>
      <c r="L59" s="178">
        <f t="shared" si="3"/>
        <v>0</v>
      </c>
      <c r="M59" s="178">
        <f t="shared" si="3"/>
        <v>0</v>
      </c>
      <c r="N59" s="178">
        <f t="shared" si="3"/>
        <v>0</v>
      </c>
      <c r="O59" s="178">
        <f t="shared" si="3"/>
        <v>0</v>
      </c>
      <c r="P59" s="178">
        <f t="shared" si="3"/>
        <v>0</v>
      </c>
      <c r="Q59" s="178">
        <f t="shared" si="3"/>
        <v>0</v>
      </c>
      <c r="R59" s="178">
        <f t="shared" si="3"/>
        <v>0</v>
      </c>
      <c r="S59" s="178">
        <f t="shared" si="3"/>
        <v>0</v>
      </c>
      <c r="T59" s="178">
        <f t="shared" si="3"/>
        <v>0</v>
      </c>
      <c r="U59" s="178">
        <f t="shared" si="3"/>
        <v>0</v>
      </c>
      <c r="V59" s="178">
        <f t="shared" si="3"/>
        <v>0</v>
      </c>
      <c r="W59" s="178">
        <f t="shared" si="3"/>
        <v>0</v>
      </c>
      <c r="X59" s="178">
        <f t="shared" si="3"/>
        <v>0</v>
      </c>
      <c r="Y59" s="178">
        <f t="shared" si="3"/>
        <v>0</v>
      </c>
      <c r="Z59" s="178">
        <f t="shared" si="3"/>
        <v>0</v>
      </c>
      <c r="AA59" s="178">
        <f t="shared" si="3"/>
        <v>0</v>
      </c>
      <c r="AB59" s="178">
        <f t="shared" si="3"/>
        <v>0</v>
      </c>
      <c r="AC59" s="178">
        <f t="shared" si="3"/>
        <v>0</v>
      </c>
      <c r="AD59" s="178">
        <f t="shared" si="3"/>
        <v>0</v>
      </c>
      <c r="AE59" s="178">
        <f t="shared" si="3"/>
        <v>0</v>
      </c>
      <c r="AF59" s="178">
        <f t="shared" si="3"/>
        <v>0</v>
      </c>
      <c r="AG59" s="178">
        <f t="shared" si="3"/>
        <v>0</v>
      </c>
      <c r="AH59" s="178">
        <f t="shared" si="3"/>
        <v>0</v>
      </c>
      <c r="AI59" s="178">
        <f t="shared" si="3"/>
        <v>0</v>
      </c>
      <c r="AJ59" s="178">
        <f t="shared" si="3"/>
        <v>0</v>
      </c>
      <c r="AK59" s="178">
        <f t="shared" si="3"/>
        <v>0</v>
      </c>
      <c r="AL59" s="178">
        <f t="shared" si="3"/>
        <v>0</v>
      </c>
      <c r="AM59" s="178">
        <f t="shared" si="3"/>
        <v>0</v>
      </c>
      <c r="AN59" s="178">
        <f t="shared" si="3"/>
        <v>0</v>
      </c>
      <c r="AO59" s="178">
        <f t="shared" si="3"/>
        <v>0</v>
      </c>
      <c r="AP59" s="178">
        <f t="shared" si="3"/>
        <v>0</v>
      </c>
      <c r="AQ59" s="178">
        <f t="shared" si="3"/>
        <v>0</v>
      </c>
      <c r="AR59" s="178">
        <f t="shared" si="3"/>
        <v>0</v>
      </c>
      <c r="AS59" s="178">
        <f t="shared" si="3"/>
        <v>0</v>
      </c>
      <c r="AT59" s="178">
        <f t="shared" si="3"/>
        <v>0</v>
      </c>
      <c r="AU59" s="178">
        <f t="shared" si="3"/>
        <v>0</v>
      </c>
      <c r="AV59" s="178">
        <f t="shared" si="3"/>
        <v>0</v>
      </c>
      <c r="AW59" s="178">
        <f t="shared" si="3"/>
        <v>0</v>
      </c>
      <c r="AX59" s="178">
        <f t="shared" si="3"/>
        <v>0</v>
      </c>
      <c r="AY59" s="178">
        <f t="shared" si="3"/>
        <v>0</v>
      </c>
      <c r="AZ59" s="178">
        <f t="shared" si="3"/>
        <v>0</v>
      </c>
      <c r="BA59" s="178">
        <f t="shared" si="3"/>
        <v>0</v>
      </c>
      <c r="BB59" s="178">
        <f t="shared" si="3"/>
        <v>0</v>
      </c>
      <c r="BC59" s="178">
        <f t="shared" si="3"/>
        <v>0</v>
      </c>
      <c r="BD59" s="178">
        <f t="shared" si="3"/>
        <v>0</v>
      </c>
      <c r="BE59" s="178">
        <f t="shared" si="3"/>
        <v>0</v>
      </c>
      <c r="BF59" s="178">
        <f t="shared" si="3"/>
        <v>0</v>
      </c>
      <c r="BG59" s="178">
        <f t="shared" si="3"/>
        <v>0</v>
      </c>
      <c r="BH59" s="178">
        <f t="shared" si="3"/>
        <v>0</v>
      </c>
      <c r="BI59" s="175">
        <f>NPV($D$49,F59:BH59)</f>
        <v>0</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4">F59-F55</f>
        <v>0</v>
      </c>
      <c r="G62" s="185">
        <f t="shared" si="4"/>
        <v>0</v>
      </c>
      <c r="H62" s="185" t="e">
        <f t="shared" si="4"/>
        <v>#NUM!</v>
      </c>
      <c r="I62" s="185" t="e">
        <f t="shared" si="4"/>
        <v>#NUM!</v>
      </c>
      <c r="J62" s="185" t="e">
        <f t="shared" si="4"/>
        <v>#NUM!</v>
      </c>
      <c r="K62" s="185" t="e">
        <f t="shared" si="4"/>
        <v>#NUM!</v>
      </c>
      <c r="L62" s="185" t="e">
        <f t="shared" si="4"/>
        <v>#NUM!</v>
      </c>
      <c r="M62" s="185" t="e">
        <f t="shared" si="4"/>
        <v>#NUM!</v>
      </c>
      <c r="N62" s="185" t="e">
        <f t="shared" si="4"/>
        <v>#NUM!</v>
      </c>
      <c r="O62" s="185" t="e">
        <f t="shared" si="4"/>
        <v>#NUM!</v>
      </c>
      <c r="P62" s="185" t="e">
        <f t="shared" si="4"/>
        <v>#NUM!</v>
      </c>
      <c r="Q62" s="185" t="e">
        <f t="shared" si="4"/>
        <v>#NUM!</v>
      </c>
      <c r="R62" s="185" t="e">
        <f t="shared" si="4"/>
        <v>#NUM!</v>
      </c>
      <c r="S62" s="696" t="e">
        <f t="shared" si="4"/>
        <v>#NUM!</v>
      </c>
      <c r="T62" s="696" t="e">
        <f t="shared" si="4"/>
        <v>#NUM!</v>
      </c>
      <c r="U62" s="696" t="e">
        <f t="shared" si="4"/>
        <v>#NUM!</v>
      </c>
      <c r="V62" s="696" t="e">
        <f t="shared" si="4"/>
        <v>#NUM!</v>
      </c>
      <c r="W62" s="696" t="e">
        <f t="shared" si="4"/>
        <v>#NUM!</v>
      </c>
      <c r="X62" s="696" t="e">
        <f t="shared" si="4"/>
        <v>#NUM!</v>
      </c>
      <c r="Y62" s="696" t="e">
        <f t="shared" si="4"/>
        <v>#NUM!</v>
      </c>
      <c r="Z62" s="696" t="e">
        <f t="shared" si="4"/>
        <v>#NUM!</v>
      </c>
      <c r="AA62" s="696" t="e">
        <f t="shared" si="4"/>
        <v>#NUM!</v>
      </c>
      <c r="AB62" s="696" t="e">
        <f t="shared" si="4"/>
        <v>#NUM!</v>
      </c>
      <c r="AC62" s="696">
        <f t="shared" si="4"/>
        <v>0</v>
      </c>
      <c r="AD62" s="696">
        <f t="shared" si="4"/>
        <v>0</v>
      </c>
      <c r="AE62" s="696">
        <f t="shared" si="4"/>
        <v>0</v>
      </c>
      <c r="AF62" s="696">
        <f t="shared" si="4"/>
        <v>0</v>
      </c>
      <c r="AG62" s="696">
        <f t="shared" si="4"/>
        <v>0</v>
      </c>
      <c r="AH62" s="696">
        <f t="shared" si="4"/>
        <v>0</v>
      </c>
      <c r="AI62" s="696">
        <f t="shared" si="4"/>
        <v>0</v>
      </c>
      <c r="AJ62" s="696">
        <f t="shared" si="4"/>
        <v>0</v>
      </c>
      <c r="AK62" s="696">
        <f t="shared" si="4"/>
        <v>0</v>
      </c>
      <c r="AL62" s="696">
        <f t="shared" si="4"/>
        <v>0</v>
      </c>
      <c r="AM62" s="696">
        <f t="shared" si="4"/>
        <v>0</v>
      </c>
      <c r="AN62" s="696">
        <f t="shared" si="4"/>
        <v>0</v>
      </c>
      <c r="AO62" s="696">
        <f t="shared" si="4"/>
        <v>0</v>
      </c>
      <c r="AP62" s="696">
        <f t="shared" si="4"/>
        <v>0</v>
      </c>
      <c r="AQ62" s="696">
        <f t="shared" si="4"/>
        <v>0</v>
      </c>
      <c r="AR62" s="696">
        <f t="shared" si="4"/>
        <v>0</v>
      </c>
      <c r="AS62" s="696">
        <f t="shared" si="4"/>
        <v>0</v>
      </c>
      <c r="AT62" s="696">
        <f t="shared" si="4"/>
        <v>0</v>
      </c>
      <c r="AU62" s="696">
        <f t="shared" si="4"/>
        <v>0</v>
      </c>
      <c r="AV62" s="696">
        <f t="shared" si="4"/>
        <v>0</v>
      </c>
      <c r="AW62" s="696">
        <f t="shared" si="4"/>
        <v>0</v>
      </c>
      <c r="AX62" s="696">
        <f t="shared" si="4"/>
        <v>0</v>
      </c>
      <c r="AY62" s="696">
        <f t="shared" si="4"/>
        <v>0</v>
      </c>
      <c r="AZ62" s="696">
        <f t="shared" si="4"/>
        <v>0</v>
      </c>
      <c r="BA62" s="696">
        <f t="shared" si="4"/>
        <v>0</v>
      </c>
      <c r="BB62" s="696">
        <f t="shared" si="4"/>
        <v>0</v>
      </c>
      <c r="BC62" s="696">
        <f t="shared" si="4"/>
        <v>0</v>
      </c>
      <c r="BD62" s="696">
        <f t="shared" si="4"/>
        <v>0</v>
      </c>
      <c r="BE62" s="696">
        <f t="shared" si="4"/>
        <v>0</v>
      </c>
      <c r="BF62" s="696">
        <f t="shared" si="4"/>
        <v>0</v>
      </c>
      <c r="BG62" s="696">
        <f t="shared" si="4"/>
        <v>0</v>
      </c>
      <c r="BH62" s="696">
        <f t="shared" si="4"/>
        <v>0</v>
      </c>
      <c r="BI62" s="175" t="e">
        <f>NPV($D$49,F62:BH62)</f>
        <v>#NUM!</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5">F65+1</f>
        <v>2015</v>
      </c>
      <c r="H65" s="171">
        <f t="shared" si="5"/>
        <v>2016</v>
      </c>
      <c r="I65" s="171">
        <f t="shared" si="5"/>
        <v>2017</v>
      </c>
      <c r="J65" s="171">
        <f t="shared" si="5"/>
        <v>2018</v>
      </c>
      <c r="K65" s="171">
        <f t="shared" si="5"/>
        <v>2019</v>
      </c>
      <c r="L65" s="171">
        <f t="shared" si="5"/>
        <v>2020</v>
      </c>
      <c r="M65" s="171">
        <f t="shared" si="5"/>
        <v>2021</v>
      </c>
      <c r="N65" s="171">
        <f t="shared" si="5"/>
        <v>2022</v>
      </c>
      <c r="O65" s="171">
        <f t="shared" si="5"/>
        <v>2023</v>
      </c>
      <c r="P65" s="171">
        <f t="shared" si="5"/>
        <v>2024</v>
      </c>
      <c r="Q65" s="171">
        <f t="shared" si="5"/>
        <v>2025</v>
      </c>
      <c r="R65" s="171">
        <f t="shared" si="5"/>
        <v>2026</v>
      </c>
      <c r="S65" s="306">
        <f t="shared" si="5"/>
        <v>2027</v>
      </c>
      <c r="T65" s="306">
        <f t="shared" si="5"/>
        <v>2028</v>
      </c>
      <c r="U65" s="306">
        <f t="shared" si="5"/>
        <v>2029</v>
      </c>
      <c r="V65" s="306">
        <f t="shared" si="5"/>
        <v>2030</v>
      </c>
      <c r="W65" s="306">
        <f t="shared" si="5"/>
        <v>2031</v>
      </c>
      <c r="X65" s="306">
        <f t="shared" si="5"/>
        <v>2032</v>
      </c>
      <c r="Y65" s="306">
        <f t="shared" si="5"/>
        <v>2033</v>
      </c>
      <c r="Z65" s="306">
        <f t="shared" si="5"/>
        <v>2034</v>
      </c>
      <c r="AA65" s="306">
        <f t="shared" si="5"/>
        <v>2035</v>
      </c>
      <c r="AB65" s="306">
        <f t="shared" si="5"/>
        <v>2036</v>
      </c>
      <c r="AC65" s="306">
        <f t="shared" si="5"/>
        <v>2037</v>
      </c>
      <c r="AD65" s="306">
        <f t="shared" si="5"/>
        <v>2038</v>
      </c>
      <c r="AE65" s="306">
        <f t="shared" si="5"/>
        <v>2039</v>
      </c>
      <c r="AF65" s="306">
        <f t="shared" si="5"/>
        <v>2040</v>
      </c>
      <c r="AG65" s="306">
        <f t="shared" si="5"/>
        <v>2041</v>
      </c>
      <c r="AH65" s="306">
        <f t="shared" si="5"/>
        <v>2042</v>
      </c>
      <c r="AI65" s="306">
        <f t="shared" si="5"/>
        <v>2043</v>
      </c>
      <c r="AJ65" s="306">
        <f t="shared" si="5"/>
        <v>2044</v>
      </c>
      <c r="AK65" s="306">
        <f t="shared" si="5"/>
        <v>2045</v>
      </c>
      <c r="AL65" s="306">
        <f t="shared" si="5"/>
        <v>2046</v>
      </c>
      <c r="AM65" s="306">
        <f t="shared" si="5"/>
        <v>2047</v>
      </c>
      <c r="AN65" s="306">
        <f t="shared" si="5"/>
        <v>2048</v>
      </c>
      <c r="AO65" s="306">
        <f t="shared" si="5"/>
        <v>2049</v>
      </c>
      <c r="AP65" s="306">
        <f t="shared" si="5"/>
        <v>2050</v>
      </c>
      <c r="AQ65" s="306">
        <f t="shared" si="5"/>
        <v>2051</v>
      </c>
      <c r="AR65" s="306">
        <f t="shared" si="5"/>
        <v>2052</v>
      </c>
      <c r="AS65" s="306">
        <f t="shared" si="5"/>
        <v>2053</v>
      </c>
      <c r="AT65" s="306">
        <f t="shared" si="5"/>
        <v>2054</v>
      </c>
      <c r="AU65" s="306">
        <f t="shared" si="5"/>
        <v>2055</v>
      </c>
      <c r="AV65" s="306">
        <f t="shared" si="5"/>
        <v>2056</v>
      </c>
      <c r="AW65" s="306">
        <f t="shared" si="5"/>
        <v>2057</v>
      </c>
      <c r="AX65" s="306">
        <f t="shared" si="5"/>
        <v>2058</v>
      </c>
      <c r="AY65" s="306">
        <f t="shared" si="5"/>
        <v>2059</v>
      </c>
      <c r="AZ65" s="306">
        <f t="shared" si="5"/>
        <v>2060</v>
      </c>
      <c r="BA65" s="306">
        <f t="shared" si="5"/>
        <v>2061</v>
      </c>
      <c r="BB65" s="306">
        <f t="shared" si="5"/>
        <v>2062</v>
      </c>
      <c r="BC65" s="306">
        <f t="shared" si="5"/>
        <v>2063</v>
      </c>
      <c r="BD65" s="306">
        <f t="shared" si="5"/>
        <v>2064</v>
      </c>
      <c r="BE65" s="306">
        <f t="shared" si="5"/>
        <v>2065</v>
      </c>
      <c r="BF65" s="306">
        <f t="shared" si="5"/>
        <v>2066</v>
      </c>
      <c r="BG65" s="306">
        <f t="shared" si="5"/>
        <v>2067</v>
      </c>
      <c r="BH65" s="306">
        <f t="shared" si="5"/>
        <v>2068</v>
      </c>
      <c r="BI65" s="695" t="s">
        <v>4</v>
      </c>
      <c r="BJ65" s="121"/>
      <c r="BK65" s="121"/>
      <c r="BL65" s="121"/>
      <c r="BM65" s="121"/>
      <c r="BN65" s="121"/>
      <c r="BO65" s="121"/>
    </row>
    <row r="66" spans="2:67" ht="12.75">
      <c r="C66" s="2005" t="s">
        <v>284</v>
      </c>
      <c r="D66" s="2006"/>
      <c r="E66" s="200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IF(AND(F54&gt;=$D$31,F54&lt;=($D$31+$D$32)),$P$21,0)</f>
        <v>0</v>
      </c>
      <c r="G67" s="189">
        <f>IF(AND(G54&gt;=$D$31,G54&lt;=($D$31+$D$32)),$P$21,0)</f>
        <v>0</v>
      </c>
      <c r="H67" s="189">
        <f t="shared" ref="H67:BH67" si="6">IF(AND(H54&gt;=$D$31,H54&lt;=($D$31+$D$32)),$P$21,0)</f>
        <v>0</v>
      </c>
      <c r="I67" s="189">
        <f t="shared" si="6"/>
        <v>0</v>
      </c>
      <c r="J67" s="189">
        <f t="shared" si="6"/>
        <v>0</v>
      </c>
      <c r="K67" s="189">
        <f t="shared" si="6"/>
        <v>0</v>
      </c>
      <c r="L67" s="189">
        <f t="shared" si="6"/>
        <v>0</v>
      </c>
      <c r="M67" s="189">
        <f t="shared" si="6"/>
        <v>0</v>
      </c>
      <c r="N67" s="189">
        <f t="shared" si="6"/>
        <v>0</v>
      </c>
      <c r="O67" s="189">
        <f t="shared" si="6"/>
        <v>0</v>
      </c>
      <c r="P67" s="189">
        <f t="shared" si="6"/>
        <v>0</v>
      </c>
      <c r="Q67" s="189">
        <f t="shared" si="6"/>
        <v>0</v>
      </c>
      <c r="R67" s="189">
        <f t="shared" si="6"/>
        <v>0</v>
      </c>
      <c r="S67" s="189">
        <f t="shared" si="6"/>
        <v>0</v>
      </c>
      <c r="T67" s="189">
        <f t="shared" si="6"/>
        <v>0</v>
      </c>
      <c r="U67" s="189">
        <f t="shared" si="6"/>
        <v>0</v>
      </c>
      <c r="V67" s="189">
        <f t="shared" si="6"/>
        <v>0</v>
      </c>
      <c r="W67" s="189">
        <f t="shared" si="6"/>
        <v>0</v>
      </c>
      <c r="X67" s="189">
        <f t="shared" si="6"/>
        <v>0</v>
      </c>
      <c r="Y67" s="189">
        <f t="shared" si="6"/>
        <v>0</v>
      </c>
      <c r="Z67" s="189">
        <f t="shared" si="6"/>
        <v>0</v>
      </c>
      <c r="AA67" s="189">
        <f t="shared" si="6"/>
        <v>0</v>
      </c>
      <c r="AB67" s="189">
        <f t="shared" si="6"/>
        <v>0</v>
      </c>
      <c r="AC67" s="189">
        <f t="shared" si="6"/>
        <v>0</v>
      </c>
      <c r="AD67" s="189">
        <f t="shared" si="6"/>
        <v>0</v>
      </c>
      <c r="AE67" s="189">
        <f t="shared" si="6"/>
        <v>0</v>
      </c>
      <c r="AF67" s="189">
        <f t="shared" si="6"/>
        <v>0</v>
      </c>
      <c r="AG67" s="189">
        <f t="shared" si="6"/>
        <v>0</v>
      </c>
      <c r="AH67" s="189">
        <f t="shared" si="6"/>
        <v>0</v>
      </c>
      <c r="AI67" s="189">
        <f t="shared" si="6"/>
        <v>0</v>
      </c>
      <c r="AJ67" s="189">
        <f t="shared" si="6"/>
        <v>0</v>
      </c>
      <c r="AK67" s="189">
        <f t="shared" si="6"/>
        <v>0</v>
      </c>
      <c r="AL67" s="189">
        <f t="shared" si="6"/>
        <v>0</v>
      </c>
      <c r="AM67" s="189">
        <f t="shared" si="6"/>
        <v>0</v>
      </c>
      <c r="AN67" s="189">
        <f t="shared" si="6"/>
        <v>0</v>
      </c>
      <c r="AO67" s="189">
        <f t="shared" si="6"/>
        <v>0</v>
      </c>
      <c r="AP67" s="189">
        <f t="shared" si="6"/>
        <v>0</v>
      </c>
      <c r="AQ67" s="189">
        <f t="shared" si="6"/>
        <v>0</v>
      </c>
      <c r="AR67" s="189">
        <f t="shared" si="6"/>
        <v>0</v>
      </c>
      <c r="AS67" s="189">
        <f t="shared" si="6"/>
        <v>0</v>
      </c>
      <c r="AT67" s="189">
        <f t="shared" si="6"/>
        <v>0</v>
      </c>
      <c r="AU67" s="189">
        <f t="shared" si="6"/>
        <v>0</v>
      </c>
      <c r="AV67" s="189">
        <f t="shared" si="6"/>
        <v>0</v>
      </c>
      <c r="AW67" s="189">
        <f t="shared" si="6"/>
        <v>0</v>
      </c>
      <c r="AX67" s="189">
        <f t="shared" si="6"/>
        <v>0</v>
      </c>
      <c r="AY67" s="189">
        <f t="shared" si="6"/>
        <v>0</v>
      </c>
      <c r="AZ67" s="189">
        <f t="shared" si="6"/>
        <v>0</v>
      </c>
      <c r="BA67" s="189">
        <f t="shared" si="6"/>
        <v>0</v>
      </c>
      <c r="BB67" s="189">
        <f t="shared" si="6"/>
        <v>0</v>
      </c>
      <c r="BC67" s="189">
        <f t="shared" si="6"/>
        <v>0</v>
      </c>
      <c r="BD67" s="189">
        <f t="shared" si="6"/>
        <v>0</v>
      </c>
      <c r="BE67" s="189">
        <f t="shared" si="6"/>
        <v>0</v>
      </c>
      <c r="BF67" s="189">
        <f t="shared" si="6"/>
        <v>0</v>
      </c>
      <c r="BG67" s="189">
        <f t="shared" si="6"/>
        <v>0</v>
      </c>
      <c r="BH67" s="189">
        <f t="shared" si="6"/>
        <v>0</v>
      </c>
      <c r="BI67" s="188"/>
      <c r="BJ67" s="121"/>
      <c r="BK67" s="121"/>
      <c r="BL67" s="121"/>
      <c r="BM67" s="121"/>
      <c r="BN67" s="121"/>
      <c r="BO67" s="121"/>
    </row>
    <row r="68" spans="2:67" ht="12.75">
      <c r="C68" s="172" t="s">
        <v>277</v>
      </c>
      <c r="D68" s="121" t="s">
        <v>564</v>
      </c>
      <c r="E68" s="121" t="s">
        <v>264</v>
      </c>
      <c r="F68" s="176">
        <v>0</v>
      </c>
      <c r="G68" s="176">
        <f>IF(AND(G54&gt;=$D$31,G54&lt;=($D$31+$D$32)),$P$30,0)</f>
        <v>0</v>
      </c>
      <c r="H68" s="176">
        <f t="shared" ref="H68:BH68" si="7">IF(AND(H54&gt;=$D$31,H54&lt;=($D$31+$D$32)),$P$30,0)</f>
        <v>0</v>
      </c>
      <c r="I68" s="176">
        <f t="shared" si="7"/>
        <v>0</v>
      </c>
      <c r="J68" s="176">
        <f t="shared" si="7"/>
        <v>0</v>
      </c>
      <c r="K68" s="176">
        <f t="shared" si="7"/>
        <v>0</v>
      </c>
      <c r="L68" s="176">
        <f t="shared" si="7"/>
        <v>0</v>
      </c>
      <c r="M68" s="176">
        <f t="shared" si="7"/>
        <v>0</v>
      </c>
      <c r="N68" s="176">
        <f t="shared" si="7"/>
        <v>0</v>
      </c>
      <c r="O68" s="176">
        <f t="shared" si="7"/>
        <v>0</v>
      </c>
      <c r="P68" s="176">
        <f t="shared" si="7"/>
        <v>0</v>
      </c>
      <c r="Q68" s="176">
        <f t="shared" si="7"/>
        <v>0</v>
      </c>
      <c r="R68" s="176">
        <f t="shared" si="7"/>
        <v>0</v>
      </c>
      <c r="S68" s="176">
        <f t="shared" si="7"/>
        <v>0</v>
      </c>
      <c r="T68" s="176">
        <f t="shared" si="7"/>
        <v>0</v>
      </c>
      <c r="U68" s="176">
        <f t="shared" si="7"/>
        <v>0</v>
      </c>
      <c r="V68" s="176">
        <f t="shared" si="7"/>
        <v>0</v>
      </c>
      <c r="W68" s="176">
        <f t="shared" si="7"/>
        <v>0</v>
      </c>
      <c r="X68" s="176">
        <f t="shared" si="7"/>
        <v>0</v>
      </c>
      <c r="Y68" s="176">
        <f t="shared" si="7"/>
        <v>0</v>
      </c>
      <c r="Z68" s="176">
        <f t="shared" si="7"/>
        <v>0</v>
      </c>
      <c r="AA68" s="176">
        <f t="shared" si="7"/>
        <v>0</v>
      </c>
      <c r="AB68" s="176">
        <f t="shared" si="7"/>
        <v>0</v>
      </c>
      <c r="AC68" s="176">
        <f t="shared" si="7"/>
        <v>0</v>
      </c>
      <c r="AD68" s="176">
        <f t="shared" si="7"/>
        <v>0</v>
      </c>
      <c r="AE68" s="176">
        <f t="shared" si="7"/>
        <v>0</v>
      </c>
      <c r="AF68" s="176">
        <f t="shared" si="7"/>
        <v>0</v>
      </c>
      <c r="AG68" s="176">
        <f t="shared" si="7"/>
        <v>0</v>
      </c>
      <c r="AH68" s="176">
        <f t="shared" si="7"/>
        <v>0</v>
      </c>
      <c r="AI68" s="176">
        <f t="shared" si="7"/>
        <v>0</v>
      </c>
      <c r="AJ68" s="176">
        <f t="shared" si="7"/>
        <v>0</v>
      </c>
      <c r="AK68" s="176">
        <f t="shared" si="7"/>
        <v>0</v>
      </c>
      <c r="AL68" s="176">
        <f t="shared" si="7"/>
        <v>0</v>
      </c>
      <c r="AM68" s="176">
        <f t="shared" si="7"/>
        <v>0</v>
      </c>
      <c r="AN68" s="176">
        <f t="shared" si="7"/>
        <v>0</v>
      </c>
      <c r="AO68" s="176">
        <f t="shared" si="7"/>
        <v>0</v>
      </c>
      <c r="AP68" s="176">
        <f t="shared" si="7"/>
        <v>0</v>
      </c>
      <c r="AQ68" s="176">
        <f t="shared" si="7"/>
        <v>0</v>
      </c>
      <c r="AR68" s="176">
        <f t="shared" si="7"/>
        <v>0</v>
      </c>
      <c r="AS68" s="176">
        <f t="shared" si="7"/>
        <v>0</v>
      </c>
      <c r="AT68" s="176">
        <f t="shared" si="7"/>
        <v>0</v>
      </c>
      <c r="AU68" s="176">
        <f t="shared" si="7"/>
        <v>0</v>
      </c>
      <c r="AV68" s="176">
        <f t="shared" si="7"/>
        <v>0</v>
      </c>
      <c r="AW68" s="176">
        <f t="shared" si="7"/>
        <v>0</v>
      </c>
      <c r="AX68" s="176">
        <f t="shared" si="7"/>
        <v>0</v>
      </c>
      <c r="AY68" s="176">
        <f t="shared" si="7"/>
        <v>0</v>
      </c>
      <c r="AZ68" s="176">
        <f t="shared" si="7"/>
        <v>0</v>
      </c>
      <c r="BA68" s="176">
        <f t="shared" si="7"/>
        <v>0</v>
      </c>
      <c r="BB68" s="176">
        <f t="shared" si="7"/>
        <v>0</v>
      </c>
      <c r="BC68" s="176">
        <f t="shared" si="7"/>
        <v>0</v>
      </c>
      <c r="BD68" s="176">
        <f t="shared" si="7"/>
        <v>0</v>
      </c>
      <c r="BE68" s="176">
        <f t="shared" si="7"/>
        <v>0</v>
      </c>
      <c r="BF68" s="176">
        <f t="shared" si="7"/>
        <v>0</v>
      </c>
      <c r="BG68" s="176">
        <f t="shared" si="7"/>
        <v>0</v>
      </c>
      <c r="BH68" s="176">
        <f t="shared" si="7"/>
        <v>0</v>
      </c>
      <c r="BI68" s="175">
        <f>NPV($D$49,F68:BH68)</f>
        <v>0</v>
      </c>
      <c r="BJ68" s="121"/>
      <c r="BK68" s="121"/>
      <c r="BL68" s="121"/>
      <c r="BM68" s="121"/>
      <c r="BN68" s="121"/>
      <c r="BO68" s="121"/>
    </row>
    <row r="69" spans="2:67" ht="12.75">
      <c r="C69" s="190"/>
      <c r="D69" s="121" t="s">
        <v>565</v>
      </c>
      <c r="E69" s="121" t="s">
        <v>264</v>
      </c>
      <c r="F69" s="191">
        <f>IF(AND(F54&gt;=$D$31,F54&lt;=($D$31+$D$32)),$P$29*O17,0)</f>
        <v>0</v>
      </c>
      <c r="G69" s="191">
        <f>IF(AND(G54&gt;=$D$31,G54&lt;=($D$31+$D$32)),$P$29*P17,0)</f>
        <v>0</v>
      </c>
      <c r="H69" s="191">
        <f>IF(AND(H54&gt;=$D$31,H54&lt;=($D$31+$D$32)),$P$29,0)</f>
        <v>0</v>
      </c>
      <c r="I69" s="191">
        <f>IF(AND(I54&gt;=$D$31,I54&lt;=($D$31+$D$32)),$P$29*Q17,0)</f>
        <v>0</v>
      </c>
      <c r="J69" s="191">
        <f>IF(AND(J54&gt;=$D$31,J54&lt;=($D$31+$D$32)),$P$29*R17,0)</f>
        <v>0</v>
      </c>
      <c r="K69" s="191">
        <f t="shared" ref="K69:AP69" si="8">IF(AND(K54&gt;=$D$31,K54&lt;=($D$31+$D$32)),$P$29*T17,0)</f>
        <v>0</v>
      </c>
      <c r="L69" s="191">
        <f t="shared" si="8"/>
        <v>0</v>
      </c>
      <c r="M69" s="191">
        <f t="shared" si="8"/>
        <v>0</v>
      </c>
      <c r="N69" s="191">
        <f t="shared" si="8"/>
        <v>0</v>
      </c>
      <c r="O69" s="191">
        <f t="shared" si="8"/>
        <v>0</v>
      </c>
      <c r="P69" s="191">
        <f t="shared" si="8"/>
        <v>0</v>
      </c>
      <c r="Q69" s="191">
        <f t="shared" si="8"/>
        <v>0</v>
      </c>
      <c r="R69" s="191">
        <f t="shared" si="8"/>
        <v>0</v>
      </c>
      <c r="S69" s="191">
        <f t="shared" si="8"/>
        <v>0</v>
      </c>
      <c r="T69" s="191">
        <f t="shared" si="8"/>
        <v>0</v>
      </c>
      <c r="U69" s="191">
        <f t="shared" si="8"/>
        <v>0</v>
      </c>
      <c r="V69" s="191">
        <f t="shared" si="8"/>
        <v>0</v>
      </c>
      <c r="W69" s="191">
        <f t="shared" si="8"/>
        <v>0</v>
      </c>
      <c r="X69" s="191">
        <f t="shared" si="8"/>
        <v>0</v>
      </c>
      <c r="Y69" s="191">
        <f t="shared" si="8"/>
        <v>0</v>
      </c>
      <c r="Z69" s="191">
        <f t="shared" si="8"/>
        <v>0</v>
      </c>
      <c r="AA69" s="191">
        <f t="shared" si="8"/>
        <v>0</v>
      </c>
      <c r="AB69" s="191">
        <f t="shared" si="8"/>
        <v>0</v>
      </c>
      <c r="AC69" s="191">
        <f t="shared" si="8"/>
        <v>0</v>
      </c>
      <c r="AD69" s="191">
        <f t="shared" si="8"/>
        <v>0</v>
      </c>
      <c r="AE69" s="191">
        <f t="shared" si="8"/>
        <v>0</v>
      </c>
      <c r="AF69" s="191">
        <f t="shared" si="8"/>
        <v>0</v>
      </c>
      <c r="AG69" s="191">
        <f t="shared" si="8"/>
        <v>0</v>
      </c>
      <c r="AH69" s="191">
        <f t="shared" si="8"/>
        <v>0</v>
      </c>
      <c r="AI69" s="191">
        <f t="shared" si="8"/>
        <v>0</v>
      </c>
      <c r="AJ69" s="191">
        <f t="shared" si="8"/>
        <v>0</v>
      </c>
      <c r="AK69" s="191">
        <f t="shared" si="8"/>
        <v>0</v>
      </c>
      <c r="AL69" s="191">
        <f t="shared" si="8"/>
        <v>0</v>
      </c>
      <c r="AM69" s="191">
        <f t="shared" si="8"/>
        <v>0</v>
      </c>
      <c r="AN69" s="191">
        <f t="shared" si="8"/>
        <v>0</v>
      </c>
      <c r="AO69" s="191">
        <f t="shared" si="8"/>
        <v>0</v>
      </c>
      <c r="AP69" s="191">
        <f t="shared" si="8"/>
        <v>0</v>
      </c>
      <c r="AQ69" s="191">
        <f t="shared" ref="AQ69:BH69" si="9">IF(AND(AQ54&gt;=$D$31,AQ54&lt;=($D$31+$D$32)),$P$29*AZ17,0)</f>
        <v>0</v>
      </c>
      <c r="AR69" s="191">
        <f t="shared" si="9"/>
        <v>0</v>
      </c>
      <c r="AS69" s="191">
        <f t="shared" si="9"/>
        <v>0</v>
      </c>
      <c r="AT69" s="191">
        <f t="shared" si="9"/>
        <v>0</v>
      </c>
      <c r="AU69" s="191">
        <f t="shared" si="9"/>
        <v>0</v>
      </c>
      <c r="AV69" s="191">
        <f t="shared" si="9"/>
        <v>0</v>
      </c>
      <c r="AW69" s="191">
        <f t="shared" si="9"/>
        <v>0</v>
      </c>
      <c r="AX69" s="191">
        <f t="shared" si="9"/>
        <v>0</v>
      </c>
      <c r="AY69" s="191">
        <f t="shared" si="9"/>
        <v>0</v>
      </c>
      <c r="AZ69" s="191">
        <f t="shared" si="9"/>
        <v>0</v>
      </c>
      <c r="BA69" s="191">
        <f t="shared" si="9"/>
        <v>0</v>
      </c>
      <c r="BB69" s="191">
        <f t="shared" si="9"/>
        <v>0</v>
      </c>
      <c r="BC69" s="191">
        <f t="shared" si="9"/>
        <v>0</v>
      </c>
      <c r="BD69" s="191">
        <f t="shared" si="9"/>
        <v>0</v>
      </c>
      <c r="BE69" s="191">
        <f t="shared" si="9"/>
        <v>0</v>
      </c>
      <c r="BF69" s="191">
        <f t="shared" si="9"/>
        <v>0</v>
      </c>
      <c r="BG69" s="191">
        <f t="shared" si="9"/>
        <v>0</v>
      </c>
      <c r="BH69" s="191">
        <f t="shared" si="9"/>
        <v>0</v>
      </c>
      <c r="BI69" s="175">
        <f>NPV($D$49,F69:BH69)</f>
        <v>0</v>
      </c>
      <c r="BJ69" s="121"/>
      <c r="BK69" s="121"/>
      <c r="BL69" s="121"/>
      <c r="BM69" s="121"/>
      <c r="BN69" s="121"/>
      <c r="BO69" s="121"/>
    </row>
    <row r="70" spans="2:67" s="192" customFormat="1" ht="12.75">
      <c r="B70" s="193"/>
      <c r="C70" s="177"/>
      <c r="D70" s="180" t="s">
        <v>371</v>
      </c>
      <c r="E70" s="180" t="s">
        <v>264</v>
      </c>
      <c r="F70" s="194">
        <f t="shared" ref="F70:AK70" si="10">F68+F69</f>
        <v>0</v>
      </c>
      <c r="G70" s="194">
        <f t="shared" si="10"/>
        <v>0</v>
      </c>
      <c r="H70" s="194">
        <f t="shared" si="10"/>
        <v>0</v>
      </c>
      <c r="I70" s="194">
        <f t="shared" si="10"/>
        <v>0</v>
      </c>
      <c r="J70" s="194">
        <f t="shared" si="10"/>
        <v>0</v>
      </c>
      <c r="K70" s="194">
        <f t="shared" si="10"/>
        <v>0</v>
      </c>
      <c r="L70" s="194">
        <f t="shared" si="10"/>
        <v>0</v>
      </c>
      <c r="M70" s="194">
        <f t="shared" si="10"/>
        <v>0</v>
      </c>
      <c r="N70" s="194">
        <f t="shared" si="10"/>
        <v>0</v>
      </c>
      <c r="O70" s="194">
        <f t="shared" si="10"/>
        <v>0</v>
      </c>
      <c r="P70" s="194">
        <f t="shared" si="10"/>
        <v>0</v>
      </c>
      <c r="Q70" s="194">
        <f t="shared" si="10"/>
        <v>0</v>
      </c>
      <c r="R70" s="194">
        <f t="shared" si="10"/>
        <v>0</v>
      </c>
      <c r="S70" s="194">
        <f t="shared" si="10"/>
        <v>0</v>
      </c>
      <c r="T70" s="194">
        <f t="shared" si="10"/>
        <v>0</v>
      </c>
      <c r="U70" s="194">
        <f t="shared" si="10"/>
        <v>0</v>
      </c>
      <c r="V70" s="194">
        <f t="shared" si="10"/>
        <v>0</v>
      </c>
      <c r="W70" s="194">
        <f t="shared" si="10"/>
        <v>0</v>
      </c>
      <c r="X70" s="194">
        <f t="shared" si="10"/>
        <v>0</v>
      </c>
      <c r="Y70" s="194">
        <f t="shared" si="10"/>
        <v>0</v>
      </c>
      <c r="Z70" s="194">
        <f t="shared" si="10"/>
        <v>0</v>
      </c>
      <c r="AA70" s="194">
        <f t="shared" si="10"/>
        <v>0</v>
      </c>
      <c r="AB70" s="194">
        <f t="shared" si="10"/>
        <v>0</v>
      </c>
      <c r="AC70" s="194">
        <f t="shared" si="10"/>
        <v>0</v>
      </c>
      <c r="AD70" s="194">
        <f t="shared" si="10"/>
        <v>0</v>
      </c>
      <c r="AE70" s="194">
        <f t="shared" si="10"/>
        <v>0</v>
      </c>
      <c r="AF70" s="194">
        <f t="shared" si="10"/>
        <v>0</v>
      </c>
      <c r="AG70" s="194">
        <f t="shared" si="10"/>
        <v>0</v>
      </c>
      <c r="AH70" s="194">
        <f t="shared" si="10"/>
        <v>0</v>
      </c>
      <c r="AI70" s="194">
        <f t="shared" si="10"/>
        <v>0</v>
      </c>
      <c r="AJ70" s="194">
        <f t="shared" si="10"/>
        <v>0</v>
      </c>
      <c r="AK70" s="194">
        <f t="shared" si="10"/>
        <v>0</v>
      </c>
      <c r="AL70" s="194">
        <f t="shared" ref="AL70:BH70" si="11">AL68+AL69</f>
        <v>0</v>
      </c>
      <c r="AM70" s="194">
        <f t="shared" si="11"/>
        <v>0</v>
      </c>
      <c r="AN70" s="194">
        <f t="shared" si="11"/>
        <v>0</v>
      </c>
      <c r="AO70" s="194">
        <f t="shared" si="11"/>
        <v>0</v>
      </c>
      <c r="AP70" s="194">
        <f t="shared" si="11"/>
        <v>0</v>
      </c>
      <c r="AQ70" s="194">
        <f t="shared" si="11"/>
        <v>0</v>
      </c>
      <c r="AR70" s="194">
        <f t="shared" si="11"/>
        <v>0</v>
      </c>
      <c r="AS70" s="194">
        <f t="shared" si="11"/>
        <v>0</v>
      </c>
      <c r="AT70" s="194">
        <f t="shared" si="11"/>
        <v>0</v>
      </c>
      <c r="AU70" s="194">
        <f t="shared" si="11"/>
        <v>0</v>
      </c>
      <c r="AV70" s="194">
        <f t="shared" si="11"/>
        <v>0</v>
      </c>
      <c r="AW70" s="194">
        <f t="shared" si="11"/>
        <v>0</v>
      </c>
      <c r="AX70" s="194">
        <f t="shared" si="11"/>
        <v>0</v>
      </c>
      <c r="AY70" s="194">
        <f t="shared" si="11"/>
        <v>0</v>
      </c>
      <c r="AZ70" s="194">
        <f t="shared" si="11"/>
        <v>0</v>
      </c>
      <c r="BA70" s="194">
        <f t="shared" si="11"/>
        <v>0</v>
      </c>
      <c r="BB70" s="194">
        <f t="shared" si="11"/>
        <v>0</v>
      </c>
      <c r="BC70" s="194">
        <f t="shared" si="11"/>
        <v>0</v>
      </c>
      <c r="BD70" s="194">
        <f t="shared" si="11"/>
        <v>0</v>
      </c>
      <c r="BE70" s="194">
        <f t="shared" si="11"/>
        <v>0</v>
      </c>
      <c r="BF70" s="194">
        <f t="shared" si="11"/>
        <v>0</v>
      </c>
      <c r="BG70" s="194">
        <f t="shared" si="11"/>
        <v>0</v>
      </c>
      <c r="BH70" s="194">
        <f t="shared" si="11"/>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2005" t="s">
        <v>285</v>
      </c>
      <c r="D72" s="2006"/>
      <c r="E72" s="2006"/>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623</v>
      </c>
      <c r="E73" s="121" t="s">
        <v>266</v>
      </c>
      <c r="F73" s="189"/>
      <c r="G73" s="189"/>
      <c r="H73" s="189"/>
      <c r="I73" s="189"/>
      <c r="J73" s="189"/>
      <c r="K73" s="189"/>
      <c r="L73" s="189"/>
      <c r="M73" s="189"/>
      <c r="N73" s="189"/>
      <c r="O73" s="189"/>
      <c r="P73" s="189"/>
      <c r="Q73" s="189"/>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8"/>
      <c r="BJ73" s="121"/>
      <c r="BK73" s="121"/>
      <c r="BL73" s="121"/>
      <c r="BM73" s="121"/>
      <c r="BN73" s="121"/>
      <c r="BO73" s="121"/>
    </row>
    <row r="74" spans="2:67" s="121" customFormat="1" ht="12.75">
      <c r="B74" s="138"/>
      <c r="C74" s="177"/>
      <c r="D74" s="121" t="str">
        <f>IF(C7="rural","Fuel Cost","Avoided Geneartion Cost")</f>
        <v>Fuel Cost</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t="s">
        <v>277</v>
      </c>
      <c r="D75" s="121" t="s">
        <v>381</v>
      </c>
      <c r="E75" s="121" t="s">
        <v>264</v>
      </c>
      <c r="F75" s="176">
        <v>0</v>
      </c>
      <c r="G75" s="176"/>
      <c r="H75" s="176"/>
      <c r="I75" s="176"/>
      <c r="J75" s="176"/>
      <c r="K75" s="176"/>
      <c r="L75" s="176"/>
      <c r="M75" s="176"/>
      <c r="N75" s="176"/>
      <c r="O75" s="176"/>
      <c r="P75" s="176"/>
      <c r="Q75" s="176"/>
      <c r="R75" s="176"/>
      <c r="S75" s="176"/>
      <c r="T75" s="176"/>
      <c r="U75" s="176"/>
      <c r="V75" s="176"/>
      <c r="W75" s="176"/>
      <c r="X75" s="176"/>
      <c r="Y75" s="176"/>
      <c r="Z75" s="176"/>
      <c r="AA75" s="176"/>
      <c r="AB75" s="176"/>
      <c r="AC75" s="176"/>
      <c r="AD75" s="176"/>
      <c r="AE75" s="176"/>
      <c r="AF75" s="176"/>
      <c r="AG75" s="176"/>
      <c r="AH75" s="176"/>
      <c r="AI75" s="176"/>
      <c r="AJ75" s="176"/>
      <c r="AK75" s="176"/>
      <c r="AL75" s="176"/>
      <c r="AM75" s="176"/>
      <c r="AN75" s="176"/>
      <c r="AO75" s="176"/>
      <c r="AP75" s="176"/>
      <c r="AQ75" s="176"/>
      <c r="AR75" s="176"/>
      <c r="AS75" s="176"/>
      <c r="AT75" s="176"/>
      <c r="AU75" s="176"/>
      <c r="AV75" s="176"/>
      <c r="AW75" s="176"/>
      <c r="AX75" s="176"/>
      <c r="AY75" s="176"/>
      <c r="AZ75" s="176"/>
      <c r="BA75" s="176"/>
      <c r="BB75" s="176"/>
      <c r="BC75" s="176"/>
      <c r="BD75" s="176"/>
      <c r="BE75" s="176"/>
      <c r="BF75" s="176"/>
      <c r="BG75" s="176"/>
      <c r="BH75" s="176"/>
      <c r="BI75" s="175">
        <f>NPV($D$49,F75:BH75)</f>
        <v>0</v>
      </c>
      <c r="BJ75" s="121"/>
      <c r="BK75" s="121"/>
      <c r="BL75" s="121"/>
      <c r="BM75" s="121"/>
      <c r="BN75" s="121"/>
      <c r="BO75" s="121"/>
    </row>
    <row r="76" spans="2:67" ht="12.75">
      <c r="C76" s="172"/>
      <c r="D76" s="121" t="s">
        <v>267</v>
      </c>
      <c r="E76" s="121" t="str">
        <f>IF(C7="Railbelt South of Alaska Range","mmBtu per year","gallons per year")</f>
        <v>gallons per year</v>
      </c>
      <c r="F76" s="196">
        <f>$P$26</f>
        <v>0</v>
      </c>
      <c r="G76" s="196">
        <f>$P$26</f>
        <v>0</v>
      </c>
      <c r="H76" s="196">
        <f t="shared" ref="H76:BH76" si="12">$P$26</f>
        <v>0</v>
      </c>
      <c r="I76" s="196">
        <f t="shared" si="12"/>
        <v>0</v>
      </c>
      <c r="J76" s="196">
        <f t="shared" si="12"/>
        <v>0</v>
      </c>
      <c r="K76" s="196">
        <f t="shared" si="12"/>
        <v>0</v>
      </c>
      <c r="L76" s="196">
        <f t="shared" si="12"/>
        <v>0</v>
      </c>
      <c r="M76" s="196">
        <f t="shared" si="12"/>
        <v>0</v>
      </c>
      <c r="N76" s="196">
        <f t="shared" si="12"/>
        <v>0</v>
      </c>
      <c r="O76" s="196">
        <f t="shared" si="12"/>
        <v>0</v>
      </c>
      <c r="P76" s="196">
        <f t="shared" si="12"/>
        <v>0</v>
      </c>
      <c r="Q76" s="196">
        <f t="shared" si="12"/>
        <v>0</v>
      </c>
      <c r="R76" s="196">
        <f t="shared" si="12"/>
        <v>0</v>
      </c>
      <c r="S76" s="196">
        <f t="shared" si="12"/>
        <v>0</v>
      </c>
      <c r="T76" s="196">
        <f t="shared" si="12"/>
        <v>0</v>
      </c>
      <c r="U76" s="196">
        <f t="shared" si="12"/>
        <v>0</v>
      </c>
      <c r="V76" s="196">
        <f t="shared" si="12"/>
        <v>0</v>
      </c>
      <c r="W76" s="196">
        <f t="shared" si="12"/>
        <v>0</v>
      </c>
      <c r="X76" s="196">
        <f t="shared" si="12"/>
        <v>0</v>
      </c>
      <c r="Y76" s="196">
        <f t="shared" si="12"/>
        <v>0</v>
      </c>
      <c r="Z76" s="196">
        <f t="shared" si="12"/>
        <v>0</v>
      </c>
      <c r="AA76" s="196">
        <f t="shared" si="12"/>
        <v>0</v>
      </c>
      <c r="AB76" s="196">
        <f t="shared" si="12"/>
        <v>0</v>
      </c>
      <c r="AC76" s="196">
        <f t="shared" si="12"/>
        <v>0</v>
      </c>
      <c r="AD76" s="196">
        <f t="shared" si="12"/>
        <v>0</v>
      </c>
      <c r="AE76" s="196">
        <f t="shared" si="12"/>
        <v>0</v>
      </c>
      <c r="AF76" s="196">
        <f t="shared" si="12"/>
        <v>0</v>
      </c>
      <c r="AG76" s="196">
        <f t="shared" si="12"/>
        <v>0</v>
      </c>
      <c r="AH76" s="196">
        <f t="shared" si="12"/>
        <v>0</v>
      </c>
      <c r="AI76" s="196">
        <f t="shared" si="12"/>
        <v>0</v>
      </c>
      <c r="AJ76" s="196">
        <f t="shared" si="12"/>
        <v>0</v>
      </c>
      <c r="AK76" s="196">
        <f t="shared" si="12"/>
        <v>0</v>
      </c>
      <c r="AL76" s="196">
        <f t="shared" si="12"/>
        <v>0</v>
      </c>
      <c r="AM76" s="196">
        <f t="shared" si="12"/>
        <v>0</v>
      </c>
      <c r="AN76" s="196">
        <f t="shared" si="12"/>
        <v>0</v>
      </c>
      <c r="AO76" s="196">
        <f t="shared" si="12"/>
        <v>0</v>
      </c>
      <c r="AP76" s="196">
        <f t="shared" si="12"/>
        <v>0</v>
      </c>
      <c r="AQ76" s="196">
        <f t="shared" si="12"/>
        <v>0</v>
      </c>
      <c r="AR76" s="196">
        <f t="shared" si="12"/>
        <v>0</v>
      </c>
      <c r="AS76" s="196">
        <f t="shared" si="12"/>
        <v>0</v>
      </c>
      <c r="AT76" s="196">
        <f t="shared" si="12"/>
        <v>0</v>
      </c>
      <c r="AU76" s="196">
        <f t="shared" si="12"/>
        <v>0</v>
      </c>
      <c r="AV76" s="196">
        <f t="shared" si="12"/>
        <v>0</v>
      </c>
      <c r="AW76" s="196">
        <f t="shared" si="12"/>
        <v>0</v>
      </c>
      <c r="AX76" s="196">
        <f t="shared" si="12"/>
        <v>0</v>
      </c>
      <c r="AY76" s="196">
        <f t="shared" si="12"/>
        <v>0</v>
      </c>
      <c r="AZ76" s="196">
        <f t="shared" si="12"/>
        <v>0</v>
      </c>
      <c r="BA76" s="196">
        <f t="shared" si="12"/>
        <v>0</v>
      </c>
      <c r="BB76" s="196">
        <f t="shared" si="12"/>
        <v>0</v>
      </c>
      <c r="BC76" s="196">
        <f t="shared" si="12"/>
        <v>0</v>
      </c>
      <c r="BD76" s="196">
        <f t="shared" si="12"/>
        <v>0</v>
      </c>
      <c r="BE76" s="196">
        <f t="shared" si="12"/>
        <v>0</v>
      </c>
      <c r="BF76" s="196">
        <f t="shared" si="12"/>
        <v>0</v>
      </c>
      <c r="BG76" s="196">
        <f t="shared" si="12"/>
        <v>0</v>
      </c>
      <c r="BH76" s="196">
        <f t="shared" si="12"/>
        <v>0</v>
      </c>
      <c r="BI76" s="175"/>
      <c r="BJ76" s="121"/>
      <c r="BK76" s="121"/>
      <c r="BL76" s="121"/>
      <c r="BM76" s="121"/>
      <c r="BN76" s="121"/>
      <c r="BO76" s="121"/>
    </row>
    <row r="77" spans="2:67" ht="12.75">
      <c r="C77" s="190"/>
      <c r="D77" s="121"/>
      <c r="E77" s="121" t="str">
        <f>IF(C7="rural","$ per year","")</f>
        <v>$ per year</v>
      </c>
      <c r="F77" s="191"/>
      <c r="G77" s="191"/>
      <c r="H77" s="191"/>
      <c r="I77" s="191"/>
      <c r="J77" s="191"/>
      <c r="K77" s="191"/>
      <c r="L77" s="191"/>
      <c r="M77" s="191"/>
      <c r="N77" s="191"/>
      <c r="O77" s="191"/>
      <c r="P77" s="191"/>
      <c r="Q77" s="191"/>
      <c r="R77" s="191"/>
      <c r="S77" s="191"/>
      <c r="T77" s="191"/>
      <c r="U77" s="191"/>
      <c r="V77" s="191"/>
      <c r="W77" s="191"/>
      <c r="X77" s="191"/>
      <c r="Y77" s="191"/>
      <c r="Z77" s="191"/>
      <c r="AA77" s="191"/>
      <c r="AB77" s="191"/>
      <c r="AC77" s="191"/>
      <c r="AD77" s="191"/>
      <c r="AE77" s="191"/>
      <c r="AF77" s="191"/>
      <c r="AG77" s="191"/>
      <c r="AH77" s="191"/>
      <c r="AI77" s="191"/>
      <c r="AJ77" s="191"/>
      <c r="AK77" s="191"/>
      <c r="AL77" s="191"/>
      <c r="AM77" s="191"/>
      <c r="AN77" s="191"/>
      <c r="AO77" s="191"/>
      <c r="AP77" s="191"/>
      <c r="AQ77" s="191"/>
      <c r="AR77" s="191"/>
      <c r="AS77" s="191"/>
      <c r="AT77" s="191"/>
      <c r="AU77" s="191"/>
      <c r="AV77" s="191"/>
      <c r="AW77" s="191"/>
      <c r="AX77" s="191"/>
      <c r="AY77" s="191"/>
      <c r="AZ77" s="191"/>
      <c r="BA77" s="191"/>
      <c r="BB77" s="191"/>
      <c r="BC77" s="191"/>
      <c r="BD77" s="191"/>
      <c r="BE77" s="191"/>
      <c r="BF77" s="191"/>
      <c r="BG77" s="191"/>
      <c r="BH77" s="191"/>
      <c r="BI77" s="175">
        <f>NPV($D$49,F77:BH77)</f>
        <v>0</v>
      </c>
      <c r="BJ77" s="121"/>
      <c r="BK77" s="121"/>
      <c r="BL77" s="121"/>
      <c r="BM77" s="121"/>
      <c r="BN77" s="121"/>
      <c r="BO77" s="121"/>
    </row>
    <row r="78" spans="2:67" ht="12.75">
      <c r="C78" s="177"/>
      <c r="D78" s="121" t="str">
        <f>IF(C7="rural","Fuel Cost","N/A")</f>
        <v>Fuel Cost</v>
      </c>
      <c r="E78" s="121" t="str">
        <f>IF(C7="rural","$ per year","")</f>
        <v>$ per year</v>
      </c>
      <c r="F78" s="191">
        <f>IF($C$7="rural",F76*F74,"")</f>
        <v>0</v>
      </c>
      <c r="G78" s="191">
        <f t="shared" ref="G78:BH78" si="13">IF($C$7="rural",G76*G74,"")</f>
        <v>0</v>
      </c>
      <c r="H78" s="191">
        <f t="shared" si="13"/>
        <v>0</v>
      </c>
      <c r="I78" s="191">
        <f t="shared" si="13"/>
        <v>0</v>
      </c>
      <c r="J78" s="191">
        <f t="shared" si="13"/>
        <v>0</v>
      </c>
      <c r="K78" s="191">
        <f t="shared" si="13"/>
        <v>0</v>
      </c>
      <c r="L78" s="191">
        <f t="shared" si="13"/>
        <v>0</v>
      </c>
      <c r="M78" s="191">
        <f t="shared" si="13"/>
        <v>0</v>
      </c>
      <c r="N78" s="191">
        <f t="shared" si="13"/>
        <v>0</v>
      </c>
      <c r="O78" s="191">
        <f t="shared" si="13"/>
        <v>0</v>
      </c>
      <c r="P78" s="191">
        <f t="shared" si="13"/>
        <v>0</v>
      </c>
      <c r="Q78" s="191">
        <f t="shared" si="13"/>
        <v>0</v>
      </c>
      <c r="R78" s="191">
        <f t="shared" si="13"/>
        <v>0</v>
      </c>
      <c r="S78" s="191">
        <f t="shared" si="13"/>
        <v>0</v>
      </c>
      <c r="T78" s="191">
        <f t="shared" si="13"/>
        <v>0</v>
      </c>
      <c r="U78" s="191">
        <f t="shared" si="13"/>
        <v>0</v>
      </c>
      <c r="V78" s="191">
        <f t="shared" si="13"/>
        <v>0</v>
      </c>
      <c r="W78" s="191">
        <f t="shared" si="13"/>
        <v>0</v>
      </c>
      <c r="X78" s="191">
        <f t="shared" si="13"/>
        <v>0</v>
      </c>
      <c r="Y78" s="191">
        <f t="shared" si="13"/>
        <v>0</v>
      </c>
      <c r="Z78" s="191">
        <f t="shared" si="13"/>
        <v>0</v>
      </c>
      <c r="AA78" s="191">
        <f t="shared" si="13"/>
        <v>0</v>
      </c>
      <c r="AB78" s="191">
        <f t="shared" si="13"/>
        <v>0</v>
      </c>
      <c r="AC78" s="191">
        <f t="shared" si="13"/>
        <v>0</v>
      </c>
      <c r="AD78" s="191">
        <f t="shared" si="13"/>
        <v>0</v>
      </c>
      <c r="AE78" s="191">
        <f t="shared" si="13"/>
        <v>0</v>
      </c>
      <c r="AF78" s="191">
        <f t="shared" si="13"/>
        <v>0</v>
      </c>
      <c r="AG78" s="191">
        <f t="shared" si="13"/>
        <v>0</v>
      </c>
      <c r="AH78" s="191">
        <f t="shared" si="13"/>
        <v>0</v>
      </c>
      <c r="AI78" s="191">
        <f t="shared" si="13"/>
        <v>0</v>
      </c>
      <c r="AJ78" s="191">
        <f t="shared" si="13"/>
        <v>0</v>
      </c>
      <c r="AK78" s="191">
        <f t="shared" si="13"/>
        <v>0</v>
      </c>
      <c r="AL78" s="191">
        <f t="shared" si="13"/>
        <v>0</v>
      </c>
      <c r="AM78" s="191">
        <f t="shared" si="13"/>
        <v>0</v>
      </c>
      <c r="AN78" s="191">
        <f t="shared" si="13"/>
        <v>0</v>
      </c>
      <c r="AO78" s="191">
        <f t="shared" si="13"/>
        <v>0</v>
      </c>
      <c r="AP78" s="191">
        <f t="shared" si="13"/>
        <v>0</v>
      </c>
      <c r="AQ78" s="191">
        <f t="shared" si="13"/>
        <v>0</v>
      </c>
      <c r="AR78" s="191">
        <f t="shared" si="13"/>
        <v>0</v>
      </c>
      <c r="AS78" s="191">
        <f t="shared" si="13"/>
        <v>0</v>
      </c>
      <c r="AT78" s="191">
        <f t="shared" si="13"/>
        <v>0</v>
      </c>
      <c r="AU78" s="191">
        <f t="shared" si="13"/>
        <v>0</v>
      </c>
      <c r="AV78" s="191">
        <f t="shared" si="13"/>
        <v>0</v>
      </c>
      <c r="AW78" s="191">
        <f t="shared" si="13"/>
        <v>0</v>
      </c>
      <c r="AX78" s="191">
        <f t="shared" si="13"/>
        <v>0</v>
      </c>
      <c r="AY78" s="191">
        <f t="shared" si="13"/>
        <v>0</v>
      </c>
      <c r="AZ78" s="191">
        <f t="shared" si="13"/>
        <v>0</v>
      </c>
      <c r="BA78" s="191">
        <f t="shared" si="13"/>
        <v>0</v>
      </c>
      <c r="BB78" s="191">
        <f t="shared" si="13"/>
        <v>0</v>
      </c>
      <c r="BC78" s="191">
        <f t="shared" si="13"/>
        <v>0</v>
      </c>
      <c r="BD78" s="191">
        <f t="shared" si="13"/>
        <v>0</v>
      </c>
      <c r="BE78" s="191">
        <f t="shared" si="13"/>
        <v>0</v>
      </c>
      <c r="BF78" s="191">
        <f t="shared" si="13"/>
        <v>0</v>
      </c>
      <c r="BG78" s="191">
        <f t="shared" si="13"/>
        <v>0</v>
      </c>
      <c r="BH78" s="191">
        <f t="shared" si="13"/>
        <v>0</v>
      </c>
      <c r="BI78" s="175">
        <f>NPV($D$49,F78:BH78)</f>
        <v>0</v>
      </c>
      <c r="BJ78" s="121"/>
      <c r="BK78" s="121"/>
      <c r="BL78" s="121"/>
      <c r="BM78" s="121"/>
      <c r="BN78" s="121"/>
      <c r="BO78" s="121"/>
    </row>
    <row r="79" spans="2:67" s="192" customFormat="1" ht="12.75">
      <c r="B79" s="193"/>
      <c r="C79" s="182"/>
      <c r="D79" s="184" t="s">
        <v>372</v>
      </c>
      <c r="E79" s="184" t="s">
        <v>264</v>
      </c>
      <c r="F79" s="197">
        <f t="shared" ref="F79:BH79" si="14">IF($C$7="Rural",F78+F77+F75,F74*F73)</f>
        <v>0</v>
      </c>
      <c r="G79" s="197">
        <f t="shared" si="14"/>
        <v>0</v>
      </c>
      <c r="H79" s="197">
        <f t="shared" si="14"/>
        <v>0</v>
      </c>
      <c r="I79" s="197">
        <f t="shared" si="14"/>
        <v>0</v>
      </c>
      <c r="J79" s="197">
        <f t="shared" si="14"/>
        <v>0</v>
      </c>
      <c r="K79" s="197">
        <f t="shared" si="14"/>
        <v>0</v>
      </c>
      <c r="L79" s="197">
        <f t="shared" si="14"/>
        <v>0</v>
      </c>
      <c r="M79" s="197">
        <f t="shared" si="14"/>
        <v>0</v>
      </c>
      <c r="N79" s="197">
        <f t="shared" si="14"/>
        <v>0</v>
      </c>
      <c r="O79" s="197">
        <f t="shared" si="14"/>
        <v>0</v>
      </c>
      <c r="P79" s="197">
        <f t="shared" si="14"/>
        <v>0</v>
      </c>
      <c r="Q79" s="197">
        <f t="shared" si="14"/>
        <v>0</v>
      </c>
      <c r="R79" s="197">
        <f t="shared" si="14"/>
        <v>0</v>
      </c>
      <c r="S79" s="194">
        <f t="shared" si="14"/>
        <v>0</v>
      </c>
      <c r="T79" s="194">
        <f t="shared" si="14"/>
        <v>0</v>
      </c>
      <c r="U79" s="194">
        <f t="shared" si="14"/>
        <v>0</v>
      </c>
      <c r="V79" s="194">
        <f t="shared" si="14"/>
        <v>0</v>
      </c>
      <c r="W79" s="194">
        <f t="shared" si="14"/>
        <v>0</v>
      </c>
      <c r="X79" s="194">
        <f t="shared" si="14"/>
        <v>0</v>
      </c>
      <c r="Y79" s="194">
        <f t="shared" si="14"/>
        <v>0</v>
      </c>
      <c r="Z79" s="194">
        <f t="shared" si="14"/>
        <v>0</v>
      </c>
      <c r="AA79" s="194">
        <f t="shared" si="14"/>
        <v>0</v>
      </c>
      <c r="AB79" s="194">
        <f t="shared" si="14"/>
        <v>0</v>
      </c>
      <c r="AC79" s="194">
        <f t="shared" si="14"/>
        <v>0</v>
      </c>
      <c r="AD79" s="194">
        <f t="shared" si="14"/>
        <v>0</v>
      </c>
      <c r="AE79" s="194">
        <f t="shared" si="14"/>
        <v>0</v>
      </c>
      <c r="AF79" s="194">
        <f t="shared" si="14"/>
        <v>0</v>
      </c>
      <c r="AG79" s="194">
        <f t="shared" si="14"/>
        <v>0</v>
      </c>
      <c r="AH79" s="194">
        <f t="shared" si="14"/>
        <v>0</v>
      </c>
      <c r="AI79" s="194">
        <f t="shared" si="14"/>
        <v>0</v>
      </c>
      <c r="AJ79" s="194">
        <f t="shared" si="14"/>
        <v>0</v>
      </c>
      <c r="AK79" s="194">
        <f t="shared" si="14"/>
        <v>0</v>
      </c>
      <c r="AL79" s="194">
        <f t="shared" si="14"/>
        <v>0</v>
      </c>
      <c r="AM79" s="194">
        <f t="shared" si="14"/>
        <v>0</v>
      </c>
      <c r="AN79" s="194">
        <f t="shared" si="14"/>
        <v>0</v>
      </c>
      <c r="AO79" s="194">
        <f t="shared" si="14"/>
        <v>0</v>
      </c>
      <c r="AP79" s="194">
        <f t="shared" si="14"/>
        <v>0</v>
      </c>
      <c r="AQ79" s="194">
        <f t="shared" si="14"/>
        <v>0</v>
      </c>
      <c r="AR79" s="194">
        <f t="shared" si="14"/>
        <v>0</v>
      </c>
      <c r="AS79" s="194">
        <f t="shared" si="14"/>
        <v>0</v>
      </c>
      <c r="AT79" s="194">
        <f t="shared" si="14"/>
        <v>0</v>
      </c>
      <c r="AU79" s="194">
        <f t="shared" si="14"/>
        <v>0</v>
      </c>
      <c r="AV79" s="194">
        <f t="shared" si="14"/>
        <v>0</v>
      </c>
      <c r="AW79" s="194">
        <f t="shared" si="14"/>
        <v>0</v>
      </c>
      <c r="AX79" s="194">
        <f t="shared" si="14"/>
        <v>0</v>
      </c>
      <c r="AY79" s="194">
        <f t="shared" si="14"/>
        <v>0</v>
      </c>
      <c r="AZ79" s="194">
        <f t="shared" si="14"/>
        <v>0</v>
      </c>
      <c r="BA79" s="194">
        <f t="shared" si="14"/>
        <v>0</v>
      </c>
      <c r="BB79" s="194">
        <f t="shared" si="14"/>
        <v>0</v>
      </c>
      <c r="BC79" s="194">
        <f t="shared" si="14"/>
        <v>0</v>
      </c>
      <c r="BD79" s="194">
        <f t="shared" si="14"/>
        <v>0</v>
      </c>
      <c r="BE79" s="194">
        <f t="shared" si="14"/>
        <v>0</v>
      </c>
      <c r="BF79" s="194">
        <f t="shared" si="14"/>
        <v>0</v>
      </c>
      <c r="BG79" s="194">
        <f t="shared" si="14"/>
        <v>0</v>
      </c>
      <c r="BH79" s="194">
        <f t="shared" si="14"/>
        <v>0</v>
      </c>
      <c r="BI79" s="175">
        <f>NPV($D$49,F79:BH79)</f>
        <v>0</v>
      </c>
      <c r="BJ79" s="180"/>
      <c r="BK79" s="180"/>
      <c r="BL79" s="180"/>
      <c r="BM79" s="180"/>
      <c r="BN79" s="180"/>
      <c r="BO79" s="180"/>
    </row>
    <row r="80" spans="2:67" ht="12.75">
      <c r="C80" s="186"/>
      <c r="D80" s="121"/>
      <c r="E80" s="121"/>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75"/>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86"/>
      <c r="D82" s="136"/>
      <c r="E82" s="136"/>
      <c r="F82" s="136"/>
      <c r="G82" s="136"/>
      <c r="H82" s="136"/>
      <c r="I82" s="136"/>
      <c r="J82" s="136"/>
      <c r="K82" s="136"/>
      <c r="L82" s="136"/>
      <c r="M82" s="136"/>
      <c r="N82" s="136"/>
      <c r="O82" s="136"/>
      <c r="P82" s="136"/>
      <c r="Q82" s="136"/>
      <c r="R82" s="136"/>
      <c r="BJ82" s="121"/>
      <c r="BK82" s="121"/>
      <c r="BL82" s="121"/>
      <c r="BM82" s="121"/>
      <c r="BN82" s="121"/>
      <c r="BO82" s="121"/>
    </row>
    <row r="83" spans="2:67" ht="12.75">
      <c r="C83" s="168" t="s">
        <v>353</v>
      </c>
      <c r="D83" s="198"/>
      <c r="E83" s="170" t="s">
        <v>263</v>
      </c>
      <c r="F83" s="199">
        <v>2014</v>
      </c>
      <c r="G83" s="199">
        <f t="shared" ref="G83:BH83" si="15">F83+1</f>
        <v>2015</v>
      </c>
      <c r="H83" s="199">
        <f t="shared" si="15"/>
        <v>2016</v>
      </c>
      <c r="I83" s="199">
        <f t="shared" si="15"/>
        <v>2017</v>
      </c>
      <c r="J83" s="199">
        <f t="shared" si="15"/>
        <v>2018</v>
      </c>
      <c r="K83" s="199">
        <f t="shared" si="15"/>
        <v>2019</v>
      </c>
      <c r="L83" s="199">
        <f t="shared" si="15"/>
        <v>2020</v>
      </c>
      <c r="M83" s="199">
        <f t="shared" si="15"/>
        <v>2021</v>
      </c>
      <c r="N83" s="199">
        <f t="shared" si="15"/>
        <v>2022</v>
      </c>
      <c r="O83" s="199">
        <f t="shared" si="15"/>
        <v>2023</v>
      </c>
      <c r="P83" s="199">
        <f t="shared" si="15"/>
        <v>2024</v>
      </c>
      <c r="Q83" s="199">
        <f t="shared" si="15"/>
        <v>2025</v>
      </c>
      <c r="R83" s="199">
        <f t="shared" si="15"/>
        <v>2026</v>
      </c>
      <c r="S83" s="691">
        <f t="shared" si="15"/>
        <v>2027</v>
      </c>
      <c r="T83" s="691">
        <f t="shared" si="15"/>
        <v>2028</v>
      </c>
      <c r="U83" s="691">
        <f t="shared" si="15"/>
        <v>2029</v>
      </c>
      <c r="V83" s="691">
        <f t="shared" si="15"/>
        <v>2030</v>
      </c>
      <c r="W83" s="691">
        <f t="shared" si="15"/>
        <v>2031</v>
      </c>
      <c r="X83" s="691">
        <f t="shared" si="15"/>
        <v>2032</v>
      </c>
      <c r="Y83" s="691">
        <f t="shared" si="15"/>
        <v>2033</v>
      </c>
      <c r="Z83" s="691">
        <f t="shared" si="15"/>
        <v>2034</v>
      </c>
      <c r="AA83" s="691">
        <f t="shared" si="15"/>
        <v>2035</v>
      </c>
      <c r="AB83" s="691">
        <f t="shared" si="15"/>
        <v>2036</v>
      </c>
      <c r="AC83" s="691">
        <f t="shared" si="15"/>
        <v>2037</v>
      </c>
      <c r="AD83" s="691">
        <f t="shared" si="15"/>
        <v>2038</v>
      </c>
      <c r="AE83" s="691">
        <f t="shared" si="15"/>
        <v>2039</v>
      </c>
      <c r="AF83" s="691">
        <f t="shared" si="15"/>
        <v>2040</v>
      </c>
      <c r="AG83" s="691">
        <f t="shared" si="15"/>
        <v>2041</v>
      </c>
      <c r="AH83" s="691">
        <f t="shared" si="15"/>
        <v>2042</v>
      </c>
      <c r="AI83" s="691">
        <f t="shared" si="15"/>
        <v>2043</v>
      </c>
      <c r="AJ83" s="691">
        <f t="shared" si="15"/>
        <v>2044</v>
      </c>
      <c r="AK83" s="691">
        <f t="shared" si="15"/>
        <v>2045</v>
      </c>
      <c r="AL83" s="691">
        <f t="shared" si="15"/>
        <v>2046</v>
      </c>
      <c r="AM83" s="691">
        <f t="shared" si="15"/>
        <v>2047</v>
      </c>
      <c r="AN83" s="691">
        <f t="shared" si="15"/>
        <v>2048</v>
      </c>
      <c r="AO83" s="691">
        <f t="shared" si="15"/>
        <v>2049</v>
      </c>
      <c r="AP83" s="691">
        <f t="shared" si="15"/>
        <v>2050</v>
      </c>
      <c r="AQ83" s="691">
        <f t="shared" si="15"/>
        <v>2051</v>
      </c>
      <c r="AR83" s="691">
        <f t="shared" si="15"/>
        <v>2052</v>
      </c>
      <c r="AS83" s="691">
        <f t="shared" si="15"/>
        <v>2053</v>
      </c>
      <c r="AT83" s="691">
        <f t="shared" si="15"/>
        <v>2054</v>
      </c>
      <c r="AU83" s="691">
        <f t="shared" si="15"/>
        <v>2055</v>
      </c>
      <c r="AV83" s="691">
        <f t="shared" si="15"/>
        <v>2056</v>
      </c>
      <c r="AW83" s="691">
        <f t="shared" si="15"/>
        <v>2057</v>
      </c>
      <c r="AX83" s="691">
        <f t="shared" si="15"/>
        <v>2058</v>
      </c>
      <c r="AY83" s="691">
        <f t="shared" si="15"/>
        <v>2059</v>
      </c>
      <c r="AZ83" s="691">
        <f t="shared" si="15"/>
        <v>2060</v>
      </c>
      <c r="BA83" s="691">
        <f t="shared" si="15"/>
        <v>2061</v>
      </c>
      <c r="BB83" s="691">
        <f t="shared" si="15"/>
        <v>2062</v>
      </c>
      <c r="BC83" s="691">
        <f t="shared" si="15"/>
        <v>2063</v>
      </c>
      <c r="BD83" s="691">
        <f t="shared" si="15"/>
        <v>2064</v>
      </c>
      <c r="BE83" s="691">
        <f t="shared" si="15"/>
        <v>2065</v>
      </c>
      <c r="BF83" s="691">
        <f t="shared" si="15"/>
        <v>2066</v>
      </c>
      <c r="BG83" s="691">
        <f t="shared" si="15"/>
        <v>2067</v>
      </c>
      <c r="BH83" s="691">
        <f t="shared" si="15"/>
        <v>2068</v>
      </c>
      <c r="BI83" s="697" t="s">
        <v>4</v>
      </c>
      <c r="BJ83" s="121"/>
      <c r="BK83" s="121"/>
      <c r="BL83" s="121"/>
      <c r="BM83" s="121"/>
      <c r="BN83" s="121"/>
      <c r="BO83" s="121"/>
    </row>
    <row r="84" spans="2:67" ht="12.75">
      <c r="C84" s="2005" t="s">
        <v>284</v>
      </c>
      <c r="D84" s="2007"/>
      <c r="E84" s="2007"/>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200"/>
      <c r="BJ84" s="121"/>
      <c r="BK84" s="121"/>
      <c r="BL84" s="121"/>
      <c r="BM84" s="121"/>
      <c r="BN84" s="121"/>
      <c r="BO84" s="121"/>
    </row>
    <row r="85" spans="2:67" ht="12.75">
      <c r="C85" s="201"/>
      <c r="D85" s="121" t="s">
        <v>1309</v>
      </c>
      <c r="E85" s="121" t="str">
        <f>IF(C7="Railbelt South of Alaska Range", "mmBtu per year", "gallons displaced per year")</f>
        <v>gallons displaced per year</v>
      </c>
      <c r="F85" s="196">
        <f>IF(AND(F54&gt;=$D$31,F54&lt;=($D$31+$D$32)),$P$25,0)</f>
        <v>0</v>
      </c>
      <c r="G85" s="196">
        <f>IF(AND(G54&gt;=$D$31,G54&lt;=($D$31+$D$32)),$P$25,0)</f>
        <v>0</v>
      </c>
      <c r="H85" s="196">
        <f t="shared" ref="H85:BH85" si="16">IF(AND(H54&gt;=$D$31,H54&lt;=($D$31+$D$32)),$P$25,0)</f>
        <v>0</v>
      </c>
      <c r="I85" s="196">
        <f t="shared" si="16"/>
        <v>0</v>
      </c>
      <c r="J85" s="196">
        <f t="shared" si="16"/>
        <v>0</v>
      </c>
      <c r="K85" s="196">
        <f t="shared" si="16"/>
        <v>0</v>
      </c>
      <c r="L85" s="196">
        <f t="shared" si="16"/>
        <v>0</v>
      </c>
      <c r="M85" s="196">
        <f t="shared" si="16"/>
        <v>0</v>
      </c>
      <c r="N85" s="196">
        <f t="shared" si="16"/>
        <v>0</v>
      </c>
      <c r="O85" s="196">
        <f t="shared" si="16"/>
        <v>0</v>
      </c>
      <c r="P85" s="196">
        <f t="shared" si="16"/>
        <v>0</v>
      </c>
      <c r="Q85" s="196">
        <f t="shared" si="16"/>
        <v>0</v>
      </c>
      <c r="R85" s="196">
        <f t="shared" si="16"/>
        <v>0</v>
      </c>
      <c r="S85" s="196">
        <f t="shared" si="16"/>
        <v>0</v>
      </c>
      <c r="T85" s="196">
        <f t="shared" si="16"/>
        <v>0</v>
      </c>
      <c r="U85" s="196">
        <f t="shared" si="16"/>
        <v>0</v>
      </c>
      <c r="V85" s="196">
        <f t="shared" si="16"/>
        <v>0</v>
      </c>
      <c r="W85" s="196">
        <f t="shared" si="16"/>
        <v>0</v>
      </c>
      <c r="X85" s="196">
        <f t="shared" si="16"/>
        <v>0</v>
      </c>
      <c r="Y85" s="196">
        <f t="shared" si="16"/>
        <v>0</v>
      </c>
      <c r="Z85" s="196">
        <f t="shared" si="16"/>
        <v>0</v>
      </c>
      <c r="AA85" s="196">
        <f t="shared" si="16"/>
        <v>0</v>
      </c>
      <c r="AB85" s="196">
        <f t="shared" si="16"/>
        <v>0</v>
      </c>
      <c r="AC85" s="196">
        <f t="shared" si="16"/>
        <v>0</v>
      </c>
      <c r="AD85" s="196">
        <f t="shared" si="16"/>
        <v>0</v>
      </c>
      <c r="AE85" s="196">
        <f t="shared" si="16"/>
        <v>0</v>
      </c>
      <c r="AF85" s="196">
        <f t="shared" si="16"/>
        <v>0</v>
      </c>
      <c r="AG85" s="196">
        <f t="shared" si="16"/>
        <v>0</v>
      </c>
      <c r="AH85" s="196">
        <f t="shared" si="16"/>
        <v>0</v>
      </c>
      <c r="AI85" s="196">
        <f t="shared" si="16"/>
        <v>0</v>
      </c>
      <c r="AJ85" s="196">
        <f t="shared" si="16"/>
        <v>0</v>
      </c>
      <c r="AK85" s="196">
        <f t="shared" si="16"/>
        <v>0</v>
      </c>
      <c r="AL85" s="196">
        <f t="shared" si="16"/>
        <v>0</v>
      </c>
      <c r="AM85" s="196">
        <f t="shared" si="16"/>
        <v>0</v>
      </c>
      <c r="AN85" s="196">
        <f t="shared" si="16"/>
        <v>0</v>
      </c>
      <c r="AO85" s="196">
        <f t="shared" si="16"/>
        <v>0</v>
      </c>
      <c r="AP85" s="196">
        <f t="shared" si="16"/>
        <v>0</v>
      </c>
      <c r="AQ85" s="196">
        <f t="shared" si="16"/>
        <v>0</v>
      </c>
      <c r="AR85" s="196">
        <f t="shared" si="16"/>
        <v>0</v>
      </c>
      <c r="AS85" s="196">
        <f t="shared" si="16"/>
        <v>0</v>
      </c>
      <c r="AT85" s="196">
        <f t="shared" si="16"/>
        <v>0</v>
      </c>
      <c r="AU85" s="196">
        <f t="shared" si="16"/>
        <v>0</v>
      </c>
      <c r="AV85" s="196">
        <f t="shared" si="16"/>
        <v>0</v>
      </c>
      <c r="AW85" s="196">
        <f t="shared" si="16"/>
        <v>0</v>
      </c>
      <c r="AX85" s="196">
        <f t="shared" si="16"/>
        <v>0</v>
      </c>
      <c r="AY85" s="196">
        <f t="shared" si="16"/>
        <v>0</v>
      </c>
      <c r="AZ85" s="196">
        <f t="shared" si="16"/>
        <v>0</v>
      </c>
      <c r="BA85" s="196">
        <f t="shared" si="16"/>
        <v>0</v>
      </c>
      <c r="BB85" s="196">
        <f t="shared" si="16"/>
        <v>0</v>
      </c>
      <c r="BC85" s="196">
        <f t="shared" si="16"/>
        <v>0</v>
      </c>
      <c r="BD85" s="196">
        <f t="shared" si="16"/>
        <v>0</v>
      </c>
      <c r="BE85" s="196">
        <f t="shared" si="16"/>
        <v>0</v>
      </c>
      <c r="BF85" s="196">
        <f t="shared" si="16"/>
        <v>0</v>
      </c>
      <c r="BG85" s="196">
        <f t="shared" si="16"/>
        <v>0</v>
      </c>
      <c r="BH85" s="196">
        <f t="shared" si="16"/>
        <v>0</v>
      </c>
      <c r="BI85" s="175"/>
      <c r="BJ85" s="121"/>
      <c r="BK85" s="121"/>
      <c r="BL85" s="121"/>
      <c r="BM85" s="121"/>
      <c r="BN85" s="121"/>
      <c r="BO85" s="121"/>
    </row>
    <row r="86" spans="2:67" ht="12.75">
      <c r="C86" s="201" t="s">
        <v>277</v>
      </c>
      <c r="D86" s="121" t="s">
        <v>568</v>
      </c>
      <c r="E86" s="121" t="s">
        <v>264</v>
      </c>
      <c r="F86" s="176"/>
      <c r="G86" s="176"/>
      <c r="H86" s="176"/>
      <c r="I86" s="176"/>
      <c r="J86" s="176"/>
      <c r="K86" s="176"/>
      <c r="L86" s="176"/>
      <c r="M86" s="176"/>
      <c r="N86" s="176"/>
      <c r="O86" s="176"/>
      <c r="P86" s="176"/>
      <c r="Q86" s="176"/>
      <c r="R86" s="176"/>
      <c r="S86" s="176"/>
      <c r="T86" s="176"/>
      <c r="U86" s="176"/>
      <c r="V86" s="176"/>
      <c r="W86" s="176"/>
      <c r="X86" s="176"/>
      <c r="Y86" s="176"/>
      <c r="Z86" s="176"/>
      <c r="AA86" s="176"/>
      <c r="AB86" s="176"/>
      <c r="AC86" s="176"/>
      <c r="AD86" s="176"/>
      <c r="AE86" s="176"/>
      <c r="AF86" s="176"/>
      <c r="AG86" s="176"/>
      <c r="AH86" s="176"/>
      <c r="AI86" s="176"/>
      <c r="AJ86" s="176"/>
      <c r="AK86" s="176"/>
      <c r="AL86" s="176"/>
      <c r="AM86" s="176"/>
      <c r="AN86" s="176"/>
      <c r="AO86" s="176"/>
      <c r="AP86" s="176"/>
      <c r="AQ86" s="176"/>
      <c r="AR86" s="176"/>
      <c r="AS86" s="176"/>
      <c r="AT86" s="176"/>
      <c r="AU86" s="176"/>
      <c r="AV86" s="176"/>
      <c r="AW86" s="176"/>
      <c r="AX86" s="176"/>
      <c r="AY86" s="176"/>
      <c r="AZ86" s="176"/>
      <c r="BA86" s="176"/>
      <c r="BB86" s="176"/>
      <c r="BC86" s="176"/>
      <c r="BD86" s="176"/>
      <c r="BE86" s="176"/>
      <c r="BF86" s="176"/>
      <c r="BG86" s="176"/>
      <c r="BH86" s="176"/>
      <c r="BI86" s="175">
        <f>NPV($D$49,F86:BH86)</f>
        <v>0</v>
      </c>
      <c r="BJ86" s="121"/>
      <c r="BK86" s="121"/>
      <c r="BL86" s="121"/>
      <c r="BM86" s="121"/>
      <c r="BN86" s="121"/>
      <c r="BO86" s="121"/>
    </row>
    <row r="87" spans="2:67" ht="12.75">
      <c r="C87" s="201" t="s">
        <v>277</v>
      </c>
      <c r="D87" s="121" t="s">
        <v>567</v>
      </c>
      <c r="E87" s="121" t="s">
        <v>264</v>
      </c>
      <c r="F87" s="176">
        <v>0</v>
      </c>
      <c r="G87" s="176">
        <f t="shared" ref="G87:AL87" si="17">IF(AND(G54&gt;=$D$31,G54&lt;=($D$31+$D$32)),$S$11,0)</f>
        <v>0</v>
      </c>
      <c r="H87" s="176">
        <f t="shared" si="17"/>
        <v>0</v>
      </c>
      <c r="I87" s="176">
        <f t="shared" si="17"/>
        <v>0</v>
      </c>
      <c r="J87" s="176">
        <f t="shared" si="17"/>
        <v>0</v>
      </c>
      <c r="K87" s="176">
        <f t="shared" si="17"/>
        <v>0</v>
      </c>
      <c r="L87" s="176">
        <f t="shared" si="17"/>
        <v>0</v>
      </c>
      <c r="M87" s="176">
        <f t="shared" si="17"/>
        <v>0</v>
      </c>
      <c r="N87" s="176">
        <f t="shared" si="17"/>
        <v>0</v>
      </c>
      <c r="O87" s="176">
        <f t="shared" si="17"/>
        <v>0</v>
      </c>
      <c r="P87" s="176">
        <f t="shared" si="17"/>
        <v>0</v>
      </c>
      <c r="Q87" s="176">
        <f t="shared" si="17"/>
        <v>0</v>
      </c>
      <c r="R87" s="176">
        <f t="shared" si="17"/>
        <v>0</v>
      </c>
      <c r="S87" s="176">
        <f t="shared" si="17"/>
        <v>0</v>
      </c>
      <c r="T87" s="176">
        <f t="shared" si="17"/>
        <v>0</v>
      </c>
      <c r="U87" s="176">
        <f t="shared" si="17"/>
        <v>0</v>
      </c>
      <c r="V87" s="176">
        <f t="shared" si="17"/>
        <v>0</v>
      </c>
      <c r="W87" s="176">
        <f t="shared" si="17"/>
        <v>0</v>
      </c>
      <c r="X87" s="176">
        <f t="shared" si="17"/>
        <v>0</v>
      </c>
      <c r="Y87" s="176">
        <f t="shared" si="17"/>
        <v>0</v>
      </c>
      <c r="Z87" s="176">
        <f t="shared" si="17"/>
        <v>0</v>
      </c>
      <c r="AA87" s="176">
        <f t="shared" si="17"/>
        <v>0</v>
      </c>
      <c r="AB87" s="176">
        <f t="shared" si="17"/>
        <v>0</v>
      </c>
      <c r="AC87" s="176">
        <f t="shared" si="17"/>
        <v>0</v>
      </c>
      <c r="AD87" s="176">
        <f t="shared" si="17"/>
        <v>0</v>
      </c>
      <c r="AE87" s="176">
        <f t="shared" si="17"/>
        <v>0</v>
      </c>
      <c r="AF87" s="176">
        <f t="shared" si="17"/>
        <v>0</v>
      </c>
      <c r="AG87" s="176">
        <f t="shared" si="17"/>
        <v>0</v>
      </c>
      <c r="AH87" s="176">
        <f t="shared" si="17"/>
        <v>0</v>
      </c>
      <c r="AI87" s="176">
        <f t="shared" si="17"/>
        <v>0</v>
      </c>
      <c r="AJ87" s="176">
        <f t="shared" si="17"/>
        <v>0</v>
      </c>
      <c r="AK87" s="176">
        <f t="shared" si="17"/>
        <v>0</v>
      </c>
      <c r="AL87" s="176">
        <f t="shared" si="17"/>
        <v>0</v>
      </c>
      <c r="AM87" s="176">
        <f t="shared" ref="AM87:BH87" si="18">IF(AND(AM54&gt;=$D$31,AM54&lt;=($D$31+$D$32)),$S$11,0)</f>
        <v>0</v>
      </c>
      <c r="AN87" s="176">
        <f t="shared" si="18"/>
        <v>0</v>
      </c>
      <c r="AO87" s="176">
        <f t="shared" si="18"/>
        <v>0</v>
      </c>
      <c r="AP87" s="176">
        <f t="shared" si="18"/>
        <v>0</v>
      </c>
      <c r="AQ87" s="176">
        <f t="shared" si="18"/>
        <v>0</v>
      </c>
      <c r="AR87" s="176">
        <f t="shared" si="18"/>
        <v>0</v>
      </c>
      <c r="AS87" s="176">
        <f t="shared" si="18"/>
        <v>0</v>
      </c>
      <c r="AT87" s="176">
        <f t="shared" si="18"/>
        <v>0</v>
      </c>
      <c r="AU87" s="176">
        <f t="shared" si="18"/>
        <v>0</v>
      </c>
      <c r="AV87" s="176">
        <f t="shared" si="18"/>
        <v>0</v>
      </c>
      <c r="AW87" s="176">
        <f t="shared" si="18"/>
        <v>0</v>
      </c>
      <c r="AX87" s="176">
        <f t="shared" si="18"/>
        <v>0</v>
      </c>
      <c r="AY87" s="176">
        <f t="shared" si="18"/>
        <v>0</v>
      </c>
      <c r="AZ87" s="176">
        <f t="shared" si="18"/>
        <v>0</v>
      </c>
      <c r="BA87" s="176">
        <f t="shared" si="18"/>
        <v>0</v>
      </c>
      <c r="BB87" s="176">
        <f t="shared" si="18"/>
        <v>0</v>
      </c>
      <c r="BC87" s="176">
        <f t="shared" si="18"/>
        <v>0</v>
      </c>
      <c r="BD87" s="176">
        <f t="shared" si="18"/>
        <v>0</v>
      </c>
      <c r="BE87" s="176">
        <f t="shared" si="18"/>
        <v>0</v>
      </c>
      <c r="BF87" s="176">
        <f t="shared" si="18"/>
        <v>0</v>
      </c>
      <c r="BG87" s="176">
        <f t="shared" si="18"/>
        <v>0</v>
      </c>
      <c r="BH87" s="176">
        <f t="shared" si="18"/>
        <v>0</v>
      </c>
      <c r="BI87" s="175">
        <f>NPV($D$49,F87:BH87)</f>
        <v>0</v>
      </c>
      <c r="BJ87" s="121"/>
      <c r="BK87" s="121"/>
      <c r="BL87" s="121"/>
      <c r="BM87" s="121"/>
      <c r="BN87" s="121"/>
      <c r="BO87" s="121"/>
    </row>
    <row r="88" spans="2:67" ht="12.75">
      <c r="C88" s="201"/>
      <c r="D88" s="121" t="s">
        <v>2278</v>
      </c>
      <c r="E88" s="121" t="s">
        <v>2279</v>
      </c>
      <c r="F88" s="176"/>
      <c r="G88" s="176"/>
      <c r="H88" s="176">
        <f>IF(AND(H54&gt;=$D$31,H54&lt;=($D$31+$D$32)),$J$13,0)</f>
        <v>250</v>
      </c>
      <c r="I88" s="176">
        <f t="shared" ref="I88:BH88" si="19">IF(AND(I54&gt;=$D$31,I54&lt;=($D$31+$D$32)),$J$13,0)</f>
        <v>250</v>
      </c>
      <c r="J88" s="176">
        <f t="shared" si="19"/>
        <v>250</v>
      </c>
      <c r="K88" s="176">
        <f t="shared" si="19"/>
        <v>250</v>
      </c>
      <c r="L88" s="176">
        <f t="shared" si="19"/>
        <v>250</v>
      </c>
      <c r="M88" s="176">
        <f t="shared" si="19"/>
        <v>250</v>
      </c>
      <c r="N88" s="176">
        <f t="shared" si="19"/>
        <v>250</v>
      </c>
      <c r="O88" s="176">
        <f t="shared" si="19"/>
        <v>250</v>
      </c>
      <c r="P88" s="176">
        <f t="shared" si="19"/>
        <v>250</v>
      </c>
      <c r="Q88" s="176">
        <f t="shared" si="19"/>
        <v>250</v>
      </c>
      <c r="R88" s="176">
        <f t="shared" si="19"/>
        <v>250</v>
      </c>
      <c r="S88" s="176">
        <f t="shared" si="19"/>
        <v>250</v>
      </c>
      <c r="T88" s="176">
        <f t="shared" si="19"/>
        <v>250</v>
      </c>
      <c r="U88" s="176">
        <f t="shared" si="19"/>
        <v>250</v>
      </c>
      <c r="V88" s="176">
        <f t="shared" si="19"/>
        <v>250</v>
      </c>
      <c r="W88" s="176">
        <f t="shared" si="19"/>
        <v>250</v>
      </c>
      <c r="X88" s="176">
        <f t="shared" si="19"/>
        <v>250</v>
      </c>
      <c r="Y88" s="176">
        <f t="shared" si="19"/>
        <v>250</v>
      </c>
      <c r="Z88" s="176">
        <f t="shared" si="19"/>
        <v>250</v>
      </c>
      <c r="AA88" s="176">
        <f t="shared" si="19"/>
        <v>250</v>
      </c>
      <c r="AB88" s="176">
        <f t="shared" si="19"/>
        <v>250</v>
      </c>
      <c r="AC88" s="176">
        <f t="shared" si="19"/>
        <v>0</v>
      </c>
      <c r="AD88" s="176">
        <f t="shared" si="19"/>
        <v>0</v>
      </c>
      <c r="AE88" s="176">
        <f t="shared" si="19"/>
        <v>0</v>
      </c>
      <c r="AF88" s="176">
        <f t="shared" si="19"/>
        <v>0</v>
      </c>
      <c r="AG88" s="176">
        <f t="shared" si="19"/>
        <v>0</v>
      </c>
      <c r="AH88" s="176">
        <f t="shared" si="19"/>
        <v>0</v>
      </c>
      <c r="AI88" s="176">
        <f t="shared" si="19"/>
        <v>0</v>
      </c>
      <c r="AJ88" s="176">
        <f t="shared" si="19"/>
        <v>0</v>
      </c>
      <c r="AK88" s="176">
        <f t="shared" si="19"/>
        <v>0</v>
      </c>
      <c r="AL88" s="176">
        <f t="shared" si="19"/>
        <v>0</v>
      </c>
      <c r="AM88" s="176">
        <f t="shared" si="19"/>
        <v>0</v>
      </c>
      <c r="AN88" s="176">
        <f t="shared" si="19"/>
        <v>0</v>
      </c>
      <c r="AO88" s="176">
        <f t="shared" si="19"/>
        <v>0</v>
      </c>
      <c r="AP88" s="176">
        <f t="shared" si="19"/>
        <v>0</v>
      </c>
      <c r="AQ88" s="176">
        <f t="shared" si="19"/>
        <v>0</v>
      </c>
      <c r="AR88" s="176">
        <f t="shared" si="19"/>
        <v>0</v>
      </c>
      <c r="AS88" s="176">
        <f t="shared" si="19"/>
        <v>0</v>
      </c>
      <c r="AT88" s="176">
        <f t="shared" si="19"/>
        <v>0</v>
      </c>
      <c r="AU88" s="176">
        <f t="shared" si="19"/>
        <v>0</v>
      </c>
      <c r="AV88" s="176">
        <f t="shared" si="19"/>
        <v>0</v>
      </c>
      <c r="AW88" s="176">
        <f t="shared" si="19"/>
        <v>0</v>
      </c>
      <c r="AX88" s="176">
        <f t="shared" si="19"/>
        <v>0</v>
      </c>
      <c r="AY88" s="176">
        <f t="shared" si="19"/>
        <v>0</v>
      </c>
      <c r="AZ88" s="176">
        <f t="shared" si="19"/>
        <v>0</v>
      </c>
      <c r="BA88" s="176">
        <f t="shared" si="19"/>
        <v>0</v>
      </c>
      <c r="BB88" s="176">
        <f t="shared" si="19"/>
        <v>0</v>
      </c>
      <c r="BC88" s="176">
        <f t="shared" si="19"/>
        <v>0</v>
      </c>
      <c r="BD88" s="176">
        <f t="shared" si="19"/>
        <v>0</v>
      </c>
      <c r="BE88" s="176">
        <f t="shared" si="19"/>
        <v>0</v>
      </c>
      <c r="BF88" s="176">
        <f t="shared" si="19"/>
        <v>0</v>
      </c>
      <c r="BG88" s="176">
        <f t="shared" si="19"/>
        <v>0</v>
      </c>
      <c r="BH88" s="176">
        <f t="shared" si="19"/>
        <v>0</v>
      </c>
      <c r="BI88" s="175"/>
      <c r="BJ88" s="121"/>
      <c r="BK88" s="121"/>
      <c r="BL88" s="121"/>
      <c r="BM88" s="121"/>
      <c r="BN88" s="121"/>
      <c r="BO88" s="121"/>
    </row>
    <row r="89" spans="2:67" ht="12.75">
      <c r="C89" s="201"/>
      <c r="D89" s="121" t="s">
        <v>630</v>
      </c>
      <c r="E89" s="121"/>
      <c r="F89" s="176"/>
      <c r="G89" s="176">
        <f>IF(AND(G54&gt;=$D$31,G54&lt;=($D$31+$D$32)),#REF!,0)</f>
        <v>0</v>
      </c>
      <c r="H89" s="176">
        <f t="shared" ref="H89:AM89" si="20">IF(AND(H54&gt;=$D$31,H54&lt;=($D$31+$D$32)),H88*$J$11,0)</f>
        <v>0</v>
      </c>
      <c r="I89" s="176">
        <f t="shared" si="20"/>
        <v>0</v>
      </c>
      <c r="J89" s="176">
        <f t="shared" si="20"/>
        <v>0</v>
      </c>
      <c r="K89" s="176">
        <f t="shared" si="20"/>
        <v>0</v>
      </c>
      <c r="L89" s="176">
        <f t="shared" si="20"/>
        <v>0</v>
      </c>
      <c r="M89" s="176">
        <f t="shared" si="20"/>
        <v>0</v>
      </c>
      <c r="N89" s="176">
        <f t="shared" si="20"/>
        <v>0</v>
      </c>
      <c r="O89" s="176">
        <f t="shared" si="20"/>
        <v>0</v>
      </c>
      <c r="P89" s="176">
        <f t="shared" si="20"/>
        <v>0</v>
      </c>
      <c r="Q89" s="176">
        <f t="shared" si="20"/>
        <v>0</v>
      </c>
      <c r="R89" s="176">
        <f t="shared" si="20"/>
        <v>0</v>
      </c>
      <c r="S89" s="176">
        <f t="shared" si="20"/>
        <v>0</v>
      </c>
      <c r="T89" s="176">
        <f t="shared" si="20"/>
        <v>0</v>
      </c>
      <c r="U89" s="176">
        <f t="shared" si="20"/>
        <v>0</v>
      </c>
      <c r="V89" s="176">
        <f t="shared" si="20"/>
        <v>0</v>
      </c>
      <c r="W89" s="176">
        <f t="shared" si="20"/>
        <v>0</v>
      </c>
      <c r="X89" s="176">
        <f t="shared" si="20"/>
        <v>0</v>
      </c>
      <c r="Y89" s="176">
        <f t="shared" si="20"/>
        <v>0</v>
      </c>
      <c r="Z89" s="176">
        <f t="shared" si="20"/>
        <v>0</v>
      </c>
      <c r="AA89" s="176">
        <f t="shared" si="20"/>
        <v>0</v>
      </c>
      <c r="AB89" s="176">
        <f t="shared" si="20"/>
        <v>0</v>
      </c>
      <c r="AC89" s="176">
        <f t="shared" si="20"/>
        <v>0</v>
      </c>
      <c r="AD89" s="176">
        <f t="shared" si="20"/>
        <v>0</v>
      </c>
      <c r="AE89" s="176">
        <f t="shared" si="20"/>
        <v>0</v>
      </c>
      <c r="AF89" s="176">
        <f t="shared" si="20"/>
        <v>0</v>
      </c>
      <c r="AG89" s="176">
        <f t="shared" si="20"/>
        <v>0</v>
      </c>
      <c r="AH89" s="176">
        <f t="shared" si="20"/>
        <v>0</v>
      </c>
      <c r="AI89" s="176">
        <f t="shared" si="20"/>
        <v>0</v>
      </c>
      <c r="AJ89" s="176">
        <f t="shared" si="20"/>
        <v>0</v>
      </c>
      <c r="AK89" s="176">
        <f t="shared" si="20"/>
        <v>0</v>
      </c>
      <c r="AL89" s="176">
        <f t="shared" si="20"/>
        <v>0</v>
      </c>
      <c r="AM89" s="176">
        <f t="shared" si="20"/>
        <v>0</v>
      </c>
      <c r="AN89" s="176">
        <f t="shared" ref="AN89:BH89" si="21">IF(AND(AN54&gt;=$D$31,AN54&lt;=($D$31+$D$32)),AN88*$J$11,0)</f>
        <v>0</v>
      </c>
      <c r="AO89" s="176">
        <f t="shared" si="21"/>
        <v>0</v>
      </c>
      <c r="AP89" s="176">
        <f t="shared" si="21"/>
        <v>0</v>
      </c>
      <c r="AQ89" s="176">
        <f t="shared" si="21"/>
        <v>0</v>
      </c>
      <c r="AR89" s="176">
        <f t="shared" si="21"/>
        <v>0</v>
      </c>
      <c r="AS89" s="176">
        <f t="shared" si="21"/>
        <v>0</v>
      </c>
      <c r="AT89" s="176">
        <f t="shared" si="21"/>
        <v>0</v>
      </c>
      <c r="AU89" s="176">
        <f t="shared" si="21"/>
        <v>0</v>
      </c>
      <c r="AV89" s="176">
        <f t="shared" si="21"/>
        <v>0</v>
      </c>
      <c r="AW89" s="176">
        <f t="shared" si="21"/>
        <v>0</v>
      </c>
      <c r="AX89" s="176">
        <f t="shared" si="21"/>
        <v>0</v>
      </c>
      <c r="AY89" s="176">
        <f t="shared" si="21"/>
        <v>0</v>
      </c>
      <c r="AZ89" s="176">
        <f t="shared" si="21"/>
        <v>0</v>
      </c>
      <c r="BA89" s="176">
        <f t="shared" si="21"/>
        <v>0</v>
      </c>
      <c r="BB89" s="176">
        <f t="shared" si="21"/>
        <v>0</v>
      </c>
      <c r="BC89" s="176">
        <f t="shared" si="21"/>
        <v>0</v>
      </c>
      <c r="BD89" s="176">
        <f t="shared" si="21"/>
        <v>0</v>
      </c>
      <c r="BE89" s="176">
        <f t="shared" si="21"/>
        <v>0</v>
      </c>
      <c r="BF89" s="176">
        <f t="shared" si="21"/>
        <v>0</v>
      </c>
      <c r="BG89" s="176">
        <f t="shared" si="21"/>
        <v>0</v>
      </c>
      <c r="BH89" s="176">
        <f t="shared" si="21"/>
        <v>0</v>
      </c>
      <c r="BI89" s="175"/>
      <c r="BJ89" s="121"/>
      <c r="BK89" s="121"/>
      <c r="BL89" s="121"/>
      <c r="BM89" s="121"/>
      <c r="BN89" s="121"/>
      <c r="BO89" s="121"/>
    </row>
    <row r="90" spans="2:67" s="192" customFormat="1" ht="12.75">
      <c r="B90" s="193"/>
      <c r="C90" s="190"/>
      <c r="D90" s="180" t="s">
        <v>373</v>
      </c>
      <c r="E90" s="180" t="s">
        <v>264</v>
      </c>
      <c r="F90" s="194">
        <f t="shared" ref="F90:BH90" si="22">F86+F87</f>
        <v>0</v>
      </c>
      <c r="G90" s="194">
        <f>G86+G87+G89</f>
        <v>0</v>
      </c>
      <c r="H90" s="194">
        <f t="shared" ref="H90:AA90" si="23">H86+H87+H89</f>
        <v>0</v>
      </c>
      <c r="I90" s="194">
        <f t="shared" si="23"/>
        <v>0</v>
      </c>
      <c r="J90" s="194">
        <f t="shared" si="23"/>
        <v>0</v>
      </c>
      <c r="K90" s="194">
        <f t="shared" si="23"/>
        <v>0</v>
      </c>
      <c r="L90" s="194">
        <f t="shared" si="23"/>
        <v>0</v>
      </c>
      <c r="M90" s="194">
        <f t="shared" si="23"/>
        <v>0</v>
      </c>
      <c r="N90" s="194">
        <f t="shared" si="23"/>
        <v>0</v>
      </c>
      <c r="O90" s="194">
        <f t="shared" si="23"/>
        <v>0</v>
      </c>
      <c r="P90" s="194">
        <f t="shared" si="23"/>
        <v>0</v>
      </c>
      <c r="Q90" s="194">
        <f t="shared" si="23"/>
        <v>0</v>
      </c>
      <c r="R90" s="194">
        <f t="shared" si="23"/>
        <v>0</v>
      </c>
      <c r="S90" s="194">
        <f t="shared" si="23"/>
        <v>0</v>
      </c>
      <c r="T90" s="194">
        <f t="shared" si="23"/>
        <v>0</v>
      </c>
      <c r="U90" s="194">
        <f t="shared" si="23"/>
        <v>0</v>
      </c>
      <c r="V90" s="194">
        <f t="shared" si="23"/>
        <v>0</v>
      </c>
      <c r="W90" s="194">
        <f t="shared" si="23"/>
        <v>0</v>
      </c>
      <c r="X90" s="194">
        <f t="shared" si="23"/>
        <v>0</v>
      </c>
      <c r="Y90" s="194">
        <f t="shared" si="23"/>
        <v>0</v>
      </c>
      <c r="Z90" s="194">
        <f t="shared" si="23"/>
        <v>0</v>
      </c>
      <c r="AA90" s="194">
        <f t="shared" si="23"/>
        <v>0</v>
      </c>
      <c r="AB90" s="194">
        <f t="shared" si="22"/>
        <v>0</v>
      </c>
      <c r="AC90" s="194">
        <f t="shared" si="22"/>
        <v>0</v>
      </c>
      <c r="AD90" s="194">
        <f t="shared" si="22"/>
        <v>0</v>
      </c>
      <c r="AE90" s="194">
        <f t="shared" si="22"/>
        <v>0</v>
      </c>
      <c r="AF90" s="194">
        <f t="shared" si="22"/>
        <v>0</v>
      </c>
      <c r="AG90" s="194">
        <f t="shared" si="22"/>
        <v>0</v>
      </c>
      <c r="AH90" s="194">
        <f t="shared" si="22"/>
        <v>0</v>
      </c>
      <c r="AI90" s="194">
        <f t="shared" si="22"/>
        <v>0</v>
      </c>
      <c r="AJ90" s="194">
        <f t="shared" si="22"/>
        <v>0</v>
      </c>
      <c r="AK90" s="194">
        <f t="shared" si="22"/>
        <v>0</v>
      </c>
      <c r="AL90" s="194">
        <f t="shared" si="22"/>
        <v>0</v>
      </c>
      <c r="AM90" s="194">
        <f t="shared" si="22"/>
        <v>0</v>
      </c>
      <c r="AN90" s="194">
        <f t="shared" si="22"/>
        <v>0</v>
      </c>
      <c r="AO90" s="194">
        <f t="shared" si="22"/>
        <v>0</v>
      </c>
      <c r="AP90" s="194">
        <f t="shared" si="22"/>
        <v>0</v>
      </c>
      <c r="AQ90" s="194">
        <f t="shared" si="22"/>
        <v>0</v>
      </c>
      <c r="AR90" s="194">
        <f t="shared" si="22"/>
        <v>0</v>
      </c>
      <c r="AS90" s="194">
        <f t="shared" si="22"/>
        <v>0</v>
      </c>
      <c r="AT90" s="194">
        <f t="shared" si="22"/>
        <v>0</v>
      </c>
      <c r="AU90" s="194">
        <f t="shared" si="22"/>
        <v>0</v>
      </c>
      <c r="AV90" s="194">
        <f t="shared" si="22"/>
        <v>0</v>
      </c>
      <c r="AW90" s="194">
        <f t="shared" si="22"/>
        <v>0</v>
      </c>
      <c r="AX90" s="194">
        <f t="shared" si="22"/>
        <v>0</v>
      </c>
      <c r="AY90" s="194">
        <f t="shared" si="22"/>
        <v>0</v>
      </c>
      <c r="AZ90" s="194">
        <f t="shared" si="22"/>
        <v>0</v>
      </c>
      <c r="BA90" s="194">
        <f t="shared" si="22"/>
        <v>0</v>
      </c>
      <c r="BB90" s="194">
        <f t="shared" si="22"/>
        <v>0</v>
      </c>
      <c r="BC90" s="194">
        <f t="shared" si="22"/>
        <v>0</v>
      </c>
      <c r="BD90" s="194">
        <f t="shared" si="22"/>
        <v>0</v>
      </c>
      <c r="BE90" s="194">
        <f t="shared" si="22"/>
        <v>0</v>
      </c>
      <c r="BF90" s="194">
        <f t="shared" si="22"/>
        <v>0</v>
      </c>
      <c r="BG90" s="194">
        <f t="shared" si="22"/>
        <v>0</v>
      </c>
      <c r="BH90" s="194">
        <f t="shared" si="22"/>
        <v>0</v>
      </c>
      <c r="BI90" s="175">
        <f>NPV($D$49,F90:BH90)</f>
        <v>0</v>
      </c>
      <c r="BJ90" s="180"/>
      <c r="BK90" s="180"/>
      <c r="BL90" s="180"/>
      <c r="BM90" s="180"/>
      <c r="BN90" s="180"/>
      <c r="BO90" s="180"/>
    </row>
    <row r="91" spans="2:67" ht="12.75">
      <c r="C91" s="190"/>
      <c r="D91" s="121"/>
      <c r="E91" s="121"/>
      <c r="F91" s="195"/>
      <c r="G91" s="195"/>
      <c r="H91" s="195"/>
      <c r="I91" s="195"/>
      <c r="J91" s="195"/>
      <c r="K91" s="195"/>
      <c r="L91" s="195"/>
      <c r="M91" s="195"/>
      <c r="N91" s="195"/>
      <c r="O91" s="195"/>
      <c r="P91" s="195"/>
      <c r="Q91" s="195"/>
      <c r="R91" s="195"/>
      <c r="S91" s="195"/>
      <c r="T91" s="195"/>
      <c r="U91" s="195"/>
      <c r="V91" s="195"/>
      <c r="W91" s="195"/>
      <c r="X91" s="195"/>
      <c r="Y91" s="195"/>
      <c r="Z91" s="195"/>
      <c r="AA91" s="195"/>
      <c r="AB91" s="195"/>
      <c r="AC91" s="195"/>
      <c r="AD91" s="195"/>
      <c r="AE91" s="195"/>
      <c r="AF91" s="195"/>
      <c r="AG91" s="195"/>
      <c r="AH91" s="195"/>
      <c r="AI91" s="195"/>
      <c r="AJ91" s="195"/>
      <c r="AK91" s="195"/>
      <c r="AL91" s="195"/>
      <c r="AM91" s="195"/>
      <c r="AN91" s="195"/>
      <c r="AO91" s="195"/>
      <c r="AP91" s="195"/>
      <c r="AQ91" s="195"/>
      <c r="AR91" s="195"/>
      <c r="AS91" s="195"/>
      <c r="AT91" s="195"/>
      <c r="AU91" s="195"/>
      <c r="AV91" s="195"/>
      <c r="AW91" s="195"/>
      <c r="AX91" s="195"/>
      <c r="AY91" s="195"/>
      <c r="AZ91" s="195"/>
      <c r="BA91" s="195"/>
      <c r="BB91" s="195"/>
      <c r="BC91" s="195"/>
      <c r="BD91" s="195"/>
      <c r="BE91" s="195"/>
      <c r="BF91" s="195"/>
      <c r="BG91" s="195"/>
      <c r="BH91" s="195"/>
      <c r="BI91" s="175"/>
      <c r="BJ91" s="121"/>
      <c r="BK91" s="121"/>
      <c r="BL91" s="121"/>
      <c r="BM91" s="121"/>
      <c r="BN91" s="121"/>
      <c r="BO91" s="121"/>
    </row>
    <row r="92" spans="2:67" ht="12.75">
      <c r="C92" s="2005" t="s">
        <v>285</v>
      </c>
      <c r="D92" s="2007"/>
      <c r="E92" s="2007"/>
      <c r="F92" s="121"/>
      <c r="G92" s="121"/>
      <c r="H92" s="121"/>
      <c r="I92" s="121"/>
      <c r="J92" s="121"/>
      <c r="K92" s="121"/>
      <c r="L92" s="121"/>
      <c r="M92" s="121"/>
      <c r="N92" s="121"/>
      <c r="O92" s="121"/>
      <c r="P92" s="121"/>
      <c r="Q92" s="121"/>
      <c r="R92" s="121"/>
      <c r="S92" s="121"/>
      <c r="T92" s="121"/>
      <c r="U92" s="121"/>
      <c r="V92" s="121"/>
      <c r="W92" s="121"/>
      <c r="X92" s="121"/>
      <c r="Y92" s="121"/>
      <c r="Z92" s="121"/>
      <c r="AA92" s="121"/>
      <c r="AB92" s="121"/>
      <c r="AC92" s="121"/>
      <c r="AD92" s="121"/>
      <c r="AE92" s="121"/>
      <c r="AF92" s="121"/>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200"/>
      <c r="BJ92" s="121"/>
      <c r="BK92" s="121"/>
      <c r="BL92" s="121"/>
      <c r="BM92" s="121"/>
      <c r="BN92" s="121"/>
      <c r="BO92" s="121"/>
    </row>
    <row r="93" spans="2:67" ht="12.75">
      <c r="C93" s="201"/>
      <c r="D93" s="121" t="s">
        <v>617</v>
      </c>
      <c r="E93" s="121" t="str">
        <f>IF(C7="railbelt south of Alaska Range","mmBtu per year","gallons per year")</f>
        <v>gallons per year</v>
      </c>
      <c r="F93" s="196">
        <f t="shared" ref="F93:BH93" si="24">IF(AND(F54&gt;=$D$31,F54&lt;=($D$31+$D$32)),$D$34,0)</f>
        <v>0</v>
      </c>
      <c r="G93" s="196">
        <f t="shared" si="24"/>
        <v>0</v>
      </c>
      <c r="H93" s="196">
        <f>IF(AND(H54&gt;=$D$31,H54&lt;=($D$31+$D$32)),$D$34,0)</f>
        <v>0</v>
      </c>
      <c r="I93" s="196">
        <f t="shared" si="24"/>
        <v>0</v>
      </c>
      <c r="J93" s="196">
        <f t="shared" si="24"/>
        <v>0</v>
      </c>
      <c r="K93" s="196">
        <f t="shared" si="24"/>
        <v>0</v>
      </c>
      <c r="L93" s="196">
        <f t="shared" si="24"/>
        <v>0</v>
      </c>
      <c r="M93" s="196">
        <f t="shared" si="24"/>
        <v>0</v>
      </c>
      <c r="N93" s="196">
        <f t="shared" si="24"/>
        <v>0</v>
      </c>
      <c r="O93" s="196">
        <f t="shared" si="24"/>
        <v>0</v>
      </c>
      <c r="P93" s="196">
        <f t="shared" si="24"/>
        <v>0</v>
      </c>
      <c r="Q93" s="196">
        <f t="shared" si="24"/>
        <v>0</v>
      </c>
      <c r="R93" s="196">
        <f t="shared" si="24"/>
        <v>0</v>
      </c>
      <c r="S93" s="196">
        <f t="shared" si="24"/>
        <v>0</v>
      </c>
      <c r="T93" s="196">
        <f t="shared" si="24"/>
        <v>0</v>
      </c>
      <c r="U93" s="196">
        <f t="shared" si="24"/>
        <v>0</v>
      </c>
      <c r="V93" s="196">
        <f t="shared" si="24"/>
        <v>0</v>
      </c>
      <c r="W93" s="196">
        <f t="shared" si="24"/>
        <v>0</v>
      </c>
      <c r="X93" s="196">
        <f t="shared" si="24"/>
        <v>0</v>
      </c>
      <c r="Y93" s="196">
        <f t="shared" si="24"/>
        <v>0</v>
      </c>
      <c r="Z93" s="196">
        <f t="shared" si="24"/>
        <v>0</v>
      </c>
      <c r="AA93" s="196">
        <f t="shared" si="24"/>
        <v>0</v>
      </c>
      <c r="AB93" s="196">
        <f t="shared" si="24"/>
        <v>0</v>
      </c>
      <c r="AC93" s="196">
        <f t="shared" si="24"/>
        <v>0</v>
      </c>
      <c r="AD93" s="196">
        <f t="shared" si="24"/>
        <v>0</v>
      </c>
      <c r="AE93" s="196">
        <f t="shared" si="24"/>
        <v>0</v>
      </c>
      <c r="AF93" s="196">
        <f t="shared" si="24"/>
        <v>0</v>
      </c>
      <c r="AG93" s="196">
        <f t="shared" si="24"/>
        <v>0</v>
      </c>
      <c r="AH93" s="196">
        <f t="shared" si="24"/>
        <v>0</v>
      </c>
      <c r="AI93" s="196">
        <f t="shared" si="24"/>
        <v>0</v>
      </c>
      <c r="AJ93" s="196">
        <f t="shared" si="24"/>
        <v>0</v>
      </c>
      <c r="AK93" s="196">
        <f t="shared" si="24"/>
        <v>0</v>
      </c>
      <c r="AL93" s="196">
        <f t="shared" si="24"/>
        <v>0</v>
      </c>
      <c r="AM93" s="196">
        <f t="shared" si="24"/>
        <v>0</v>
      </c>
      <c r="AN93" s="196">
        <f t="shared" si="24"/>
        <v>0</v>
      </c>
      <c r="AO93" s="196">
        <f t="shared" si="24"/>
        <v>0</v>
      </c>
      <c r="AP93" s="196">
        <f t="shared" si="24"/>
        <v>0</v>
      </c>
      <c r="AQ93" s="196">
        <f t="shared" si="24"/>
        <v>0</v>
      </c>
      <c r="AR93" s="196">
        <f t="shared" si="24"/>
        <v>0</v>
      </c>
      <c r="AS93" s="196">
        <f t="shared" si="24"/>
        <v>0</v>
      </c>
      <c r="AT93" s="196">
        <f t="shared" si="24"/>
        <v>0</v>
      </c>
      <c r="AU93" s="196">
        <f t="shared" si="24"/>
        <v>0</v>
      </c>
      <c r="AV93" s="196">
        <f t="shared" si="24"/>
        <v>0</v>
      </c>
      <c r="AW93" s="196">
        <f t="shared" si="24"/>
        <v>0</v>
      </c>
      <c r="AX93" s="196">
        <f t="shared" si="24"/>
        <v>0</v>
      </c>
      <c r="AY93" s="196">
        <f t="shared" si="24"/>
        <v>0</v>
      </c>
      <c r="AZ93" s="196">
        <f t="shared" si="24"/>
        <v>0</v>
      </c>
      <c r="BA93" s="196">
        <f t="shared" si="24"/>
        <v>0</v>
      </c>
      <c r="BB93" s="196">
        <f t="shared" si="24"/>
        <v>0</v>
      </c>
      <c r="BC93" s="196">
        <f t="shared" si="24"/>
        <v>0</v>
      </c>
      <c r="BD93" s="196">
        <f t="shared" si="24"/>
        <v>0</v>
      </c>
      <c r="BE93" s="196">
        <f t="shared" si="24"/>
        <v>0</v>
      </c>
      <c r="BF93" s="196">
        <f t="shared" si="24"/>
        <v>0</v>
      </c>
      <c r="BG93" s="196">
        <f t="shared" si="24"/>
        <v>0</v>
      </c>
      <c r="BH93" s="196">
        <f t="shared" si="24"/>
        <v>0</v>
      </c>
      <c r="BI93" s="175"/>
      <c r="BJ93" s="121"/>
      <c r="BK93" s="121"/>
      <c r="BL93" s="121"/>
      <c r="BM93" s="121"/>
      <c r="BN93" s="121"/>
      <c r="BO93" s="121"/>
    </row>
    <row r="94" spans="2:67" ht="12.75">
      <c r="C94" s="201"/>
      <c r="D94" s="121" t="s">
        <v>270</v>
      </c>
      <c r="E94" s="121" t="str">
        <f>IF(C7="railbelt south of alaska range","$ per mmBtu","$ per gallon")</f>
        <v>$ per gallon</v>
      </c>
      <c r="F94" s="187"/>
      <c r="G94" s="187">
        <f>G74+$D$47</f>
        <v>4.2059794220983502</v>
      </c>
      <c r="H94" s="187">
        <f t="shared" ref="H94:BH94" si="25">H74+$D$47</f>
        <v>4.6732754001702883</v>
      </c>
      <c r="I94" s="187">
        <f t="shared" si="25"/>
        <v>4.8376162909716216</v>
      </c>
      <c r="J94" s="187">
        <f t="shared" si="25"/>
        <v>4.8496361886136912</v>
      </c>
      <c r="K94" s="187">
        <f t="shared" si="25"/>
        <v>4.9056275244664125</v>
      </c>
      <c r="L94" s="187">
        <f t="shared" si="25"/>
        <v>4.9619109251504847</v>
      </c>
      <c r="M94" s="187">
        <f t="shared" si="25"/>
        <v>5.0381773568460284</v>
      </c>
      <c r="N94" s="187">
        <f t="shared" si="25"/>
        <v>5.1199306055642086</v>
      </c>
      <c r="O94" s="187">
        <f t="shared" si="25"/>
        <v>5.2046041917591079</v>
      </c>
      <c r="P94" s="187">
        <f t="shared" si="25"/>
        <v>5.2910732209604339</v>
      </c>
      <c r="Q94" s="187">
        <f t="shared" si="25"/>
        <v>5.377947971766412</v>
      </c>
      <c r="R94" s="187">
        <f t="shared" si="25"/>
        <v>5.4704967063761769</v>
      </c>
      <c r="S94" s="187">
        <f t="shared" si="25"/>
        <v>5.5653090792390989</v>
      </c>
      <c r="T94" s="187">
        <f t="shared" si="25"/>
        <v>5.6624414849609002</v>
      </c>
      <c r="U94" s="187">
        <f t="shared" si="25"/>
        <v>5.7619514121882238</v>
      </c>
      <c r="V94" s="187">
        <f t="shared" si="25"/>
        <v>5.863897589004015</v>
      </c>
      <c r="W94" s="187">
        <f t="shared" si="25"/>
        <v>5.9683408481979816</v>
      </c>
      <c r="X94" s="187">
        <f t="shared" si="25"/>
        <v>6.075342926874276</v>
      </c>
      <c r="Y94" s="187">
        <f t="shared" si="25"/>
        <v>6.184818158118297</v>
      </c>
      <c r="Z94" s="187">
        <f t="shared" si="25"/>
        <v>6.292419236935225</v>
      </c>
      <c r="AA94" s="187">
        <f t="shared" si="25"/>
        <v>6.4056246146124609</v>
      </c>
      <c r="AB94" s="187">
        <f t="shared" si="25"/>
        <v>6.5219530773050831</v>
      </c>
      <c r="AC94" s="187">
        <f t="shared" si="25"/>
        <v>6.6360405950884838</v>
      </c>
      <c r="AD94" s="187">
        <f t="shared" si="25"/>
        <v>6.7587026423442191</v>
      </c>
      <c r="AE94" s="187">
        <f t="shared" si="25"/>
        <v>6.8910386217753219</v>
      </c>
      <c r="AF94" s="187">
        <f t="shared" si="25"/>
        <v>7.014392524247052</v>
      </c>
      <c r="AG94" s="187">
        <f t="shared" si="25"/>
        <v>7.014392524247052</v>
      </c>
      <c r="AH94" s="187">
        <f t="shared" si="25"/>
        <v>7.014392524247052</v>
      </c>
      <c r="AI94" s="187">
        <f t="shared" si="25"/>
        <v>7.014392524247052</v>
      </c>
      <c r="AJ94" s="187">
        <f t="shared" si="25"/>
        <v>7.014392524247052</v>
      </c>
      <c r="AK94" s="187">
        <f t="shared" si="25"/>
        <v>7.014392524247052</v>
      </c>
      <c r="AL94" s="187">
        <f t="shared" si="25"/>
        <v>7.014392524247052</v>
      </c>
      <c r="AM94" s="187">
        <f t="shared" si="25"/>
        <v>7.014392524247052</v>
      </c>
      <c r="AN94" s="187">
        <f t="shared" si="25"/>
        <v>7.014392524247052</v>
      </c>
      <c r="AO94" s="187">
        <f t="shared" si="25"/>
        <v>7.014392524247052</v>
      </c>
      <c r="AP94" s="187">
        <f t="shared" si="25"/>
        <v>7.014392524247052</v>
      </c>
      <c r="AQ94" s="187">
        <f t="shared" si="25"/>
        <v>7.014392524247052</v>
      </c>
      <c r="AR94" s="187">
        <f t="shared" si="25"/>
        <v>7.014392524247052</v>
      </c>
      <c r="AS94" s="187">
        <f t="shared" si="25"/>
        <v>7.014392524247052</v>
      </c>
      <c r="AT94" s="187">
        <f t="shared" si="25"/>
        <v>7.014392524247052</v>
      </c>
      <c r="AU94" s="187">
        <f t="shared" si="25"/>
        <v>7.014392524247052</v>
      </c>
      <c r="AV94" s="187">
        <f t="shared" si="25"/>
        <v>7.014392524247052</v>
      </c>
      <c r="AW94" s="187">
        <f t="shared" si="25"/>
        <v>7.014392524247052</v>
      </c>
      <c r="AX94" s="187">
        <f t="shared" si="25"/>
        <v>7.014392524247052</v>
      </c>
      <c r="AY94" s="187">
        <f t="shared" si="25"/>
        <v>7.014392524247052</v>
      </c>
      <c r="AZ94" s="187">
        <f t="shared" si="25"/>
        <v>7.014392524247052</v>
      </c>
      <c r="BA94" s="187">
        <f t="shared" si="25"/>
        <v>7.014392524247052</v>
      </c>
      <c r="BB94" s="187">
        <f t="shared" si="25"/>
        <v>7.014392524247052</v>
      </c>
      <c r="BC94" s="187">
        <f t="shared" si="25"/>
        <v>7.014392524247052</v>
      </c>
      <c r="BD94" s="187">
        <f t="shared" si="25"/>
        <v>7.014392524247052</v>
      </c>
      <c r="BE94" s="187">
        <f t="shared" si="25"/>
        <v>7.014392524247052</v>
      </c>
      <c r="BF94" s="187">
        <f t="shared" si="25"/>
        <v>7.014392524247052</v>
      </c>
      <c r="BG94" s="187">
        <f t="shared" si="25"/>
        <v>7.014392524247052</v>
      </c>
      <c r="BH94" s="187">
        <f t="shared" si="25"/>
        <v>7.014392524247052</v>
      </c>
      <c r="BI94" s="175"/>
      <c r="BJ94" s="121"/>
      <c r="BK94" s="121"/>
      <c r="BL94" s="121"/>
      <c r="BM94" s="121"/>
      <c r="BN94" s="121"/>
      <c r="BO94" s="121"/>
    </row>
    <row r="95" spans="2:67" ht="12.75">
      <c r="C95" s="201" t="s">
        <v>277</v>
      </c>
      <c r="D95" s="121" t="s">
        <v>382</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v>0</v>
      </c>
      <c r="AC95" s="176">
        <v>0</v>
      </c>
      <c r="AD95" s="176">
        <v>0</v>
      </c>
      <c r="AE95" s="176">
        <v>0</v>
      </c>
      <c r="AF95" s="176">
        <v>0</v>
      </c>
      <c r="AG95" s="176">
        <v>0</v>
      </c>
      <c r="AH95" s="176">
        <v>0</v>
      </c>
      <c r="AI95" s="176">
        <v>0</v>
      </c>
      <c r="AJ95" s="176">
        <v>0</v>
      </c>
      <c r="AK95" s="176">
        <v>0</v>
      </c>
      <c r="AL95" s="176">
        <v>0</v>
      </c>
      <c r="AM95" s="176">
        <v>0</v>
      </c>
      <c r="AN95" s="176">
        <v>0</v>
      </c>
      <c r="AO95" s="176">
        <v>0</v>
      </c>
      <c r="AP95" s="176">
        <v>0</v>
      </c>
      <c r="AQ95" s="176">
        <v>0</v>
      </c>
      <c r="AR95" s="176">
        <v>0</v>
      </c>
      <c r="AS95" s="176">
        <v>0</v>
      </c>
      <c r="AT95" s="176">
        <v>0</v>
      </c>
      <c r="AU95" s="176">
        <v>0</v>
      </c>
      <c r="AV95" s="176">
        <v>0</v>
      </c>
      <c r="AW95" s="176">
        <v>0</v>
      </c>
      <c r="AX95" s="176">
        <v>0</v>
      </c>
      <c r="AY95" s="176">
        <v>0</v>
      </c>
      <c r="AZ95" s="176">
        <v>0</v>
      </c>
      <c r="BA95" s="176">
        <v>0</v>
      </c>
      <c r="BB95" s="176">
        <v>0</v>
      </c>
      <c r="BC95" s="176">
        <v>0</v>
      </c>
      <c r="BD95" s="176">
        <v>0</v>
      </c>
      <c r="BE95" s="176">
        <v>0</v>
      </c>
      <c r="BF95" s="176">
        <v>0</v>
      </c>
      <c r="BG95" s="176">
        <v>0</v>
      </c>
      <c r="BH95" s="176">
        <v>0</v>
      </c>
      <c r="BI95" s="175">
        <f>NPV($D$49,F95:BH95)</f>
        <v>0</v>
      </c>
      <c r="BJ95" s="121"/>
      <c r="BK95" s="121"/>
      <c r="BL95" s="121"/>
      <c r="BM95" s="121"/>
      <c r="BN95" s="121"/>
      <c r="BO95" s="121"/>
    </row>
    <row r="96" spans="2:67" ht="12.75">
      <c r="C96" s="201" t="s">
        <v>277</v>
      </c>
      <c r="D96" s="121" t="s">
        <v>316</v>
      </c>
      <c r="E96" s="121" t="s">
        <v>264</v>
      </c>
      <c r="F96" s="176">
        <v>0</v>
      </c>
      <c r="G96" s="176"/>
      <c r="H96" s="176"/>
      <c r="I96" s="176"/>
      <c r="J96" s="176"/>
      <c r="K96" s="176"/>
      <c r="L96" s="176"/>
      <c r="M96" s="176"/>
      <c r="N96" s="176"/>
      <c r="O96" s="176"/>
      <c r="P96" s="176"/>
      <c r="Q96" s="176"/>
      <c r="R96" s="176"/>
      <c r="S96" s="176"/>
      <c r="T96" s="176"/>
      <c r="U96" s="176"/>
      <c r="V96" s="176"/>
      <c r="W96" s="176"/>
      <c r="X96" s="176"/>
      <c r="Y96" s="176"/>
      <c r="Z96" s="176"/>
      <c r="AA96" s="176"/>
      <c r="AB96" s="176">
        <v>0</v>
      </c>
      <c r="AC96" s="176">
        <v>0</v>
      </c>
      <c r="AD96" s="176">
        <v>0</v>
      </c>
      <c r="AE96" s="176">
        <v>0</v>
      </c>
      <c r="AF96" s="176">
        <v>0</v>
      </c>
      <c r="AG96" s="176">
        <v>0</v>
      </c>
      <c r="AH96" s="176">
        <v>0</v>
      </c>
      <c r="AI96" s="176">
        <v>0</v>
      </c>
      <c r="AJ96" s="176">
        <v>0</v>
      </c>
      <c r="AK96" s="176">
        <v>0</v>
      </c>
      <c r="AL96" s="176">
        <v>0</v>
      </c>
      <c r="AM96" s="176">
        <v>0</v>
      </c>
      <c r="AN96" s="176">
        <v>0</v>
      </c>
      <c r="AO96" s="176">
        <v>0</v>
      </c>
      <c r="AP96" s="176">
        <v>0</v>
      </c>
      <c r="AQ96" s="176">
        <v>0</v>
      </c>
      <c r="AR96" s="176">
        <v>0</v>
      </c>
      <c r="AS96" s="176">
        <v>0</v>
      </c>
      <c r="AT96" s="176">
        <v>0</v>
      </c>
      <c r="AU96" s="176">
        <v>0</v>
      </c>
      <c r="AV96" s="176">
        <v>0</v>
      </c>
      <c r="AW96" s="176">
        <v>0</v>
      </c>
      <c r="AX96" s="176">
        <v>0</v>
      </c>
      <c r="AY96" s="176">
        <v>0</v>
      </c>
      <c r="AZ96" s="176">
        <v>0</v>
      </c>
      <c r="BA96" s="176">
        <v>0</v>
      </c>
      <c r="BB96" s="176">
        <v>0</v>
      </c>
      <c r="BC96" s="176">
        <v>0</v>
      </c>
      <c r="BD96" s="176">
        <v>0</v>
      </c>
      <c r="BE96" s="176">
        <v>0</v>
      </c>
      <c r="BF96" s="176">
        <v>0</v>
      </c>
      <c r="BG96" s="176">
        <v>0</v>
      </c>
      <c r="BH96" s="176">
        <v>0</v>
      </c>
      <c r="BI96" s="175">
        <f>NPV($D$49,F96:BH96)</f>
        <v>0</v>
      </c>
      <c r="BJ96" s="121"/>
      <c r="BK96" s="121"/>
      <c r="BL96" s="121"/>
      <c r="BM96" s="121"/>
      <c r="BN96" s="121"/>
      <c r="BO96" s="121"/>
    </row>
    <row r="97" spans="2:70" ht="12.75">
      <c r="C97" s="190"/>
      <c r="D97" s="121" t="s">
        <v>270</v>
      </c>
      <c r="E97" s="121" t="s">
        <v>264</v>
      </c>
      <c r="F97" s="191">
        <f t="shared" ref="F97:BH97" si="26">F93*F94</f>
        <v>0</v>
      </c>
      <c r="G97" s="191">
        <f t="shared" si="26"/>
        <v>0</v>
      </c>
      <c r="H97" s="191">
        <f t="shared" si="26"/>
        <v>0</v>
      </c>
      <c r="I97" s="191">
        <f t="shared" si="26"/>
        <v>0</v>
      </c>
      <c r="J97" s="191">
        <f t="shared" si="26"/>
        <v>0</v>
      </c>
      <c r="K97" s="191">
        <f t="shared" si="26"/>
        <v>0</v>
      </c>
      <c r="L97" s="191">
        <f t="shared" si="26"/>
        <v>0</v>
      </c>
      <c r="M97" s="191">
        <f t="shared" si="26"/>
        <v>0</v>
      </c>
      <c r="N97" s="191">
        <f t="shared" si="26"/>
        <v>0</v>
      </c>
      <c r="O97" s="191">
        <f t="shared" si="26"/>
        <v>0</v>
      </c>
      <c r="P97" s="191">
        <f t="shared" si="26"/>
        <v>0</v>
      </c>
      <c r="Q97" s="191">
        <f t="shared" si="26"/>
        <v>0</v>
      </c>
      <c r="R97" s="191">
        <f t="shared" si="26"/>
        <v>0</v>
      </c>
      <c r="S97" s="191">
        <f t="shared" si="26"/>
        <v>0</v>
      </c>
      <c r="T97" s="191">
        <f t="shared" si="26"/>
        <v>0</v>
      </c>
      <c r="U97" s="191">
        <f t="shared" si="26"/>
        <v>0</v>
      </c>
      <c r="V97" s="191">
        <f t="shared" si="26"/>
        <v>0</v>
      </c>
      <c r="W97" s="191">
        <f t="shared" si="26"/>
        <v>0</v>
      </c>
      <c r="X97" s="191">
        <f t="shared" si="26"/>
        <v>0</v>
      </c>
      <c r="Y97" s="191">
        <f t="shared" si="26"/>
        <v>0</v>
      </c>
      <c r="Z97" s="191">
        <f t="shared" si="26"/>
        <v>0</v>
      </c>
      <c r="AA97" s="191">
        <f t="shared" si="26"/>
        <v>0</v>
      </c>
      <c r="AB97" s="191">
        <f t="shared" si="26"/>
        <v>0</v>
      </c>
      <c r="AC97" s="191">
        <f t="shared" si="26"/>
        <v>0</v>
      </c>
      <c r="AD97" s="191">
        <f t="shared" si="26"/>
        <v>0</v>
      </c>
      <c r="AE97" s="191">
        <f t="shared" si="26"/>
        <v>0</v>
      </c>
      <c r="AF97" s="191">
        <f t="shared" si="26"/>
        <v>0</v>
      </c>
      <c r="AG97" s="191">
        <f t="shared" si="26"/>
        <v>0</v>
      </c>
      <c r="AH97" s="191">
        <f t="shared" si="26"/>
        <v>0</v>
      </c>
      <c r="AI97" s="191">
        <f t="shared" si="26"/>
        <v>0</v>
      </c>
      <c r="AJ97" s="191">
        <f t="shared" si="26"/>
        <v>0</v>
      </c>
      <c r="AK97" s="191">
        <f t="shared" si="26"/>
        <v>0</v>
      </c>
      <c r="AL97" s="191">
        <f t="shared" si="26"/>
        <v>0</v>
      </c>
      <c r="AM97" s="191">
        <f t="shared" si="26"/>
        <v>0</v>
      </c>
      <c r="AN97" s="191">
        <f t="shared" si="26"/>
        <v>0</v>
      </c>
      <c r="AO97" s="191">
        <f t="shared" si="26"/>
        <v>0</v>
      </c>
      <c r="AP97" s="191">
        <f t="shared" si="26"/>
        <v>0</v>
      </c>
      <c r="AQ97" s="191">
        <f t="shared" si="26"/>
        <v>0</v>
      </c>
      <c r="AR97" s="191">
        <f t="shared" si="26"/>
        <v>0</v>
      </c>
      <c r="AS97" s="191">
        <f t="shared" si="26"/>
        <v>0</v>
      </c>
      <c r="AT97" s="191">
        <f t="shared" si="26"/>
        <v>0</v>
      </c>
      <c r="AU97" s="191">
        <f t="shared" si="26"/>
        <v>0</v>
      </c>
      <c r="AV97" s="191">
        <f t="shared" si="26"/>
        <v>0</v>
      </c>
      <c r="AW97" s="191">
        <f t="shared" si="26"/>
        <v>0</v>
      </c>
      <c r="AX97" s="191">
        <f t="shared" si="26"/>
        <v>0</v>
      </c>
      <c r="AY97" s="191">
        <f t="shared" si="26"/>
        <v>0</v>
      </c>
      <c r="AZ97" s="191">
        <f t="shared" si="26"/>
        <v>0</v>
      </c>
      <c r="BA97" s="191">
        <f t="shared" si="26"/>
        <v>0</v>
      </c>
      <c r="BB97" s="191">
        <f t="shared" si="26"/>
        <v>0</v>
      </c>
      <c r="BC97" s="191">
        <f t="shared" si="26"/>
        <v>0</v>
      </c>
      <c r="BD97" s="191">
        <f t="shared" si="26"/>
        <v>0</v>
      </c>
      <c r="BE97" s="191">
        <f t="shared" si="26"/>
        <v>0</v>
      </c>
      <c r="BF97" s="191">
        <f t="shared" si="26"/>
        <v>0</v>
      </c>
      <c r="BG97" s="191">
        <f t="shared" si="26"/>
        <v>0</v>
      </c>
      <c r="BH97" s="191">
        <f t="shared" si="26"/>
        <v>0</v>
      </c>
      <c r="BI97" s="175">
        <f>NPV($D$49,F97:BH97)</f>
        <v>0</v>
      </c>
      <c r="BJ97" s="121"/>
      <c r="BK97" s="121"/>
      <c r="BL97" s="121"/>
      <c r="BM97" s="121"/>
      <c r="BN97" s="121"/>
      <c r="BO97" s="121"/>
    </row>
    <row r="98" spans="2:70" s="192" customFormat="1" ht="12.75">
      <c r="B98" s="193"/>
      <c r="C98" s="202"/>
      <c r="D98" s="184" t="s">
        <v>1164</v>
      </c>
      <c r="E98" s="184" t="s">
        <v>264</v>
      </c>
      <c r="F98" s="197">
        <f>F97+F96+F95</f>
        <v>0</v>
      </c>
      <c r="G98" s="197">
        <f>G97-G90</f>
        <v>0</v>
      </c>
      <c r="H98" s="197">
        <f t="shared" ref="H98:BH98" si="27">H97-H90</f>
        <v>0</v>
      </c>
      <c r="I98" s="197">
        <f t="shared" si="27"/>
        <v>0</v>
      </c>
      <c r="J98" s="197">
        <f t="shared" si="27"/>
        <v>0</v>
      </c>
      <c r="K98" s="197">
        <f t="shared" si="27"/>
        <v>0</v>
      </c>
      <c r="L98" s="197">
        <f t="shared" si="27"/>
        <v>0</v>
      </c>
      <c r="M98" s="197">
        <f t="shared" si="27"/>
        <v>0</v>
      </c>
      <c r="N98" s="197">
        <f t="shared" si="27"/>
        <v>0</v>
      </c>
      <c r="O98" s="197">
        <f t="shared" si="27"/>
        <v>0</v>
      </c>
      <c r="P98" s="197">
        <f t="shared" si="27"/>
        <v>0</v>
      </c>
      <c r="Q98" s="197">
        <f t="shared" si="27"/>
        <v>0</v>
      </c>
      <c r="R98" s="197">
        <f t="shared" si="27"/>
        <v>0</v>
      </c>
      <c r="S98" s="197">
        <f t="shared" si="27"/>
        <v>0</v>
      </c>
      <c r="T98" s="197">
        <f t="shared" si="27"/>
        <v>0</v>
      </c>
      <c r="U98" s="197">
        <f t="shared" si="27"/>
        <v>0</v>
      </c>
      <c r="V98" s="197">
        <f t="shared" si="27"/>
        <v>0</v>
      </c>
      <c r="W98" s="197">
        <f t="shared" si="27"/>
        <v>0</v>
      </c>
      <c r="X98" s="197">
        <f t="shared" si="27"/>
        <v>0</v>
      </c>
      <c r="Y98" s="197">
        <f t="shared" si="27"/>
        <v>0</v>
      </c>
      <c r="Z98" s="197">
        <f t="shared" si="27"/>
        <v>0</v>
      </c>
      <c r="AA98" s="197">
        <f t="shared" si="27"/>
        <v>0</v>
      </c>
      <c r="AB98" s="197">
        <f t="shared" si="27"/>
        <v>0</v>
      </c>
      <c r="AC98" s="197">
        <f t="shared" si="27"/>
        <v>0</v>
      </c>
      <c r="AD98" s="197">
        <f t="shared" si="27"/>
        <v>0</v>
      </c>
      <c r="AE98" s="197">
        <f t="shared" si="27"/>
        <v>0</v>
      </c>
      <c r="AF98" s="197">
        <f t="shared" si="27"/>
        <v>0</v>
      </c>
      <c r="AG98" s="197">
        <f t="shared" si="27"/>
        <v>0</v>
      </c>
      <c r="AH98" s="197">
        <f t="shared" si="27"/>
        <v>0</v>
      </c>
      <c r="AI98" s="197">
        <f t="shared" si="27"/>
        <v>0</v>
      </c>
      <c r="AJ98" s="197">
        <f t="shared" si="27"/>
        <v>0</v>
      </c>
      <c r="AK98" s="197">
        <f t="shared" si="27"/>
        <v>0</v>
      </c>
      <c r="AL98" s="197">
        <f t="shared" si="27"/>
        <v>0</v>
      </c>
      <c r="AM98" s="197">
        <f t="shared" si="27"/>
        <v>0</v>
      </c>
      <c r="AN98" s="197">
        <f t="shared" si="27"/>
        <v>0</v>
      </c>
      <c r="AO98" s="197">
        <f t="shared" si="27"/>
        <v>0</v>
      </c>
      <c r="AP98" s="197">
        <f t="shared" si="27"/>
        <v>0</v>
      </c>
      <c r="AQ98" s="197">
        <f t="shared" si="27"/>
        <v>0</v>
      </c>
      <c r="AR98" s="197">
        <f t="shared" si="27"/>
        <v>0</v>
      </c>
      <c r="AS98" s="197">
        <f t="shared" si="27"/>
        <v>0</v>
      </c>
      <c r="AT98" s="197">
        <f t="shared" si="27"/>
        <v>0</v>
      </c>
      <c r="AU98" s="197">
        <f t="shared" si="27"/>
        <v>0</v>
      </c>
      <c r="AV98" s="197">
        <f t="shared" si="27"/>
        <v>0</v>
      </c>
      <c r="AW98" s="197">
        <f t="shared" si="27"/>
        <v>0</v>
      </c>
      <c r="AX98" s="197">
        <f t="shared" si="27"/>
        <v>0</v>
      </c>
      <c r="AY98" s="197">
        <f t="shared" si="27"/>
        <v>0</v>
      </c>
      <c r="AZ98" s="197">
        <f t="shared" si="27"/>
        <v>0</v>
      </c>
      <c r="BA98" s="197">
        <f t="shared" si="27"/>
        <v>0</v>
      </c>
      <c r="BB98" s="197">
        <f t="shared" si="27"/>
        <v>0</v>
      </c>
      <c r="BC98" s="197">
        <f t="shared" si="27"/>
        <v>0</v>
      </c>
      <c r="BD98" s="197">
        <f t="shared" si="27"/>
        <v>0</v>
      </c>
      <c r="BE98" s="197">
        <f t="shared" si="27"/>
        <v>0</v>
      </c>
      <c r="BF98" s="197">
        <f t="shared" si="27"/>
        <v>0</v>
      </c>
      <c r="BG98" s="197">
        <f t="shared" si="27"/>
        <v>0</v>
      </c>
      <c r="BH98" s="197">
        <f t="shared" si="27"/>
        <v>0</v>
      </c>
      <c r="BI98" s="175">
        <f>NPV($D$49,F98:BH98)</f>
        <v>0</v>
      </c>
      <c r="BJ98" s="180"/>
      <c r="BK98" s="180"/>
      <c r="BL98" s="180"/>
      <c r="BM98" s="180"/>
      <c r="BN98" s="180"/>
      <c r="BO98" s="180"/>
    </row>
    <row r="99" spans="2:70" ht="12.75">
      <c r="C99" s="186"/>
      <c r="D99" s="121"/>
      <c r="E99" s="121"/>
      <c r="F99" s="195"/>
      <c r="G99" s="195"/>
      <c r="H99" s="195"/>
      <c r="I99" s="195"/>
      <c r="J99" s="195"/>
      <c r="K99" s="195"/>
      <c r="L99" s="195"/>
      <c r="M99" s="195"/>
      <c r="N99" s="195"/>
      <c r="O99" s="195"/>
      <c r="P99" s="195"/>
      <c r="Q99" s="195"/>
      <c r="R99" s="195"/>
      <c r="S99" s="195"/>
      <c r="T99" s="195"/>
      <c r="U99" s="195"/>
      <c r="V99" s="195"/>
      <c r="W99" s="195"/>
      <c r="X99" s="195"/>
      <c r="Y99" s="195"/>
      <c r="Z99" s="195"/>
      <c r="AA99" s="195"/>
      <c r="AB99" s="195"/>
      <c r="AC99" s="195"/>
      <c r="AD99" s="195"/>
      <c r="AE99" s="195"/>
      <c r="AF99" s="195"/>
      <c r="AG99" s="195"/>
      <c r="AH99" s="195"/>
      <c r="AI99" s="195"/>
      <c r="AJ99" s="195"/>
      <c r="AK99" s="195"/>
      <c r="AL99" s="195"/>
      <c r="AM99" s="195"/>
      <c r="AN99" s="195"/>
      <c r="AO99" s="195"/>
      <c r="AP99" s="195"/>
      <c r="AQ99" s="195"/>
      <c r="AR99" s="195"/>
      <c r="AS99" s="195"/>
      <c r="AT99" s="195"/>
      <c r="AU99" s="195"/>
      <c r="AV99" s="195"/>
      <c r="AW99" s="195"/>
      <c r="AX99" s="195"/>
      <c r="AY99" s="195"/>
      <c r="AZ99" s="195"/>
      <c r="BA99" s="195"/>
      <c r="BB99" s="195"/>
      <c r="BC99" s="195"/>
      <c r="BD99" s="195"/>
      <c r="BE99" s="195"/>
      <c r="BF99" s="195"/>
      <c r="BG99" s="195"/>
      <c r="BH99" s="195"/>
      <c r="BI99" s="195"/>
      <c r="BJ99" s="195"/>
      <c r="BK99" s="195"/>
      <c r="BL99" s="195"/>
      <c r="BM99" s="195"/>
      <c r="BN99" s="195"/>
      <c r="BO99" s="175"/>
      <c r="BP99" s="121"/>
      <c r="BQ99" s="121"/>
      <c r="BR99" s="121"/>
    </row>
    <row r="100" spans="2: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2: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2: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2.7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ht="12.75">
      <c r="C106" s="186"/>
      <c r="D106" s="136"/>
      <c r="E106" s="136"/>
      <c r="F106" s="136"/>
      <c r="G106" s="136"/>
      <c r="H106" s="136"/>
      <c r="I106" s="136"/>
      <c r="J106" s="136"/>
      <c r="K106" s="136"/>
      <c r="L106" s="136"/>
      <c r="M106" s="136"/>
      <c r="N106" s="136"/>
      <c r="O106" s="136"/>
      <c r="P106" s="136"/>
      <c r="Q106" s="136"/>
      <c r="R106" s="136"/>
      <c r="BO106" s="136"/>
      <c r="BP106" s="121"/>
      <c r="BQ106" s="121"/>
      <c r="BR106" s="121"/>
    </row>
    <row r="107" spans="2:70" ht="14.25">
      <c r="F107" s="136"/>
      <c r="K107" s="136"/>
      <c r="L107" s="136"/>
      <c r="M107" s="136"/>
      <c r="N107" s="136"/>
      <c r="O107" s="136"/>
      <c r="P107" s="136"/>
      <c r="Q107" s="136"/>
      <c r="R107" s="136"/>
      <c r="BO107" s="136"/>
      <c r="BP107" s="121"/>
      <c r="BQ107" s="121"/>
      <c r="BR107" s="121"/>
    </row>
    <row r="108" spans="2:70" ht="14.25">
      <c r="F108" s="136"/>
      <c r="K108" s="136"/>
      <c r="L108" s="136"/>
      <c r="M108" s="136"/>
      <c r="N108" s="136"/>
      <c r="O108" s="136"/>
      <c r="P108" s="136"/>
      <c r="Q108" s="136"/>
      <c r="R108" s="136"/>
      <c r="BO108" s="136"/>
      <c r="BP108" s="121"/>
      <c r="BQ108" s="121"/>
      <c r="BR108" s="121"/>
    </row>
    <row r="109" spans="2:70" ht="14.25">
      <c r="F109" s="136"/>
      <c r="K109" s="136"/>
      <c r="L109" s="136"/>
      <c r="M109" s="136"/>
      <c r="N109" s="136"/>
      <c r="O109" s="136"/>
      <c r="P109" s="136"/>
      <c r="Q109" s="136"/>
      <c r="R109" s="136"/>
      <c r="BO109" s="136"/>
      <c r="BP109" s="121"/>
      <c r="BQ109" s="121"/>
      <c r="BR109" s="121"/>
    </row>
    <row r="110" spans="2:70" ht="14.25">
      <c r="F110" s="136"/>
      <c r="K110" s="136"/>
      <c r="L110" s="136"/>
      <c r="M110" s="136"/>
      <c r="N110" s="136"/>
      <c r="O110" s="136"/>
      <c r="P110" s="136"/>
      <c r="Q110" s="136"/>
      <c r="R110" s="136"/>
      <c r="BO110" s="136"/>
      <c r="BP110" s="121"/>
      <c r="BQ110" s="121"/>
      <c r="BR110" s="121"/>
    </row>
    <row r="111" spans="2:70" ht="14.25">
      <c r="F111" s="136"/>
      <c r="K111" s="136"/>
      <c r="L111" s="136"/>
      <c r="M111" s="136"/>
      <c r="N111" s="136"/>
      <c r="O111" s="136"/>
      <c r="P111" s="136"/>
      <c r="Q111" s="136"/>
      <c r="R111" s="136"/>
      <c r="BO111" s="136"/>
      <c r="BP111" s="121"/>
      <c r="BQ111" s="121"/>
      <c r="BR111" s="121"/>
    </row>
    <row r="112" spans="2:70" ht="14.25">
      <c r="F112" s="136"/>
      <c r="K112" s="136"/>
      <c r="L112" s="136"/>
      <c r="M112" s="136"/>
      <c r="N112" s="136"/>
      <c r="O112" s="136"/>
      <c r="P112" s="136"/>
      <c r="Q112" s="136"/>
      <c r="R112" s="136"/>
      <c r="BO112" s="136"/>
      <c r="BP112" s="121"/>
      <c r="BQ112" s="121"/>
      <c r="BR112" s="121"/>
    </row>
    <row r="113" spans="3:70" ht="14.25">
      <c r="F113" s="136"/>
      <c r="K113" s="136"/>
      <c r="L113" s="136"/>
      <c r="M113" s="136"/>
      <c r="N113" s="136"/>
      <c r="O113" s="136"/>
      <c r="P113" s="136"/>
      <c r="Q113" s="136"/>
      <c r="R113" s="136"/>
      <c r="BO113" s="136"/>
      <c r="BP113" s="121"/>
      <c r="BQ113" s="121"/>
      <c r="BR113" s="121"/>
    </row>
    <row r="114" spans="3:70" ht="14.25">
      <c r="F114" s="136"/>
      <c r="K114" s="136"/>
      <c r="L114" s="136"/>
      <c r="M114" s="136"/>
      <c r="N114" s="136"/>
      <c r="O114" s="136"/>
      <c r="P114" s="136"/>
      <c r="Q114" s="136"/>
      <c r="R114" s="136"/>
      <c r="BO114" s="136"/>
      <c r="BP114" s="121"/>
      <c r="BQ114" s="121"/>
      <c r="BR114" s="121"/>
    </row>
    <row r="115" spans="3:70" ht="12.75">
      <c r="C115" s="186"/>
      <c r="D115" s="136"/>
      <c r="E115" s="136"/>
      <c r="F115" s="136"/>
      <c r="K115" s="136"/>
      <c r="L115" s="136"/>
      <c r="M115" s="136"/>
      <c r="N115" s="136"/>
      <c r="O115" s="136"/>
      <c r="P115" s="136"/>
      <c r="Q115" s="136"/>
      <c r="R115" s="136"/>
      <c r="BO115" s="136"/>
      <c r="BP115" s="121"/>
      <c r="BQ115" s="121"/>
      <c r="BR115" s="121"/>
    </row>
    <row r="116" spans="3:70" ht="12.75">
      <c r="C116" s="186"/>
      <c r="D116" s="136"/>
      <c r="E116" s="136"/>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ht="14.25">
      <c r="F119" s="136"/>
      <c r="K119" s="136"/>
      <c r="L119" s="136"/>
      <c r="M119" s="136"/>
      <c r="N119" s="136"/>
      <c r="O119" s="136"/>
      <c r="P119" s="136"/>
      <c r="Q119" s="136"/>
      <c r="R119" s="136"/>
      <c r="BO119" s="136"/>
      <c r="BP119" s="121"/>
      <c r="BQ119" s="121"/>
      <c r="BR119" s="121"/>
    </row>
    <row r="120" spans="3:70" ht="14.25">
      <c r="F120" s="136"/>
      <c r="K120" s="136"/>
      <c r="L120" s="136"/>
      <c r="M120" s="136"/>
      <c r="N120" s="136"/>
      <c r="O120" s="136"/>
      <c r="P120" s="136"/>
      <c r="Q120" s="136"/>
      <c r="R120" s="136"/>
      <c r="BO120" s="136"/>
      <c r="BP120" s="121"/>
      <c r="BQ120" s="121"/>
      <c r="BR120" s="121"/>
    </row>
    <row r="121" spans="3:70">
      <c r="F121" s="136"/>
      <c r="K121" s="136"/>
      <c r="L121" s="136"/>
      <c r="M121" s="136"/>
      <c r="N121" s="136"/>
      <c r="O121" s="136"/>
      <c r="P121" s="136"/>
      <c r="Q121" s="136"/>
      <c r="R121" s="136"/>
      <c r="BP121" s="121"/>
      <c r="BQ121" s="121"/>
      <c r="BR121" s="121"/>
    </row>
  </sheetData>
  <mergeCells count="9">
    <mergeCell ref="A1:Q1"/>
    <mergeCell ref="B2:E2"/>
    <mergeCell ref="H2:R2"/>
    <mergeCell ref="C92:E92"/>
    <mergeCell ref="C66:E66"/>
    <mergeCell ref="C72:E72"/>
    <mergeCell ref="C84:E84"/>
    <mergeCell ref="H6:H11"/>
    <mergeCell ref="I5:U5"/>
  </mergeCells>
  <dataValidations count="3">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D6">
      <formula1>#REF!</formula1>
    </dataValidation>
  </dataValidations>
  <pageMargins left="0.7" right="0.7" top="0.75" bottom="0.75" header="0.3" footer="0.3"/>
  <pageSetup paperSize="5" scale="37"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BR121"/>
  <sheetViews>
    <sheetView workbookViewId="0">
      <selection activeCell="I14" sqref="I14"/>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22.7109375" style="120" customWidth="1"/>
    <col min="10" max="10" width="21.7109375"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8" ht="23.25" thickBot="1">
      <c r="A1" s="1989" t="s">
        <v>3</v>
      </c>
      <c r="B1" s="1989"/>
      <c r="C1" s="1989"/>
      <c r="D1" s="1989"/>
      <c r="E1" s="1989"/>
      <c r="F1" s="1989"/>
      <c r="G1" s="1989"/>
      <c r="H1" s="1989"/>
      <c r="I1" s="1989"/>
      <c r="J1" s="1989"/>
      <c r="K1" s="1989"/>
      <c r="L1" s="1989"/>
      <c r="M1" s="1989"/>
      <c r="N1" s="1989"/>
      <c r="O1" s="1989"/>
      <c r="P1" s="1989"/>
      <c r="Q1" s="198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8" ht="21" thickBot="1">
      <c r="B2" s="2008" t="s">
        <v>334</v>
      </c>
      <c r="C2" s="2008"/>
      <c r="D2" s="2008"/>
      <c r="E2" s="2008"/>
      <c r="G2" s="221"/>
      <c r="H2" s="2040" t="s">
        <v>618</v>
      </c>
      <c r="I2" s="2041"/>
      <c r="J2" s="2041"/>
      <c r="K2" s="2041"/>
      <c r="L2" s="2041"/>
      <c r="M2" s="2041"/>
      <c r="N2" s="2041"/>
      <c r="O2" s="2041"/>
      <c r="P2" s="2041"/>
      <c r="Q2" s="2041"/>
      <c r="R2" s="204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8" thickBot="1">
      <c r="B3" s="123"/>
      <c r="C3" s="124"/>
      <c r="D3" s="136"/>
      <c r="G3" s="173"/>
      <c r="H3" s="377"/>
      <c r="I3" s="125"/>
      <c r="J3" s="125"/>
      <c r="K3" s="125"/>
      <c r="L3" s="125"/>
      <c r="M3" s="125"/>
      <c r="N3" s="125"/>
      <c r="O3" s="125"/>
      <c r="P3" s="125"/>
      <c r="Q3" s="125"/>
      <c r="R3" s="930"/>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8" ht="27" thickBot="1">
      <c r="B4" s="126" t="s">
        <v>331</v>
      </c>
      <c r="C4" s="489"/>
      <c r="D4" s="121"/>
      <c r="E4" s="916" t="s">
        <v>1211</v>
      </c>
      <c r="F4" s="1204" t="str">
        <f>VLOOKUP($C$5,'Biomass Data'!$A$3:$F$409,2,FALSE)</f>
        <v>L</v>
      </c>
      <c r="G4" s="219"/>
      <c r="H4" s="128" t="s">
        <v>2295</v>
      </c>
      <c r="I4" s="1764" t="str">
        <f>VLOOKUP('Biomass-pellet'!C5,'Biomass Data'!A3:G409,7)</f>
        <v>Yes</v>
      </c>
      <c r="J4" s="355"/>
      <c r="K4" s="355"/>
      <c r="L4" s="355"/>
      <c r="M4" s="355"/>
      <c r="N4" s="355"/>
      <c r="O4" s="355"/>
      <c r="P4" s="355"/>
      <c r="Q4" s="355"/>
      <c r="R4" s="355"/>
      <c r="S4" s="355"/>
      <c r="T4" s="355"/>
      <c r="U4" s="35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8" ht="15.75" thickBot="1">
      <c r="B5" s="128" t="s">
        <v>375</v>
      </c>
      <c r="C5" s="587" t="str">
        <f>Community_Name</f>
        <v>Manley Hot Springs</v>
      </c>
      <c r="D5" s="125"/>
      <c r="E5" s="47" t="s">
        <v>1209</v>
      </c>
      <c r="F5" s="1204" t="str">
        <f>VLOOKUP($C$5,'Biomass Data'!$A$3:$F$409,6,FALSE)</f>
        <v>M</v>
      </c>
      <c r="G5" s="219"/>
      <c r="H5" s="377"/>
      <c r="I5" s="2086" t="s">
        <v>628</v>
      </c>
      <c r="J5" s="1945"/>
      <c r="K5" s="1945"/>
      <c r="L5" s="1945"/>
      <c r="M5" s="1945"/>
      <c r="N5" s="1945"/>
      <c r="O5" s="1945"/>
      <c r="P5" s="1945"/>
      <c r="Q5" s="1945"/>
      <c r="R5" s="1945"/>
      <c r="S5" s="1945"/>
      <c r="T5" s="1945"/>
      <c r="U5" s="1945"/>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8" ht="48.75" customHeight="1" thickBot="1">
      <c r="B6" s="128" t="s">
        <v>376</v>
      </c>
      <c r="C6" s="587" t="str">
        <f>IF('Community data'!B7="Yes",'Community data'!B8,Community_Name)</f>
        <v>Manley Hot Springs</v>
      </c>
      <c r="D6" s="125"/>
      <c r="E6" s="417" t="s">
        <v>1210</v>
      </c>
      <c r="F6" s="1212" t="b">
        <f>IF(OR(C9="Construction",C9="Design"),"High", IF(C9="Feasibility", "Medium", IF(C9="Recon", "Low")))</f>
        <v>0</v>
      </c>
      <c r="G6" s="219"/>
      <c r="H6" s="2083" t="s">
        <v>2291</v>
      </c>
      <c r="I6" s="1746" t="s">
        <v>2255</v>
      </c>
      <c r="J6" s="1752" t="s">
        <v>2256</v>
      </c>
      <c r="K6" s="1752" t="s">
        <v>2257</v>
      </c>
      <c r="L6" s="1752" t="s">
        <v>2258</v>
      </c>
      <c r="M6" s="1752" t="s">
        <v>2259</v>
      </c>
      <c r="N6" s="1752" t="s">
        <v>2290</v>
      </c>
      <c r="O6" s="1752" t="s">
        <v>2263</v>
      </c>
      <c r="P6" s="1752" t="s">
        <v>2264</v>
      </c>
      <c r="Q6" s="1752" t="s">
        <v>2266</v>
      </c>
      <c r="R6" s="1751"/>
      <c r="S6" s="270"/>
      <c r="T6" s="270"/>
      <c r="U6" s="270"/>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8">
      <c r="B7" s="128" t="s">
        <v>332</v>
      </c>
      <c r="C7" s="587" t="s">
        <v>291</v>
      </c>
      <c r="D7" s="125"/>
      <c r="G7" s="219"/>
      <c r="H7" s="2084"/>
      <c r="I7" s="1733">
        <f>IF(I4="Yes",'Eff (com)'!J32/3,)</f>
        <v>17161.087369420704</v>
      </c>
      <c r="J7" s="1739">
        <f>IF(I4="Yes",'Eff (com)'!L32/'Eff (com)'!J32,)</f>
        <v>0.65971891856479647</v>
      </c>
      <c r="K7" s="1734">
        <v>0.75</v>
      </c>
      <c r="L7" s="1735">
        <f>J7*138000/8760*K7</f>
        <v>7.7946242090703688</v>
      </c>
      <c r="M7" s="1735">
        <f>L7*12*VLOOKUP(C5,'Biomass Data'!$L$2:$P$405,4,FALSE)</f>
        <v>14.404599534636782</v>
      </c>
      <c r="N7" s="1765">
        <v>0.8</v>
      </c>
      <c r="O7" s="924">
        <f>M7/N7</f>
        <v>18.005749418295977</v>
      </c>
      <c r="P7" s="1766">
        <f>O7*I7</f>
        <v>308998.23891927331</v>
      </c>
      <c r="Q7" s="1732">
        <f>VLOOKUP(C5,'Biomass Data'!$L$2:$P$405,5,FALSE)</f>
        <v>0.55149816096614435</v>
      </c>
      <c r="R7" s="930"/>
      <c r="S7" s="1773"/>
      <c r="T7" s="1772"/>
      <c r="U7" s="1772"/>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8">
      <c r="B8" s="128" t="s">
        <v>569</v>
      </c>
      <c r="C8" s="587" t="s">
        <v>3</v>
      </c>
      <c r="D8" s="125"/>
      <c r="E8" s="118"/>
      <c r="G8" s="219"/>
      <c r="H8" s="2084"/>
      <c r="I8" s="121"/>
      <c r="J8" s="121"/>
      <c r="K8" s="121"/>
      <c r="L8" s="703"/>
      <c r="M8" s="1745"/>
      <c r="N8" s="1740"/>
      <c r="O8" s="1740"/>
      <c r="P8" s="125"/>
      <c r="Q8" s="125"/>
      <c r="R8" s="930"/>
      <c r="S8" s="138"/>
      <c r="T8" s="138"/>
      <c r="U8" s="138"/>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8">
      <c r="B9" s="128" t="s">
        <v>570</v>
      </c>
      <c r="C9" s="490"/>
      <c r="D9" s="125"/>
      <c r="E9" s="118"/>
      <c r="G9" s="219"/>
      <c r="H9" s="2084"/>
      <c r="I9" s="136" t="s">
        <v>2294</v>
      </c>
      <c r="J9" s="1723" t="s">
        <v>2293</v>
      </c>
      <c r="K9" s="228" t="s">
        <v>2269</v>
      </c>
      <c r="L9" s="228" t="s">
        <v>2270</v>
      </c>
      <c r="M9" s="1723" t="s">
        <v>2271</v>
      </c>
      <c r="N9" s="125" t="s">
        <v>5</v>
      </c>
      <c r="O9" s="125"/>
      <c r="P9" s="118"/>
      <c r="Q9" s="136"/>
      <c r="R9" s="351"/>
      <c r="S9" s="420"/>
      <c r="T9" s="138"/>
      <c r="U9" s="138"/>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8" ht="15.75" thickBot="1">
      <c r="B10" s="128"/>
      <c r="C10" s="587"/>
      <c r="D10" s="125"/>
      <c r="E10" s="118"/>
      <c r="G10" s="219"/>
      <c r="H10" s="2085"/>
      <c r="I10" s="1777">
        <v>17600000</v>
      </c>
      <c r="J10" s="1755">
        <f>Q7*8760*P7/I10</f>
        <v>84.81868034263789</v>
      </c>
      <c r="K10" s="1767">
        <f>J10*17600000/138000</f>
        <v>10817.454884278457</v>
      </c>
      <c r="L10" s="1768">
        <v>0.54</v>
      </c>
      <c r="M10" s="1769">
        <f>IF(I4="Yes",L10*P7,)</f>
        <v>166859.0490164076</v>
      </c>
      <c r="N10" s="1783">
        <f>0.01*M10</f>
        <v>1668.5904901640761</v>
      </c>
      <c r="O10" s="922"/>
      <c r="P10" s="118"/>
      <c r="Q10" s="381"/>
      <c r="R10" s="951"/>
      <c r="S10" s="122"/>
      <c r="T10" s="420"/>
      <c r="U10" s="138"/>
      <c r="V10" s="124"/>
      <c r="W10" s="124"/>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row>
    <row r="11" spans="1:68" ht="13.5" thickBot="1">
      <c r="B11" s="134"/>
      <c r="C11" s="611"/>
      <c r="D11" s="125"/>
      <c r="E11" s="118"/>
      <c r="F11" s="135"/>
      <c r="G11" s="219"/>
      <c r="H11" s="1770"/>
      <c r="I11" s="121"/>
      <c r="J11" s="1774"/>
      <c r="K11" s="1775"/>
      <c r="L11" s="392"/>
      <c r="M11" s="441"/>
      <c r="N11" s="1469"/>
      <c r="O11" s="9"/>
      <c r="P11" s="392"/>
      <c r="Q11" s="391"/>
      <c r="R11" s="1409"/>
      <c r="S11" s="1776"/>
      <c r="T11" s="420"/>
      <c r="U11" s="138"/>
      <c r="V11" s="124"/>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c r="BP11" s="125"/>
    </row>
    <row r="12" spans="1:68">
      <c r="B12" s="137" t="s">
        <v>360</v>
      </c>
      <c r="C12" s="515" t="s">
        <v>384</v>
      </c>
      <c r="D12" s="306"/>
      <c r="E12" s="306"/>
      <c r="F12" s="118"/>
      <c r="G12" s="219"/>
      <c r="H12" s="122"/>
      <c r="I12" s="440"/>
      <c r="J12" s="440"/>
      <c r="K12" s="440"/>
      <c r="L12" s="121"/>
      <c r="M12" s="121"/>
      <c r="N12" s="1745"/>
      <c r="O12" s="1745"/>
      <c r="P12" s="122"/>
      <c r="Q12" s="122"/>
      <c r="R12" s="122"/>
      <c r="S12" s="420"/>
      <c r="T12" s="138"/>
      <c r="U12" s="138"/>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8">
      <c r="B13" s="128" t="s">
        <v>262</v>
      </c>
      <c r="C13" s="321">
        <f>IF(I4="No","N/A",BI59)</f>
        <v>353166.35196645762</v>
      </c>
      <c r="D13" s="136"/>
      <c r="E13" s="136"/>
      <c r="F13" s="118"/>
      <c r="G13" s="219"/>
      <c r="H13" s="122"/>
      <c r="I13" s="1748"/>
      <c r="J13" s="1729"/>
      <c r="K13" s="268"/>
      <c r="L13" s="121"/>
      <c r="M13" s="121"/>
      <c r="N13" s="1745"/>
      <c r="O13" s="1745"/>
      <c r="P13" s="122"/>
      <c r="Q13" s="122"/>
      <c r="R13" s="122"/>
      <c r="S13" s="420"/>
      <c r="T13" s="138"/>
      <c r="U13" s="138"/>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8">
      <c r="B14" s="128" t="s">
        <v>278</v>
      </c>
      <c r="C14" s="322">
        <f>IF(I4="No","N/A",BI55)</f>
        <v>155294.93502186358</v>
      </c>
      <c r="D14" s="136"/>
      <c r="E14" s="136"/>
      <c r="F14" s="118"/>
      <c r="G14" s="219"/>
      <c r="H14" s="1778" t="s">
        <v>2296</v>
      </c>
      <c r="I14" s="1782">
        <f>IF(ISNA(VLOOKUP(C5,'Biomass rate'!$A$3:$D$67,3,FALSE)),400,VLOOKUP(C5,'Biomass rate'!$A$3:$D$67,3,FALSE))</f>
        <v>400</v>
      </c>
      <c r="J14" s="1730"/>
      <c r="K14" s="268"/>
      <c r="L14" s="136"/>
      <c r="M14" s="136"/>
      <c r="N14" s="1740"/>
      <c r="O14" s="1740"/>
      <c r="P14" s="125"/>
      <c r="Q14" s="125"/>
      <c r="R14" s="930"/>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8" ht="15.75" thickBot="1">
      <c r="B15" s="128" t="s">
        <v>759</v>
      </c>
      <c r="C15" s="323">
        <f>IF(AND(I4="Yes",Biomass_NPV_Capital_Costs&gt;0),C13/C14,0)</f>
        <v>2.2741652966127726</v>
      </c>
      <c r="D15" s="136"/>
      <c r="E15" s="136"/>
      <c r="F15" s="118"/>
      <c r="G15" s="219"/>
      <c r="H15" s="377"/>
      <c r="I15" s="1731"/>
      <c r="J15" s="1745"/>
      <c r="K15" s="268"/>
      <c r="L15" s="136"/>
      <c r="M15" s="136"/>
      <c r="N15" s="1740"/>
      <c r="O15" s="1740"/>
      <c r="P15" s="125"/>
      <c r="Q15" s="125"/>
      <c r="R15" s="930"/>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8" ht="15.75" thickBot="1">
      <c r="A16" s="121"/>
      <c r="B16" s="502" t="s">
        <v>290</v>
      </c>
      <c r="C16" s="503">
        <f>IF(I4="No","N/A",BI62)</f>
        <v>197871.41694459398</v>
      </c>
      <c r="D16" s="136"/>
      <c r="E16" s="136"/>
      <c r="F16" s="118"/>
      <c r="G16" s="219"/>
      <c r="H16" s="377"/>
      <c r="I16" s="121"/>
      <c r="J16" s="121"/>
      <c r="K16" s="121"/>
      <c r="L16" s="1740"/>
      <c r="M16" s="1740"/>
      <c r="N16" s="1740"/>
      <c r="O16" s="1740"/>
      <c r="P16" s="125"/>
      <c r="Q16" s="125"/>
      <c r="R16" s="930"/>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2.75">
      <c r="A17" s="121"/>
      <c r="B17" s="157"/>
      <c r="C17" s="347"/>
      <c r="D17" s="136"/>
      <c r="E17" s="136"/>
      <c r="F17" s="118"/>
      <c r="G17" s="219"/>
      <c r="H17" s="118"/>
      <c r="I17" s="118"/>
      <c r="J17" s="118"/>
      <c r="K17" s="118"/>
      <c r="L17" s="118"/>
      <c r="M17" s="118"/>
      <c r="N17" s="118"/>
      <c r="O17" s="118"/>
      <c r="P17" s="118"/>
      <c r="Q17" s="118"/>
      <c r="R17" s="118"/>
      <c r="T17" s="217"/>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3.5" thickBot="1">
      <c r="B18" s="138"/>
      <c r="C18" s="145"/>
      <c r="D18" s="136"/>
      <c r="E18" s="136"/>
      <c r="F18" s="118"/>
      <c r="G18" s="219"/>
      <c r="H18" s="118"/>
      <c r="I18" s="118"/>
      <c r="J18" s="118"/>
      <c r="K18" s="118"/>
      <c r="L18" s="118"/>
      <c r="M18" s="118"/>
      <c r="N18" s="118"/>
      <c r="O18" s="118"/>
      <c r="P18" s="118"/>
      <c r="Q18" s="118"/>
      <c r="R18" s="118"/>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14.25">
      <c r="B19" s="137" t="s">
        <v>361</v>
      </c>
      <c r="C19" s="314" t="s">
        <v>271</v>
      </c>
      <c r="D19" s="315" t="s">
        <v>384</v>
      </c>
      <c r="E19" s="1743"/>
      <c r="F19" s="306"/>
      <c r="G19" s="219"/>
      <c r="H19" s="118"/>
      <c r="I19" s="118"/>
      <c r="J19" s="118"/>
      <c r="K19" s="118"/>
      <c r="L19" s="118"/>
      <c r="M19" s="118"/>
      <c r="N19" s="118"/>
      <c r="O19" s="118"/>
      <c r="P19" s="118"/>
      <c r="Q19" s="118"/>
      <c r="R19" s="118"/>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2.75">
      <c r="B20" s="316" t="s">
        <v>362</v>
      </c>
      <c r="C20" s="208" t="s">
        <v>266</v>
      </c>
      <c r="D20" s="606">
        <f>IF(SUM(F67:BH67)&gt;0,SUM(F67:BH67)/COUNTIF(F67:BH67,"&gt;0"),0)</f>
        <v>1668.5904901640756</v>
      </c>
      <c r="E20" s="121"/>
      <c r="F20" s="136"/>
      <c r="G20" s="219"/>
      <c r="H20" s="118"/>
      <c r="I20" s="118"/>
      <c r="J20" s="118"/>
      <c r="K20" s="118"/>
      <c r="L20" s="118"/>
      <c r="M20" s="118"/>
      <c r="N20" s="118"/>
      <c r="O20" s="118"/>
      <c r="P20" s="118"/>
      <c r="Q20" s="118"/>
      <c r="R20" s="118"/>
      <c r="T20" s="217"/>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12.75">
      <c r="B21" s="316" t="s">
        <v>362</v>
      </c>
      <c r="C21" s="209" t="s">
        <v>363</v>
      </c>
      <c r="D21" s="607">
        <f>SUM(F67:BH67)</f>
        <v>35040.400293445586</v>
      </c>
      <c r="E21" s="121"/>
      <c r="F21" s="136"/>
      <c r="G21" s="219"/>
      <c r="H21" s="118"/>
      <c r="I21" s="118"/>
      <c r="J21" s="118"/>
      <c r="K21" s="118"/>
      <c r="L21" s="118"/>
      <c r="M21" s="118"/>
      <c r="N21" s="118"/>
      <c r="O21" s="118"/>
      <c r="P21" s="118"/>
      <c r="Q21" s="118"/>
      <c r="R21" s="118"/>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c r="B22" s="316" t="s">
        <v>364</v>
      </c>
      <c r="C22" s="209" t="s">
        <v>268</v>
      </c>
      <c r="D22" s="606">
        <f>G73+G93</f>
        <v>0</v>
      </c>
      <c r="E22" s="121"/>
      <c r="F22" s="136"/>
      <c r="G22" s="219"/>
      <c r="H22" s="122"/>
      <c r="I22" s="269"/>
      <c r="J22" s="9"/>
      <c r="K22" s="9"/>
      <c r="L22" s="1750"/>
      <c r="M22" s="1745"/>
      <c r="N22" s="8"/>
      <c r="O22" s="8"/>
      <c r="P22" s="125"/>
      <c r="Q22" s="125"/>
      <c r="R22" s="930"/>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2.75">
      <c r="B23" s="316" t="s">
        <v>364</v>
      </c>
      <c r="C23" s="209" t="s">
        <v>365</v>
      </c>
      <c r="D23" s="608">
        <f>SUM(G73:T73)+SUM(G93:BH93)</f>
        <v>227166.55256984773</v>
      </c>
      <c r="E23" s="121"/>
      <c r="F23" s="136"/>
      <c r="G23" s="219"/>
      <c r="H23" s="1770"/>
      <c r="I23" s="1744"/>
      <c r="J23" s="270"/>
      <c r="K23" s="270"/>
      <c r="L23" s="270"/>
      <c r="M23" s="270"/>
      <c r="N23" s="270"/>
      <c r="O23" s="270"/>
      <c r="P23" s="270"/>
      <c r="Q23" s="270"/>
      <c r="R23" s="270"/>
      <c r="S23" s="124"/>
      <c r="T23" s="124"/>
      <c r="U23" s="1747"/>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c r="B24" s="128"/>
      <c r="D24" s="1385"/>
      <c r="E24" s="122"/>
      <c r="F24" s="125"/>
      <c r="G24" s="145"/>
      <c r="H24" s="1770"/>
      <c r="I24" s="121"/>
      <c r="J24" s="121"/>
      <c r="K24" s="121"/>
      <c r="L24" s="703"/>
      <c r="M24" s="1745"/>
      <c r="N24" s="1745"/>
      <c r="O24" s="1745"/>
      <c r="P24" s="122"/>
      <c r="Q24" s="122"/>
      <c r="R24" s="122"/>
      <c r="S24" s="211"/>
      <c r="T24" s="211"/>
      <c r="U24" s="1747"/>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c r="B25" s="128"/>
      <c r="C25" s="145"/>
      <c r="D25" s="317"/>
      <c r="E25" s="121"/>
      <c r="F25" s="136"/>
      <c r="G25" s="219"/>
      <c r="H25" s="1770"/>
      <c r="I25" s="121"/>
      <c r="J25" s="121"/>
      <c r="K25" s="121"/>
      <c r="L25" s="703"/>
      <c r="M25" s="1745"/>
      <c r="N25" s="1745"/>
      <c r="O25" s="1745"/>
      <c r="P25" s="122"/>
      <c r="Q25" s="122"/>
      <c r="R25" s="122"/>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c r="B26" s="316"/>
      <c r="C26" s="209"/>
      <c r="D26" s="606"/>
      <c r="E26" s="121"/>
      <c r="F26" s="136"/>
      <c r="G26" s="219"/>
      <c r="H26" s="1770"/>
      <c r="I26" s="121"/>
      <c r="J26" s="344"/>
      <c r="K26" s="270"/>
      <c r="L26" s="270"/>
      <c r="M26" s="344"/>
      <c r="N26" s="344"/>
      <c r="O26" s="122"/>
      <c r="P26" s="122"/>
      <c r="Q26" s="121"/>
      <c r="R26" s="121"/>
      <c r="S26" s="1742"/>
      <c r="T26" s="1742"/>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5.75" thickBot="1">
      <c r="B27" s="318"/>
      <c r="C27" s="319"/>
      <c r="D27" s="609"/>
      <c r="E27" s="121"/>
      <c r="F27" s="136"/>
      <c r="G27" s="219"/>
      <c r="H27" s="1770"/>
      <c r="I27" s="269"/>
      <c r="J27" s="270"/>
      <c r="K27" s="270"/>
      <c r="L27" s="1750"/>
      <c r="M27" s="1745"/>
      <c r="N27" s="9"/>
      <c r="O27" s="9"/>
      <c r="P27" s="122"/>
      <c r="Q27" s="122"/>
      <c r="R27" s="122"/>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19"/>
      <c r="H28" s="122"/>
      <c r="I28" s="271"/>
      <c r="J28" s="9"/>
      <c r="K28" s="391"/>
      <c r="L28" s="392"/>
      <c r="M28" s="271"/>
      <c r="N28" s="9"/>
      <c r="O28" s="9"/>
      <c r="P28" s="125"/>
      <c r="Q28" s="125"/>
      <c r="R28" s="930"/>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2" t="s">
        <v>384</v>
      </c>
      <c r="E29" s="1743"/>
      <c r="F29" s="306"/>
      <c r="G29" s="219"/>
      <c r="H29" s="122"/>
      <c r="I29" s="271"/>
      <c r="J29" s="9"/>
      <c r="K29" s="391"/>
      <c r="L29" s="9"/>
      <c r="M29" s="271"/>
      <c r="N29" s="9"/>
      <c r="O29" s="9"/>
      <c r="P29" s="125"/>
      <c r="Q29" s="125"/>
      <c r="R29" s="930"/>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590">
        <f>M10</f>
        <v>166859.0490164076</v>
      </c>
      <c r="E30" s="118"/>
      <c r="G30" s="219"/>
      <c r="H30" s="122"/>
      <c r="I30" s="704"/>
      <c r="J30" s="96"/>
      <c r="K30" s="391"/>
      <c r="L30" s="286"/>
      <c r="M30" s="271"/>
      <c r="N30" s="9"/>
      <c r="O30" s="9"/>
      <c r="P30" s="125"/>
      <c r="Q30" s="125"/>
      <c r="R30" s="930"/>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 r="B31" s="128" t="s">
        <v>286</v>
      </c>
      <c r="C31" s="138" t="s">
        <v>333</v>
      </c>
      <c r="D31" s="589">
        <v>2016</v>
      </c>
      <c r="E31" s="118"/>
      <c r="G31" s="219"/>
      <c r="H31" s="122"/>
      <c r="I31" s="704"/>
      <c r="J31" s="96"/>
      <c r="K31" s="391"/>
      <c r="L31" s="286"/>
      <c r="M31" s="271"/>
      <c r="N31" s="9"/>
      <c r="O31" s="9"/>
      <c r="P31" s="125"/>
      <c r="Q31" s="125"/>
      <c r="R31" s="930"/>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10">
        <v>20</v>
      </c>
      <c r="E32" s="118"/>
      <c r="G32" s="219"/>
      <c r="H32" s="122"/>
      <c r="I32" s="704"/>
      <c r="J32" s="96"/>
      <c r="K32" s="391"/>
      <c r="L32" s="286"/>
      <c r="M32" s="271"/>
      <c r="N32" s="9"/>
      <c r="O32" s="9"/>
      <c r="P32" s="125"/>
      <c r="Q32" s="125"/>
      <c r="R32" s="930"/>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c r="B33" s="128" t="s">
        <v>367</v>
      </c>
      <c r="C33" s="151" t="s">
        <v>266</v>
      </c>
      <c r="D33" s="591"/>
      <c r="E33" s="118"/>
      <c r="G33" s="219"/>
      <c r="H33" s="122"/>
      <c r="I33" s="704"/>
      <c r="J33" s="96"/>
      <c r="K33" s="391"/>
      <c r="L33" s="286"/>
      <c r="M33" s="271"/>
      <c r="N33" s="440"/>
      <c r="O33" s="440"/>
      <c r="P33" s="125"/>
      <c r="Q33" s="125"/>
      <c r="R33" s="930"/>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592">
        <f>K10</f>
        <v>10817.454884278457</v>
      </c>
      <c r="E34" s="118"/>
      <c r="G34" s="219"/>
      <c r="H34" s="377"/>
      <c r="I34" s="984"/>
      <c r="J34" s="8"/>
      <c r="K34" s="8"/>
      <c r="L34" s="8"/>
      <c r="M34" s="8"/>
      <c r="N34" s="8"/>
      <c r="O34" s="8"/>
      <c r="P34" s="125"/>
      <c r="Q34" s="125"/>
      <c r="R34" s="930"/>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5.5">
      <c r="B35" s="128" t="s">
        <v>369</v>
      </c>
      <c r="C35" s="138" t="s">
        <v>315</v>
      </c>
      <c r="D35" s="593"/>
      <c r="E35" s="118"/>
      <c r="G35" s="219"/>
      <c r="H35" s="377"/>
      <c r="M35" s="985"/>
      <c r="N35" s="8"/>
      <c r="O35" s="8"/>
      <c r="P35" s="125"/>
      <c r="Q35" s="125"/>
      <c r="R35" s="930"/>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594">
        <f>N10</f>
        <v>1668.5904901640761</v>
      </c>
      <c r="E36" s="118"/>
      <c r="G36" s="219"/>
      <c r="H36" s="377"/>
      <c r="M36" s="1749"/>
      <c r="N36" s="8"/>
      <c r="O36" s="8"/>
      <c r="P36" s="125"/>
      <c r="Q36" s="125"/>
      <c r="R36" s="930"/>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596"/>
      <c r="E37" s="118"/>
      <c r="G37" s="219"/>
      <c r="H37" s="377"/>
      <c r="M37" s="8"/>
      <c r="N37" s="8"/>
      <c r="O37" s="953"/>
      <c r="P37" s="125"/>
      <c r="Q37" s="125"/>
      <c r="R37" s="930"/>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595"/>
      <c r="E38" s="118"/>
      <c r="G38" s="219"/>
      <c r="H38" s="377"/>
      <c r="M38" s="8"/>
      <c r="N38" s="8"/>
      <c r="O38" s="470"/>
      <c r="P38" s="125"/>
      <c r="Q38" s="125"/>
      <c r="R38" s="930"/>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597"/>
      <c r="E39" s="118"/>
      <c r="G39" s="219"/>
      <c r="H39" s="377"/>
      <c r="M39" s="8"/>
      <c r="N39" s="8"/>
      <c r="O39" s="470"/>
      <c r="P39" s="125"/>
      <c r="Q39" s="125"/>
      <c r="R39" s="930"/>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3" t="s">
        <v>352</v>
      </c>
      <c r="D40" s="598"/>
      <c r="E40" s="118"/>
      <c r="G40" s="219"/>
      <c r="H40" s="377"/>
      <c r="M40" s="8"/>
      <c r="N40" s="8"/>
      <c r="O40" s="8"/>
      <c r="P40" s="125"/>
      <c r="Q40" s="125"/>
      <c r="R40" s="930"/>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19"/>
      <c r="H41" s="377"/>
      <c r="M41" s="8"/>
      <c r="N41" s="8"/>
      <c r="O41" s="8"/>
      <c r="P41" s="125"/>
      <c r="Q41" s="125"/>
      <c r="R41" s="930"/>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04" t="s">
        <v>327</v>
      </c>
      <c r="C42" s="505" t="s">
        <v>271</v>
      </c>
      <c r="D42" s="506" t="s">
        <v>272</v>
      </c>
      <c r="E42" s="118"/>
      <c r="G42" s="219"/>
      <c r="H42" s="377"/>
      <c r="M42" s="8"/>
      <c r="N42" s="125"/>
      <c r="O42" s="125"/>
      <c r="P42" s="125"/>
      <c r="Q42" s="125"/>
      <c r="R42" s="930"/>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311" t="s">
        <v>276</v>
      </c>
      <c r="C43" s="138" t="s">
        <v>265</v>
      </c>
      <c r="D43" s="599">
        <v>0.02</v>
      </c>
      <c r="E43" s="118"/>
      <c r="F43" s="159"/>
      <c r="G43" s="219"/>
      <c r="H43" s="377"/>
      <c r="I43" s="121"/>
      <c r="J43" s="121"/>
      <c r="K43" s="121"/>
      <c r="L43" s="1750"/>
      <c r="M43" s="8"/>
      <c r="N43" s="125"/>
      <c r="O43" s="125"/>
      <c r="P43" s="125"/>
      <c r="Q43" s="125"/>
      <c r="R43" s="930"/>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07" t="s">
        <v>328</v>
      </c>
      <c r="C44" s="143" t="s">
        <v>281</v>
      </c>
      <c r="D44" s="614">
        <f>'Community data'!B21</f>
        <v>10.802351555020987</v>
      </c>
      <c r="E44" s="118"/>
      <c r="F44" s="159"/>
      <c r="G44" s="219"/>
      <c r="H44" s="377"/>
      <c r="I44" s="1741"/>
      <c r="J44" s="122"/>
      <c r="K44" s="122"/>
      <c r="L44" s="1741"/>
      <c r="M44" s="8"/>
      <c r="N44" s="125"/>
      <c r="O44" s="125"/>
      <c r="P44" s="125"/>
      <c r="Q44" s="125"/>
      <c r="R44" s="930"/>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19"/>
      <c r="H45" s="377"/>
      <c r="I45" s="136"/>
      <c r="J45" s="136"/>
      <c r="K45" s="136"/>
      <c r="L45" s="136"/>
      <c r="M45" s="125"/>
      <c r="N45" s="125"/>
      <c r="O45" s="125"/>
      <c r="P45" s="125"/>
      <c r="Q45" s="125"/>
      <c r="R45" s="930"/>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0" t="s">
        <v>272</v>
      </c>
      <c r="E46" s="118"/>
      <c r="F46" s="159"/>
      <c r="G46" s="219"/>
      <c r="H46" s="377"/>
      <c r="I46" s="125"/>
      <c r="J46" s="125"/>
      <c r="K46" s="125"/>
      <c r="L46" s="125"/>
      <c r="M46" s="125"/>
      <c r="N46" s="125"/>
      <c r="O46" s="125"/>
      <c r="P46" s="125"/>
      <c r="Q46" s="125"/>
      <c r="R46" s="930"/>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1" t="s">
        <v>282</v>
      </c>
      <c r="C47" s="138" t="s">
        <v>269</v>
      </c>
      <c r="D47" s="601">
        <f>VLOOKUP(Energy_Region,Assumptions!$A$28:$B$38,2,FALSE)</f>
        <v>1.5507921943016665</v>
      </c>
      <c r="E47" s="118"/>
      <c r="F47" s="136"/>
      <c r="G47" s="219"/>
      <c r="H47" s="377"/>
      <c r="I47" s="125"/>
      <c r="J47" s="125"/>
      <c r="K47" s="125"/>
      <c r="L47" s="125" t="s">
        <v>814</v>
      </c>
      <c r="M47" s="125"/>
      <c r="N47" s="125"/>
      <c r="O47" s="125"/>
      <c r="P47" s="125"/>
      <c r="Q47" s="125"/>
      <c r="R47" s="930"/>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3.5" thickBot="1">
      <c r="B48" s="128" t="s">
        <v>370</v>
      </c>
      <c r="C48" s="138" t="s">
        <v>269</v>
      </c>
      <c r="D48" s="602">
        <f>Assumptions!B26</f>
        <v>0</v>
      </c>
      <c r="E48" s="118"/>
      <c r="F48" s="159"/>
      <c r="G48" s="219"/>
      <c r="H48" s="378"/>
      <c r="I48" s="381"/>
      <c r="J48" s="381"/>
      <c r="K48" s="381"/>
      <c r="L48" s="381"/>
      <c r="M48" s="381"/>
      <c r="N48" s="381"/>
      <c r="O48" s="381"/>
      <c r="P48" s="381"/>
      <c r="Q48" s="381"/>
      <c r="R48" s="951"/>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04"/>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 t="shared" si="0"/>
        <v>2021</v>
      </c>
      <c r="N54" s="171">
        <f t="shared" si="0"/>
        <v>2022</v>
      </c>
      <c r="O54" s="171">
        <f t="shared" si="0"/>
        <v>2023</v>
      </c>
      <c r="P54" s="171">
        <f t="shared" si="0"/>
        <v>2024</v>
      </c>
      <c r="Q54" s="171">
        <f t="shared" si="0"/>
        <v>2025</v>
      </c>
      <c r="R54" s="171">
        <f t="shared" si="0"/>
        <v>2026</v>
      </c>
      <c r="S54" s="306">
        <f t="shared" si="0"/>
        <v>2027</v>
      </c>
      <c r="T54" s="306">
        <f t="shared" si="0"/>
        <v>2028</v>
      </c>
      <c r="U54" s="306">
        <f t="shared" si="0"/>
        <v>2029</v>
      </c>
      <c r="V54" s="306">
        <f t="shared" si="0"/>
        <v>2030</v>
      </c>
      <c r="W54" s="306">
        <f t="shared" si="0"/>
        <v>2031</v>
      </c>
      <c r="X54" s="306">
        <f t="shared" si="0"/>
        <v>2032</v>
      </c>
      <c r="Y54" s="306">
        <f t="shared" si="0"/>
        <v>2033</v>
      </c>
      <c r="Z54" s="306">
        <f t="shared" si="0"/>
        <v>2034</v>
      </c>
      <c r="AA54" s="306">
        <f t="shared" si="0"/>
        <v>2035</v>
      </c>
      <c r="AB54" s="306">
        <f t="shared" si="0"/>
        <v>2036</v>
      </c>
      <c r="AC54" s="306">
        <f t="shared" si="0"/>
        <v>2037</v>
      </c>
      <c r="AD54" s="306">
        <f t="shared" si="0"/>
        <v>2038</v>
      </c>
      <c r="AE54" s="306">
        <f t="shared" si="0"/>
        <v>2039</v>
      </c>
      <c r="AF54" s="306">
        <f t="shared" si="0"/>
        <v>2040</v>
      </c>
      <c r="AG54" s="306">
        <f t="shared" si="0"/>
        <v>2041</v>
      </c>
      <c r="AH54" s="306">
        <f t="shared" si="0"/>
        <v>2042</v>
      </c>
      <c r="AI54" s="306">
        <f t="shared" si="0"/>
        <v>2043</v>
      </c>
      <c r="AJ54" s="306">
        <f t="shared" si="0"/>
        <v>2044</v>
      </c>
      <c r="AK54" s="306">
        <f t="shared" si="0"/>
        <v>2045</v>
      </c>
      <c r="AL54" s="306">
        <f t="shared" si="0"/>
        <v>2046</v>
      </c>
      <c r="AM54" s="306">
        <f t="shared" si="0"/>
        <v>2047</v>
      </c>
      <c r="AN54" s="306">
        <f t="shared" si="0"/>
        <v>2048</v>
      </c>
      <c r="AO54" s="306">
        <f t="shared" si="0"/>
        <v>2049</v>
      </c>
      <c r="AP54" s="306">
        <f t="shared" si="0"/>
        <v>2050</v>
      </c>
      <c r="AQ54" s="306">
        <f t="shared" si="0"/>
        <v>2051</v>
      </c>
      <c r="AR54" s="306">
        <f t="shared" si="0"/>
        <v>2052</v>
      </c>
      <c r="AS54" s="306">
        <f t="shared" si="0"/>
        <v>2053</v>
      </c>
      <c r="AT54" s="306">
        <f t="shared" si="0"/>
        <v>2054</v>
      </c>
      <c r="AU54" s="306">
        <f t="shared" si="0"/>
        <v>2055</v>
      </c>
      <c r="AV54" s="306">
        <f t="shared" si="0"/>
        <v>2056</v>
      </c>
      <c r="AW54" s="306">
        <f t="shared" si="0"/>
        <v>2057</v>
      </c>
      <c r="AX54" s="306">
        <f t="shared" si="0"/>
        <v>2058</v>
      </c>
      <c r="AY54" s="306">
        <f t="shared" si="0"/>
        <v>2059</v>
      </c>
      <c r="AZ54" s="306">
        <f t="shared" si="0"/>
        <v>2060</v>
      </c>
      <c r="BA54" s="306">
        <f t="shared" si="0"/>
        <v>2061</v>
      </c>
      <c r="BB54" s="306">
        <f t="shared" si="0"/>
        <v>2062</v>
      </c>
      <c r="BC54" s="306">
        <f t="shared" si="0"/>
        <v>2063</v>
      </c>
      <c r="BD54" s="306">
        <f t="shared" si="0"/>
        <v>2064</v>
      </c>
      <c r="BE54" s="306">
        <f t="shared" si="0"/>
        <v>2065</v>
      </c>
      <c r="BF54" s="306">
        <f t="shared" si="0"/>
        <v>2066</v>
      </c>
      <c r="BG54" s="306">
        <f t="shared" si="0"/>
        <v>2067</v>
      </c>
      <c r="BH54" s="306">
        <f t="shared" si="0"/>
        <v>2068</v>
      </c>
      <c r="BI54" s="69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13075.39237231926</v>
      </c>
      <c r="I55" s="174">
        <f>IF(AND(I$54&gt;=$D$31,I$54&lt;=($D$31+$D$32)),-PMT(0.05,$D$32,$D$30)*'Fuel Price Worksheet'!I23,0)</f>
        <v>12768.937863593026</v>
      </c>
      <c r="J55" s="174">
        <f>IF(AND(J$54&gt;=$D$31,J$54&lt;=($D$31+$D$32)),-PMT(0.05,$D$32,$D$30)*'Fuel Price Worksheet'!J23,0)</f>
        <v>12469.665882415062</v>
      </c>
      <c r="K55" s="174">
        <f>IF(AND(K$54&gt;=$D$31,K$54&lt;=($D$31+$D$32)),-PMT(0.05,$D$32,$D$30)*'Fuel Price Worksheet'!K23,0)</f>
        <v>12177.408088295957</v>
      </c>
      <c r="L55" s="174">
        <f>IF(AND(L$54&gt;=$D$31,L$54&lt;=($D$31+$D$32)),-PMT(0.05,$D$32,$D$30)*'Fuel Price Worksheet'!L23,0)</f>
        <v>11892.00008622653</v>
      </c>
      <c r="M55" s="174">
        <f>IF(AND(M$54&gt;=$D$31,M$54&lt;=($D$31+$D$32)),-PMT(0.05,$D$32,$D$30)*'Fuel Price Worksheet'!M23,0)</f>
        <v>11613.281334205612</v>
      </c>
      <c r="N55" s="174">
        <f>IF(AND(N$54&gt;=$D$31,N$54&lt;=($D$31+$D$32)),-PMT(0.05,$D$32,$D$30)*'Fuel Price Worksheet'!N23,0)</f>
        <v>11341.095052935196</v>
      </c>
      <c r="O55" s="174">
        <f>IF(AND(O$54&gt;=$D$31,O$54&lt;=($D$31+$D$32)),-PMT(0.05,$D$32,$D$30)*'Fuel Price Worksheet'!O23,0)</f>
        <v>11075.288137632062</v>
      </c>
      <c r="P55" s="174">
        <f>IF(AND(P$54&gt;=$D$31,P$54&lt;=($D$31+$D$32)),-PMT(0.05,$D$32,$D$30)*'Fuel Price Worksheet'!P23,0)</f>
        <v>10815.711071906355</v>
      </c>
      <c r="Q55" s="174">
        <f>IF(AND(Q$54&gt;=$D$31,Q$54&lt;=($D$31+$D$32)),-PMT(0.05,$D$32,$D$30)*'Fuel Price Worksheet'!Q23,0)</f>
        <v>10562.217843658602</v>
      </c>
      <c r="R55" s="174">
        <f>IF(AND(R$54&gt;=$D$31,R$54&lt;=($D$31+$D$32)),-PMT(0.05,$D$32,$D$30)*'Fuel Price Worksheet'!R23,0)</f>
        <v>10314.665862947913</v>
      </c>
      <c r="S55" s="174">
        <f>IF(AND(S$54&gt;=$D$31,S$54&lt;=($D$31+$D$32)),-PMT(0.05,$D$32,$D$30)*'Fuel Price Worksheet'!S23,0)</f>
        <v>10072.915881785138</v>
      </c>
      <c r="T55" s="174">
        <f>IF(AND(T$54&gt;=$D$31,T$54&lt;=($D$31+$D$32)),-PMT(0.05,$D$32,$D$30)*'Fuel Price Worksheet'!T23,0)</f>
        <v>9836.8319158058748</v>
      </c>
      <c r="U55" s="174">
        <f>IF(AND(U$54&gt;=$D$31,U$54&lt;=($D$31+$D$32)),-PMT(0.05,$D$32,$D$30)*'Fuel Price Worksheet'!U23,0)</f>
        <v>9606.2811677792542</v>
      </c>
      <c r="V55" s="174">
        <f>IF(AND(V$54&gt;=$D$31,V$54&lt;=($D$31+$D$32)),-PMT(0.05,$D$32,$D$30)*'Fuel Price Worksheet'!V23,0)</f>
        <v>9381.1339529095167</v>
      </c>
      <c r="W55" s="174">
        <f>IF(AND(W$54&gt;=$D$31,W$54&lt;=($D$31+$D$32)),-PMT(0.05,$D$32,$D$30)*'Fuel Price Worksheet'!W23,0)</f>
        <v>9161.2636258882922</v>
      </c>
      <c r="X55" s="174">
        <f>IF(AND(X$54&gt;=$D$31,X$54&lt;=($D$31+$D$32)),-PMT(0.05,$D$32,$D$30)*'Fuel Price Worksheet'!X23,0)</f>
        <v>8946.546509656635</v>
      </c>
      <c r="Y55" s="174">
        <f>IF(AND(Y$54&gt;=$D$31,Y$54&lt;=($D$31+$D$32)),-PMT(0.05,$D$32,$D$30)*'Fuel Price Worksheet'!Y23,0)</f>
        <v>8736.8618258366623</v>
      </c>
      <c r="Z55" s="174">
        <f>IF(AND(Z$54&gt;=$D$31,Z$54&lt;=($D$31+$D$32)),-PMT(0.05,$D$32,$D$30)*'Fuel Price Worksheet'!Z23,0)</f>
        <v>8532.0916267937228</v>
      </c>
      <c r="AA55" s="174">
        <f>IF(AND(AA$54&gt;=$D$31,AA$54&lt;=($D$31+$D$32)),-PMT(0.05,$D$32,$D$30)*'Fuel Price Worksheet'!AA23,0)</f>
        <v>8332.1207292908603</v>
      </c>
      <c r="AB55" s="174">
        <f>IF(AND(AB$54&gt;=$D$31,AB$54&lt;=($D$31+$D$32)),-PMT(0.05,$D$32,$D$30)*'Fuel Price Worksheet'!AB23,0)</f>
        <v>8136.8366496982226</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155294.93502186358</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BH57" si="1">F79-F70</f>
        <v>0</v>
      </c>
      <c r="G57" s="178">
        <f t="shared" si="1"/>
        <v>0</v>
      </c>
      <c r="H57" s="178">
        <f t="shared" si="1"/>
        <v>0</v>
      </c>
      <c r="I57" s="178">
        <f t="shared" si="1"/>
        <v>0</v>
      </c>
      <c r="J57" s="178">
        <f t="shared" si="1"/>
        <v>0</v>
      </c>
      <c r="K57" s="178">
        <f t="shared" si="1"/>
        <v>0</v>
      </c>
      <c r="L57" s="178">
        <f t="shared" si="1"/>
        <v>0</v>
      </c>
      <c r="M57" s="178">
        <f t="shared" si="1"/>
        <v>0</v>
      </c>
      <c r="N57" s="178">
        <f t="shared" si="1"/>
        <v>0</v>
      </c>
      <c r="O57" s="178">
        <f t="shared" si="1"/>
        <v>0</v>
      </c>
      <c r="P57" s="178">
        <f t="shared" si="1"/>
        <v>0</v>
      </c>
      <c r="Q57" s="178">
        <f t="shared" si="1"/>
        <v>0</v>
      </c>
      <c r="R57" s="178">
        <f t="shared" si="1"/>
        <v>0</v>
      </c>
      <c r="S57" s="178">
        <f t="shared" si="1"/>
        <v>0</v>
      </c>
      <c r="T57" s="178">
        <f t="shared" si="1"/>
        <v>0</v>
      </c>
      <c r="U57" s="178">
        <f t="shared" si="1"/>
        <v>0</v>
      </c>
      <c r="V57" s="178">
        <f t="shared" si="1"/>
        <v>0</v>
      </c>
      <c r="W57" s="178">
        <f t="shared" si="1"/>
        <v>0</v>
      </c>
      <c r="X57" s="178">
        <f t="shared" si="1"/>
        <v>0</v>
      </c>
      <c r="Y57" s="178">
        <f t="shared" si="1"/>
        <v>0</v>
      </c>
      <c r="Z57" s="178">
        <f t="shared" si="1"/>
        <v>0</v>
      </c>
      <c r="AA57" s="178">
        <f t="shared" si="1"/>
        <v>0</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0</v>
      </c>
      <c r="BJ57" s="121"/>
      <c r="BK57" s="121"/>
      <c r="BL57" s="121"/>
      <c r="BM57" s="121"/>
      <c r="BN57" s="121"/>
      <c r="BO57" s="121"/>
    </row>
    <row r="58" spans="2:67" ht="12.75">
      <c r="C58" s="177"/>
      <c r="D58" s="136" t="s">
        <v>626</v>
      </c>
      <c r="E58" s="121" t="s">
        <v>264</v>
      </c>
      <c r="F58" s="178">
        <f>F98-F90</f>
        <v>0</v>
      </c>
      <c r="G58" s="829">
        <f>G98</f>
        <v>0</v>
      </c>
      <c r="H58" s="829">
        <f t="shared" ref="H58:BH58" si="2">H98</f>
        <v>14956.883175931216</v>
      </c>
      <c r="I58" s="829">
        <f t="shared" si="2"/>
        <v>16734.633347816773</v>
      </c>
      <c r="J58" s="829">
        <f t="shared" si="2"/>
        <v>16864.658048273501</v>
      </c>
      <c r="K58" s="829">
        <f t="shared" si="2"/>
        <v>17470.341797770801</v>
      </c>
      <c r="L58" s="829">
        <f t="shared" si="2"/>
        <v>18079.184945404515</v>
      </c>
      <c r="M58" s="829">
        <f t="shared" si="2"/>
        <v>18904.193629455964</v>
      </c>
      <c r="N58" s="829">
        <f t="shared" si="2"/>
        <v>19788.555709108077</v>
      </c>
      <c r="O58" s="829">
        <f t="shared" si="2"/>
        <v>20704.508407661458</v>
      </c>
      <c r="P58" s="829">
        <f t="shared" si="2"/>
        <v>21639.883229934159</v>
      </c>
      <c r="Q58" s="829">
        <f t="shared" si="2"/>
        <v>22579.646927360765</v>
      </c>
      <c r="R58" s="829">
        <f t="shared" si="2"/>
        <v>23580.788688598957</v>
      </c>
      <c r="S58" s="829">
        <f t="shared" si="2"/>
        <v>24606.417254515</v>
      </c>
      <c r="T58" s="829">
        <f t="shared" si="2"/>
        <v>25657.142671212016</v>
      </c>
      <c r="U58" s="829">
        <f t="shared" si="2"/>
        <v>26733.586819531425</v>
      </c>
      <c r="V58" s="829">
        <f t="shared" si="2"/>
        <v>27836.384987860918</v>
      </c>
      <c r="W58" s="829">
        <f t="shared" si="2"/>
        <v>28966.19523215865</v>
      </c>
      <c r="X58" s="829">
        <f t="shared" si="2"/>
        <v>30123.68539076348</v>
      </c>
      <c r="Y58" s="829">
        <f t="shared" si="2"/>
        <v>31307.928765691628</v>
      </c>
      <c r="Z58" s="829">
        <f t="shared" si="2"/>
        <v>32471.898581293441</v>
      </c>
      <c r="AA58" s="829">
        <f t="shared" si="2"/>
        <v>33696.492646974642</v>
      </c>
      <c r="AB58" s="829">
        <f t="shared" si="2"/>
        <v>68882.342680964706</v>
      </c>
      <c r="AC58" s="829">
        <f t="shared" si="2"/>
        <v>0</v>
      </c>
      <c r="AD58" s="829">
        <f t="shared" si="2"/>
        <v>0</v>
      </c>
      <c r="AE58" s="829">
        <f t="shared" si="2"/>
        <v>0</v>
      </c>
      <c r="AF58" s="829">
        <f t="shared" si="2"/>
        <v>0</v>
      </c>
      <c r="AG58" s="829">
        <f t="shared" si="2"/>
        <v>0</v>
      </c>
      <c r="AH58" s="829">
        <f t="shared" si="2"/>
        <v>0</v>
      </c>
      <c r="AI58" s="829">
        <f t="shared" si="2"/>
        <v>0</v>
      </c>
      <c r="AJ58" s="829">
        <f t="shared" si="2"/>
        <v>0</v>
      </c>
      <c r="AK58" s="829">
        <f t="shared" si="2"/>
        <v>0</v>
      </c>
      <c r="AL58" s="829">
        <f t="shared" si="2"/>
        <v>0</v>
      </c>
      <c r="AM58" s="829">
        <f t="shared" si="2"/>
        <v>0</v>
      </c>
      <c r="AN58" s="829">
        <f t="shared" si="2"/>
        <v>0</v>
      </c>
      <c r="AO58" s="829">
        <f t="shared" si="2"/>
        <v>0</v>
      </c>
      <c r="AP58" s="829">
        <f t="shared" si="2"/>
        <v>0</v>
      </c>
      <c r="AQ58" s="829">
        <f t="shared" si="2"/>
        <v>0</v>
      </c>
      <c r="AR58" s="829">
        <f t="shared" si="2"/>
        <v>0</v>
      </c>
      <c r="AS58" s="829">
        <f t="shared" si="2"/>
        <v>0</v>
      </c>
      <c r="AT58" s="829">
        <f t="shared" si="2"/>
        <v>0</v>
      </c>
      <c r="AU58" s="829">
        <f t="shared" si="2"/>
        <v>0</v>
      </c>
      <c r="AV58" s="829">
        <f t="shared" si="2"/>
        <v>0</v>
      </c>
      <c r="AW58" s="829">
        <f t="shared" si="2"/>
        <v>0</v>
      </c>
      <c r="AX58" s="829">
        <f t="shared" si="2"/>
        <v>0</v>
      </c>
      <c r="AY58" s="829">
        <f t="shared" si="2"/>
        <v>0</v>
      </c>
      <c r="AZ58" s="829">
        <f t="shared" si="2"/>
        <v>0</v>
      </c>
      <c r="BA58" s="829">
        <f t="shared" si="2"/>
        <v>0</v>
      </c>
      <c r="BB58" s="829">
        <f t="shared" si="2"/>
        <v>0</v>
      </c>
      <c r="BC58" s="829">
        <f t="shared" si="2"/>
        <v>0</v>
      </c>
      <c r="BD58" s="829">
        <f t="shared" si="2"/>
        <v>0</v>
      </c>
      <c r="BE58" s="829">
        <f t="shared" si="2"/>
        <v>0</v>
      </c>
      <c r="BF58" s="829">
        <f t="shared" si="2"/>
        <v>0</v>
      </c>
      <c r="BG58" s="829">
        <f t="shared" si="2"/>
        <v>0</v>
      </c>
      <c r="BH58" s="829">
        <f t="shared" si="2"/>
        <v>0</v>
      </c>
      <c r="BI58" s="175">
        <f>NPV($D$49,F58:BH58)</f>
        <v>353166.35196645762</v>
      </c>
      <c r="BJ58" s="121"/>
      <c r="BK58" s="121"/>
      <c r="BL58" s="121"/>
      <c r="BM58" s="121"/>
      <c r="BN58" s="121"/>
      <c r="BO58" s="121"/>
    </row>
    <row r="59" spans="2:67" ht="12.75">
      <c r="C59" s="177"/>
      <c r="D59" s="179" t="s">
        <v>627</v>
      </c>
      <c r="E59" s="180" t="s">
        <v>264</v>
      </c>
      <c r="F59" s="178">
        <f t="shared" ref="F59:BH59" si="3">F57+F58</f>
        <v>0</v>
      </c>
      <c r="G59" s="178">
        <f t="shared" si="3"/>
        <v>0</v>
      </c>
      <c r="H59" s="178">
        <f t="shared" si="3"/>
        <v>14956.883175931216</v>
      </c>
      <c r="I59" s="178">
        <f t="shared" si="3"/>
        <v>16734.633347816773</v>
      </c>
      <c r="J59" s="178">
        <f t="shared" si="3"/>
        <v>16864.658048273501</v>
      </c>
      <c r="K59" s="178">
        <f t="shared" si="3"/>
        <v>17470.341797770801</v>
      </c>
      <c r="L59" s="178">
        <f t="shared" si="3"/>
        <v>18079.184945404515</v>
      </c>
      <c r="M59" s="178">
        <f t="shared" si="3"/>
        <v>18904.193629455964</v>
      </c>
      <c r="N59" s="178">
        <f t="shared" si="3"/>
        <v>19788.555709108077</v>
      </c>
      <c r="O59" s="178">
        <f t="shared" si="3"/>
        <v>20704.508407661458</v>
      </c>
      <c r="P59" s="178">
        <f t="shared" si="3"/>
        <v>21639.883229934159</v>
      </c>
      <c r="Q59" s="178">
        <f t="shared" si="3"/>
        <v>22579.646927360765</v>
      </c>
      <c r="R59" s="178">
        <f t="shared" si="3"/>
        <v>23580.788688598957</v>
      </c>
      <c r="S59" s="178">
        <f t="shared" si="3"/>
        <v>24606.417254515</v>
      </c>
      <c r="T59" s="178">
        <f t="shared" si="3"/>
        <v>25657.142671212016</v>
      </c>
      <c r="U59" s="178">
        <f t="shared" si="3"/>
        <v>26733.586819531425</v>
      </c>
      <c r="V59" s="178">
        <f t="shared" si="3"/>
        <v>27836.384987860918</v>
      </c>
      <c r="W59" s="178">
        <f t="shared" si="3"/>
        <v>28966.19523215865</v>
      </c>
      <c r="X59" s="178">
        <f t="shared" si="3"/>
        <v>30123.68539076348</v>
      </c>
      <c r="Y59" s="178">
        <f t="shared" si="3"/>
        <v>31307.928765691628</v>
      </c>
      <c r="Z59" s="178">
        <f t="shared" si="3"/>
        <v>32471.898581293441</v>
      </c>
      <c r="AA59" s="178">
        <f t="shared" si="3"/>
        <v>33696.492646974642</v>
      </c>
      <c r="AB59" s="178">
        <f t="shared" si="3"/>
        <v>68882.342680964706</v>
      </c>
      <c r="AC59" s="178">
        <f t="shared" si="3"/>
        <v>0</v>
      </c>
      <c r="AD59" s="178">
        <f t="shared" si="3"/>
        <v>0</v>
      </c>
      <c r="AE59" s="178">
        <f t="shared" si="3"/>
        <v>0</v>
      </c>
      <c r="AF59" s="178">
        <f t="shared" si="3"/>
        <v>0</v>
      </c>
      <c r="AG59" s="178">
        <f t="shared" si="3"/>
        <v>0</v>
      </c>
      <c r="AH59" s="178">
        <f t="shared" si="3"/>
        <v>0</v>
      </c>
      <c r="AI59" s="178">
        <f t="shared" si="3"/>
        <v>0</v>
      </c>
      <c r="AJ59" s="178">
        <f t="shared" si="3"/>
        <v>0</v>
      </c>
      <c r="AK59" s="178">
        <f t="shared" si="3"/>
        <v>0</v>
      </c>
      <c r="AL59" s="178">
        <f t="shared" si="3"/>
        <v>0</v>
      </c>
      <c r="AM59" s="178">
        <f t="shared" si="3"/>
        <v>0</v>
      </c>
      <c r="AN59" s="178">
        <f t="shared" si="3"/>
        <v>0</v>
      </c>
      <c r="AO59" s="178">
        <f t="shared" si="3"/>
        <v>0</v>
      </c>
      <c r="AP59" s="178">
        <f t="shared" si="3"/>
        <v>0</v>
      </c>
      <c r="AQ59" s="178">
        <f t="shared" si="3"/>
        <v>0</v>
      </c>
      <c r="AR59" s="178">
        <f t="shared" si="3"/>
        <v>0</v>
      </c>
      <c r="AS59" s="178">
        <f t="shared" si="3"/>
        <v>0</v>
      </c>
      <c r="AT59" s="178">
        <f t="shared" si="3"/>
        <v>0</v>
      </c>
      <c r="AU59" s="178">
        <f t="shared" si="3"/>
        <v>0</v>
      </c>
      <c r="AV59" s="178">
        <f t="shared" si="3"/>
        <v>0</v>
      </c>
      <c r="AW59" s="178">
        <f t="shared" si="3"/>
        <v>0</v>
      </c>
      <c r="AX59" s="178">
        <f t="shared" si="3"/>
        <v>0</v>
      </c>
      <c r="AY59" s="178">
        <f t="shared" si="3"/>
        <v>0</v>
      </c>
      <c r="AZ59" s="178">
        <f t="shared" si="3"/>
        <v>0</v>
      </c>
      <c r="BA59" s="178">
        <f t="shared" si="3"/>
        <v>0</v>
      </c>
      <c r="BB59" s="178">
        <f t="shared" si="3"/>
        <v>0</v>
      </c>
      <c r="BC59" s="178">
        <f t="shared" si="3"/>
        <v>0</v>
      </c>
      <c r="BD59" s="178">
        <f t="shared" si="3"/>
        <v>0</v>
      </c>
      <c r="BE59" s="178">
        <f t="shared" si="3"/>
        <v>0</v>
      </c>
      <c r="BF59" s="178">
        <f t="shared" si="3"/>
        <v>0</v>
      </c>
      <c r="BG59" s="178">
        <f t="shared" si="3"/>
        <v>0</v>
      </c>
      <c r="BH59" s="178">
        <f t="shared" si="3"/>
        <v>0</v>
      </c>
      <c r="BI59" s="175">
        <f>NPV($D$49,F59:BH59)</f>
        <v>353166.35196645762</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4">F59-F55</f>
        <v>0</v>
      </c>
      <c r="G62" s="185">
        <f t="shared" si="4"/>
        <v>0</v>
      </c>
      <c r="H62" s="185">
        <f t="shared" si="4"/>
        <v>1881.4908036119559</v>
      </c>
      <c r="I62" s="185">
        <f t="shared" si="4"/>
        <v>3965.6954842237465</v>
      </c>
      <c r="J62" s="185">
        <f t="shared" si="4"/>
        <v>4394.992165858439</v>
      </c>
      <c r="K62" s="185">
        <f t="shared" si="4"/>
        <v>5292.9337094748444</v>
      </c>
      <c r="L62" s="185">
        <f t="shared" si="4"/>
        <v>6187.1848591779853</v>
      </c>
      <c r="M62" s="185">
        <f t="shared" si="4"/>
        <v>7290.9122952503512</v>
      </c>
      <c r="N62" s="185">
        <f t="shared" si="4"/>
        <v>8447.4606561728815</v>
      </c>
      <c r="O62" s="185">
        <f t="shared" si="4"/>
        <v>9629.2202700293965</v>
      </c>
      <c r="P62" s="185">
        <f t="shared" si="4"/>
        <v>10824.172158027804</v>
      </c>
      <c r="Q62" s="185">
        <f t="shared" si="4"/>
        <v>12017.429083702164</v>
      </c>
      <c r="R62" s="185">
        <f t="shared" si="4"/>
        <v>13266.122825651044</v>
      </c>
      <c r="S62" s="696">
        <f t="shared" si="4"/>
        <v>14533.501372729861</v>
      </c>
      <c r="T62" s="696">
        <f t="shared" si="4"/>
        <v>15820.310755406141</v>
      </c>
      <c r="U62" s="696">
        <f t="shared" si="4"/>
        <v>17127.305651752169</v>
      </c>
      <c r="V62" s="696">
        <f t="shared" si="4"/>
        <v>18455.251034951401</v>
      </c>
      <c r="W62" s="696">
        <f t="shared" si="4"/>
        <v>19804.931606270358</v>
      </c>
      <c r="X62" s="696">
        <f t="shared" si="4"/>
        <v>21177.138881106846</v>
      </c>
      <c r="Y62" s="696">
        <f t="shared" si="4"/>
        <v>22571.066939854965</v>
      </c>
      <c r="Z62" s="696">
        <f t="shared" si="4"/>
        <v>23939.80695449972</v>
      </c>
      <c r="AA62" s="696">
        <f t="shared" si="4"/>
        <v>25364.371917683784</v>
      </c>
      <c r="AB62" s="696">
        <f t="shared" si="4"/>
        <v>60745.506031266486</v>
      </c>
      <c r="AC62" s="696">
        <f t="shared" si="4"/>
        <v>0</v>
      </c>
      <c r="AD62" s="696">
        <f t="shared" si="4"/>
        <v>0</v>
      </c>
      <c r="AE62" s="696">
        <f t="shared" si="4"/>
        <v>0</v>
      </c>
      <c r="AF62" s="696">
        <f t="shared" si="4"/>
        <v>0</v>
      </c>
      <c r="AG62" s="696">
        <f t="shared" si="4"/>
        <v>0</v>
      </c>
      <c r="AH62" s="696">
        <f t="shared" si="4"/>
        <v>0</v>
      </c>
      <c r="AI62" s="696">
        <f t="shared" si="4"/>
        <v>0</v>
      </c>
      <c r="AJ62" s="696">
        <f t="shared" si="4"/>
        <v>0</v>
      </c>
      <c r="AK62" s="696">
        <f t="shared" si="4"/>
        <v>0</v>
      </c>
      <c r="AL62" s="696">
        <f t="shared" si="4"/>
        <v>0</v>
      </c>
      <c r="AM62" s="696">
        <f t="shared" si="4"/>
        <v>0</v>
      </c>
      <c r="AN62" s="696">
        <f t="shared" si="4"/>
        <v>0</v>
      </c>
      <c r="AO62" s="696">
        <f t="shared" si="4"/>
        <v>0</v>
      </c>
      <c r="AP62" s="696">
        <f t="shared" si="4"/>
        <v>0</v>
      </c>
      <c r="AQ62" s="696">
        <f t="shared" si="4"/>
        <v>0</v>
      </c>
      <c r="AR62" s="696">
        <f t="shared" si="4"/>
        <v>0</v>
      </c>
      <c r="AS62" s="696">
        <f t="shared" si="4"/>
        <v>0</v>
      </c>
      <c r="AT62" s="696">
        <f t="shared" si="4"/>
        <v>0</v>
      </c>
      <c r="AU62" s="696">
        <f t="shared" si="4"/>
        <v>0</v>
      </c>
      <c r="AV62" s="696">
        <f t="shared" si="4"/>
        <v>0</v>
      </c>
      <c r="AW62" s="696">
        <f t="shared" si="4"/>
        <v>0</v>
      </c>
      <c r="AX62" s="696">
        <f t="shared" si="4"/>
        <v>0</v>
      </c>
      <c r="AY62" s="696">
        <f t="shared" si="4"/>
        <v>0</v>
      </c>
      <c r="AZ62" s="696">
        <f t="shared" si="4"/>
        <v>0</v>
      </c>
      <c r="BA62" s="696">
        <f t="shared" si="4"/>
        <v>0</v>
      </c>
      <c r="BB62" s="696">
        <f t="shared" si="4"/>
        <v>0</v>
      </c>
      <c r="BC62" s="696">
        <f t="shared" si="4"/>
        <v>0</v>
      </c>
      <c r="BD62" s="696">
        <f t="shared" si="4"/>
        <v>0</v>
      </c>
      <c r="BE62" s="696">
        <f t="shared" si="4"/>
        <v>0</v>
      </c>
      <c r="BF62" s="696">
        <f t="shared" si="4"/>
        <v>0</v>
      </c>
      <c r="BG62" s="696">
        <f t="shared" si="4"/>
        <v>0</v>
      </c>
      <c r="BH62" s="696">
        <f t="shared" si="4"/>
        <v>0</v>
      </c>
      <c r="BI62" s="175">
        <f>NPV($D$49,F62:BH62)</f>
        <v>197871.41694459398</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5">F65+1</f>
        <v>2015</v>
      </c>
      <c r="H65" s="171">
        <f t="shared" si="5"/>
        <v>2016</v>
      </c>
      <c r="I65" s="171">
        <f t="shared" si="5"/>
        <v>2017</v>
      </c>
      <c r="J65" s="171">
        <f t="shared" si="5"/>
        <v>2018</v>
      </c>
      <c r="K65" s="171">
        <f t="shared" si="5"/>
        <v>2019</v>
      </c>
      <c r="L65" s="171">
        <f t="shared" si="5"/>
        <v>2020</v>
      </c>
      <c r="M65" s="171">
        <f t="shared" si="5"/>
        <v>2021</v>
      </c>
      <c r="N65" s="171">
        <f t="shared" si="5"/>
        <v>2022</v>
      </c>
      <c r="O65" s="171">
        <f t="shared" si="5"/>
        <v>2023</v>
      </c>
      <c r="P65" s="171">
        <f t="shared" si="5"/>
        <v>2024</v>
      </c>
      <c r="Q65" s="171">
        <f t="shared" si="5"/>
        <v>2025</v>
      </c>
      <c r="R65" s="171">
        <f t="shared" si="5"/>
        <v>2026</v>
      </c>
      <c r="S65" s="306">
        <f t="shared" si="5"/>
        <v>2027</v>
      </c>
      <c r="T65" s="306">
        <f t="shared" si="5"/>
        <v>2028</v>
      </c>
      <c r="U65" s="306">
        <f t="shared" si="5"/>
        <v>2029</v>
      </c>
      <c r="V65" s="306">
        <f t="shared" si="5"/>
        <v>2030</v>
      </c>
      <c r="W65" s="306">
        <f t="shared" si="5"/>
        <v>2031</v>
      </c>
      <c r="X65" s="306">
        <f t="shared" si="5"/>
        <v>2032</v>
      </c>
      <c r="Y65" s="306">
        <f t="shared" si="5"/>
        <v>2033</v>
      </c>
      <c r="Z65" s="306">
        <f t="shared" si="5"/>
        <v>2034</v>
      </c>
      <c r="AA65" s="306">
        <f t="shared" si="5"/>
        <v>2035</v>
      </c>
      <c r="AB65" s="306">
        <f t="shared" si="5"/>
        <v>2036</v>
      </c>
      <c r="AC65" s="306">
        <f t="shared" si="5"/>
        <v>2037</v>
      </c>
      <c r="AD65" s="306">
        <f t="shared" si="5"/>
        <v>2038</v>
      </c>
      <c r="AE65" s="306">
        <f t="shared" si="5"/>
        <v>2039</v>
      </c>
      <c r="AF65" s="306">
        <f t="shared" si="5"/>
        <v>2040</v>
      </c>
      <c r="AG65" s="306">
        <f t="shared" si="5"/>
        <v>2041</v>
      </c>
      <c r="AH65" s="306">
        <f t="shared" si="5"/>
        <v>2042</v>
      </c>
      <c r="AI65" s="306">
        <f t="shared" si="5"/>
        <v>2043</v>
      </c>
      <c r="AJ65" s="306">
        <f t="shared" si="5"/>
        <v>2044</v>
      </c>
      <c r="AK65" s="306">
        <f t="shared" si="5"/>
        <v>2045</v>
      </c>
      <c r="AL65" s="306">
        <f t="shared" si="5"/>
        <v>2046</v>
      </c>
      <c r="AM65" s="306">
        <f t="shared" si="5"/>
        <v>2047</v>
      </c>
      <c r="AN65" s="306">
        <f t="shared" si="5"/>
        <v>2048</v>
      </c>
      <c r="AO65" s="306">
        <f t="shared" si="5"/>
        <v>2049</v>
      </c>
      <c r="AP65" s="306">
        <f t="shared" si="5"/>
        <v>2050</v>
      </c>
      <c r="AQ65" s="306">
        <f t="shared" si="5"/>
        <v>2051</v>
      </c>
      <c r="AR65" s="306">
        <f t="shared" si="5"/>
        <v>2052</v>
      </c>
      <c r="AS65" s="306">
        <f t="shared" si="5"/>
        <v>2053</v>
      </c>
      <c r="AT65" s="306">
        <f t="shared" si="5"/>
        <v>2054</v>
      </c>
      <c r="AU65" s="306">
        <f t="shared" si="5"/>
        <v>2055</v>
      </c>
      <c r="AV65" s="306">
        <f t="shared" si="5"/>
        <v>2056</v>
      </c>
      <c r="AW65" s="306">
        <f t="shared" si="5"/>
        <v>2057</v>
      </c>
      <c r="AX65" s="306">
        <f t="shared" si="5"/>
        <v>2058</v>
      </c>
      <c r="AY65" s="306">
        <f t="shared" si="5"/>
        <v>2059</v>
      </c>
      <c r="AZ65" s="306">
        <f t="shared" si="5"/>
        <v>2060</v>
      </c>
      <c r="BA65" s="306">
        <f t="shared" si="5"/>
        <v>2061</v>
      </c>
      <c r="BB65" s="306">
        <f t="shared" si="5"/>
        <v>2062</v>
      </c>
      <c r="BC65" s="306">
        <f t="shared" si="5"/>
        <v>2063</v>
      </c>
      <c r="BD65" s="306">
        <f t="shared" si="5"/>
        <v>2064</v>
      </c>
      <c r="BE65" s="306">
        <f t="shared" si="5"/>
        <v>2065</v>
      </c>
      <c r="BF65" s="306">
        <f t="shared" si="5"/>
        <v>2066</v>
      </c>
      <c r="BG65" s="306">
        <f t="shared" si="5"/>
        <v>2067</v>
      </c>
      <c r="BH65" s="306">
        <f t="shared" si="5"/>
        <v>2068</v>
      </c>
      <c r="BI65" s="695" t="s">
        <v>4</v>
      </c>
      <c r="BJ65" s="121"/>
      <c r="BK65" s="121"/>
      <c r="BL65" s="121"/>
      <c r="BM65" s="121"/>
      <c r="BN65" s="121"/>
      <c r="BO65" s="121"/>
    </row>
    <row r="66" spans="2:67" ht="12.75">
      <c r="C66" s="2005" t="s">
        <v>284</v>
      </c>
      <c r="D66" s="2006"/>
      <c r="E66" s="200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 t="shared" ref="F67:AK67" si="6">IF(AND(F54&gt;=$D$31,F54&lt;=($D$31+$D$32)),$N$10,0)</f>
        <v>0</v>
      </c>
      <c r="G67" s="189">
        <f t="shared" si="6"/>
        <v>0</v>
      </c>
      <c r="H67" s="189">
        <f t="shared" si="6"/>
        <v>1668.5904901640761</v>
      </c>
      <c r="I67" s="189">
        <f t="shared" si="6"/>
        <v>1668.5904901640761</v>
      </c>
      <c r="J67" s="189">
        <f t="shared" si="6"/>
        <v>1668.5904901640761</v>
      </c>
      <c r="K67" s="189">
        <f t="shared" si="6"/>
        <v>1668.5904901640761</v>
      </c>
      <c r="L67" s="189">
        <f t="shared" si="6"/>
        <v>1668.5904901640761</v>
      </c>
      <c r="M67" s="189">
        <f t="shared" si="6"/>
        <v>1668.5904901640761</v>
      </c>
      <c r="N67" s="189">
        <f t="shared" si="6"/>
        <v>1668.5904901640761</v>
      </c>
      <c r="O67" s="189">
        <f t="shared" si="6"/>
        <v>1668.5904901640761</v>
      </c>
      <c r="P67" s="189">
        <f t="shared" si="6"/>
        <v>1668.5904901640761</v>
      </c>
      <c r="Q67" s="189">
        <f t="shared" si="6"/>
        <v>1668.5904901640761</v>
      </c>
      <c r="R67" s="189">
        <f t="shared" si="6"/>
        <v>1668.5904901640761</v>
      </c>
      <c r="S67" s="189">
        <f t="shared" si="6"/>
        <v>1668.5904901640761</v>
      </c>
      <c r="T67" s="189">
        <f t="shared" si="6"/>
        <v>1668.5904901640761</v>
      </c>
      <c r="U67" s="189">
        <f t="shared" si="6"/>
        <v>1668.5904901640761</v>
      </c>
      <c r="V67" s="189">
        <f t="shared" si="6"/>
        <v>1668.5904901640761</v>
      </c>
      <c r="W67" s="189">
        <f t="shared" si="6"/>
        <v>1668.5904901640761</v>
      </c>
      <c r="X67" s="189">
        <f t="shared" si="6"/>
        <v>1668.5904901640761</v>
      </c>
      <c r="Y67" s="189">
        <f t="shared" si="6"/>
        <v>1668.5904901640761</v>
      </c>
      <c r="Z67" s="189">
        <f t="shared" si="6"/>
        <v>1668.5904901640761</v>
      </c>
      <c r="AA67" s="189">
        <f t="shared" si="6"/>
        <v>1668.5904901640761</v>
      </c>
      <c r="AB67" s="189">
        <f t="shared" si="6"/>
        <v>1668.5904901640761</v>
      </c>
      <c r="AC67" s="189">
        <f t="shared" si="6"/>
        <v>0</v>
      </c>
      <c r="AD67" s="189">
        <f t="shared" si="6"/>
        <v>0</v>
      </c>
      <c r="AE67" s="189">
        <f t="shared" si="6"/>
        <v>0</v>
      </c>
      <c r="AF67" s="189">
        <f t="shared" si="6"/>
        <v>0</v>
      </c>
      <c r="AG67" s="189">
        <f t="shared" si="6"/>
        <v>0</v>
      </c>
      <c r="AH67" s="189">
        <f t="shared" si="6"/>
        <v>0</v>
      </c>
      <c r="AI67" s="189">
        <f t="shared" si="6"/>
        <v>0</v>
      </c>
      <c r="AJ67" s="189">
        <f t="shared" si="6"/>
        <v>0</v>
      </c>
      <c r="AK67" s="189">
        <f t="shared" si="6"/>
        <v>0</v>
      </c>
      <c r="AL67" s="189">
        <f t="shared" ref="AL67:BH67" si="7">IF(AND(AL54&gt;=$D$31,AL54&lt;=($D$31+$D$32)),$N$10,0)</f>
        <v>0</v>
      </c>
      <c r="AM67" s="189">
        <f t="shared" si="7"/>
        <v>0</v>
      </c>
      <c r="AN67" s="189">
        <f t="shared" si="7"/>
        <v>0</v>
      </c>
      <c r="AO67" s="189">
        <f t="shared" si="7"/>
        <v>0</v>
      </c>
      <c r="AP67" s="189">
        <f t="shared" si="7"/>
        <v>0</v>
      </c>
      <c r="AQ67" s="189">
        <f t="shared" si="7"/>
        <v>0</v>
      </c>
      <c r="AR67" s="189">
        <f t="shared" si="7"/>
        <v>0</v>
      </c>
      <c r="AS67" s="189">
        <f t="shared" si="7"/>
        <v>0</v>
      </c>
      <c r="AT67" s="189">
        <f t="shared" si="7"/>
        <v>0</v>
      </c>
      <c r="AU67" s="189">
        <f t="shared" si="7"/>
        <v>0</v>
      </c>
      <c r="AV67" s="189">
        <f t="shared" si="7"/>
        <v>0</v>
      </c>
      <c r="AW67" s="189">
        <f t="shared" si="7"/>
        <v>0</v>
      </c>
      <c r="AX67" s="189">
        <f t="shared" si="7"/>
        <v>0</v>
      </c>
      <c r="AY67" s="189">
        <f t="shared" si="7"/>
        <v>0</v>
      </c>
      <c r="AZ67" s="189">
        <f t="shared" si="7"/>
        <v>0</v>
      </c>
      <c r="BA67" s="189">
        <f t="shared" si="7"/>
        <v>0</v>
      </c>
      <c r="BB67" s="189">
        <f t="shared" si="7"/>
        <v>0</v>
      </c>
      <c r="BC67" s="189">
        <f t="shared" si="7"/>
        <v>0</v>
      </c>
      <c r="BD67" s="189">
        <f t="shared" si="7"/>
        <v>0</v>
      </c>
      <c r="BE67" s="189">
        <f t="shared" si="7"/>
        <v>0</v>
      </c>
      <c r="BF67" s="189">
        <f t="shared" si="7"/>
        <v>0</v>
      </c>
      <c r="BG67" s="189">
        <f t="shared" si="7"/>
        <v>0</v>
      </c>
      <c r="BH67" s="189">
        <f t="shared" si="7"/>
        <v>0</v>
      </c>
      <c r="BI67" s="188"/>
      <c r="BJ67" s="121"/>
      <c r="BK67" s="121"/>
      <c r="BL67" s="121"/>
      <c r="BM67" s="121"/>
      <c r="BN67" s="121"/>
      <c r="BO67" s="121"/>
    </row>
    <row r="68" spans="2:67" ht="12.75">
      <c r="C68" s="172" t="s">
        <v>277</v>
      </c>
      <c r="D68" s="121" t="s">
        <v>564</v>
      </c>
      <c r="E68" s="121" t="s">
        <v>264</v>
      </c>
      <c r="F68" s="176">
        <v>0</v>
      </c>
      <c r="G68" s="176">
        <f>IF(AND(G54&gt;=$D$31,G54&lt;=($D$31+$D$32)),$P$30,0)</f>
        <v>0</v>
      </c>
      <c r="H68" s="176">
        <f t="shared" ref="H68:BH68" si="8">IF(AND(H54&gt;=$D$31,H54&lt;=($D$31+$D$32)),$P$30,0)</f>
        <v>0</v>
      </c>
      <c r="I68" s="176">
        <f t="shared" si="8"/>
        <v>0</v>
      </c>
      <c r="J68" s="176">
        <f t="shared" si="8"/>
        <v>0</v>
      </c>
      <c r="K68" s="176">
        <f t="shared" si="8"/>
        <v>0</v>
      </c>
      <c r="L68" s="176">
        <f t="shared" si="8"/>
        <v>0</v>
      </c>
      <c r="M68" s="176">
        <f t="shared" si="8"/>
        <v>0</v>
      </c>
      <c r="N68" s="176">
        <f t="shared" si="8"/>
        <v>0</v>
      </c>
      <c r="O68" s="176">
        <f t="shared" si="8"/>
        <v>0</v>
      </c>
      <c r="P68" s="176">
        <f t="shared" si="8"/>
        <v>0</v>
      </c>
      <c r="Q68" s="176">
        <f t="shared" si="8"/>
        <v>0</v>
      </c>
      <c r="R68" s="176">
        <f t="shared" si="8"/>
        <v>0</v>
      </c>
      <c r="S68" s="176">
        <f t="shared" si="8"/>
        <v>0</v>
      </c>
      <c r="T68" s="176">
        <f t="shared" si="8"/>
        <v>0</v>
      </c>
      <c r="U68" s="176">
        <f t="shared" si="8"/>
        <v>0</v>
      </c>
      <c r="V68" s="176">
        <f t="shared" si="8"/>
        <v>0</v>
      </c>
      <c r="W68" s="176">
        <f t="shared" si="8"/>
        <v>0</v>
      </c>
      <c r="X68" s="176">
        <f t="shared" si="8"/>
        <v>0</v>
      </c>
      <c r="Y68" s="176">
        <f t="shared" si="8"/>
        <v>0</v>
      </c>
      <c r="Z68" s="176">
        <f t="shared" si="8"/>
        <v>0</v>
      </c>
      <c r="AA68" s="176">
        <f t="shared" si="8"/>
        <v>0</v>
      </c>
      <c r="AB68" s="176">
        <f t="shared" si="8"/>
        <v>0</v>
      </c>
      <c r="AC68" s="176">
        <f t="shared" si="8"/>
        <v>0</v>
      </c>
      <c r="AD68" s="176">
        <f t="shared" si="8"/>
        <v>0</v>
      </c>
      <c r="AE68" s="176">
        <f t="shared" si="8"/>
        <v>0</v>
      </c>
      <c r="AF68" s="176">
        <f t="shared" si="8"/>
        <v>0</v>
      </c>
      <c r="AG68" s="176">
        <f t="shared" si="8"/>
        <v>0</v>
      </c>
      <c r="AH68" s="176">
        <f t="shared" si="8"/>
        <v>0</v>
      </c>
      <c r="AI68" s="176">
        <f t="shared" si="8"/>
        <v>0</v>
      </c>
      <c r="AJ68" s="176">
        <f t="shared" si="8"/>
        <v>0</v>
      </c>
      <c r="AK68" s="176">
        <f t="shared" si="8"/>
        <v>0</v>
      </c>
      <c r="AL68" s="176">
        <f t="shared" si="8"/>
        <v>0</v>
      </c>
      <c r="AM68" s="176">
        <f t="shared" si="8"/>
        <v>0</v>
      </c>
      <c r="AN68" s="176">
        <f t="shared" si="8"/>
        <v>0</v>
      </c>
      <c r="AO68" s="176">
        <f t="shared" si="8"/>
        <v>0</v>
      </c>
      <c r="AP68" s="176">
        <f t="shared" si="8"/>
        <v>0</v>
      </c>
      <c r="AQ68" s="176">
        <f t="shared" si="8"/>
        <v>0</v>
      </c>
      <c r="AR68" s="176">
        <f t="shared" si="8"/>
        <v>0</v>
      </c>
      <c r="AS68" s="176">
        <f t="shared" si="8"/>
        <v>0</v>
      </c>
      <c r="AT68" s="176">
        <f t="shared" si="8"/>
        <v>0</v>
      </c>
      <c r="AU68" s="176">
        <f t="shared" si="8"/>
        <v>0</v>
      </c>
      <c r="AV68" s="176">
        <f t="shared" si="8"/>
        <v>0</v>
      </c>
      <c r="AW68" s="176">
        <f t="shared" si="8"/>
        <v>0</v>
      </c>
      <c r="AX68" s="176">
        <f t="shared" si="8"/>
        <v>0</v>
      </c>
      <c r="AY68" s="176">
        <f t="shared" si="8"/>
        <v>0</v>
      </c>
      <c r="AZ68" s="176">
        <f t="shared" si="8"/>
        <v>0</v>
      </c>
      <c r="BA68" s="176">
        <f t="shared" si="8"/>
        <v>0</v>
      </c>
      <c r="BB68" s="176">
        <f t="shared" si="8"/>
        <v>0</v>
      </c>
      <c r="BC68" s="176">
        <f t="shared" si="8"/>
        <v>0</v>
      </c>
      <c r="BD68" s="176">
        <f t="shared" si="8"/>
        <v>0</v>
      </c>
      <c r="BE68" s="176">
        <f t="shared" si="8"/>
        <v>0</v>
      </c>
      <c r="BF68" s="176">
        <f t="shared" si="8"/>
        <v>0</v>
      </c>
      <c r="BG68" s="176">
        <f t="shared" si="8"/>
        <v>0</v>
      </c>
      <c r="BH68" s="176">
        <f t="shared" si="8"/>
        <v>0</v>
      </c>
      <c r="BI68" s="175">
        <f>NPV($D$49,F68:BH68)</f>
        <v>0</v>
      </c>
      <c r="BJ68" s="121"/>
      <c r="BK68" s="121"/>
      <c r="BL68" s="121"/>
      <c r="BM68" s="121"/>
      <c r="BN68" s="121"/>
      <c r="BO68" s="121"/>
    </row>
    <row r="69" spans="2:67" ht="12.75">
      <c r="C69" s="190"/>
      <c r="D69" s="121" t="s">
        <v>565</v>
      </c>
      <c r="E69" s="121" t="s">
        <v>264</v>
      </c>
      <c r="F69" s="191">
        <f>IF(AND(F54&gt;=$D$31,F54&lt;=($D$31+$D$32)),$P$29*O6,0)</f>
        <v>0</v>
      </c>
      <c r="G69" s="191">
        <f>IF(AND(G54&gt;=$D$31,G54&lt;=($D$31+$D$32)),$P$29*P6,0)</f>
        <v>0</v>
      </c>
      <c r="H69" s="191">
        <f>IF(AND(H54&gt;=$D$31,H54&lt;=($D$31+$D$32)),$P$29,0)</f>
        <v>0</v>
      </c>
      <c r="I69" s="191">
        <f>IF(AND(I54&gt;=$D$31,I54&lt;=($D$31+$D$32)),$P$29,0)</f>
        <v>0</v>
      </c>
      <c r="J69" s="191">
        <f>IF(AND(J54&gt;=$D$31,J54&lt;=($D$31+$D$32)),$P$29*R6,0)</f>
        <v>0</v>
      </c>
      <c r="K69" s="191">
        <f t="shared" ref="K69:BH69" si="9">IF(AND(K54&gt;=$D$31,K54&lt;=($D$31+$D$32)),$P$29*T17,0)</f>
        <v>0</v>
      </c>
      <c r="L69" s="191">
        <f t="shared" si="9"/>
        <v>0</v>
      </c>
      <c r="M69" s="191">
        <f t="shared" si="9"/>
        <v>0</v>
      </c>
      <c r="N69" s="191">
        <f t="shared" si="9"/>
        <v>0</v>
      </c>
      <c r="O69" s="191">
        <f t="shared" si="9"/>
        <v>0</v>
      </c>
      <c r="P69" s="191">
        <f t="shared" si="9"/>
        <v>0</v>
      </c>
      <c r="Q69" s="191">
        <f t="shared" si="9"/>
        <v>0</v>
      </c>
      <c r="R69" s="191">
        <f t="shared" si="9"/>
        <v>0</v>
      </c>
      <c r="S69" s="191">
        <f t="shared" si="9"/>
        <v>0</v>
      </c>
      <c r="T69" s="191">
        <f t="shared" si="9"/>
        <v>0</v>
      </c>
      <c r="U69" s="191">
        <f t="shared" si="9"/>
        <v>0</v>
      </c>
      <c r="V69" s="191">
        <f t="shared" si="9"/>
        <v>0</v>
      </c>
      <c r="W69" s="191">
        <f t="shared" si="9"/>
        <v>0</v>
      </c>
      <c r="X69" s="191">
        <f t="shared" si="9"/>
        <v>0</v>
      </c>
      <c r="Y69" s="191">
        <f t="shared" si="9"/>
        <v>0</v>
      </c>
      <c r="Z69" s="191">
        <f t="shared" si="9"/>
        <v>0</v>
      </c>
      <c r="AA69" s="191">
        <f t="shared" si="9"/>
        <v>0</v>
      </c>
      <c r="AB69" s="191">
        <f t="shared" si="9"/>
        <v>0</v>
      </c>
      <c r="AC69" s="191">
        <f t="shared" si="9"/>
        <v>0</v>
      </c>
      <c r="AD69" s="191">
        <f t="shared" si="9"/>
        <v>0</v>
      </c>
      <c r="AE69" s="191">
        <f t="shared" si="9"/>
        <v>0</v>
      </c>
      <c r="AF69" s="191">
        <f t="shared" si="9"/>
        <v>0</v>
      </c>
      <c r="AG69" s="191">
        <f t="shared" si="9"/>
        <v>0</v>
      </c>
      <c r="AH69" s="191">
        <f t="shared" si="9"/>
        <v>0</v>
      </c>
      <c r="AI69" s="191">
        <f t="shared" si="9"/>
        <v>0</v>
      </c>
      <c r="AJ69" s="191">
        <f t="shared" si="9"/>
        <v>0</v>
      </c>
      <c r="AK69" s="191">
        <f t="shared" si="9"/>
        <v>0</v>
      </c>
      <c r="AL69" s="191">
        <f t="shared" si="9"/>
        <v>0</v>
      </c>
      <c r="AM69" s="191">
        <f t="shared" si="9"/>
        <v>0</v>
      </c>
      <c r="AN69" s="191">
        <f t="shared" si="9"/>
        <v>0</v>
      </c>
      <c r="AO69" s="191">
        <f t="shared" si="9"/>
        <v>0</v>
      </c>
      <c r="AP69" s="191">
        <f t="shared" si="9"/>
        <v>0</v>
      </c>
      <c r="AQ69" s="191">
        <f t="shared" si="9"/>
        <v>0</v>
      </c>
      <c r="AR69" s="191">
        <f t="shared" si="9"/>
        <v>0</v>
      </c>
      <c r="AS69" s="191">
        <f t="shared" si="9"/>
        <v>0</v>
      </c>
      <c r="AT69" s="191">
        <f t="shared" si="9"/>
        <v>0</v>
      </c>
      <c r="AU69" s="191">
        <f t="shared" si="9"/>
        <v>0</v>
      </c>
      <c r="AV69" s="191">
        <f t="shared" si="9"/>
        <v>0</v>
      </c>
      <c r="AW69" s="191">
        <f t="shared" si="9"/>
        <v>0</v>
      </c>
      <c r="AX69" s="191">
        <f t="shared" si="9"/>
        <v>0</v>
      </c>
      <c r="AY69" s="191">
        <f t="shared" si="9"/>
        <v>0</v>
      </c>
      <c r="AZ69" s="191">
        <f t="shared" si="9"/>
        <v>0</v>
      </c>
      <c r="BA69" s="191">
        <f t="shared" si="9"/>
        <v>0</v>
      </c>
      <c r="BB69" s="191">
        <f t="shared" si="9"/>
        <v>0</v>
      </c>
      <c r="BC69" s="191">
        <f t="shared" si="9"/>
        <v>0</v>
      </c>
      <c r="BD69" s="191">
        <f t="shared" si="9"/>
        <v>0</v>
      </c>
      <c r="BE69" s="191">
        <f t="shared" si="9"/>
        <v>0</v>
      </c>
      <c r="BF69" s="191">
        <f t="shared" si="9"/>
        <v>0</v>
      </c>
      <c r="BG69" s="191">
        <f t="shared" si="9"/>
        <v>0</v>
      </c>
      <c r="BH69" s="191">
        <f t="shared" si="9"/>
        <v>0</v>
      </c>
      <c r="BI69" s="175">
        <f>NPV($D$49,F69:BH69)</f>
        <v>0</v>
      </c>
      <c r="BJ69" s="121"/>
      <c r="BK69" s="121"/>
      <c r="BL69" s="121"/>
      <c r="BM69" s="121"/>
      <c r="BN69" s="121"/>
      <c r="BO69" s="121"/>
    </row>
    <row r="70" spans="2:67" s="192" customFormat="1" ht="12.75">
      <c r="B70" s="193"/>
      <c r="C70" s="177"/>
      <c r="D70" s="180" t="s">
        <v>371</v>
      </c>
      <c r="E70" s="180" t="s">
        <v>264</v>
      </c>
      <c r="F70" s="194">
        <f t="shared" ref="F70:BH70" si="10">F68+F69</f>
        <v>0</v>
      </c>
      <c r="G70" s="194">
        <f t="shared" si="10"/>
        <v>0</v>
      </c>
      <c r="H70" s="194">
        <f t="shared" si="10"/>
        <v>0</v>
      </c>
      <c r="I70" s="194">
        <f t="shared" si="10"/>
        <v>0</v>
      </c>
      <c r="J70" s="194">
        <f t="shared" si="10"/>
        <v>0</v>
      </c>
      <c r="K70" s="194">
        <f t="shared" si="10"/>
        <v>0</v>
      </c>
      <c r="L70" s="194">
        <f t="shared" si="10"/>
        <v>0</v>
      </c>
      <c r="M70" s="194">
        <f t="shared" si="10"/>
        <v>0</v>
      </c>
      <c r="N70" s="194">
        <f t="shared" si="10"/>
        <v>0</v>
      </c>
      <c r="O70" s="194">
        <f t="shared" si="10"/>
        <v>0</v>
      </c>
      <c r="P70" s="194">
        <f t="shared" si="10"/>
        <v>0</v>
      </c>
      <c r="Q70" s="194">
        <f t="shared" si="10"/>
        <v>0</v>
      </c>
      <c r="R70" s="194">
        <f t="shared" si="10"/>
        <v>0</v>
      </c>
      <c r="S70" s="194">
        <f t="shared" si="10"/>
        <v>0</v>
      </c>
      <c r="T70" s="194">
        <f t="shared" si="10"/>
        <v>0</v>
      </c>
      <c r="U70" s="194">
        <f t="shared" si="10"/>
        <v>0</v>
      </c>
      <c r="V70" s="194">
        <f t="shared" si="10"/>
        <v>0</v>
      </c>
      <c r="W70" s="194">
        <f t="shared" si="10"/>
        <v>0</v>
      </c>
      <c r="X70" s="194">
        <f t="shared" si="10"/>
        <v>0</v>
      </c>
      <c r="Y70" s="194">
        <f t="shared" si="10"/>
        <v>0</v>
      </c>
      <c r="Z70" s="194">
        <f t="shared" si="10"/>
        <v>0</v>
      </c>
      <c r="AA70" s="194">
        <f t="shared" si="10"/>
        <v>0</v>
      </c>
      <c r="AB70" s="194">
        <f t="shared" si="10"/>
        <v>0</v>
      </c>
      <c r="AC70" s="194">
        <f t="shared" si="10"/>
        <v>0</v>
      </c>
      <c r="AD70" s="194">
        <f t="shared" si="10"/>
        <v>0</v>
      </c>
      <c r="AE70" s="194">
        <f t="shared" si="10"/>
        <v>0</v>
      </c>
      <c r="AF70" s="194">
        <f t="shared" si="10"/>
        <v>0</v>
      </c>
      <c r="AG70" s="194">
        <f t="shared" si="10"/>
        <v>0</v>
      </c>
      <c r="AH70" s="194">
        <f t="shared" si="10"/>
        <v>0</v>
      </c>
      <c r="AI70" s="194">
        <f t="shared" si="10"/>
        <v>0</v>
      </c>
      <c r="AJ70" s="194">
        <f t="shared" si="10"/>
        <v>0</v>
      </c>
      <c r="AK70" s="194">
        <f t="shared" si="10"/>
        <v>0</v>
      </c>
      <c r="AL70" s="194">
        <f t="shared" si="10"/>
        <v>0</v>
      </c>
      <c r="AM70" s="194">
        <f t="shared" si="10"/>
        <v>0</v>
      </c>
      <c r="AN70" s="194">
        <f t="shared" si="10"/>
        <v>0</v>
      </c>
      <c r="AO70" s="194">
        <f t="shared" si="10"/>
        <v>0</v>
      </c>
      <c r="AP70" s="194">
        <f t="shared" si="10"/>
        <v>0</v>
      </c>
      <c r="AQ70" s="194">
        <f t="shared" si="10"/>
        <v>0</v>
      </c>
      <c r="AR70" s="194">
        <f t="shared" si="10"/>
        <v>0</v>
      </c>
      <c r="AS70" s="194">
        <f t="shared" si="10"/>
        <v>0</v>
      </c>
      <c r="AT70" s="194">
        <f t="shared" si="10"/>
        <v>0</v>
      </c>
      <c r="AU70" s="194">
        <f t="shared" si="10"/>
        <v>0</v>
      </c>
      <c r="AV70" s="194">
        <f t="shared" si="10"/>
        <v>0</v>
      </c>
      <c r="AW70" s="194">
        <f t="shared" si="10"/>
        <v>0</v>
      </c>
      <c r="AX70" s="194">
        <f t="shared" si="10"/>
        <v>0</v>
      </c>
      <c r="AY70" s="194">
        <f t="shared" si="10"/>
        <v>0</v>
      </c>
      <c r="AZ70" s="194">
        <f t="shared" si="10"/>
        <v>0</v>
      </c>
      <c r="BA70" s="194">
        <f t="shared" si="10"/>
        <v>0</v>
      </c>
      <c r="BB70" s="194">
        <f t="shared" si="10"/>
        <v>0</v>
      </c>
      <c r="BC70" s="194">
        <f t="shared" si="10"/>
        <v>0</v>
      </c>
      <c r="BD70" s="194">
        <f t="shared" si="10"/>
        <v>0</v>
      </c>
      <c r="BE70" s="194">
        <f t="shared" si="10"/>
        <v>0</v>
      </c>
      <c r="BF70" s="194">
        <f t="shared" si="10"/>
        <v>0</v>
      </c>
      <c r="BG70" s="194">
        <f t="shared" si="10"/>
        <v>0</v>
      </c>
      <c r="BH70" s="194">
        <f t="shared" si="10"/>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2005" t="s">
        <v>285</v>
      </c>
      <c r="D72" s="2006"/>
      <c r="E72" s="2006"/>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623</v>
      </c>
      <c r="E73" s="121" t="s">
        <v>266</v>
      </c>
      <c r="F73" s="189"/>
      <c r="G73" s="189"/>
      <c r="H73" s="189"/>
      <c r="I73" s="189"/>
      <c r="J73" s="189"/>
      <c r="K73" s="189"/>
      <c r="L73" s="189"/>
      <c r="M73" s="189"/>
      <c r="N73" s="189"/>
      <c r="O73" s="189"/>
      <c r="P73" s="189"/>
      <c r="Q73" s="189"/>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8"/>
      <c r="BJ73" s="121"/>
      <c r="BK73" s="121"/>
      <c r="BL73" s="121"/>
      <c r="BM73" s="121"/>
      <c r="BN73" s="121"/>
      <c r="BO73" s="121"/>
    </row>
    <row r="74" spans="2:67" s="121" customFormat="1" ht="12.75">
      <c r="B74" s="138"/>
      <c r="C74" s="177"/>
      <c r="D74" s="121" t="str">
        <f>IF(C7="rural","Fuel Cost","Avoided Geneartion Cost")</f>
        <v>Fuel Cost</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t="s">
        <v>277</v>
      </c>
      <c r="D75" s="121" t="s">
        <v>381</v>
      </c>
      <c r="E75" s="121" t="s">
        <v>264</v>
      </c>
      <c r="F75" s="176">
        <v>0</v>
      </c>
      <c r="G75" s="176"/>
      <c r="H75" s="176"/>
      <c r="I75" s="176"/>
      <c r="J75" s="176"/>
      <c r="K75" s="176"/>
      <c r="L75" s="176"/>
      <c r="M75" s="176"/>
      <c r="N75" s="176"/>
      <c r="O75" s="176"/>
      <c r="P75" s="176"/>
      <c r="Q75" s="176"/>
      <c r="R75" s="176"/>
      <c r="S75" s="176"/>
      <c r="T75" s="176"/>
      <c r="U75" s="176"/>
      <c r="V75" s="176"/>
      <c r="W75" s="176"/>
      <c r="X75" s="176"/>
      <c r="Y75" s="176"/>
      <c r="Z75" s="176"/>
      <c r="AA75" s="176"/>
      <c r="AB75" s="176"/>
      <c r="AC75" s="176"/>
      <c r="AD75" s="176"/>
      <c r="AE75" s="176"/>
      <c r="AF75" s="176"/>
      <c r="AG75" s="176"/>
      <c r="AH75" s="176"/>
      <c r="AI75" s="176"/>
      <c r="AJ75" s="176"/>
      <c r="AK75" s="176"/>
      <c r="AL75" s="176"/>
      <c r="AM75" s="176"/>
      <c r="AN75" s="176"/>
      <c r="AO75" s="176"/>
      <c r="AP75" s="176"/>
      <c r="AQ75" s="176"/>
      <c r="AR75" s="176"/>
      <c r="AS75" s="176"/>
      <c r="AT75" s="176"/>
      <c r="AU75" s="176"/>
      <c r="AV75" s="176"/>
      <c r="AW75" s="176"/>
      <c r="AX75" s="176"/>
      <c r="AY75" s="176"/>
      <c r="AZ75" s="176"/>
      <c r="BA75" s="176"/>
      <c r="BB75" s="176"/>
      <c r="BC75" s="176"/>
      <c r="BD75" s="176"/>
      <c r="BE75" s="176"/>
      <c r="BF75" s="176"/>
      <c r="BG75" s="176"/>
      <c r="BH75" s="176"/>
      <c r="BI75" s="175">
        <f>NPV($D$49,F75:BH75)</f>
        <v>0</v>
      </c>
      <c r="BJ75" s="121"/>
      <c r="BK75" s="121"/>
      <c r="BL75" s="121"/>
      <c r="BM75" s="121"/>
      <c r="BN75" s="121"/>
      <c r="BO75" s="121"/>
    </row>
    <row r="76" spans="2:67" ht="12.75">
      <c r="C76" s="172"/>
      <c r="D76" s="121" t="s">
        <v>267</v>
      </c>
      <c r="E76" s="121" t="str">
        <f>IF(C7="Railbelt South of Alaska Range","mmBtu per year","gallons per year")</f>
        <v>gallons per year</v>
      </c>
      <c r="F76" s="196">
        <f>$P$26</f>
        <v>0</v>
      </c>
      <c r="G76" s="196">
        <f>$P$26</f>
        <v>0</v>
      </c>
      <c r="H76" s="196">
        <f t="shared" ref="H76:BH76" si="11">$P$26</f>
        <v>0</v>
      </c>
      <c r="I76" s="196">
        <f t="shared" si="11"/>
        <v>0</v>
      </c>
      <c r="J76" s="196">
        <f t="shared" si="11"/>
        <v>0</v>
      </c>
      <c r="K76" s="196">
        <f t="shared" si="11"/>
        <v>0</v>
      </c>
      <c r="L76" s="196">
        <f t="shared" si="11"/>
        <v>0</v>
      </c>
      <c r="M76" s="196">
        <f t="shared" si="11"/>
        <v>0</v>
      </c>
      <c r="N76" s="196">
        <f t="shared" si="11"/>
        <v>0</v>
      </c>
      <c r="O76" s="196">
        <f t="shared" si="11"/>
        <v>0</v>
      </c>
      <c r="P76" s="196">
        <f t="shared" si="11"/>
        <v>0</v>
      </c>
      <c r="Q76" s="196">
        <f t="shared" si="11"/>
        <v>0</v>
      </c>
      <c r="R76" s="196">
        <f t="shared" si="11"/>
        <v>0</v>
      </c>
      <c r="S76" s="196">
        <f t="shared" si="11"/>
        <v>0</v>
      </c>
      <c r="T76" s="196">
        <f t="shared" si="11"/>
        <v>0</v>
      </c>
      <c r="U76" s="196">
        <f t="shared" si="11"/>
        <v>0</v>
      </c>
      <c r="V76" s="196">
        <f t="shared" si="11"/>
        <v>0</v>
      </c>
      <c r="W76" s="196">
        <f t="shared" si="11"/>
        <v>0</v>
      </c>
      <c r="X76" s="196">
        <f t="shared" si="11"/>
        <v>0</v>
      </c>
      <c r="Y76" s="196">
        <f t="shared" si="11"/>
        <v>0</v>
      </c>
      <c r="Z76" s="196">
        <f t="shared" si="11"/>
        <v>0</v>
      </c>
      <c r="AA76" s="196">
        <f t="shared" si="11"/>
        <v>0</v>
      </c>
      <c r="AB76" s="196">
        <f t="shared" si="11"/>
        <v>0</v>
      </c>
      <c r="AC76" s="196">
        <f t="shared" si="11"/>
        <v>0</v>
      </c>
      <c r="AD76" s="196">
        <f t="shared" si="11"/>
        <v>0</v>
      </c>
      <c r="AE76" s="196">
        <f t="shared" si="11"/>
        <v>0</v>
      </c>
      <c r="AF76" s="196">
        <f t="shared" si="11"/>
        <v>0</v>
      </c>
      <c r="AG76" s="196">
        <f t="shared" si="11"/>
        <v>0</v>
      </c>
      <c r="AH76" s="196">
        <f t="shared" si="11"/>
        <v>0</v>
      </c>
      <c r="AI76" s="196">
        <f t="shared" si="11"/>
        <v>0</v>
      </c>
      <c r="AJ76" s="196">
        <f t="shared" si="11"/>
        <v>0</v>
      </c>
      <c r="AK76" s="196">
        <f t="shared" si="11"/>
        <v>0</v>
      </c>
      <c r="AL76" s="196">
        <f t="shared" si="11"/>
        <v>0</v>
      </c>
      <c r="AM76" s="196">
        <f t="shared" si="11"/>
        <v>0</v>
      </c>
      <c r="AN76" s="196">
        <f t="shared" si="11"/>
        <v>0</v>
      </c>
      <c r="AO76" s="196">
        <f t="shared" si="11"/>
        <v>0</v>
      </c>
      <c r="AP76" s="196">
        <f t="shared" si="11"/>
        <v>0</v>
      </c>
      <c r="AQ76" s="196">
        <f t="shared" si="11"/>
        <v>0</v>
      </c>
      <c r="AR76" s="196">
        <f t="shared" si="11"/>
        <v>0</v>
      </c>
      <c r="AS76" s="196">
        <f t="shared" si="11"/>
        <v>0</v>
      </c>
      <c r="AT76" s="196">
        <f t="shared" si="11"/>
        <v>0</v>
      </c>
      <c r="AU76" s="196">
        <f t="shared" si="11"/>
        <v>0</v>
      </c>
      <c r="AV76" s="196">
        <f t="shared" si="11"/>
        <v>0</v>
      </c>
      <c r="AW76" s="196">
        <f t="shared" si="11"/>
        <v>0</v>
      </c>
      <c r="AX76" s="196">
        <f t="shared" si="11"/>
        <v>0</v>
      </c>
      <c r="AY76" s="196">
        <f t="shared" si="11"/>
        <v>0</v>
      </c>
      <c r="AZ76" s="196">
        <f t="shared" si="11"/>
        <v>0</v>
      </c>
      <c r="BA76" s="196">
        <f t="shared" si="11"/>
        <v>0</v>
      </c>
      <c r="BB76" s="196">
        <f t="shared" si="11"/>
        <v>0</v>
      </c>
      <c r="BC76" s="196">
        <f t="shared" si="11"/>
        <v>0</v>
      </c>
      <c r="BD76" s="196">
        <f t="shared" si="11"/>
        <v>0</v>
      </c>
      <c r="BE76" s="196">
        <f t="shared" si="11"/>
        <v>0</v>
      </c>
      <c r="BF76" s="196">
        <f t="shared" si="11"/>
        <v>0</v>
      </c>
      <c r="BG76" s="196">
        <f t="shared" si="11"/>
        <v>0</v>
      </c>
      <c r="BH76" s="196">
        <f t="shared" si="11"/>
        <v>0</v>
      </c>
      <c r="BI76" s="175"/>
      <c r="BJ76" s="121"/>
      <c r="BK76" s="121"/>
      <c r="BL76" s="121"/>
      <c r="BM76" s="121"/>
      <c r="BN76" s="121"/>
      <c r="BO76" s="121"/>
    </row>
    <row r="77" spans="2:67" ht="12.75">
      <c r="C77" s="190"/>
      <c r="D77" s="121"/>
      <c r="E77" s="121" t="str">
        <f>IF(C7="rural","$ per year","")</f>
        <v>$ per year</v>
      </c>
      <c r="F77" s="191"/>
      <c r="G77" s="191"/>
      <c r="H77" s="191"/>
      <c r="I77" s="191"/>
      <c r="J77" s="191"/>
      <c r="K77" s="191"/>
      <c r="L77" s="191"/>
      <c r="M77" s="191"/>
      <c r="N77" s="191"/>
      <c r="O77" s="191"/>
      <c r="P77" s="191"/>
      <c r="Q77" s="191"/>
      <c r="R77" s="191"/>
      <c r="S77" s="191"/>
      <c r="T77" s="191"/>
      <c r="U77" s="191"/>
      <c r="V77" s="191"/>
      <c r="W77" s="191"/>
      <c r="X77" s="191"/>
      <c r="Y77" s="191"/>
      <c r="Z77" s="191"/>
      <c r="AA77" s="191"/>
      <c r="AB77" s="191"/>
      <c r="AC77" s="191"/>
      <c r="AD77" s="191"/>
      <c r="AE77" s="191"/>
      <c r="AF77" s="191"/>
      <c r="AG77" s="191"/>
      <c r="AH77" s="191"/>
      <c r="AI77" s="191"/>
      <c r="AJ77" s="191"/>
      <c r="AK77" s="191"/>
      <c r="AL77" s="191"/>
      <c r="AM77" s="191"/>
      <c r="AN77" s="191"/>
      <c r="AO77" s="191"/>
      <c r="AP77" s="191"/>
      <c r="AQ77" s="191"/>
      <c r="AR77" s="191"/>
      <c r="AS77" s="191"/>
      <c r="AT77" s="191"/>
      <c r="AU77" s="191"/>
      <c r="AV77" s="191"/>
      <c r="AW77" s="191"/>
      <c r="AX77" s="191"/>
      <c r="AY77" s="191"/>
      <c r="AZ77" s="191"/>
      <c r="BA77" s="191"/>
      <c r="BB77" s="191"/>
      <c r="BC77" s="191"/>
      <c r="BD77" s="191"/>
      <c r="BE77" s="191"/>
      <c r="BF77" s="191"/>
      <c r="BG77" s="191"/>
      <c r="BH77" s="191"/>
      <c r="BI77" s="175">
        <f>NPV($D$49,F77:BH77)</f>
        <v>0</v>
      </c>
      <c r="BJ77" s="121"/>
      <c r="BK77" s="121"/>
      <c r="BL77" s="121"/>
      <c r="BM77" s="121"/>
      <c r="BN77" s="121"/>
      <c r="BO77" s="121"/>
    </row>
    <row r="78" spans="2:67" ht="12.75">
      <c r="C78" s="177"/>
      <c r="D78" s="121" t="str">
        <f>IF(C7="rural","Fuel Cost","N/A")</f>
        <v>Fuel Cost</v>
      </c>
      <c r="E78" s="121" t="str">
        <f>IF(C7="rural","$ per year","")</f>
        <v>$ per year</v>
      </c>
      <c r="F78" s="191">
        <f t="shared" ref="F78:BH78" si="12">IF($C$7="rural",F76*F74,"")</f>
        <v>0</v>
      </c>
      <c r="G78" s="191">
        <f t="shared" si="12"/>
        <v>0</v>
      </c>
      <c r="H78" s="191">
        <f t="shared" si="12"/>
        <v>0</v>
      </c>
      <c r="I78" s="191">
        <f t="shared" si="12"/>
        <v>0</v>
      </c>
      <c r="J78" s="191">
        <f t="shared" si="12"/>
        <v>0</v>
      </c>
      <c r="K78" s="191">
        <f t="shared" si="12"/>
        <v>0</v>
      </c>
      <c r="L78" s="191">
        <f t="shared" si="12"/>
        <v>0</v>
      </c>
      <c r="M78" s="191">
        <f t="shared" si="12"/>
        <v>0</v>
      </c>
      <c r="N78" s="191">
        <f t="shared" si="12"/>
        <v>0</v>
      </c>
      <c r="O78" s="191">
        <f t="shared" si="12"/>
        <v>0</v>
      </c>
      <c r="P78" s="191">
        <f t="shared" si="12"/>
        <v>0</v>
      </c>
      <c r="Q78" s="191">
        <f t="shared" si="12"/>
        <v>0</v>
      </c>
      <c r="R78" s="191">
        <f t="shared" si="12"/>
        <v>0</v>
      </c>
      <c r="S78" s="191">
        <f t="shared" si="12"/>
        <v>0</v>
      </c>
      <c r="T78" s="191">
        <f t="shared" si="12"/>
        <v>0</v>
      </c>
      <c r="U78" s="191">
        <f t="shared" si="12"/>
        <v>0</v>
      </c>
      <c r="V78" s="191">
        <f t="shared" si="12"/>
        <v>0</v>
      </c>
      <c r="W78" s="191">
        <f t="shared" si="12"/>
        <v>0</v>
      </c>
      <c r="X78" s="191">
        <f t="shared" si="12"/>
        <v>0</v>
      </c>
      <c r="Y78" s="191">
        <f t="shared" si="12"/>
        <v>0</v>
      </c>
      <c r="Z78" s="191">
        <f t="shared" si="12"/>
        <v>0</v>
      </c>
      <c r="AA78" s="191">
        <f t="shared" si="12"/>
        <v>0</v>
      </c>
      <c r="AB78" s="191">
        <f t="shared" si="12"/>
        <v>0</v>
      </c>
      <c r="AC78" s="191">
        <f t="shared" si="12"/>
        <v>0</v>
      </c>
      <c r="AD78" s="191">
        <f t="shared" si="12"/>
        <v>0</v>
      </c>
      <c r="AE78" s="191">
        <f t="shared" si="12"/>
        <v>0</v>
      </c>
      <c r="AF78" s="191">
        <f t="shared" si="12"/>
        <v>0</v>
      </c>
      <c r="AG78" s="191">
        <f t="shared" si="12"/>
        <v>0</v>
      </c>
      <c r="AH78" s="191">
        <f t="shared" si="12"/>
        <v>0</v>
      </c>
      <c r="AI78" s="191">
        <f t="shared" si="12"/>
        <v>0</v>
      </c>
      <c r="AJ78" s="191">
        <f t="shared" si="12"/>
        <v>0</v>
      </c>
      <c r="AK78" s="191">
        <f t="shared" si="12"/>
        <v>0</v>
      </c>
      <c r="AL78" s="191">
        <f t="shared" si="12"/>
        <v>0</v>
      </c>
      <c r="AM78" s="191">
        <f t="shared" si="12"/>
        <v>0</v>
      </c>
      <c r="AN78" s="191">
        <f t="shared" si="12"/>
        <v>0</v>
      </c>
      <c r="AO78" s="191">
        <f t="shared" si="12"/>
        <v>0</v>
      </c>
      <c r="AP78" s="191">
        <f t="shared" si="12"/>
        <v>0</v>
      </c>
      <c r="AQ78" s="191">
        <f t="shared" si="12"/>
        <v>0</v>
      </c>
      <c r="AR78" s="191">
        <f t="shared" si="12"/>
        <v>0</v>
      </c>
      <c r="AS78" s="191">
        <f t="shared" si="12"/>
        <v>0</v>
      </c>
      <c r="AT78" s="191">
        <f t="shared" si="12"/>
        <v>0</v>
      </c>
      <c r="AU78" s="191">
        <f t="shared" si="12"/>
        <v>0</v>
      </c>
      <c r="AV78" s="191">
        <f t="shared" si="12"/>
        <v>0</v>
      </c>
      <c r="AW78" s="191">
        <f t="shared" si="12"/>
        <v>0</v>
      </c>
      <c r="AX78" s="191">
        <f t="shared" si="12"/>
        <v>0</v>
      </c>
      <c r="AY78" s="191">
        <f t="shared" si="12"/>
        <v>0</v>
      </c>
      <c r="AZ78" s="191">
        <f t="shared" si="12"/>
        <v>0</v>
      </c>
      <c r="BA78" s="191">
        <f t="shared" si="12"/>
        <v>0</v>
      </c>
      <c r="BB78" s="191">
        <f t="shared" si="12"/>
        <v>0</v>
      </c>
      <c r="BC78" s="191">
        <f t="shared" si="12"/>
        <v>0</v>
      </c>
      <c r="BD78" s="191">
        <f t="shared" si="12"/>
        <v>0</v>
      </c>
      <c r="BE78" s="191">
        <f t="shared" si="12"/>
        <v>0</v>
      </c>
      <c r="BF78" s="191">
        <f t="shared" si="12"/>
        <v>0</v>
      </c>
      <c r="BG78" s="191">
        <f t="shared" si="12"/>
        <v>0</v>
      </c>
      <c r="BH78" s="191">
        <f t="shared" si="12"/>
        <v>0</v>
      </c>
      <c r="BI78" s="175">
        <f>NPV($D$49,F78:BH78)</f>
        <v>0</v>
      </c>
      <c r="BJ78" s="121"/>
      <c r="BK78" s="121"/>
      <c r="BL78" s="121"/>
      <c r="BM78" s="121"/>
      <c r="BN78" s="121"/>
      <c r="BO78" s="121"/>
    </row>
    <row r="79" spans="2:67" s="192" customFormat="1" ht="12.75">
      <c r="B79" s="193"/>
      <c r="C79" s="182"/>
      <c r="D79" s="184" t="s">
        <v>372</v>
      </c>
      <c r="E79" s="184" t="s">
        <v>264</v>
      </c>
      <c r="F79" s="197">
        <f t="shared" ref="F79:BH79" si="13">IF($C$7="Rural",F78+F77+F75,F74*F73)</f>
        <v>0</v>
      </c>
      <c r="G79" s="197">
        <f t="shared" si="13"/>
        <v>0</v>
      </c>
      <c r="H79" s="197">
        <f t="shared" si="13"/>
        <v>0</v>
      </c>
      <c r="I79" s="197">
        <f t="shared" si="13"/>
        <v>0</v>
      </c>
      <c r="J79" s="197">
        <f t="shared" si="13"/>
        <v>0</v>
      </c>
      <c r="K79" s="197">
        <f t="shared" si="13"/>
        <v>0</v>
      </c>
      <c r="L79" s="197">
        <f t="shared" si="13"/>
        <v>0</v>
      </c>
      <c r="M79" s="197">
        <f t="shared" si="13"/>
        <v>0</v>
      </c>
      <c r="N79" s="197">
        <f t="shared" si="13"/>
        <v>0</v>
      </c>
      <c r="O79" s="197">
        <f t="shared" si="13"/>
        <v>0</v>
      </c>
      <c r="P79" s="197">
        <f t="shared" si="13"/>
        <v>0</v>
      </c>
      <c r="Q79" s="197">
        <f t="shared" si="13"/>
        <v>0</v>
      </c>
      <c r="R79" s="197">
        <f t="shared" si="13"/>
        <v>0</v>
      </c>
      <c r="S79" s="194">
        <f t="shared" si="13"/>
        <v>0</v>
      </c>
      <c r="T79" s="194">
        <f t="shared" si="13"/>
        <v>0</v>
      </c>
      <c r="U79" s="194">
        <f t="shared" si="13"/>
        <v>0</v>
      </c>
      <c r="V79" s="194">
        <f t="shared" si="13"/>
        <v>0</v>
      </c>
      <c r="W79" s="194">
        <f t="shared" si="13"/>
        <v>0</v>
      </c>
      <c r="X79" s="194">
        <f t="shared" si="13"/>
        <v>0</v>
      </c>
      <c r="Y79" s="194">
        <f t="shared" si="13"/>
        <v>0</v>
      </c>
      <c r="Z79" s="194">
        <f t="shared" si="13"/>
        <v>0</v>
      </c>
      <c r="AA79" s="194">
        <f t="shared" si="13"/>
        <v>0</v>
      </c>
      <c r="AB79" s="194">
        <f t="shared" si="13"/>
        <v>0</v>
      </c>
      <c r="AC79" s="194">
        <f t="shared" si="13"/>
        <v>0</v>
      </c>
      <c r="AD79" s="194">
        <f t="shared" si="13"/>
        <v>0</v>
      </c>
      <c r="AE79" s="194">
        <f t="shared" si="13"/>
        <v>0</v>
      </c>
      <c r="AF79" s="194">
        <f t="shared" si="13"/>
        <v>0</v>
      </c>
      <c r="AG79" s="194">
        <f t="shared" si="13"/>
        <v>0</v>
      </c>
      <c r="AH79" s="194">
        <f t="shared" si="13"/>
        <v>0</v>
      </c>
      <c r="AI79" s="194">
        <f t="shared" si="13"/>
        <v>0</v>
      </c>
      <c r="AJ79" s="194">
        <f t="shared" si="13"/>
        <v>0</v>
      </c>
      <c r="AK79" s="194">
        <f t="shared" si="13"/>
        <v>0</v>
      </c>
      <c r="AL79" s="194">
        <f t="shared" si="13"/>
        <v>0</v>
      </c>
      <c r="AM79" s="194">
        <f t="shared" si="13"/>
        <v>0</v>
      </c>
      <c r="AN79" s="194">
        <f t="shared" si="13"/>
        <v>0</v>
      </c>
      <c r="AO79" s="194">
        <f t="shared" si="13"/>
        <v>0</v>
      </c>
      <c r="AP79" s="194">
        <f t="shared" si="13"/>
        <v>0</v>
      </c>
      <c r="AQ79" s="194">
        <f t="shared" si="13"/>
        <v>0</v>
      </c>
      <c r="AR79" s="194">
        <f t="shared" si="13"/>
        <v>0</v>
      </c>
      <c r="AS79" s="194">
        <f t="shared" si="13"/>
        <v>0</v>
      </c>
      <c r="AT79" s="194">
        <f t="shared" si="13"/>
        <v>0</v>
      </c>
      <c r="AU79" s="194">
        <f t="shared" si="13"/>
        <v>0</v>
      </c>
      <c r="AV79" s="194">
        <f t="shared" si="13"/>
        <v>0</v>
      </c>
      <c r="AW79" s="194">
        <f t="shared" si="13"/>
        <v>0</v>
      </c>
      <c r="AX79" s="194">
        <f t="shared" si="13"/>
        <v>0</v>
      </c>
      <c r="AY79" s="194">
        <f t="shared" si="13"/>
        <v>0</v>
      </c>
      <c r="AZ79" s="194">
        <f t="shared" si="13"/>
        <v>0</v>
      </c>
      <c r="BA79" s="194">
        <f t="shared" si="13"/>
        <v>0</v>
      </c>
      <c r="BB79" s="194">
        <f t="shared" si="13"/>
        <v>0</v>
      </c>
      <c r="BC79" s="194">
        <f t="shared" si="13"/>
        <v>0</v>
      </c>
      <c r="BD79" s="194">
        <f t="shared" si="13"/>
        <v>0</v>
      </c>
      <c r="BE79" s="194">
        <f t="shared" si="13"/>
        <v>0</v>
      </c>
      <c r="BF79" s="194">
        <f t="shared" si="13"/>
        <v>0</v>
      </c>
      <c r="BG79" s="194">
        <f t="shared" si="13"/>
        <v>0</v>
      </c>
      <c r="BH79" s="194">
        <f t="shared" si="13"/>
        <v>0</v>
      </c>
      <c r="BI79" s="175">
        <f>NPV($D$49,F79:BH79)</f>
        <v>0</v>
      </c>
      <c r="BJ79" s="180"/>
      <c r="BK79" s="180"/>
      <c r="BL79" s="180"/>
      <c r="BM79" s="180"/>
      <c r="BN79" s="180"/>
      <c r="BO79" s="180"/>
    </row>
    <row r="80" spans="2:67" ht="12.75">
      <c r="C80" s="186"/>
      <c r="D80" s="121"/>
      <c r="E80" s="121"/>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75"/>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86"/>
      <c r="D82" s="136"/>
      <c r="E82" s="136"/>
      <c r="F82" s="136"/>
      <c r="G82" s="136"/>
      <c r="H82" s="136"/>
      <c r="I82" s="136"/>
      <c r="J82" s="136"/>
      <c r="K82" s="136"/>
      <c r="L82" s="136"/>
      <c r="M82" s="136"/>
      <c r="N82" s="136"/>
      <c r="O82" s="136"/>
      <c r="P82" s="136"/>
      <c r="Q82" s="136"/>
      <c r="R82" s="136"/>
      <c r="BJ82" s="121"/>
      <c r="BK82" s="121"/>
      <c r="BL82" s="121"/>
      <c r="BM82" s="121"/>
      <c r="BN82" s="121"/>
      <c r="BO82" s="121"/>
    </row>
    <row r="83" spans="2:67" ht="12.75">
      <c r="C83" s="168" t="s">
        <v>353</v>
      </c>
      <c r="D83" s="198"/>
      <c r="E83" s="170" t="s">
        <v>263</v>
      </c>
      <c r="F83" s="199">
        <v>2014</v>
      </c>
      <c r="G83" s="199">
        <f t="shared" ref="G83:BH83" si="14">F83+1</f>
        <v>2015</v>
      </c>
      <c r="H83" s="199">
        <f t="shared" si="14"/>
        <v>2016</v>
      </c>
      <c r="I83" s="199">
        <f t="shared" si="14"/>
        <v>2017</v>
      </c>
      <c r="J83" s="199">
        <f t="shared" si="14"/>
        <v>2018</v>
      </c>
      <c r="K83" s="199">
        <f t="shared" si="14"/>
        <v>2019</v>
      </c>
      <c r="L83" s="199">
        <f t="shared" si="14"/>
        <v>2020</v>
      </c>
      <c r="M83" s="199">
        <f t="shared" si="14"/>
        <v>2021</v>
      </c>
      <c r="N83" s="199">
        <f t="shared" si="14"/>
        <v>2022</v>
      </c>
      <c r="O83" s="199">
        <f t="shared" si="14"/>
        <v>2023</v>
      </c>
      <c r="P83" s="199">
        <f t="shared" si="14"/>
        <v>2024</v>
      </c>
      <c r="Q83" s="199">
        <f t="shared" si="14"/>
        <v>2025</v>
      </c>
      <c r="R83" s="199">
        <f t="shared" si="14"/>
        <v>2026</v>
      </c>
      <c r="S83" s="1743">
        <f t="shared" si="14"/>
        <v>2027</v>
      </c>
      <c r="T83" s="1743">
        <f t="shared" si="14"/>
        <v>2028</v>
      </c>
      <c r="U83" s="1743">
        <f t="shared" si="14"/>
        <v>2029</v>
      </c>
      <c r="V83" s="1743">
        <f t="shared" si="14"/>
        <v>2030</v>
      </c>
      <c r="W83" s="1743">
        <f t="shared" si="14"/>
        <v>2031</v>
      </c>
      <c r="X83" s="1743">
        <f t="shared" si="14"/>
        <v>2032</v>
      </c>
      <c r="Y83" s="1743">
        <f t="shared" si="14"/>
        <v>2033</v>
      </c>
      <c r="Z83" s="1743">
        <f t="shared" si="14"/>
        <v>2034</v>
      </c>
      <c r="AA83" s="1743">
        <f t="shared" si="14"/>
        <v>2035</v>
      </c>
      <c r="AB83" s="1743">
        <f t="shared" si="14"/>
        <v>2036</v>
      </c>
      <c r="AC83" s="1743">
        <f t="shared" si="14"/>
        <v>2037</v>
      </c>
      <c r="AD83" s="1743">
        <f t="shared" si="14"/>
        <v>2038</v>
      </c>
      <c r="AE83" s="1743">
        <f t="shared" si="14"/>
        <v>2039</v>
      </c>
      <c r="AF83" s="1743">
        <f t="shared" si="14"/>
        <v>2040</v>
      </c>
      <c r="AG83" s="1743">
        <f t="shared" si="14"/>
        <v>2041</v>
      </c>
      <c r="AH83" s="1743">
        <f t="shared" si="14"/>
        <v>2042</v>
      </c>
      <c r="AI83" s="1743">
        <f t="shared" si="14"/>
        <v>2043</v>
      </c>
      <c r="AJ83" s="1743">
        <f t="shared" si="14"/>
        <v>2044</v>
      </c>
      <c r="AK83" s="1743">
        <f t="shared" si="14"/>
        <v>2045</v>
      </c>
      <c r="AL83" s="1743">
        <f t="shared" si="14"/>
        <v>2046</v>
      </c>
      <c r="AM83" s="1743">
        <f t="shared" si="14"/>
        <v>2047</v>
      </c>
      <c r="AN83" s="1743">
        <f t="shared" si="14"/>
        <v>2048</v>
      </c>
      <c r="AO83" s="1743">
        <f t="shared" si="14"/>
        <v>2049</v>
      </c>
      <c r="AP83" s="1743">
        <f t="shared" si="14"/>
        <v>2050</v>
      </c>
      <c r="AQ83" s="1743">
        <f t="shared" si="14"/>
        <v>2051</v>
      </c>
      <c r="AR83" s="1743">
        <f t="shared" si="14"/>
        <v>2052</v>
      </c>
      <c r="AS83" s="1743">
        <f t="shared" si="14"/>
        <v>2053</v>
      </c>
      <c r="AT83" s="1743">
        <f t="shared" si="14"/>
        <v>2054</v>
      </c>
      <c r="AU83" s="1743">
        <f t="shared" si="14"/>
        <v>2055</v>
      </c>
      <c r="AV83" s="1743">
        <f t="shared" si="14"/>
        <v>2056</v>
      </c>
      <c r="AW83" s="1743">
        <f t="shared" si="14"/>
        <v>2057</v>
      </c>
      <c r="AX83" s="1743">
        <f t="shared" si="14"/>
        <v>2058</v>
      </c>
      <c r="AY83" s="1743">
        <f t="shared" si="14"/>
        <v>2059</v>
      </c>
      <c r="AZ83" s="1743">
        <f t="shared" si="14"/>
        <v>2060</v>
      </c>
      <c r="BA83" s="1743">
        <f t="shared" si="14"/>
        <v>2061</v>
      </c>
      <c r="BB83" s="1743">
        <f t="shared" si="14"/>
        <v>2062</v>
      </c>
      <c r="BC83" s="1743">
        <f t="shared" si="14"/>
        <v>2063</v>
      </c>
      <c r="BD83" s="1743">
        <f t="shared" si="14"/>
        <v>2064</v>
      </c>
      <c r="BE83" s="1743">
        <f t="shared" si="14"/>
        <v>2065</v>
      </c>
      <c r="BF83" s="1743">
        <f t="shared" si="14"/>
        <v>2066</v>
      </c>
      <c r="BG83" s="1743">
        <f t="shared" si="14"/>
        <v>2067</v>
      </c>
      <c r="BH83" s="1743">
        <f t="shared" si="14"/>
        <v>2068</v>
      </c>
      <c r="BI83" s="697" t="s">
        <v>4</v>
      </c>
      <c r="BJ83" s="121"/>
      <c r="BK83" s="121"/>
      <c r="BL83" s="121"/>
      <c r="BM83" s="121"/>
      <c r="BN83" s="121"/>
      <c r="BO83" s="121"/>
    </row>
    <row r="84" spans="2:67" ht="12.75">
      <c r="C84" s="2005" t="s">
        <v>284</v>
      </c>
      <c r="D84" s="2007"/>
      <c r="E84" s="2007"/>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200"/>
      <c r="BJ84" s="121"/>
      <c r="BK84" s="121"/>
      <c r="BL84" s="121"/>
      <c r="BM84" s="121"/>
      <c r="BN84" s="121"/>
      <c r="BO84" s="121"/>
    </row>
    <row r="85" spans="2:67" ht="12.75">
      <c r="C85" s="201"/>
      <c r="D85" s="121" t="s">
        <v>1309</v>
      </c>
      <c r="E85" s="121" t="s">
        <v>2293</v>
      </c>
      <c r="F85" s="196">
        <f>IF(AND(F54&gt;=$D$31,F54&lt;=($D$31+$D$32)),$P$25,0)</f>
        <v>0</v>
      </c>
      <c r="G85" s="196">
        <f>IF(AND(G54&gt;=$D$31,G54&lt;=($D$31+$D$32)),$D$34,0)</f>
        <v>0</v>
      </c>
      <c r="H85" s="196">
        <f>IF(AND(H54&gt;=$D$31,H54&lt;=($D$31+$D$32)),$J$10,0)</f>
        <v>84.81868034263789</v>
      </c>
      <c r="I85" s="196">
        <f t="shared" ref="I85:BH85" si="15">IF(AND(I54&gt;=$D$31,I54&lt;=($D$31+$D$32)),$J$10,0)</f>
        <v>84.81868034263789</v>
      </c>
      <c r="J85" s="196">
        <f t="shared" si="15"/>
        <v>84.81868034263789</v>
      </c>
      <c r="K85" s="196">
        <f t="shared" si="15"/>
        <v>84.81868034263789</v>
      </c>
      <c r="L85" s="196">
        <f t="shared" si="15"/>
        <v>84.81868034263789</v>
      </c>
      <c r="M85" s="196">
        <f t="shared" si="15"/>
        <v>84.81868034263789</v>
      </c>
      <c r="N85" s="196">
        <f t="shared" si="15"/>
        <v>84.81868034263789</v>
      </c>
      <c r="O85" s="196">
        <f t="shared" si="15"/>
        <v>84.81868034263789</v>
      </c>
      <c r="P85" s="196">
        <f t="shared" si="15"/>
        <v>84.81868034263789</v>
      </c>
      <c r="Q85" s="196">
        <f t="shared" si="15"/>
        <v>84.81868034263789</v>
      </c>
      <c r="R85" s="196">
        <f t="shared" si="15"/>
        <v>84.81868034263789</v>
      </c>
      <c r="S85" s="196">
        <f t="shared" si="15"/>
        <v>84.81868034263789</v>
      </c>
      <c r="T85" s="196">
        <f t="shared" si="15"/>
        <v>84.81868034263789</v>
      </c>
      <c r="U85" s="196">
        <f t="shared" si="15"/>
        <v>84.81868034263789</v>
      </c>
      <c r="V85" s="196">
        <f t="shared" si="15"/>
        <v>84.81868034263789</v>
      </c>
      <c r="W85" s="196">
        <f t="shared" si="15"/>
        <v>84.81868034263789</v>
      </c>
      <c r="X85" s="196">
        <f t="shared" si="15"/>
        <v>84.81868034263789</v>
      </c>
      <c r="Y85" s="196">
        <f t="shared" si="15"/>
        <v>84.81868034263789</v>
      </c>
      <c r="Z85" s="196">
        <f t="shared" si="15"/>
        <v>84.81868034263789</v>
      </c>
      <c r="AA85" s="196">
        <f t="shared" si="15"/>
        <v>84.81868034263789</v>
      </c>
      <c r="AB85" s="196">
        <f t="shared" si="15"/>
        <v>84.81868034263789</v>
      </c>
      <c r="AC85" s="196">
        <f t="shared" si="15"/>
        <v>0</v>
      </c>
      <c r="AD85" s="196">
        <f t="shared" si="15"/>
        <v>0</v>
      </c>
      <c r="AE85" s="196">
        <f t="shared" si="15"/>
        <v>0</v>
      </c>
      <c r="AF85" s="196">
        <f t="shared" si="15"/>
        <v>0</v>
      </c>
      <c r="AG85" s="196">
        <f t="shared" si="15"/>
        <v>0</v>
      </c>
      <c r="AH85" s="196">
        <f t="shared" si="15"/>
        <v>0</v>
      </c>
      <c r="AI85" s="196">
        <f t="shared" si="15"/>
        <v>0</v>
      </c>
      <c r="AJ85" s="196">
        <f t="shared" si="15"/>
        <v>0</v>
      </c>
      <c r="AK85" s="196">
        <f t="shared" si="15"/>
        <v>0</v>
      </c>
      <c r="AL85" s="196">
        <f t="shared" si="15"/>
        <v>0</v>
      </c>
      <c r="AM85" s="196">
        <f t="shared" si="15"/>
        <v>0</v>
      </c>
      <c r="AN85" s="196">
        <f t="shared" si="15"/>
        <v>0</v>
      </c>
      <c r="AO85" s="196">
        <f t="shared" si="15"/>
        <v>0</v>
      </c>
      <c r="AP85" s="196">
        <f t="shared" si="15"/>
        <v>0</v>
      </c>
      <c r="AQ85" s="196">
        <f t="shared" si="15"/>
        <v>0</v>
      </c>
      <c r="AR85" s="196">
        <f t="shared" si="15"/>
        <v>0</v>
      </c>
      <c r="AS85" s="196">
        <f t="shared" si="15"/>
        <v>0</v>
      </c>
      <c r="AT85" s="196">
        <f t="shared" si="15"/>
        <v>0</v>
      </c>
      <c r="AU85" s="196">
        <f t="shared" si="15"/>
        <v>0</v>
      </c>
      <c r="AV85" s="196">
        <f t="shared" si="15"/>
        <v>0</v>
      </c>
      <c r="AW85" s="196">
        <f t="shared" si="15"/>
        <v>0</v>
      </c>
      <c r="AX85" s="196">
        <f t="shared" si="15"/>
        <v>0</v>
      </c>
      <c r="AY85" s="196">
        <f t="shared" si="15"/>
        <v>0</v>
      </c>
      <c r="AZ85" s="196">
        <f t="shared" si="15"/>
        <v>0</v>
      </c>
      <c r="BA85" s="196">
        <f t="shared" si="15"/>
        <v>0</v>
      </c>
      <c r="BB85" s="196">
        <f t="shared" si="15"/>
        <v>0</v>
      </c>
      <c r="BC85" s="196">
        <f t="shared" si="15"/>
        <v>0</v>
      </c>
      <c r="BD85" s="196">
        <f t="shared" si="15"/>
        <v>0</v>
      </c>
      <c r="BE85" s="196">
        <f t="shared" si="15"/>
        <v>0</v>
      </c>
      <c r="BF85" s="196">
        <f t="shared" si="15"/>
        <v>0</v>
      </c>
      <c r="BG85" s="196">
        <f t="shared" si="15"/>
        <v>0</v>
      </c>
      <c r="BH85" s="196">
        <f t="shared" si="15"/>
        <v>0</v>
      </c>
      <c r="BI85" s="175"/>
      <c r="BJ85" s="121"/>
      <c r="BK85" s="121"/>
      <c r="BL85" s="121"/>
      <c r="BM85" s="121"/>
      <c r="BN85" s="121"/>
      <c r="BO85" s="121"/>
    </row>
    <row r="86" spans="2:67" ht="12.75">
      <c r="C86" s="201" t="s">
        <v>277</v>
      </c>
      <c r="D86" s="121" t="s">
        <v>568</v>
      </c>
      <c r="E86" s="121" t="s">
        <v>264</v>
      </c>
      <c r="F86" s="176"/>
      <c r="G86" s="176"/>
      <c r="H86" s="176"/>
      <c r="I86" s="176"/>
      <c r="J86" s="176"/>
      <c r="K86" s="176"/>
      <c r="L86" s="176"/>
      <c r="M86" s="176"/>
      <c r="N86" s="176"/>
      <c r="O86" s="176"/>
      <c r="P86" s="176"/>
      <c r="Q86" s="176"/>
      <c r="R86" s="176"/>
      <c r="S86" s="176"/>
      <c r="T86" s="176"/>
      <c r="U86" s="176"/>
      <c r="V86" s="176"/>
      <c r="W86" s="176"/>
      <c r="X86" s="176"/>
      <c r="Y86" s="176"/>
      <c r="Z86" s="176"/>
      <c r="AA86" s="176"/>
      <c r="AB86" s="176"/>
      <c r="AC86" s="176"/>
      <c r="AD86" s="176"/>
      <c r="AE86" s="176"/>
      <c r="AF86" s="176"/>
      <c r="AG86" s="176"/>
      <c r="AH86" s="176"/>
      <c r="AI86" s="176"/>
      <c r="AJ86" s="176"/>
      <c r="AK86" s="176"/>
      <c r="AL86" s="176"/>
      <c r="AM86" s="176"/>
      <c r="AN86" s="176"/>
      <c r="AO86" s="176"/>
      <c r="AP86" s="176"/>
      <c r="AQ86" s="176"/>
      <c r="AR86" s="176"/>
      <c r="AS86" s="176"/>
      <c r="AT86" s="176"/>
      <c r="AU86" s="176"/>
      <c r="AV86" s="176"/>
      <c r="AW86" s="176"/>
      <c r="AX86" s="176"/>
      <c r="AY86" s="176"/>
      <c r="AZ86" s="176"/>
      <c r="BA86" s="176"/>
      <c r="BB86" s="176"/>
      <c r="BC86" s="176"/>
      <c r="BD86" s="176"/>
      <c r="BE86" s="176"/>
      <c r="BF86" s="176"/>
      <c r="BG86" s="176"/>
      <c r="BH86" s="176"/>
      <c r="BI86" s="175">
        <f>NPV($D$49,F86:BH86)</f>
        <v>0</v>
      </c>
      <c r="BJ86" s="121"/>
      <c r="BK86" s="121"/>
      <c r="BL86" s="121"/>
      <c r="BM86" s="121"/>
      <c r="BN86" s="121"/>
      <c r="BO86" s="121"/>
    </row>
    <row r="87" spans="2:67" ht="12.75">
      <c r="C87" s="201" t="s">
        <v>277</v>
      </c>
      <c r="D87" s="121" t="s">
        <v>567</v>
      </c>
      <c r="E87" s="121" t="s">
        <v>264</v>
      </c>
      <c r="F87" s="176">
        <v>0</v>
      </c>
      <c r="G87" s="176">
        <f>IF(AND(G54&gt;=$D$31,G54&lt;=($D$31+$D$32)),$S$11,0)</f>
        <v>0</v>
      </c>
      <c r="H87" s="176">
        <f>IF(AND(H54&gt;=$D$31,H54&lt;=($D$31+$D$32)),$D$36,0)</f>
        <v>1668.5904901640761</v>
      </c>
      <c r="I87" s="176">
        <f t="shared" ref="I87:BH87" si="16">IF(AND(I54&gt;=$D$31,I54&lt;=($D$31+$D$32)),$D$36,0)</f>
        <v>1668.5904901640761</v>
      </c>
      <c r="J87" s="176">
        <f t="shared" si="16"/>
        <v>1668.5904901640761</v>
      </c>
      <c r="K87" s="176">
        <f t="shared" si="16"/>
        <v>1668.5904901640761</v>
      </c>
      <c r="L87" s="176">
        <f t="shared" si="16"/>
        <v>1668.5904901640761</v>
      </c>
      <c r="M87" s="176">
        <f t="shared" si="16"/>
        <v>1668.5904901640761</v>
      </c>
      <c r="N87" s="176">
        <f t="shared" si="16"/>
        <v>1668.5904901640761</v>
      </c>
      <c r="O87" s="176">
        <f t="shared" si="16"/>
        <v>1668.5904901640761</v>
      </c>
      <c r="P87" s="176">
        <f t="shared" si="16"/>
        <v>1668.5904901640761</v>
      </c>
      <c r="Q87" s="176">
        <f t="shared" si="16"/>
        <v>1668.5904901640761</v>
      </c>
      <c r="R87" s="176">
        <f t="shared" si="16"/>
        <v>1668.5904901640761</v>
      </c>
      <c r="S87" s="176">
        <f t="shared" si="16"/>
        <v>1668.5904901640761</v>
      </c>
      <c r="T87" s="176">
        <f t="shared" si="16"/>
        <v>1668.5904901640761</v>
      </c>
      <c r="U87" s="176">
        <f t="shared" si="16"/>
        <v>1668.5904901640761</v>
      </c>
      <c r="V87" s="176">
        <f t="shared" si="16"/>
        <v>1668.5904901640761</v>
      </c>
      <c r="W87" s="176">
        <f t="shared" si="16"/>
        <v>1668.5904901640761</v>
      </c>
      <c r="X87" s="176">
        <f t="shared" si="16"/>
        <v>1668.5904901640761</v>
      </c>
      <c r="Y87" s="176">
        <f t="shared" si="16"/>
        <v>1668.5904901640761</v>
      </c>
      <c r="Z87" s="176">
        <f t="shared" si="16"/>
        <v>1668.5904901640761</v>
      </c>
      <c r="AA87" s="176">
        <f t="shared" si="16"/>
        <v>1668.5904901640761</v>
      </c>
      <c r="AB87" s="176">
        <f t="shared" si="16"/>
        <v>1668.5904901640761</v>
      </c>
      <c r="AC87" s="176">
        <f t="shared" si="16"/>
        <v>0</v>
      </c>
      <c r="AD87" s="176">
        <f t="shared" si="16"/>
        <v>0</v>
      </c>
      <c r="AE87" s="176">
        <f t="shared" si="16"/>
        <v>0</v>
      </c>
      <c r="AF87" s="176">
        <f t="shared" si="16"/>
        <v>0</v>
      </c>
      <c r="AG87" s="176">
        <f t="shared" si="16"/>
        <v>0</v>
      </c>
      <c r="AH87" s="176">
        <f t="shared" si="16"/>
        <v>0</v>
      </c>
      <c r="AI87" s="176">
        <f t="shared" si="16"/>
        <v>0</v>
      </c>
      <c r="AJ87" s="176">
        <f t="shared" si="16"/>
        <v>0</v>
      </c>
      <c r="AK87" s="176">
        <f t="shared" si="16"/>
        <v>0</v>
      </c>
      <c r="AL87" s="176">
        <f t="shared" si="16"/>
        <v>0</v>
      </c>
      <c r="AM87" s="176">
        <f t="shared" si="16"/>
        <v>0</v>
      </c>
      <c r="AN87" s="176">
        <f t="shared" si="16"/>
        <v>0</v>
      </c>
      <c r="AO87" s="176">
        <f t="shared" si="16"/>
        <v>0</v>
      </c>
      <c r="AP87" s="176">
        <f t="shared" si="16"/>
        <v>0</v>
      </c>
      <c r="AQ87" s="176">
        <f t="shared" si="16"/>
        <v>0</v>
      </c>
      <c r="AR87" s="176">
        <f t="shared" si="16"/>
        <v>0</v>
      </c>
      <c r="AS87" s="176">
        <f t="shared" si="16"/>
        <v>0</v>
      </c>
      <c r="AT87" s="176">
        <f t="shared" si="16"/>
        <v>0</v>
      </c>
      <c r="AU87" s="176">
        <f t="shared" si="16"/>
        <v>0</v>
      </c>
      <c r="AV87" s="176">
        <f t="shared" si="16"/>
        <v>0</v>
      </c>
      <c r="AW87" s="176">
        <f t="shared" si="16"/>
        <v>0</v>
      </c>
      <c r="AX87" s="176">
        <f t="shared" si="16"/>
        <v>0</v>
      </c>
      <c r="AY87" s="176">
        <f t="shared" si="16"/>
        <v>0</v>
      </c>
      <c r="AZ87" s="176">
        <f t="shared" si="16"/>
        <v>0</v>
      </c>
      <c r="BA87" s="176">
        <f t="shared" si="16"/>
        <v>0</v>
      </c>
      <c r="BB87" s="176">
        <f t="shared" si="16"/>
        <v>0</v>
      </c>
      <c r="BC87" s="176">
        <f t="shared" si="16"/>
        <v>0</v>
      </c>
      <c r="BD87" s="176">
        <f t="shared" si="16"/>
        <v>0</v>
      </c>
      <c r="BE87" s="176">
        <f t="shared" si="16"/>
        <v>0</v>
      </c>
      <c r="BF87" s="176">
        <f t="shared" si="16"/>
        <v>0</v>
      </c>
      <c r="BG87" s="176">
        <f t="shared" si="16"/>
        <v>0</v>
      </c>
      <c r="BH87" s="176">
        <f t="shared" si="16"/>
        <v>0</v>
      </c>
      <c r="BI87" s="175">
        <f>NPV($D$49,F87:BH87)</f>
        <v>24244.851239124899</v>
      </c>
      <c r="BJ87" s="121"/>
      <c r="BK87" s="121"/>
      <c r="BL87" s="121"/>
      <c r="BM87" s="121"/>
      <c r="BN87" s="121"/>
      <c r="BO87" s="121"/>
    </row>
    <row r="88" spans="2:67" ht="12.75">
      <c r="C88" s="201"/>
      <c r="D88" s="121" t="s">
        <v>2278</v>
      </c>
      <c r="E88" s="121" t="s">
        <v>2279</v>
      </c>
      <c r="F88" s="176"/>
      <c r="G88" s="176"/>
      <c r="H88" s="176">
        <f>IF(AND(H54&gt;=$D$31,H54&lt;=($D$31+$D$32)),$I$14,0)</f>
        <v>400</v>
      </c>
      <c r="I88" s="176">
        <f t="shared" ref="I88:BH88" si="17">IF(AND(I54&gt;=$D$31,I54&lt;=($D$31+$D$32)),$I$14,0)</f>
        <v>400</v>
      </c>
      <c r="J88" s="176">
        <f t="shared" si="17"/>
        <v>400</v>
      </c>
      <c r="K88" s="176">
        <f t="shared" si="17"/>
        <v>400</v>
      </c>
      <c r="L88" s="176">
        <f t="shared" si="17"/>
        <v>400</v>
      </c>
      <c r="M88" s="176">
        <f t="shared" si="17"/>
        <v>400</v>
      </c>
      <c r="N88" s="176">
        <f t="shared" si="17"/>
        <v>400</v>
      </c>
      <c r="O88" s="176">
        <f t="shared" si="17"/>
        <v>400</v>
      </c>
      <c r="P88" s="176">
        <f t="shared" si="17"/>
        <v>400</v>
      </c>
      <c r="Q88" s="176">
        <f t="shared" si="17"/>
        <v>400</v>
      </c>
      <c r="R88" s="176">
        <f t="shared" si="17"/>
        <v>400</v>
      </c>
      <c r="S88" s="176">
        <f t="shared" si="17"/>
        <v>400</v>
      </c>
      <c r="T88" s="176">
        <f t="shared" si="17"/>
        <v>400</v>
      </c>
      <c r="U88" s="176">
        <f t="shared" si="17"/>
        <v>400</v>
      </c>
      <c r="V88" s="176">
        <f t="shared" si="17"/>
        <v>400</v>
      </c>
      <c r="W88" s="176">
        <f t="shared" si="17"/>
        <v>400</v>
      </c>
      <c r="X88" s="176">
        <f t="shared" si="17"/>
        <v>400</v>
      </c>
      <c r="Y88" s="176">
        <f t="shared" si="17"/>
        <v>400</v>
      </c>
      <c r="Z88" s="176">
        <f t="shared" si="17"/>
        <v>400</v>
      </c>
      <c r="AA88" s="176">
        <f t="shared" si="17"/>
        <v>400</v>
      </c>
      <c r="AB88" s="176">
        <f t="shared" si="17"/>
        <v>400</v>
      </c>
      <c r="AC88" s="176">
        <f t="shared" si="17"/>
        <v>0</v>
      </c>
      <c r="AD88" s="176">
        <f t="shared" si="17"/>
        <v>0</v>
      </c>
      <c r="AE88" s="176">
        <f t="shared" si="17"/>
        <v>0</v>
      </c>
      <c r="AF88" s="176">
        <f t="shared" si="17"/>
        <v>0</v>
      </c>
      <c r="AG88" s="176">
        <f t="shared" si="17"/>
        <v>0</v>
      </c>
      <c r="AH88" s="176">
        <f t="shared" si="17"/>
        <v>0</v>
      </c>
      <c r="AI88" s="176">
        <f t="shared" si="17"/>
        <v>0</v>
      </c>
      <c r="AJ88" s="176">
        <f t="shared" si="17"/>
        <v>0</v>
      </c>
      <c r="AK88" s="176">
        <f t="shared" si="17"/>
        <v>0</v>
      </c>
      <c r="AL88" s="176">
        <f t="shared" si="17"/>
        <v>0</v>
      </c>
      <c r="AM88" s="176">
        <f t="shared" si="17"/>
        <v>0</v>
      </c>
      <c r="AN88" s="176">
        <f t="shared" si="17"/>
        <v>0</v>
      </c>
      <c r="AO88" s="176">
        <f t="shared" si="17"/>
        <v>0</v>
      </c>
      <c r="AP88" s="176">
        <f t="shared" si="17"/>
        <v>0</v>
      </c>
      <c r="AQ88" s="176">
        <f t="shared" si="17"/>
        <v>0</v>
      </c>
      <c r="AR88" s="176">
        <f t="shared" si="17"/>
        <v>0</v>
      </c>
      <c r="AS88" s="176">
        <f t="shared" si="17"/>
        <v>0</v>
      </c>
      <c r="AT88" s="176">
        <f t="shared" si="17"/>
        <v>0</v>
      </c>
      <c r="AU88" s="176">
        <f t="shared" si="17"/>
        <v>0</v>
      </c>
      <c r="AV88" s="176">
        <f t="shared" si="17"/>
        <v>0</v>
      </c>
      <c r="AW88" s="176">
        <f t="shared" si="17"/>
        <v>0</v>
      </c>
      <c r="AX88" s="176">
        <f t="shared" si="17"/>
        <v>0</v>
      </c>
      <c r="AY88" s="176">
        <f t="shared" si="17"/>
        <v>0</v>
      </c>
      <c r="AZ88" s="176">
        <f t="shared" si="17"/>
        <v>0</v>
      </c>
      <c r="BA88" s="176">
        <f t="shared" si="17"/>
        <v>0</v>
      </c>
      <c r="BB88" s="176">
        <f t="shared" si="17"/>
        <v>0</v>
      </c>
      <c r="BC88" s="176">
        <f t="shared" si="17"/>
        <v>0</v>
      </c>
      <c r="BD88" s="176">
        <f t="shared" si="17"/>
        <v>0</v>
      </c>
      <c r="BE88" s="176">
        <f t="shared" si="17"/>
        <v>0</v>
      </c>
      <c r="BF88" s="176">
        <f t="shared" si="17"/>
        <v>0</v>
      </c>
      <c r="BG88" s="176">
        <f t="shared" si="17"/>
        <v>0</v>
      </c>
      <c r="BH88" s="176">
        <f t="shared" si="17"/>
        <v>0</v>
      </c>
      <c r="BI88" s="175"/>
      <c r="BJ88" s="121"/>
      <c r="BK88" s="121"/>
      <c r="BL88" s="121"/>
      <c r="BM88" s="121"/>
      <c r="BN88" s="121"/>
      <c r="BO88" s="121"/>
    </row>
    <row r="89" spans="2:67" ht="12.75">
      <c r="C89" s="201"/>
      <c r="D89" s="121" t="s">
        <v>630</v>
      </c>
      <c r="E89" s="121"/>
      <c r="F89" s="176"/>
      <c r="G89" s="176">
        <f>IF(AND(G54&gt;=$D$31,G54&lt;=($D$31+$D$32)),#REF!,0)</f>
        <v>0</v>
      </c>
      <c r="H89" s="176">
        <f>IF(AND(H54&gt;=$D$31,H54&lt;=($D$31+$D$32)),H85*H88,0)</f>
        <v>33927.472137055156</v>
      </c>
      <c r="I89" s="176">
        <f t="shared" ref="I89:BH89" si="18">IF(AND(I54&gt;=$D$31,I54&lt;=($D$31+$D$32)),I85*I88,0)</f>
        <v>33927.472137055156</v>
      </c>
      <c r="J89" s="176">
        <f t="shared" si="18"/>
        <v>33927.472137055156</v>
      </c>
      <c r="K89" s="176">
        <f t="shared" si="18"/>
        <v>33927.472137055156</v>
      </c>
      <c r="L89" s="176">
        <f t="shared" si="18"/>
        <v>33927.472137055156</v>
      </c>
      <c r="M89" s="176">
        <f t="shared" si="18"/>
        <v>33927.472137055156</v>
      </c>
      <c r="N89" s="176">
        <f t="shared" si="18"/>
        <v>33927.472137055156</v>
      </c>
      <c r="O89" s="176">
        <f t="shared" si="18"/>
        <v>33927.472137055156</v>
      </c>
      <c r="P89" s="176">
        <f t="shared" si="18"/>
        <v>33927.472137055156</v>
      </c>
      <c r="Q89" s="176">
        <f t="shared" si="18"/>
        <v>33927.472137055156</v>
      </c>
      <c r="R89" s="176">
        <f t="shared" si="18"/>
        <v>33927.472137055156</v>
      </c>
      <c r="S89" s="176">
        <f t="shared" si="18"/>
        <v>33927.472137055156</v>
      </c>
      <c r="T89" s="176">
        <f t="shared" si="18"/>
        <v>33927.472137055156</v>
      </c>
      <c r="U89" s="176">
        <f t="shared" si="18"/>
        <v>33927.472137055156</v>
      </c>
      <c r="V89" s="176">
        <f t="shared" si="18"/>
        <v>33927.472137055156</v>
      </c>
      <c r="W89" s="176">
        <f t="shared" si="18"/>
        <v>33927.472137055156</v>
      </c>
      <c r="X89" s="176">
        <f t="shared" si="18"/>
        <v>33927.472137055156</v>
      </c>
      <c r="Y89" s="176">
        <f t="shared" si="18"/>
        <v>33927.472137055156</v>
      </c>
      <c r="Z89" s="176">
        <f t="shared" si="18"/>
        <v>33927.472137055156</v>
      </c>
      <c r="AA89" s="176">
        <f t="shared" si="18"/>
        <v>33927.472137055156</v>
      </c>
      <c r="AB89" s="176">
        <f t="shared" si="18"/>
        <v>33927.472137055156</v>
      </c>
      <c r="AC89" s="176">
        <f t="shared" si="18"/>
        <v>0</v>
      </c>
      <c r="AD89" s="176">
        <f t="shared" si="18"/>
        <v>0</v>
      </c>
      <c r="AE89" s="176">
        <f t="shared" si="18"/>
        <v>0</v>
      </c>
      <c r="AF89" s="176">
        <f t="shared" si="18"/>
        <v>0</v>
      </c>
      <c r="AG89" s="176">
        <f t="shared" si="18"/>
        <v>0</v>
      </c>
      <c r="AH89" s="176">
        <f t="shared" si="18"/>
        <v>0</v>
      </c>
      <c r="AI89" s="176">
        <f t="shared" si="18"/>
        <v>0</v>
      </c>
      <c r="AJ89" s="176">
        <f t="shared" si="18"/>
        <v>0</v>
      </c>
      <c r="AK89" s="176">
        <f t="shared" si="18"/>
        <v>0</v>
      </c>
      <c r="AL89" s="176">
        <f t="shared" si="18"/>
        <v>0</v>
      </c>
      <c r="AM89" s="176">
        <f t="shared" si="18"/>
        <v>0</v>
      </c>
      <c r="AN89" s="176">
        <f t="shared" si="18"/>
        <v>0</v>
      </c>
      <c r="AO89" s="176">
        <f t="shared" si="18"/>
        <v>0</v>
      </c>
      <c r="AP89" s="176">
        <f t="shared" si="18"/>
        <v>0</v>
      </c>
      <c r="AQ89" s="176">
        <f t="shared" si="18"/>
        <v>0</v>
      </c>
      <c r="AR89" s="176">
        <f t="shared" si="18"/>
        <v>0</v>
      </c>
      <c r="AS89" s="176">
        <f t="shared" si="18"/>
        <v>0</v>
      </c>
      <c r="AT89" s="176">
        <f t="shared" si="18"/>
        <v>0</v>
      </c>
      <c r="AU89" s="176">
        <f t="shared" si="18"/>
        <v>0</v>
      </c>
      <c r="AV89" s="176">
        <f t="shared" si="18"/>
        <v>0</v>
      </c>
      <c r="AW89" s="176">
        <f t="shared" si="18"/>
        <v>0</v>
      </c>
      <c r="AX89" s="176">
        <f t="shared" si="18"/>
        <v>0</v>
      </c>
      <c r="AY89" s="176">
        <f t="shared" si="18"/>
        <v>0</v>
      </c>
      <c r="AZ89" s="176">
        <f t="shared" si="18"/>
        <v>0</v>
      </c>
      <c r="BA89" s="176">
        <f t="shared" si="18"/>
        <v>0</v>
      </c>
      <c r="BB89" s="176">
        <f t="shared" si="18"/>
        <v>0</v>
      </c>
      <c r="BC89" s="176">
        <f t="shared" si="18"/>
        <v>0</v>
      </c>
      <c r="BD89" s="176">
        <f t="shared" si="18"/>
        <v>0</v>
      </c>
      <c r="BE89" s="176">
        <f t="shared" si="18"/>
        <v>0</v>
      </c>
      <c r="BF89" s="176">
        <f t="shared" si="18"/>
        <v>0</v>
      </c>
      <c r="BG89" s="176">
        <f t="shared" si="18"/>
        <v>0</v>
      </c>
      <c r="BH89" s="176">
        <f t="shared" si="18"/>
        <v>0</v>
      </c>
      <c r="BI89" s="175"/>
      <c r="BJ89" s="121"/>
      <c r="BK89" s="121"/>
      <c r="BL89" s="121"/>
      <c r="BM89" s="121"/>
      <c r="BN89" s="121"/>
      <c r="BO89" s="121"/>
    </row>
    <row r="90" spans="2:67" s="192" customFormat="1" ht="12.75">
      <c r="B90" s="193"/>
      <c r="C90" s="190"/>
      <c r="D90" s="180" t="s">
        <v>373</v>
      </c>
      <c r="E90" s="180" t="s">
        <v>264</v>
      </c>
      <c r="F90" s="194">
        <f t="shared" ref="F90:BH90" si="19">F86+F87</f>
        <v>0</v>
      </c>
      <c r="G90" s="194">
        <f>G86+G87+G89</f>
        <v>0</v>
      </c>
      <c r="H90" s="194">
        <f t="shared" ref="H90:AA90" si="20">H86+H87+H89</f>
        <v>35596.062627219231</v>
      </c>
      <c r="I90" s="194">
        <f t="shared" si="20"/>
        <v>35596.062627219231</v>
      </c>
      <c r="J90" s="194">
        <f t="shared" si="20"/>
        <v>35596.062627219231</v>
      </c>
      <c r="K90" s="194">
        <f t="shared" si="20"/>
        <v>35596.062627219231</v>
      </c>
      <c r="L90" s="194">
        <f t="shared" si="20"/>
        <v>35596.062627219231</v>
      </c>
      <c r="M90" s="194">
        <f t="shared" si="20"/>
        <v>35596.062627219231</v>
      </c>
      <c r="N90" s="194">
        <f t="shared" si="20"/>
        <v>35596.062627219231</v>
      </c>
      <c r="O90" s="194">
        <f t="shared" si="20"/>
        <v>35596.062627219231</v>
      </c>
      <c r="P90" s="194">
        <f t="shared" si="20"/>
        <v>35596.062627219231</v>
      </c>
      <c r="Q90" s="194">
        <f t="shared" si="20"/>
        <v>35596.062627219231</v>
      </c>
      <c r="R90" s="194">
        <f t="shared" si="20"/>
        <v>35596.062627219231</v>
      </c>
      <c r="S90" s="194">
        <f t="shared" si="20"/>
        <v>35596.062627219231</v>
      </c>
      <c r="T90" s="194">
        <f t="shared" si="20"/>
        <v>35596.062627219231</v>
      </c>
      <c r="U90" s="194">
        <f t="shared" si="20"/>
        <v>35596.062627219231</v>
      </c>
      <c r="V90" s="194">
        <f t="shared" si="20"/>
        <v>35596.062627219231</v>
      </c>
      <c r="W90" s="194">
        <f t="shared" si="20"/>
        <v>35596.062627219231</v>
      </c>
      <c r="X90" s="194">
        <f t="shared" si="20"/>
        <v>35596.062627219231</v>
      </c>
      <c r="Y90" s="194">
        <f t="shared" si="20"/>
        <v>35596.062627219231</v>
      </c>
      <c r="Z90" s="194">
        <f t="shared" si="20"/>
        <v>35596.062627219231</v>
      </c>
      <c r="AA90" s="194">
        <f t="shared" si="20"/>
        <v>35596.062627219231</v>
      </c>
      <c r="AB90" s="194">
        <f t="shared" si="19"/>
        <v>1668.5904901640761</v>
      </c>
      <c r="AC90" s="194">
        <f t="shared" si="19"/>
        <v>0</v>
      </c>
      <c r="AD90" s="194">
        <f t="shared" si="19"/>
        <v>0</v>
      </c>
      <c r="AE90" s="194">
        <f t="shared" si="19"/>
        <v>0</v>
      </c>
      <c r="AF90" s="194">
        <f t="shared" si="19"/>
        <v>0</v>
      </c>
      <c r="AG90" s="194">
        <f t="shared" si="19"/>
        <v>0</v>
      </c>
      <c r="AH90" s="194">
        <f t="shared" si="19"/>
        <v>0</v>
      </c>
      <c r="AI90" s="194">
        <f t="shared" si="19"/>
        <v>0</v>
      </c>
      <c r="AJ90" s="194">
        <f t="shared" si="19"/>
        <v>0</v>
      </c>
      <c r="AK90" s="194">
        <f t="shared" si="19"/>
        <v>0</v>
      </c>
      <c r="AL90" s="194">
        <f t="shared" si="19"/>
        <v>0</v>
      </c>
      <c r="AM90" s="194">
        <f t="shared" si="19"/>
        <v>0</v>
      </c>
      <c r="AN90" s="194">
        <f t="shared" si="19"/>
        <v>0</v>
      </c>
      <c r="AO90" s="194">
        <f t="shared" si="19"/>
        <v>0</v>
      </c>
      <c r="AP90" s="194">
        <f t="shared" si="19"/>
        <v>0</v>
      </c>
      <c r="AQ90" s="194">
        <f t="shared" si="19"/>
        <v>0</v>
      </c>
      <c r="AR90" s="194">
        <f t="shared" si="19"/>
        <v>0</v>
      </c>
      <c r="AS90" s="194">
        <f t="shared" si="19"/>
        <v>0</v>
      </c>
      <c r="AT90" s="194">
        <f t="shared" si="19"/>
        <v>0</v>
      </c>
      <c r="AU90" s="194">
        <f t="shared" si="19"/>
        <v>0</v>
      </c>
      <c r="AV90" s="194">
        <f t="shared" si="19"/>
        <v>0</v>
      </c>
      <c r="AW90" s="194">
        <f t="shared" si="19"/>
        <v>0</v>
      </c>
      <c r="AX90" s="194">
        <f t="shared" si="19"/>
        <v>0</v>
      </c>
      <c r="AY90" s="194">
        <f t="shared" si="19"/>
        <v>0</v>
      </c>
      <c r="AZ90" s="194">
        <f t="shared" si="19"/>
        <v>0</v>
      </c>
      <c r="BA90" s="194">
        <f t="shared" si="19"/>
        <v>0</v>
      </c>
      <c r="BB90" s="194">
        <f t="shared" si="19"/>
        <v>0</v>
      </c>
      <c r="BC90" s="194">
        <f t="shared" si="19"/>
        <v>0</v>
      </c>
      <c r="BD90" s="194">
        <f t="shared" si="19"/>
        <v>0</v>
      </c>
      <c r="BE90" s="194">
        <f t="shared" si="19"/>
        <v>0</v>
      </c>
      <c r="BF90" s="194">
        <f t="shared" si="19"/>
        <v>0</v>
      </c>
      <c r="BG90" s="194">
        <f t="shared" si="19"/>
        <v>0</v>
      </c>
      <c r="BH90" s="194">
        <f t="shared" si="19"/>
        <v>0</v>
      </c>
      <c r="BI90" s="175">
        <f>NPV($D$49,F90:BH90)</f>
        <v>500024.95661931398</v>
      </c>
      <c r="BJ90" s="180"/>
      <c r="BK90" s="180"/>
      <c r="BL90" s="180"/>
      <c r="BM90" s="180"/>
      <c r="BN90" s="180"/>
      <c r="BO90" s="180"/>
    </row>
    <row r="91" spans="2:67" ht="12.75">
      <c r="C91" s="190"/>
      <c r="D91" s="121"/>
      <c r="E91" s="121"/>
      <c r="F91" s="195"/>
      <c r="G91" s="195"/>
      <c r="H91" s="195"/>
      <c r="I91" s="195"/>
      <c r="J91" s="195"/>
      <c r="K91" s="195"/>
      <c r="L91" s="195"/>
      <c r="M91" s="195"/>
      <c r="N91" s="195"/>
      <c r="O91" s="195"/>
      <c r="P91" s="195"/>
      <c r="Q91" s="195"/>
      <c r="R91" s="195"/>
      <c r="S91" s="195"/>
      <c r="T91" s="195"/>
      <c r="U91" s="195"/>
      <c r="V91" s="195"/>
      <c r="W91" s="195"/>
      <c r="X91" s="195"/>
      <c r="Y91" s="195"/>
      <c r="Z91" s="195"/>
      <c r="AA91" s="195"/>
      <c r="AB91" s="195"/>
      <c r="AC91" s="195"/>
      <c r="AD91" s="195"/>
      <c r="AE91" s="195"/>
      <c r="AF91" s="195"/>
      <c r="AG91" s="195"/>
      <c r="AH91" s="195"/>
      <c r="AI91" s="195"/>
      <c r="AJ91" s="195"/>
      <c r="AK91" s="195"/>
      <c r="AL91" s="195"/>
      <c r="AM91" s="195"/>
      <c r="AN91" s="195"/>
      <c r="AO91" s="195"/>
      <c r="AP91" s="195"/>
      <c r="AQ91" s="195"/>
      <c r="AR91" s="195"/>
      <c r="AS91" s="195"/>
      <c r="AT91" s="195"/>
      <c r="AU91" s="195"/>
      <c r="AV91" s="195"/>
      <c r="AW91" s="195"/>
      <c r="AX91" s="195"/>
      <c r="AY91" s="195"/>
      <c r="AZ91" s="195"/>
      <c r="BA91" s="195"/>
      <c r="BB91" s="195"/>
      <c r="BC91" s="195"/>
      <c r="BD91" s="195"/>
      <c r="BE91" s="195"/>
      <c r="BF91" s="195"/>
      <c r="BG91" s="195"/>
      <c r="BH91" s="195"/>
      <c r="BI91" s="175"/>
      <c r="BJ91" s="121"/>
      <c r="BK91" s="121"/>
      <c r="BL91" s="121"/>
      <c r="BM91" s="121"/>
      <c r="BN91" s="121"/>
      <c r="BO91" s="121"/>
    </row>
    <row r="92" spans="2:67" ht="12.75">
      <c r="C92" s="2005" t="s">
        <v>285</v>
      </c>
      <c r="D92" s="2007"/>
      <c r="E92" s="2007"/>
      <c r="F92" s="121"/>
      <c r="G92" s="121"/>
      <c r="H92" s="121"/>
      <c r="I92" s="121"/>
      <c r="J92" s="121"/>
      <c r="K92" s="121"/>
      <c r="L92" s="121"/>
      <c r="M92" s="121"/>
      <c r="N92" s="121"/>
      <c r="O92" s="121"/>
      <c r="P92" s="121"/>
      <c r="Q92" s="121"/>
      <c r="R92" s="121"/>
      <c r="S92" s="121"/>
      <c r="T92" s="121"/>
      <c r="U92" s="121"/>
      <c r="V92" s="121"/>
      <c r="W92" s="121"/>
      <c r="X92" s="121"/>
      <c r="Y92" s="121"/>
      <c r="Z92" s="121"/>
      <c r="AA92" s="121"/>
      <c r="AB92" s="121"/>
      <c r="AC92" s="121"/>
      <c r="AD92" s="121"/>
      <c r="AE92" s="121"/>
      <c r="AF92" s="121"/>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200"/>
      <c r="BJ92" s="121"/>
      <c r="BK92" s="121"/>
      <c r="BL92" s="121"/>
      <c r="BM92" s="121"/>
      <c r="BN92" s="121"/>
      <c r="BO92" s="121"/>
    </row>
    <row r="93" spans="2:67" ht="12.75">
      <c r="C93" s="201"/>
      <c r="D93" s="121" t="s">
        <v>617</v>
      </c>
      <c r="E93" s="121" t="str">
        <f>IF(C7="railbelt south of Alaska Range","mmBtu per year","gallons per year")</f>
        <v>gallons per year</v>
      </c>
      <c r="F93" s="196">
        <f t="shared" ref="F93:BH93" si="21">IF(AND(F54&gt;=$D$31,F54&lt;=($D$31+$D$32)),$D$34,0)</f>
        <v>0</v>
      </c>
      <c r="G93" s="196">
        <f t="shared" si="21"/>
        <v>0</v>
      </c>
      <c r="H93" s="196">
        <f>IF(AND(H54&gt;=$D$31,H54&lt;=($D$31+$D$32)),$D$34,0)</f>
        <v>10817.454884278457</v>
      </c>
      <c r="I93" s="196">
        <f t="shared" si="21"/>
        <v>10817.454884278457</v>
      </c>
      <c r="J93" s="196">
        <f t="shared" si="21"/>
        <v>10817.454884278457</v>
      </c>
      <c r="K93" s="196">
        <f t="shared" si="21"/>
        <v>10817.454884278457</v>
      </c>
      <c r="L93" s="196">
        <f t="shared" si="21"/>
        <v>10817.454884278457</v>
      </c>
      <c r="M93" s="196">
        <f t="shared" si="21"/>
        <v>10817.454884278457</v>
      </c>
      <c r="N93" s="196">
        <f t="shared" si="21"/>
        <v>10817.454884278457</v>
      </c>
      <c r="O93" s="196">
        <f t="shared" si="21"/>
        <v>10817.454884278457</v>
      </c>
      <c r="P93" s="196">
        <f t="shared" si="21"/>
        <v>10817.454884278457</v>
      </c>
      <c r="Q93" s="196">
        <f t="shared" si="21"/>
        <v>10817.454884278457</v>
      </c>
      <c r="R93" s="196">
        <f t="shared" si="21"/>
        <v>10817.454884278457</v>
      </c>
      <c r="S93" s="196">
        <f t="shared" si="21"/>
        <v>10817.454884278457</v>
      </c>
      <c r="T93" s="196">
        <f t="shared" si="21"/>
        <v>10817.454884278457</v>
      </c>
      <c r="U93" s="196">
        <f t="shared" si="21"/>
        <v>10817.454884278457</v>
      </c>
      <c r="V93" s="196">
        <f t="shared" si="21"/>
        <v>10817.454884278457</v>
      </c>
      <c r="W93" s="196">
        <f t="shared" si="21"/>
        <v>10817.454884278457</v>
      </c>
      <c r="X93" s="196">
        <f t="shared" si="21"/>
        <v>10817.454884278457</v>
      </c>
      <c r="Y93" s="196">
        <f t="shared" si="21"/>
        <v>10817.454884278457</v>
      </c>
      <c r="Z93" s="196">
        <f t="shared" si="21"/>
        <v>10817.454884278457</v>
      </c>
      <c r="AA93" s="196">
        <f t="shared" si="21"/>
        <v>10817.454884278457</v>
      </c>
      <c r="AB93" s="196">
        <f t="shared" si="21"/>
        <v>10817.454884278457</v>
      </c>
      <c r="AC93" s="196">
        <f t="shared" si="21"/>
        <v>0</v>
      </c>
      <c r="AD93" s="196">
        <f t="shared" si="21"/>
        <v>0</v>
      </c>
      <c r="AE93" s="196">
        <f t="shared" si="21"/>
        <v>0</v>
      </c>
      <c r="AF93" s="196">
        <f t="shared" si="21"/>
        <v>0</v>
      </c>
      <c r="AG93" s="196">
        <f t="shared" si="21"/>
        <v>0</v>
      </c>
      <c r="AH93" s="196">
        <f t="shared" si="21"/>
        <v>0</v>
      </c>
      <c r="AI93" s="196">
        <f t="shared" si="21"/>
        <v>0</v>
      </c>
      <c r="AJ93" s="196">
        <f t="shared" si="21"/>
        <v>0</v>
      </c>
      <c r="AK93" s="196">
        <f t="shared" si="21"/>
        <v>0</v>
      </c>
      <c r="AL93" s="196">
        <f t="shared" si="21"/>
        <v>0</v>
      </c>
      <c r="AM93" s="196">
        <f t="shared" si="21"/>
        <v>0</v>
      </c>
      <c r="AN93" s="196">
        <f t="shared" si="21"/>
        <v>0</v>
      </c>
      <c r="AO93" s="196">
        <f t="shared" si="21"/>
        <v>0</v>
      </c>
      <c r="AP93" s="196">
        <f t="shared" si="21"/>
        <v>0</v>
      </c>
      <c r="AQ93" s="196">
        <f t="shared" si="21"/>
        <v>0</v>
      </c>
      <c r="AR93" s="196">
        <f t="shared" si="21"/>
        <v>0</v>
      </c>
      <c r="AS93" s="196">
        <f t="shared" si="21"/>
        <v>0</v>
      </c>
      <c r="AT93" s="196">
        <f t="shared" si="21"/>
        <v>0</v>
      </c>
      <c r="AU93" s="196">
        <f t="shared" si="21"/>
        <v>0</v>
      </c>
      <c r="AV93" s="196">
        <f t="shared" si="21"/>
        <v>0</v>
      </c>
      <c r="AW93" s="196">
        <f t="shared" si="21"/>
        <v>0</v>
      </c>
      <c r="AX93" s="196">
        <f t="shared" si="21"/>
        <v>0</v>
      </c>
      <c r="AY93" s="196">
        <f t="shared" si="21"/>
        <v>0</v>
      </c>
      <c r="AZ93" s="196">
        <f t="shared" si="21"/>
        <v>0</v>
      </c>
      <c r="BA93" s="196">
        <f t="shared" si="21"/>
        <v>0</v>
      </c>
      <c r="BB93" s="196">
        <f t="shared" si="21"/>
        <v>0</v>
      </c>
      <c r="BC93" s="196">
        <f t="shared" si="21"/>
        <v>0</v>
      </c>
      <c r="BD93" s="196">
        <f t="shared" si="21"/>
        <v>0</v>
      </c>
      <c r="BE93" s="196">
        <f t="shared" si="21"/>
        <v>0</v>
      </c>
      <c r="BF93" s="196">
        <f t="shared" si="21"/>
        <v>0</v>
      </c>
      <c r="BG93" s="196">
        <f t="shared" si="21"/>
        <v>0</v>
      </c>
      <c r="BH93" s="196">
        <f t="shared" si="21"/>
        <v>0</v>
      </c>
      <c r="BI93" s="175"/>
      <c r="BJ93" s="121"/>
      <c r="BK93" s="121"/>
      <c r="BL93" s="121"/>
      <c r="BM93" s="121"/>
      <c r="BN93" s="121"/>
      <c r="BO93" s="121"/>
    </row>
    <row r="94" spans="2:67" ht="12.75">
      <c r="C94" s="201"/>
      <c r="D94" s="121" t="s">
        <v>270</v>
      </c>
      <c r="E94" s="121" t="str">
        <f>IF(C7="railbelt south of alaska range","$ per mmBtu","$ per gallon")</f>
        <v>$ per gallon</v>
      </c>
      <c r="F94" s="187"/>
      <c r="G94" s="187">
        <f>G74+$D$47</f>
        <v>4.2059794220983502</v>
      </c>
      <c r="H94" s="187">
        <f t="shared" ref="H94:BH94" si="22">H74+$D$47</f>
        <v>4.6732754001702883</v>
      </c>
      <c r="I94" s="187">
        <f t="shared" si="22"/>
        <v>4.8376162909716216</v>
      </c>
      <c r="J94" s="187">
        <f t="shared" si="22"/>
        <v>4.8496361886136912</v>
      </c>
      <c r="K94" s="187">
        <f t="shared" si="22"/>
        <v>4.9056275244664125</v>
      </c>
      <c r="L94" s="187">
        <f t="shared" si="22"/>
        <v>4.9619109251504847</v>
      </c>
      <c r="M94" s="187">
        <f t="shared" si="22"/>
        <v>5.0381773568460284</v>
      </c>
      <c r="N94" s="187">
        <f t="shared" si="22"/>
        <v>5.1199306055642086</v>
      </c>
      <c r="O94" s="187">
        <f t="shared" si="22"/>
        <v>5.2046041917591079</v>
      </c>
      <c r="P94" s="187">
        <f t="shared" si="22"/>
        <v>5.2910732209604339</v>
      </c>
      <c r="Q94" s="187">
        <f t="shared" si="22"/>
        <v>5.377947971766412</v>
      </c>
      <c r="R94" s="187">
        <f t="shared" si="22"/>
        <v>5.4704967063761769</v>
      </c>
      <c r="S94" s="187">
        <f t="shared" si="22"/>
        <v>5.5653090792390989</v>
      </c>
      <c r="T94" s="187">
        <f t="shared" si="22"/>
        <v>5.6624414849609002</v>
      </c>
      <c r="U94" s="187">
        <f t="shared" si="22"/>
        <v>5.7619514121882238</v>
      </c>
      <c r="V94" s="187">
        <f t="shared" si="22"/>
        <v>5.863897589004015</v>
      </c>
      <c r="W94" s="187">
        <f t="shared" si="22"/>
        <v>5.9683408481979816</v>
      </c>
      <c r="X94" s="187">
        <f t="shared" si="22"/>
        <v>6.075342926874276</v>
      </c>
      <c r="Y94" s="187">
        <f t="shared" si="22"/>
        <v>6.184818158118297</v>
      </c>
      <c r="Z94" s="187">
        <f t="shared" si="22"/>
        <v>6.292419236935225</v>
      </c>
      <c r="AA94" s="187">
        <f t="shared" si="22"/>
        <v>6.4056246146124609</v>
      </c>
      <c r="AB94" s="187">
        <f t="shared" si="22"/>
        <v>6.5219530773050831</v>
      </c>
      <c r="AC94" s="187">
        <f t="shared" si="22"/>
        <v>6.6360405950884838</v>
      </c>
      <c r="AD94" s="187">
        <f t="shared" si="22"/>
        <v>6.7587026423442191</v>
      </c>
      <c r="AE94" s="187">
        <f t="shared" si="22"/>
        <v>6.8910386217753219</v>
      </c>
      <c r="AF94" s="187">
        <f t="shared" si="22"/>
        <v>7.014392524247052</v>
      </c>
      <c r="AG94" s="187">
        <f t="shared" si="22"/>
        <v>7.014392524247052</v>
      </c>
      <c r="AH94" s="187">
        <f t="shared" si="22"/>
        <v>7.014392524247052</v>
      </c>
      <c r="AI94" s="187">
        <f t="shared" si="22"/>
        <v>7.014392524247052</v>
      </c>
      <c r="AJ94" s="187">
        <f t="shared" si="22"/>
        <v>7.014392524247052</v>
      </c>
      <c r="AK94" s="187">
        <f t="shared" si="22"/>
        <v>7.014392524247052</v>
      </c>
      <c r="AL94" s="187">
        <f t="shared" si="22"/>
        <v>7.014392524247052</v>
      </c>
      <c r="AM94" s="187">
        <f t="shared" si="22"/>
        <v>7.014392524247052</v>
      </c>
      <c r="AN94" s="187">
        <f t="shared" si="22"/>
        <v>7.014392524247052</v>
      </c>
      <c r="AO94" s="187">
        <f t="shared" si="22"/>
        <v>7.014392524247052</v>
      </c>
      <c r="AP94" s="187">
        <f t="shared" si="22"/>
        <v>7.014392524247052</v>
      </c>
      <c r="AQ94" s="187">
        <f t="shared" si="22"/>
        <v>7.014392524247052</v>
      </c>
      <c r="AR94" s="187">
        <f t="shared" si="22"/>
        <v>7.014392524247052</v>
      </c>
      <c r="AS94" s="187">
        <f t="shared" si="22"/>
        <v>7.014392524247052</v>
      </c>
      <c r="AT94" s="187">
        <f t="shared" si="22"/>
        <v>7.014392524247052</v>
      </c>
      <c r="AU94" s="187">
        <f t="shared" si="22"/>
        <v>7.014392524247052</v>
      </c>
      <c r="AV94" s="187">
        <f t="shared" si="22"/>
        <v>7.014392524247052</v>
      </c>
      <c r="AW94" s="187">
        <f t="shared" si="22"/>
        <v>7.014392524247052</v>
      </c>
      <c r="AX94" s="187">
        <f t="shared" si="22"/>
        <v>7.014392524247052</v>
      </c>
      <c r="AY94" s="187">
        <f t="shared" si="22"/>
        <v>7.014392524247052</v>
      </c>
      <c r="AZ94" s="187">
        <f t="shared" si="22"/>
        <v>7.014392524247052</v>
      </c>
      <c r="BA94" s="187">
        <f t="shared" si="22"/>
        <v>7.014392524247052</v>
      </c>
      <c r="BB94" s="187">
        <f t="shared" si="22"/>
        <v>7.014392524247052</v>
      </c>
      <c r="BC94" s="187">
        <f t="shared" si="22"/>
        <v>7.014392524247052</v>
      </c>
      <c r="BD94" s="187">
        <f t="shared" si="22"/>
        <v>7.014392524247052</v>
      </c>
      <c r="BE94" s="187">
        <f t="shared" si="22"/>
        <v>7.014392524247052</v>
      </c>
      <c r="BF94" s="187">
        <f t="shared" si="22"/>
        <v>7.014392524247052</v>
      </c>
      <c r="BG94" s="187">
        <f t="shared" si="22"/>
        <v>7.014392524247052</v>
      </c>
      <c r="BH94" s="187">
        <f t="shared" si="22"/>
        <v>7.014392524247052</v>
      </c>
      <c r="BI94" s="175"/>
      <c r="BJ94" s="121"/>
      <c r="BK94" s="121"/>
      <c r="BL94" s="121"/>
      <c r="BM94" s="121"/>
      <c r="BN94" s="121"/>
      <c r="BO94" s="121"/>
    </row>
    <row r="95" spans="2:67" ht="12.75">
      <c r="C95" s="201" t="s">
        <v>277</v>
      </c>
      <c r="D95" s="121" t="s">
        <v>382</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v>0</v>
      </c>
      <c r="AC95" s="176">
        <v>0</v>
      </c>
      <c r="AD95" s="176">
        <v>0</v>
      </c>
      <c r="AE95" s="176">
        <v>0</v>
      </c>
      <c r="AF95" s="176">
        <v>0</v>
      </c>
      <c r="AG95" s="176">
        <v>0</v>
      </c>
      <c r="AH95" s="176">
        <v>0</v>
      </c>
      <c r="AI95" s="176">
        <v>0</v>
      </c>
      <c r="AJ95" s="176">
        <v>0</v>
      </c>
      <c r="AK95" s="176">
        <v>0</v>
      </c>
      <c r="AL95" s="176">
        <v>0</v>
      </c>
      <c r="AM95" s="176">
        <v>0</v>
      </c>
      <c r="AN95" s="176">
        <v>0</v>
      </c>
      <c r="AO95" s="176">
        <v>0</v>
      </c>
      <c r="AP95" s="176">
        <v>0</v>
      </c>
      <c r="AQ95" s="176">
        <v>0</v>
      </c>
      <c r="AR95" s="176">
        <v>0</v>
      </c>
      <c r="AS95" s="176">
        <v>0</v>
      </c>
      <c r="AT95" s="176">
        <v>0</v>
      </c>
      <c r="AU95" s="176">
        <v>0</v>
      </c>
      <c r="AV95" s="176">
        <v>0</v>
      </c>
      <c r="AW95" s="176">
        <v>0</v>
      </c>
      <c r="AX95" s="176">
        <v>0</v>
      </c>
      <c r="AY95" s="176">
        <v>0</v>
      </c>
      <c r="AZ95" s="176">
        <v>0</v>
      </c>
      <c r="BA95" s="176">
        <v>0</v>
      </c>
      <c r="BB95" s="176">
        <v>0</v>
      </c>
      <c r="BC95" s="176">
        <v>0</v>
      </c>
      <c r="BD95" s="176">
        <v>0</v>
      </c>
      <c r="BE95" s="176">
        <v>0</v>
      </c>
      <c r="BF95" s="176">
        <v>0</v>
      </c>
      <c r="BG95" s="176">
        <v>0</v>
      </c>
      <c r="BH95" s="176">
        <v>0</v>
      </c>
      <c r="BI95" s="175">
        <f>NPV($D$49,F95:BH95)</f>
        <v>0</v>
      </c>
      <c r="BJ95" s="121"/>
      <c r="BK95" s="121"/>
      <c r="BL95" s="121"/>
      <c r="BM95" s="121"/>
      <c r="BN95" s="121"/>
      <c r="BO95" s="121"/>
    </row>
    <row r="96" spans="2:67" ht="12.75">
      <c r="C96" s="201" t="s">
        <v>277</v>
      </c>
      <c r="D96" s="121" t="s">
        <v>316</v>
      </c>
      <c r="E96" s="121" t="s">
        <v>264</v>
      </c>
      <c r="F96" s="176">
        <v>0</v>
      </c>
      <c r="G96" s="176"/>
      <c r="H96" s="176"/>
      <c r="I96" s="176"/>
      <c r="J96" s="176"/>
      <c r="K96" s="176"/>
      <c r="L96" s="176"/>
      <c r="M96" s="176"/>
      <c r="N96" s="176"/>
      <c r="O96" s="176"/>
      <c r="P96" s="176"/>
      <c r="Q96" s="176"/>
      <c r="R96" s="176"/>
      <c r="S96" s="176"/>
      <c r="T96" s="176"/>
      <c r="U96" s="176"/>
      <c r="V96" s="176"/>
      <c r="W96" s="176"/>
      <c r="X96" s="176"/>
      <c r="Y96" s="176"/>
      <c r="Z96" s="176"/>
      <c r="AA96" s="176"/>
      <c r="AB96" s="176">
        <v>0</v>
      </c>
      <c r="AC96" s="176">
        <v>0</v>
      </c>
      <c r="AD96" s="176">
        <v>0</v>
      </c>
      <c r="AE96" s="176">
        <v>0</v>
      </c>
      <c r="AF96" s="176">
        <v>0</v>
      </c>
      <c r="AG96" s="176">
        <v>0</v>
      </c>
      <c r="AH96" s="176">
        <v>0</v>
      </c>
      <c r="AI96" s="176">
        <v>0</v>
      </c>
      <c r="AJ96" s="176">
        <v>0</v>
      </c>
      <c r="AK96" s="176">
        <v>0</v>
      </c>
      <c r="AL96" s="176">
        <v>0</v>
      </c>
      <c r="AM96" s="176">
        <v>0</v>
      </c>
      <c r="AN96" s="176">
        <v>0</v>
      </c>
      <c r="AO96" s="176">
        <v>0</v>
      </c>
      <c r="AP96" s="176">
        <v>0</v>
      </c>
      <c r="AQ96" s="176">
        <v>0</v>
      </c>
      <c r="AR96" s="176">
        <v>0</v>
      </c>
      <c r="AS96" s="176">
        <v>0</v>
      </c>
      <c r="AT96" s="176">
        <v>0</v>
      </c>
      <c r="AU96" s="176">
        <v>0</v>
      </c>
      <c r="AV96" s="176">
        <v>0</v>
      </c>
      <c r="AW96" s="176">
        <v>0</v>
      </c>
      <c r="AX96" s="176">
        <v>0</v>
      </c>
      <c r="AY96" s="176">
        <v>0</v>
      </c>
      <c r="AZ96" s="176">
        <v>0</v>
      </c>
      <c r="BA96" s="176">
        <v>0</v>
      </c>
      <c r="BB96" s="176">
        <v>0</v>
      </c>
      <c r="BC96" s="176">
        <v>0</v>
      </c>
      <c r="BD96" s="176">
        <v>0</v>
      </c>
      <c r="BE96" s="176">
        <v>0</v>
      </c>
      <c r="BF96" s="176">
        <v>0</v>
      </c>
      <c r="BG96" s="176">
        <v>0</v>
      </c>
      <c r="BH96" s="176">
        <v>0</v>
      </c>
      <c r="BI96" s="175">
        <f>NPV($D$49,F96:BH96)</f>
        <v>0</v>
      </c>
      <c r="BJ96" s="121"/>
      <c r="BK96" s="121"/>
      <c r="BL96" s="121"/>
      <c r="BM96" s="121"/>
      <c r="BN96" s="121"/>
      <c r="BO96" s="121"/>
    </row>
    <row r="97" spans="2:70" ht="12.75">
      <c r="C97" s="190"/>
      <c r="D97" s="121" t="s">
        <v>270</v>
      </c>
      <c r="E97" s="121" t="s">
        <v>264</v>
      </c>
      <c r="F97" s="191">
        <f t="shared" ref="F97:BH97" si="23">F93*F94</f>
        <v>0</v>
      </c>
      <c r="G97" s="191">
        <f t="shared" si="23"/>
        <v>0</v>
      </c>
      <c r="H97" s="191">
        <f t="shared" si="23"/>
        <v>50552.945803150447</v>
      </c>
      <c r="I97" s="191">
        <f t="shared" si="23"/>
        <v>52330.695975036004</v>
      </c>
      <c r="J97" s="191">
        <f t="shared" si="23"/>
        <v>52460.720675492732</v>
      </c>
      <c r="K97" s="191">
        <f t="shared" si="23"/>
        <v>53066.404424990033</v>
      </c>
      <c r="L97" s="191">
        <f t="shared" si="23"/>
        <v>53675.247572623746</v>
      </c>
      <c r="M97" s="191">
        <f t="shared" si="23"/>
        <v>54500.256256675195</v>
      </c>
      <c r="N97" s="191">
        <f t="shared" si="23"/>
        <v>55384.618336327308</v>
      </c>
      <c r="O97" s="191">
        <f t="shared" si="23"/>
        <v>56300.57103488069</v>
      </c>
      <c r="P97" s="191">
        <f t="shared" si="23"/>
        <v>57235.945857153391</v>
      </c>
      <c r="Q97" s="191">
        <f t="shared" si="23"/>
        <v>58175.709554579997</v>
      </c>
      <c r="R97" s="191">
        <f t="shared" si="23"/>
        <v>59176.851315818189</v>
      </c>
      <c r="S97" s="191">
        <f t="shared" si="23"/>
        <v>60202.479881734231</v>
      </c>
      <c r="T97" s="191">
        <f t="shared" si="23"/>
        <v>61253.205298431247</v>
      </c>
      <c r="U97" s="191">
        <f t="shared" si="23"/>
        <v>62329.649446750656</v>
      </c>
      <c r="V97" s="191">
        <f t="shared" si="23"/>
        <v>63432.447615080149</v>
      </c>
      <c r="W97" s="191">
        <f t="shared" si="23"/>
        <v>64562.257859377882</v>
      </c>
      <c r="X97" s="191">
        <f t="shared" si="23"/>
        <v>65719.748017982711</v>
      </c>
      <c r="Y97" s="191">
        <f t="shared" si="23"/>
        <v>66903.991392910859</v>
      </c>
      <c r="Z97" s="191">
        <f t="shared" si="23"/>
        <v>68067.961208512672</v>
      </c>
      <c r="AA97" s="191">
        <f t="shared" si="23"/>
        <v>69292.555274193874</v>
      </c>
      <c r="AB97" s="191">
        <f t="shared" si="23"/>
        <v>70550.933171128781</v>
      </c>
      <c r="AC97" s="191">
        <f t="shared" si="23"/>
        <v>0</v>
      </c>
      <c r="AD97" s="191">
        <f t="shared" si="23"/>
        <v>0</v>
      </c>
      <c r="AE97" s="191">
        <f t="shared" si="23"/>
        <v>0</v>
      </c>
      <c r="AF97" s="191">
        <f t="shared" si="23"/>
        <v>0</v>
      </c>
      <c r="AG97" s="191">
        <f t="shared" si="23"/>
        <v>0</v>
      </c>
      <c r="AH97" s="191">
        <f t="shared" si="23"/>
        <v>0</v>
      </c>
      <c r="AI97" s="191">
        <f t="shared" si="23"/>
        <v>0</v>
      </c>
      <c r="AJ97" s="191">
        <f t="shared" si="23"/>
        <v>0</v>
      </c>
      <c r="AK97" s="191">
        <f t="shared" si="23"/>
        <v>0</v>
      </c>
      <c r="AL97" s="191">
        <f t="shared" si="23"/>
        <v>0</v>
      </c>
      <c r="AM97" s="191">
        <f t="shared" si="23"/>
        <v>0</v>
      </c>
      <c r="AN97" s="191">
        <f t="shared" si="23"/>
        <v>0</v>
      </c>
      <c r="AO97" s="191">
        <f t="shared" si="23"/>
        <v>0</v>
      </c>
      <c r="AP97" s="191">
        <f t="shared" si="23"/>
        <v>0</v>
      </c>
      <c r="AQ97" s="191">
        <f t="shared" si="23"/>
        <v>0</v>
      </c>
      <c r="AR97" s="191">
        <f t="shared" si="23"/>
        <v>0</v>
      </c>
      <c r="AS97" s="191">
        <f t="shared" si="23"/>
        <v>0</v>
      </c>
      <c r="AT97" s="191">
        <f t="shared" si="23"/>
        <v>0</v>
      </c>
      <c r="AU97" s="191">
        <f t="shared" si="23"/>
        <v>0</v>
      </c>
      <c r="AV97" s="191">
        <f t="shared" si="23"/>
        <v>0</v>
      </c>
      <c r="AW97" s="191">
        <f t="shared" si="23"/>
        <v>0</v>
      </c>
      <c r="AX97" s="191">
        <f t="shared" si="23"/>
        <v>0</v>
      </c>
      <c r="AY97" s="191">
        <f t="shared" si="23"/>
        <v>0</v>
      </c>
      <c r="AZ97" s="191">
        <f t="shared" si="23"/>
        <v>0</v>
      </c>
      <c r="BA97" s="191">
        <f t="shared" si="23"/>
        <v>0</v>
      </c>
      <c r="BB97" s="191">
        <f t="shared" si="23"/>
        <v>0</v>
      </c>
      <c r="BC97" s="191">
        <f t="shared" si="23"/>
        <v>0</v>
      </c>
      <c r="BD97" s="191">
        <f t="shared" si="23"/>
        <v>0</v>
      </c>
      <c r="BE97" s="191">
        <f t="shared" si="23"/>
        <v>0</v>
      </c>
      <c r="BF97" s="191">
        <f t="shared" si="23"/>
        <v>0</v>
      </c>
      <c r="BG97" s="191">
        <f t="shared" si="23"/>
        <v>0</v>
      </c>
      <c r="BH97" s="191">
        <f t="shared" si="23"/>
        <v>0</v>
      </c>
      <c r="BI97" s="175">
        <f>NPV($D$49,F97:BH97)</f>
        <v>853191.30858577159</v>
      </c>
      <c r="BJ97" s="121"/>
      <c r="BK97" s="121"/>
      <c r="BL97" s="121"/>
      <c r="BM97" s="121"/>
      <c r="BN97" s="121"/>
      <c r="BO97" s="121"/>
    </row>
    <row r="98" spans="2:70" s="192" customFormat="1" ht="12.75">
      <c r="B98" s="193"/>
      <c r="C98" s="202"/>
      <c r="D98" s="184" t="s">
        <v>1164</v>
      </c>
      <c r="E98" s="184" t="s">
        <v>264</v>
      </c>
      <c r="F98" s="197">
        <f>F97+F96+F95</f>
        <v>0</v>
      </c>
      <c r="G98" s="197">
        <f>G97-G90</f>
        <v>0</v>
      </c>
      <c r="H98" s="197">
        <f t="shared" ref="H98:BH98" si="24">H97-H90</f>
        <v>14956.883175931216</v>
      </c>
      <c r="I98" s="197">
        <f t="shared" si="24"/>
        <v>16734.633347816773</v>
      </c>
      <c r="J98" s="197">
        <f t="shared" si="24"/>
        <v>16864.658048273501</v>
      </c>
      <c r="K98" s="197">
        <f t="shared" si="24"/>
        <v>17470.341797770801</v>
      </c>
      <c r="L98" s="197">
        <f t="shared" si="24"/>
        <v>18079.184945404515</v>
      </c>
      <c r="M98" s="197">
        <f t="shared" si="24"/>
        <v>18904.193629455964</v>
      </c>
      <c r="N98" s="197">
        <f t="shared" si="24"/>
        <v>19788.555709108077</v>
      </c>
      <c r="O98" s="197">
        <f t="shared" si="24"/>
        <v>20704.508407661458</v>
      </c>
      <c r="P98" s="197">
        <f t="shared" si="24"/>
        <v>21639.883229934159</v>
      </c>
      <c r="Q98" s="197">
        <f t="shared" si="24"/>
        <v>22579.646927360765</v>
      </c>
      <c r="R98" s="197">
        <f t="shared" si="24"/>
        <v>23580.788688598957</v>
      </c>
      <c r="S98" s="197">
        <f t="shared" si="24"/>
        <v>24606.417254515</v>
      </c>
      <c r="T98" s="197">
        <f t="shared" si="24"/>
        <v>25657.142671212016</v>
      </c>
      <c r="U98" s="197">
        <f t="shared" si="24"/>
        <v>26733.586819531425</v>
      </c>
      <c r="V98" s="197">
        <f t="shared" si="24"/>
        <v>27836.384987860918</v>
      </c>
      <c r="W98" s="197">
        <f t="shared" si="24"/>
        <v>28966.19523215865</v>
      </c>
      <c r="X98" s="197">
        <f t="shared" si="24"/>
        <v>30123.68539076348</v>
      </c>
      <c r="Y98" s="197">
        <f t="shared" si="24"/>
        <v>31307.928765691628</v>
      </c>
      <c r="Z98" s="197">
        <f t="shared" si="24"/>
        <v>32471.898581293441</v>
      </c>
      <c r="AA98" s="197">
        <f t="shared" si="24"/>
        <v>33696.492646974642</v>
      </c>
      <c r="AB98" s="197">
        <f t="shared" si="24"/>
        <v>68882.342680964706</v>
      </c>
      <c r="AC98" s="197">
        <f t="shared" si="24"/>
        <v>0</v>
      </c>
      <c r="AD98" s="197">
        <f t="shared" si="24"/>
        <v>0</v>
      </c>
      <c r="AE98" s="197">
        <f t="shared" si="24"/>
        <v>0</v>
      </c>
      <c r="AF98" s="197">
        <f t="shared" si="24"/>
        <v>0</v>
      </c>
      <c r="AG98" s="197">
        <f t="shared" si="24"/>
        <v>0</v>
      </c>
      <c r="AH98" s="197">
        <f t="shared" si="24"/>
        <v>0</v>
      </c>
      <c r="AI98" s="197">
        <f t="shared" si="24"/>
        <v>0</v>
      </c>
      <c r="AJ98" s="197">
        <f t="shared" si="24"/>
        <v>0</v>
      </c>
      <c r="AK98" s="197">
        <f t="shared" si="24"/>
        <v>0</v>
      </c>
      <c r="AL98" s="197">
        <f t="shared" si="24"/>
        <v>0</v>
      </c>
      <c r="AM98" s="197">
        <f t="shared" si="24"/>
        <v>0</v>
      </c>
      <c r="AN98" s="197">
        <f t="shared" si="24"/>
        <v>0</v>
      </c>
      <c r="AO98" s="197">
        <f t="shared" si="24"/>
        <v>0</v>
      </c>
      <c r="AP98" s="197">
        <f t="shared" si="24"/>
        <v>0</v>
      </c>
      <c r="AQ98" s="197">
        <f t="shared" si="24"/>
        <v>0</v>
      </c>
      <c r="AR98" s="197">
        <f t="shared" si="24"/>
        <v>0</v>
      </c>
      <c r="AS98" s="197">
        <f t="shared" si="24"/>
        <v>0</v>
      </c>
      <c r="AT98" s="197">
        <f t="shared" si="24"/>
        <v>0</v>
      </c>
      <c r="AU98" s="197">
        <f t="shared" si="24"/>
        <v>0</v>
      </c>
      <c r="AV98" s="197">
        <f t="shared" si="24"/>
        <v>0</v>
      </c>
      <c r="AW98" s="197">
        <f t="shared" si="24"/>
        <v>0</v>
      </c>
      <c r="AX98" s="197">
        <f t="shared" si="24"/>
        <v>0</v>
      </c>
      <c r="AY98" s="197">
        <f t="shared" si="24"/>
        <v>0</v>
      </c>
      <c r="AZ98" s="197">
        <f t="shared" si="24"/>
        <v>0</v>
      </c>
      <c r="BA98" s="197">
        <f t="shared" si="24"/>
        <v>0</v>
      </c>
      <c r="BB98" s="197">
        <f t="shared" si="24"/>
        <v>0</v>
      </c>
      <c r="BC98" s="197">
        <f t="shared" si="24"/>
        <v>0</v>
      </c>
      <c r="BD98" s="197">
        <f t="shared" si="24"/>
        <v>0</v>
      </c>
      <c r="BE98" s="197">
        <f t="shared" si="24"/>
        <v>0</v>
      </c>
      <c r="BF98" s="197">
        <f t="shared" si="24"/>
        <v>0</v>
      </c>
      <c r="BG98" s="197">
        <f t="shared" si="24"/>
        <v>0</v>
      </c>
      <c r="BH98" s="197">
        <f t="shared" si="24"/>
        <v>0</v>
      </c>
      <c r="BI98" s="175">
        <f>NPV($D$49,F98:BH98)</f>
        <v>353166.35196645762</v>
      </c>
      <c r="BJ98" s="180"/>
      <c r="BK98" s="180"/>
      <c r="BL98" s="180"/>
      <c r="BM98" s="180"/>
      <c r="BN98" s="180"/>
      <c r="BO98" s="180"/>
    </row>
    <row r="99" spans="2:70" ht="12.75">
      <c r="C99" s="186"/>
      <c r="D99" s="121"/>
      <c r="E99" s="121"/>
      <c r="F99" s="195"/>
      <c r="G99" s="195"/>
      <c r="H99" s="195"/>
      <c r="I99" s="195"/>
      <c r="J99" s="195"/>
      <c r="K99" s="195"/>
      <c r="L99" s="195"/>
      <c r="M99" s="195"/>
      <c r="N99" s="195"/>
      <c r="O99" s="195"/>
      <c r="P99" s="195"/>
      <c r="Q99" s="195"/>
      <c r="R99" s="195"/>
      <c r="S99" s="195"/>
      <c r="T99" s="195"/>
      <c r="U99" s="195"/>
      <c r="V99" s="195"/>
      <c r="W99" s="195"/>
      <c r="X99" s="195"/>
      <c r="Y99" s="195"/>
      <c r="Z99" s="195"/>
      <c r="AA99" s="195"/>
      <c r="AB99" s="195"/>
      <c r="AC99" s="195"/>
      <c r="AD99" s="195"/>
      <c r="AE99" s="195"/>
      <c r="AF99" s="195"/>
      <c r="AG99" s="195"/>
      <c r="AH99" s="195"/>
      <c r="AI99" s="195"/>
      <c r="AJ99" s="195"/>
      <c r="AK99" s="195"/>
      <c r="AL99" s="195"/>
      <c r="AM99" s="195"/>
      <c r="AN99" s="195"/>
      <c r="AO99" s="195"/>
      <c r="AP99" s="195"/>
      <c r="AQ99" s="195"/>
      <c r="AR99" s="195"/>
      <c r="AS99" s="195"/>
      <c r="AT99" s="195"/>
      <c r="AU99" s="195"/>
      <c r="AV99" s="195"/>
      <c r="AW99" s="195"/>
      <c r="AX99" s="195"/>
      <c r="AY99" s="195"/>
      <c r="AZ99" s="195"/>
      <c r="BA99" s="195"/>
      <c r="BB99" s="195"/>
      <c r="BC99" s="195"/>
      <c r="BD99" s="195"/>
      <c r="BE99" s="195"/>
      <c r="BF99" s="195"/>
      <c r="BG99" s="195"/>
      <c r="BH99" s="195"/>
      <c r="BI99" s="195"/>
      <c r="BJ99" s="195"/>
      <c r="BK99" s="195"/>
      <c r="BL99" s="195"/>
      <c r="BM99" s="195"/>
      <c r="BN99" s="195"/>
      <c r="BO99" s="175"/>
      <c r="BP99" s="121"/>
      <c r="BQ99" s="121"/>
      <c r="BR99" s="121"/>
    </row>
    <row r="100" spans="2: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2: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2: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2.7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ht="12.75">
      <c r="C106" s="186"/>
      <c r="D106" s="136"/>
      <c r="E106" s="136"/>
      <c r="F106" s="136"/>
      <c r="G106" s="136"/>
      <c r="H106" s="136"/>
      <c r="I106" s="136"/>
      <c r="J106" s="136"/>
      <c r="K106" s="136"/>
      <c r="L106" s="136"/>
      <c r="M106" s="136"/>
      <c r="N106" s="136"/>
      <c r="O106" s="136"/>
      <c r="P106" s="136"/>
      <c r="Q106" s="136"/>
      <c r="R106" s="136"/>
      <c r="BO106" s="136"/>
      <c r="BP106" s="121"/>
      <c r="BQ106" s="121"/>
      <c r="BR106" s="121"/>
    </row>
    <row r="107" spans="2:70" ht="14.25">
      <c r="F107" s="136"/>
      <c r="K107" s="136"/>
      <c r="L107" s="136"/>
      <c r="M107" s="136"/>
      <c r="N107" s="136"/>
      <c r="O107" s="136"/>
      <c r="P107" s="136"/>
      <c r="Q107" s="136"/>
      <c r="R107" s="136"/>
      <c r="BO107" s="136"/>
      <c r="BP107" s="121"/>
      <c r="BQ107" s="121"/>
      <c r="BR107" s="121"/>
    </row>
    <row r="108" spans="2:70" ht="14.25">
      <c r="F108" s="136"/>
      <c r="K108" s="136"/>
      <c r="L108" s="136"/>
      <c r="M108" s="136"/>
      <c r="N108" s="136"/>
      <c r="O108" s="136"/>
      <c r="P108" s="136"/>
      <c r="Q108" s="136"/>
      <c r="R108" s="136"/>
      <c r="BO108" s="136"/>
      <c r="BP108" s="121"/>
      <c r="BQ108" s="121"/>
      <c r="BR108" s="121"/>
    </row>
    <row r="109" spans="2:70" ht="14.25">
      <c r="F109" s="136"/>
      <c r="K109" s="136"/>
      <c r="L109" s="136"/>
      <c r="M109" s="136"/>
      <c r="N109" s="136"/>
      <c r="O109" s="136"/>
      <c r="P109" s="136"/>
      <c r="Q109" s="136"/>
      <c r="R109" s="136"/>
      <c r="BO109" s="136"/>
      <c r="BP109" s="121"/>
      <c r="BQ109" s="121"/>
      <c r="BR109" s="121"/>
    </row>
    <row r="110" spans="2:70" ht="14.25">
      <c r="F110" s="136"/>
      <c r="K110" s="136"/>
      <c r="L110" s="136"/>
      <c r="M110" s="136"/>
      <c r="N110" s="136"/>
      <c r="O110" s="136"/>
      <c r="P110" s="136"/>
      <c r="Q110" s="136"/>
      <c r="R110" s="136"/>
      <c r="BO110" s="136"/>
      <c r="BP110" s="121"/>
      <c r="BQ110" s="121"/>
      <c r="BR110" s="121"/>
    </row>
    <row r="111" spans="2:70" ht="14.25">
      <c r="F111" s="136"/>
      <c r="K111" s="136"/>
      <c r="L111" s="136"/>
      <c r="M111" s="136"/>
      <c r="N111" s="136"/>
      <c r="O111" s="136"/>
      <c r="P111" s="136"/>
      <c r="Q111" s="136"/>
      <c r="R111" s="136"/>
      <c r="BO111" s="136"/>
      <c r="BP111" s="121"/>
      <c r="BQ111" s="121"/>
      <c r="BR111" s="121"/>
    </row>
    <row r="112" spans="2:70" ht="14.25">
      <c r="F112" s="136"/>
      <c r="K112" s="136"/>
      <c r="L112" s="136"/>
      <c r="M112" s="136"/>
      <c r="N112" s="136"/>
      <c r="O112" s="136"/>
      <c r="P112" s="136"/>
      <c r="Q112" s="136"/>
      <c r="R112" s="136"/>
      <c r="BO112" s="136"/>
      <c r="BP112" s="121"/>
      <c r="BQ112" s="121"/>
      <c r="BR112" s="121"/>
    </row>
    <row r="113" spans="3:70" ht="14.25">
      <c r="F113" s="136"/>
      <c r="K113" s="136"/>
      <c r="L113" s="136"/>
      <c r="M113" s="136"/>
      <c r="N113" s="136"/>
      <c r="O113" s="136"/>
      <c r="P113" s="136"/>
      <c r="Q113" s="136"/>
      <c r="R113" s="136"/>
      <c r="BO113" s="136"/>
      <c r="BP113" s="121"/>
      <c r="BQ113" s="121"/>
      <c r="BR113" s="121"/>
    </row>
    <row r="114" spans="3:70" ht="14.25">
      <c r="F114" s="136"/>
      <c r="K114" s="136"/>
      <c r="L114" s="136"/>
      <c r="M114" s="136"/>
      <c r="N114" s="136"/>
      <c r="O114" s="136"/>
      <c r="P114" s="136"/>
      <c r="Q114" s="136"/>
      <c r="R114" s="136"/>
      <c r="BO114" s="136"/>
      <c r="BP114" s="121"/>
      <c r="BQ114" s="121"/>
      <c r="BR114" s="121"/>
    </row>
    <row r="115" spans="3:70" ht="12.75">
      <c r="C115" s="186"/>
      <c r="D115" s="136"/>
      <c r="E115" s="136"/>
      <c r="F115" s="136"/>
      <c r="K115" s="136"/>
      <c r="L115" s="136"/>
      <c r="M115" s="136"/>
      <c r="N115" s="136"/>
      <c r="O115" s="136"/>
      <c r="P115" s="136"/>
      <c r="Q115" s="136"/>
      <c r="R115" s="136"/>
      <c r="BO115" s="136"/>
      <c r="BP115" s="121"/>
      <c r="BQ115" s="121"/>
      <c r="BR115" s="121"/>
    </row>
    <row r="116" spans="3:70" ht="12.75">
      <c r="C116" s="186"/>
      <c r="D116" s="136"/>
      <c r="E116" s="136"/>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ht="14.25">
      <c r="F119" s="136"/>
      <c r="K119" s="136"/>
      <c r="L119" s="136"/>
      <c r="M119" s="136"/>
      <c r="N119" s="136"/>
      <c r="O119" s="136"/>
      <c r="P119" s="136"/>
      <c r="Q119" s="136"/>
      <c r="R119" s="136"/>
      <c r="BO119" s="136"/>
      <c r="BP119" s="121"/>
      <c r="BQ119" s="121"/>
      <c r="BR119" s="121"/>
    </row>
    <row r="120" spans="3:70" ht="14.25">
      <c r="F120" s="136"/>
      <c r="K120" s="136"/>
      <c r="L120" s="136"/>
      <c r="M120" s="136"/>
      <c r="N120" s="136"/>
      <c r="O120" s="136"/>
      <c r="P120" s="136"/>
      <c r="Q120" s="136"/>
      <c r="R120" s="136"/>
      <c r="BO120" s="136"/>
      <c r="BP120" s="121"/>
      <c r="BQ120" s="121"/>
      <c r="BR120" s="121"/>
    </row>
    <row r="121" spans="3:70">
      <c r="F121" s="136"/>
      <c r="K121" s="136"/>
      <c r="L121" s="136"/>
      <c r="M121" s="136"/>
      <c r="N121" s="136"/>
      <c r="O121" s="136"/>
      <c r="P121" s="136"/>
      <c r="Q121" s="136"/>
      <c r="R121" s="136"/>
      <c r="BP121" s="121"/>
      <c r="BQ121" s="121"/>
      <c r="BR121" s="121"/>
    </row>
  </sheetData>
  <mergeCells count="9">
    <mergeCell ref="C66:E66"/>
    <mergeCell ref="C72:E72"/>
    <mergeCell ref="C84:E84"/>
    <mergeCell ref="C92:E92"/>
    <mergeCell ref="A1:Q1"/>
    <mergeCell ref="B2:E2"/>
    <mergeCell ref="H2:R2"/>
    <mergeCell ref="I5:U5"/>
    <mergeCell ref="H6:H10"/>
  </mergeCells>
  <dataValidations count="3">
    <dataValidation type="list" allowBlank="1" showInputMessage="1" showErrorMessage="1" sqref="D6">
      <formula1>#REF!</formula1>
    </dataValidation>
    <dataValidation type="list" allowBlank="1" showInputMessage="1" showErrorMessage="1" sqref="C7">
      <formula1>Region</formula1>
    </dataValidation>
    <dataValidation type="list" allowBlank="1" showInputMessage="1" showErrorMessage="1" sqref="D8:D10 C8">
      <formula1>RE_Technology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P409"/>
  <sheetViews>
    <sheetView topLeftCell="A368" workbookViewId="0">
      <selection activeCell="G409" sqref="G409"/>
    </sheetView>
  </sheetViews>
  <sheetFormatPr defaultRowHeight="12.75"/>
  <cols>
    <col min="1" max="1" width="23.28515625" bestFit="1" customWidth="1"/>
    <col min="2" max="6" width="17.28515625" style="1606" hidden="1" customWidth="1"/>
    <col min="7" max="7" width="17.28515625" style="1787" customWidth="1"/>
    <col min="8" max="8" width="116.7109375" style="1606" bestFit="1" customWidth="1"/>
    <col min="9" max="10" width="17.28515625" style="1606" customWidth="1"/>
  </cols>
  <sheetData>
    <row r="1" spans="1:16" ht="38.25">
      <c r="C1" s="1606" t="s">
        <v>1765</v>
      </c>
      <c r="L1" s="90" t="s">
        <v>303</v>
      </c>
      <c r="M1" s="216" t="s">
        <v>642</v>
      </c>
      <c r="N1" s="90" t="s">
        <v>2281</v>
      </c>
      <c r="O1" s="1249" t="s">
        <v>2282</v>
      </c>
      <c r="P1" s="1249" t="s">
        <v>2283</v>
      </c>
    </row>
    <row r="2" spans="1:16" s="1617" customFormat="1" ht="38.25">
      <c r="A2" s="1617" t="s">
        <v>1502</v>
      </c>
      <c r="B2" s="1249" t="s">
        <v>1766</v>
      </c>
      <c r="C2" s="1249" t="s">
        <v>1767</v>
      </c>
      <c r="D2" s="1249" t="s">
        <v>1768</v>
      </c>
      <c r="E2" s="1249" t="s">
        <v>1769</v>
      </c>
      <c r="F2" s="1249" t="s">
        <v>1207</v>
      </c>
      <c r="G2" s="718" t="s">
        <v>2310</v>
      </c>
      <c r="H2" s="1249" t="s">
        <v>438</v>
      </c>
      <c r="I2" s="1249" t="s">
        <v>1510</v>
      </c>
      <c r="J2" s="1249" t="s">
        <v>1770</v>
      </c>
      <c r="L2" s="90" t="s">
        <v>969</v>
      </c>
      <c r="M2" s="216">
        <v>442.9085533669101</v>
      </c>
      <c r="N2" s="90" t="s">
        <v>1965</v>
      </c>
      <c r="O2" s="49">
        <f>VLOOKUP(N2,'[2]climate data'!$A$78:$C$98,2,FALSE)</f>
        <v>0.1156127383885391</v>
      </c>
      <c r="P2" s="49">
        <f>VLOOKUP(N2,'[2]climate data'!$A$78:$C$98,3,FALSE)</f>
        <v>0.71609063965835096</v>
      </c>
    </row>
    <row r="3" spans="1:16">
      <c r="A3" t="s">
        <v>969</v>
      </c>
      <c r="B3" s="1606" t="s">
        <v>1526</v>
      </c>
      <c r="C3" s="1606" t="s">
        <v>1532</v>
      </c>
      <c r="D3" s="1606" t="s">
        <v>1526</v>
      </c>
      <c r="F3" s="1606" t="s">
        <v>1526</v>
      </c>
      <c r="G3" s="1788" t="s">
        <v>2311</v>
      </c>
      <c r="H3" s="1606" t="s">
        <v>1771</v>
      </c>
      <c r="L3" s="90" t="s">
        <v>1904</v>
      </c>
      <c r="M3" s="216">
        <v>444.82227287883893</v>
      </c>
      <c r="N3" s="90" t="s">
        <v>1965</v>
      </c>
      <c r="O3" s="49">
        <f>VLOOKUP(N3,'[2]climate data'!$A$78:$C$98,2,FALSE)</f>
        <v>0.1156127383885391</v>
      </c>
      <c r="P3" s="49">
        <f>VLOOKUP(N3,'[2]climate data'!$A$78:$C$98,3,FALSE)</f>
        <v>0.71609063965835096</v>
      </c>
    </row>
    <row r="4" spans="1:16">
      <c r="A4" t="s">
        <v>1384</v>
      </c>
      <c r="C4" s="1606" t="s">
        <v>1532</v>
      </c>
      <c r="G4" s="1788" t="s">
        <v>2311</v>
      </c>
      <c r="L4" s="90" t="s">
        <v>1384</v>
      </c>
      <c r="M4" s="216">
        <v>20.177695727524917</v>
      </c>
      <c r="N4" s="90" t="s">
        <v>1457</v>
      </c>
      <c r="O4" s="49">
        <f>VLOOKUP(N4,'[2]climate data'!$A$78:$C$98,2,FALSE)</f>
        <v>0.1225813667375014</v>
      </c>
      <c r="P4" s="49">
        <f>VLOOKUP(N4,'[2]climate data'!$A$78:$C$98,3,FALSE)</f>
        <v>0.69285821417858218</v>
      </c>
    </row>
    <row r="5" spans="1:16">
      <c r="A5" t="s">
        <v>970</v>
      </c>
      <c r="B5" s="1606" t="s">
        <v>1526</v>
      </c>
      <c r="C5" s="1606" t="s">
        <v>1532</v>
      </c>
      <c r="D5" s="1606" t="s">
        <v>1526</v>
      </c>
      <c r="F5" s="1606" t="s">
        <v>1529</v>
      </c>
      <c r="G5" s="1788" t="s">
        <v>2311</v>
      </c>
      <c r="H5" s="1606" t="s">
        <v>1772</v>
      </c>
      <c r="L5" s="90" t="s">
        <v>970</v>
      </c>
      <c r="M5" s="216">
        <v>88.648293025521681</v>
      </c>
      <c r="N5" s="90" t="s">
        <v>1457</v>
      </c>
      <c r="O5" s="49">
        <f>VLOOKUP(N5,'[2]climate data'!$A$78:$C$98,2,FALSE)</f>
        <v>0.1225813667375014</v>
      </c>
      <c r="P5" s="49">
        <f>VLOOKUP(N5,'[2]climate data'!$A$78:$C$98,3,FALSE)</f>
        <v>0.69285821417858218</v>
      </c>
    </row>
    <row r="6" spans="1:16">
      <c r="A6" t="s">
        <v>49</v>
      </c>
      <c r="B6" s="1606" t="s">
        <v>1526</v>
      </c>
      <c r="C6" s="1606" t="s">
        <v>1532</v>
      </c>
      <c r="D6" s="1606" t="s">
        <v>1526</v>
      </c>
      <c r="F6" s="1606" t="s">
        <v>1526</v>
      </c>
      <c r="G6" s="1788" t="s">
        <v>2311</v>
      </c>
      <c r="L6" s="90" t="s">
        <v>49</v>
      </c>
      <c r="M6" s="216">
        <v>13.289158983274513</v>
      </c>
      <c r="N6" s="90" t="s">
        <v>1446</v>
      </c>
      <c r="O6" s="49">
        <f>VLOOKUP(N6,'[2]climate data'!$A$78:$C$98,2,FALSE)</f>
        <v>0.14198449369566921</v>
      </c>
      <c r="P6" s="49">
        <f>VLOOKUP(N6,'[2]climate data'!$A$78:$C$98,3,FALSE)</f>
        <v>0.59817452341914179</v>
      </c>
    </row>
    <row r="7" spans="1:16">
      <c r="A7" t="s">
        <v>51</v>
      </c>
      <c r="B7" s="1606" t="s">
        <v>1526</v>
      </c>
      <c r="C7" s="1606" t="s">
        <v>1532</v>
      </c>
      <c r="D7" s="1606" t="s">
        <v>1526</v>
      </c>
      <c r="F7" s="1606" t="s">
        <v>1526</v>
      </c>
      <c r="G7" s="1788" t="s">
        <v>2311</v>
      </c>
      <c r="L7" s="90" t="s">
        <v>51</v>
      </c>
      <c r="M7" s="216">
        <v>20.218587016639269</v>
      </c>
      <c r="N7" s="90" t="s">
        <v>1446</v>
      </c>
      <c r="O7" s="49">
        <f>VLOOKUP(N7,'[2]climate data'!$A$78:$C$98,2,FALSE)</f>
        <v>0.14198449369566921</v>
      </c>
      <c r="P7" s="49">
        <f>VLOOKUP(N7,'[2]climate data'!$A$78:$C$98,3,FALSE)</f>
        <v>0.59817452341914179</v>
      </c>
    </row>
    <row r="8" spans="1:16">
      <c r="A8" t="s">
        <v>53</v>
      </c>
      <c r="B8" s="1606" t="s">
        <v>1526</v>
      </c>
      <c r="C8" s="1606" t="s">
        <v>1532</v>
      </c>
      <c r="D8" s="1606" t="s">
        <v>1526</v>
      </c>
      <c r="F8" s="1606" t="s">
        <v>1526</v>
      </c>
      <c r="G8" s="1788" t="s">
        <v>2311</v>
      </c>
      <c r="L8" s="90" t="s">
        <v>53</v>
      </c>
      <c r="M8" s="216">
        <v>142.96054150319543</v>
      </c>
      <c r="N8" s="90" t="s">
        <v>1905</v>
      </c>
      <c r="O8" s="49">
        <f>VLOOKUP(N8,'[2]climate data'!$A$78:$C$98,2,FALSE)</f>
        <v>0.11785345717234262</v>
      </c>
      <c r="P8" s="49">
        <f>VLOOKUP(N8,'[2]climate data'!$A$78:$C$98,3,FALSE)</f>
        <v>0.70929624594792429</v>
      </c>
    </row>
    <row r="9" spans="1:16">
      <c r="A9" t="s">
        <v>70</v>
      </c>
      <c r="B9" s="1606" t="s">
        <v>1526</v>
      </c>
      <c r="C9" s="1606" t="s">
        <v>1532</v>
      </c>
      <c r="D9" s="1606" t="s">
        <v>1526</v>
      </c>
      <c r="F9" s="1606" t="s">
        <v>1526</v>
      </c>
      <c r="G9" s="1788" t="s">
        <v>2311</v>
      </c>
      <c r="L9" s="90" t="s">
        <v>70</v>
      </c>
      <c r="M9" s="216">
        <v>127.27446929373245</v>
      </c>
      <c r="N9" s="90" t="s">
        <v>1460</v>
      </c>
      <c r="O9" s="49">
        <f>VLOOKUP(N9,'[2]climate data'!$A$78:$C$98,2,FALSE)</f>
        <v>0.13287016934433349</v>
      </c>
      <c r="P9" s="49">
        <f>VLOOKUP(N9,'[2]climate data'!$A$78:$C$98,3,FALSE)</f>
        <v>0.63740887486717346</v>
      </c>
    </row>
    <row r="10" spans="1:16">
      <c r="A10" t="s">
        <v>971</v>
      </c>
      <c r="B10" s="1606" t="s">
        <v>1526</v>
      </c>
      <c r="C10" s="1606" t="s">
        <v>1532</v>
      </c>
      <c r="D10" s="1606" t="s">
        <v>1529</v>
      </c>
      <c r="E10" s="1606" t="s">
        <v>1697</v>
      </c>
      <c r="F10" s="1606" t="s">
        <v>1529</v>
      </c>
      <c r="G10" s="1788" t="s">
        <v>2311</v>
      </c>
      <c r="H10" s="1606" t="s">
        <v>1773</v>
      </c>
      <c r="L10" s="90" t="s">
        <v>971</v>
      </c>
      <c r="M10" s="216">
        <v>40.825978730916852</v>
      </c>
      <c r="N10" s="90" t="s">
        <v>1907</v>
      </c>
      <c r="O10" s="49">
        <f>VLOOKUP(N10,'[2]climate data'!$A$78:$C$98,2,FALSE)</f>
        <v>0.15400143257146579</v>
      </c>
      <c r="P10" s="49">
        <f>VLOOKUP(N10,'[2]climate data'!$A$78:$C$98,3,FALSE)</f>
        <v>0.55149816096614435</v>
      </c>
    </row>
    <row r="11" spans="1:16">
      <c r="A11" t="s">
        <v>1377</v>
      </c>
      <c r="C11" s="1606" t="s">
        <v>1532</v>
      </c>
      <c r="G11" s="1788" t="s">
        <v>596</v>
      </c>
      <c r="L11" s="90" t="s">
        <v>1377</v>
      </c>
      <c r="M11" s="216">
        <v>141.50034634696996</v>
      </c>
      <c r="N11" s="90" t="s">
        <v>1932</v>
      </c>
      <c r="O11" s="49">
        <f>VLOOKUP(N11,'[2]climate data'!$A$78:$C$98,2,FALSE)</f>
        <v>0.15677321156773211</v>
      </c>
      <c r="P11" s="49">
        <f>VLOOKUP(N11,'[2]climate data'!$A$78:$C$98,3,FALSE)</f>
        <v>0.54174757281553398</v>
      </c>
    </row>
    <row r="12" spans="1:16">
      <c r="A12" t="s">
        <v>972</v>
      </c>
      <c r="B12" s="1606" t="s">
        <v>1526</v>
      </c>
      <c r="C12" s="1606" t="s">
        <v>1532</v>
      </c>
      <c r="D12" s="1606" t="s">
        <v>1529</v>
      </c>
      <c r="E12" s="1606" t="s">
        <v>1697</v>
      </c>
      <c r="F12" s="1606" t="s">
        <v>1529</v>
      </c>
      <c r="G12" s="1788" t="s">
        <v>597</v>
      </c>
      <c r="H12" s="1606" t="s">
        <v>1774</v>
      </c>
      <c r="L12" s="90" t="s">
        <v>972</v>
      </c>
      <c r="M12" s="216">
        <v>80.649638018905478</v>
      </c>
      <c r="N12" s="90" t="s">
        <v>1031</v>
      </c>
      <c r="O12" s="49">
        <f>VLOOKUP(N12,'[2]climate data'!$A$78:$C$98,2,FALSE)</f>
        <v>0.13850864553314121</v>
      </c>
      <c r="P12" s="49">
        <f>VLOOKUP(N12,'[2]climate data'!$A$78:$C$98,3,FALSE)</f>
        <v>0.61318559951547114</v>
      </c>
    </row>
    <row r="13" spans="1:16">
      <c r="A13" t="s">
        <v>1360</v>
      </c>
      <c r="C13" s="1606" t="s">
        <v>1532</v>
      </c>
      <c r="F13" s="1606" t="s">
        <v>1526</v>
      </c>
      <c r="G13" s="1788" t="s">
        <v>597</v>
      </c>
      <c r="L13" s="90" t="s">
        <v>1360</v>
      </c>
      <c r="M13" s="216">
        <v>23.057678243563775</v>
      </c>
      <c r="N13" s="90" t="s">
        <v>1457</v>
      </c>
      <c r="O13" s="49">
        <f>VLOOKUP(N13,'[2]climate data'!$A$78:$C$98,2,FALSE)</f>
        <v>0.1225813667375014</v>
      </c>
      <c r="P13" s="49">
        <f>VLOOKUP(N13,'[2]climate data'!$A$78:$C$98,3,FALSE)</f>
        <v>0.69285821417858218</v>
      </c>
    </row>
    <row r="14" spans="1:16">
      <c r="A14" t="s">
        <v>973</v>
      </c>
      <c r="B14" s="1606" t="s">
        <v>1526</v>
      </c>
      <c r="C14" s="1606" t="s">
        <v>1532</v>
      </c>
      <c r="D14" s="1606" t="s">
        <v>1529</v>
      </c>
      <c r="E14" s="1606" t="s">
        <v>1697</v>
      </c>
      <c r="F14" s="1606" t="s">
        <v>1529</v>
      </c>
      <c r="G14" s="1788" t="s">
        <v>597</v>
      </c>
      <c r="H14" s="1606" t="s">
        <v>1775</v>
      </c>
      <c r="L14" s="90" t="s">
        <v>1908</v>
      </c>
      <c r="M14" s="216">
        <v>27.066906567454019</v>
      </c>
      <c r="N14" s="90" t="s">
        <v>2284</v>
      </c>
      <c r="O14" s="49">
        <f>VLOOKUP(N14,'[2]climate data'!$A$78:$C$98,2,FALSE)</f>
        <v>0.1457497612225406</v>
      </c>
      <c r="P14" s="49">
        <f>VLOOKUP(N14,'[2]climate data'!$A$78:$C$98,3,FALSE)</f>
        <v>0.58272141331083149</v>
      </c>
    </row>
    <row r="15" spans="1:16">
      <c r="A15" t="s">
        <v>1574</v>
      </c>
      <c r="C15" s="1606" t="s">
        <v>1532</v>
      </c>
      <c r="G15" s="1788" t="s">
        <v>596</v>
      </c>
      <c r="L15" s="90" t="s">
        <v>973</v>
      </c>
      <c r="M15" s="216">
        <v>39.226799733768104</v>
      </c>
      <c r="N15" s="90" t="s">
        <v>1907</v>
      </c>
      <c r="O15" s="49">
        <f>VLOOKUP(N15,'[2]climate data'!$A$78:$C$98,2,FALSE)</f>
        <v>0.15400143257146579</v>
      </c>
      <c r="P15" s="49">
        <f>VLOOKUP(N15,'[2]climate data'!$A$78:$C$98,3,FALSE)</f>
        <v>0.55149816096614435</v>
      </c>
    </row>
    <row r="16" spans="1:16">
      <c r="A16" t="s">
        <v>30</v>
      </c>
      <c r="C16" s="1606" t="s">
        <v>1532</v>
      </c>
      <c r="G16" s="1788" t="s">
        <v>597</v>
      </c>
      <c r="L16" s="90" t="s">
        <v>1574</v>
      </c>
      <c r="M16" s="216">
        <v>147.78954158396905</v>
      </c>
      <c r="N16" s="90" t="s">
        <v>1445</v>
      </c>
      <c r="O16" s="49">
        <f>VLOOKUP(N16,'[2]climate data'!$A$78:$C$98,2,FALSE)</f>
        <v>0.12280701754385964</v>
      </c>
      <c r="P16" s="49">
        <f>VLOOKUP(N16,'[2]climate data'!$A$78:$C$98,3,FALSE)</f>
        <v>0.67315322283387025</v>
      </c>
    </row>
    <row r="17" spans="1:16">
      <c r="A17" t="s">
        <v>206</v>
      </c>
      <c r="C17" s="1606" t="s">
        <v>1532</v>
      </c>
      <c r="G17" s="1788" t="s">
        <v>597</v>
      </c>
      <c r="L17" s="90" t="s">
        <v>30</v>
      </c>
      <c r="M17" s="216">
        <v>128.32024390178705</v>
      </c>
      <c r="N17" s="90" t="s">
        <v>1458</v>
      </c>
      <c r="O17" s="49">
        <f>VLOOKUP(N17,'[2]climate data'!$A$78:$C$98,2,FALSE)</f>
        <v>0.13295201779472512</v>
      </c>
      <c r="P17" s="49">
        <f>VLOOKUP(N17,'[2]climate data'!$A$78:$C$98,3,FALSE)</f>
        <v>0.62933706629337072</v>
      </c>
    </row>
    <row r="18" spans="1:16">
      <c r="A18" t="s">
        <v>974</v>
      </c>
      <c r="C18" s="1606" t="s">
        <v>1532</v>
      </c>
      <c r="G18" s="1788" t="s">
        <v>596</v>
      </c>
      <c r="L18" s="90" t="s">
        <v>206</v>
      </c>
      <c r="M18" s="216">
        <v>84.851743798230856</v>
      </c>
      <c r="N18" s="90" t="s">
        <v>1907</v>
      </c>
      <c r="O18" s="49">
        <f>VLOOKUP(N18,'[2]climate data'!$A$78:$C$98,2,FALSE)</f>
        <v>0.15400143257146579</v>
      </c>
      <c r="P18" s="49">
        <f>VLOOKUP(N18,'[2]climate data'!$A$78:$C$98,3,FALSE)</f>
        <v>0.55149816096614435</v>
      </c>
    </row>
    <row r="19" spans="1:16">
      <c r="A19" t="s">
        <v>292</v>
      </c>
      <c r="C19" s="1606" t="s">
        <v>1532</v>
      </c>
      <c r="G19" s="1788" t="s">
        <v>596</v>
      </c>
      <c r="L19" s="90" t="s">
        <v>974</v>
      </c>
      <c r="M19" s="216">
        <v>13.366504964427541</v>
      </c>
      <c r="N19" s="90" t="s">
        <v>2285</v>
      </c>
      <c r="O19" s="49">
        <f>VLOOKUP(N19,'[2]climate data'!$A$78:$C$98,2,FALSE)</f>
        <v>0.13135118623358111</v>
      </c>
      <c r="P19" s="49">
        <f>VLOOKUP(N19,'[2]climate data'!$A$78:$C$98,3,FALSE)</f>
        <v>0.64659870447063827</v>
      </c>
    </row>
    <row r="20" spans="1:16">
      <c r="A20" t="s">
        <v>975</v>
      </c>
      <c r="C20" s="1606" t="s">
        <v>1532</v>
      </c>
      <c r="G20" s="1788" t="s">
        <v>596</v>
      </c>
      <c r="L20" s="90" t="s">
        <v>292</v>
      </c>
      <c r="M20" s="216">
        <v>0</v>
      </c>
      <c r="N20" s="90" t="s">
        <v>2284</v>
      </c>
      <c r="O20" s="49">
        <f>VLOOKUP(N20,'[2]climate data'!$A$78:$C$98,2,FALSE)</f>
        <v>0.1457497612225406</v>
      </c>
      <c r="P20" s="49">
        <f>VLOOKUP(N20,'[2]climate data'!$A$78:$C$98,3,FALSE)</f>
        <v>0.58272141331083149</v>
      </c>
    </row>
    <row r="21" spans="1:16">
      <c r="A21" t="s">
        <v>1385</v>
      </c>
      <c r="B21" s="1606" t="s">
        <v>1526</v>
      </c>
      <c r="C21" s="1606" t="s">
        <v>1532</v>
      </c>
      <c r="D21" s="1606" t="s">
        <v>1526</v>
      </c>
      <c r="F21" s="1606" t="s">
        <v>1526</v>
      </c>
      <c r="G21" s="1788" t="s">
        <v>2312</v>
      </c>
      <c r="H21" s="1606" t="s">
        <v>1776</v>
      </c>
      <c r="L21" s="90" t="s">
        <v>975</v>
      </c>
      <c r="M21" s="216">
        <v>101.58632092234899</v>
      </c>
      <c r="N21" s="90" t="s">
        <v>1912</v>
      </c>
      <c r="O21" s="49">
        <f>VLOOKUP(N21,'[2]climate data'!$A$78:$C$98,2,FALSE)</f>
        <v>0.15764546684709066</v>
      </c>
      <c r="P21" s="49">
        <f>VLOOKUP(N21,'[2]climate data'!$A$78:$C$98,3,FALSE)</f>
        <v>0.53875007349050508</v>
      </c>
    </row>
    <row r="22" spans="1:16">
      <c r="A22" t="s">
        <v>40</v>
      </c>
      <c r="C22" s="1606" t="s">
        <v>1532</v>
      </c>
      <c r="G22" s="1788" t="s">
        <v>596</v>
      </c>
      <c r="L22" s="90" t="s">
        <v>1385</v>
      </c>
      <c r="M22" s="216">
        <v>98.00414282955127</v>
      </c>
      <c r="N22" s="90" t="s">
        <v>1446</v>
      </c>
      <c r="O22" s="49">
        <f>VLOOKUP(N22,'[2]climate data'!$A$78:$C$98,2,FALSE)</f>
        <v>0.14198449369566921</v>
      </c>
      <c r="P22" s="49">
        <f>VLOOKUP(N22,'[2]climate data'!$A$78:$C$98,3,FALSE)</f>
        <v>0.59817452341914179</v>
      </c>
    </row>
    <row r="23" spans="1:16">
      <c r="A23" t="s">
        <v>115</v>
      </c>
      <c r="B23" s="1606" t="s">
        <v>1529</v>
      </c>
      <c r="C23" s="1606" t="s">
        <v>1532</v>
      </c>
      <c r="D23" s="1606" t="s">
        <v>1529</v>
      </c>
      <c r="E23" s="1606" t="s">
        <v>1697</v>
      </c>
      <c r="F23" s="1606" t="s">
        <v>1526</v>
      </c>
      <c r="G23" s="1788" t="s">
        <v>2311</v>
      </c>
      <c r="J23" s="1606" t="s">
        <v>1777</v>
      </c>
      <c r="L23" s="90" t="s">
        <v>40</v>
      </c>
      <c r="M23" s="216">
        <v>55.948459797897947</v>
      </c>
      <c r="N23" s="90" t="s">
        <v>1453</v>
      </c>
      <c r="O23" s="49">
        <f>VLOOKUP(N23,'[2]climate data'!$A$78:$C$98,2,FALSE)</f>
        <v>0.14217401446232797</v>
      </c>
      <c r="P23" s="49">
        <f>VLOOKUP(N23,'[2]climate data'!$A$78:$C$98,3,FALSE)</f>
        <v>0.59737714497623251</v>
      </c>
    </row>
    <row r="24" spans="1:16">
      <c r="A24" t="s">
        <v>71</v>
      </c>
      <c r="B24" s="1606" t="s">
        <v>1529</v>
      </c>
      <c r="C24" s="1606" t="s">
        <v>1532</v>
      </c>
      <c r="D24" s="1606" t="s">
        <v>1529</v>
      </c>
      <c r="F24" s="1606" t="s">
        <v>1526</v>
      </c>
      <c r="G24" s="1788" t="s">
        <v>2312</v>
      </c>
      <c r="L24" s="90" t="s">
        <v>115</v>
      </c>
      <c r="M24" s="216">
        <v>0</v>
      </c>
      <c r="N24" s="90" t="s">
        <v>1914</v>
      </c>
      <c r="O24" s="49">
        <f>VLOOKUP(N24,'[2]climate data'!$A$78:$C$98,2,FALSE)</f>
        <v>0.13416220905016626</v>
      </c>
      <c r="P24" s="49">
        <f>VLOOKUP(N24,'[2]climate data'!$A$78:$C$98,3,FALSE)</f>
        <v>0.63305089749645727</v>
      </c>
    </row>
    <row r="25" spans="1:16">
      <c r="A25" t="s">
        <v>398</v>
      </c>
      <c r="B25" s="1606" t="s">
        <v>1526</v>
      </c>
      <c r="C25" s="1606" t="s">
        <v>1532</v>
      </c>
      <c r="D25" s="1606" t="s">
        <v>1526</v>
      </c>
      <c r="F25" s="1606" t="s">
        <v>1526</v>
      </c>
      <c r="G25" s="1788" t="s">
        <v>2312</v>
      </c>
      <c r="H25" s="1606" t="s">
        <v>1778</v>
      </c>
      <c r="L25" s="90" t="s">
        <v>1386</v>
      </c>
      <c r="M25" s="216">
        <v>10.076581061461027</v>
      </c>
      <c r="N25" s="90" t="s">
        <v>1457</v>
      </c>
      <c r="O25" s="49">
        <f>VLOOKUP(N25,'[2]climate data'!$A$78:$C$98,2,FALSE)</f>
        <v>0.1225813667375014</v>
      </c>
      <c r="P25" s="49">
        <f>VLOOKUP(N25,'[2]climate data'!$A$78:$C$98,3,FALSE)</f>
        <v>0.69285821417858218</v>
      </c>
    </row>
    <row r="26" spans="1:16">
      <c r="A26" t="s">
        <v>24</v>
      </c>
      <c r="B26" s="1606" t="s">
        <v>1526</v>
      </c>
      <c r="C26" s="1606" t="s">
        <v>1532</v>
      </c>
      <c r="D26" s="1606" t="s">
        <v>1526</v>
      </c>
      <c r="F26" s="1606" t="s">
        <v>1526</v>
      </c>
      <c r="G26" s="1788" t="s">
        <v>2312</v>
      </c>
      <c r="L26" s="90" t="s">
        <v>71</v>
      </c>
      <c r="M26" s="216">
        <v>76.947170551624438</v>
      </c>
      <c r="N26" s="90" t="s">
        <v>1914</v>
      </c>
      <c r="O26" s="49">
        <f>VLOOKUP(N26,'[2]climate data'!$A$78:$C$98,2,FALSE)</f>
        <v>0.13416220905016626</v>
      </c>
      <c r="P26" s="49">
        <f>VLOOKUP(N26,'[2]climate data'!$A$78:$C$98,3,FALSE)</f>
        <v>0.63305089749645727</v>
      </c>
    </row>
    <row r="27" spans="1:16">
      <c r="A27" t="s">
        <v>117</v>
      </c>
      <c r="B27" s="1606" t="s">
        <v>1526</v>
      </c>
      <c r="C27" s="1606" t="s">
        <v>1532</v>
      </c>
      <c r="D27" s="1606" t="s">
        <v>1526</v>
      </c>
      <c r="F27" s="1606" t="s">
        <v>1526</v>
      </c>
      <c r="G27" s="1788" t="s">
        <v>2312</v>
      </c>
      <c r="L27" s="90" t="s">
        <v>398</v>
      </c>
      <c r="M27" s="216">
        <v>178.77949847828728</v>
      </c>
      <c r="N27" s="90" t="s">
        <v>1907</v>
      </c>
      <c r="O27" s="49">
        <f>VLOOKUP(N27,'[2]climate data'!$A$78:$C$98,2,FALSE)</f>
        <v>0.15400143257146579</v>
      </c>
      <c r="P27" s="49">
        <f>VLOOKUP(N27,'[2]climate data'!$A$78:$C$98,3,FALSE)</f>
        <v>0.55149816096614435</v>
      </c>
    </row>
    <row r="28" spans="1:16">
      <c r="A28" t="s">
        <v>207</v>
      </c>
      <c r="C28" s="1606" t="s">
        <v>1532</v>
      </c>
      <c r="G28" s="1788" t="s">
        <v>2312</v>
      </c>
      <c r="L28" s="90" t="s">
        <v>24</v>
      </c>
      <c r="M28" s="216">
        <v>374.40215706436049</v>
      </c>
      <c r="N28" s="90" t="s">
        <v>1965</v>
      </c>
      <c r="O28" s="49">
        <f>VLOOKUP(N28,'[2]climate data'!$A$78:$C$98,2,FALSE)</f>
        <v>0.1156127383885391</v>
      </c>
      <c r="P28" s="49">
        <f>VLOOKUP(N28,'[2]climate data'!$A$78:$C$98,3,FALSE)</f>
        <v>0.71609063965835096</v>
      </c>
    </row>
    <row r="29" spans="1:16">
      <c r="A29" t="s">
        <v>1486</v>
      </c>
      <c r="G29" s="1788" t="s">
        <v>2312</v>
      </c>
      <c r="L29" s="90" t="s">
        <v>117</v>
      </c>
      <c r="M29" s="216">
        <v>17.456405452253851</v>
      </c>
      <c r="N29" s="90" t="s">
        <v>1446</v>
      </c>
      <c r="O29" s="49">
        <f>VLOOKUP(N29,'[2]climate data'!$A$78:$C$98,2,FALSE)</f>
        <v>0.14198449369566921</v>
      </c>
      <c r="P29" s="49">
        <f>VLOOKUP(N29,'[2]climate data'!$A$78:$C$98,3,FALSE)</f>
        <v>0.59817452341914179</v>
      </c>
    </row>
    <row r="30" spans="1:16">
      <c r="A30" t="s">
        <v>977</v>
      </c>
      <c r="C30" s="1606" t="s">
        <v>1532</v>
      </c>
      <c r="G30" s="1788" t="s">
        <v>596</v>
      </c>
      <c r="L30" s="90" t="s">
        <v>207</v>
      </c>
      <c r="M30" s="216">
        <v>57.728042516701557</v>
      </c>
      <c r="N30" s="90" t="s">
        <v>1445</v>
      </c>
      <c r="O30" s="49">
        <f>VLOOKUP(N30,'[2]climate data'!$A$78:$C$98,2,FALSE)</f>
        <v>0.12280701754385964</v>
      </c>
      <c r="P30" s="49">
        <f>VLOOKUP(N30,'[2]climate data'!$A$78:$C$98,3,FALSE)</f>
        <v>0.67315322283387025</v>
      </c>
    </row>
    <row r="31" spans="1:16">
      <c r="A31" t="s">
        <v>1387</v>
      </c>
      <c r="C31" s="1606" t="s">
        <v>1532</v>
      </c>
      <c r="F31" s="1606" t="s">
        <v>1526</v>
      </c>
      <c r="G31" s="1788" t="s">
        <v>2312</v>
      </c>
      <c r="L31" s="90" t="s">
        <v>1486</v>
      </c>
      <c r="M31" s="216">
        <v>717.95545152432646</v>
      </c>
      <c r="N31" s="90" t="s">
        <v>1965</v>
      </c>
      <c r="O31" s="49">
        <f>VLOOKUP(N31,'[2]climate data'!$A$78:$C$98,2,FALSE)</f>
        <v>0.1156127383885391</v>
      </c>
      <c r="P31" s="49">
        <f>VLOOKUP(N31,'[2]climate data'!$A$78:$C$98,3,FALSE)</f>
        <v>0.71609063965835096</v>
      </c>
    </row>
    <row r="32" spans="1:16">
      <c r="A32" t="s">
        <v>1578</v>
      </c>
      <c r="C32" s="1606" t="s">
        <v>1532</v>
      </c>
      <c r="G32" s="1788" t="s">
        <v>596</v>
      </c>
      <c r="L32" s="90" t="s">
        <v>977</v>
      </c>
      <c r="M32" s="216">
        <v>10.523181065485602</v>
      </c>
      <c r="N32" s="90" t="s">
        <v>1453</v>
      </c>
      <c r="O32" s="49">
        <f>VLOOKUP(N32,'[2]climate data'!$A$78:$C$98,2,FALSE)</f>
        <v>0.14217401446232797</v>
      </c>
      <c r="P32" s="49">
        <f>VLOOKUP(N32,'[2]climate data'!$A$78:$C$98,3,FALSE)</f>
        <v>0.59737714497623251</v>
      </c>
    </row>
    <row r="33" spans="1:16">
      <c r="A33" t="s">
        <v>978</v>
      </c>
      <c r="C33" s="1606" t="s">
        <v>1532</v>
      </c>
      <c r="G33" s="1788" t="s">
        <v>2312</v>
      </c>
      <c r="L33" s="90" t="s">
        <v>1387</v>
      </c>
      <c r="M33" s="216">
        <v>89.716949825050932</v>
      </c>
      <c r="N33" s="90" t="s">
        <v>1457</v>
      </c>
      <c r="O33" s="49">
        <f>VLOOKUP(N33,'[2]climate data'!$A$78:$C$98,2,FALSE)</f>
        <v>0.1225813667375014</v>
      </c>
      <c r="P33" s="49">
        <f>VLOOKUP(N33,'[2]climate data'!$A$78:$C$98,3,FALSE)</f>
        <v>0.69285821417858218</v>
      </c>
    </row>
    <row r="34" spans="1:16">
      <c r="A34" t="s">
        <v>1579</v>
      </c>
      <c r="C34" s="1606" t="s">
        <v>1532</v>
      </c>
      <c r="G34" s="1788" t="s">
        <v>596</v>
      </c>
      <c r="L34" s="90" t="s">
        <v>1578</v>
      </c>
      <c r="M34" s="216">
        <v>65.347653872375318</v>
      </c>
      <c r="N34" s="90" t="s">
        <v>1912</v>
      </c>
      <c r="O34" s="49">
        <f>VLOOKUP(N34,'[2]climate data'!$A$78:$C$98,2,FALSE)</f>
        <v>0.15764546684709066</v>
      </c>
      <c r="P34" s="49">
        <f>VLOOKUP(N34,'[2]climate data'!$A$78:$C$98,3,FALSE)</f>
        <v>0.53875007349050508</v>
      </c>
    </row>
    <row r="35" spans="1:16">
      <c r="A35" t="s">
        <v>119</v>
      </c>
      <c r="B35" s="1606" t="s">
        <v>1529</v>
      </c>
      <c r="C35" s="1606" t="s">
        <v>1532</v>
      </c>
      <c r="D35" s="1606" t="s">
        <v>1529</v>
      </c>
      <c r="E35" s="1606" t="s">
        <v>1697</v>
      </c>
      <c r="F35" s="1606" t="s">
        <v>1529</v>
      </c>
      <c r="G35" s="1788" t="s">
        <v>2312</v>
      </c>
      <c r="H35" s="1606" t="s">
        <v>1779</v>
      </c>
      <c r="L35" s="90" t="s">
        <v>978</v>
      </c>
      <c r="M35" s="216">
        <v>5.8993697166442871E-5</v>
      </c>
      <c r="N35" s="90" t="s">
        <v>1445</v>
      </c>
      <c r="O35" s="49">
        <f>VLOOKUP(N35,'[2]climate data'!$A$78:$C$98,2,FALSE)</f>
        <v>0.12280701754385964</v>
      </c>
      <c r="P35" s="49">
        <f>VLOOKUP(N35,'[2]climate data'!$A$78:$C$98,3,FALSE)</f>
        <v>0.67315322283387025</v>
      </c>
    </row>
    <row r="36" spans="1:16">
      <c r="A36" t="s">
        <v>1512</v>
      </c>
      <c r="G36" s="1788" t="s">
        <v>2312</v>
      </c>
      <c r="L36" s="90" t="s">
        <v>1579</v>
      </c>
      <c r="M36" s="216">
        <v>74.291506480408486</v>
      </c>
      <c r="N36" s="90" t="s">
        <v>2284</v>
      </c>
      <c r="O36" s="49">
        <f>VLOOKUP(N36,'[2]climate data'!$A$78:$C$98,2,FALSE)</f>
        <v>0.1457497612225406</v>
      </c>
      <c r="P36" s="49">
        <f>VLOOKUP(N36,'[2]climate data'!$A$78:$C$98,3,FALSE)</f>
        <v>0.58272141331083149</v>
      </c>
    </row>
    <row r="37" spans="1:16">
      <c r="A37" t="s">
        <v>1487</v>
      </c>
      <c r="C37" s="1606" t="s">
        <v>1532</v>
      </c>
      <c r="G37" s="1788" t="s">
        <v>596</v>
      </c>
      <c r="L37" s="90" t="s">
        <v>119</v>
      </c>
      <c r="M37" s="216">
        <v>119.25900664525491</v>
      </c>
      <c r="N37" s="90" t="s">
        <v>1907</v>
      </c>
      <c r="O37" s="49">
        <f>VLOOKUP(N37,'[2]climate data'!$A$78:$C$98,2,FALSE)</f>
        <v>0.15400143257146579</v>
      </c>
      <c r="P37" s="49">
        <f>VLOOKUP(N37,'[2]climate data'!$A$78:$C$98,3,FALSE)</f>
        <v>0.55149816096614435</v>
      </c>
    </row>
    <row r="38" spans="1:16">
      <c r="A38" t="s">
        <v>26</v>
      </c>
      <c r="B38" s="1606" t="s">
        <v>1529</v>
      </c>
      <c r="C38" s="1606" t="s">
        <v>1532</v>
      </c>
      <c r="D38" s="1606" t="s">
        <v>1526</v>
      </c>
      <c r="E38" s="1606" t="s">
        <v>1697</v>
      </c>
      <c r="F38" s="1606" t="s">
        <v>1529</v>
      </c>
      <c r="G38" s="1788" t="s">
        <v>2312</v>
      </c>
      <c r="H38" s="1606" t="s">
        <v>1780</v>
      </c>
      <c r="L38" s="90" t="s">
        <v>1512</v>
      </c>
      <c r="M38" s="216">
        <v>28.24562555181247</v>
      </c>
      <c r="N38" s="90" t="s">
        <v>1905</v>
      </c>
      <c r="O38" s="49">
        <f>VLOOKUP(N38,'[2]climate data'!$A$78:$C$98,2,FALSE)</f>
        <v>0.11785345717234262</v>
      </c>
      <c r="P38" s="49">
        <f>VLOOKUP(N38,'[2]climate data'!$A$78:$C$98,3,FALSE)</f>
        <v>0.70929624594792429</v>
      </c>
    </row>
    <row r="39" spans="1:16">
      <c r="A39" t="s">
        <v>979</v>
      </c>
      <c r="B39" s="1606" t="s">
        <v>1529</v>
      </c>
      <c r="C39" s="1606" t="s">
        <v>1532</v>
      </c>
      <c r="D39" s="1606" t="s">
        <v>1529</v>
      </c>
      <c r="F39" s="1606" t="s">
        <v>1526</v>
      </c>
      <c r="G39" s="1788" t="s">
        <v>2312</v>
      </c>
      <c r="L39" s="90" t="s">
        <v>1487</v>
      </c>
      <c r="M39" s="216">
        <v>38.349641697739763</v>
      </c>
      <c r="N39" s="90" t="s">
        <v>2284</v>
      </c>
      <c r="O39" s="49">
        <f>VLOOKUP(N39,'[2]climate data'!$A$78:$C$98,2,FALSE)</f>
        <v>0.1457497612225406</v>
      </c>
      <c r="P39" s="49">
        <f>VLOOKUP(N39,'[2]climate data'!$A$78:$C$98,3,FALSE)</f>
        <v>0.58272141331083149</v>
      </c>
    </row>
    <row r="40" spans="1:16">
      <c r="A40" t="s">
        <v>1361</v>
      </c>
      <c r="C40" s="1606" t="s">
        <v>1532</v>
      </c>
      <c r="G40" s="1788" t="s">
        <v>596</v>
      </c>
      <c r="L40" s="90" t="s">
        <v>26</v>
      </c>
      <c r="M40" s="216">
        <v>0</v>
      </c>
      <c r="N40" s="90" t="s">
        <v>1446</v>
      </c>
      <c r="O40" s="49">
        <f>VLOOKUP(N40,'[2]climate data'!$A$78:$C$98,2,FALSE)</f>
        <v>0.14198449369566921</v>
      </c>
      <c r="P40" s="49">
        <f>VLOOKUP(N40,'[2]climate data'!$A$78:$C$98,3,FALSE)</f>
        <v>0.59817452341914179</v>
      </c>
    </row>
    <row r="41" spans="1:16">
      <c r="A41" t="s">
        <v>980</v>
      </c>
      <c r="C41" s="1606" t="s">
        <v>1532</v>
      </c>
      <c r="G41" s="1788" t="s">
        <v>596</v>
      </c>
      <c r="L41" s="90" t="s">
        <v>979</v>
      </c>
      <c r="M41" s="216">
        <v>5.8993697166442871E-5</v>
      </c>
      <c r="N41" s="90" t="s">
        <v>1907</v>
      </c>
      <c r="O41" s="49">
        <f>VLOOKUP(N41,'[2]climate data'!$A$78:$C$98,2,FALSE)</f>
        <v>0.15400143257146579</v>
      </c>
      <c r="P41" s="49">
        <f>VLOOKUP(N41,'[2]climate data'!$A$78:$C$98,3,FALSE)</f>
        <v>0.55149816096614435</v>
      </c>
    </row>
    <row r="42" spans="1:16">
      <c r="A42" t="s">
        <v>1519</v>
      </c>
      <c r="C42" s="1606" t="s">
        <v>1532</v>
      </c>
      <c r="G42" s="1788" t="s">
        <v>596</v>
      </c>
      <c r="L42" s="90" t="s">
        <v>1361</v>
      </c>
      <c r="M42" s="216">
        <v>0</v>
      </c>
      <c r="N42" s="90" t="s">
        <v>1912</v>
      </c>
      <c r="O42" s="49">
        <f>VLOOKUP(N42,'[2]climate data'!$A$78:$C$98,2,FALSE)</f>
        <v>0.15764546684709066</v>
      </c>
      <c r="P42" s="49">
        <f>VLOOKUP(N42,'[2]climate data'!$A$78:$C$98,3,FALSE)</f>
        <v>0.53875007349050508</v>
      </c>
    </row>
    <row r="43" spans="1:16">
      <c r="A43" t="s">
        <v>399</v>
      </c>
      <c r="B43" s="1606" t="s">
        <v>1515</v>
      </c>
      <c r="C43" s="1606" t="s">
        <v>1532</v>
      </c>
      <c r="D43" s="1606" t="s">
        <v>1529</v>
      </c>
      <c r="F43" s="1606" t="s">
        <v>1526</v>
      </c>
      <c r="G43" s="1788" t="s">
        <v>2312</v>
      </c>
      <c r="H43" s="1606" t="s">
        <v>1778</v>
      </c>
      <c r="L43" s="90" t="s">
        <v>980</v>
      </c>
      <c r="M43" s="216">
        <v>22.500295481132255</v>
      </c>
      <c r="N43" s="90" t="s">
        <v>2284</v>
      </c>
      <c r="O43" s="49">
        <f>VLOOKUP(N43,'[2]climate data'!$A$78:$C$98,2,FALSE)</f>
        <v>0.1457497612225406</v>
      </c>
      <c r="P43" s="49">
        <f>VLOOKUP(N43,'[2]climate data'!$A$78:$C$98,3,FALSE)</f>
        <v>0.58272141331083149</v>
      </c>
    </row>
    <row r="44" spans="1:16">
      <c r="A44" t="s">
        <v>72</v>
      </c>
      <c r="B44" s="1606" t="s">
        <v>1526</v>
      </c>
      <c r="C44" s="1606" t="s">
        <v>1532</v>
      </c>
      <c r="G44" s="1788" t="s">
        <v>2312</v>
      </c>
      <c r="L44" s="90" t="s">
        <v>1918</v>
      </c>
      <c r="M44" s="216">
        <v>196.12134388586207</v>
      </c>
      <c r="N44" s="90" t="s">
        <v>1453</v>
      </c>
      <c r="O44" s="49">
        <f>VLOOKUP(N44,'[2]climate data'!$A$78:$C$98,2,FALSE)</f>
        <v>0.14217401446232797</v>
      </c>
      <c r="P44" s="49">
        <f>VLOOKUP(N44,'[2]climate data'!$A$78:$C$98,3,FALSE)</f>
        <v>0.59737714497623251</v>
      </c>
    </row>
    <row r="45" spans="1:16">
      <c r="A45" t="s">
        <v>41</v>
      </c>
      <c r="C45" s="1606" t="s">
        <v>1532</v>
      </c>
      <c r="G45" s="1788" t="s">
        <v>2312</v>
      </c>
      <c r="L45" s="90" t="s">
        <v>1519</v>
      </c>
      <c r="M45" s="216">
        <v>103.55563657753051</v>
      </c>
      <c r="N45" s="90" t="s">
        <v>1964</v>
      </c>
      <c r="O45" s="49">
        <f>VLOOKUP(N45,'[2]climate data'!$A$78:$C$98,2,FALSE)</f>
        <v>0.13927272727272727</v>
      </c>
      <c r="P45" s="49">
        <f>VLOOKUP(N45,'[2]climate data'!$A$78:$C$98,3,FALSE)</f>
        <v>0.60982152437497761</v>
      </c>
    </row>
    <row r="46" spans="1:16">
      <c r="A46" t="s">
        <v>1580</v>
      </c>
      <c r="C46" s="1606" t="s">
        <v>1532</v>
      </c>
      <c r="G46" s="1788" t="s">
        <v>2312</v>
      </c>
      <c r="L46" s="90" t="s">
        <v>399</v>
      </c>
      <c r="M46" s="216">
        <v>146.19747007204288</v>
      </c>
      <c r="N46" s="90" t="s">
        <v>1912</v>
      </c>
      <c r="O46" s="49">
        <f>VLOOKUP(N46,'[2]climate data'!$A$78:$C$98,2,FALSE)</f>
        <v>0.15764546684709066</v>
      </c>
      <c r="P46" s="49">
        <f>VLOOKUP(N46,'[2]climate data'!$A$78:$C$98,3,FALSE)</f>
        <v>0.53875007349050508</v>
      </c>
    </row>
    <row r="47" spans="1:16">
      <c r="A47" t="s">
        <v>1581</v>
      </c>
      <c r="C47" s="1606" t="s">
        <v>1532</v>
      </c>
      <c r="G47" s="1788" t="s">
        <v>596</v>
      </c>
      <c r="L47" s="90" t="s">
        <v>1920</v>
      </c>
      <c r="M47" s="216">
        <v>18.744877383460889</v>
      </c>
      <c r="N47" s="90" t="s">
        <v>2284</v>
      </c>
      <c r="O47" s="49">
        <f>VLOOKUP(N47,'[2]climate data'!$A$78:$C$98,2,FALSE)</f>
        <v>0.1457497612225406</v>
      </c>
      <c r="P47" s="49">
        <f>VLOOKUP(N47,'[2]climate data'!$A$78:$C$98,3,FALSE)</f>
        <v>0.58272141331083149</v>
      </c>
    </row>
    <row r="48" spans="1:16">
      <c r="A48" t="s">
        <v>983</v>
      </c>
      <c r="C48" s="1606" t="s">
        <v>1532</v>
      </c>
      <c r="G48" s="1788" t="s">
        <v>2312</v>
      </c>
      <c r="L48" s="90" t="s">
        <v>982</v>
      </c>
      <c r="M48" s="216">
        <v>145.78979503791615</v>
      </c>
      <c r="N48" s="90" t="s">
        <v>1912</v>
      </c>
      <c r="O48" s="49">
        <f>VLOOKUP(N48,'[2]climate data'!$A$78:$C$98,2,FALSE)</f>
        <v>0.15764546684709066</v>
      </c>
      <c r="P48" s="49">
        <f>VLOOKUP(N48,'[2]climate data'!$A$78:$C$98,3,FALSE)</f>
        <v>0.53875007349050508</v>
      </c>
    </row>
    <row r="49" spans="1:16">
      <c r="A49" t="s">
        <v>984</v>
      </c>
      <c r="C49" s="1606" t="s">
        <v>1532</v>
      </c>
      <c r="G49" s="1788" t="s">
        <v>596</v>
      </c>
      <c r="L49" s="90" t="s">
        <v>72</v>
      </c>
      <c r="M49" s="216">
        <v>66.179476607713497</v>
      </c>
      <c r="N49" s="90" t="s">
        <v>1460</v>
      </c>
      <c r="O49" s="49">
        <f>VLOOKUP(N49,'[2]climate data'!$A$78:$C$98,2,FALSE)</f>
        <v>0.13287016934433349</v>
      </c>
      <c r="P49" s="49">
        <f>VLOOKUP(N49,'[2]climate data'!$A$78:$C$98,3,FALSE)</f>
        <v>0.63740887486717346</v>
      </c>
    </row>
    <row r="50" spans="1:16">
      <c r="A50" t="s">
        <v>123</v>
      </c>
      <c r="B50" s="1606" t="s">
        <v>1529</v>
      </c>
      <c r="C50" s="1606" t="s">
        <v>1532</v>
      </c>
      <c r="D50" s="1606" t="s">
        <v>1529</v>
      </c>
      <c r="F50" s="1606" t="s">
        <v>1526</v>
      </c>
      <c r="G50" s="1788" t="s">
        <v>2312</v>
      </c>
      <c r="L50" s="90" t="s">
        <v>41</v>
      </c>
      <c r="M50" s="216">
        <v>75.176758246944729</v>
      </c>
      <c r="N50" s="90" t="s">
        <v>1458</v>
      </c>
      <c r="O50" s="49">
        <f>VLOOKUP(N50,'[2]climate data'!$A$78:$C$98,2,FALSE)</f>
        <v>0.13295201779472512</v>
      </c>
      <c r="P50" s="49">
        <f>VLOOKUP(N50,'[2]climate data'!$A$78:$C$98,3,FALSE)</f>
        <v>0.62933706629337072</v>
      </c>
    </row>
    <row r="51" spans="1:16">
      <c r="A51" t="s">
        <v>985</v>
      </c>
      <c r="B51" s="1606" t="s">
        <v>1515</v>
      </c>
      <c r="C51" s="1606" t="s">
        <v>1532</v>
      </c>
      <c r="D51" s="1606" t="s">
        <v>1529</v>
      </c>
      <c r="E51" s="1606" t="s">
        <v>1697</v>
      </c>
      <c r="F51" s="1606" t="s">
        <v>1529</v>
      </c>
      <c r="G51" s="1788" t="s">
        <v>2312</v>
      </c>
      <c r="H51" s="1606" t="s">
        <v>1781</v>
      </c>
      <c r="L51" s="90" t="s">
        <v>1580</v>
      </c>
      <c r="M51" s="216">
        <v>43.915895066777523</v>
      </c>
      <c r="N51" s="90" t="s">
        <v>2284</v>
      </c>
      <c r="O51" s="49">
        <f>VLOOKUP(N51,'[2]climate data'!$A$78:$C$98,2,FALSE)</f>
        <v>0.1457497612225406</v>
      </c>
      <c r="P51" s="49">
        <f>VLOOKUP(N51,'[2]climate data'!$A$78:$C$98,3,FALSE)</f>
        <v>0.58272141331083149</v>
      </c>
    </row>
    <row r="52" spans="1:16">
      <c r="A52" t="s">
        <v>1520</v>
      </c>
      <c r="C52" s="1606" t="s">
        <v>1532</v>
      </c>
      <c r="G52" s="1788" t="s">
        <v>2312</v>
      </c>
      <c r="L52" s="90" t="s">
        <v>1581</v>
      </c>
      <c r="M52" s="216">
        <v>36.8121610592328</v>
      </c>
      <c r="N52" s="90" t="s">
        <v>2284</v>
      </c>
      <c r="O52" s="49">
        <f>VLOOKUP(N52,'[2]climate data'!$A$78:$C$98,2,FALSE)</f>
        <v>0.1457497612225406</v>
      </c>
      <c r="P52" s="49">
        <f>VLOOKUP(N52,'[2]climate data'!$A$78:$C$98,3,FALSE)</f>
        <v>0.58272141331083149</v>
      </c>
    </row>
    <row r="53" spans="1:16">
      <c r="A53" t="s">
        <v>1362</v>
      </c>
      <c r="C53" s="1606" t="s">
        <v>1532</v>
      </c>
      <c r="G53" s="1788" t="s">
        <v>2312</v>
      </c>
      <c r="L53" s="90" t="s">
        <v>983</v>
      </c>
      <c r="M53" s="216">
        <v>70.345734246699635</v>
      </c>
      <c r="N53" s="90" t="s">
        <v>1458</v>
      </c>
      <c r="O53" s="49">
        <f>VLOOKUP(N53,'[2]climate data'!$A$78:$C$98,2,FALSE)</f>
        <v>0.13295201779472512</v>
      </c>
      <c r="P53" s="49">
        <f>VLOOKUP(N53,'[2]climate data'!$A$78:$C$98,3,FALSE)</f>
        <v>0.62933706629337072</v>
      </c>
    </row>
    <row r="54" spans="1:16">
      <c r="A54" t="s">
        <v>199</v>
      </c>
      <c r="B54" s="1606" t="s">
        <v>1526</v>
      </c>
      <c r="C54" s="1606" t="s">
        <v>1532</v>
      </c>
      <c r="D54" s="1606" t="s">
        <v>1526</v>
      </c>
      <c r="F54" s="1606" t="s">
        <v>1526</v>
      </c>
      <c r="G54" s="1788" t="s">
        <v>2312</v>
      </c>
      <c r="L54" s="90" t="s">
        <v>984</v>
      </c>
      <c r="M54" s="216">
        <v>82.697551441637628</v>
      </c>
      <c r="N54" s="90" t="s">
        <v>2286</v>
      </c>
      <c r="O54" s="49">
        <f>VLOOKUP(N54,'[2]climate data'!$A$78:$C$98,2,FALSE)</f>
        <v>0.14796503928666019</v>
      </c>
      <c r="P54" s="49">
        <f>VLOOKUP(N54,'[2]climate data'!$A$78:$C$98,3,FALSE)</f>
        <v>0.57399712296073502</v>
      </c>
    </row>
    <row r="55" spans="1:16">
      <c r="A55" t="s">
        <v>987</v>
      </c>
      <c r="B55" s="1606" t="s">
        <v>1526</v>
      </c>
      <c r="C55" s="1606" t="s">
        <v>1532</v>
      </c>
      <c r="D55" s="1606" t="s">
        <v>1529</v>
      </c>
      <c r="F55" s="1606" t="s">
        <v>1526</v>
      </c>
      <c r="G55" s="1788" t="s">
        <v>596</v>
      </c>
      <c r="H55" s="1606" t="s">
        <v>1782</v>
      </c>
      <c r="L55" s="90" t="s">
        <v>1924</v>
      </c>
      <c r="M55" s="216">
        <v>232.92259608804733</v>
      </c>
      <c r="N55" s="90" t="s">
        <v>1912</v>
      </c>
      <c r="O55" s="49">
        <f>VLOOKUP(N55,'[2]climate data'!$A$78:$C$98,2,FALSE)</f>
        <v>0.15764546684709066</v>
      </c>
      <c r="P55" s="49">
        <f>VLOOKUP(N55,'[2]climate data'!$A$78:$C$98,3,FALSE)</f>
        <v>0.53875007349050508</v>
      </c>
    </row>
    <row r="56" spans="1:16">
      <c r="A56" t="s">
        <v>1582</v>
      </c>
      <c r="C56" s="1606" t="s">
        <v>1532</v>
      </c>
      <c r="G56" s="1788" t="s">
        <v>596</v>
      </c>
      <c r="L56" s="90" t="s">
        <v>1925</v>
      </c>
      <c r="M56" s="216">
        <v>166.3510570922717</v>
      </c>
      <c r="N56" s="90" t="s">
        <v>1458</v>
      </c>
      <c r="O56" s="49">
        <f>VLOOKUP(N56,'[2]climate data'!$A$78:$C$98,2,FALSE)</f>
        <v>0.13295201779472512</v>
      </c>
      <c r="P56" s="49">
        <f>VLOOKUP(N56,'[2]climate data'!$A$78:$C$98,3,FALSE)</f>
        <v>0.62933706629337072</v>
      </c>
    </row>
    <row r="57" spans="1:16">
      <c r="A57" t="s">
        <v>1356</v>
      </c>
      <c r="B57" s="1606" t="s">
        <v>1515</v>
      </c>
      <c r="C57" s="1606" t="s">
        <v>1532</v>
      </c>
      <c r="D57" s="1606" t="s">
        <v>1515</v>
      </c>
      <c r="F57" s="1606" t="s">
        <v>1526</v>
      </c>
      <c r="G57" s="1788" t="s">
        <v>596</v>
      </c>
      <c r="L57" s="90" t="s">
        <v>1926</v>
      </c>
      <c r="M57" s="216">
        <v>100.7809306675753</v>
      </c>
      <c r="N57" s="90" t="s">
        <v>1927</v>
      </c>
      <c r="O57" s="49">
        <f>VLOOKUP(N57,'[2]climate data'!$A$78:$C$98,2,FALSE)</f>
        <v>0.1305001073191672</v>
      </c>
      <c r="P57" s="49">
        <f>VLOOKUP(N57,'[2]climate data'!$A$78:$C$98,3,FALSE)</f>
        <v>0.65081560922855075</v>
      </c>
    </row>
    <row r="58" spans="1:16">
      <c r="A58" t="s">
        <v>73</v>
      </c>
      <c r="B58" s="1606" t="s">
        <v>1526</v>
      </c>
      <c r="C58" s="1606" t="s">
        <v>1532</v>
      </c>
      <c r="D58" s="1606" t="s">
        <v>1526</v>
      </c>
      <c r="F58" s="1606" t="s">
        <v>1526</v>
      </c>
      <c r="G58" s="1788" t="s">
        <v>2312</v>
      </c>
      <c r="L58" s="90" t="s">
        <v>1928</v>
      </c>
      <c r="M58" s="216">
        <v>23.252792018168954</v>
      </c>
      <c r="N58" s="90" t="s">
        <v>2286</v>
      </c>
      <c r="O58" s="49">
        <f>VLOOKUP(N58,'[2]climate data'!$A$78:$C$98,2,FALSE)</f>
        <v>0.14796503928666019</v>
      </c>
      <c r="P58" s="49">
        <f>VLOOKUP(N58,'[2]climate data'!$A$78:$C$98,3,FALSE)</f>
        <v>0.57399712296073502</v>
      </c>
    </row>
    <row r="59" spans="1:16">
      <c r="A59" t="s">
        <v>988</v>
      </c>
      <c r="C59" s="1606" t="s">
        <v>1532</v>
      </c>
      <c r="G59" s="1788" t="s">
        <v>596</v>
      </c>
      <c r="L59" s="90" t="s">
        <v>123</v>
      </c>
      <c r="M59" s="216">
        <v>102.75073866820789</v>
      </c>
      <c r="N59" s="90" t="s">
        <v>1912</v>
      </c>
      <c r="O59" s="49">
        <f>VLOOKUP(N59,'[2]climate data'!$A$78:$C$98,2,FALSE)</f>
        <v>0.15764546684709066</v>
      </c>
      <c r="P59" s="49">
        <f>VLOOKUP(N59,'[2]climate data'!$A$78:$C$98,3,FALSE)</f>
        <v>0.53875007349050508</v>
      </c>
    </row>
    <row r="60" spans="1:16">
      <c r="A60" t="s">
        <v>989</v>
      </c>
      <c r="C60" s="1606" t="s">
        <v>1532</v>
      </c>
      <c r="G60" s="1788" t="s">
        <v>596</v>
      </c>
      <c r="L60" s="90" t="s">
        <v>985</v>
      </c>
      <c r="M60" s="216">
        <v>183.24840327557064</v>
      </c>
      <c r="N60" s="90" t="s">
        <v>1912</v>
      </c>
      <c r="O60" s="49">
        <f>VLOOKUP(N60,'[2]climate data'!$A$78:$C$98,2,FALSE)</f>
        <v>0.15764546684709066</v>
      </c>
      <c r="P60" s="49">
        <f>VLOOKUP(N60,'[2]climate data'!$A$78:$C$98,3,FALSE)</f>
        <v>0.53875007349050508</v>
      </c>
    </row>
    <row r="61" spans="1:16">
      <c r="A61" t="s">
        <v>990</v>
      </c>
      <c r="B61" s="1606" t="s">
        <v>1526</v>
      </c>
      <c r="C61" s="1606" t="s">
        <v>1532</v>
      </c>
      <c r="D61" s="1606" t="s">
        <v>1526</v>
      </c>
      <c r="F61" s="1606" t="s">
        <v>1526</v>
      </c>
      <c r="G61" s="1788" t="s">
        <v>2312</v>
      </c>
      <c r="L61" s="90" t="s">
        <v>1362</v>
      </c>
      <c r="M61" s="216">
        <v>9.3141085830851882</v>
      </c>
      <c r="N61" s="90" t="s">
        <v>2286</v>
      </c>
      <c r="O61" s="49">
        <f>VLOOKUP(N61,'[2]climate data'!$A$78:$C$98,2,FALSE)</f>
        <v>0.14796503928666019</v>
      </c>
      <c r="P61" s="49">
        <f>VLOOKUP(N61,'[2]climate data'!$A$78:$C$98,3,FALSE)</f>
        <v>0.57399712296073502</v>
      </c>
    </row>
    <row r="62" spans="1:16">
      <c r="A62" t="s">
        <v>9</v>
      </c>
      <c r="B62" s="1606" t="s">
        <v>1526</v>
      </c>
      <c r="C62" s="1606" t="s">
        <v>1532</v>
      </c>
      <c r="D62" s="1606" t="s">
        <v>1526</v>
      </c>
      <c r="F62" s="1606" t="s">
        <v>1526</v>
      </c>
      <c r="G62" s="1788" t="s">
        <v>2312</v>
      </c>
      <c r="L62" s="90" t="s">
        <v>1930</v>
      </c>
      <c r="M62" s="216">
        <v>82.486617056879211</v>
      </c>
      <c r="N62" s="90" t="s">
        <v>1912</v>
      </c>
      <c r="O62" s="49">
        <f>VLOOKUP(N62,'[2]climate data'!$A$78:$C$98,2,FALSE)</f>
        <v>0.15764546684709066</v>
      </c>
      <c r="P62" s="49">
        <f>VLOOKUP(N62,'[2]climate data'!$A$78:$C$98,3,FALSE)</f>
        <v>0.53875007349050508</v>
      </c>
    </row>
    <row r="63" spans="1:16">
      <c r="A63" t="s">
        <v>255</v>
      </c>
      <c r="B63" s="1606" t="s">
        <v>1526</v>
      </c>
      <c r="C63" s="1606" t="s">
        <v>1532</v>
      </c>
      <c r="D63" s="1606" t="s">
        <v>1526</v>
      </c>
      <c r="F63" s="1606" t="s">
        <v>1526</v>
      </c>
      <c r="G63" s="1788" t="s">
        <v>2312</v>
      </c>
      <c r="L63" s="90" t="s">
        <v>199</v>
      </c>
      <c r="M63" s="216">
        <v>96.412740017558889</v>
      </c>
      <c r="N63" s="90" t="s">
        <v>1446</v>
      </c>
      <c r="O63" s="49">
        <f>VLOOKUP(N63,'[2]climate data'!$A$78:$C$98,2,FALSE)</f>
        <v>0.14198449369566921</v>
      </c>
      <c r="P63" s="49">
        <f>VLOOKUP(N63,'[2]climate data'!$A$78:$C$98,3,FALSE)</f>
        <v>0.59817452341914179</v>
      </c>
    </row>
    <row r="64" spans="1:16">
      <c r="A64" t="s">
        <v>158</v>
      </c>
      <c r="C64" s="1606" t="s">
        <v>1532</v>
      </c>
      <c r="G64" s="1788" t="s">
        <v>596</v>
      </c>
      <c r="L64" s="90" t="s">
        <v>987</v>
      </c>
      <c r="M64" s="216">
        <v>62.904324612378772</v>
      </c>
      <c r="N64" s="90" t="s">
        <v>1912</v>
      </c>
      <c r="O64" s="49">
        <f>VLOOKUP(N64,'[2]climate data'!$A$78:$C$98,2,FALSE)</f>
        <v>0.15764546684709066</v>
      </c>
      <c r="P64" s="49">
        <f>VLOOKUP(N64,'[2]climate data'!$A$78:$C$98,3,FALSE)</f>
        <v>0.53875007349050508</v>
      </c>
    </row>
    <row r="65" spans="1:16">
      <c r="A65" t="s">
        <v>991</v>
      </c>
      <c r="C65" s="1606" t="s">
        <v>1532</v>
      </c>
      <c r="G65" s="1788" t="s">
        <v>2312</v>
      </c>
      <c r="L65" s="90" t="s">
        <v>1582</v>
      </c>
      <c r="M65" s="216">
        <v>78.957390736307076</v>
      </c>
      <c r="N65" s="90" t="s">
        <v>1912</v>
      </c>
      <c r="O65" s="49">
        <f>VLOOKUP(N65,'[2]climate data'!$A$78:$C$98,2,FALSE)</f>
        <v>0.15764546684709066</v>
      </c>
      <c r="P65" s="49">
        <f>VLOOKUP(N65,'[2]climate data'!$A$78:$C$98,3,FALSE)</f>
        <v>0.53875007349050508</v>
      </c>
    </row>
    <row r="66" spans="1:16">
      <c r="A66" t="s">
        <v>1388</v>
      </c>
      <c r="C66" s="1606" t="s">
        <v>1532</v>
      </c>
      <c r="F66" s="1606" t="s">
        <v>1526</v>
      </c>
      <c r="G66" s="1788" t="s">
        <v>596</v>
      </c>
      <c r="L66" s="90" t="s">
        <v>125</v>
      </c>
      <c r="M66" s="216">
        <v>87.327756296481596</v>
      </c>
      <c r="N66" s="90" t="s">
        <v>2287</v>
      </c>
      <c r="O66" s="49">
        <f>VLOOKUP(N66,'[2]climate data'!$A$78:$C$98,2,FALSE)</f>
        <v>0.16559370529327611</v>
      </c>
      <c r="P66" s="49">
        <f>VLOOKUP(N66,'[2]climate data'!$A$78:$C$98,3,FALSE)</f>
        <v>0.51289091393236486</v>
      </c>
    </row>
    <row r="67" spans="1:16">
      <c r="A67" t="s">
        <v>10</v>
      </c>
      <c r="B67" s="1606" t="s">
        <v>1515</v>
      </c>
      <c r="C67" s="1606" t="s">
        <v>1532</v>
      </c>
      <c r="D67" s="1606" t="s">
        <v>1515</v>
      </c>
      <c r="E67" s="1606" t="s">
        <v>1665</v>
      </c>
      <c r="F67" s="1606" t="s">
        <v>1529</v>
      </c>
      <c r="G67" s="1788" t="s">
        <v>596</v>
      </c>
      <c r="H67" s="1606" t="s">
        <v>1783</v>
      </c>
      <c r="L67" s="90" t="s">
        <v>73</v>
      </c>
      <c r="M67" s="216">
        <v>136.72572818060345</v>
      </c>
      <c r="N67" s="90" t="s">
        <v>1446</v>
      </c>
      <c r="O67" s="49">
        <f>VLOOKUP(N67,'[2]climate data'!$A$78:$C$98,2,FALSE)</f>
        <v>0.14198449369566921</v>
      </c>
      <c r="P67" s="49">
        <f>VLOOKUP(N67,'[2]climate data'!$A$78:$C$98,3,FALSE)</f>
        <v>0.59817452341914179</v>
      </c>
    </row>
    <row r="68" spans="1:16">
      <c r="A68" t="s">
        <v>992</v>
      </c>
      <c r="B68" s="1606" t="s">
        <v>1529</v>
      </c>
      <c r="C68" s="1606" t="s">
        <v>1532</v>
      </c>
      <c r="D68" s="1606" t="s">
        <v>1515</v>
      </c>
      <c r="F68" s="1606" t="s">
        <v>1526</v>
      </c>
      <c r="G68" s="1788" t="s">
        <v>596</v>
      </c>
      <c r="L68" s="90" t="s">
        <v>988</v>
      </c>
      <c r="M68" s="216">
        <v>60.280704131807504</v>
      </c>
      <c r="N68" s="90" t="s">
        <v>2284</v>
      </c>
      <c r="O68" s="49">
        <f>VLOOKUP(N68,'[2]climate data'!$A$78:$C$98,2,FALSE)</f>
        <v>0.1457497612225406</v>
      </c>
      <c r="P68" s="49">
        <f>VLOOKUP(N68,'[2]climate data'!$A$78:$C$98,3,FALSE)</f>
        <v>0.58272141331083149</v>
      </c>
    </row>
    <row r="69" spans="1:16">
      <c r="A69" t="s">
        <v>188</v>
      </c>
      <c r="B69" s="1606" t="s">
        <v>1515</v>
      </c>
      <c r="C69" s="1606" t="s">
        <v>1532</v>
      </c>
      <c r="D69" s="1606" t="s">
        <v>1529</v>
      </c>
      <c r="F69" s="1606" t="s">
        <v>1526</v>
      </c>
      <c r="G69" s="1788" t="s">
        <v>2312</v>
      </c>
      <c r="L69" s="90" t="s">
        <v>989</v>
      </c>
      <c r="M69" s="216">
        <v>117.71330487786784</v>
      </c>
      <c r="N69" s="90" t="s">
        <v>1912</v>
      </c>
      <c r="O69" s="49">
        <f>VLOOKUP(N69,'[2]climate data'!$A$78:$C$98,2,FALSE)</f>
        <v>0.15764546684709066</v>
      </c>
      <c r="P69" s="49">
        <f>VLOOKUP(N69,'[2]climate data'!$A$78:$C$98,3,FALSE)</f>
        <v>0.53875007349050508</v>
      </c>
    </row>
    <row r="70" spans="1:16">
      <c r="A70" t="s">
        <v>993</v>
      </c>
      <c r="C70" s="1606" t="s">
        <v>1532</v>
      </c>
      <c r="G70" s="1788" t="s">
        <v>596</v>
      </c>
      <c r="L70" s="90" t="s">
        <v>990</v>
      </c>
      <c r="M70" s="216">
        <v>177.91516492036789</v>
      </c>
      <c r="N70" s="90" t="s">
        <v>1031</v>
      </c>
      <c r="O70" s="49">
        <f>VLOOKUP(N70,'[2]climate data'!$A$78:$C$98,2,FALSE)</f>
        <v>0.13850864553314121</v>
      </c>
      <c r="P70" s="49">
        <f>VLOOKUP(N70,'[2]climate data'!$A$78:$C$98,3,FALSE)</f>
        <v>0.61318559951547114</v>
      </c>
    </row>
    <row r="71" spans="1:16">
      <c r="A71" t="s">
        <v>1521</v>
      </c>
      <c r="C71" s="1606" t="s">
        <v>1532</v>
      </c>
      <c r="G71" s="1788" t="s">
        <v>2312</v>
      </c>
      <c r="L71" s="90" t="s">
        <v>9</v>
      </c>
      <c r="M71" s="216">
        <v>178.67061366663813</v>
      </c>
      <c r="N71" s="90" t="s">
        <v>1031</v>
      </c>
      <c r="O71" s="49">
        <f>VLOOKUP(N71,'[2]climate data'!$A$78:$C$98,2,FALSE)</f>
        <v>0.13850864553314121</v>
      </c>
      <c r="P71" s="49">
        <f>VLOOKUP(N71,'[2]climate data'!$A$78:$C$98,3,FALSE)</f>
        <v>0.61318559951547114</v>
      </c>
    </row>
    <row r="72" spans="1:16">
      <c r="A72" t="s">
        <v>132</v>
      </c>
      <c r="B72" s="1606" t="s">
        <v>1529</v>
      </c>
      <c r="C72" s="1606" t="s">
        <v>1532</v>
      </c>
      <c r="D72" s="1606" t="s">
        <v>1529</v>
      </c>
      <c r="F72" s="1606" t="s">
        <v>1526</v>
      </c>
      <c r="G72" s="1788" t="s">
        <v>596</v>
      </c>
      <c r="L72" s="90" t="s">
        <v>255</v>
      </c>
      <c r="M72" s="216">
        <v>169.96667145492236</v>
      </c>
      <c r="N72" s="90" t="s">
        <v>1905</v>
      </c>
      <c r="O72" s="49">
        <f>VLOOKUP(N72,'[2]climate data'!$A$78:$C$98,2,FALSE)</f>
        <v>0.11785345717234262</v>
      </c>
      <c r="P72" s="49">
        <f>VLOOKUP(N72,'[2]climate data'!$A$78:$C$98,3,FALSE)</f>
        <v>0.70929624594792429</v>
      </c>
    </row>
    <row r="73" spans="1:16">
      <c r="A73" t="s">
        <v>995</v>
      </c>
      <c r="C73" s="1606" t="s">
        <v>1532</v>
      </c>
      <c r="G73" s="1788" t="s">
        <v>596</v>
      </c>
      <c r="L73" s="90" t="s">
        <v>991</v>
      </c>
      <c r="M73" s="216">
        <v>13.770244426727572</v>
      </c>
      <c r="N73" s="90" t="s">
        <v>1457</v>
      </c>
      <c r="O73" s="49">
        <f>VLOOKUP(N73,'[2]climate data'!$A$78:$C$98,2,FALSE)</f>
        <v>0.1225813667375014</v>
      </c>
      <c r="P73" s="49">
        <f>VLOOKUP(N73,'[2]climate data'!$A$78:$C$98,3,FALSE)</f>
        <v>0.69285821417858218</v>
      </c>
    </row>
    <row r="74" spans="1:16">
      <c r="A74" t="s">
        <v>996</v>
      </c>
      <c r="B74" s="1606" t="s">
        <v>1515</v>
      </c>
      <c r="C74" s="1606" t="s">
        <v>1532</v>
      </c>
      <c r="D74" s="1606" t="s">
        <v>1526</v>
      </c>
      <c r="E74" s="1606" t="s">
        <v>1697</v>
      </c>
      <c r="F74" s="1606" t="s">
        <v>1529</v>
      </c>
      <c r="G74" s="1788" t="s">
        <v>2312</v>
      </c>
      <c r="H74" s="1606" t="s">
        <v>1784</v>
      </c>
      <c r="L74" s="90" t="s">
        <v>1388</v>
      </c>
      <c r="M74" s="216">
        <v>108.60440501364498</v>
      </c>
      <c r="N74" s="90" t="s">
        <v>1932</v>
      </c>
      <c r="O74" s="49">
        <f>VLOOKUP(N74,'[2]climate data'!$A$78:$C$98,2,FALSE)</f>
        <v>0.15677321156773211</v>
      </c>
      <c r="P74" s="49">
        <f>VLOOKUP(N74,'[2]climate data'!$A$78:$C$98,3,FALSE)</f>
        <v>0.54174757281553398</v>
      </c>
    </row>
    <row r="75" spans="1:16">
      <c r="A75" t="s">
        <v>997</v>
      </c>
      <c r="C75" s="1606" t="s">
        <v>1532</v>
      </c>
      <c r="G75" s="1788" t="s">
        <v>596</v>
      </c>
      <c r="L75" s="90" t="s">
        <v>10</v>
      </c>
      <c r="M75" s="216">
        <v>30.595255731617339</v>
      </c>
      <c r="N75" s="90" t="s">
        <v>1932</v>
      </c>
      <c r="O75" s="49">
        <f>VLOOKUP(N75,'[2]climate data'!$A$78:$C$98,2,FALSE)</f>
        <v>0.15677321156773211</v>
      </c>
      <c r="P75" s="49">
        <f>VLOOKUP(N75,'[2]climate data'!$A$78:$C$98,3,FALSE)</f>
        <v>0.54174757281553398</v>
      </c>
    </row>
    <row r="76" spans="1:16">
      <c r="A76" t="s">
        <v>12</v>
      </c>
      <c r="C76" s="1606" t="s">
        <v>1532</v>
      </c>
      <c r="G76" s="1788" t="s">
        <v>596</v>
      </c>
      <c r="L76" s="90" t="s">
        <v>992</v>
      </c>
      <c r="M76" s="216">
        <v>60.15551632920387</v>
      </c>
      <c r="N76" s="90" t="s">
        <v>1932</v>
      </c>
      <c r="O76" s="49">
        <f>VLOOKUP(N76,'[2]climate data'!$A$78:$C$98,2,FALSE)</f>
        <v>0.15677321156773211</v>
      </c>
      <c r="P76" s="49">
        <f>VLOOKUP(N76,'[2]climate data'!$A$78:$C$98,3,FALSE)</f>
        <v>0.54174757281553398</v>
      </c>
    </row>
    <row r="77" spans="1:16">
      <c r="A77" t="s">
        <v>1583</v>
      </c>
      <c r="C77" s="1606" t="s">
        <v>1532</v>
      </c>
      <c r="G77" s="1788" t="s">
        <v>596</v>
      </c>
      <c r="L77" s="90" t="s">
        <v>188</v>
      </c>
      <c r="M77" s="216">
        <v>10.052621497436975</v>
      </c>
      <c r="N77" s="90" t="s">
        <v>1914</v>
      </c>
      <c r="O77" s="49">
        <f>VLOOKUP(N77,'[2]climate data'!$A$78:$C$98,2,FALSE)</f>
        <v>0.13416220905016626</v>
      </c>
      <c r="P77" s="49">
        <f>VLOOKUP(N77,'[2]climate data'!$A$78:$C$98,3,FALSE)</f>
        <v>0.63305089749645727</v>
      </c>
    </row>
    <row r="78" spans="1:16">
      <c r="A78" t="s">
        <v>145</v>
      </c>
      <c r="B78" s="1606" t="s">
        <v>1526</v>
      </c>
      <c r="C78" s="1606" t="s">
        <v>1532</v>
      </c>
      <c r="D78" s="1606" t="s">
        <v>1526</v>
      </c>
      <c r="F78" s="1606" t="s">
        <v>1526</v>
      </c>
      <c r="G78" s="1788" t="s">
        <v>2312</v>
      </c>
      <c r="L78" s="90" t="s">
        <v>993</v>
      </c>
      <c r="M78" s="216">
        <v>15.971422356554823</v>
      </c>
      <c r="N78" s="90" t="s">
        <v>2284</v>
      </c>
      <c r="O78" s="49">
        <f>VLOOKUP(N78,'[2]climate data'!$A$78:$C$98,2,FALSE)</f>
        <v>0.1457497612225406</v>
      </c>
      <c r="P78" s="49">
        <f>VLOOKUP(N78,'[2]climate data'!$A$78:$C$98,3,FALSE)</f>
        <v>0.58272141331083149</v>
      </c>
    </row>
    <row r="79" spans="1:16">
      <c r="A79" t="s">
        <v>998</v>
      </c>
      <c r="C79" s="1606" t="s">
        <v>1532</v>
      </c>
      <c r="G79" s="1788" t="s">
        <v>596</v>
      </c>
      <c r="L79" s="90" t="s">
        <v>1521</v>
      </c>
      <c r="M79" s="216">
        <v>113.42410298331545</v>
      </c>
      <c r="N79" s="90" t="s">
        <v>1460</v>
      </c>
      <c r="O79" s="49">
        <f>VLOOKUP(N79,'[2]climate data'!$A$78:$C$98,2,FALSE)</f>
        <v>0.13287016934433349</v>
      </c>
      <c r="P79" s="49">
        <f>VLOOKUP(N79,'[2]climate data'!$A$78:$C$98,3,FALSE)</f>
        <v>0.63740887486717346</v>
      </c>
    </row>
    <row r="80" spans="1:16">
      <c r="A80" t="s">
        <v>1584</v>
      </c>
      <c r="C80" s="1606" t="s">
        <v>1532</v>
      </c>
      <c r="G80" s="1788" t="s">
        <v>596</v>
      </c>
      <c r="L80" s="90" t="s">
        <v>132</v>
      </c>
      <c r="M80" s="216">
        <v>127.01187116605087</v>
      </c>
      <c r="N80" s="90" t="s">
        <v>1912</v>
      </c>
      <c r="O80" s="49">
        <f>VLOOKUP(N80,'[2]climate data'!$A$78:$C$98,2,FALSE)</f>
        <v>0.15764546684709066</v>
      </c>
      <c r="P80" s="49">
        <f>VLOOKUP(N80,'[2]climate data'!$A$78:$C$98,3,FALSE)</f>
        <v>0.53875007349050508</v>
      </c>
    </row>
    <row r="81" spans="1:16">
      <c r="A81" t="s">
        <v>999</v>
      </c>
      <c r="C81" s="1606" t="s">
        <v>1532</v>
      </c>
      <c r="G81" s="1788" t="s">
        <v>596</v>
      </c>
      <c r="L81" s="90" t="s">
        <v>994</v>
      </c>
      <c r="M81" s="216">
        <v>98.701388702277043</v>
      </c>
      <c r="N81" s="90" t="s">
        <v>1912</v>
      </c>
      <c r="O81" s="49">
        <f>VLOOKUP(N81,'[2]climate data'!$A$78:$C$98,2,FALSE)</f>
        <v>0.15764546684709066</v>
      </c>
      <c r="P81" s="49">
        <f>VLOOKUP(N81,'[2]climate data'!$A$78:$C$98,3,FALSE)</f>
        <v>0.53875007349050508</v>
      </c>
    </row>
    <row r="82" spans="1:16">
      <c r="A82" t="s">
        <v>1000</v>
      </c>
      <c r="B82" s="1606" t="s">
        <v>1529</v>
      </c>
      <c r="C82" s="1606" t="s">
        <v>1532</v>
      </c>
      <c r="D82" s="1606" t="s">
        <v>1515</v>
      </c>
      <c r="E82" s="1606" t="s">
        <v>1697</v>
      </c>
      <c r="F82" s="1606" t="s">
        <v>1529</v>
      </c>
      <c r="G82" s="1788" t="s">
        <v>596</v>
      </c>
      <c r="H82" s="1606" t="s">
        <v>1785</v>
      </c>
      <c r="L82" s="90" t="s">
        <v>995</v>
      </c>
      <c r="M82" s="216">
        <v>40.631897845635891</v>
      </c>
      <c r="N82" s="90" t="s">
        <v>2285</v>
      </c>
      <c r="O82" s="49">
        <f>VLOOKUP(N82,'[2]climate data'!$A$78:$C$98,2,FALSE)</f>
        <v>0.13135118623358111</v>
      </c>
      <c r="P82" s="49">
        <f>VLOOKUP(N82,'[2]climate data'!$A$78:$C$98,3,FALSE)</f>
        <v>0.64659870447063827</v>
      </c>
    </row>
    <row r="83" spans="1:16">
      <c r="A83" t="s">
        <v>1389</v>
      </c>
      <c r="C83" s="1606" t="s">
        <v>1532</v>
      </c>
      <c r="F83" s="1606" t="s">
        <v>1526</v>
      </c>
      <c r="G83" s="1788" t="s">
        <v>596</v>
      </c>
      <c r="L83" s="90" t="s">
        <v>996</v>
      </c>
      <c r="M83" s="216">
        <v>67.90594356267782</v>
      </c>
      <c r="N83" s="90" t="s">
        <v>1031</v>
      </c>
      <c r="O83" s="49">
        <f>VLOOKUP(N83,'[2]climate data'!$A$78:$C$98,2,FALSE)</f>
        <v>0.13850864553314121</v>
      </c>
      <c r="P83" s="49">
        <f>VLOOKUP(N83,'[2]climate data'!$A$78:$C$98,3,FALSE)</f>
        <v>0.61318559951547114</v>
      </c>
    </row>
    <row r="84" spans="1:16">
      <c r="A84" t="s">
        <v>11</v>
      </c>
      <c r="B84" s="1606" t="s">
        <v>1529</v>
      </c>
      <c r="C84" s="1606" t="s">
        <v>1532</v>
      </c>
      <c r="D84" s="1606" t="s">
        <v>1515</v>
      </c>
      <c r="E84" s="1606" t="s">
        <v>1697</v>
      </c>
      <c r="F84" s="1606" t="s">
        <v>1529</v>
      </c>
      <c r="G84" s="1788" t="s">
        <v>596</v>
      </c>
      <c r="H84" s="1606" t="s">
        <v>1786</v>
      </c>
      <c r="J84" s="1606" t="s">
        <v>1787</v>
      </c>
      <c r="L84" s="90" t="s">
        <v>997</v>
      </c>
      <c r="M84" s="216">
        <v>101.18333445408575</v>
      </c>
      <c r="N84" s="90" t="s">
        <v>1912</v>
      </c>
      <c r="O84" s="49">
        <f>VLOOKUP(N84,'[2]climate data'!$A$78:$C$98,2,FALSE)</f>
        <v>0.15764546684709066</v>
      </c>
      <c r="P84" s="49">
        <f>VLOOKUP(N84,'[2]climate data'!$A$78:$C$98,3,FALSE)</f>
        <v>0.53875007349050508</v>
      </c>
    </row>
    <row r="85" spans="1:16">
      <c r="A85" t="s">
        <v>1390</v>
      </c>
      <c r="G85" s="1788" t="s">
        <v>2312</v>
      </c>
      <c r="L85" s="90" t="s">
        <v>12</v>
      </c>
      <c r="M85" s="216">
        <v>168.84080414211928</v>
      </c>
      <c r="N85" s="90" t="s">
        <v>1453</v>
      </c>
      <c r="O85" s="49">
        <f>VLOOKUP(N85,'[2]climate data'!$A$78:$C$98,2,FALSE)</f>
        <v>0.14217401446232797</v>
      </c>
      <c r="P85" s="49">
        <f>VLOOKUP(N85,'[2]climate data'!$A$78:$C$98,3,FALSE)</f>
        <v>0.59737714497623251</v>
      </c>
    </row>
    <row r="86" spans="1:16">
      <c r="A86" t="s">
        <v>1173</v>
      </c>
      <c r="C86" s="1606" t="s">
        <v>1532</v>
      </c>
      <c r="G86" s="1788" t="s">
        <v>596</v>
      </c>
      <c r="L86" s="90" t="s">
        <v>1583</v>
      </c>
      <c r="M86" s="216">
        <v>50.801790824390508</v>
      </c>
      <c r="N86" s="90" t="s">
        <v>2285</v>
      </c>
      <c r="O86" s="49">
        <f>VLOOKUP(N86,'[2]climate data'!$A$78:$C$98,2,FALSE)</f>
        <v>0.13135118623358111</v>
      </c>
      <c r="P86" s="49">
        <f>VLOOKUP(N86,'[2]climate data'!$A$78:$C$98,3,FALSE)</f>
        <v>0.64659870447063827</v>
      </c>
    </row>
    <row r="87" spans="1:16">
      <c r="A87" t="s">
        <v>57</v>
      </c>
      <c r="C87" s="1606" t="s">
        <v>1532</v>
      </c>
      <c r="G87" s="1788" t="s">
        <v>596</v>
      </c>
      <c r="L87" s="90" t="s">
        <v>145</v>
      </c>
      <c r="M87" s="216">
        <v>0</v>
      </c>
      <c r="N87" s="90" t="s">
        <v>1905</v>
      </c>
      <c r="O87" s="49">
        <f>VLOOKUP(N87,'[2]climate data'!$A$78:$C$98,2,FALSE)</f>
        <v>0.11785345717234262</v>
      </c>
      <c r="P87" s="49">
        <f>VLOOKUP(N87,'[2]climate data'!$A$78:$C$98,3,FALSE)</f>
        <v>0.70929624594792429</v>
      </c>
    </row>
    <row r="88" spans="1:16">
      <c r="A88" t="s">
        <v>189</v>
      </c>
      <c r="B88" s="1606" t="s">
        <v>1515</v>
      </c>
      <c r="C88" s="1606" t="s">
        <v>1532</v>
      </c>
      <c r="D88" s="1606" t="s">
        <v>1529</v>
      </c>
      <c r="F88" s="1606" t="s">
        <v>1526</v>
      </c>
      <c r="G88" s="1788" t="s">
        <v>2312</v>
      </c>
      <c r="L88" s="90" t="s">
        <v>998</v>
      </c>
      <c r="M88" s="216">
        <v>42.777098989687254</v>
      </c>
      <c r="N88" s="90" t="s">
        <v>1907</v>
      </c>
      <c r="O88" s="49">
        <f>VLOOKUP(N88,'[2]climate data'!$A$78:$C$98,2,FALSE)</f>
        <v>0.15400143257146579</v>
      </c>
      <c r="P88" s="49">
        <f>VLOOKUP(N88,'[2]climate data'!$A$78:$C$98,3,FALSE)</f>
        <v>0.55149816096614435</v>
      </c>
    </row>
    <row r="89" spans="1:16">
      <c r="A89" t="s">
        <v>1363</v>
      </c>
      <c r="C89" s="1606" t="s">
        <v>1532</v>
      </c>
      <c r="G89" s="1788" t="s">
        <v>596</v>
      </c>
      <c r="L89" s="90" t="s">
        <v>999</v>
      </c>
      <c r="M89" s="216">
        <v>50.298486321770639</v>
      </c>
      <c r="N89" s="90" t="s">
        <v>2284</v>
      </c>
      <c r="O89" s="49">
        <f>VLOOKUP(N89,'[2]climate data'!$A$78:$C$98,2,FALSE)</f>
        <v>0.1457497612225406</v>
      </c>
      <c r="P89" s="49">
        <f>VLOOKUP(N89,'[2]climate data'!$A$78:$C$98,3,FALSE)</f>
        <v>0.58272141331083149</v>
      </c>
    </row>
    <row r="90" spans="1:16">
      <c r="A90" t="s">
        <v>1619</v>
      </c>
      <c r="C90" s="1606" t="s">
        <v>1532</v>
      </c>
      <c r="G90" s="1788" t="s">
        <v>2312</v>
      </c>
      <c r="L90" s="90" t="s">
        <v>1000</v>
      </c>
      <c r="M90" s="216">
        <v>21.775649679832359</v>
      </c>
      <c r="N90" s="90" t="s">
        <v>1932</v>
      </c>
      <c r="O90" s="49">
        <f>VLOOKUP(N90,'[2]climate data'!$A$78:$C$98,2,FALSE)</f>
        <v>0.15677321156773211</v>
      </c>
      <c r="P90" s="49">
        <f>VLOOKUP(N90,'[2]climate data'!$A$78:$C$98,3,FALSE)</f>
        <v>0.54174757281553398</v>
      </c>
    </row>
    <row r="91" spans="1:16">
      <c r="A91" t="s">
        <v>1575</v>
      </c>
      <c r="C91" s="1606" t="s">
        <v>1532</v>
      </c>
      <c r="G91" s="1788" t="s">
        <v>2312</v>
      </c>
      <c r="L91" s="90" t="s">
        <v>1389</v>
      </c>
      <c r="M91" s="216">
        <v>13.762952276253726</v>
      </c>
      <c r="N91" s="90" t="s">
        <v>1932</v>
      </c>
      <c r="O91" s="49">
        <f>VLOOKUP(N91,'[2]climate data'!$A$78:$C$98,2,FALSE)</f>
        <v>0.15677321156773211</v>
      </c>
      <c r="P91" s="49">
        <f>VLOOKUP(N91,'[2]climate data'!$A$78:$C$98,3,FALSE)</f>
        <v>0.54174757281553398</v>
      </c>
    </row>
    <row r="92" spans="1:16">
      <c r="A92" t="s">
        <v>42</v>
      </c>
      <c r="C92" s="1606" t="s">
        <v>1532</v>
      </c>
      <c r="G92" s="1788" t="s">
        <v>2312</v>
      </c>
      <c r="L92" s="90" t="s">
        <v>11</v>
      </c>
      <c r="M92" s="216">
        <v>4.3144495002166678</v>
      </c>
      <c r="N92" s="90" t="s">
        <v>2287</v>
      </c>
      <c r="O92" s="49">
        <f>VLOOKUP(N92,'[2]climate data'!$A$78:$C$98,2,FALSE)</f>
        <v>0.16559370529327611</v>
      </c>
      <c r="P92" s="49">
        <f>VLOOKUP(N92,'[2]climate data'!$A$78:$C$98,3,FALSE)</f>
        <v>0.51289091393236486</v>
      </c>
    </row>
    <row r="93" spans="1:16">
      <c r="A93" t="s">
        <v>1001</v>
      </c>
      <c r="C93" s="1606" t="s">
        <v>1532</v>
      </c>
      <c r="G93" s="1788" t="s">
        <v>596</v>
      </c>
      <c r="L93" s="90" t="s">
        <v>1390</v>
      </c>
      <c r="M93" s="216">
        <v>57.422374444549348</v>
      </c>
      <c r="N93" s="90" t="s">
        <v>1460</v>
      </c>
      <c r="O93" s="49">
        <f>VLOOKUP(N93,'[2]climate data'!$A$78:$C$98,2,FALSE)</f>
        <v>0.13287016934433349</v>
      </c>
      <c r="P93" s="49">
        <f>VLOOKUP(N93,'[2]climate data'!$A$78:$C$98,3,FALSE)</f>
        <v>0.63740887486717346</v>
      </c>
    </row>
    <row r="94" spans="1:16">
      <c r="A94" t="s">
        <v>1364</v>
      </c>
      <c r="C94" s="1606" t="s">
        <v>1532</v>
      </c>
      <c r="G94" s="1788" t="s">
        <v>596</v>
      </c>
      <c r="L94" s="90" t="s">
        <v>1173</v>
      </c>
      <c r="M94" s="216">
        <v>94.205188137974844</v>
      </c>
      <c r="N94" s="90" t="s">
        <v>1453</v>
      </c>
      <c r="O94" s="49">
        <f>VLOOKUP(N94,'[2]climate data'!$A$78:$C$98,2,FALSE)</f>
        <v>0.14217401446232797</v>
      </c>
      <c r="P94" s="49">
        <f>VLOOKUP(N94,'[2]climate data'!$A$78:$C$98,3,FALSE)</f>
        <v>0.59737714497623251</v>
      </c>
    </row>
    <row r="95" spans="1:16">
      <c r="A95" t="s">
        <v>1585</v>
      </c>
      <c r="C95" s="1606" t="s">
        <v>1532</v>
      </c>
      <c r="G95" s="1788" t="s">
        <v>596</v>
      </c>
      <c r="L95" s="90" t="s">
        <v>57</v>
      </c>
      <c r="M95" s="216">
        <v>201.10579330946055</v>
      </c>
      <c r="N95" s="90" t="s">
        <v>1453</v>
      </c>
      <c r="O95" s="49">
        <f>VLOOKUP(N95,'[2]climate data'!$A$78:$C$98,2,FALSE)</f>
        <v>0.14217401446232797</v>
      </c>
      <c r="P95" s="49">
        <f>VLOOKUP(N95,'[2]climate data'!$A$78:$C$98,3,FALSE)</f>
        <v>0.59737714497623251</v>
      </c>
    </row>
    <row r="96" spans="1:16">
      <c r="A96" t="s">
        <v>23</v>
      </c>
      <c r="B96" s="1606" t="s">
        <v>1529</v>
      </c>
      <c r="C96" s="1606" t="s">
        <v>1532</v>
      </c>
      <c r="D96" s="1606" t="s">
        <v>1529</v>
      </c>
      <c r="F96" s="1606" t="s">
        <v>1526</v>
      </c>
      <c r="G96" s="1788" t="s">
        <v>2312</v>
      </c>
      <c r="L96" s="90" t="s">
        <v>189</v>
      </c>
      <c r="M96" s="216">
        <v>51.338518902431098</v>
      </c>
      <c r="N96" s="90" t="s">
        <v>1914</v>
      </c>
      <c r="O96" s="49">
        <f>VLOOKUP(N96,'[2]climate data'!$A$78:$C$98,2,FALSE)</f>
        <v>0.13416220905016626</v>
      </c>
      <c r="P96" s="49">
        <f>VLOOKUP(N96,'[2]climate data'!$A$78:$C$98,3,FALSE)</f>
        <v>0.63305089749645727</v>
      </c>
    </row>
    <row r="97" spans="1:16">
      <c r="A97" t="s">
        <v>135</v>
      </c>
      <c r="B97" s="1606" t="s">
        <v>1526</v>
      </c>
      <c r="C97" s="1606" t="s">
        <v>1532</v>
      </c>
      <c r="G97" s="1788" t="s">
        <v>2312</v>
      </c>
      <c r="L97" s="90" t="s">
        <v>1619</v>
      </c>
      <c r="M97" s="216">
        <v>27.563737845798531</v>
      </c>
      <c r="N97" s="90" t="s">
        <v>1453</v>
      </c>
      <c r="O97" s="49">
        <f>VLOOKUP(N97,'[2]climate data'!$A$78:$C$98,2,FALSE)</f>
        <v>0.14217401446232797</v>
      </c>
      <c r="P97" s="49">
        <f>VLOOKUP(N97,'[2]climate data'!$A$78:$C$98,3,FALSE)</f>
        <v>0.59737714497623251</v>
      </c>
    </row>
    <row r="98" spans="1:16">
      <c r="A98" t="s">
        <v>58</v>
      </c>
      <c r="B98" s="1606" t="s">
        <v>1529</v>
      </c>
      <c r="C98" s="1606" t="s">
        <v>1516</v>
      </c>
      <c r="D98" s="1606" t="s">
        <v>1515</v>
      </c>
      <c r="E98" s="1606" t="s">
        <v>1665</v>
      </c>
      <c r="F98" s="1606" t="s">
        <v>1529</v>
      </c>
      <c r="G98" s="1788" t="s">
        <v>596</v>
      </c>
      <c r="H98" s="1606" t="s">
        <v>1788</v>
      </c>
      <c r="L98" s="90" t="s">
        <v>42</v>
      </c>
      <c r="M98" s="216">
        <v>56.814220024921099</v>
      </c>
      <c r="N98" s="90" t="s">
        <v>1458</v>
      </c>
      <c r="O98" s="49">
        <f>VLOOKUP(N98,'[2]climate data'!$A$78:$C$98,2,FALSE)</f>
        <v>0.13295201779472512</v>
      </c>
      <c r="P98" s="49">
        <f>VLOOKUP(N98,'[2]climate data'!$A$78:$C$98,3,FALSE)</f>
        <v>0.62933706629337072</v>
      </c>
    </row>
    <row r="99" spans="1:16">
      <c r="A99" t="s">
        <v>1177</v>
      </c>
      <c r="C99" s="1606" t="s">
        <v>1532</v>
      </c>
      <c r="G99" s="1788" t="s">
        <v>596</v>
      </c>
      <c r="L99" s="90" t="s">
        <v>1001</v>
      </c>
      <c r="M99" s="216">
        <v>8.0790258256118666</v>
      </c>
      <c r="N99" s="90" t="s">
        <v>1912</v>
      </c>
      <c r="O99" s="49">
        <f>VLOOKUP(N99,'[2]climate data'!$A$78:$C$98,2,FALSE)</f>
        <v>0.15764546684709066</v>
      </c>
      <c r="P99" s="49">
        <f>VLOOKUP(N99,'[2]climate data'!$A$78:$C$98,3,FALSE)</f>
        <v>0.53875007349050508</v>
      </c>
    </row>
    <row r="100" spans="1:16">
      <c r="A100" t="s">
        <v>1003</v>
      </c>
      <c r="C100" s="1606" t="s">
        <v>1532</v>
      </c>
      <c r="G100" s="1788" t="s">
        <v>596</v>
      </c>
      <c r="L100" s="90" t="s">
        <v>1364</v>
      </c>
      <c r="M100" s="216">
        <v>26.891153078743947</v>
      </c>
      <c r="N100" s="90" t="s">
        <v>1912</v>
      </c>
      <c r="O100" s="49">
        <f>VLOOKUP(N100,'[2]climate data'!$A$78:$C$98,2,FALSE)</f>
        <v>0.15764546684709066</v>
      </c>
      <c r="P100" s="49">
        <f>VLOOKUP(N100,'[2]climate data'!$A$78:$C$98,3,FALSE)</f>
        <v>0.53875007349050508</v>
      </c>
    </row>
    <row r="101" spans="1:16">
      <c r="A101" t="s">
        <v>1004</v>
      </c>
      <c r="C101" s="1606" t="s">
        <v>1532</v>
      </c>
      <c r="G101" s="1788" t="s">
        <v>2312</v>
      </c>
      <c r="L101" s="90" t="s">
        <v>23</v>
      </c>
      <c r="M101" s="216">
        <v>68.522646114994402</v>
      </c>
      <c r="N101" s="90" t="s">
        <v>1031</v>
      </c>
      <c r="O101" s="49">
        <f>VLOOKUP(N101,'[2]climate data'!$A$78:$C$98,2,FALSE)</f>
        <v>0.13850864553314121</v>
      </c>
      <c r="P101" s="49">
        <f>VLOOKUP(N101,'[2]climate data'!$A$78:$C$98,3,FALSE)</f>
        <v>0.61318559951547114</v>
      </c>
    </row>
    <row r="102" spans="1:16">
      <c r="A102" t="s">
        <v>1005</v>
      </c>
      <c r="G102" s="1788" t="s">
        <v>2312</v>
      </c>
      <c r="L102" s="90" t="s">
        <v>135</v>
      </c>
      <c r="M102" s="216">
        <v>135.40556709595589</v>
      </c>
      <c r="N102" s="90" t="s">
        <v>1460</v>
      </c>
      <c r="O102" s="49">
        <f>VLOOKUP(N102,'[2]climate data'!$A$78:$C$98,2,FALSE)</f>
        <v>0.13287016934433349</v>
      </c>
      <c r="P102" s="49">
        <f>VLOOKUP(N102,'[2]climate data'!$A$78:$C$98,3,FALSE)</f>
        <v>0.63740887486717346</v>
      </c>
    </row>
    <row r="103" spans="1:16">
      <c r="A103" t="s">
        <v>1006</v>
      </c>
      <c r="B103" s="1606" t="s">
        <v>1529</v>
      </c>
      <c r="C103" s="1606" t="s">
        <v>1532</v>
      </c>
      <c r="D103" s="1606" t="s">
        <v>1529</v>
      </c>
      <c r="F103" s="1606" t="s">
        <v>1526</v>
      </c>
      <c r="G103" s="1788" t="s">
        <v>596</v>
      </c>
      <c r="L103" s="90" t="s">
        <v>58</v>
      </c>
      <c r="M103" s="216">
        <v>63.209742254710925</v>
      </c>
      <c r="N103" s="90" t="s">
        <v>1912</v>
      </c>
      <c r="O103" s="49">
        <f>VLOOKUP(N103,'[2]climate data'!$A$78:$C$98,2,FALSE)</f>
        <v>0.15764546684709066</v>
      </c>
      <c r="P103" s="49">
        <f>VLOOKUP(N103,'[2]climate data'!$A$78:$C$98,3,FALSE)</f>
        <v>0.53875007349050508</v>
      </c>
    </row>
    <row r="104" spans="1:16">
      <c r="A104" t="s">
        <v>1007</v>
      </c>
      <c r="C104" s="1606" t="s">
        <v>1532</v>
      </c>
      <c r="G104" s="1788" t="s">
        <v>596</v>
      </c>
      <c r="L104" s="90" t="s">
        <v>1177</v>
      </c>
      <c r="M104" s="216">
        <v>64.019112200898505</v>
      </c>
      <c r="N104" s="90" t="s">
        <v>1912</v>
      </c>
      <c r="O104" s="49">
        <f>VLOOKUP(N104,'[2]climate data'!$A$78:$C$98,2,FALSE)</f>
        <v>0.15764546684709066</v>
      </c>
      <c r="P104" s="49">
        <f>VLOOKUP(N104,'[2]climate data'!$A$78:$C$98,3,FALSE)</f>
        <v>0.53875007349050508</v>
      </c>
    </row>
    <row r="105" spans="1:16">
      <c r="A105" t="s">
        <v>1178</v>
      </c>
      <c r="C105" s="1606" t="s">
        <v>1532</v>
      </c>
      <c r="G105" s="1788" t="s">
        <v>596</v>
      </c>
      <c r="L105" s="90" t="s">
        <v>1003</v>
      </c>
      <c r="M105" s="216">
        <v>1.6210769139455139</v>
      </c>
      <c r="N105" s="90" t="s">
        <v>1453</v>
      </c>
      <c r="O105" s="49">
        <f>VLOOKUP(N105,'[2]climate data'!$A$78:$C$98,2,FALSE)</f>
        <v>0.14217401446232797</v>
      </c>
      <c r="P105" s="49">
        <f>VLOOKUP(N105,'[2]climate data'!$A$78:$C$98,3,FALSE)</f>
        <v>0.59737714497623251</v>
      </c>
    </row>
    <row r="106" spans="1:16">
      <c r="A106" t="s">
        <v>1372</v>
      </c>
      <c r="C106" s="1606" t="s">
        <v>1532</v>
      </c>
      <c r="G106" s="1788" t="s">
        <v>596</v>
      </c>
      <c r="L106" s="90" t="s">
        <v>1004</v>
      </c>
      <c r="M106" s="216">
        <v>49.667121666545931</v>
      </c>
      <c r="N106" s="90" t="s">
        <v>1912</v>
      </c>
      <c r="O106" s="49">
        <f>VLOOKUP(N106,'[2]climate data'!$A$78:$C$98,2,FALSE)</f>
        <v>0.15764546684709066</v>
      </c>
      <c r="P106" s="49">
        <f>VLOOKUP(N106,'[2]climate data'!$A$78:$C$98,3,FALSE)</f>
        <v>0.53875007349050508</v>
      </c>
    </row>
    <row r="107" spans="1:16">
      <c r="A107" t="s">
        <v>74</v>
      </c>
      <c r="B107" s="1606" t="s">
        <v>1526</v>
      </c>
      <c r="C107" s="1606" t="s">
        <v>1532</v>
      </c>
      <c r="D107" s="1606" t="s">
        <v>1526</v>
      </c>
      <c r="F107" s="1606" t="s">
        <v>1526</v>
      </c>
      <c r="G107" s="1788" t="s">
        <v>2312</v>
      </c>
      <c r="L107" s="90" t="s">
        <v>1935</v>
      </c>
      <c r="M107" s="216">
        <v>88.379077252200545</v>
      </c>
      <c r="N107" s="90" t="s">
        <v>1453</v>
      </c>
      <c r="O107" s="49">
        <f>VLOOKUP(N107,'[2]climate data'!$A$78:$C$98,2,FALSE)</f>
        <v>0.14217401446232797</v>
      </c>
      <c r="P107" s="49">
        <f>VLOOKUP(N107,'[2]climate data'!$A$78:$C$98,3,FALSE)</f>
        <v>0.59737714497623251</v>
      </c>
    </row>
    <row r="108" spans="1:16">
      <c r="A108" t="s">
        <v>137</v>
      </c>
      <c r="B108" s="1606" t="s">
        <v>1526</v>
      </c>
      <c r="C108" s="1606" t="s">
        <v>1532</v>
      </c>
      <c r="D108" s="1606" t="s">
        <v>1526</v>
      </c>
      <c r="F108" s="1606" t="s">
        <v>1526</v>
      </c>
      <c r="G108" s="1788" t="s">
        <v>2312</v>
      </c>
      <c r="L108" s="90" t="s">
        <v>1006</v>
      </c>
      <c r="M108" s="216">
        <v>144.82215105656098</v>
      </c>
      <c r="N108" s="90" t="s">
        <v>1912</v>
      </c>
      <c r="O108" s="49">
        <f>VLOOKUP(N108,'[2]climate data'!$A$78:$C$98,2,FALSE)</f>
        <v>0.15764546684709066</v>
      </c>
      <c r="P108" s="49">
        <f>VLOOKUP(N108,'[2]climate data'!$A$78:$C$98,3,FALSE)</f>
        <v>0.53875007349050508</v>
      </c>
    </row>
    <row r="109" spans="1:16">
      <c r="A109" t="s">
        <v>1586</v>
      </c>
      <c r="C109" s="1606" t="s">
        <v>1532</v>
      </c>
      <c r="G109" s="1788" t="s">
        <v>596</v>
      </c>
      <c r="L109" s="90" t="s">
        <v>1178</v>
      </c>
      <c r="M109" s="216">
        <v>147.23517320554558</v>
      </c>
      <c r="N109" s="90" t="s">
        <v>1912</v>
      </c>
      <c r="O109" s="49">
        <f>VLOOKUP(N109,'[2]climate data'!$A$78:$C$98,2,FALSE)</f>
        <v>0.15764546684709066</v>
      </c>
      <c r="P109" s="49">
        <f>VLOOKUP(N109,'[2]climate data'!$A$78:$C$98,3,FALSE)</f>
        <v>0.53875007349050508</v>
      </c>
    </row>
    <row r="110" spans="1:16">
      <c r="A110" t="s">
        <v>1587</v>
      </c>
      <c r="C110" s="1606" t="s">
        <v>1532</v>
      </c>
      <c r="G110" s="1788" t="s">
        <v>596</v>
      </c>
      <c r="L110" s="90" t="s">
        <v>1372</v>
      </c>
      <c r="M110" s="216">
        <v>164.60578860752469</v>
      </c>
      <c r="N110" s="90" t="s">
        <v>1453</v>
      </c>
      <c r="O110" s="49">
        <f>VLOOKUP(N110,'[2]climate data'!$A$78:$C$98,2,FALSE)</f>
        <v>0.14217401446232797</v>
      </c>
      <c r="P110" s="49">
        <f>VLOOKUP(N110,'[2]climate data'!$A$78:$C$98,3,FALSE)</f>
        <v>0.59737714497623251</v>
      </c>
    </row>
    <row r="111" spans="1:16">
      <c r="A111" t="s">
        <v>1391</v>
      </c>
      <c r="B111" s="1606" t="s">
        <v>1526</v>
      </c>
      <c r="C111" s="1606" t="s">
        <v>1532</v>
      </c>
      <c r="D111" s="1606" t="s">
        <v>1526</v>
      </c>
      <c r="F111" s="1606" t="s">
        <v>1526</v>
      </c>
      <c r="G111" s="1788" t="s">
        <v>2312</v>
      </c>
      <c r="H111" s="1606" t="s">
        <v>1789</v>
      </c>
      <c r="L111" s="90" t="s">
        <v>74</v>
      </c>
      <c r="M111" s="216">
        <v>41.431455295100029</v>
      </c>
      <c r="N111" s="90" t="s">
        <v>1446</v>
      </c>
      <c r="O111" s="49">
        <f>VLOOKUP(N111,'[2]climate data'!$A$78:$C$98,2,FALSE)</f>
        <v>0.14198449369566921</v>
      </c>
      <c r="P111" s="49">
        <f>VLOOKUP(N111,'[2]climate data'!$A$78:$C$98,3,FALSE)</f>
        <v>0.59817452341914179</v>
      </c>
    </row>
    <row r="112" spans="1:16">
      <c r="A112" t="s">
        <v>139</v>
      </c>
      <c r="B112" s="1606" t="s">
        <v>1515</v>
      </c>
      <c r="C112" s="1606" t="s">
        <v>1532</v>
      </c>
      <c r="D112" s="1606" t="s">
        <v>1529</v>
      </c>
      <c r="F112" s="1606" t="s">
        <v>1526</v>
      </c>
      <c r="G112" s="1788" t="s">
        <v>2312</v>
      </c>
      <c r="L112" s="90" t="s">
        <v>137</v>
      </c>
      <c r="M112" s="216">
        <v>41.936766454269133</v>
      </c>
      <c r="N112" s="90" t="s">
        <v>1031</v>
      </c>
      <c r="O112" s="49">
        <f>VLOOKUP(N112,'[2]climate data'!$A$78:$C$98,2,FALSE)</f>
        <v>0.13850864553314121</v>
      </c>
      <c r="P112" s="49">
        <f>VLOOKUP(N112,'[2]climate data'!$A$78:$C$98,3,FALSE)</f>
        <v>0.61318559951547114</v>
      </c>
    </row>
    <row r="113" spans="1:16">
      <c r="A113" t="s">
        <v>141</v>
      </c>
      <c r="C113" s="1606" t="s">
        <v>1532</v>
      </c>
      <c r="G113" s="1788" t="s">
        <v>596</v>
      </c>
      <c r="L113" s="90" t="s">
        <v>1391</v>
      </c>
      <c r="M113" s="216">
        <v>68.335214958415278</v>
      </c>
      <c r="N113" s="90" t="s">
        <v>1031</v>
      </c>
      <c r="O113" s="49">
        <f>VLOOKUP(N113,'[2]climate data'!$A$78:$C$98,2,FALSE)</f>
        <v>0.13850864553314121</v>
      </c>
      <c r="P113" s="49">
        <f>VLOOKUP(N113,'[2]climate data'!$A$78:$C$98,3,FALSE)</f>
        <v>0.61318559951547114</v>
      </c>
    </row>
    <row r="114" spans="1:16">
      <c r="A114" t="s">
        <v>75</v>
      </c>
      <c r="B114" s="1606" t="s">
        <v>1526</v>
      </c>
      <c r="C114" s="1606" t="s">
        <v>1532</v>
      </c>
      <c r="G114" s="1788" t="s">
        <v>2312</v>
      </c>
      <c r="L114" s="90" t="s">
        <v>139</v>
      </c>
      <c r="M114" s="216">
        <v>53.678644245396022</v>
      </c>
      <c r="N114" s="90" t="s">
        <v>1031</v>
      </c>
      <c r="O114" s="49">
        <f>VLOOKUP(N114,'[2]climate data'!$A$78:$C$98,2,FALSE)</f>
        <v>0.13850864553314121</v>
      </c>
      <c r="P114" s="49">
        <f>VLOOKUP(N114,'[2]climate data'!$A$78:$C$98,3,FALSE)</f>
        <v>0.61318559951547114</v>
      </c>
    </row>
    <row r="115" spans="1:16">
      <c r="A115" t="s">
        <v>76</v>
      </c>
      <c r="B115" s="1606" t="s">
        <v>1529</v>
      </c>
      <c r="C115" s="1606" t="s">
        <v>1532</v>
      </c>
      <c r="D115" s="1606" t="s">
        <v>1526</v>
      </c>
      <c r="E115" s="1606" t="s">
        <v>1697</v>
      </c>
      <c r="F115" s="1606" t="s">
        <v>1529</v>
      </c>
      <c r="G115" s="1788" t="s">
        <v>2312</v>
      </c>
      <c r="H115" s="1606" t="s">
        <v>1790</v>
      </c>
      <c r="L115" s="90" t="s">
        <v>141</v>
      </c>
      <c r="M115" s="216">
        <v>70.750767128616047</v>
      </c>
      <c r="N115" s="90" t="s">
        <v>1453</v>
      </c>
      <c r="O115" s="49">
        <f>VLOOKUP(N115,'[2]climate data'!$A$78:$C$98,2,FALSE)</f>
        <v>0.14217401446232797</v>
      </c>
      <c r="P115" s="49">
        <f>VLOOKUP(N115,'[2]climate data'!$A$78:$C$98,3,FALSE)</f>
        <v>0.59737714497623251</v>
      </c>
    </row>
    <row r="116" spans="1:16">
      <c r="A116" t="s">
        <v>1009</v>
      </c>
      <c r="C116" s="1606" t="s">
        <v>1532</v>
      </c>
      <c r="G116" s="1788" t="s">
        <v>596</v>
      </c>
      <c r="L116" s="90" t="s">
        <v>75</v>
      </c>
      <c r="M116" s="216">
        <v>67.494262391531009</v>
      </c>
      <c r="N116" s="90" t="s">
        <v>1964</v>
      </c>
      <c r="O116" s="49">
        <f>VLOOKUP(N116,'[2]climate data'!$A$78:$C$98,2,FALSE)</f>
        <v>0.13927272727272727</v>
      </c>
      <c r="P116" s="49">
        <f>VLOOKUP(N116,'[2]climate data'!$A$78:$C$98,3,FALSE)</f>
        <v>0.60982152437497761</v>
      </c>
    </row>
    <row r="117" spans="1:16">
      <c r="A117" t="s">
        <v>1522</v>
      </c>
      <c r="C117" s="1606" t="s">
        <v>1532</v>
      </c>
      <c r="G117" s="1788" t="s">
        <v>596</v>
      </c>
      <c r="L117" s="90" t="s">
        <v>76</v>
      </c>
      <c r="M117" s="216">
        <v>121.64770627105212</v>
      </c>
      <c r="N117" s="90" t="s">
        <v>1460</v>
      </c>
      <c r="O117" s="49">
        <f>VLOOKUP(N117,'[2]climate data'!$A$78:$C$98,2,FALSE)</f>
        <v>0.13287016934433349</v>
      </c>
      <c r="P117" s="49">
        <f>VLOOKUP(N117,'[2]climate data'!$A$78:$C$98,3,FALSE)</f>
        <v>0.63740887486717346</v>
      </c>
    </row>
    <row r="118" spans="1:16">
      <c r="A118" t="s">
        <v>1523</v>
      </c>
      <c r="C118" s="1606" t="s">
        <v>1532</v>
      </c>
      <c r="G118" s="1788" t="s">
        <v>596</v>
      </c>
      <c r="L118" s="90" t="s">
        <v>1523</v>
      </c>
      <c r="M118" s="216">
        <v>61.682721326794322</v>
      </c>
      <c r="N118" s="90" t="s">
        <v>1472</v>
      </c>
      <c r="O118" s="49">
        <f>VLOOKUP(N118,'[2]climate data'!$A$78:$C$98,2,FALSE)</f>
        <v>0.13726497482790506</v>
      </c>
      <c r="P118" s="49">
        <f>VLOOKUP(N118,'[2]climate data'!$A$78:$C$98,3,FALSE)</f>
        <v>0.61874128455417932</v>
      </c>
    </row>
    <row r="119" spans="1:16">
      <c r="A119" t="s">
        <v>1010</v>
      </c>
      <c r="C119" s="1606" t="s">
        <v>1532</v>
      </c>
      <c r="G119" s="1788" t="s">
        <v>2312</v>
      </c>
      <c r="L119" s="90" t="s">
        <v>1010</v>
      </c>
      <c r="M119" s="216">
        <v>0.66710586705982</v>
      </c>
      <c r="N119" s="90" t="s">
        <v>1907</v>
      </c>
      <c r="O119" s="49">
        <f>VLOOKUP(N119,'[2]climate data'!$A$78:$C$98,2,FALSE)</f>
        <v>0.15400143257146579</v>
      </c>
      <c r="P119" s="49">
        <f>VLOOKUP(N119,'[2]climate data'!$A$78:$C$98,3,FALSE)</f>
        <v>0.55149816096614435</v>
      </c>
    </row>
    <row r="120" spans="1:16">
      <c r="A120" t="s">
        <v>1373</v>
      </c>
      <c r="C120" s="1606" t="s">
        <v>1532</v>
      </c>
      <c r="G120" s="1788" t="s">
        <v>596</v>
      </c>
      <c r="L120" s="90" t="s">
        <v>1373</v>
      </c>
      <c r="M120" s="216">
        <v>38.255412186499797</v>
      </c>
      <c r="N120" s="90" t="s">
        <v>1453</v>
      </c>
      <c r="O120" s="49">
        <f>VLOOKUP(N120,'[2]climate data'!$A$78:$C$98,2,FALSE)</f>
        <v>0.14217401446232797</v>
      </c>
      <c r="P120" s="49">
        <f>VLOOKUP(N120,'[2]climate data'!$A$78:$C$98,3,FALSE)</f>
        <v>0.59737714497623251</v>
      </c>
    </row>
    <row r="121" spans="1:16">
      <c r="A121" t="s">
        <v>1011</v>
      </c>
      <c r="B121" s="1606" t="s">
        <v>1529</v>
      </c>
      <c r="C121" s="1606" t="s">
        <v>1532</v>
      </c>
      <c r="D121" s="1606" t="s">
        <v>1515</v>
      </c>
      <c r="F121" s="1606" t="s">
        <v>1526</v>
      </c>
      <c r="G121" s="1788" t="s">
        <v>2312</v>
      </c>
      <c r="H121" s="1606" t="s">
        <v>1791</v>
      </c>
      <c r="L121" s="90" t="s">
        <v>1011</v>
      </c>
      <c r="M121" s="216">
        <v>0</v>
      </c>
      <c r="N121" s="90" t="s">
        <v>2287</v>
      </c>
      <c r="O121" s="49">
        <f>VLOOKUP(N121,'[2]climate data'!$A$78:$C$98,2,FALSE)</f>
        <v>0.16559370529327611</v>
      </c>
      <c r="P121" s="49">
        <f>VLOOKUP(N121,'[2]climate data'!$A$78:$C$98,3,FALSE)</f>
        <v>0.51289091393236486</v>
      </c>
    </row>
    <row r="122" spans="1:16">
      <c r="A122" t="s">
        <v>293</v>
      </c>
      <c r="C122" s="1606" t="s">
        <v>1532</v>
      </c>
      <c r="G122" s="1788" t="s">
        <v>596</v>
      </c>
      <c r="L122" s="90" t="s">
        <v>143</v>
      </c>
      <c r="M122" s="216">
        <v>36.697753659282739</v>
      </c>
      <c r="N122" s="90" t="s">
        <v>1905</v>
      </c>
      <c r="O122" s="49">
        <f>VLOOKUP(N122,'[2]climate data'!$A$78:$C$98,2,FALSE)</f>
        <v>0.11785345717234262</v>
      </c>
      <c r="P122" s="49">
        <f>VLOOKUP(N122,'[2]climate data'!$A$78:$C$98,3,FALSE)</f>
        <v>0.70929624594792429</v>
      </c>
    </row>
    <row r="123" spans="1:16">
      <c r="A123" t="s">
        <v>143</v>
      </c>
      <c r="B123" s="1606" t="s">
        <v>1526</v>
      </c>
      <c r="C123" s="1606" t="s">
        <v>1532</v>
      </c>
      <c r="D123" s="1606" t="s">
        <v>1526</v>
      </c>
      <c r="F123" s="1606" t="s">
        <v>1526</v>
      </c>
      <c r="G123" s="1788" t="s">
        <v>2312</v>
      </c>
      <c r="L123" s="90" t="s">
        <v>1392</v>
      </c>
      <c r="M123" s="216">
        <v>99.489249567240947</v>
      </c>
      <c r="N123" s="90" t="s">
        <v>1912</v>
      </c>
      <c r="O123" s="49">
        <f>VLOOKUP(N123,'[2]climate data'!$A$78:$C$98,2,FALSE)</f>
        <v>0.15764546684709066</v>
      </c>
      <c r="P123" s="49">
        <f>VLOOKUP(N123,'[2]climate data'!$A$78:$C$98,3,FALSE)</f>
        <v>0.53875007349050508</v>
      </c>
    </row>
    <row r="124" spans="1:16">
      <c r="A124" t="s">
        <v>1588</v>
      </c>
      <c r="C124" s="1606" t="s">
        <v>1532</v>
      </c>
      <c r="G124" s="1788" t="s">
        <v>596</v>
      </c>
      <c r="L124" s="90" t="s">
        <v>1393</v>
      </c>
      <c r="M124" s="216">
        <v>39.254937366274227</v>
      </c>
      <c r="N124" s="90" t="s">
        <v>2284</v>
      </c>
      <c r="O124" s="49">
        <f>VLOOKUP(N124,'[2]climate data'!$A$78:$C$98,2,FALSE)</f>
        <v>0.1457497612225406</v>
      </c>
      <c r="P124" s="49">
        <f>VLOOKUP(N124,'[2]climate data'!$A$78:$C$98,3,FALSE)</f>
        <v>0.58272141331083149</v>
      </c>
    </row>
    <row r="125" spans="1:16">
      <c r="A125" t="s">
        <v>1589</v>
      </c>
      <c r="C125" s="1606" t="s">
        <v>1532</v>
      </c>
      <c r="G125" s="1788" t="s">
        <v>596</v>
      </c>
      <c r="L125" s="90" t="s">
        <v>1524</v>
      </c>
      <c r="M125" s="216">
        <v>78.354143583991728</v>
      </c>
      <c r="N125" s="90" t="s">
        <v>1914</v>
      </c>
      <c r="O125" s="49">
        <f>VLOOKUP(N125,'[2]climate data'!$A$78:$C$98,2,FALSE)</f>
        <v>0.13416220905016626</v>
      </c>
      <c r="P125" s="49">
        <f>VLOOKUP(N125,'[2]climate data'!$A$78:$C$98,3,FALSE)</f>
        <v>0.63305089749645727</v>
      </c>
    </row>
    <row r="126" spans="1:16">
      <c r="A126" t="s">
        <v>1392</v>
      </c>
      <c r="C126" s="1606" t="s">
        <v>1532</v>
      </c>
      <c r="G126" s="1788" t="s">
        <v>2312</v>
      </c>
      <c r="L126" s="90" t="s">
        <v>1394</v>
      </c>
      <c r="M126" s="216">
        <v>243.73101334454876</v>
      </c>
      <c r="N126" s="90" t="s">
        <v>1905</v>
      </c>
      <c r="O126" s="49">
        <f>VLOOKUP(N126,'[2]climate data'!$A$78:$C$98,2,FALSE)</f>
        <v>0.11785345717234262</v>
      </c>
      <c r="P126" s="49">
        <f>VLOOKUP(N126,'[2]climate data'!$A$78:$C$98,3,FALSE)</f>
        <v>0.70929624594792429</v>
      </c>
    </row>
    <row r="127" spans="1:16">
      <c r="A127" t="s">
        <v>1393</v>
      </c>
      <c r="C127" s="1606" t="s">
        <v>1532</v>
      </c>
      <c r="G127" s="1788" t="s">
        <v>596</v>
      </c>
      <c r="L127" s="90" t="s">
        <v>1590</v>
      </c>
      <c r="M127" s="216">
        <v>11.246653230226261</v>
      </c>
      <c r="N127" s="90" t="s">
        <v>1912</v>
      </c>
      <c r="O127" s="49">
        <f>VLOOKUP(N127,'[2]climate data'!$A$78:$C$98,2,FALSE)</f>
        <v>0.15764546684709066</v>
      </c>
      <c r="P127" s="49">
        <f>VLOOKUP(N127,'[2]climate data'!$A$78:$C$98,3,FALSE)</f>
        <v>0.53875007349050508</v>
      </c>
    </row>
    <row r="128" spans="1:16">
      <c r="A128" t="s">
        <v>1524</v>
      </c>
      <c r="C128" s="1606" t="s">
        <v>1532</v>
      </c>
      <c r="G128" s="1788" t="s">
        <v>2312</v>
      </c>
      <c r="L128" s="90" t="s">
        <v>17</v>
      </c>
      <c r="M128" s="216">
        <v>167.81468552702651</v>
      </c>
      <c r="N128" s="90" t="s">
        <v>1912</v>
      </c>
      <c r="O128" s="49">
        <f>VLOOKUP(N128,'[2]climate data'!$A$78:$C$98,2,FALSE)</f>
        <v>0.15764546684709066</v>
      </c>
      <c r="P128" s="49">
        <f>VLOOKUP(N128,'[2]climate data'!$A$78:$C$98,3,FALSE)</f>
        <v>0.53875007349050508</v>
      </c>
    </row>
    <row r="129" spans="1:16">
      <c r="A129" t="s">
        <v>1590</v>
      </c>
      <c r="C129" s="1606" t="s">
        <v>1532</v>
      </c>
      <c r="G129" s="1788" t="s">
        <v>596</v>
      </c>
      <c r="L129" s="90" t="s">
        <v>1591</v>
      </c>
      <c r="M129" s="216">
        <v>102.98021958988394</v>
      </c>
      <c r="N129" s="90" t="s">
        <v>1912</v>
      </c>
      <c r="O129" s="49">
        <f>VLOOKUP(N129,'[2]climate data'!$A$78:$C$98,2,FALSE)</f>
        <v>0.15764546684709066</v>
      </c>
      <c r="P129" s="49">
        <f>VLOOKUP(N129,'[2]climate data'!$A$78:$C$98,3,FALSE)</f>
        <v>0.53875007349050508</v>
      </c>
    </row>
    <row r="130" spans="1:16">
      <c r="A130" t="s">
        <v>17</v>
      </c>
      <c r="B130" s="1606" t="s">
        <v>1515</v>
      </c>
      <c r="C130" s="1606" t="s">
        <v>1516</v>
      </c>
      <c r="D130" s="1606" t="s">
        <v>1529</v>
      </c>
      <c r="E130" s="1606" t="s">
        <v>1792</v>
      </c>
      <c r="F130" s="1606" t="s">
        <v>1515</v>
      </c>
      <c r="G130" s="1788" t="s">
        <v>2312</v>
      </c>
      <c r="H130" s="1606" t="s">
        <v>1793</v>
      </c>
      <c r="L130" s="90" t="s">
        <v>1593</v>
      </c>
      <c r="M130" s="216">
        <v>26.576891875916765</v>
      </c>
      <c r="N130" s="90" t="s">
        <v>2285</v>
      </c>
      <c r="O130" s="49">
        <f>VLOOKUP(N130,'[2]climate data'!$A$78:$C$98,2,FALSE)</f>
        <v>0.13135118623358111</v>
      </c>
      <c r="P130" s="49">
        <f>VLOOKUP(N130,'[2]climate data'!$A$78:$C$98,3,FALSE)</f>
        <v>0.64659870447063827</v>
      </c>
    </row>
    <row r="131" spans="1:16">
      <c r="A131" t="s">
        <v>1591</v>
      </c>
      <c r="C131" s="1606" t="s">
        <v>1532</v>
      </c>
      <c r="G131" s="1788" t="s">
        <v>596</v>
      </c>
      <c r="L131" s="90" t="s">
        <v>1594</v>
      </c>
      <c r="M131" s="216">
        <v>10.598337055255973</v>
      </c>
      <c r="N131" s="90" t="s">
        <v>2285</v>
      </c>
      <c r="O131" s="49">
        <f>VLOOKUP(N131,'[2]climate data'!$A$78:$C$98,2,FALSE)</f>
        <v>0.13135118623358111</v>
      </c>
      <c r="P131" s="49">
        <f>VLOOKUP(N131,'[2]climate data'!$A$78:$C$98,3,FALSE)</f>
        <v>0.64659870447063827</v>
      </c>
    </row>
    <row r="132" spans="1:16">
      <c r="A132" t="s">
        <v>1592</v>
      </c>
      <c r="C132" s="1606" t="s">
        <v>1532</v>
      </c>
      <c r="G132" s="1788" t="s">
        <v>596</v>
      </c>
      <c r="L132" s="90" t="s">
        <v>1595</v>
      </c>
      <c r="M132" s="216">
        <v>57.344832934560586</v>
      </c>
      <c r="N132" s="90" t="s">
        <v>2284</v>
      </c>
      <c r="O132" s="49">
        <f>VLOOKUP(N132,'[2]climate data'!$A$78:$C$98,2,FALSE)</f>
        <v>0.1457497612225406</v>
      </c>
      <c r="P132" s="49">
        <f>VLOOKUP(N132,'[2]climate data'!$A$78:$C$98,3,FALSE)</f>
        <v>0.58272141331083149</v>
      </c>
    </row>
    <row r="133" spans="1:16">
      <c r="A133" t="s">
        <v>1593</v>
      </c>
      <c r="C133" s="1606" t="s">
        <v>1532</v>
      </c>
      <c r="G133" s="1788" t="s">
        <v>2312</v>
      </c>
      <c r="L133" s="90" t="s">
        <v>1012</v>
      </c>
      <c r="M133" s="216">
        <v>3.2178344658303875</v>
      </c>
      <c r="N133" s="90" t="s">
        <v>1932</v>
      </c>
      <c r="O133" s="49">
        <f>VLOOKUP(N133,'[2]climate data'!$A$78:$C$98,2,FALSE)</f>
        <v>0.15677321156773211</v>
      </c>
      <c r="P133" s="49">
        <f>VLOOKUP(N133,'[2]climate data'!$A$78:$C$98,3,FALSE)</f>
        <v>0.54174757281553398</v>
      </c>
    </row>
    <row r="134" spans="1:16">
      <c r="A134" t="s">
        <v>1594</v>
      </c>
      <c r="C134" s="1606" t="s">
        <v>1532</v>
      </c>
      <c r="G134" s="1788" t="s">
        <v>2312</v>
      </c>
      <c r="L134" s="90" t="s">
        <v>256</v>
      </c>
      <c r="M134" s="216">
        <v>129.60865821646485</v>
      </c>
      <c r="N134" s="90" t="s">
        <v>1964</v>
      </c>
      <c r="O134" s="49">
        <f>VLOOKUP(N134,'[2]climate data'!$A$78:$C$98,2,FALSE)</f>
        <v>0.13927272727272727</v>
      </c>
      <c r="P134" s="49">
        <f>VLOOKUP(N134,'[2]climate data'!$A$78:$C$98,3,FALSE)</f>
        <v>0.60982152437497761</v>
      </c>
    </row>
    <row r="135" spans="1:16">
      <c r="A135" t="s">
        <v>1595</v>
      </c>
      <c r="C135" s="1606" t="s">
        <v>1532</v>
      </c>
      <c r="G135" s="1788" t="s">
        <v>2312</v>
      </c>
      <c r="L135" s="90" t="s">
        <v>77</v>
      </c>
      <c r="M135" s="216">
        <v>197.12692802305457</v>
      </c>
      <c r="N135" s="90" t="s">
        <v>1460</v>
      </c>
      <c r="O135" s="49">
        <f>VLOOKUP(N135,'[2]climate data'!$A$78:$C$98,2,FALSE)</f>
        <v>0.13287016934433349</v>
      </c>
      <c r="P135" s="49">
        <f>VLOOKUP(N135,'[2]climate data'!$A$78:$C$98,3,FALSE)</f>
        <v>0.63740887486717346</v>
      </c>
    </row>
    <row r="136" spans="1:16">
      <c r="A136" t="s">
        <v>1012</v>
      </c>
      <c r="B136" s="1606" t="s">
        <v>1529</v>
      </c>
      <c r="C136" s="1606" t="s">
        <v>1532</v>
      </c>
      <c r="D136" s="1606" t="s">
        <v>1515</v>
      </c>
      <c r="F136" s="1606" t="s">
        <v>1529</v>
      </c>
      <c r="G136" s="1788" t="s">
        <v>2312</v>
      </c>
      <c r="H136" s="1606" t="s">
        <v>1794</v>
      </c>
      <c r="L136" s="90" t="s">
        <v>1374</v>
      </c>
      <c r="M136" s="216">
        <v>43.513239638501176</v>
      </c>
      <c r="N136" s="90" t="s">
        <v>1453</v>
      </c>
      <c r="O136" s="49">
        <f>VLOOKUP(N136,'[2]climate data'!$A$78:$C$98,2,FALSE)</f>
        <v>0.14217401446232797</v>
      </c>
      <c r="P136" s="49">
        <f>VLOOKUP(N136,'[2]climate data'!$A$78:$C$98,3,FALSE)</f>
        <v>0.59737714497623251</v>
      </c>
    </row>
    <row r="137" spans="1:16">
      <c r="A137" t="s">
        <v>256</v>
      </c>
      <c r="B137" s="1606" t="s">
        <v>1515</v>
      </c>
      <c r="C137" s="1606" t="s">
        <v>1516</v>
      </c>
      <c r="D137" s="1606" t="s">
        <v>1529</v>
      </c>
      <c r="E137" s="1606" t="s">
        <v>1685</v>
      </c>
      <c r="F137" s="1606" t="s">
        <v>1515</v>
      </c>
      <c r="G137" s="1788" t="s">
        <v>2312</v>
      </c>
      <c r="H137" s="1606" t="s">
        <v>1795</v>
      </c>
      <c r="L137" s="90" t="s">
        <v>1596</v>
      </c>
      <c r="M137" s="216">
        <v>32.870118448915008</v>
      </c>
      <c r="N137" s="90" t="s">
        <v>2284</v>
      </c>
      <c r="O137" s="49">
        <f>VLOOKUP(N137,'[2]climate data'!$A$78:$C$98,2,FALSE)</f>
        <v>0.1457497612225406</v>
      </c>
      <c r="P137" s="49">
        <f>VLOOKUP(N137,'[2]climate data'!$A$78:$C$98,3,FALSE)</f>
        <v>0.58272141331083149</v>
      </c>
    </row>
    <row r="138" spans="1:16">
      <c r="A138" t="s">
        <v>77</v>
      </c>
      <c r="B138" s="1606" t="s">
        <v>1526</v>
      </c>
      <c r="C138" s="1606" t="s">
        <v>1532</v>
      </c>
      <c r="G138" s="1788" t="s">
        <v>2312</v>
      </c>
      <c r="L138" s="90" t="s">
        <v>1395</v>
      </c>
      <c r="M138" s="216">
        <v>64.754145450264119</v>
      </c>
      <c r="N138" s="90" t="s">
        <v>1914</v>
      </c>
      <c r="O138" s="49">
        <f>VLOOKUP(N138,'[2]climate data'!$A$78:$C$98,2,FALSE)</f>
        <v>0.13416220905016626</v>
      </c>
      <c r="P138" s="49">
        <f>VLOOKUP(N138,'[2]climate data'!$A$78:$C$98,3,FALSE)</f>
        <v>0.63305089749645727</v>
      </c>
    </row>
    <row r="139" spans="1:16">
      <c r="A139" t="s">
        <v>1374</v>
      </c>
      <c r="C139" s="1606" t="s">
        <v>1532</v>
      </c>
      <c r="G139" s="1788" t="s">
        <v>2312</v>
      </c>
      <c r="L139" s="90" t="s">
        <v>1365</v>
      </c>
      <c r="M139" s="216">
        <v>64.609712645128909</v>
      </c>
      <c r="N139" s="90" t="s">
        <v>1472</v>
      </c>
      <c r="O139" s="49">
        <f>VLOOKUP(N139,'[2]climate data'!$A$78:$C$98,2,FALSE)</f>
        <v>0.13726497482790506</v>
      </c>
      <c r="P139" s="49">
        <f>VLOOKUP(N139,'[2]climate data'!$A$78:$C$98,3,FALSE)</f>
        <v>0.61874128455417932</v>
      </c>
    </row>
    <row r="140" spans="1:16">
      <c r="A140" t="s">
        <v>1596</v>
      </c>
      <c r="C140" s="1606" t="s">
        <v>1532</v>
      </c>
      <c r="G140" s="1788" t="s">
        <v>596</v>
      </c>
      <c r="L140" s="90" t="s">
        <v>1167</v>
      </c>
      <c r="M140" s="216">
        <v>11.886941555529095</v>
      </c>
      <c r="N140" s="90" t="s">
        <v>1932</v>
      </c>
      <c r="O140" s="49">
        <f>VLOOKUP(N140,'[2]climate data'!$A$78:$C$98,2,FALSE)</f>
        <v>0.15677321156773211</v>
      </c>
      <c r="P140" s="49">
        <f>VLOOKUP(N140,'[2]climate data'!$A$78:$C$98,3,FALSE)</f>
        <v>0.54174757281553398</v>
      </c>
    </row>
    <row r="141" spans="1:16">
      <c r="A141" t="s">
        <v>1395</v>
      </c>
      <c r="C141" s="1606" t="s">
        <v>1532</v>
      </c>
      <c r="G141" s="1788" t="s">
        <v>2312</v>
      </c>
      <c r="L141" s="90" t="s">
        <v>148</v>
      </c>
      <c r="M141" s="216">
        <v>69.8905082914997</v>
      </c>
      <c r="N141" s="90" t="s">
        <v>1460</v>
      </c>
      <c r="O141" s="49">
        <f>VLOOKUP(N141,'[2]climate data'!$A$78:$C$98,2,FALSE)</f>
        <v>0.13287016934433349</v>
      </c>
      <c r="P141" s="49">
        <f>VLOOKUP(N141,'[2]climate data'!$A$78:$C$98,3,FALSE)</f>
        <v>0.63740887486717346</v>
      </c>
    </row>
    <row r="142" spans="1:16">
      <c r="A142" t="s">
        <v>1013</v>
      </c>
      <c r="C142" s="1606" t="s">
        <v>1532</v>
      </c>
      <c r="G142" s="1788" t="s">
        <v>596</v>
      </c>
      <c r="L142" s="90" t="s">
        <v>78</v>
      </c>
      <c r="M142" s="216">
        <v>116.25497921839582</v>
      </c>
      <c r="N142" s="90" t="s">
        <v>1446</v>
      </c>
      <c r="O142" s="49">
        <f>VLOOKUP(N142,'[2]climate data'!$A$78:$C$98,2,FALSE)</f>
        <v>0.14198449369566921</v>
      </c>
      <c r="P142" s="49">
        <f>VLOOKUP(N142,'[2]climate data'!$A$78:$C$98,3,FALSE)</f>
        <v>0.59817452341914179</v>
      </c>
    </row>
    <row r="143" spans="1:16">
      <c r="A143" t="s">
        <v>1365</v>
      </c>
      <c r="C143" s="1606" t="s">
        <v>1532</v>
      </c>
      <c r="G143" s="1788" t="s">
        <v>596</v>
      </c>
      <c r="L143" s="90" t="s">
        <v>79</v>
      </c>
      <c r="M143" s="216">
        <v>70.730519903159561</v>
      </c>
      <c r="N143" s="90" t="s">
        <v>1964</v>
      </c>
      <c r="O143" s="49">
        <f>VLOOKUP(N143,'[2]climate data'!$A$78:$C$98,2,FALSE)</f>
        <v>0.13927272727272727</v>
      </c>
      <c r="P143" s="49">
        <f>VLOOKUP(N143,'[2]climate data'!$A$78:$C$98,3,FALSE)</f>
        <v>0.60982152437497761</v>
      </c>
    </row>
    <row r="144" spans="1:16">
      <c r="A144" t="s">
        <v>1167</v>
      </c>
      <c r="B144" s="1606" t="s">
        <v>1529</v>
      </c>
      <c r="C144" s="1606" t="s">
        <v>1532</v>
      </c>
      <c r="D144" s="1606" t="s">
        <v>1515</v>
      </c>
      <c r="F144" s="1606" t="s">
        <v>1529</v>
      </c>
      <c r="G144" s="1788" t="s">
        <v>596</v>
      </c>
      <c r="H144" s="1606" t="s">
        <v>1796</v>
      </c>
      <c r="L144" s="90" t="s">
        <v>1015</v>
      </c>
      <c r="M144" s="216">
        <v>0</v>
      </c>
      <c r="N144" s="90" t="s">
        <v>1932</v>
      </c>
      <c r="O144" s="49">
        <f>VLOOKUP(N144,'[2]climate data'!$A$78:$C$98,2,FALSE)</f>
        <v>0.15677321156773211</v>
      </c>
      <c r="P144" s="49">
        <f>VLOOKUP(N144,'[2]climate data'!$A$78:$C$98,3,FALSE)</f>
        <v>0.54174757281553398</v>
      </c>
    </row>
    <row r="145" spans="1:16">
      <c r="A145" t="s">
        <v>1597</v>
      </c>
      <c r="C145" s="1606" t="s">
        <v>1532</v>
      </c>
      <c r="G145" s="1788" t="s">
        <v>596</v>
      </c>
      <c r="L145" s="90" t="s">
        <v>8</v>
      </c>
      <c r="M145" s="216">
        <v>47.798953610272768</v>
      </c>
      <c r="N145" s="90" t="s">
        <v>1453</v>
      </c>
      <c r="O145" s="49">
        <f>VLOOKUP(N145,'[2]climate data'!$A$78:$C$98,2,FALSE)</f>
        <v>0.14217401446232797</v>
      </c>
      <c r="P145" s="49">
        <f>VLOOKUP(N145,'[2]climate data'!$A$78:$C$98,3,FALSE)</f>
        <v>0.59737714497623251</v>
      </c>
    </row>
    <row r="146" spans="1:16">
      <c r="A146" t="s">
        <v>148</v>
      </c>
      <c r="B146" s="1606" t="s">
        <v>1526</v>
      </c>
      <c r="C146" s="1606" t="s">
        <v>1532</v>
      </c>
      <c r="G146" s="1788" t="s">
        <v>2312</v>
      </c>
      <c r="L146" s="90" t="s">
        <v>18</v>
      </c>
      <c r="M146" s="216">
        <v>74.466182714319444</v>
      </c>
      <c r="N146" s="90" t="s">
        <v>1453</v>
      </c>
      <c r="O146" s="49">
        <f>VLOOKUP(N146,'[2]climate data'!$A$78:$C$98,2,FALSE)</f>
        <v>0.14217401446232797</v>
      </c>
      <c r="P146" s="49">
        <f>VLOOKUP(N146,'[2]climate data'!$A$78:$C$98,3,FALSE)</f>
        <v>0.59737714497623251</v>
      </c>
    </row>
    <row r="147" spans="1:16">
      <c r="A147" t="s">
        <v>78</v>
      </c>
      <c r="B147" s="1606" t="s">
        <v>1526</v>
      </c>
      <c r="C147" s="1606" t="s">
        <v>1532</v>
      </c>
      <c r="D147" s="1606" t="s">
        <v>1526</v>
      </c>
      <c r="F147" s="1606" t="s">
        <v>1526</v>
      </c>
      <c r="G147" s="1788" t="s">
        <v>2312</v>
      </c>
      <c r="L147" s="90" t="s">
        <v>1016</v>
      </c>
      <c r="M147" s="216">
        <v>12.013459014560151</v>
      </c>
      <c r="N147" s="90" t="s">
        <v>2285</v>
      </c>
      <c r="O147" s="49">
        <f>VLOOKUP(N147,'[2]climate data'!$A$78:$C$98,2,FALSE)</f>
        <v>0.13135118623358111</v>
      </c>
      <c r="P147" s="49">
        <f>VLOOKUP(N147,'[2]climate data'!$A$78:$C$98,3,FALSE)</f>
        <v>0.64659870447063827</v>
      </c>
    </row>
    <row r="148" spans="1:16">
      <c r="A148" t="s">
        <v>79</v>
      </c>
      <c r="B148" s="1606" t="s">
        <v>1526</v>
      </c>
      <c r="C148" s="1606" t="s">
        <v>1532</v>
      </c>
      <c r="D148" s="1606" t="s">
        <v>1529</v>
      </c>
      <c r="F148" s="1606" t="s">
        <v>1529</v>
      </c>
      <c r="G148" s="1788" t="s">
        <v>2312</v>
      </c>
      <c r="H148" s="1606" t="s">
        <v>1797</v>
      </c>
      <c r="L148" s="90" t="s">
        <v>1396</v>
      </c>
      <c r="M148" s="216">
        <v>117.44032499775118</v>
      </c>
      <c r="N148" s="90" t="s">
        <v>1964</v>
      </c>
      <c r="O148" s="49">
        <f>VLOOKUP(N148,'[2]climate data'!$A$78:$C$98,2,FALSE)</f>
        <v>0.13927272727272727</v>
      </c>
      <c r="P148" s="49">
        <f>VLOOKUP(N148,'[2]climate data'!$A$78:$C$98,3,FALSE)</f>
        <v>0.60982152437497761</v>
      </c>
    </row>
    <row r="149" spans="1:16">
      <c r="A149" t="s">
        <v>1015</v>
      </c>
      <c r="B149" s="1606" t="s">
        <v>1515</v>
      </c>
      <c r="C149" s="1606" t="s">
        <v>1532</v>
      </c>
      <c r="D149" s="1606" t="s">
        <v>1515</v>
      </c>
      <c r="E149" s="1606" t="s">
        <v>1665</v>
      </c>
      <c r="F149" s="1606" t="s">
        <v>1515</v>
      </c>
      <c r="G149" s="1788" t="s">
        <v>596</v>
      </c>
      <c r="H149" s="1606" t="s">
        <v>1798</v>
      </c>
      <c r="J149" s="1606" t="s">
        <v>1799</v>
      </c>
      <c r="L149" s="90" t="s">
        <v>1947</v>
      </c>
      <c r="M149" s="216">
        <v>85.802970555685633</v>
      </c>
      <c r="N149" s="90" t="s">
        <v>1912</v>
      </c>
      <c r="O149" s="49">
        <f>VLOOKUP(N149,'[2]climate data'!$A$78:$C$98,2,FALSE)</f>
        <v>0.15764546684709066</v>
      </c>
      <c r="P149" s="49">
        <f>VLOOKUP(N149,'[2]climate data'!$A$78:$C$98,3,FALSE)</f>
        <v>0.53875007349050508</v>
      </c>
    </row>
    <row r="150" spans="1:16">
      <c r="A150" t="s">
        <v>8</v>
      </c>
      <c r="C150" s="1606" t="s">
        <v>1532</v>
      </c>
      <c r="G150" s="1788" t="s">
        <v>596</v>
      </c>
      <c r="L150" s="90" t="s">
        <v>1017</v>
      </c>
      <c r="M150" s="216">
        <v>97.782321979435736</v>
      </c>
      <c r="N150" s="90" t="s">
        <v>1912</v>
      </c>
      <c r="O150" s="49">
        <f>VLOOKUP(N150,'[2]climate data'!$A$78:$C$98,2,FALSE)</f>
        <v>0.15764546684709066</v>
      </c>
      <c r="P150" s="49">
        <f>VLOOKUP(N150,'[2]climate data'!$A$78:$C$98,3,FALSE)</f>
        <v>0.53875007349050508</v>
      </c>
    </row>
    <row r="151" spans="1:16">
      <c r="A151" t="s">
        <v>18</v>
      </c>
      <c r="C151" s="1606" t="s">
        <v>1532</v>
      </c>
      <c r="G151" s="1788" t="s">
        <v>596</v>
      </c>
      <c r="L151" s="90" t="s">
        <v>60</v>
      </c>
      <c r="M151" s="216">
        <v>35.89380279962581</v>
      </c>
      <c r="N151" s="90" t="s">
        <v>1912</v>
      </c>
      <c r="O151" s="49">
        <f>VLOOKUP(N151,'[2]climate data'!$A$78:$C$98,2,FALSE)</f>
        <v>0.15764546684709066</v>
      </c>
      <c r="P151" s="49">
        <f>VLOOKUP(N151,'[2]climate data'!$A$78:$C$98,3,FALSE)</f>
        <v>0.53875007349050508</v>
      </c>
    </row>
    <row r="152" spans="1:16">
      <c r="A152" t="s">
        <v>1016</v>
      </c>
      <c r="C152" s="1606" t="s">
        <v>1532</v>
      </c>
      <c r="G152" s="1788" t="s">
        <v>596</v>
      </c>
      <c r="L152" s="90" t="s">
        <v>1375</v>
      </c>
      <c r="M152" s="216">
        <v>69.823344474918429</v>
      </c>
      <c r="N152" s="90" t="s">
        <v>1453</v>
      </c>
      <c r="O152" s="49">
        <f>VLOOKUP(N152,'[2]climate data'!$A$78:$C$98,2,FALSE)</f>
        <v>0.14217401446232797</v>
      </c>
      <c r="P152" s="49">
        <f>VLOOKUP(N152,'[2]climate data'!$A$78:$C$98,3,FALSE)</f>
        <v>0.59737714497623251</v>
      </c>
    </row>
    <row r="153" spans="1:16">
      <c r="A153" t="s">
        <v>1396</v>
      </c>
      <c r="C153" s="1606" t="s">
        <v>1532</v>
      </c>
      <c r="G153" s="1788" t="s">
        <v>2312</v>
      </c>
      <c r="L153" s="90" t="s">
        <v>61</v>
      </c>
      <c r="M153" s="216">
        <v>205.84921639164656</v>
      </c>
      <c r="N153" s="90" t="s">
        <v>1453</v>
      </c>
      <c r="O153" s="49">
        <f>VLOOKUP(N153,'[2]climate data'!$A$78:$C$98,2,FALSE)</f>
        <v>0.14217401446232797</v>
      </c>
      <c r="P153" s="49">
        <f>VLOOKUP(N153,'[2]climate data'!$A$78:$C$98,3,FALSE)</f>
        <v>0.59737714497623251</v>
      </c>
    </row>
    <row r="154" spans="1:16">
      <c r="A154" t="s">
        <v>1598</v>
      </c>
      <c r="C154" s="1606" t="s">
        <v>1532</v>
      </c>
      <c r="G154" s="1788" t="s">
        <v>596</v>
      </c>
      <c r="L154" s="90" t="s">
        <v>80</v>
      </c>
      <c r="M154" s="216">
        <v>43.420181157961174</v>
      </c>
      <c r="N154" s="90" t="s">
        <v>1914</v>
      </c>
      <c r="O154" s="49">
        <f>VLOOKUP(N154,'[2]climate data'!$A$78:$C$98,2,FALSE)</f>
        <v>0.13416220905016626</v>
      </c>
      <c r="P154" s="49">
        <f>VLOOKUP(N154,'[2]climate data'!$A$78:$C$98,3,FALSE)</f>
        <v>0.63305089749645727</v>
      </c>
    </row>
    <row r="155" spans="1:16">
      <c r="A155" t="s">
        <v>1599</v>
      </c>
      <c r="C155" s="1606" t="s">
        <v>1532</v>
      </c>
      <c r="G155" s="1788" t="s">
        <v>596</v>
      </c>
      <c r="L155" s="90" t="s">
        <v>1018</v>
      </c>
      <c r="M155" s="216">
        <v>0</v>
      </c>
      <c r="N155" s="90" t="s">
        <v>2285</v>
      </c>
      <c r="O155" s="49">
        <f>VLOOKUP(N155,'[2]climate data'!$A$78:$C$98,2,FALSE)</f>
        <v>0.13135118623358111</v>
      </c>
      <c r="P155" s="49">
        <f>VLOOKUP(N155,'[2]climate data'!$A$78:$C$98,3,FALSE)</f>
        <v>0.64659870447063827</v>
      </c>
    </row>
    <row r="156" spans="1:16">
      <c r="A156" t="s">
        <v>1017</v>
      </c>
      <c r="C156" s="1606" t="s">
        <v>1532</v>
      </c>
      <c r="G156" s="1788" t="s">
        <v>596</v>
      </c>
      <c r="L156" s="90" t="s">
        <v>14</v>
      </c>
      <c r="M156" s="216">
        <v>39.866957314490762</v>
      </c>
      <c r="N156" s="90" t="s">
        <v>1453</v>
      </c>
      <c r="O156" s="49">
        <f>VLOOKUP(N156,'[2]climate data'!$A$78:$C$98,2,FALSE)</f>
        <v>0.14217401446232797</v>
      </c>
      <c r="P156" s="49">
        <f>VLOOKUP(N156,'[2]climate data'!$A$78:$C$98,3,FALSE)</f>
        <v>0.59737714497623251</v>
      </c>
    </row>
    <row r="157" spans="1:16">
      <c r="A157" t="s">
        <v>60</v>
      </c>
      <c r="B157" s="1606" t="s">
        <v>1515</v>
      </c>
      <c r="C157" s="1606" t="s">
        <v>1532</v>
      </c>
      <c r="D157" s="1606" t="s">
        <v>1515</v>
      </c>
      <c r="F157" s="1606" t="s">
        <v>1529</v>
      </c>
      <c r="G157" s="1788" t="s">
        <v>2312</v>
      </c>
      <c r="H157" s="1606" t="s">
        <v>1800</v>
      </c>
      <c r="L157" s="90" t="s">
        <v>19</v>
      </c>
      <c r="M157" s="216">
        <v>152.4628857917634</v>
      </c>
      <c r="N157" s="90" t="s">
        <v>1446</v>
      </c>
      <c r="O157" s="49">
        <f>VLOOKUP(N157,'[2]climate data'!$A$78:$C$98,2,FALSE)</f>
        <v>0.14198449369566921</v>
      </c>
      <c r="P157" s="49">
        <f>VLOOKUP(N157,'[2]climate data'!$A$78:$C$98,3,FALSE)</f>
        <v>0.59817452341914179</v>
      </c>
    </row>
    <row r="158" spans="1:16">
      <c r="A158" t="s">
        <v>1375</v>
      </c>
      <c r="C158" s="1606" t="s">
        <v>1532</v>
      </c>
      <c r="G158" s="1788" t="s">
        <v>2312</v>
      </c>
      <c r="L158" s="90" t="s">
        <v>1019</v>
      </c>
      <c r="M158" s="216">
        <v>22.299828055883602</v>
      </c>
      <c r="N158" s="90" t="s">
        <v>2284</v>
      </c>
      <c r="O158" s="49">
        <f>VLOOKUP(N158,'[2]climate data'!$A$78:$C$98,2,FALSE)</f>
        <v>0.1457497612225406</v>
      </c>
      <c r="P158" s="49">
        <f>VLOOKUP(N158,'[2]climate data'!$A$78:$C$98,3,FALSE)</f>
        <v>0.58272141331083149</v>
      </c>
    </row>
    <row r="159" spans="1:16">
      <c r="A159" t="s">
        <v>61</v>
      </c>
      <c r="C159" s="1606" t="s">
        <v>1532</v>
      </c>
      <c r="G159" s="1788" t="s">
        <v>2312</v>
      </c>
      <c r="L159" s="90" t="s">
        <v>1020</v>
      </c>
      <c r="M159" s="216">
        <v>28.836788349888483</v>
      </c>
      <c r="N159" s="90" t="s">
        <v>2284</v>
      </c>
      <c r="O159" s="49">
        <f>VLOOKUP(N159,'[2]climate data'!$A$78:$C$98,2,FALSE)</f>
        <v>0.1457497612225406</v>
      </c>
      <c r="P159" s="49">
        <f>VLOOKUP(N159,'[2]climate data'!$A$78:$C$98,3,FALSE)</f>
        <v>0.58272141331083149</v>
      </c>
    </row>
    <row r="160" spans="1:16">
      <c r="A160" t="s">
        <v>80</v>
      </c>
      <c r="B160" s="1606" t="s">
        <v>1529</v>
      </c>
      <c r="C160" s="1606" t="s">
        <v>1532</v>
      </c>
      <c r="D160" s="1606" t="s">
        <v>1529</v>
      </c>
      <c r="F160" s="1606" t="s">
        <v>1526</v>
      </c>
      <c r="G160" s="1788" t="s">
        <v>2312</v>
      </c>
      <c r="L160" s="90" t="s">
        <v>152</v>
      </c>
      <c r="M160" s="216">
        <v>96.355068815291034</v>
      </c>
      <c r="N160" s="90" t="s">
        <v>1907</v>
      </c>
      <c r="O160" s="49">
        <f>VLOOKUP(N160,'[2]climate data'!$A$78:$C$98,2,FALSE)</f>
        <v>0.15400143257146579</v>
      </c>
      <c r="P160" s="49">
        <f>VLOOKUP(N160,'[2]climate data'!$A$78:$C$98,3,FALSE)</f>
        <v>0.55149816096614435</v>
      </c>
    </row>
    <row r="161" spans="1:16">
      <c r="A161" t="s">
        <v>1018</v>
      </c>
      <c r="C161" s="1606" t="s">
        <v>1532</v>
      </c>
      <c r="G161" s="1788" t="s">
        <v>596</v>
      </c>
      <c r="L161" s="90" t="s">
        <v>81</v>
      </c>
      <c r="M161" s="216">
        <v>159.0828288159943</v>
      </c>
      <c r="N161" s="90" t="s">
        <v>1907</v>
      </c>
      <c r="O161" s="49">
        <f>VLOOKUP(N161,'[2]climate data'!$A$78:$C$98,2,FALSE)</f>
        <v>0.15400143257146579</v>
      </c>
      <c r="P161" s="49">
        <f>VLOOKUP(N161,'[2]climate data'!$A$78:$C$98,3,FALSE)</f>
        <v>0.55149816096614435</v>
      </c>
    </row>
    <row r="162" spans="1:16">
      <c r="A162" t="s">
        <v>14</v>
      </c>
      <c r="C162" s="1606" t="s">
        <v>1532</v>
      </c>
      <c r="G162" s="1788" t="s">
        <v>596</v>
      </c>
      <c r="L162" s="90" t="s">
        <v>37</v>
      </c>
      <c r="M162" s="216">
        <v>222.10444824243487</v>
      </c>
      <c r="N162" s="90" t="s">
        <v>1453</v>
      </c>
      <c r="O162" s="49">
        <f>VLOOKUP(N162,'[2]climate data'!$A$78:$C$98,2,FALSE)</f>
        <v>0.14217401446232797</v>
      </c>
      <c r="P162" s="49">
        <f>VLOOKUP(N162,'[2]climate data'!$A$78:$C$98,3,FALSE)</f>
        <v>0.59737714497623251</v>
      </c>
    </row>
    <row r="163" spans="1:16">
      <c r="A163" t="s">
        <v>19</v>
      </c>
      <c r="B163" s="1606" t="s">
        <v>1526</v>
      </c>
      <c r="C163" s="1606" t="s">
        <v>1532</v>
      </c>
      <c r="D163" s="1606" t="s">
        <v>1526</v>
      </c>
      <c r="F163" s="1606" t="s">
        <v>1526</v>
      </c>
      <c r="G163" s="1788" t="s">
        <v>2312</v>
      </c>
      <c r="L163" s="90" t="s">
        <v>1021</v>
      </c>
      <c r="M163" s="216">
        <v>232.56516426373338</v>
      </c>
      <c r="N163" s="90" t="s">
        <v>1453</v>
      </c>
      <c r="O163" s="49">
        <f>VLOOKUP(N163,'[2]climate data'!$A$78:$C$98,2,FALSE)</f>
        <v>0.14217401446232797</v>
      </c>
      <c r="P163" s="49">
        <f>VLOOKUP(N163,'[2]climate data'!$A$78:$C$98,3,FALSE)</f>
        <v>0.59737714497623251</v>
      </c>
    </row>
    <row r="164" spans="1:16">
      <c r="A164" t="s">
        <v>1019</v>
      </c>
      <c r="C164" s="1606" t="s">
        <v>1532</v>
      </c>
      <c r="G164" s="1788" t="s">
        <v>596</v>
      </c>
      <c r="L164" s="90" t="s">
        <v>1397</v>
      </c>
      <c r="M164" s="216">
        <v>81.54347760302943</v>
      </c>
      <c r="N164" s="90" t="s">
        <v>1914</v>
      </c>
      <c r="O164" s="49">
        <f>VLOOKUP(N164,'[2]climate data'!$A$78:$C$98,2,FALSE)</f>
        <v>0.13416220905016626</v>
      </c>
      <c r="P164" s="49">
        <f>VLOOKUP(N164,'[2]climate data'!$A$78:$C$98,3,FALSE)</f>
        <v>0.63305089749645727</v>
      </c>
    </row>
    <row r="165" spans="1:16">
      <c r="A165" t="s">
        <v>1020</v>
      </c>
      <c r="C165" s="1606" t="s">
        <v>1532</v>
      </c>
      <c r="G165" s="1788" t="s">
        <v>596</v>
      </c>
      <c r="L165" s="90" t="s">
        <v>154</v>
      </c>
      <c r="M165" s="216">
        <v>51.70037686205248</v>
      </c>
      <c r="N165" s="90" t="s">
        <v>1031</v>
      </c>
      <c r="O165" s="49">
        <f>VLOOKUP(N165,'[2]climate data'!$A$78:$C$98,2,FALSE)</f>
        <v>0.13850864553314121</v>
      </c>
      <c r="P165" s="49">
        <f>VLOOKUP(N165,'[2]climate data'!$A$78:$C$98,3,FALSE)</f>
        <v>0.61318559951547114</v>
      </c>
    </row>
    <row r="166" spans="1:16">
      <c r="A166" t="s">
        <v>152</v>
      </c>
      <c r="B166" s="1606" t="s">
        <v>1515</v>
      </c>
      <c r="C166" s="1606" t="s">
        <v>1532</v>
      </c>
      <c r="D166" s="1606" t="s">
        <v>1529</v>
      </c>
      <c r="F166" s="1606" t="s">
        <v>1526</v>
      </c>
      <c r="G166" s="1788" t="s">
        <v>2312</v>
      </c>
      <c r="L166" s="90" t="s">
        <v>1022</v>
      </c>
      <c r="M166" s="216">
        <v>96.226313067178708</v>
      </c>
      <c r="N166" s="90" t="s">
        <v>1031</v>
      </c>
      <c r="O166" s="49">
        <f>VLOOKUP(N166,'[2]climate data'!$A$78:$C$98,2,FALSE)</f>
        <v>0.13850864553314121</v>
      </c>
      <c r="P166" s="49">
        <f>VLOOKUP(N166,'[2]climate data'!$A$78:$C$98,3,FALSE)</f>
        <v>0.61318559951547114</v>
      </c>
    </row>
    <row r="167" spans="1:16">
      <c r="A167" t="s">
        <v>81</v>
      </c>
      <c r="B167" s="1606" t="s">
        <v>1515</v>
      </c>
      <c r="C167" s="1606" t="s">
        <v>1532</v>
      </c>
      <c r="D167" s="1606" t="s">
        <v>1529</v>
      </c>
      <c r="E167" s="1606" t="s">
        <v>1697</v>
      </c>
      <c r="F167" s="1606" t="s">
        <v>1529</v>
      </c>
      <c r="G167" s="1788" t="s">
        <v>2312</v>
      </c>
      <c r="H167" s="1606" t="s">
        <v>1801</v>
      </c>
      <c r="L167" s="90" t="s">
        <v>1024</v>
      </c>
      <c r="M167" s="216">
        <v>135.18283459166912</v>
      </c>
      <c r="N167" s="90" t="s">
        <v>1905</v>
      </c>
      <c r="O167" s="49">
        <f>VLOOKUP(N167,'[2]climate data'!$A$78:$C$98,2,FALSE)</f>
        <v>0.11785345717234262</v>
      </c>
      <c r="P167" s="49">
        <f>VLOOKUP(N167,'[2]climate data'!$A$78:$C$98,3,FALSE)</f>
        <v>0.70929624594792429</v>
      </c>
    </row>
    <row r="168" spans="1:16">
      <c r="A168" t="s">
        <v>37</v>
      </c>
      <c r="C168" s="1606" t="s">
        <v>1532</v>
      </c>
      <c r="G168" s="1788" t="s">
        <v>2312</v>
      </c>
      <c r="L168" s="90" t="s">
        <v>1025</v>
      </c>
      <c r="M168" s="216">
        <v>12.280468331129152</v>
      </c>
      <c r="N168" s="90" t="s">
        <v>2285</v>
      </c>
      <c r="O168" s="49">
        <f>VLOOKUP(N168,'[2]climate data'!$A$78:$C$98,2,FALSE)</f>
        <v>0.13135118623358111</v>
      </c>
      <c r="P168" s="49">
        <f>VLOOKUP(N168,'[2]climate data'!$A$78:$C$98,3,FALSE)</f>
        <v>0.64659870447063827</v>
      </c>
    </row>
    <row r="169" spans="1:16">
      <c r="A169" t="s">
        <v>1021</v>
      </c>
      <c r="C169" s="1606" t="s">
        <v>1532</v>
      </c>
      <c r="G169" s="1788" t="s">
        <v>596</v>
      </c>
      <c r="L169" s="90" t="s">
        <v>294</v>
      </c>
      <c r="M169" s="216">
        <v>0</v>
      </c>
      <c r="N169" s="90" t="s">
        <v>1453</v>
      </c>
      <c r="O169" s="49">
        <f>VLOOKUP(N169,'[2]climate data'!$A$78:$C$98,2,FALSE)</f>
        <v>0.14217401446232797</v>
      </c>
      <c r="P169" s="49">
        <f>VLOOKUP(N169,'[2]climate data'!$A$78:$C$98,3,FALSE)</f>
        <v>0.59737714497623251</v>
      </c>
    </row>
    <row r="170" spans="1:16">
      <c r="A170" t="s">
        <v>154</v>
      </c>
      <c r="B170" s="1606" t="s">
        <v>1515</v>
      </c>
      <c r="C170" s="1606" t="s">
        <v>1532</v>
      </c>
      <c r="D170" s="1606" t="s">
        <v>1526</v>
      </c>
      <c r="E170" s="1606" t="s">
        <v>1697</v>
      </c>
      <c r="F170" s="1606" t="s">
        <v>1529</v>
      </c>
      <c r="G170" s="1788" t="s">
        <v>2312</v>
      </c>
      <c r="H170" s="1606" t="s">
        <v>1802</v>
      </c>
      <c r="L170" s="90" t="s">
        <v>1398</v>
      </c>
      <c r="M170" s="216">
        <v>5.2746731604262163</v>
      </c>
      <c r="N170" s="90" t="s">
        <v>2285</v>
      </c>
      <c r="O170" s="49">
        <f>VLOOKUP(N170,'[2]climate data'!$A$78:$C$98,2,FALSE)</f>
        <v>0.13135118623358111</v>
      </c>
      <c r="P170" s="49">
        <f>VLOOKUP(N170,'[2]climate data'!$A$78:$C$98,3,FALSE)</f>
        <v>0.64659870447063827</v>
      </c>
    </row>
    <row r="171" spans="1:16">
      <c r="A171" t="s">
        <v>1022</v>
      </c>
      <c r="B171" s="1606" t="s">
        <v>1515</v>
      </c>
      <c r="C171" s="1606" t="s">
        <v>1532</v>
      </c>
      <c r="D171" s="1606" t="s">
        <v>1529</v>
      </c>
      <c r="E171" s="1606" t="s">
        <v>1697</v>
      </c>
      <c r="F171" s="1606" t="s">
        <v>1529</v>
      </c>
      <c r="G171" s="1788" t="s">
        <v>2312</v>
      </c>
      <c r="H171" s="1606" t="s">
        <v>1803</v>
      </c>
      <c r="L171" s="90" t="s">
        <v>1399</v>
      </c>
      <c r="M171" s="216">
        <v>82.561399615785348</v>
      </c>
      <c r="N171" s="90" t="s">
        <v>1457</v>
      </c>
      <c r="O171" s="49">
        <f>VLOOKUP(N171,'[2]climate data'!$A$78:$C$98,2,FALSE)</f>
        <v>0.1225813667375014</v>
      </c>
      <c r="P171" s="49">
        <f>VLOOKUP(N171,'[2]climate data'!$A$78:$C$98,3,FALSE)</f>
        <v>0.69285821417858218</v>
      </c>
    </row>
    <row r="172" spans="1:16">
      <c r="A172" t="s">
        <v>1023</v>
      </c>
      <c r="C172" s="1606" t="s">
        <v>1532</v>
      </c>
      <c r="G172" s="1788" t="s">
        <v>596</v>
      </c>
      <c r="L172" s="90" t="s">
        <v>15</v>
      </c>
      <c r="M172" s="216">
        <v>93.137190366377041</v>
      </c>
      <c r="N172" s="90" t="s">
        <v>1453</v>
      </c>
      <c r="O172" s="49">
        <f>VLOOKUP(N172,'[2]climate data'!$A$78:$C$98,2,FALSE)</f>
        <v>0.14217401446232797</v>
      </c>
      <c r="P172" s="49">
        <f>VLOOKUP(N172,'[2]climate data'!$A$78:$C$98,3,FALSE)</f>
        <v>0.59737714497623251</v>
      </c>
    </row>
    <row r="173" spans="1:16">
      <c r="A173" t="s">
        <v>1024</v>
      </c>
      <c r="B173" s="1606" t="s">
        <v>1526</v>
      </c>
      <c r="C173" s="1606" t="s">
        <v>1532</v>
      </c>
      <c r="D173" s="1606" t="s">
        <v>1526</v>
      </c>
      <c r="F173" s="1606" t="s">
        <v>1526</v>
      </c>
      <c r="G173" s="1788" t="s">
        <v>2312</v>
      </c>
      <c r="H173" s="1606" t="s">
        <v>1804</v>
      </c>
      <c r="L173" s="90" t="s">
        <v>208</v>
      </c>
      <c r="M173" s="216">
        <v>298.23119246635571</v>
      </c>
      <c r="N173" s="90" t="s">
        <v>1907</v>
      </c>
      <c r="O173" s="49">
        <f>VLOOKUP(N173,'[2]climate data'!$A$78:$C$98,2,FALSE)</f>
        <v>0.15400143257146579</v>
      </c>
      <c r="P173" s="49">
        <f>VLOOKUP(N173,'[2]climate data'!$A$78:$C$98,3,FALSE)</f>
        <v>0.55149816096614435</v>
      </c>
    </row>
    <row r="174" spans="1:16">
      <c r="A174" t="s">
        <v>1025</v>
      </c>
      <c r="C174" s="1606" t="s">
        <v>1532</v>
      </c>
      <c r="G174" s="1788" t="s">
        <v>596</v>
      </c>
      <c r="L174" s="90" t="s">
        <v>1601</v>
      </c>
      <c r="M174" s="216">
        <v>59.977046842293198</v>
      </c>
      <c r="N174" s="90" t="s">
        <v>2285</v>
      </c>
      <c r="O174" s="49">
        <f>VLOOKUP(N174,'[2]climate data'!$A$78:$C$98,2,FALSE)</f>
        <v>0.13135118623358111</v>
      </c>
      <c r="P174" s="49">
        <f>VLOOKUP(N174,'[2]climate data'!$A$78:$C$98,3,FALSE)</f>
        <v>0.64659870447063827</v>
      </c>
    </row>
    <row r="175" spans="1:16">
      <c r="A175" t="s">
        <v>294</v>
      </c>
      <c r="C175" s="1606" t="s">
        <v>1532</v>
      </c>
      <c r="G175" s="1788" t="s">
        <v>596</v>
      </c>
      <c r="L175" s="90" t="s">
        <v>82</v>
      </c>
      <c r="M175" s="216">
        <v>69.739954743388353</v>
      </c>
      <c r="N175" s="90" t="s">
        <v>1964</v>
      </c>
      <c r="O175" s="49">
        <f>VLOOKUP(N175,'[2]climate data'!$A$78:$C$98,2,FALSE)</f>
        <v>0.13927272727272727</v>
      </c>
      <c r="P175" s="49">
        <f>VLOOKUP(N175,'[2]climate data'!$A$78:$C$98,3,FALSE)</f>
        <v>0.60982152437497761</v>
      </c>
    </row>
    <row r="176" spans="1:16">
      <c r="A176" t="s">
        <v>1398</v>
      </c>
      <c r="C176" s="1606" t="s">
        <v>1532</v>
      </c>
      <c r="G176" s="1788" t="s">
        <v>596</v>
      </c>
      <c r="L176" s="90" t="s">
        <v>1400</v>
      </c>
      <c r="M176" s="216">
        <v>81.134845960935024</v>
      </c>
      <c r="N176" s="90" t="s">
        <v>1031</v>
      </c>
      <c r="O176" s="49">
        <f>VLOOKUP(N176,'[2]climate data'!$A$78:$C$98,2,FALSE)</f>
        <v>0.13850864553314121</v>
      </c>
      <c r="P176" s="49">
        <f>VLOOKUP(N176,'[2]climate data'!$A$78:$C$98,3,FALSE)</f>
        <v>0.61318559951547114</v>
      </c>
    </row>
    <row r="177" spans="1:16">
      <c r="A177" t="s">
        <v>1600</v>
      </c>
      <c r="C177" s="1606" t="s">
        <v>1532</v>
      </c>
      <c r="G177" s="1788" t="s">
        <v>596</v>
      </c>
      <c r="L177" s="90" t="s">
        <v>112</v>
      </c>
      <c r="M177" s="216">
        <v>77.321358772571045</v>
      </c>
      <c r="N177" s="90" t="s">
        <v>1457</v>
      </c>
      <c r="O177" s="49">
        <f>VLOOKUP(N177,'[2]climate data'!$A$78:$C$98,2,FALSE)</f>
        <v>0.1225813667375014</v>
      </c>
      <c r="P177" s="49">
        <f>VLOOKUP(N177,'[2]climate data'!$A$78:$C$98,3,FALSE)</f>
        <v>0.69285821417858218</v>
      </c>
    </row>
    <row r="178" spans="1:16">
      <c r="A178" t="s">
        <v>1399</v>
      </c>
      <c r="C178" s="1606" t="s">
        <v>1532</v>
      </c>
      <c r="F178" s="1606" t="s">
        <v>1526</v>
      </c>
      <c r="G178" s="1788" t="s">
        <v>2312</v>
      </c>
      <c r="L178" s="90" t="s">
        <v>1028</v>
      </c>
      <c r="M178" s="216">
        <v>205.2860707824284</v>
      </c>
      <c r="N178" s="90" t="s">
        <v>1453</v>
      </c>
      <c r="O178" s="49">
        <f>VLOOKUP(N178,'[2]climate data'!$A$78:$C$98,2,FALSE)</f>
        <v>0.14217401446232797</v>
      </c>
      <c r="P178" s="49">
        <f>VLOOKUP(N178,'[2]climate data'!$A$78:$C$98,3,FALSE)</f>
        <v>0.59737714497623251</v>
      </c>
    </row>
    <row r="179" spans="1:16">
      <c r="A179" t="s">
        <v>15</v>
      </c>
      <c r="C179" s="1606" t="s">
        <v>1532</v>
      </c>
      <c r="G179" s="1788" t="s">
        <v>596</v>
      </c>
      <c r="L179" s="90" t="s">
        <v>83</v>
      </c>
      <c r="M179" s="216">
        <v>26.004767462986404</v>
      </c>
      <c r="N179" s="90" t="s">
        <v>1446</v>
      </c>
      <c r="O179" s="49">
        <f>VLOOKUP(N179,'[2]climate data'!$A$78:$C$98,2,FALSE)</f>
        <v>0.14198449369566921</v>
      </c>
      <c r="P179" s="49">
        <f>VLOOKUP(N179,'[2]climate data'!$A$78:$C$98,3,FALSE)</f>
        <v>0.59817452341914179</v>
      </c>
    </row>
    <row r="180" spans="1:16">
      <c r="A180" t="s">
        <v>208</v>
      </c>
      <c r="C180" s="1606" t="s">
        <v>1532</v>
      </c>
      <c r="G180" s="1788" t="s">
        <v>2312</v>
      </c>
      <c r="L180" s="90" t="s">
        <v>1029</v>
      </c>
      <c r="M180" s="216">
        <v>48.208448906198193</v>
      </c>
      <c r="N180" s="90" t="s">
        <v>2285</v>
      </c>
      <c r="O180" s="49">
        <f>VLOOKUP(N180,'[2]climate data'!$A$78:$C$98,2,FALSE)</f>
        <v>0.13135118623358111</v>
      </c>
      <c r="P180" s="49">
        <f>VLOOKUP(N180,'[2]climate data'!$A$78:$C$98,3,FALSE)</f>
        <v>0.64659870447063827</v>
      </c>
    </row>
    <row r="181" spans="1:16">
      <c r="A181" t="s">
        <v>1601</v>
      </c>
      <c r="C181" s="1606" t="s">
        <v>1532</v>
      </c>
      <c r="G181" s="1788" t="s">
        <v>596</v>
      </c>
      <c r="L181" s="90" t="s">
        <v>295</v>
      </c>
      <c r="M181" s="216">
        <v>63.747596789294825</v>
      </c>
      <c r="N181" s="90" t="s">
        <v>2285</v>
      </c>
      <c r="O181" s="49">
        <f>VLOOKUP(N181,'[2]climate data'!$A$78:$C$98,2,FALSE)</f>
        <v>0.13135118623358111</v>
      </c>
      <c r="P181" s="49">
        <f>VLOOKUP(N181,'[2]climate data'!$A$78:$C$98,3,FALSE)</f>
        <v>0.64659870447063827</v>
      </c>
    </row>
    <row r="182" spans="1:16">
      <c r="A182" t="s">
        <v>1490</v>
      </c>
      <c r="B182" s="1606" t="s">
        <v>1529</v>
      </c>
      <c r="C182" s="1606" t="s">
        <v>1532</v>
      </c>
      <c r="D182" s="1606" t="s">
        <v>1529</v>
      </c>
      <c r="F182" s="1606" t="s">
        <v>1526</v>
      </c>
      <c r="G182" s="1788" t="s">
        <v>2312</v>
      </c>
      <c r="H182" s="1606" t="s">
        <v>1805</v>
      </c>
      <c r="L182" s="90" t="s">
        <v>1030</v>
      </c>
      <c r="M182" s="216">
        <v>39.794820606179549</v>
      </c>
      <c r="N182" s="90" t="s">
        <v>1932</v>
      </c>
      <c r="O182" s="49">
        <f>VLOOKUP(N182,'[2]climate data'!$A$78:$C$98,2,FALSE)</f>
        <v>0.15677321156773211</v>
      </c>
      <c r="P182" s="49">
        <f>VLOOKUP(N182,'[2]climate data'!$A$78:$C$98,3,FALSE)</f>
        <v>0.54174757281553398</v>
      </c>
    </row>
    <row r="183" spans="1:16">
      <c r="A183" t="s">
        <v>82</v>
      </c>
      <c r="B183" s="1606" t="s">
        <v>1529</v>
      </c>
      <c r="C183" s="1606" t="s">
        <v>1532</v>
      </c>
      <c r="D183" s="1606" t="s">
        <v>1529</v>
      </c>
      <c r="E183" s="1606" t="s">
        <v>1697</v>
      </c>
      <c r="F183" s="1606" t="s">
        <v>1529</v>
      </c>
      <c r="G183" s="1788" t="s">
        <v>2312</v>
      </c>
      <c r="J183" s="1606" t="s">
        <v>1806</v>
      </c>
      <c r="L183" s="90" t="s">
        <v>296</v>
      </c>
      <c r="M183" s="216">
        <v>228.40358624364623</v>
      </c>
      <c r="N183" s="90" t="s">
        <v>1453</v>
      </c>
      <c r="O183" s="49">
        <f>VLOOKUP(N183,'[2]climate data'!$A$78:$C$98,2,FALSE)</f>
        <v>0.14217401446232797</v>
      </c>
      <c r="P183" s="49">
        <f>VLOOKUP(N183,'[2]climate data'!$A$78:$C$98,3,FALSE)</f>
        <v>0.59737714497623251</v>
      </c>
    </row>
    <row r="184" spans="1:16">
      <c r="A184" t="s">
        <v>1400</v>
      </c>
      <c r="C184" s="1606" t="s">
        <v>1532</v>
      </c>
      <c r="F184" s="1606" t="s">
        <v>1526</v>
      </c>
      <c r="G184" s="1788" t="s">
        <v>2312</v>
      </c>
      <c r="L184" s="90" t="s">
        <v>46</v>
      </c>
      <c r="M184" s="216">
        <v>58.426346558710087</v>
      </c>
      <c r="N184" s="90" t="s">
        <v>1458</v>
      </c>
      <c r="O184" s="49">
        <f>VLOOKUP(N184,'[2]climate data'!$A$78:$C$98,2,FALSE)</f>
        <v>0.13295201779472512</v>
      </c>
      <c r="P184" s="49">
        <f>VLOOKUP(N184,'[2]climate data'!$A$78:$C$98,3,FALSE)</f>
        <v>0.62933706629337072</v>
      </c>
    </row>
    <row r="185" spans="1:16">
      <c r="A185" t="s">
        <v>112</v>
      </c>
      <c r="B185" s="1606" t="s">
        <v>1526</v>
      </c>
      <c r="C185" s="1606" t="s">
        <v>1532</v>
      </c>
      <c r="D185" s="1606" t="s">
        <v>1526</v>
      </c>
      <c r="F185" s="1606" t="s">
        <v>1529</v>
      </c>
      <c r="G185" s="1788" t="s">
        <v>2312</v>
      </c>
      <c r="L185" s="90" t="s">
        <v>162</v>
      </c>
      <c r="M185" s="216">
        <v>18.702204400202316</v>
      </c>
      <c r="N185" s="90" t="s">
        <v>1905</v>
      </c>
      <c r="O185" s="49">
        <f>VLOOKUP(N185,'[2]climate data'!$A$78:$C$98,2,FALSE)</f>
        <v>0.11785345717234262</v>
      </c>
      <c r="P185" s="49">
        <f>VLOOKUP(N185,'[2]climate data'!$A$78:$C$98,3,FALSE)</f>
        <v>0.70929624594792429</v>
      </c>
    </row>
    <row r="186" spans="1:16">
      <c r="A186" t="s">
        <v>1028</v>
      </c>
      <c r="C186" s="1606" t="s">
        <v>1532</v>
      </c>
      <c r="G186" s="1788" t="s">
        <v>596</v>
      </c>
      <c r="L186" s="90" t="s">
        <v>1401</v>
      </c>
      <c r="M186" s="216">
        <v>85.037130476770059</v>
      </c>
      <c r="N186" s="90" t="s">
        <v>1460</v>
      </c>
      <c r="O186" s="49">
        <f>VLOOKUP(N186,'[2]climate data'!$A$78:$C$98,2,FALSE)</f>
        <v>0.13287016934433349</v>
      </c>
      <c r="P186" s="49">
        <f>VLOOKUP(N186,'[2]climate data'!$A$78:$C$98,3,FALSE)</f>
        <v>0.63740887486717346</v>
      </c>
    </row>
    <row r="187" spans="1:16">
      <c r="A187" t="s">
        <v>83</v>
      </c>
      <c r="B187" s="1606" t="s">
        <v>1526</v>
      </c>
      <c r="C187" s="1606" t="s">
        <v>1532</v>
      </c>
      <c r="D187" s="1606" t="s">
        <v>1526</v>
      </c>
      <c r="F187" s="1606" t="s">
        <v>1526</v>
      </c>
      <c r="G187" s="1788" t="s">
        <v>2312</v>
      </c>
      <c r="L187" s="90" t="s">
        <v>1031</v>
      </c>
      <c r="M187" s="216">
        <v>0</v>
      </c>
      <c r="N187" s="90" t="s">
        <v>1031</v>
      </c>
      <c r="O187" s="49">
        <f>VLOOKUP(N187,'[2]climate data'!$A$78:$C$98,2,FALSE)</f>
        <v>0.13850864553314121</v>
      </c>
      <c r="P187" s="49">
        <f>VLOOKUP(N187,'[2]climate data'!$A$78:$C$98,3,FALSE)</f>
        <v>0.61318559951547114</v>
      </c>
    </row>
    <row r="188" spans="1:16">
      <c r="A188" t="s">
        <v>1029</v>
      </c>
      <c r="C188" s="1606" t="s">
        <v>1532</v>
      </c>
      <c r="G188" s="1788" t="s">
        <v>596</v>
      </c>
      <c r="L188" s="90" t="s">
        <v>257</v>
      </c>
      <c r="M188" s="216">
        <v>97.856570977592881</v>
      </c>
      <c r="N188" s="90" t="s">
        <v>1446</v>
      </c>
      <c r="O188" s="49">
        <f>VLOOKUP(N188,'[2]climate data'!$A$78:$C$98,2,FALSE)</f>
        <v>0.14198449369566921</v>
      </c>
      <c r="P188" s="49">
        <f>VLOOKUP(N188,'[2]climate data'!$A$78:$C$98,3,FALSE)</f>
        <v>0.59817452341914179</v>
      </c>
    </row>
    <row r="189" spans="1:16">
      <c r="A189" t="s">
        <v>295</v>
      </c>
      <c r="C189" s="1606" t="s">
        <v>1532</v>
      </c>
      <c r="G189" s="1788" t="s">
        <v>596</v>
      </c>
      <c r="L189" s="90" t="s">
        <v>84</v>
      </c>
      <c r="M189" s="216">
        <v>77.360449882126844</v>
      </c>
      <c r="N189" s="90" t="s">
        <v>1458</v>
      </c>
      <c r="O189" s="49">
        <f>VLOOKUP(N189,'[2]climate data'!$A$78:$C$98,2,FALSE)</f>
        <v>0.13295201779472512</v>
      </c>
      <c r="P189" s="49">
        <f>VLOOKUP(N189,'[2]climate data'!$A$78:$C$98,3,FALSE)</f>
        <v>0.62933706629337072</v>
      </c>
    </row>
    <row r="190" spans="1:16">
      <c r="A190" t="s">
        <v>1030</v>
      </c>
      <c r="B190" s="1606" t="s">
        <v>1515</v>
      </c>
      <c r="C190" s="1606" t="s">
        <v>1532</v>
      </c>
      <c r="D190" s="1606" t="s">
        <v>1515</v>
      </c>
      <c r="E190" s="1606" t="s">
        <v>1665</v>
      </c>
      <c r="F190" s="1606" t="s">
        <v>1515</v>
      </c>
      <c r="G190" s="1788" t="s">
        <v>596</v>
      </c>
      <c r="H190" s="1606" t="s">
        <v>1807</v>
      </c>
      <c r="J190" s="1606" t="s">
        <v>1799</v>
      </c>
      <c r="L190" s="90" t="s">
        <v>62</v>
      </c>
      <c r="M190" s="216">
        <v>196.24432178279275</v>
      </c>
      <c r="N190" s="90" t="s">
        <v>1453</v>
      </c>
      <c r="O190" s="49">
        <f>VLOOKUP(N190,'[2]climate data'!$A$78:$C$98,2,FALSE)</f>
        <v>0.14217401446232797</v>
      </c>
      <c r="P190" s="49">
        <f>VLOOKUP(N190,'[2]climate data'!$A$78:$C$98,3,FALSE)</f>
        <v>0.59737714497623251</v>
      </c>
    </row>
    <row r="191" spans="1:16">
      <c r="A191" t="s">
        <v>296</v>
      </c>
      <c r="C191" s="1606" t="s">
        <v>1532</v>
      </c>
      <c r="G191" s="1788" t="s">
        <v>596</v>
      </c>
      <c r="L191" s="90" t="s">
        <v>1952</v>
      </c>
      <c r="M191" s="216">
        <v>198.98579663974016</v>
      </c>
      <c r="N191" s="90" t="s">
        <v>1453</v>
      </c>
      <c r="O191" s="49">
        <f>VLOOKUP(N191,'[2]climate data'!$A$78:$C$98,2,FALSE)</f>
        <v>0.14217401446232797</v>
      </c>
      <c r="P191" s="49">
        <f>VLOOKUP(N191,'[2]climate data'!$A$78:$C$98,3,FALSE)</f>
        <v>0.59737714497623251</v>
      </c>
    </row>
    <row r="192" spans="1:16">
      <c r="A192" t="s">
        <v>46</v>
      </c>
      <c r="C192" s="1606" t="s">
        <v>1532</v>
      </c>
      <c r="G192" s="1788" t="s">
        <v>2312</v>
      </c>
      <c r="L192" s="90" t="s">
        <v>1953</v>
      </c>
      <c r="M192" s="216">
        <v>99.170174491326875</v>
      </c>
      <c r="N192" s="90" t="s">
        <v>1453</v>
      </c>
      <c r="O192" s="49">
        <f>VLOOKUP(N192,'[2]climate data'!$A$78:$C$98,2,FALSE)</f>
        <v>0.14217401446232797</v>
      </c>
      <c r="P192" s="49">
        <f>VLOOKUP(N192,'[2]climate data'!$A$78:$C$98,3,FALSE)</f>
        <v>0.59737714497623251</v>
      </c>
    </row>
    <row r="193" spans="1:16">
      <c r="A193" t="s">
        <v>162</v>
      </c>
      <c r="B193" s="1606" t="s">
        <v>1526</v>
      </c>
      <c r="C193" s="1606" t="s">
        <v>1532</v>
      </c>
      <c r="D193" s="1606" t="s">
        <v>1526</v>
      </c>
      <c r="F193" s="1606" t="s">
        <v>1526</v>
      </c>
      <c r="G193" s="1788" t="s">
        <v>2312</v>
      </c>
      <c r="L193" s="90" t="s">
        <v>159</v>
      </c>
      <c r="M193" s="216">
        <v>92.60983715710654</v>
      </c>
      <c r="N193" s="90" t="s">
        <v>1453</v>
      </c>
      <c r="O193" s="49">
        <f>VLOOKUP(N193,'[2]climate data'!$A$78:$C$98,2,FALSE)</f>
        <v>0.14217401446232797</v>
      </c>
      <c r="P193" s="49">
        <f>VLOOKUP(N193,'[2]climate data'!$A$78:$C$98,3,FALSE)</f>
        <v>0.59737714497623251</v>
      </c>
    </row>
    <row r="194" spans="1:16">
      <c r="A194" t="s">
        <v>1401</v>
      </c>
      <c r="G194" s="1788" t="s">
        <v>2312</v>
      </c>
      <c r="L194" s="90" t="s">
        <v>43</v>
      </c>
      <c r="M194" s="216">
        <v>145.27489130303869</v>
      </c>
      <c r="N194" s="90" t="s">
        <v>1907</v>
      </c>
      <c r="O194" s="49">
        <f>VLOOKUP(N194,'[2]climate data'!$A$78:$C$98,2,FALSE)</f>
        <v>0.15400143257146579</v>
      </c>
      <c r="P194" s="49">
        <f>VLOOKUP(N194,'[2]climate data'!$A$78:$C$98,3,FALSE)</f>
        <v>0.55149816096614435</v>
      </c>
    </row>
    <row r="195" spans="1:16">
      <c r="A195" t="s">
        <v>1031</v>
      </c>
      <c r="B195" s="1606" t="s">
        <v>1526</v>
      </c>
      <c r="C195" s="1606" t="s">
        <v>1532</v>
      </c>
      <c r="D195" s="1606" t="s">
        <v>1526</v>
      </c>
      <c r="F195" s="1606" t="s">
        <v>1526</v>
      </c>
      <c r="G195" s="1788" t="s">
        <v>2312</v>
      </c>
      <c r="H195" s="1606" t="s">
        <v>1808</v>
      </c>
      <c r="L195" s="90" t="s">
        <v>549</v>
      </c>
      <c r="M195" s="216">
        <v>0</v>
      </c>
      <c r="N195" s="90" t="s">
        <v>1457</v>
      </c>
      <c r="O195" s="49">
        <f>VLOOKUP(N195,'[2]climate data'!$A$78:$C$98,2,FALSE)</f>
        <v>0.1225813667375014</v>
      </c>
      <c r="P195" s="49">
        <f>VLOOKUP(N195,'[2]climate data'!$A$78:$C$98,3,FALSE)</f>
        <v>0.69285821417858218</v>
      </c>
    </row>
    <row r="196" spans="1:16">
      <c r="A196" t="s">
        <v>257</v>
      </c>
      <c r="B196" s="1606" t="s">
        <v>1526</v>
      </c>
      <c r="C196" s="1606" t="s">
        <v>1532</v>
      </c>
      <c r="D196" s="1606" t="s">
        <v>1526</v>
      </c>
      <c r="F196" s="1606" t="s">
        <v>1526</v>
      </c>
      <c r="G196" s="1788" t="s">
        <v>2312</v>
      </c>
      <c r="L196" s="90" t="s">
        <v>1170</v>
      </c>
      <c r="M196" s="216">
        <v>5.8083709430987955</v>
      </c>
      <c r="N196" s="90" t="s">
        <v>1457</v>
      </c>
      <c r="O196" s="49">
        <f>VLOOKUP(N196,'[2]climate data'!$A$78:$C$98,2,FALSE)</f>
        <v>0.1225813667375014</v>
      </c>
      <c r="P196" s="49">
        <f>VLOOKUP(N196,'[2]climate data'!$A$78:$C$98,3,FALSE)</f>
        <v>0.69285821417858218</v>
      </c>
    </row>
    <row r="197" spans="1:16">
      <c r="A197" t="s">
        <v>84</v>
      </c>
      <c r="C197" s="1606" t="s">
        <v>1532</v>
      </c>
      <c r="G197" s="1788" t="s">
        <v>2312</v>
      </c>
      <c r="L197" s="90" t="s">
        <v>44</v>
      </c>
      <c r="M197" s="216">
        <v>85.489686249283977</v>
      </c>
      <c r="N197" s="90" t="s">
        <v>1031</v>
      </c>
      <c r="O197" s="49">
        <f>VLOOKUP(N197,'[2]climate data'!$A$78:$C$98,2,FALSE)</f>
        <v>0.13850864553314121</v>
      </c>
      <c r="P197" s="49">
        <f>VLOOKUP(N197,'[2]climate data'!$A$78:$C$98,3,FALSE)</f>
        <v>0.61318559951547114</v>
      </c>
    </row>
    <row r="198" spans="1:16">
      <c r="A198" t="s">
        <v>62</v>
      </c>
      <c r="C198" s="1606" t="s">
        <v>1532</v>
      </c>
      <c r="G198" s="1788" t="s">
        <v>596</v>
      </c>
      <c r="L198" s="90" t="s">
        <v>167</v>
      </c>
      <c r="M198" s="216">
        <v>74.631077721095608</v>
      </c>
      <c r="N198" s="90" t="s">
        <v>1031</v>
      </c>
      <c r="O198" s="49">
        <f>VLOOKUP(N198,'[2]climate data'!$A$78:$C$98,2,FALSE)</f>
        <v>0.13850864553314121</v>
      </c>
      <c r="P198" s="49">
        <f>VLOOKUP(N198,'[2]climate data'!$A$78:$C$98,3,FALSE)</f>
        <v>0.61318559951547114</v>
      </c>
    </row>
    <row r="199" spans="1:16">
      <c r="A199" t="s">
        <v>159</v>
      </c>
      <c r="C199" s="1606" t="s">
        <v>1532</v>
      </c>
      <c r="G199" s="1788" t="s">
        <v>596</v>
      </c>
      <c r="L199" s="90" t="s">
        <v>38</v>
      </c>
      <c r="M199" s="216">
        <v>69.599356879552687</v>
      </c>
      <c r="N199" s="90" t="s">
        <v>1446</v>
      </c>
      <c r="O199" s="49">
        <f>VLOOKUP(N199,'[2]climate data'!$A$78:$C$98,2,FALSE)</f>
        <v>0.14198449369566921</v>
      </c>
      <c r="P199" s="49">
        <f>VLOOKUP(N199,'[2]climate data'!$A$78:$C$98,3,FALSE)</f>
        <v>0.59817452341914179</v>
      </c>
    </row>
    <row r="200" spans="1:16">
      <c r="A200" t="s">
        <v>1602</v>
      </c>
      <c r="C200" s="1606" t="s">
        <v>1532</v>
      </c>
      <c r="G200" s="1788" t="s">
        <v>596</v>
      </c>
      <c r="L200" s="90" t="s">
        <v>169</v>
      </c>
      <c r="M200" s="216">
        <v>103.31221676888165</v>
      </c>
      <c r="N200" s="90" t="s">
        <v>1964</v>
      </c>
      <c r="O200" s="49">
        <f>VLOOKUP(N200,'[2]climate data'!$A$78:$C$98,2,FALSE)</f>
        <v>0.13927272727272727</v>
      </c>
      <c r="P200" s="49">
        <f>VLOOKUP(N200,'[2]climate data'!$A$78:$C$98,3,FALSE)</f>
        <v>0.60982152437497761</v>
      </c>
    </row>
    <row r="201" spans="1:16">
      <c r="A201" t="s">
        <v>1603</v>
      </c>
      <c r="C201" s="1606" t="s">
        <v>1532</v>
      </c>
      <c r="G201" s="1788" t="s">
        <v>596</v>
      </c>
      <c r="L201" s="90" t="s">
        <v>33</v>
      </c>
      <c r="M201" s="216">
        <v>5.8993697166442871E-5</v>
      </c>
      <c r="N201" s="90" t="s">
        <v>1458</v>
      </c>
      <c r="O201" s="49">
        <f>VLOOKUP(N201,'[2]climate data'!$A$78:$C$98,2,FALSE)</f>
        <v>0.13295201779472512</v>
      </c>
      <c r="P201" s="49">
        <f>VLOOKUP(N201,'[2]climate data'!$A$78:$C$98,3,FALSE)</f>
        <v>0.62933706629337072</v>
      </c>
    </row>
    <row r="202" spans="1:16">
      <c r="A202" t="s">
        <v>43</v>
      </c>
      <c r="C202" s="1606" t="s">
        <v>1532</v>
      </c>
      <c r="G202" s="1788" t="s">
        <v>2312</v>
      </c>
      <c r="L202" s="90" t="s">
        <v>85</v>
      </c>
      <c r="M202" s="216">
        <v>73.702802630957848</v>
      </c>
      <c r="N202" s="90" t="s">
        <v>1964</v>
      </c>
      <c r="O202" s="49">
        <f>VLOOKUP(N202,'[2]climate data'!$A$78:$C$98,2,FALSE)</f>
        <v>0.13927272727272727</v>
      </c>
      <c r="P202" s="49">
        <f>VLOOKUP(N202,'[2]climate data'!$A$78:$C$98,3,FALSE)</f>
        <v>0.60982152437497761</v>
      </c>
    </row>
    <row r="203" spans="1:16">
      <c r="A203" t="s">
        <v>549</v>
      </c>
      <c r="B203" s="1606" t="s">
        <v>1529</v>
      </c>
      <c r="C203" s="1606" t="s">
        <v>1532</v>
      </c>
      <c r="D203" s="1606" t="s">
        <v>1515</v>
      </c>
      <c r="E203" s="1606" t="s">
        <v>1697</v>
      </c>
      <c r="F203" s="1606" t="s">
        <v>1529</v>
      </c>
      <c r="G203" s="1788" t="s">
        <v>2312</v>
      </c>
      <c r="H203" s="1606" t="s">
        <v>1809</v>
      </c>
      <c r="L203" s="90" t="s">
        <v>258</v>
      </c>
      <c r="M203" s="216">
        <v>115.50489641457897</v>
      </c>
      <c r="N203" s="90" t="s">
        <v>1964</v>
      </c>
      <c r="O203" s="49">
        <f>VLOOKUP(N203,'[2]climate data'!$A$78:$C$98,2,FALSE)</f>
        <v>0.13927272727272727</v>
      </c>
      <c r="P203" s="49">
        <f>VLOOKUP(N203,'[2]climate data'!$A$78:$C$98,3,FALSE)</f>
        <v>0.60982152437497761</v>
      </c>
    </row>
    <row r="204" spans="1:16">
      <c r="A204" t="s">
        <v>1170</v>
      </c>
      <c r="C204" s="1606" t="s">
        <v>1532</v>
      </c>
      <c r="G204" s="1788" t="s">
        <v>2312</v>
      </c>
      <c r="L204" s="90" t="s">
        <v>1032</v>
      </c>
      <c r="M204" s="216">
        <v>115.6515174513829</v>
      </c>
      <c r="N204" s="90" t="s">
        <v>1453</v>
      </c>
      <c r="O204" s="49">
        <f>VLOOKUP(N204,'[2]climate data'!$A$78:$C$98,2,FALSE)</f>
        <v>0.14217401446232797</v>
      </c>
      <c r="P204" s="49">
        <f>VLOOKUP(N204,'[2]climate data'!$A$78:$C$98,3,FALSE)</f>
        <v>0.59737714497623251</v>
      </c>
    </row>
    <row r="205" spans="1:16">
      <c r="A205" t="s">
        <v>44</v>
      </c>
      <c r="B205" s="1606" t="s">
        <v>1515</v>
      </c>
      <c r="C205" s="1606" t="s">
        <v>1516</v>
      </c>
      <c r="D205" s="1606" t="s">
        <v>1529</v>
      </c>
      <c r="E205" s="1606" t="s">
        <v>1665</v>
      </c>
      <c r="F205" s="1606" t="s">
        <v>1529</v>
      </c>
      <c r="G205" s="1788" t="s">
        <v>2312</v>
      </c>
      <c r="H205" s="1606" t="s">
        <v>1810</v>
      </c>
      <c r="J205" s="1606" t="s">
        <v>1811</v>
      </c>
      <c r="L205" s="90" t="s">
        <v>173</v>
      </c>
      <c r="M205" s="216">
        <v>11.305111593604776</v>
      </c>
      <c r="N205" s="90" t="s">
        <v>1446</v>
      </c>
      <c r="O205" s="49">
        <f>VLOOKUP(N205,'[2]climate data'!$A$78:$C$98,2,FALSE)</f>
        <v>0.14198449369566921</v>
      </c>
      <c r="P205" s="49">
        <f>VLOOKUP(N205,'[2]climate data'!$A$78:$C$98,3,FALSE)</f>
        <v>0.59817452341914179</v>
      </c>
    </row>
    <row r="206" spans="1:16">
      <c r="A206" t="s">
        <v>167</v>
      </c>
      <c r="B206" s="1606" t="s">
        <v>1515</v>
      </c>
      <c r="C206" s="1606" t="s">
        <v>1532</v>
      </c>
      <c r="D206" s="1606" t="s">
        <v>1529</v>
      </c>
      <c r="F206" s="1606" t="s">
        <v>1526</v>
      </c>
      <c r="G206" s="1788" t="s">
        <v>2312</v>
      </c>
      <c r="L206" s="90" t="s">
        <v>1033</v>
      </c>
      <c r="M206" s="216">
        <v>79.585427683617624</v>
      </c>
      <c r="N206" s="90" t="s">
        <v>1446</v>
      </c>
      <c r="O206" s="49">
        <f>VLOOKUP(N206,'[2]climate data'!$A$78:$C$98,2,FALSE)</f>
        <v>0.14198449369566921</v>
      </c>
      <c r="P206" s="49">
        <f>VLOOKUP(N206,'[2]climate data'!$A$78:$C$98,3,FALSE)</f>
        <v>0.59817452341914179</v>
      </c>
    </row>
    <row r="207" spans="1:16">
      <c r="A207" t="s">
        <v>38</v>
      </c>
      <c r="B207" s="1606" t="s">
        <v>1526</v>
      </c>
      <c r="C207" s="1606" t="s">
        <v>1532</v>
      </c>
      <c r="D207" s="1606" t="s">
        <v>1526</v>
      </c>
      <c r="F207" s="1606" t="s">
        <v>1526</v>
      </c>
      <c r="G207" s="1788" t="s">
        <v>2312</v>
      </c>
      <c r="L207" s="90" t="s">
        <v>1366</v>
      </c>
      <c r="M207" s="216">
        <v>37.20273718856933</v>
      </c>
      <c r="N207" s="90" t="s">
        <v>1932</v>
      </c>
      <c r="O207" s="49">
        <f>VLOOKUP(N207,'[2]climate data'!$A$78:$C$98,2,FALSE)</f>
        <v>0.15677321156773211</v>
      </c>
      <c r="P207" s="49">
        <f>VLOOKUP(N207,'[2]climate data'!$A$78:$C$98,3,FALSE)</f>
        <v>0.54174757281553398</v>
      </c>
    </row>
    <row r="208" spans="1:16">
      <c r="A208" t="s">
        <v>169</v>
      </c>
      <c r="B208" s="1606" t="s">
        <v>1526</v>
      </c>
      <c r="C208" s="1606" t="s">
        <v>1532</v>
      </c>
      <c r="D208" s="1606" t="s">
        <v>1526</v>
      </c>
      <c r="F208" s="1606" t="s">
        <v>1526</v>
      </c>
      <c r="G208" s="1788" t="s">
        <v>2312</v>
      </c>
      <c r="L208" s="90" t="s">
        <v>1179</v>
      </c>
      <c r="M208" s="216">
        <v>120.11923872190167</v>
      </c>
      <c r="N208" s="90" t="s">
        <v>2228</v>
      </c>
      <c r="O208" s="49">
        <f>VLOOKUP(N208,'[2]climate data'!$A$78:$C$98,2,FALSE)</f>
        <v>0.16007777057679845</v>
      </c>
      <c r="P208" s="49">
        <f>VLOOKUP(N208,'[2]climate data'!$A$78:$C$98,3,FALSE)</f>
        <v>0.53056402861738117</v>
      </c>
    </row>
    <row r="209" spans="1:16">
      <c r="A209" t="s">
        <v>33</v>
      </c>
      <c r="C209" s="1606" t="s">
        <v>1532</v>
      </c>
      <c r="G209" s="1788" t="s">
        <v>2312</v>
      </c>
      <c r="L209" s="90" t="s">
        <v>1604</v>
      </c>
      <c r="M209" s="216">
        <v>32.593626914021442</v>
      </c>
      <c r="N209" s="90" t="s">
        <v>2284</v>
      </c>
      <c r="O209" s="49">
        <f>VLOOKUP(N209,'[2]climate data'!$A$78:$C$98,2,FALSE)</f>
        <v>0.1457497612225406</v>
      </c>
      <c r="P209" s="49">
        <f>VLOOKUP(N209,'[2]climate data'!$A$78:$C$98,3,FALSE)</f>
        <v>0.58272141331083149</v>
      </c>
    </row>
    <row r="210" spans="1:16">
      <c r="A210" t="s">
        <v>85</v>
      </c>
      <c r="B210" s="1606" t="s">
        <v>1526</v>
      </c>
      <c r="C210" s="1606" t="s">
        <v>1532</v>
      </c>
      <c r="G210" s="1788" t="s">
        <v>2312</v>
      </c>
      <c r="H210" s="1606" t="s">
        <v>1812</v>
      </c>
      <c r="L210" s="90" t="s">
        <v>177</v>
      </c>
      <c r="M210" s="216">
        <v>61.447916067976557</v>
      </c>
      <c r="N210" s="90" t="s">
        <v>1457</v>
      </c>
      <c r="O210" s="49">
        <f>VLOOKUP(N210,'[2]climate data'!$A$78:$C$98,2,FALSE)</f>
        <v>0.1225813667375014</v>
      </c>
      <c r="P210" s="49">
        <f>VLOOKUP(N210,'[2]climate data'!$A$78:$C$98,3,FALSE)</f>
        <v>0.69285821417858218</v>
      </c>
    </row>
    <row r="211" spans="1:16">
      <c r="A211" t="s">
        <v>258</v>
      </c>
      <c r="B211" s="1606" t="s">
        <v>1529</v>
      </c>
      <c r="C211" s="1606" t="s">
        <v>1532</v>
      </c>
      <c r="D211" s="1606" t="s">
        <v>1529</v>
      </c>
      <c r="F211" s="1606" t="s">
        <v>1526</v>
      </c>
      <c r="G211" s="1788" t="s">
        <v>2312</v>
      </c>
      <c r="L211" s="90" t="s">
        <v>179</v>
      </c>
      <c r="M211" s="216">
        <v>29.724759774455482</v>
      </c>
      <c r="N211" s="90" t="s">
        <v>1031</v>
      </c>
      <c r="O211" s="49">
        <f>VLOOKUP(N211,'[2]climate data'!$A$78:$C$98,2,FALSE)</f>
        <v>0.13850864553314121</v>
      </c>
      <c r="P211" s="49">
        <f>VLOOKUP(N211,'[2]climate data'!$A$78:$C$98,3,FALSE)</f>
        <v>0.61318559951547114</v>
      </c>
    </row>
    <row r="212" spans="1:16">
      <c r="A212" t="s">
        <v>1032</v>
      </c>
      <c r="C212" s="1606" t="s">
        <v>1532</v>
      </c>
      <c r="G212" s="1788" t="s">
        <v>2312</v>
      </c>
      <c r="L212" s="90" t="s">
        <v>181</v>
      </c>
      <c r="M212" s="216">
        <v>110.53718397773321</v>
      </c>
      <c r="N212" s="90" t="s">
        <v>2228</v>
      </c>
      <c r="O212" s="49">
        <f>VLOOKUP(N212,'[2]climate data'!$A$78:$C$98,2,FALSE)</f>
        <v>0.16007777057679845</v>
      </c>
      <c r="P212" s="49">
        <f>VLOOKUP(N212,'[2]climate data'!$A$78:$C$98,3,FALSE)</f>
        <v>0.53056402861738117</v>
      </c>
    </row>
    <row r="213" spans="1:16">
      <c r="A213" t="s">
        <v>173</v>
      </c>
      <c r="B213" s="1606" t="s">
        <v>1526</v>
      </c>
      <c r="C213" s="1606" t="s">
        <v>1532</v>
      </c>
      <c r="D213" s="1606" t="s">
        <v>1526</v>
      </c>
      <c r="F213" s="1606" t="s">
        <v>1526</v>
      </c>
      <c r="G213" s="1788" t="s">
        <v>2312</v>
      </c>
      <c r="L213" s="90" t="s">
        <v>1402</v>
      </c>
      <c r="M213" s="216">
        <v>25.465988934407196</v>
      </c>
      <c r="N213" s="90" t="s">
        <v>1457</v>
      </c>
      <c r="O213" s="49">
        <f>VLOOKUP(N213,'[2]climate data'!$A$78:$C$98,2,FALSE)</f>
        <v>0.1225813667375014</v>
      </c>
      <c r="P213" s="49">
        <f>VLOOKUP(N213,'[2]climate data'!$A$78:$C$98,3,FALSE)</f>
        <v>0.69285821417858218</v>
      </c>
    </row>
    <row r="214" spans="1:16">
      <c r="A214" t="s">
        <v>1033</v>
      </c>
      <c r="B214" s="1606" t="s">
        <v>1526</v>
      </c>
      <c r="C214" s="1606" t="s">
        <v>1532</v>
      </c>
      <c r="D214" s="1606" t="s">
        <v>1526</v>
      </c>
      <c r="F214" s="1606" t="s">
        <v>1526</v>
      </c>
      <c r="G214" s="1788" t="s">
        <v>2312</v>
      </c>
      <c r="L214" s="90" t="s">
        <v>1378</v>
      </c>
      <c r="M214" s="216">
        <v>124.04710501267803</v>
      </c>
      <c r="N214" s="90" t="s">
        <v>1912</v>
      </c>
      <c r="O214" s="49">
        <f>VLOOKUP(N214,'[2]climate data'!$A$78:$C$98,2,FALSE)</f>
        <v>0.15764546684709066</v>
      </c>
      <c r="P214" s="49">
        <f>VLOOKUP(N214,'[2]climate data'!$A$78:$C$98,3,FALSE)</f>
        <v>0.53875007349050508</v>
      </c>
    </row>
    <row r="215" spans="1:16">
      <c r="A215" t="s">
        <v>1366</v>
      </c>
      <c r="C215" s="1606" t="s">
        <v>1532</v>
      </c>
      <c r="G215" s="1788" t="s">
        <v>596</v>
      </c>
      <c r="L215" s="90" t="s">
        <v>1403</v>
      </c>
      <c r="M215" s="216">
        <v>213.75184608555284</v>
      </c>
      <c r="N215" s="90" t="s">
        <v>1453</v>
      </c>
      <c r="O215" s="49">
        <f>VLOOKUP(N215,'[2]climate data'!$A$78:$C$98,2,FALSE)</f>
        <v>0.14217401446232797</v>
      </c>
      <c r="P215" s="49">
        <f>VLOOKUP(N215,'[2]climate data'!$A$78:$C$98,3,FALSE)</f>
        <v>0.59737714497623251</v>
      </c>
    </row>
    <row r="216" spans="1:16">
      <c r="A216" t="s">
        <v>1179</v>
      </c>
      <c r="B216" s="1606" t="s">
        <v>1515</v>
      </c>
      <c r="C216" s="1606" t="s">
        <v>1532</v>
      </c>
      <c r="D216" s="1606" t="s">
        <v>1529</v>
      </c>
      <c r="F216" s="1606" t="s">
        <v>1526</v>
      </c>
      <c r="G216" s="1788" t="s">
        <v>2312</v>
      </c>
      <c r="H216" s="1606" t="s">
        <v>1813</v>
      </c>
      <c r="L216" s="90" t="s">
        <v>1404</v>
      </c>
      <c r="M216" s="216">
        <v>79.123930228874229</v>
      </c>
      <c r="N216" s="90" t="s">
        <v>2285</v>
      </c>
      <c r="O216" s="49">
        <f>VLOOKUP(N216,'[2]climate data'!$A$78:$C$98,2,FALSE)</f>
        <v>0.13135118623358111</v>
      </c>
      <c r="P216" s="49">
        <f>VLOOKUP(N216,'[2]climate data'!$A$78:$C$98,3,FALSE)</f>
        <v>0.64659870447063827</v>
      </c>
    </row>
    <row r="217" spans="1:16">
      <c r="A217" t="s">
        <v>1604</v>
      </c>
      <c r="C217" s="1606" t="s">
        <v>1532</v>
      </c>
      <c r="G217" s="1788" t="s">
        <v>2312</v>
      </c>
      <c r="L217" s="90" t="s">
        <v>86</v>
      </c>
      <c r="M217" s="216">
        <v>27.128320227687222</v>
      </c>
      <c r="N217" s="90" t="s">
        <v>1914</v>
      </c>
      <c r="O217" s="49">
        <f>VLOOKUP(N217,'[2]climate data'!$A$78:$C$98,2,FALSE)</f>
        <v>0.13416220905016626</v>
      </c>
      <c r="P217" s="49">
        <f>VLOOKUP(N217,'[2]climate data'!$A$78:$C$98,3,FALSE)</f>
        <v>0.63305089749645727</v>
      </c>
    </row>
    <row r="218" spans="1:16">
      <c r="A218" t="s">
        <v>177</v>
      </c>
      <c r="B218" s="1606" t="s">
        <v>1526</v>
      </c>
      <c r="C218" s="1606" t="s">
        <v>1532</v>
      </c>
      <c r="D218" s="1606" t="s">
        <v>1526</v>
      </c>
      <c r="F218" s="1606" t="s">
        <v>1529</v>
      </c>
      <c r="G218" s="1788" t="s">
        <v>2312</v>
      </c>
      <c r="H218" s="1606" t="s">
        <v>1814</v>
      </c>
      <c r="L218" s="90" t="s">
        <v>1376</v>
      </c>
      <c r="M218" s="216">
        <v>80.809938902460161</v>
      </c>
      <c r="N218" s="90" t="s">
        <v>1453</v>
      </c>
      <c r="O218" s="49">
        <f>VLOOKUP(N218,'[2]climate data'!$A$78:$C$98,2,FALSE)</f>
        <v>0.14217401446232797</v>
      </c>
      <c r="P218" s="49">
        <f>VLOOKUP(N218,'[2]climate data'!$A$78:$C$98,3,FALSE)</f>
        <v>0.59737714497623251</v>
      </c>
    </row>
    <row r="219" spans="1:16">
      <c r="A219" t="s">
        <v>1605</v>
      </c>
      <c r="C219" s="1606" t="s">
        <v>1532</v>
      </c>
      <c r="G219" s="1788" t="s">
        <v>596</v>
      </c>
      <c r="L219" s="90" t="s">
        <v>1034</v>
      </c>
      <c r="M219" s="216">
        <v>134.99951590795703</v>
      </c>
      <c r="N219" s="90" t="s">
        <v>1907</v>
      </c>
      <c r="O219" s="49">
        <f>VLOOKUP(N219,'[2]climate data'!$A$78:$C$98,2,FALSE)</f>
        <v>0.15400143257146579</v>
      </c>
      <c r="P219" s="49">
        <f>VLOOKUP(N219,'[2]climate data'!$A$78:$C$98,3,FALSE)</f>
        <v>0.55149816096614435</v>
      </c>
    </row>
    <row r="220" spans="1:16">
      <c r="A220" t="s">
        <v>179</v>
      </c>
      <c r="B220" s="1606" t="s">
        <v>1526</v>
      </c>
      <c r="C220" s="1606" t="s">
        <v>1532</v>
      </c>
      <c r="D220" s="1606" t="s">
        <v>1526</v>
      </c>
      <c r="F220" s="1606" t="s">
        <v>1526</v>
      </c>
      <c r="G220" s="1788" t="s">
        <v>2312</v>
      </c>
      <c r="L220" s="90" t="s">
        <v>185</v>
      </c>
      <c r="M220" s="216">
        <v>87.557877058915651</v>
      </c>
      <c r="N220" s="90" t="s">
        <v>1031</v>
      </c>
      <c r="O220" s="49">
        <f>VLOOKUP(N220,'[2]climate data'!$A$78:$C$98,2,FALSE)</f>
        <v>0.13850864553314121</v>
      </c>
      <c r="P220" s="49">
        <f>VLOOKUP(N220,'[2]climate data'!$A$78:$C$98,3,FALSE)</f>
        <v>0.61318559951547114</v>
      </c>
    </row>
    <row r="221" spans="1:16">
      <c r="A221" t="s">
        <v>181</v>
      </c>
      <c r="B221" s="1606" t="s">
        <v>1515</v>
      </c>
      <c r="C221" s="1606" t="s">
        <v>1532</v>
      </c>
      <c r="D221" s="1606" t="s">
        <v>1529</v>
      </c>
      <c r="F221" s="1606" t="s">
        <v>1526</v>
      </c>
      <c r="G221" s="1788" t="s">
        <v>2312</v>
      </c>
      <c r="L221" s="90" t="s">
        <v>87</v>
      </c>
      <c r="M221" s="216">
        <v>75.152902041565298</v>
      </c>
      <c r="N221" s="90" t="s">
        <v>1446</v>
      </c>
      <c r="O221" s="49">
        <f>VLOOKUP(N221,'[2]climate data'!$A$78:$C$98,2,FALSE)</f>
        <v>0.14198449369566921</v>
      </c>
      <c r="P221" s="49">
        <f>VLOOKUP(N221,'[2]climate data'!$A$78:$C$98,3,FALSE)</f>
        <v>0.59817452341914179</v>
      </c>
    </row>
    <row r="222" spans="1:16">
      <c r="A222" t="s">
        <v>1378</v>
      </c>
      <c r="C222" s="1606" t="s">
        <v>1532</v>
      </c>
      <c r="G222" s="1788" t="s">
        <v>2312</v>
      </c>
      <c r="L222" s="90" t="s">
        <v>1405</v>
      </c>
      <c r="M222" s="216">
        <v>45.869291060017474</v>
      </c>
      <c r="N222" s="90" t="s">
        <v>1460</v>
      </c>
      <c r="O222" s="49">
        <f>VLOOKUP(N222,'[2]climate data'!$A$78:$C$98,2,FALSE)</f>
        <v>0.13287016934433349</v>
      </c>
      <c r="P222" s="49">
        <f>VLOOKUP(N222,'[2]climate data'!$A$78:$C$98,3,FALSE)</f>
        <v>0.63740887486717346</v>
      </c>
    </row>
    <row r="223" spans="1:16">
      <c r="A223" t="s">
        <v>1403</v>
      </c>
      <c r="C223" s="1606" t="s">
        <v>1532</v>
      </c>
      <c r="G223" s="1788" t="s">
        <v>2312</v>
      </c>
      <c r="L223" s="90" t="s">
        <v>1035</v>
      </c>
      <c r="M223" s="216">
        <v>98.847552066102224</v>
      </c>
      <c r="N223" s="90" t="s">
        <v>1932</v>
      </c>
      <c r="O223" s="49">
        <f>VLOOKUP(N223,'[2]climate data'!$A$78:$C$98,2,FALSE)</f>
        <v>0.15677321156773211</v>
      </c>
      <c r="P223" s="49">
        <f>VLOOKUP(N223,'[2]climate data'!$A$78:$C$98,3,FALSE)</f>
        <v>0.54174757281553398</v>
      </c>
    </row>
    <row r="224" spans="1:16">
      <c r="A224" t="s">
        <v>1404</v>
      </c>
      <c r="C224" s="1606" t="s">
        <v>1532</v>
      </c>
      <c r="G224" s="1788" t="s">
        <v>2312</v>
      </c>
      <c r="L224" s="90" t="s">
        <v>16</v>
      </c>
      <c r="M224" s="216">
        <v>0</v>
      </c>
      <c r="N224" s="90" t="s">
        <v>2228</v>
      </c>
      <c r="O224" s="49">
        <f>VLOOKUP(N224,'[2]climate data'!$A$78:$C$98,2,FALSE)</f>
        <v>0.16007777057679845</v>
      </c>
      <c r="P224" s="49">
        <f>VLOOKUP(N224,'[2]climate data'!$A$78:$C$98,3,FALSE)</f>
        <v>0.53056402861738117</v>
      </c>
    </row>
    <row r="225" spans="1:16">
      <c r="A225" t="s">
        <v>86</v>
      </c>
      <c r="B225" s="1606" t="s">
        <v>1529</v>
      </c>
      <c r="C225" s="1606" t="s">
        <v>1532</v>
      </c>
      <c r="D225" s="1606" t="s">
        <v>1529</v>
      </c>
      <c r="E225" s="1606" t="s">
        <v>1697</v>
      </c>
      <c r="F225" s="1606" t="s">
        <v>1529</v>
      </c>
      <c r="G225" s="1788" t="s">
        <v>2312</v>
      </c>
      <c r="H225" s="1606" t="s">
        <v>1815</v>
      </c>
      <c r="L225" s="90" t="s">
        <v>1367</v>
      </c>
      <c r="M225" s="216">
        <v>97.84749537003205</v>
      </c>
      <c r="N225" s="90" t="s">
        <v>1912</v>
      </c>
      <c r="O225" s="49">
        <f>VLOOKUP(N225,'[2]climate data'!$A$78:$C$98,2,FALSE)</f>
        <v>0.15764546684709066</v>
      </c>
      <c r="P225" s="49">
        <f>VLOOKUP(N225,'[2]climate data'!$A$78:$C$98,3,FALSE)</f>
        <v>0.53875007349050508</v>
      </c>
    </row>
    <row r="226" spans="1:16">
      <c r="A226" t="s">
        <v>1376</v>
      </c>
      <c r="C226" s="1606" t="s">
        <v>1532</v>
      </c>
      <c r="G226" s="1788" t="s">
        <v>596</v>
      </c>
      <c r="L226" s="90" t="s">
        <v>1406</v>
      </c>
      <c r="M226" s="216">
        <v>30.004996985827116</v>
      </c>
      <c r="N226" s="90" t="s">
        <v>2228</v>
      </c>
      <c r="O226" s="49">
        <f>VLOOKUP(N226,'[2]climate data'!$A$78:$C$98,2,FALSE)</f>
        <v>0.16007777057679845</v>
      </c>
      <c r="P226" s="49">
        <f>VLOOKUP(N226,'[2]climate data'!$A$78:$C$98,3,FALSE)</f>
        <v>0.53056402861738117</v>
      </c>
    </row>
    <row r="227" spans="1:16">
      <c r="A227" t="s">
        <v>1034</v>
      </c>
      <c r="B227" s="1606" t="s">
        <v>1526</v>
      </c>
      <c r="C227" s="1606" t="s">
        <v>1532</v>
      </c>
      <c r="D227" s="1606" t="s">
        <v>1515</v>
      </c>
      <c r="E227" s="1606" t="s">
        <v>1697</v>
      </c>
      <c r="F227" s="1606" t="s">
        <v>1529</v>
      </c>
      <c r="G227" s="1788" t="s">
        <v>596</v>
      </c>
      <c r="H227" s="1606" t="s">
        <v>1816</v>
      </c>
      <c r="L227" s="90" t="s">
        <v>28</v>
      </c>
      <c r="M227" s="216">
        <v>152.59948403733992</v>
      </c>
      <c r="N227" s="90" t="s">
        <v>1446</v>
      </c>
      <c r="O227" s="49">
        <f>VLOOKUP(N227,'[2]climate data'!$A$78:$C$98,2,FALSE)</f>
        <v>0.14198449369566921</v>
      </c>
      <c r="P227" s="49">
        <f>VLOOKUP(N227,'[2]climate data'!$A$78:$C$98,3,FALSE)</f>
        <v>0.59817452341914179</v>
      </c>
    </row>
    <row r="228" spans="1:16">
      <c r="A228" t="s">
        <v>185</v>
      </c>
      <c r="B228" s="1606" t="s">
        <v>1526</v>
      </c>
      <c r="C228" s="1606" t="s">
        <v>1532</v>
      </c>
      <c r="D228" s="1606" t="s">
        <v>1526</v>
      </c>
      <c r="F228" s="1606" t="s">
        <v>1526</v>
      </c>
      <c r="G228" s="1788" t="s">
        <v>2312</v>
      </c>
      <c r="L228" s="90" t="s">
        <v>1357</v>
      </c>
      <c r="M228" s="216">
        <v>40.572043009497655</v>
      </c>
      <c r="N228" s="90" t="s">
        <v>1932</v>
      </c>
      <c r="O228" s="49">
        <f>VLOOKUP(N228,'[2]climate data'!$A$78:$C$98,2,FALSE)</f>
        <v>0.15677321156773211</v>
      </c>
      <c r="P228" s="49">
        <f>VLOOKUP(N228,'[2]climate data'!$A$78:$C$98,3,FALSE)</f>
        <v>0.54174757281553398</v>
      </c>
    </row>
    <row r="229" spans="1:16">
      <c r="A229" t="s">
        <v>87</v>
      </c>
      <c r="B229" s="1606" t="s">
        <v>1529</v>
      </c>
      <c r="C229" s="1606" t="s">
        <v>1532</v>
      </c>
      <c r="D229" s="1606" t="s">
        <v>1529</v>
      </c>
      <c r="F229" s="1606" t="s">
        <v>1526</v>
      </c>
      <c r="G229" s="1788" t="s">
        <v>2312</v>
      </c>
      <c r="L229" s="90" t="s">
        <v>1037</v>
      </c>
      <c r="M229" s="216">
        <v>67.753858709607073</v>
      </c>
      <c r="N229" s="90" t="s">
        <v>1932</v>
      </c>
      <c r="O229" s="49">
        <f>VLOOKUP(N229,'[2]climate data'!$A$78:$C$98,2,FALSE)</f>
        <v>0.15677321156773211</v>
      </c>
      <c r="P229" s="49">
        <f>VLOOKUP(N229,'[2]climate data'!$A$78:$C$98,3,FALSE)</f>
        <v>0.54174757281553398</v>
      </c>
    </row>
    <row r="230" spans="1:16">
      <c r="A230" t="s">
        <v>1405</v>
      </c>
      <c r="G230" s="1788" t="s">
        <v>2312</v>
      </c>
      <c r="L230" s="90" t="s">
        <v>1407</v>
      </c>
      <c r="M230" s="216">
        <v>91.954147068628785</v>
      </c>
      <c r="N230" s="90" t="s">
        <v>1446</v>
      </c>
      <c r="O230" s="49">
        <f>VLOOKUP(N230,'[2]climate data'!$A$78:$C$98,2,FALSE)</f>
        <v>0.14198449369566921</v>
      </c>
      <c r="P230" s="49">
        <f>VLOOKUP(N230,'[2]climate data'!$A$78:$C$98,3,FALSE)</f>
        <v>0.59817452341914179</v>
      </c>
    </row>
    <row r="231" spans="1:16">
      <c r="A231" t="s">
        <v>1035</v>
      </c>
      <c r="B231" s="1606" t="s">
        <v>1529</v>
      </c>
      <c r="C231" s="1606" t="s">
        <v>1532</v>
      </c>
      <c r="D231" s="1606" t="s">
        <v>1529</v>
      </c>
      <c r="F231" s="1606" t="s">
        <v>1526</v>
      </c>
      <c r="G231" s="1788" t="s">
        <v>596</v>
      </c>
      <c r="H231" s="1606" t="s">
        <v>1817</v>
      </c>
      <c r="L231" s="90" t="s">
        <v>867</v>
      </c>
      <c r="M231" s="216">
        <v>244.28681872537456</v>
      </c>
      <c r="N231" s="90" t="s">
        <v>1453</v>
      </c>
      <c r="O231" s="49">
        <f>VLOOKUP(N231,'[2]climate data'!$A$78:$C$98,2,FALSE)</f>
        <v>0.14217401446232797</v>
      </c>
      <c r="P231" s="49">
        <f>VLOOKUP(N231,'[2]climate data'!$A$78:$C$98,3,FALSE)</f>
        <v>0.59737714497623251</v>
      </c>
    </row>
    <row r="232" spans="1:16">
      <c r="A232" t="s">
        <v>16</v>
      </c>
      <c r="B232" s="1606" t="s">
        <v>1515</v>
      </c>
      <c r="C232" s="1606" t="s">
        <v>1532</v>
      </c>
      <c r="D232" s="1606" t="s">
        <v>1515</v>
      </c>
      <c r="E232" s="1606" t="s">
        <v>1697</v>
      </c>
      <c r="F232" s="1606" t="s">
        <v>1529</v>
      </c>
      <c r="G232" s="1788" t="s">
        <v>2312</v>
      </c>
      <c r="H232" s="1606" t="s">
        <v>1818</v>
      </c>
      <c r="L232" s="90" t="s">
        <v>1038</v>
      </c>
      <c r="M232" s="216">
        <v>194.7167678611373</v>
      </c>
      <c r="N232" s="90" t="s">
        <v>1453</v>
      </c>
      <c r="O232" s="49">
        <f>VLOOKUP(N232,'[2]climate data'!$A$78:$C$98,2,FALSE)</f>
        <v>0.14217401446232797</v>
      </c>
      <c r="P232" s="49">
        <f>VLOOKUP(N232,'[2]climate data'!$A$78:$C$98,3,FALSE)</f>
        <v>0.59737714497623251</v>
      </c>
    </row>
    <row r="233" spans="1:16">
      <c r="A233" t="s">
        <v>1367</v>
      </c>
      <c r="C233" s="1606" t="s">
        <v>1532</v>
      </c>
      <c r="G233" s="1788" t="s">
        <v>596</v>
      </c>
      <c r="L233" s="90" t="s">
        <v>1954</v>
      </c>
      <c r="M233" s="216">
        <v>4.2043138463461345</v>
      </c>
      <c r="N233" s="90" t="s">
        <v>2285</v>
      </c>
      <c r="O233" s="49">
        <f>VLOOKUP(N233,'[2]climate data'!$A$78:$C$98,2,FALSE)</f>
        <v>0.13135118623358111</v>
      </c>
      <c r="P233" s="49">
        <f>VLOOKUP(N233,'[2]climate data'!$A$78:$C$98,3,FALSE)</f>
        <v>0.64659870447063827</v>
      </c>
    </row>
    <row r="234" spans="1:16">
      <c r="A234" t="s">
        <v>1606</v>
      </c>
      <c r="C234" s="1606" t="s">
        <v>1532</v>
      </c>
      <c r="G234" s="1788" t="s">
        <v>596</v>
      </c>
      <c r="L234" s="90" t="s">
        <v>88</v>
      </c>
      <c r="M234" s="216">
        <v>124.98487411412555</v>
      </c>
      <c r="N234" s="90" t="s">
        <v>1912</v>
      </c>
      <c r="O234" s="49">
        <f>VLOOKUP(N234,'[2]climate data'!$A$78:$C$98,2,FALSE)</f>
        <v>0.15764546684709066</v>
      </c>
      <c r="P234" s="49">
        <f>VLOOKUP(N234,'[2]climate data'!$A$78:$C$98,3,FALSE)</f>
        <v>0.53875007349050508</v>
      </c>
    </row>
    <row r="235" spans="1:16">
      <c r="A235" t="s">
        <v>28</v>
      </c>
      <c r="B235" s="1606" t="s">
        <v>1526</v>
      </c>
      <c r="C235" s="1606" t="s">
        <v>1532</v>
      </c>
      <c r="D235" s="1606" t="s">
        <v>1526</v>
      </c>
      <c r="F235" s="1606" t="s">
        <v>1526</v>
      </c>
      <c r="G235" s="1788" t="s">
        <v>2312</v>
      </c>
      <c r="L235" s="90" t="s">
        <v>1955</v>
      </c>
      <c r="M235" s="216">
        <v>16.018564391726954</v>
      </c>
      <c r="N235" s="90" t="s">
        <v>2286</v>
      </c>
      <c r="O235" s="49">
        <f>VLOOKUP(N235,'[2]climate data'!$A$78:$C$98,2,FALSE)</f>
        <v>0.14796503928666019</v>
      </c>
      <c r="P235" s="49">
        <f>VLOOKUP(N235,'[2]climate data'!$A$78:$C$98,3,FALSE)</f>
        <v>0.57399712296073502</v>
      </c>
    </row>
    <row r="236" spans="1:16">
      <c r="A236" t="s">
        <v>1357</v>
      </c>
      <c r="C236" s="1606" t="s">
        <v>1532</v>
      </c>
      <c r="F236" s="1606" t="s">
        <v>1526</v>
      </c>
      <c r="G236" s="1788" t="s">
        <v>596</v>
      </c>
      <c r="L236" s="90" t="s">
        <v>1608</v>
      </c>
      <c r="M236" s="216">
        <v>55.180823786210304</v>
      </c>
      <c r="N236" s="90" t="s">
        <v>1912</v>
      </c>
      <c r="O236" s="49">
        <f>VLOOKUP(N236,'[2]climate data'!$A$78:$C$98,2,FALSE)</f>
        <v>0.15764546684709066</v>
      </c>
      <c r="P236" s="49">
        <f>VLOOKUP(N236,'[2]climate data'!$A$78:$C$98,3,FALSE)</f>
        <v>0.53875007349050508</v>
      </c>
    </row>
    <row r="237" spans="1:16">
      <c r="A237" t="s">
        <v>1037</v>
      </c>
      <c r="B237" s="1606" t="s">
        <v>1515</v>
      </c>
      <c r="C237" s="1606" t="s">
        <v>1532</v>
      </c>
      <c r="D237" s="1606" t="s">
        <v>1515</v>
      </c>
      <c r="E237" s="1606" t="s">
        <v>1665</v>
      </c>
      <c r="F237" s="1606" t="s">
        <v>1526</v>
      </c>
      <c r="G237" s="1788" t="s">
        <v>596</v>
      </c>
      <c r="H237" s="1606" t="s">
        <v>1819</v>
      </c>
      <c r="J237" s="1606" t="s">
        <v>1799</v>
      </c>
      <c r="L237" s="90" t="s">
        <v>1040</v>
      </c>
      <c r="M237" s="216">
        <v>53.456206723961806</v>
      </c>
      <c r="N237" s="90" t="s">
        <v>2284</v>
      </c>
      <c r="O237" s="49">
        <f>VLOOKUP(N237,'[2]climate data'!$A$78:$C$98,2,FALSE)</f>
        <v>0.1457497612225406</v>
      </c>
      <c r="P237" s="49">
        <f>VLOOKUP(N237,'[2]climate data'!$A$78:$C$98,3,FALSE)</f>
        <v>0.58272141331083149</v>
      </c>
    </row>
    <row r="238" spans="1:16">
      <c r="A238" t="s">
        <v>1407</v>
      </c>
      <c r="B238" s="1606" t="s">
        <v>1526</v>
      </c>
      <c r="C238" s="1606" t="s">
        <v>1532</v>
      </c>
      <c r="D238" s="1606" t="s">
        <v>1526</v>
      </c>
      <c r="F238" s="1606" t="s">
        <v>1526</v>
      </c>
      <c r="G238" s="1788" t="s">
        <v>2312</v>
      </c>
      <c r="H238" s="1606" t="s">
        <v>1820</v>
      </c>
      <c r="L238" s="90" t="s">
        <v>1174</v>
      </c>
      <c r="M238" s="216">
        <v>97.997577278265794</v>
      </c>
      <c r="N238" s="90" t="s">
        <v>1453</v>
      </c>
      <c r="O238" s="49">
        <f>VLOOKUP(N238,'[2]climate data'!$A$78:$C$98,2,FALSE)</f>
        <v>0.14217401446232797</v>
      </c>
      <c r="P238" s="49">
        <f>VLOOKUP(N238,'[2]climate data'!$A$78:$C$98,3,FALSE)</f>
        <v>0.59737714497623251</v>
      </c>
    </row>
    <row r="239" spans="1:16">
      <c r="A239" t="s">
        <v>867</v>
      </c>
      <c r="C239" s="1606" t="s">
        <v>1532</v>
      </c>
      <c r="G239" s="1788" t="s">
        <v>2312</v>
      </c>
      <c r="L239" s="90" t="s">
        <v>1408</v>
      </c>
      <c r="M239" s="216">
        <v>234.36564140253219</v>
      </c>
      <c r="N239" s="90" t="s">
        <v>1453</v>
      </c>
      <c r="O239" s="49">
        <f>VLOOKUP(N239,'[2]climate data'!$A$78:$C$98,2,FALSE)</f>
        <v>0.14217401446232797</v>
      </c>
      <c r="P239" s="49">
        <f>VLOOKUP(N239,'[2]climate data'!$A$78:$C$98,3,FALSE)</f>
        <v>0.59737714497623251</v>
      </c>
    </row>
    <row r="240" spans="1:16">
      <c r="A240" t="s">
        <v>1038</v>
      </c>
      <c r="C240" s="1606" t="s">
        <v>1532</v>
      </c>
      <c r="G240" s="1788" t="s">
        <v>2312</v>
      </c>
      <c r="L240" s="90" t="s">
        <v>89</v>
      </c>
      <c r="M240" s="216">
        <v>109.94598751536212</v>
      </c>
      <c r="N240" s="90" t="s">
        <v>1446</v>
      </c>
      <c r="O240" s="49">
        <f>VLOOKUP(N240,'[2]climate data'!$A$78:$C$98,2,FALSE)</f>
        <v>0.14198449369566921</v>
      </c>
      <c r="P240" s="49">
        <f>VLOOKUP(N240,'[2]climate data'!$A$78:$C$98,3,FALSE)</f>
        <v>0.59817452341914179</v>
      </c>
    </row>
    <row r="241" spans="1:16">
      <c r="A241" t="s">
        <v>1607</v>
      </c>
      <c r="C241" s="1606" t="s">
        <v>1532</v>
      </c>
      <c r="G241" s="1788" t="s">
        <v>596</v>
      </c>
      <c r="L241" s="90" t="s">
        <v>1175</v>
      </c>
      <c r="M241" s="216">
        <v>68.630400106836348</v>
      </c>
      <c r="N241" s="90" t="s">
        <v>1453</v>
      </c>
      <c r="O241" s="49">
        <f>VLOOKUP(N241,'[2]climate data'!$A$78:$C$98,2,FALSE)</f>
        <v>0.14217401446232797</v>
      </c>
      <c r="P241" s="49">
        <f>VLOOKUP(N241,'[2]climate data'!$A$78:$C$98,3,FALSE)</f>
        <v>0.59737714497623251</v>
      </c>
    </row>
    <row r="242" spans="1:16">
      <c r="A242" t="s">
        <v>88</v>
      </c>
      <c r="B242" s="1606" t="s">
        <v>1515</v>
      </c>
      <c r="C242" s="1606" t="s">
        <v>1532</v>
      </c>
      <c r="D242" s="1606" t="s">
        <v>1515</v>
      </c>
      <c r="E242" s="1606" t="s">
        <v>1697</v>
      </c>
      <c r="F242" s="1606" t="s">
        <v>1529</v>
      </c>
      <c r="G242" s="1788" t="s">
        <v>2312</v>
      </c>
      <c r="H242" s="1606" t="s">
        <v>1821</v>
      </c>
      <c r="L242" s="90" t="s">
        <v>1409</v>
      </c>
      <c r="M242" s="216">
        <v>76.043866862392704</v>
      </c>
      <c r="N242" s="90" t="s">
        <v>1932</v>
      </c>
      <c r="O242" s="49">
        <f>VLOOKUP(N242,'[2]climate data'!$A$78:$C$98,2,FALSE)</f>
        <v>0.15677321156773211</v>
      </c>
      <c r="P242" s="49">
        <f>VLOOKUP(N242,'[2]climate data'!$A$78:$C$98,3,FALSE)</f>
        <v>0.54174757281553398</v>
      </c>
    </row>
    <row r="243" spans="1:16">
      <c r="A243" t="s">
        <v>1608</v>
      </c>
      <c r="C243" s="1606" t="s">
        <v>1532</v>
      </c>
      <c r="G243" s="1788" t="s">
        <v>596</v>
      </c>
      <c r="L243" s="90" t="s">
        <v>1410</v>
      </c>
      <c r="M243" s="216">
        <v>7403.4272621741775</v>
      </c>
      <c r="N243" s="90" t="s">
        <v>1445</v>
      </c>
      <c r="O243" s="49">
        <f>VLOOKUP(N243,'[2]climate data'!$A$78:$C$98,2,FALSE)</f>
        <v>0.12280701754385964</v>
      </c>
      <c r="P243" s="49">
        <f>VLOOKUP(N243,'[2]climate data'!$A$78:$C$98,3,FALSE)</f>
        <v>0.67315322283387025</v>
      </c>
    </row>
    <row r="244" spans="1:16">
      <c r="A244" t="s">
        <v>1040</v>
      </c>
      <c r="C244" s="1606" t="s">
        <v>1532</v>
      </c>
      <c r="G244" s="1788" t="s">
        <v>596</v>
      </c>
      <c r="L244" s="90" t="s">
        <v>1041</v>
      </c>
      <c r="M244" s="216">
        <v>12.377536009929342</v>
      </c>
      <c r="N244" s="90" t="s">
        <v>1031</v>
      </c>
      <c r="O244" s="49">
        <f>VLOOKUP(N244,'[2]climate data'!$A$78:$C$98,2,FALSE)</f>
        <v>0.13850864553314121</v>
      </c>
      <c r="P244" s="49">
        <f>VLOOKUP(N244,'[2]climate data'!$A$78:$C$98,3,FALSE)</f>
        <v>0.61318559951547114</v>
      </c>
    </row>
    <row r="245" spans="1:16">
      <c r="A245" t="s">
        <v>1174</v>
      </c>
      <c r="C245" s="1606" t="s">
        <v>1532</v>
      </c>
      <c r="G245" s="1788" t="s">
        <v>2312</v>
      </c>
      <c r="L245" s="90" t="s">
        <v>1008</v>
      </c>
      <c r="M245" s="216">
        <v>23.714083407235389</v>
      </c>
      <c r="N245" s="90" t="s">
        <v>2285</v>
      </c>
      <c r="O245" s="49">
        <f>VLOOKUP(N245,'[2]climate data'!$A$78:$C$98,2,FALSE)</f>
        <v>0.13135118623358111</v>
      </c>
      <c r="P245" s="49">
        <f>VLOOKUP(N245,'[2]climate data'!$A$78:$C$98,3,FALSE)</f>
        <v>0.64659870447063827</v>
      </c>
    </row>
    <row r="246" spans="1:16">
      <c r="A246" t="s">
        <v>89</v>
      </c>
      <c r="B246" s="1606" t="s">
        <v>1526</v>
      </c>
      <c r="C246" s="1606" t="s">
        <v>1532</v>
      </c>
      <c r="D246" s="1606" t="s">
        <v>1526</v>
      </c>
      <c r="F246" s="1606" t="s">
        <v>1526</v>
      </c>
      <c r="G246" s="1788" t="s">
        <v>2312</v>
      </c>
      <c r="L246" s="90" t="s">
        <v>1042</v>
      </c>
      <c r="M246" s="216">
        <v>26.697886649894194</v>
      </c>
      <c r="N246" s="90" t="s">
        <v>1914</v>
      </c>
      <c r="O246" s="49">
        <f>VLOOKUP(N246,'[2]climate data'!$A$78:$C$98,2,FALSE)</f>
        <v>0.13416220905016626</v>
      </c>
      <c r="P246" s="49">
        <f>VLOOKUP(N246,'[2]climate data'!$A$78:$C$98,3,FALSE)</f>
        <v>0.63305089749645727</v>
      </c>
    </row>
    <row r="247" spans="1:16">
      <c r="A247" t="s">
        <v>1175</v>
      </c>
      <c r="C247" s="1606" t="s">
        <v>1532</v>
      </c>
      <c r="G247" s="1788" t="s">
        <v>596</v>
      </c>
      <c r="L247" s="90" t="s">
        <v>196</v>
      </c>
      <c r="M247" s="216">
        <v>10.071147200689422</v>
      </c>
      <c r="N247" s="90" t="s">
        <v>1446</v>
      </c>
      <c r="O247" s="49">
        <f>VLOOKUP(N247,'[2]climate data'!$A$78:$C$98,2,FALSE)</f>
        <v>0.14198449369566921</v>
      </c>
      <c r="P247" s="49">
        <f>VLOOKUP(N247,'[2]climate data'!$A$78:$C$98,3,FALSE)</f>
        <v>0.59817452341914179</v>
      </c>
    </row>
    <row r="248" spans="1:16">
      <c r="A248" t="s">
        <v>1409</v>
      </c>
      <c r="C248" s="1606" t="s">
        <v>1532</v>
      </c>
      <c r="F248" s="1606" t="s">
        <v>1526</v>
      </c>
      <c r="G248" s="1788" t="s">
        <v>596</v>
      </c>
      <c r="L248" s="90" t="s">
        <v>39</v>
      </c>
      <c r="M248" s="216">
        <v>6.52429500605695</v>
      </c>
      <c r="N248" s="90" t="s">
        <v>1446</v>
      </c>
      <c r="O248" s="49">
        <f>VLOOKUP(N248,'[2]climate data'!$A$78:$C$98,2,FALSE)</f>
        <v>0.14198449369566921</v>
      </c>
      <c r="P248" s="49">
        <f>VLOOKUP(N248,'[2]climate data'!$A$78:$C$98,3,FALSE)</f>
        <v>0.59817452341914179</v>
      </c>
    </row>
    <row r="249" spans="1:16">
      <c r="A249" t="s">
        <v>1041</v>
      </c>
      <c r="B249" s="1606" t="s">
        <v>1526</v>
      </c>
      <c r="C249" s="1606" t="s">
        <v>1532</v>
      </c>
      <c r="D249" s="1606" t="s">
        <v>1526</v>
      </c>
      <c r="F249" s="1606" t="s">
        <v>1526</v>
      </c>
      <c r="G249" s="1788" t="s">
        <v>2312</v>
      </c>
      <c r="H249" s="1606" t="s">
        <v>1808</v>
      </c>
      <c r="L249" s="90" t="s">
        <v>1176</v>
      </c>
      <c r="M249" s="216">
        <v>174.12371307014664</v>
      </c>
      <c r="N249" s="90" t="s">
        <v>1453</v>
      </c>
      <c r="O249" s="49">
        <f>VLOOKUP(N249,'[2]climate data'!$A$78:$C$98,2,FALSE)</f>
        <v>0.14217401446232797</v>
      </c>
      <c r="P249" s="49">
        <f>VLOOKUP(N249,'[2]climate data'!$A$78:$C$98,3,FALSE)</f>
        <v>0.59737714497623251</v>
      </c>
    </row>
    <row r="250" spans="1:16">
      <c r="A250" t="s">
        <v>1008</v>
      </c>
      <c r="C250" s="1606" t="s">
        <v>1532</v>
      </c>
      <c r="G250" s="1788" t="s">
        <v>2312</v>
      </c>
      <c r="L250" s="90" t="s">
        <v>1358</v>
      </c>
      <c r="M250" s="216">
        <v>49.361454229464464</v>
      </c>
      <c r="N250" s="90" t="s">
        <v>1932</v>
      </c>
      <c r="O250" s="49">
        <f>VLOOKUP(N250,'[2]climate data'!$A$78:$C$98,2,FALSE)</f>
        <v>0.15677321156773211</v>
      </c>
      <c r="P250" s="49">
        <f>VLOOKUP(N250,'[2]climate data'!$A$78:$C$98,3,FALSE)</f>
        <v>0.54174757281553398</v>
      </c>
    </row>
    <row r="251" spans="1:16">
      <c r="A251" t="s">
        <v>1042</v>
      </c>
      <c r="C251" s="1606" t="s">
        <v>1532</v>
      </c>
      <c r="F251" s="1606" t="s">
        <v>1526</v>
      </c>
      <c r="G251" s="1788" t="s">
        <v>2312</v>
      </c>
      <c r="L251" s="90" t="s">
        <v>201</v>
      </c>
      <c r="M251" s="216">
        <v>80.71337396109044</v>
      </c>
      <c r="N251" s="90" t="s">
        <v>1905</v>
      </c>
      <c r="O251" s="49">
        <f>VLOOKUP(N251,'[2]climate data'!$A$78:$C$98,2,FALSE)</f>
        <v>0.11785345717234262</v>
      </c>
      <c r="P251" s="49">
        <f>VLOOKUP(N251,'[2]climate data'!$A$78:$C$98,3,FALSE)</f>
        <v>0.70929624594792429</v>
      </c>
    </row>
    <row r="252" spans="1:16">
      <c r="A252" t="s">
        <v>196</v>
      </c>
      <c r="B252" s="1606" t="s">
        <v>1526</v>
      </c>
      <c r="C252" s="1606" t="s">
        <v>1532</v>
      </c>
      <c r="D252" s="1606" t="s">
        <v>1526</v>
      </c>
      <c r="F252" s="1606" t="s">
        <v>1526</v>
      </c>
      <c r="G252" s="1788" t="s">
        <v>2312</v>
      </c>
      <c r="L252" s="90" t="s">
        <v>1043</v>
      </c>
      <c r="M252" s="216">
        <v>101.42202446617358</v>
      </c>
      <c r="N252" s="90" t="s">
        <v>1912</v>
      </c>
      <c r="O252" s="49">
        <f>VLOOKUP(N252,'[2]climate data'!$A$78:$C$98,2,FALSE)</f>
        <v>0.15764546684709066</v>
      </c>
      <c r="P252" s="49">
        <f>VLOOKUP(N252,'[2]climate data'!$A$78:$C$98,3,FALSE)</f>
        <v>0.53875007349050508</v>
      </c>
    </row>
    <row r="253" spans="1:16">
      <c r="A253" t="s">
        <v>39</v>
      </c>
      <c r="B253" s="1606" t="s">
        <v>1526</v>
      </c>
      <c r="C253" s="1606" t="s">
        <v>1532</v>
      </c>
      <c r="D253" s="1606" t="s">
        <v>1526</v>
      </c>
      <c r="F253" s="1606" t="s">
        <v>1526</v>
      </c>
      <c r="G253" s="1788" t="s">
        <v>2312</v>
      </c>
      <c r="L253" s="90" t="s">
        <v>1180</v>
      </c>
      <c r="M253" s="216">
        <v>40.433722393446139</v>
      </c>
      <c r="N253" s="90" t="s">
        <v>1907</v>
      </c>
      <c r="O253" s="49">
        <f>VLOOKUP(N253,'[2]climate data'!$A$78:$C$98,2,FALSE)</f>
        <v>0.15400143257146579</v>
      </c>
      <c r="P253" s="49">
        <f>VLOOKUP(N253,'[2]climate data'!$A$78:$C$98,3,FALSE)</f>
        <v>0.55149816096614435</v>
      </c>
    </row>
    <row r="254" spans="1:16">
      <c r="A254" t="s">
        <v>1176</v>
      </c>
      <c r="C254" s="1606" t="s">
        <v>1532</v>
      </c>
      <c r="G254" s="1788" t="s">
        <v>596</v>
      </c>
      <c r="L254" s="90" t="s">
        <v>90</v>
      </c>
      <c r="M254" s="216">
        <v>57.077864878808867</v>
      </c>
      <c r="N254" s="90" t="s">
        <v>1031</v>
      </c>
      <c r="O254" s="49">
        <f>VLOOKUP(N254,'[2]climate data'!$A$78:$C$98,2,FALSE)</f>
        <v>0.13850864553314121</v>
      </c>
      <c r="P254" s="49">
        <f>VLOOKUP(N254,'[2]climate data'!$A$78:$C$98,3,FALSE)</f>
        <v>0.61318559951547114</v>
      </c>
    </row>
    <row r="255" spans="1:16">
      <c r="A255" t="s">
        <v>1358</v>
      </c>
      <c r="B255" s="1606" t="s">
        <v>1526</v>
      </c>
      <c r="C255" s="1606" t="s">
        <v>1532</v>
      </c>
      <c r="D255" s="1606" t="s">
        <v>1529</v>
      </c>
      <c r="F255" s="1606" t="s">
        <v>1526</v>
      </c>
      <c r="G255" s="1788" t="s">
        <v>596</v>
      </c>
      <c r="H255" s="1606" t="s">
        <v>1822</v>
      </c>
      <c r="L255" s="90" t="s">
        <v>1044</v>
      </c>
      <c r="M255" s="216">
        <v>94.652216056735881</v>
      </c>
      <c r="N255" s="90" t="s">
        <v>1031</v>
      </c>
      <c r="O255" s="49">
        <f>VLOOKUP(N255,'[2]climate data'!$A$78:$C$98,2,FALSE)</f>
        <v>0.13850864553314121</v>
      </c>
      <c r="P255" s="49">
        <f>VLOOKUP(N255,'[2]climate data'!$A$78:$C$98,3,FALSE)</f>
        <v>0.61318559951547114</v>
      </c>
    </row>
    <row r="256" spans="1:16">
      <c r="A256" t="s">
        <v>201</v>
      </c>
      <c r="B256" s="1606" t="s">
        <v>1526</v>
      </c>
      <c r="C256" s="1606" t="s">
        <v>1532</v>
      </c>
      <c r="D256" s="1606" t="s">
        <v>1526</v>
      </c>
      <c r="F256" s="1606" t="s">
        <v>1526</v>
      </c>
      <c r="G256" s="1788" t="s">
        <v>2312</v>
      </c>
      <c r="L256" s="90" t="s">
        <v>250</v>
      </c>
      <c r="M256" s="216">
        <v>96.602938949182374</v>
      </c>
      <c r="N256" s="90" t="s">
        <v>1446</v>
      </c>
      <c r="O256" s="49">
        <f>VLOOKUP(N256,'[2]climate data'!$A$78:$C$98,2,FALSE)</f>
        <v>0.14198449369566921</v>
      </c>
      <c r="P256" s="49">
        <f>VLOOKUP(N256,'[2]climate data'!$A$78:$C$98,3,FALSE)</f>
        <v>0.59817452341914179</v>
      </c>
    </row>
    <row r="257" spans="1:16">
      <c r="A257" t="s">
        <v>1043</v>
      </c>
      <c r="B257" s="1606" t="s">
        <v>1529</v>
      </c>
      <c r="C257" s="1606" t="s">
        <v>1532</v>
      </c>
      <c r="D257" s="1606" t="s">
        <v>1515</v>
      </c>
      <c r="F257" s="1606" t="s">
        <v>1529</v>
      </c>
      <c r="G257" s="1788" t="s">
        <v>596</v>
      </c>
      <c r="H257" s="1606" t="s">
        <v>1823</v>
      </c>
      <c r="L257" s="90" t="s">
        <v>91</v>
      </c>
      <c r="M257" s="216">
        <v>102.47561490782606</v>
      </c>
      <c r="N257" s="90" t="s">
        <v>1446</v>
      </c>
      <c r="O257" s="49">
        <f>VLOOKUP(N257,'[2]climate data'!$A$78:$C$98,2,FALSE)</f>
        <v>0.14198449369566921</v>
      </c>
      <c r="P257" s="49">
        <f>VLOOKUP(N257,'[2]climate data'!$A$78:$C$98,3,FALSE)</f>
        <v>0.59817452341914179</v>
      </c>
    </row>
    <row r="258" spans="1:16">
      <c r="A258" t="s">
        <v>1180</v>
      </c>
      <c r="C258" s="1606" t="s">
        <v>1532</v>
      </c>
      <c r="G258" s="1788" t="s">
        <v>2312</v>
      </c>
      <c r="L258" s="90" t="s">
        <v>1045</v>
      </c>
      <c r="M258" s="216">
        <v>57.594595731006223</v>
      </c>
      <c r="N258" s="90" t="s">
        <v>2284</v>
      </c>
      <c r="O258" s="49">
        <f>VLOOKUP(N258,'[2]climate data'!$A$78:$C$98,2,FALSE)</f>
        <v>0.1457497612225406</v>
      </c>
      <c r="P258" s="49">
        <f>VLOOKUP(N258,'[2]climate data'!$A$78:$C$98,3,FALSE)</f>
        <v>0.58272141331083149</v>
      </c>
    </row>
    <row r="259" spans="1:16">
      <c r="A259" t="s">
        <v>90</v>
      </c>
      <c r="B259" s="1606" t="s">
        <v>1515</v>
      </c>
      <c r="C259" s="1606" t="s">
        <v>1532</v>
      </c>
      <c r="D259" s="1606" t="s">
        <v>1529</v>
      </c>
      <c r="E259" s="1606" t="s">
        <v>1697</v>
      </c>
      <c r="F259" s="1606" t="s">
        <v>1529</v>
      </c>
      <c r="G259" s="1788" t="s">
        <v>2312</v>
      </c>
      <c r="H259" s="1606" t="s">
        <v>1824</v>
      </c>
      <c r="L259" s="90" t="s">
        <v>1046</v>
      </c>
      <c r="M259" s="216">
        <v>11.800075038024328</v>
      </c>
      <c r="N259" s="90" t="s">
        <v>2285</v>
      </c>
      <c r="O259" s="49">
        <f>VLOOKUP(N259,'[2]climate data'!$A$78:$C$98,2,FALSE)</f>
        <v>0.13135118623358111</v>
      </c>
      <c r="P259" s="49">
        <f>VLOOKUP(N259,'[2]climate data'!$A$78:$C$98,3,FALSE)</f>
        <v>0.64659870447063827</v>
      </c>
    </row>
    <row r="260" spans="1:16">
      <c r="A260" t="s">
        <v>1044</v>
      </c>
      <c r="B260" s="1606" t="s">
        <v>1515</v>
      </c>
      <c r="C260" s="1606" t="s">
        <v>1532</v>
      </c>
      <c r="D260" s="1606" t="s">
        <v>1529</v>
      </c>
      <c r="E260" s="1606" t="s">
        <v>1697</v>
      </c>
      <c r="F260" s="1606" t="s">
        <v>1529</v>
      </c>
      <c r="G260" s="1788" t="s">
        <v>2312</v>
      </c>
      <c r="H260" s="1606" t="s">
        <v>1825</v>
      </c>
      <c r="L260" s="90" t="s">
        <v>203</v>
      </c>
      <c r="M260" s="216">
        <v>38.578999344225181</v>
      </c>
      <c r="N260" s="90" t="s">
        <v>2228</v>
      </c>
      <c r="O260" s="49">
        <f>VLOOKUP(N260,'[2]climate data'!$A$78:$C$98,2,FALSE)</f>
        <v>0.16007777057679845</v>
      </c>
      <c r="P260" s="49">
        <f>VLOOKUP(N260,'[2]climate data'!$A$78:$C$98,3,FALSE)</f>
        <v>0.53056402861738117</v>
      </c>
    </row>
    <row r="261" spans="1:16">
      <c r="A261" t="s">
        <v>250</v>
      </c>
      <c r="B261" s="1606" t="s">
        <v>1526</v>
      </c>
      <c r="C261" s="1606" t="s">
        <v>1532</v>
      </c>
      <c r="D261" s="1606" t="s">
        <v>1526</v>
      </c>
      <c r="F261" s="1606" t="s">
        <v>1526</v>
      </c>
      <c r="G261" s="1788" t="s">
        <v>2312</v>
      </c>
      <c r="L261" s="90" t="s">
        <v>35</v>
      </c>
      <c r="M261" s="216">
        <v>294.05094913135645</v>
      </c>
      <c r="N261" s="90" t="s">
        <v>1905</v>
      </c>
      <c r="O261" s="49">
        <f>VLOOKUP(N261,'[2]climate data'!$A$78:$C$98,2,FALSE)</f>
        <v>0.11785345717234262</v>
      </c>
      <c r="P261" s="49">
        <f>VLOOKUP(N261,'[2]climate data'!$A$78:$C$98,3,FALSE)</f>
        <v>0.70929624594792429</v>
      </c>
    </row>
    <row r="262" spans="1:16">
      <c r="A262" t="s">
        <v>91</v>
      </c>
      <c r="B262" s="1606" t="s">
        <v>1526</v>
      </c>
      <c r="C262" s="1606" t="s">
        <v>1532</v>
      </c>
      <c r="D262" s="1606" t="s">
        <v>1526</v>
      </c>
      <c r="F262" s="1606" t="s">
        <v>1526</v>
      </c>
      <c r="G262" s="1788" t="s">
        <v>2312</v>
      </c>
      <c r="L262" s="90" t="s">
        <v>1047</v>
      </c>
      <c r="M262" s="216">
        <v>27.939038095575182</v>
      </c>
      <c r="N262" s="90" t="s">
        <v>2285</v>
      </c>
      <c r="O262" s="49">
        <f>VLOOKUP(N262,'[2]climate data'!$A$78:$C$98,2,FALSE)</f>
        <v>0.13135118623358111</v>
      </c>
      <c r="P262" s="49">
        <f>VLOOKUP(N262,'[2]climate data'!$A$78:$C$98,3,FALSE)</f>
        <v>0.64659870447063827</v>
      </c>
    </row>
    <row r="263" spans="1:16">
      <c r="A263" t="s">
        <v>1045</v>
      </c>
      <c r="C263" s="1606" t="s">
        <v>1532</v>
      </c>
      <c r="G263" s="1788" t="s">
        <v>596</v>
      </c>
      <c r="L263" s="90" t="s">
        <v>31</v>
      </c>
      <c r="M263" s="216">
        <v>47.921412963357803</v>
      </c>
      <c r="N263" s="90" t="s">
        <v>1458</v>
      </c>
      <c r="O263" s="49">
        <f>VLOOKUP(N263,'[2]climate data'!$A$78:$C$98,2,FALSE)</f>
        <v>0.13295201779472512</v>
      </c>
      <c r="P263" s="49">
        <f>VLOOKUP(N263,'[2]climate data'!$A$78:$C$98,3,FALSE)</f>
        <v>0.62933706629337072</v>
      </c>
    </row>
    <row r="264" spans="1:16">
      <c r="A264" t="s">
        <v>1046</v>
      </c>
      <c r="C264" s="1606" t="s">
        <v>1532</v>
      </c>
      <c r="G264" s="1788" t="s">
        <v>2312</v>
      </c>
      <c r="L264" s="90" t="s">
        <v>21</v>
      </c>
      <c r="M264" s="216">
        <v>5.8993697166442871E-5</v>
      </c>
      <c r="N264" s="90" t="s">
        <v>1460</v>
      </c>
      <c r="O264" s="49">
        <f>VLOOKUP(N264,'[2]climate data'!$A$78:$C$98,2,FALSE)</f>
        <v>0.13287016934433349</v>
      </c>
      <c r="P264" s="49">
        <f>VLOOKUP(N264,'[2]climate data'!$A$78:$C$98,3,FALSE)</f>
        <v>0.63740887486717346</v>
      </c>
    </row>
    <row r="265" spans="1:16">
      <c r="A265" t="s">
        <v>203</v>
      </c>
      <c r="B265" s="1606" t="s">
        <v>1515</v>
      </c>
      <c r="C265" s="1606" t="s">
        <v>1532</v>
      </c>
      <c r="D265" s="1606" t="s">
        <v>1529</v>
      </c>
      <c r="G265" s="1788" t="s">
        <v>2312</v>
      </c>
      <c r="L265" s="90" t="s">
        <v>1048</v>
      </c>
      <c r="M265" s="216">
        <v>108.70561444676201</v>
      </c>
      <c r="N265" s="90" t="s">
        <v>1031</v>
      </c>
      <c r="O265" s="49">
        <f>VLOOKUP(N265,'[2]climate data'!$A$78:$C$98,2,FALSE)</f>
        <v>0.13850864553314121</v>
      </c>
      <c r="P265" s="49">
        <f>VLOOKUP(N265,'[2]climate data'!$A$78:$C$98,3,FALSE)</f>
        <v>0.61318559951547114</v>
      </c>
    </row>
    <row r="266" spans="1:16">
      <c r="A266" t="s">
        <v>35</v>
      </c>
      <c r="B266" s="1606" t="s">
        <v>1526</v>
      </c>
      <c r="C266" s="1606" t="s">
        <v>1532</v>
      </c>
      <c r="D266" s="1606" t="s">
        <v>1526</v>
      </c>
      <c r="F266" s="1606" t="s">
        <v>1526</v>
      </c>
      <c r="G266" s="1788" t="s">
        <v>2312</v>
      </c>
      <c r="L266" s="90" t="s">
        <v>92</v>
      </c>
      <c r="M266" s="216">
        <v>42.120830280367251</v>
      </c>
      <c r="N266" s="90" t="s">
        <v>1458</v>
      </c>
      <c r="O266" s="49">
        <f>VLOOKUP(N266,'[2]climate data'!$A$78:$C$98,2,FALSE)</f>
        <v>0.13295201779472512</v>
      </c>
      <c r="P266" s="49">
        <f>VLOOKUP(N266,'[2]climate data'!$A$78:$C$98,3,FALSE)</f>
        <v>0.62933706629337072</v>
      </c>
    </row>
    <row r="267" spans="1:16">
      <c r="A267" t="s">
        <v>1047</v>
      </c>
      <c r="C267" s="1606" t="s">
        <v>1532</v>
      </c>
      <c r="G267" s="1788" t="s">
        <v>596</v>
      </c>
      <c r="L267" s="90" t="s">
        <v>1956</v>
      </c>
      <c r="M267" s="216">
        <v>33.430133872464523</v>
      </c>
      <c r="N267" s="90" t="s">
        <v>2284</v>
      </c>
      <c r="O267" s="49">
        <f>VLOOKUP(N267,'[2]climate data'!$A$78:$C$98,2,FALSE)</f>
        <v>0.1457497612225406</v>
      </c>
      <c r="P267" s="49">
        <f>VLOOKUP(N267,'[2]climate data'!$A$78:$C$98,3,FALSE)</f>
        <v>0.58272141331083149</v>
      </c>
    </row>
    <row r="268" spans="1:16">
      <c r="A268" t="s">
        <v>31</v>
      </c>
      <c r="C268" s="1606" t="s">
        <v>1532</v>
      </c>
      <c r="G268" s="1788" t="s">
        <v>2312</v>
      </c>
      <c r="L268" s="90" t="s">
        <v>1049</v>
      </c>
      <c r="M268" s="216">
        <v>61.678708225073734</v>
      </c>
      <c r="N268" s="90" t="s">
        <v>1912</v>
      </c>
      <c r="O268" s="49">
        <f>VLOOKUP(N268,'[2]climate data'!$A$78:$C$98,2,FALSE)</f>
        <v>0.15764546684709066</v>
      </c>
      <c r="P268" s="49">
        <f>VLOOKUP(N268,'[2]climate data'!$A$78:$C$98,3,FALSE)</f>
        <v>0.53875007349050508</v>
      </c>
    </row>
    <row r="269" spans="1:16">
      <c r="A269" t="s">
        <v>21</v>
      </c>
      <c r="B269" s="1606" t="s">
        <v>1526</v>
      </c>
      <c r="C269" s="1606" t="s">
        <v>1532</v>
      </c>
      <c r="G269" s="1788" t="s">
        <v>2312</v>
      </c>
      <c r="L269" s="90" t="s">
        <v>1050</v>
      </c>
      <c r="M269" s="216">
        <v>119.18738356813725</v>
      </c>
      <c r="N269" s="90" t="s">
        <v>1932</v>
      </c>
      <c r="O269" s="49">
        <f>VLOOKUP(N269,'[2]climate data'!$A$78:$C$98,2,FALSE)</f>
        <v>0.15677321156773211</v>
      </c>
      <c r="P269" s="49">
        <f>VLOOKUP(N269,'[2]climate data'!$A$78:$C$98,3,FALSE)</f>
        <v>0.54174757281553398</v>
      </c>
    </row>
    <row r="270" spans="1:16">
      <c r="A270" t="s">
        <v>1048</v>
      </c>
      <c r="B270" s="1606" t="s">
        <v>1515</v>
      </c>
      <c r="C270" s="1606" t="s">
        <v>1532</v>
      </c>
      <c r="D270" s="1606" t="s">
        <v>1529</v>
      </c>
      <c r="E270" s="1606" t="s">
        <v>1697</v>
      </c>
      <c r="F270" s="1606" t="s">
        <v>1529</v>
      </c>
      <c r="G270" s="1788" t="s">
        <v>2312</v>
      </c>
      <c r="H270" s="1606" t="s">
        <v>1826</v>
      </c>
      <c r="L270" s="90" t="s">
        <v>1181</v>
      </c>
      <c r="M270" s="216">
        <v>124.4543399079955</v>
      </c>
      <c r="N270" s="90" t="s">
        <v>1932</v>
      </c>
      <c r="O270" s="49">
        <f>VLOOKUP(N270,'[2]climate data'!$A$78:$C$98,2,FALSE)</f>
        <v>0.15677321156773211</v>
      </c>
      <c r="P270" s="49">
        <f>VLOOKUP(N270,'[2]climate data'!$A$78:$C$98,3,FALSE)</f>
        <v>0.54174757281553398</v>
      </c>
    </row>
    <row r="271" spans="1:16">
      <c r="A271" t="s">
        <v>92</v>
      </c>
      <c r="C271" s="1606" t="s">
        <v>1532</v>
      </c>
      <c r="G271" s="1788" t="s">
        <v>2312</v>
      </c>
      <c r="L271" s="90" t="s">
        <v>1182</v>
      </c>
      <c r="M271" s="216">
        <v>119.30930691371687</v>
      </c>
      <c r="N271" s="90" t="s">
        <v>1932</v>
      </c>
      <c r="O271" s="49">
        <f>VLOOKUP(N271,'[2]climate data'!$A$78:$C$98,2,FALSE)</f>
        <v>0.15677321156773211</v>
      </c>
      <c r="P271" s="49">
        <f>VLOOKUP(N271,'[2]climate data'!$A$78:$C$98,3,FALSE)</f>
        <v>0.54174757281553398</v>
      </c>
    </row>
    <row r="272" spans="1:16">
      <c r="A272" t="s">
        <v>1049</v>
      </c>
      <c r="C272" s="1606" t="s">
        <v>1532</v>
      </c>
      <c r="G272" s="1788" t="s">
        <v>596</v>
      </c>
      <c r="L272" s="90" t="s">
        <v>209</v>
      </c>
      <c r="M272" s="216">
        <v>150.76433194935777</v>
      </c>
      <c r="N272" s="90" t="s">
        <v>1445</v>
      </c>
      <c r="O272" s="49">
        <f>VLOOKUP(N272,'[2]climate data'!$A$78:$C$98,2,FALSE)</f>
        <v>0.12280701754385964</v>
      </c>
      <c r="P272" s="49">
        <f>VLOOKUP(N272,'[2]climate data'!$A$78:$C$98,3,FALSE)</f>
        <v>0.67315322283387025</v>
      </c>
    </row>
    <row r="273" spans="1:16">
      <c r="A273" t="s">
        <v>1050</v>
      </c>
      <c r="B273" s="1606" t="s">
        <v>1526</v>
      </c>
      <c r="C273" s="1606" t="s">
        <v>1532</v>
      </c>
      <c r="D273" s="1606" t="s">
        <v>1515</v>
      </c>
      <c r="E273" s="1606" t="s">
        <v>1697</v>
      </c>
      <c r="F273" s="1606" t="s">
        <v>1529</v>
      </c>
      <c r="G273" s="1788" t="s">
        <v>596</v>
      </c>
      <c r="H273" s="1606" t="s">
        <v>1827</v>
      </c>
      <c r="L273" s="90" t="s">
        <v>93</v>
      </c>
      <c r="M273" s="216">
        <v>99.262990517984647</v>
      </c>
      <c r="N273" s="90" t="s">
        <v>1964</v>
      </c>
      <c r="O273" s="49">
        <f>VLOOKUP(N273,'[2]climate data'!$A$78:$C$98,2,FALSE)</f>
        <v>0.13927272727272727</v>
      </c>
      <c r="P273" s="49">
        <f>VLOOKUP(N273,'[2]climate data'!$A$78:$C$98,3,FALSE)</f>
        <v>0.60982152437497761</v>
      </c>
    </row>
    <row r="274" spans="1:16">
      <c r="A274" t="s">
        <v>1181</v>
      </c>
      <c r="C274" s="1606" t="s">
        <v>1532</v>
      </c>
      <c r="G274" s="1788" t="s">
        <v>596</v>
      </c>
      <c r="L274" s="90" t="s">
        <v>214</v>
      </c>
      <c r="M274" s="216">
        <v>136.83128702883207</v>
      </c>
      <c r="N274" s="90" t="s">
        <v>1460</v>
      </c>
      <c r="O274" s="49">
        <f>VLOOKUP(N274,'[2]climate data'!$A$78:$C$98,2,FALSE)</f>
        <v>0.13287016934433349</v>
      </c>
      <c r="P274" s="49">
        <f>VLOOKUP(N274,'[2]climate data'!$A$78:$C$98,3,FALSE)</f>
        <v>0.63740887486717346</v>
      </c>
    </row>
    <row r="275" spans="1:16">
      <c r="A275" t="s">
        <v>1182</v>
      </c>
      <c r="C275" s="1606" t="s">
        <v>1532</v>
      </c>
      <c r="G275" s="1788" t="s">
        <v>596</v>
      </c>
      <c r="L275" s="90" t="s">
        <v>94</v>
      </c>
      <c r="M275" s="216">
        <v>23.992939934684504</v>
      </c>
      <c r="N275" s="90" t="s">
        <v>1446</v>
      </c>
      <c r="O275" s="49">
        <f>VLOOKUP(N275,'[2]climate data'!$A$78:$C$98,2,FALSE)</f>
        <v>0.14198449369566921</v>
      </c>
      <c r="P275" s="49">
        <f>VLOOKUP(N275,'[2]climate data'!$A$78:$C$98,3,FALSE)</f>
        <v>0.59817452341914179</v>
      </c>
    </row>
    <row r="276" spans="1:16">
      <c r="A276" t="s">
        <v>209</v>
      </c>
      <c r="C276" s="1606" t="s">
        <v>1532</v>
      </c>
      <c r="G276" s="1788" t="s">
        <v>2312</v>
      </c>
      <c r="L276" s="90" t="s">
        <v>1411</v>
      </c>
      <c r="M276" s="216">
        <v>164.54638870456483</v>
      </c>
      <c r="N276" s="90" t="s">
        <v>1446</v>
      </c>
      <c r="O276" s="49">
        <f>VLOOKUP(N276,'[2]climate data'!$A$78:$C$98,2,FALSE)</f>
        <v>0.14198449369566921</v>
      </c>
      <c r="P276" s="49">
        <f>VLOOKUP(N276,'[2]climate data'!$A$78:$C$98,3,FALSE)</f>
        <v>0.59817452341914179</v>
      </c>
    </row>
    <row r="277" spans="1:16">
      <c r="A277" t="s">
        <v>93</v>
      </c>
      <c r="B277" s="1606" t="s">
        <v>1529</v>
      </c>
      <c r="C277" s="1606" t="s">
        <v>1532</v>
      </c>
      <c r="D277" s="1606" t="s">
        <v>1529</v>
      </c>
      <c r="F277" s="1606" t="s">
        <v>1526</v>
      </c>
      <c r="G277" s="1788" t="s">
        <v>2312</v>
      </c>
      <c r="L277" s="90" t="s">
        <v>29</v>
      </c>
      <c r="M277" s="216">
        <v>53.23448436695368</v>
      </c>
      <c r="N277" s="90" t="s">
        <v>1457</v>
      </c>
      <c r="O277" s="49">
        <f>VLOOKUP(N277,'[2]climate data'!$A$78:$C$98,2,FALSE)</f>
        <v>0.1225813667375014</v>
      </c>
      <c r="P277" s="49">
        <f>VLOOKUP(N277,'[2]climate data'!$A$78:$C$98,3,FALSE)</f>
        <v>0.69285821417858218</v>
      </c>
    </row>
    <row r="278" spans="1:16">
      <c r="A278" t="s">
        <v>214</v>
      </c>
      <c r="B278" s="1606" t="s">
        <v>1526</v>
      </c>
      <c r="C278" s="1606" t="s">
        <v>1532</v>
      </c>
      <c r="D278" s="1606" t="s">
        <v>1526</v>
      </c>
      <c r="F278" s="1606" t="s">
        <v>1526</v>
      </c>
      <c r="G278" s="1788" t="s">
        <v>2312</v>
      </c>
      <c r="L278" s="90" t="s">
        <v>1412</v>
      </c>
      <c r="M278" s="216">
        <v>31.821362498861987</v>
      </c>
      <c r="N278" s="90" t="s">
        <v>2228</v>
      </c>
      <c r="O278" s="49">
        <f>VLOOKUP(N278,'[2]climate data'!$A$78:$C$98,2,FALSE)</f>
        <v>0.16007777057679845</v>
      </c>
      <c r="P278" s="49">
        <f>VLOOKUP(N278,'[2]climate data'!$A$78:$C$98,3,FALSE)</f>
        <v>0.53056402861738117</v>
      </c>
    </row>
    <row r="279" spans="1:16">
      <c r="A279" t="s">
        <v>94</v>
      </c>
      <c r="B279" s="1606" t="s">
        <v>1526</v>
      </c>
      <c r="C279" s="1606" t="s">
        <v>1532</v>
      </c>
      <c r="D279" s="1606" t="s">
        <v>1526</v>
      </c>
      <c r="F279" s="1606" t="s">
        <v>1526</v>
      </c>
      <c r="G279" s="1788" t="s">
        <v>2312</v>
      </c>
      <c r="L279" s="90" t="s">
        <v>1052</v>
      </c>
      <c r="M279" s="216">
        <v>5.4933243662053153</v>
      </c>
      <c r="N279" s="90" t="s">
        <v>1446</v>
      </c>
      <c r="O279" s="49">
        <f>VLOOKUP(N279,'[2]climate data'!$A$78:$C$98,2,FALSE)</f>
        <v>0.14198449369566921</v>
      </c>
      <c r="P279" s="49">
        <f>VLOOKUP(N279,'[2]climate data'!$A$78:$C$98,3,FALSE)</f>
        <v>0.59817452341914179</v>
      </c>
    </row>
    <row r="280" spans="1:16">
      <c r="A280" t="s">
        <v>1518</v>
      </c>
      <c r="C280" s="1606" t="s">
        <v>1532</v>
      </c>
      <c r="F280" s="1606" t="s">
        <v>1526</v>
      </c>
      <c r="G280" s="1788" t="s">
        <v>2312</v>
      </c>
      <c r="L280" s="90" t="s">
        <v>217</v>
      </c>
      <c r="M280" s="216">
        <v>9.7341495718304518</v>
      </c>
      <c r="N280" s="90" t="s">
        <v>1457</v>
      </c>
      <c r="O280" s="49">
        <f>VLOOKUP(N280,'[2]climate data'!$A$78:$C$98,2,FALSE)</f>
        <v>0.1225813667375014</v>
      </c>
      <c r="P280" s="49">
        <f>VLOOKUP(N280,'[2]climate data'!$A$78:$C$98,3,FALSE)</f>
        <v>0.69285821417858218</v>
      </c>
    </row>
    <row r="281" spans="1:16">
      <c r="A281" t="s">
        <v>29</v>
      </c>
      <c r="B281" s="1606" t="s">
        <v>1526</v>
      </c>
      <c r="C281" s="1606" t="s">
        <v>1532</v>
      </c>
      <c r="D281" s="1606" t="s">
        <v>1526</v>
      </c>
      <c r="F281" s="1606" t="s">
        <v>1529</v>
      </c>
      <c r="G281" s="1788" t="s">
        <v>2312</v>
      </c>
      <c r="L281" s="90" t="s">
        <v>1413</v>
      </c>
      <c r="M281" s="216">
        <v>148.78657983788094</v>
      </c>
      <c r="N281" s="90" t="s">
        <v>1446</v>
      </c>
      <c r="O281" s="49">
        <f>VLOOKUP(N281,'[2]climate data'!$A$78:$C$98,2,FALSE)</f>
        <v>0.14198449369566921</v>
      </c>
      <c r="P281" s="49">
        <f>VLOOKUP(N281,'[2]climate data'!$A$78:$C$98,3,FALSE)</f>
        <v>0.59817452341914179</v>
      </c>
    </row>
    <row r="282" spans="1:16">
      <c r="A282" t="s">
        <v>1052</v>
      </c>
      <c r="B282" s="1606" t="s">
        <v>1526</v>
      </c>
      <c r="C282" s="1606" t="s">
        <v>1532</v>
      </c>
      <c r="D282" s="1606" t="s">
        <v>1526</v>
      </c>
      <c r="F282" s="1606" t="s">
        <v>1526</v>
      </c>
      <c r="G282" s="1788" t="s">
        <v>2312</v>
      </c>
      <c r="L282" s="90" t="s">
        <v>297</v>
      </c>
      <c r="M282" s="216">
        <v>36.793312948792504</v>
      </c>
      <c r="N282" s="90" t="s">
        <v>2284</v>
      </c>
      <c r="O282" s="49">
        <f>VLOOKUP(N282,'[2]climate data'!$A$78:$C$98,2,FALSE)</f>
        <v>0.1457497612225406</v>
      </c>
      <c r="P282" s="49">
        <f>VLOOKUP(N282,'[2]climate data'!$A$78:$C$98,3,FALSE)</f>
        <v>0.58272141331083149</v>
      </c>
    </row>
    <row r="283" spans="1:16">
      <c r="A283" t="s">
        <v>217</v>
      </c>
      <c r="B283" s="1606" t="s">
        <v>1529</v>
      </c>
      <c r="C283" s="1606" t="s">
        <v>1532</v>
      </c>
      <c r="D283" s="1606" t="s">
        <v>1515</v>
      </c>
      <c r="E283" s="1606" t="s">
        <v>1697</v>
      </c>
      <c r="F283" s="1606" t="s">
        <v>1529</v>
      </c>
      <c r="G283" s="1788" t="s">
        <v>2312</v>
      </c>
      <c r="H283" s="1606" t="s">
        <v>1828</v>
      </c>
      <c r="L283" s="90" t="s">
        <v>1414</v>
      </c>
      <c r="M283" s="216">
        <v>51.806521122458925</v>
      </c>
      <c r="N283" s="90" t="s">
        <v>1905</v>
      </c>
      <c r="O283" s="49">
        <f>VLOOKUP(N283,'[2]climate data'!$A$78:$C$98,2,FALSE)</f>
        <v>0.11785345717234262</v>
      </c>
      <c r="P283" s="49">
        <f>VLOOKUP(N283,'[2]climate data'!$A$78:$C$98,3,FALSE)</f>
        <v>0.70929624594792429</v>
      </c>
    </row>
    <row r="284" spans="1:16">
      <c r="A284" t="s">
        <v>1413</v>
      </c>
      <c r="C284" s="1606" t="s">
        <v>1532</v>
      </c>
      <c r="F284" s="1606" t="s">
        <v>1526</v>
      </c>
      <c r="G284" s="1788" t="s">
        <v>2312</v>
      </c>
      <c r="L284" s="90" t="s">
        <v>1053</v>
      </c>
      <c r="M284" s="216">
        <v>52.930426510042714</v>
      </c>
      <c r="N284" s="90" t="s">
        <v>1932</v>
      </c>
      <c r="O284" s="49">
        <f>VLOOKUP(N284,'[2]climate data'!$A$78:$C$98,2,FALSE)</f>
        <v>0.15677321156773211</v>
      </c>
      <c r="P284" s="49">
        <f>VLOOKUP(N284,'[2]climate data'!$A$78:$C$98,3,FALSE)</f>
        <v>0.54174757281553398</v>
      </c>
    </row>
    <row r="285" spans="1:16">
      <c r="A285" t="s">
        <v>297</v>
      </c>
      <c r="C285" s="1606" t="s">
        <v>1532</v>
      </c>
      <c r="G285" s="1788" t="s">
        <v>596</v>
      </c>
      <c r="L285" s="90" t="s">
        <v>45</v>
      </c>
      <c r="M285" s="216">
        <v>89.528715287773892</v>
      </c>
      <c r="N285" s="90" t="s">
        <v>2285</v>
      </c>
      <c r="O285" s="49">
        <f>VLOOKUP(N285,'[2]climate data'!$A$78:$C$98,2,FALSE)</f>
        <v>0.13135118623358111</v>
      </c>
      <c r="P285" s="49">
        <f>VLOOKUP(N285,'[2]climate data'!$A$78:$C$98,3,FALSE)</f>
        <v>0.64659870447063827</v>
      </c>
    </row>
    <row r="286" spans="1:16">
      <c r="A286" t="s">
        <v>1414</v>
      </c>
      <c r="G286" s="1788" t="s">
        <v>2312</v>
      </c>
      <c r="L286" s="90" t="s">
        <v>1054</v>
      </c>
      <c r="M286" s="216">
        <v>70.258930564280973</v>
      </c>
      <c r="N286" s="90" t="s">
        <v>1453</v>
      </c>
      <c r="O286" s="49">
        <f>VLOOKUP(N286,'[2]climate data'!$A$78:$C$98,2,FALSE)</f>
        <v>0.14217401446232797</v>
      </c>
      <c r="P286" s="49">
        <f>VLOOKUP(N286,'[2]climate data'!$A$78:$C$98,3,FALSE)</f>
        <v>0.59737714497623251</v>
      </c>
    </row>
    <row r="287" spans="1:16">
      <c r="A287" t="s">
        <v>1053</v>
      </c>
      <c r="C287" s="1606" t="s">
        <v>1532</v>
      </c>
      <c r="F287" s="1606" t="s">
        <v>1526</v>
      </c>
      <c r="G287" s="1788" t="s">
        <v>596</v>
      </c>
      <c r="L287" s="90" t="s">
        <v>1957</v>
      </c>
      <c r="M287" s="216">
        <v>231.22571649425674</v>
      </c>
      <c r="N287" s="90" t="s">
        <v>1453</v>
      </c>
      <c r="O287" s="49">
        <f>VLOOKUP(N287,'[2]climate data'!$A$78:$C$98,2,FALSE)</f>
        <v>0.14217401446232797</v>
      </c>
      <c r="P287" s="49">
        <f>VLOOKUP(N287,'[2]climate data'!$A$78:$C$98,3,FALSE)</f>
        <v>0.59737714497623251</v>
      </c>
    </row>
    <row r="288" spans="1:16">
      <c r="A288" t="s">
        <v>45</v>
      </c>
      <c r="B288" s="1606" t="s">
        <v>1515</v>
      </c>
      <c r="C288" s="1606" t="s">
        <v>1532</v>
      </c>
      <c r="D288" s="1606" t="s">
        <v>1529</v>
      </c>
      <c r="E288" s="1606" t="s">
        <v>1697</v>
      </c>
      <c r="F288" s="1606" t="s">
        <v>1529</v>
      </c>
      <c r="G288" s="1788" t="s">
        <v>2312</v>
      </c>
      <c r="H288" s="1606" t="s">
        <v>1829</v>
      </c>
      <c r="L288" s="90" t="s">
        <v>1055</v>
      </c>
      <c r="M288" s="216">
        <v>147.87043018415162</v>
      </c>
      <c r="N288" s="90" t="s">
        <v>1905</v>
      </c>
      <c r="O288" s="49">
        <f>VLOOKUP(N288,'[2]climate data'!$A$78:$C$98,2,FALSE)</f>
        <v>0.11785345717234262</v>
      </c>
      <c r="P288" s="49">
        <f>VLOOKUP(N288,'[2]climate data'!$A$78:$C$98,3,FALSE)</f>
        <v>0.70929624594792429</v>
      </c>
    </row>
    <row r="289" spans="1:16">
      <c r="A289" t="s">
        <v>1054</v>
      </c>
      <c r="C289" s="1606" t="s">
        <v>1532</v>
      </c>
      <c r="G289" s="1788" t="s">
        <v>2312</v>
      </c>
      <c r="L289" s="90" t="s">
        <v>1958</v>
      </c>
      <c r="M289" s="216">
        <v>20.09981218158671</v>
      </c>
      <c r="N289" s="90" t="s">
        <v>2284</v>
      </c>
      <c r="O289" s="49">
        <f>VLOOKUP(N289,'[2]climate data'!$A$78:$C$98,2,FALSE)</f>
        <v>0.1457497612225406</v>
      </c>
      <c r="P289" s="49">
        <f>VLOOKUP(N289,'[2]climate data'!$A$78:$C$98,3,FALSE)</f>
        <v>0.58272141331083149</v>
      </c>
    </row>
    <row r="290" spans="1:16">
      <c r="A290" t="s">
        <v>1055</v>
      </c>
      <c r="B290" s="1606" t="s">
        <v>1526</v>
      </c>
      <c r="C290" s="1606" t="s">
        <v>1532</v>
      </c>
      <c r="D290" s="1606" t="s">
        <v>1526</v>
      </c>
      <c r="F290" s="1606" t="s">
        <v>1526</v>
      </c>
      <c r="G290" s="1788" t="s">
        <v>2312</v>
      </c>
      <c r="H290" s="1606" t="s">
        <v>1804</v>
      </c>
      <c r="L290" s="90" t="s">
        <v>550</v>
      </c>
      <c r="M290" s="216">
        <v>116.14191981484286</v>
      </c>
      <c r="N290" s="90" t="s">
        <v>1453</v>
      </c>
      <c r="O290" s="49">
        <f>VLOOKUP(N290,'[2]climate data'!$A$78:$C$98,2,FALSE)</f>
        <v>0.14217401446232797</v>
      </c>
      <c r="P290" s="49">
        <f>VLOOKUP(N290,'[2]climate data'!$A$78:$C$98,3,FALSE)</f>
        <v>0.59737714497623251</v>
      </c>
    </row>
    <row r="291" spans="1:16">
      <c r="A291" t="s">
        <v>550</v>
      </c>
      <c r="C291" s="1606" t="s">
        <v>1532</v>
      </c>
      <c r="G291" s="1788" t="s">
        <v>596</v>
      </c>
      <c r="L291" s="90" t="s">
        <v>1609</v>
      </c>
      <c r="M291" s="216">
        <v>20.375720051039476</v>
      </c>
      <c r="N291" s="90" t="s">
        <v>2286</v>
      </c>
      <c r="O291" s="49">
        <f>VLOOKUP(N291,'[2]climate data'!$A$78:$C$98,2,FALSE)</f>
        <v>0.14796503928666019</v>
      </c>
      <c r="P291" s="49">
        <f>VLOOKUP(N291,'[2]climate data'!$A$78:$C$98,3,FALSE)</f>
        <v>0.57399712296073502</v>
      </c>
    </row>
    <row r="292" spans="1:16">
      <c r="A292" t="s">
        <v>1609</v>
      </c>
      <c r="C292" s="1606" t="s">
        <v>1532</v>
      </c>
      <c r="G292" s="1788" t="s">
        <v>596</v>
      </c>
      <c r="L292" s="90" t="s">
        <v>1415</v>
      </c>
      <c r="M292" s="216">
        <v>86.491141677254703</v>
      </c>
      <c r="N292" s="90" t="s">
        <v>2285</v>
      </c>
      <c r="O292" s="49">
        <f>VLOOKUP(N292,'[2]climate data'!$A$78:$C$98,2,FALSE)</f>
        <v>0.13135118623358111</v>
      </c>
      <c r="P292" s="49">
        <f>VLOOKUP(N292,'[2]climate data'!$A$78:$C$98,3,FALSE)</f>
        <v>0.64659870447063827</v>
      </c>
    </row>
    <row r="293" spans="1:16">
      <c r="A293" t="s">
        <v>220</v>
      </c>
      <c r="B293" s="1606" t="s">
        <v>1526</v>
      </c>
      <c r="C293" s="1606" t="s">
        <v>1532</v>
      </c>
      <c r="D293" s="1606" t="s">
        <v>1526</v>
      </c>
      <c r="F293" s="1606" t="s">
        <v>1526</v>
      </c>
      <c r="G293" s="1788" t="s">
        <v>2312</v>
      </c>
      <c r="L293" s="90" t="s">
        <v>220</v>
      </c>
      <c r="M293" s="216">
        <v>84.730260726045074</v>
      </c>
      <c r="N293" s="90" t="s">
        <v>1031</v>
      </c>
      <c r="O293" s="49">
        <f>VLOOKUP(N293,'[2]climate data'!$A$78:$C$98,2,FALSE)</f>
        <v>0.13850864553314121</v>
      </c>
      <c r="P293" s="49">
        <f>VLOOKUP(N293,'[2]climate data'!$A$78:$C$98,3,FALSE)</f>
        <v>0.61318559951547114</v>
      </c>
    </row>
    <row r="294" spans="1:16">
      <c r="A294" t="s">
        <v>95</v>
      </c>
      <c r="B294" s="1606" t="s">
        <v>1529</v>
      </c>
      <c r="C294" s="1606" t="s">
        <v>1532</v>
      </c>
      <c r="D294" s="1606" t="s">
        <v>1529</v>
      </c>
      <c r="F294" s="1606" t="s">
        <v>1526</v>
      </c>
      <c r="G294" s="1788" t="s">
        <v>2312</v>
      </c>
      <c r="L294" s="90" t="s">
        <v>95</v>
      </c>
      <c r="M294" s="216">
        <v>86.711285933269053</v>
      </c>
      <c r="N294" s="90" t="s">
        <v>1446</v>
      </c>
      <c r="O294" s="49">
        <f>VLOOKUP(N294,'[2]climate data'!$A$78:$C$98,2,FALSE)</f>
        <v>0.14198449369566921</v>
      </c>
      <c r="P294" s="49">
        <f>VLOOKUP(N294,'[2]climate data'!$A$78:$C$98,3,FALSE)</f>
        <v>0.59817452341914179</v>
      </c>
    </row>
    <row r="295" spans="1:16">
      <c r="A295" t="s">
        <v>96</v>
      </c>
      <c r="B295" s="1606" t="s">
        <v>1526</v>
      </c>
      <c r="C295" s="1606" t="s">
        <v>1532</v>
      </c>
      <c r="D295" s="1606" t="s">
        <v>1526</v>
      </c>
      <c r="F295" s="1606" t="s">
        <v>1526</v>
      </c>
      <c r="G295" s="1788" t="s">
        <v>2312</v>
      </c>
      <c r="L295" s="90" t="s">
        <v>96</v>
      </c>
      <c r="M295" s="216">
        <v>98.648901506999863</v>
      </c>
      <c r="N295" s="90" t="s">
        <v>1446</v>
      </c>
      <c r="O295" s="49">
        <f>VLOOKUP(N295,'[2]climate data'!$A$78:$C$98,2,FALSE)</f>
        <v>0.14198449369566921</v>
      </c>
      <c r="P295" s="49">
        <f>VLOOKUP(N295,'[2]climate data'!$A$78:$C$98,3,FALSE)</f>
        <v>0.59817452341914179</v>
      </c>
    </row>
    <row r="296" spans="1:16">
      <c r="A296" t="s">
        <v>259</v>
      </c>
      <c r="B296" s="1606" t="s">
        <v>1526</v>
      </c>
      <c r="C296" s="1606" t="s">
        <v>1532</v>
      </c>
      <c r="D296" s="1606" t="s">
        <v>1526</v>
      </c>
      <c r="F296" s="1606" t="s">
        <v>1526</v>
      </c>
      <c r="G296" s="1788" t="s">
        <v>2312</v>
      </c>
      <c r="L296" s="90" t="s">
        <v>259</v>
      </c>
      <c r="M296" s="216">
        <v>123.7021600032182</v>
      </c>
      <c r="N296" s="90" t="s">
        <v>1446</v>
      </c>
      <c r="O296" s="49">
        <f>VLOOKUP(N296,'[2]climate data'!$A$78:$C$98,2,FALSE)</f>
        <v>0.14198449369566921</v>
      </c>
      <c r="P296" s="49">
        <f>VLOOKUP(N296,'[2]climate data'!$A$78:$C$98,3,FALSE)</f>
        <v>0.59817452341914179</v>
      </c>
    </row>
    <row r="297" spans="1:16">
      <c r="A297" t="s">
        <v>1610</v>
      </c>
      <c r="C297" s="1606" t="s">
        <v>1532</v>
      </c>
      <c r="G297" s="1788" t="s">
        <v>596</v>
      </c>
      <c r="L297" s="90" t="s">
        <v>1056</v>
      </c>
      <c r="M297" s="216">
        <v>137.96508192712716</v>
      </c>
      <c r="N297" s="90" t="s">
        <v>1453</v>
      </c>
      <c r="O297" s="49">
        <f>VLOOKUP(N297,'[2]climate data'!$A$78:$C$98,2,FALSE)</f>
        <v>0.14217401446232797</v>
      </c>
      <c r="P297" s="49">
        <f>VLOOKUP(N297,'[2]climate data'!$A$78:$C$98,3,FALSE)</f>
        <v>0.59737714497623251</v>
      </c>
    </row>
    <row r="298" spans="1:16">
      <c r="A298" t="s">
        <v>1056</v>
      </c>
      <c r="C298" s="1606" t="s">
        <v>1532</v>
      </c>
      <c r="G298" s="1788" t="s">
        <v>2312</v>
      </c>
      <c r="L298" s="90" t="s">
        <v>210</v>
      </c>
      <c r="M298" s="216">
        <v>148.20604620746451</v>
      </c>
      <c r="N298" s="90" t="s">
        <v>1458</v>
      </c>
      <c r="O298" s="49">
        <f>VLOOKUP(N298,'[2]climate data'!$A$78:$C$98,2,FALSE)</f>
        <v>0.13295201779472512</v>
      </c>
      <c r="P298" s="49">
        <f>VLOOKUP(N298,'[2]climate data'!$A$78:$C$98,3,FALSE)</f>
        <v>0.62933706629337072</v>
      </c>
    </row>
    <row r="299" spans="1:16">
      <c r="A299" t="s">
        <v>210</v>
      </c>
      <c r="C299" s="1606" t="s">
        <v>1532</v>
      </c>
      <c r="G299" s="1788" t="s">
        <v>2312</v>
      </c>
      <c r="L299" s="90" t="s">
        <v>211</v>
      </c>
      <c r="M299" s="216">
        <v>178.98425392635662</v>
      </c>
      <c r="N299" s="90" t="s">
        <v>1445</v>
      </c>
      <c r="O299" s="49">
        <f>VLOOKUP(N299,'[2]climate data'!$A$78:$C$98,2,FALSE)</f>
        <v>0.12280701754385964</v>
      </c>
      <c r="P299" s="49">
        <f>VLOOKUP(N299,'[2]climate data'!$A$78:$C$98,3,FALSE)</f>
        <v>0.67315322283387025</v>
      </c>
    </row>
    <row r="300" spans="1:16">
      <c r="A300" t="s">
        <v>211</v>
      </c>
      <c r="C300" s="1606" t="s">
        <v>1532</v>
      </c>
      <c r="G300" s="1788" t="s">
        <v>2312</v>
      </c>
      <c r="L300" s="90" t="s">
        <v>1416</v>
      </c>
      <c r="M300" s="216">
        <v>20.428037863107289</v>
      </c>
      <c r="N300" s="90" t="s">
        <v>2284</v>
      </c>
      <c r="O300" s="49">
        <f>VLOOKUP(N300,'[2]climate data'!$A$78:$C$98,2,FALSE)</f>
        <v>0.1457497612225406</v>
      </c>
      <c r="P300" s="49">
        <f>VLOOKUP(N300,'[2]climate data'!$A$78:$C$98,3,FALSE)</f>
        <v>0.58272141331083149</v>
      </c>
    </row>
    <row r="301" spans="1:16">
      <c r="A301" t="s">
        <v>1611</v>
      </c>
      <c r="C301" s="1606" t="s">
        <v>1532</v>
      </c>
      <c r="G301" s="1788" t="s">
        <v>596</v>
      </c>
      <c r="L301" s="90" t="s">
        <v>1417</v>
      </c>
      <c r="M301" s="216">
        <v>79.227667723109363</v>
      </c>
      <c r="N301" s="90" t="s">
        <v>2228</v>
      </c>
      <c r="O301" s="49">
        <f>VLOOKUP(N301,'[2]climate data'!$A$78:$C$98,2,FALSE)</f>
        <v>0.16007777057679845</v>
      </c>
      <c r="P301" s="49">
        <f>VLOOKUP(N301,'[2]climate data'!$A$78:$C$98,3,FALSE)</f>
        <v>0.53056402861738117</v>
      </c>
    </row>
    <row r="302" spans="1:16">
      <c r="A302" t="s">
        <v>1416</v>
      </c>
      <c r="C302" s="1606" t="s">
        <v>1532</v>
      </c>
      <c r="G302" s="1788" t="s">
        <v>2312</v>
      </c>
      <c r="L302" s="90" t="s">
        <v>1057</v>
      </c>
      <c r="M302" s="216">
        <v>142.11052411069247</v>
      </c>
      <c r="N302" s="90" t="s">
        <v>1453</v>
      </c>
      <c r="O302" s="49">
        <f>VLOOKUP(N302,'[2]climate data'!$A$78:$C$98,2,FALSE)</f>
        <v>0.14217401446232797</v>
      </c>
      <c r="P302" s="49">
        <f>VLOOKUP(N302,'[2]climate data'!$A$78:$C$98,3,FALSE)</f>
        <v>0.59737714497623251</v>
      </c>
    </row>
    <row r="303" spans="1:16">
      <c r="A303" t="s">
        <v>1354</v>
      </c>
      <c r="C303" s="1606" t="s">
        <v>1532</v>
      </c>
      <c r="F303" s="1606" t="s">
        <v>1526</v>
      </c>
      <c r="G303" s="1788" t="s">
        <v>596</v>
      </c>
      <c r="L303" s="90" t="s">
        <v>233</v>
      </c>
      <c r="M303" s="216">
        <v>103.32576055548421</v>
      </c>
      <c r="N303" s="90" t="s">
        <v>2285</v>
      </c>
      <c r="O303" s="49">
        <f>VLOOKUP(N303,'[2]climate data'!$A$78:$C$98,2,FALSE)</f>
        <v>0.13135118623358111</v>
      </c>
      <c r="P303" s="49">
        <f>VLOOKUP(N303,'[2]climate data'!$A$78:$C$98,3,FALSE)</f>
        <v>0.64659870447063827</v>
      </c>
    </row>
    <row r="304" spans="1:16">
      <c r="A304" t="s">
        <v>1057</v>
      </c>
      <c r="C304" s="1606" t="s">
        <v>1532</v>
      </c>
      <c r="G304" s="1788" t="s">
        <v>2312</v>
      </c>
      <c r="L304" s="90" t="s">
        <v>1418</v>
      </c>
      <c r="M304" s="216">
        <v>68.090055949746841</v>
      </c>
      <c r="N304" s="90" t="s">
        <v>1460</v>
      </c>
      <c r="O304" s="49">
        <f>VLOOKUP(N304,'[2]climate data'!$A$78:$C$98,2,FALSE)</f>
        <v>0.13287016934433349</v>
      </c>
      <c r="P304" s="49">
        <f>VLOOKUP(N304,'[2]climate data'!$A$78:$C$98,3,FALSE)</f>
        <v>0.63740887486717346</v>
      </c>
    </row>
    <row r="305" spans="1:16">
      <c r="A305" t="s">
        <v>233</v>
      </c>
      <c r="B305" s="1606" t="s">
        <v>1526</v>
      </c>
      <c r="C305" s="1606" t="s">
        <v>1532</v>
      </c>
      <c r="D305" s="1606" t="s">
        <v>1529</v>
      </c>
      <c r="E305" s="1606" t="s">
        <v>1697</v>
      </c>
      <c r="F305" s="1606" t="s">
        <v>1529</v>
      </c>
      <c r="G305" s="1788" t="s">
        <v>2312</v>
      </c>
      <c r="H305" s="1606" t="s">
        <v>1830</v>
      </c>
      <c r="L305" s="90" t="s">
        <v>1058</v>
      </c>
      <c r="M305" s="216">
        <v>22.38275276106037</v>
      </c>
      <c r="N305" s="90" t="s">
        <v>2285</v>
      </c>
      <c r="O305" s="49">
        <f>VLOOKUP(N305,'[2]climate data'!$A$78:$C$98,2,FALSE)</f>
        <v>0.13135118623358111</v>
      </c>
      <c r="P305" s="49">
        <f>VLOOKUP(N305,'[2]climate data'!$A$78:$C$98,3,FALSE)</f>
        <v>0.64659870447063827</v>
      </c>
    </row>
    <row r="306" spans="1:16">
      <c r="A306" t="s">
        <v>1418</v>
      </c>
      <c r="G306" s="1788" t="s">
        <v>2312</v>
      </c>
      <c r="L306" s="90" t="s">
        <v>223</v>
      </c>
      <c r="M306" s="216">
        <v>142.56061750651801</v>
      </c>
      <c r="N306" s="90" t="s">
        <v>1031</v>
      </c>
      <c r="O306" s="49">
        <f>VLOOKUP(N306,'[2]climate data'!$A$78:$C$98,2,FALSE)</f>
        <v>0.13850864553314121</v>
      </c>
      <c r="P306" s="49">
        <f>VLOOKUP(N306,'[2]climate data'!$A$78:$C$98,3,FALSE)</f>
        <v>0.61318559951547114</v>
      </c>
    </row>
    <row r="307" spans="1:16">
      <c r="A307" t="s">
        <v>1058</v>
      </c>
      <c r="C307" s="1606" t="s">
        <v>1532</v>
      </c>
      <c r="G307" s="1788" t="s">
        <v>2312</v>
      </c>
      <c r="L307" s="90" t="s">
        <v>1059</v>
      </c>
      <c r="M307" s="216">
        <v>18.686192246268565</v>
      </c>
      <c r="N307" s="90" t="s">
        <v>1457</v>
      </c>
      <c r="O307" s="49">
        <f>VLOOKUP(N307,'[2]climate data'!$A$78:$C$98,2,FALSE)</f>
        <v>0.1225813667375014</v>
      </c>
      <c r="P307" s="49">
        <f>VLOOKUP(N307,'[2]climate data'!$A$78:$C$98,3,FALSE)</f>
        <v>0.69285821417858218</v>
      </c>
    </row>
    <row r="308" spans="1:16">
      <c r="A308" t="s">
        <v>223</v>
      </c>
      <c r="B308" s="1606" t="s">
        <v>1526</v>
      </c>
      <c r="C308" s="1606" t="s">
        <v>1532</v>
      </c>
      <c r="D308" s="1606" t="s">
        <v>1526</v>
      </c>
      <c r="F308" s="1606" t="s">
        <v>1526</v>
      </c>
      <c r="G308" s="1788" t="s">
        <v>2312</v>
      </c>
      <c r="L308" s="90" t="s">
        <v>1419</v>
      </c>
      <c r="M308" s="216">
        <v>99.512075648615181</v>
      </c>
      <c r="N308" s="90" t="s">
        <v>1905</v>
      </c>
      <c r="O308" s="49">
        <f>VLOOKUP(N308,'[2]climate data'!$A$78:$C$98,2,FALSE)</f>
        <v>0.11785345717234262</v>
      </c>
      <c r="P308" s="49">
        <f>VLOOKUP(N308,'[2]climate data'!$A$78:$C$98,3,FALSE)</f>
        <v>0.70929624594792429</v>
      </c>
    </row>
    <row r="309" spans="1:16">
      <c r="A309" t="s">
        <v>1059</v>
      </c>
      <c r="B309" s="1606" t="s">
        <v>1529</v>
      </c>
      <c r="C309" s="1606" t="s">
        <v>1532</v>
      </c>
      <c r="D309" s="1606" t="s">
        <v>1515</v>
      </c>
      <c r="F309" s="1606" t="s">
        <v>1529</v>
      </c>
      <c r="G309" s="1788" t="s">
        <v>2312</v>
      </c>
      <c r="H309" s="1606" t="s">
        <v>1831</v>
      </c>
      <c r="L309" s="90" t="s">
        <v>1060</v>
      </c>
      <c r="M309" s="216">
        <v>140.03662522184658</v>
      </c>
      <c r="N309" s="90" t="s">
        <v>1453</v>
      </c>
      <c r="O309" s="49">
        <f>VLOOKUP(N309,'[2]climate data'!$A$78:$C$98,2,FALSE)</f>
        <v>0.14217401446232797</v>
      </c>
      <c r="P309" s="49">
        <f>VLOOKUP(N309,'[2]climate data'!$A$78:$C$98,3,FALSE)</f>
        <v>0.59737714497623251</v>
      </c>
    </row>
    <row r="310" spans="1:16">
      <c r="A310" t="s">
        <v>1060</v>
      </c>
      <c r="C310" s="1606" t="s">
        <v>1532</v>
      </c>
      <c r="G310" s="1788" t="s">
        <v>2312</v>
      </c>
      <c r="L310" s="90" t="s">
        <v>1420</v>
      </c>
      <c r="M310" s="216">
        <v>48.485925405044128</v>
      </c>
      <c r="N310" s="90" t="s">
        <v>1457</v>
      </c>
      <c r="O310" s="49">
        <f>VLOOKUP(N310,'[2]climate data'!$A$78:$C$98,2,FALSE)</f>
        <v>0.1225813667375014</v>
      </c>
      <c r="P310" s="49">
        <f>VLOOKUP(N310,'[2]climate data'!$A$78:$C$98,3,FALSE)</f>
        <v>0.69285821417858218</v>
      </c>
    </row>
    <row r="311" spans="1:16">
      <c r="A311" t="s">
        <v>1420</v>
      </c>
      <c r="C311" s="1606" t="s">
        <v>1532</v>
      </c>
      <c r="F311" s="1606" t="s">
        <v>1526</v>
      </c>
      <c r="G311" s="1788" t="s">
        <v>2312</v>
      </c>
      <c r="L311" s="90" t="s">
        <v>1960</v>
      </c>
      <c r="M311" s="216">
        <v>40.395103777837242</v>
      </c>
      <c r="N311" s="90" t="s">
        <v>2284</v>
      </c>
      <c r="O311" s="49">
        <f>VLOOKUP(N311,'[2]climate data'!$A$78:$C$98,2,FALSE)</f>
        <v>0.1457497612225406</v>
      </c>
      <c r="P311" s="49">
        <f>VLOOKUP(N311,'[2]climate data'!$A$78:$C$98,3,FALSE)</f>
        <v>0.58272141331083149</v>
      </c>
    </row>
    <row r="312" spans="1:16">
      <c r="A312" t="s">
        <v>1355</v>
      </c>
      <c r="C312" s="1606" t="s">
        <v>1532</v>
      </c>
      <c r="F312" s="1606" t="s">
        <v>1526</v>
      </c>
      <c r="G312" s="1788" t="s">
        <v>596</v>
      </c>
      <c r="L312" s="90" t="s">
        <v>1355</v>
      </c>
      <c r="M312" s="216">
        <v>40.363914068924508</v>
      </c>
      <c r="N312" s="90" t="s">
        <v>1031</v>
      </c>
      <c r="O312" s="49">
        <f>VLOOKUP(N312,'[2]climate data'!$A$78:$C$98,2,FALSE)</f>
        <v>0.13850864553314121</v>
      </c>
      <c r="P312" s="49">
        <f>VLOOKUP(N312,'[2]climate data'!$A$78:$C$98,3,FALSE)</f>
        <v>0.61318559951547114</v>
      </c>
    </row>
    <row r="313" spans="1:16">
      <c r="A313" t="s">
        <v>1612</v>
      </c>
      <c r="C313" s="1606" t="s">
        <v>1532</v>
      </c>
      <c r="G313" s="1788" t="s">
        <v>2312</v>
      </c>
      <c r="L313" s="90" t="s">
        <v>1961</v>
      </c>
      <c r="M313" s="216">
        <v>30.466739913488492</v>
      </c>
      <c r="N313" s="90" t="s">
        <v>2285</v>
      </c>
      <c r="O313" s="49">
        <f>VLOOKUP(N313,'[2]climate data'!$A$78:$C$98,2,FALSE)</f>
        <v>0.13135118623358111</v>
      </c>
      <c r="P313" s="49">
        <f>VLOOKUP(N313,'[2]climate data'!$A$78:$C$98,3,FALSE)</f>
        <v>0.64659870447063827</v>
      </c>
    </row>
    <row r="314" spans="1:16">
      <c r="A314" t="s">
        <v>1576</v>
      </c>
      <c r="C314" s="1606" t="s">
        <v>1532</v>
      </c>
      <c r="G314" s="1788" t="s">
        <v>2312</v>
      </c>
      <c r="L314" s="90" t="s">
        <v>1612</v>
      </c>
      <c r="M314" s="216">
        <v>62.087091121846647</v>
      </c>
      <c r="N314" s="90" t="s">
        <v>2284</v>
      </c>
      <c r="O314" s="49">
        <f>VLOOKUP(N314,'[2]climate data'!$A$78:$C$98,2,FALSE)</f>
        <v>0.1457497612225406</v>
      </c>
      <c r="P314" s="49">
        <f>VLOOKUP(N314,'[2]climate data'!$A$78:$C$98,3,FALSE)</f>
        <v>0.58272141331083149</v>
      </c>
    </row>
    <row r="315" spans="1:16">
      <c r="A315" t="s">
        <v>27</v>
      </c>
      <c r="B315" s="1606" t="s">
        <v>1526</v>
      </c>
      <c r="C315" s="1606" t="s">
        <v>1532</v>
      </c>
      <c r="D315" s="1606" t="s">
        <v>1526</v>
      </c>
      <c r="F315" s="1606" t="s">
        <v>1526</v>
      </c>
      <c r="G315" s="1788" t="s">
        <v>2312</v>
      </c>
      <c r="L315" s="90" t="s">
        <v>1962</v>
      </c>
      <c r="M315" s="216">
        <v>317.07182755137558</v>
      </c>
      <c r="N315" s="90" t="s">
        <v>1453</v>
      </c>
      <c r="O315" s="49">
        <f>VLOOKUP(N315,'[2]climate data'!$A$78:$C$98,2,FALSE)</f>
        <v>0.14217401446232797</v>
      </c>
      <c r="P315" s="49">
        <f>VLOOKUP(N315,'[2]climate data'!$A$78:$C$98,3,FALSE)</f>
        <v>0.59737714497623251</v>
      </c>
    </row>
    <row r="316" spans="1:16">
      <c r="A316" t="s">
        <v>409</v>
      </c>
      <c r="B316" s="1606" t="s">
        <v>1529</v>
      </c>
      <c r="C316" s="1606" t="s">
        <v>1532</v>
      </c>
      <c r="D316" s="1606" t="s">
        <v>1529</v>
      </c>
      <c r="F316" s="1606" t="s">
        <v>1526</v>
      </c>
      <c r="G316" s="1788" t="s">
        <v>2312</v>
      </c>
      <c r="H316" s="1606" t="s">
        <v>1832</v>
      </c>
      <c r="L316" s="90" t="s">
        <v>27</v>
      </c>
      <c r="M316" s="216">
        <v>72.716439504251227</v>
      </c>
      <c r="N316" s="90" t="s">
        <v>1446</v>
      </c>
      <c r="O316" s="49">
        <f>VLOOKUP(N316,'[2]climate data'!$A$78:$C$98,2,FALSE)</f>
        <v>0.14198449369566921</v>
      </c>
      <c r="P316" s="49">
        <f>VLOOKUP(N316,'[2]climate data'!$A$78:$C$98,3,FALSE)</f>
        <v>0.59817452341914179</v>
      </c>
    </row>
    <row r="317" spans="1:16">
      <c r="A317" t="s">
        <v>190</v>
      </c>
      <c r="B317" s="1606" t="s">
        <v>1515</v>
      </c>
      <c r="C317" s="1606" t="s">
        <v>1532</v>
      </c>
      <c r="D317" s="1606" t="s">
        <v>1529</v>
      </c>
      <c r="F317" s="1606" t="s">
        <v>1526</v>
      </c>
      <c r="G317" s="1788" t="s">
        <v>2312</v>
      </c>
      <c r="L317" s="90" t="s">
        <v>1963</v>
      </c>
      <c r="M317" s="216">
        <v>9.3870973718341837</v>
      </c>
      <c r="N317" s="90" t="s">
        <v>2284</v>
      </c>
      <c r="O317" s="49">
        <f>VLOOKUP(N317,'[2]climate data'!$A$78:$C$98,2,FALSE)</f>
        <v>0.1457497612225406</v>
      </c>
      <c r="P317" s="49">
        <f>VLOOKUP(N317,'[2]climate data'!$A$78:$C$98,3,FALSE)</f>
        <v>0.58272141331083149</v>
      </c>
    </row>
    <row r="318" spans="1:16">
      <c r="A318" t="s">
        <v>1577</v>
      </c>
      <c r="C318" s="1606" t="s">
        <v>1532</v>
      </c>
      <c r="G318" s="1788" t="s">
        <v>2312</v>
      </c>
      <c r="L318" s="90" t="s">
        <v>409</v>
      </c>
      <c r="M318" s="216">
        <v>104.59910465841256</v>
      </c>
      <c r="N318" s="90" t="s">
        <v>1907</v>
      </c>
      <c r="O318" s="49">
        <f>VLOOKUP(N318,'[2]climate data'!$A$78:$C$98,2,FALSE)</f>
        <v>0.15400143257146579</v>
      </c>
      <c r="P318" s="49">
        <f>VLOOKUP(N318,'[2]climate data'!$A$78:$C$98,3,FALSE)</f>
        <v>0.55149816096614435</v>
      </c>
    </row>
    <row r="319" spans="1:16">
      <c r="A319" t="s">
        <v>1613</v>
      </c>
      <c r="C319" s="1606" t="s">
        <v>1532</v>
      </c>
      <c r="G319" s="1788" t="s">
        <v>596</v>
      </c>
      <c r="L319" s="90" t="s">
        <v>190</v>
      </c>
      <c r="M319" s="216">
        <v>73.937961791042255</v>
      </c>
      <c r="N319" s="90" t="s">
        <v>1914</v>
      </c>
      <c r="O319" s="49">
        <f>VLOOKUP(N319,'[2]climate data'!$A$78:$C$98,2,FALSE)</f>
        <v>0.13416220905016626</v>
      </c>
      <c r="P319" s="49">
        <f>VLOOKUP(N319,'[2]climate data'!$A$78:$C$98,3,FALSE)</f>
        <v>0.63305089749645727</v>
      </c>
    </row>
    <row r="320" spans="1:16">
      <c r="A320" t="s">
        <v>34</v>
      </c>
      <c r="B320" s="1606" t="s">
        <v>1529</v>
      </c>
      <c r="C320" s="1606" t="s">
        <v>1532</v>
      </c>
      <c r="D320" s="1606" t="s">
        <v>1529</v>
      </c>
      <c r="F320" s="1606" t="s">
        <v>1526</v>
      </c>
      <c r="G320" s="1788" t="s">
        <v>2312</v>
      </c>
      <c r="L320" s="90" t="s">
        <v>34</v>
      </c>
      <c r="M320" s="216">
        <v>123.59515062241532</v>
      </c>
      <c r="N320" s="90" t="s">
        <v>2228</v>
      </c>
      <c r="O320" s="49">
        <f>VLOOKUP(N320,'[2]climate data'!$A$78:$C$98,2,FALSE)</f>
        <v>0.16007777057679845</v>
      </c>
      <c r="P320" s="49">
        <f>VLOOKUP(N320,'[2]climate data'!$A$78:$C$98,3,FALSE)</f>
        <v>0.53056402861738117</v>
      </c>
    </row>
    <row r="321" spans="1:16">
      <c r="A321" t="s">
        <v>97</v>
      </c>
      <c r="B321" s="1606" t="s">
        <v>1515</v>
      </c>
      <c r="C321" s="1606" t="s">
        <v>1532</v>
      </c>
      <c r="D321" s="1606" t="s">
        <v>1529</v>
      </c>
      <c r="E321" s="1606" t="s">
        <v>1697</v>
      </c>
      <c r="F321" s="1606" t="s">
        <v>1529</v>
      </c>
      <c r="G321" s="1788" t="s">
        <v>2312</v>
      </c>
      <c r="H321" s="1606" t="s">
        <v>1833</v>
      </c>
      <c r="L321" s="90" t="s">
        <v>97</v>
      </c>
      <c r="M321" s="216">
        <v>59.827574068160928</v>
      </c>
      <c r="N321" s="90" t="s">
        <v>1914</v>
      </c>
      <c r="O321" s="49">
        <f>VLOOKUP(N321,'[2]climate data'!$A$78:$C$98,2,FALSE)</f>
        <v>0.13416220905016626</v>
      </c>
      <c r="P321" s="49">
        <f>VLOOKUP(N321,'[2]climate data'!$A$78:$C$98,3,FALSE)</f>
        <v>0.63305089749645727</v>
      </c>
    </row>
    <row r="322" spans="1:16">
      <c r="A322" t="s">
        <v>1061</v>
      </c>
      <c r="B322" s="1606" t="s">
        <v>1526</v>
      </c>
      <c r="C322" s="1606" t="s">
        <v>1532</v>
      </c>
      <c r="D322" s="1606" t="s">
        <v>1526</v>
      </c>
      <c r="F322" s="1606" t="s">
        <v>1526</v>
      </c>
      <c r="G322" s="1788" t="s">
        <v>2312</v>
      </c>
      <c r="L322" s="90" t="s">
        <v>1061</v>
      </c>
      <c r="M322" s="216">
        <v>45.416079911794746</v>
      </c>
      <c r="N322" s="90" t="s">
        <v>1965</v>
      </c>
      <c r="O322" s="49">
        <f>VLOOKUP(N322,'[2]climate data'!$A$78:$C$98,2,FALSE)</f>
        <v>0.1156127383885391</v>
      </c>
      <c r="P322" s="49">
        <f>VLOOKUP(N322,'[2]climate data'!$A$78:$C$98,3,FALSE)</f>
        <v>0.71609063965835096</v>
      </c>
    </row>
    <row r="323" spans="1:16">
      <c r="A323" t="s">
        <v>1062</v>
      </c>
      <c r="B323" s="1606" t="s">
        <v>1526</v>
      </c>
      <c r="C323" s="1606" t="s">
        <v>1532</v>
      </c>
      <c r="D323" s="1606" t="s">
        <v>1526</v>
      </c>
      <c r="F323" s="1606" t="s">
        <v>1526</v>
      </c>
      <c r="G323" s="1788" t="s">
        <v>2312</v>
      </c>
      <c r="H323" s="1606" t="s">
        <v>1776</v>
      </c>
      <c r="L323" s="90" t="s">
        <v>1062</v>
      </c>
      <c r="M323" s="216">
        <v>98.154477160958578</v>
      </c>
      <c r="N323" s="90" t="s">
        <v>1446</v>
      </c>
      <c r="O323" s="49">
        <f>VLOOKUP(N323,'[2]climate data'!$A$78:$C$98,2,FALSE)</f>
        <v>0.14198449369566921</v>
      </c>
      <c r="P323" s="49">
        <f>VLOOKUP(N323,'[2]climate data'!$A$78:$C$98,3,FALSE)</f>
        <v>0.59817452341914179</v>
      </c>
    </row>
    <row r="324" spans="1:16">
      <c r="A324" t="s">
        <v>1063</v>
      </c>
      <c r="B324" s="1606" t="s">
        <v>1526</v>
      </c>
      <c r="C324" s="1606" t="s">
        <v>1532</v>
      </c>
      <c r="G324" s="1788" t="s">
        <v>2312</v>
      </c>
      <c r="L324" s="90" t="s">
        <v>1063</v>
      </c>
      <c r="M324" s="216">
        <v>46.969265657256841</v>
      </c>
      <c r="N324" s="90" t="s">
        <v>1964</v>
      </c>
      <c r="O324" s="49">
        <f>VLOOKUP(N324,'[2]climate data'!$A$78:$C$98,2,FALSE)</f>
        <v>0.13927272727272727</v>
      </c>
      <c r="P324" s="49">
        <f>VLOOKUP(N324,'[2]climate data'!$A$78:$C$98,3,FALSE)</f>
        <v>0.60982152437497761</v>
      </c>
    </row>
    <row r="325" spans="1:16">
      <c r="A325" t="s">
        <v>1064</v>
      </c>
      <c r="B325" s="1606" t="s">
        <v>1526</v>
      </c>
      <c r="C325" s="1606" t="s">
        <v>1532</v>
      </c>
      <c r="D325" s="1606" t="s">
        <v>1526</v>
      </c>
      <c r="F325" s="1606" t="s">
        <v>1526</v>
      </c>
      <c r="G325" s="1788" t="s">
        <v>2312</v>
      </c>
      <c r="L325" s="90" t="s">
        <v>1064</v>
      </c>
      <c r="M325" s="216">
        <v>0</v>
      </c>
      <c r="N325" s="90" t="s">
        <v>1965</v>
      </c>
      <c r="O325" s="49">
        <f>VLOOKUP(N325,'[2]climate data'!$A$78:$C$98,2,FALSE)</f>
        <v>0.1156127383885391</v>
      </c>
      <c r="P325" s="49">
        <f>VLOOKUP(N325,'[2]climate data'!$A$78:$C$98,3,FALSE)</f>
        <v>0.71609063965835096</v>
      </c>
    </row>
    <row r="326" spans="1:16">
      <c r="A326" t="s">
        <v>1368</v>
      </c>
      <c r="C326" s="1606" t="s">
        <v>1532</v>
      </c>
      <c r="G326" s="1788" t="s">
        <v>2312</v>
      </c>
      <c r="L326" s="90" t="s">
        <v>1368</v>
      </c>
      <c r="M326" s="216">
        <v>63.601015372753672</v>
      </c>
      <c r="N326" s="90" t="s">
        <v>2284</v>
      </c>
      <c r="O326" s="49">
        <f>VLOOKUP(N326,'[2]climate data'!$A$78:$C$98,2,FALSE)</f>
        <v>0.1457497612225406</v>
      </c>
      <c r="P326" s="49">
        <f>VLOOKUP(N326,'[2]climate data'!$A$78:$C$98,3,FALSE)</f>
        <v>0.58272141331083149</v>
      </c>
    </row>
    <row r="327" spans="1:16">
      <c r="A327" t="s">
        <v>1065</v>
      </c>
      <c r="C327" s="1606" t="s">
        <v>1532</v>
      </c>
      <c r="G327" s="1788" t="s">
        <v>596</v>
      </c>
      <c r="L327" s="90" t="s">
        <v>1065</v>
      </c>
      <c r="M327" s="216">
        <v>43.238725541291863</v>
      </c>
      <c r="N327" s="90" t="s">
        <v>1912</v>
      </c>
      <c r="O327" s="49">
        <f>VLOOKUP(N327,'[2]climate data'!$A$78:$C$98,2,FALSE)</f>
        <v>0.15764546684709066</v>
      </c>
      <c r="P327" s="49">
        <f>VLOOKUP(N327,'[2]climate data'!$A$78:$C$98,3,FALSE)</f>
        <v>0.53875007349050508</v>
      </c>
    </row>
    <row r="328" spans="1:16">
      <c r="A328" t="s">
        <v>227</v>
      </c>
      <c r="B328" s="1606" t="s">
        <v>1526</v>
      </c>
      <c r="C328" s="1606" t="s">
        <v>1532</v>
      </c>
      <c r="D328" s="1606" t="s">
        <v>1526</v>
      </c>
      <c r="F328" s="1606" t="s">
        <v>1526</v>
      </c>
      <c r="G328" s="1788" t="s">
        <v>2312</v>
      </c>
      <c r="L328" s="90" t="s">
        <v>1421</v>
      </c>
      <c r="M328" s="216">
        <v>50.253216268913384</v>
      </c>
      <c r="N328" s="90" t="s">
        <v>1905</v>
      </c>
      <c r="O328" s="49">
        <f>VLOOKUP(N328,'[2]climate data'!$A$78:$C$98,2,FALSE)</f>
        <v>0.11785345717234262</v>
      </c>
      <c r="P328" s="49">
        <f>VLOOKUP(N328,'[2]climate data'!$A$78:$C$98,3,FALSE)</f>
        <v>0.70929624594792429</v>
      </c>
    </row>
    <row r="329" spans="1:16">
      <c r="A329" t="s">
        <v>98</v>
      </c>
      <c r="B329" s="1606" t="s">
        <v>1526</v>
      </c>
      <c r="C329" s="1606" t="s">
        <v>1532</v>
      </c>
      <c r="G329" s="1788" t="s">
        <v>2312</v>
      </c>
      <c r="L329" s="90" t="s">
        <v>227</v>
      </c>
      <c r="M329" s="216">
        <v>88.746831345017995</v>
      </c>
      <c r="N329" s="90" t="s">
        <v>1905</v>
      </c>
      <c r="O329" s="49">
        <f>VLOOKUP(N329,'[2]climate data'!$A$78:$C$98,2,FALSE)</f>
        <v>0.11785345717234262</v>
      </c>
      <c r="P329" s="49">
        <f>VLOOKUP(N329,'[2]climate data'!$A$78:$C$98,3,FALSE)</f>
        <v>0.70929624594792429</v>
      </c>
    </row>
    <row r="330" spans="1:16">
      <c r="A330" t="s">
        <v>1066</v>
      </c>
      <c r="C330" s="1606" t="s">
        <v>1532</v>
      </c>
      <c r="G330" s="1788" t="s">
        <v>596</v>
      </c>
      <c r="L330" s="90" t="s">
        <v>98</v>
      </c>
      <c r="M330" s="216">
        <v>163.32886717499363</v>
      </c>
      <c r="N330" s="90" t="s">
        <v>1460</v>
      </c>
      <c r="O330" s="49">
        <f>VLOOKUP(N330,'[2]climate data'!$A$78:$C$98,2,FALSE)</f>
        <v>0.13287016934433349</v>
      </c>
      <c r="P330" s="49">
        <f>VLOOKUP(N330,'[2]climate data'!$A$78:$C$98,3,FALSE)</f>
        <v>0.63740887486717346</v>
      </c>
    </row>
    <row r="331" spans="1:16">
      <c r="A331" t="s">
        <v>99</v>
      </c>
      <c r="B331" s="1606" t="s">
        <v>1526</v>
      </c>
      <c r="C331" s="1606" t="s">
        <v>1532</v>
      </c>
      <c r="D331" s="1606" t="s">
        <v>1526</v>
      </c>
      <c r="F331" s="1606" t="s">
        <v>1526</v>
      </c>
      <c r="G331" s="1788" t="s">
        <v>2312</v>
      </c>
      <c r="L331" s="90" t="s">
        <v>1066</v>
      </c>
      <c r="M331" s="216">
        <v>232.05361615798296</v>
      </c>
      <c r="N331" s="90" t="s">
        <v>1453</v>
      </c>
      <c r="O331" s="49">
        <f>VLOOKUP(N331,'[2]climate data'!$A$78:$C$98,2,FALSE)</f>
        <v>0.14217401446232797</v>
      </c>
      <c r="P331" s="49">
        <f>VLOOKUP(N331,'[2]climate data'!$A$78:$C$98,3,FALSE)</f>
        <v>0.59737714497623251</v>
      </c>
    </row>
    <row r="332" spans="1:16">
      <c r="A332" t="s">
        <v>100</v>
      </c>
      <c r="C332" s="1606" t="s">
        <v>1532</v>
      </c>
      <c r="G332" s="1788" t="s">
        <v>2312</v>
      </c>
      <c r="L332" s="90" t="s">
        <v>99</v>
      </c>
      <c r="M332" s="216">
        <v>145.31954976011133</v>
      </c>
      <c r="N332" s="90" t="s">
        <v>1446</v>
      </c>
      <c r="O332" s="49">
        <f>VLOOKUP(N332,'[2]climate data'!$A$78:$C$98,2,FALSE)</f>
        <v>0.14198449369566921</v>
      </c>
      <c r="P332" s="49">
        <f>VLOOKUP(N332,'[2]climate data'!$A$78:$C$98,3,FALSE)</f>
        <v>0.59817452341914179</v>
      </c>
    </row>
    <row r="333" spans="1:16">
      <c r="A333" t="s">
        <v>1067</v>
      </c>
      <c r="C333" s="1606" t="s">
        <v>1532</v>
      </c>
      <c r="G333" s="1788" t="s">
        <v>596</v>
      </c>
      <c r="L333" s="90" t="s">
        <v>100</v>
      </c>
      <c r="M333" s="216">
        <v>73.055837308372304</v>
      </c>
      <c r="N333" s="90" t="s">
        <v>1458</v>
      </c>
      <c r="O333" s="49">
        <f>VLOOKUP(N333,'[2]climate data'!$A$78:$C$98,2,FALSE)</f>
        <v>0.13295201779472512</v>
      </c>
      <c r="P333" s="49">
        <f>VLOOKUP(N333,'[2]climate data'!$A$78:$C$98,3,FALSE)</f>
        <v>0.62933706629337072</v>
      </c>
    </row>
    <row r="334" spans="1:16">
      <c r="A334" t="s">
        <v>1369</v>
      </c>
      <c r="C334" s="1606" t="s">
        <v>1532</v>
      </c>
      <c r="G334" s="1788" t="s">
        <v>596</v>
      </c>
      <c r="L334" s="90" t="s">
        <v>1067</v>
      </c>
      <c r="M334" s="216">
        <v>15.207650185794879</v>
      </c>
      <c r="N334" s="90" t="s">
        <v>2285</v>
      </c>
      <c r="O334" s="49">
        <f>VLOOKUP(N334,'[2]climate data'!$A$78:$C$98,2,FALSE)</f>
        <v>0.13135118623358111</v>
      </c>
      <c r="P334" s="49">
        <f>VLOOKUP(N334,'[2]climate data'!$A$78:$C$98,3,FALSE)</f>
        <v>0.64659870447063827</v>
      </c>
    </row>
    <row r="335" spans="1:16">
      <c r="A335" t="s">
        <v>1068</v>
      </c>
      <c r="C335" s="1606" t="s">
        <v>1532</v>
      </c>
      <c r="G335" s="1788" t="s">
        <v>596</v>
      </c>
      <c r="L335" s="90" t="s">
        <v>1369</v>
      </c>
      <c r="M335" s="216">
        <v>12.143724161314587</v>
      </c>
      <c r="N335" s="90" t="s">
        <v>2285</v>
      </c>
      <c r="O335" s="49">
        <f>VLOOKUP(N335,'[2]climate data'!$A$78:$C$98,2,FALSE)</f>
        <v>0.13135118623358111</v>
      </c>
      <c r="P335" s="49">
        <f>VLOOKUP(N335,'[2]climate data'!$A$78:$C$98,3,FALSE)</f>
        <v>0.64659870447063827</v>
      </c>
    </row>
    <row r="336" spans="1:16">
      <c r="A336" t="s">
        <v>101</v>
      </c>
      <c r="B336" s="1606" t="s">
        <v>1526</v>
      </c>
      <c r="C336" s="1606" t="s">
        <v>1532</v>
      </c>
      <c r="D336" s="1606" t="s">
        <v>1529</v>
      </c>
      <c r="E336" s="1606" t="s">
        <v>1697</v>
      </c>
      <c r="F336" s="1606" t="s">
        <v>1529</v>
      </c>
      <c r="G336" s="1788" t="s">
        <v>2312</v>
      </c>
      <c r="H336" s="1606" t="s">
        <v>1834</v>
      </c>
      <c r="L336" s="90" t="s">
        <v>1068</v>
      </c>
      <c r="M336" s="216">
        <v>76.599754779637337</v>
      </c>
      <c r="N336" s="90" t="s">
        <v>2284</v>
      </c>
      <c r="O336" s="49">
        <f>VLOOKUP(N336,'[2]climate data'!$A$78:$C$98,2,FALSE)</f>
        <v>0.1457497612225406</v>
      </c>
      <c r="P336" s="49">
        <f>VLOOKUP(N336,'[2]climate data'!$A$78:$C$98,3,FALSE)</f>
        <v>0.58272141331083149</v>
      </c>
    </row>
    <row r="337" spans="1:16">
      <c r="A337" t="s">
        <v>102</v>
      </c>
      <c r="B337" s="1606" t="s">
        <v>1526</v>
      </c>
      <c r="C337" s="1606" t="s">
        <v>1532</v>
      </c>
      <c r="G337" s="1788" t="s">
        <v>2312</v>
      </c>
      <c r="L337" s="90" t="s">
        <v>101</v>
      </c>
      <c r="M337" s="216">
        <v>74.219820796981239</v>
      </c>
      <c r="N337" s="90" t="s">
        <v>1914</v>
      </c>
      <c r="O337" s="49">
        <f>VLOOKUP(N337,'[2]climate data'!$A$78:$C$98,2,FALSE)</f>
        <v>0.13416220905016626</v>
      </c>
      <c r="P337" s="49">
        <f>VLOOKUP(N337,'[2]climate data'!$A$78:$C$98,3,FALSE)</f>
        <v>0.63305089749645727</v>
      </c>
    </row>
    <row r="338" spans="1:16">
      <c r="A338" t="s">
        <v>1513</v>
      </c>
      <c r="G338" s="1788" t="s">
        <v>2312</v>
      </c>
      <c r="L338" s="90" t="s">
        <v>1422</v>
      </c>
      <c r="M338" s="216">
        <v>151.92522677335481</v>
      </c>
      <c r="N338" s="90" t="s">
        <v>1453</v>
      </c>
      <c r="O338" s="49">
        <f>VLOOKUP(N338,'[2]climate data'!$A$78:$C$98,2,FALSE)</f>
        <v>0.14217401446232797</v>
      </c>
      <c r="P338" s="49">
        <f>VLOOKUP(N338,'[2]climate data'!$A$78:$C$98,3,FALSE)</f>
        <v>0.59737714497623251</v>
      </c>
    </row>
    <row r="339" spans="1:16">
      <c r="A339" t="s">
        <v>103</v>
      </c>
      <c r="B339" s="1606" t="s">
        <v>1526</v>
      </c>
      <c r="C339" s="1606" t="s">
        <v>1532</v>
      </c>
      <c r="G339" s="1788" t="s">
        <v>2312</v>
      </c>
      <c r="L339" s="90" t="s">
        <v>102</v>
      </c>
      <c r="M339" s="216">
        <v>35.085882364712432</v>
      </c>
      <c r="N339" s="90" t="s">
        <v>1964</v>
      </c>
      <c r="O339" s="49">
        <f>VLOOKUP(N339,'[2]climate data'!$A$78:$C$98,2,FALSE)</f>
        <v>0.13927272727272727</v>
      </c>
      <c r="P339" s="49">
        <f>VLOOKUP(N339,'[2]climate data'!$A$78:$C$98,3,FALSE)</f>
        <v>0.60982152437497761</v>
      </c>
    </row>
    <row r="340" spans="1:16">
      <c r="A340" t="s">
        <v>32</v>
      </c>
      <c r="C340" s="1606" t="s">
        <v>1532</v>
      </c>
      <c r="G340" s="1788" t="s">
        <v>2312</v>
      </c>
      <c r="L340" s="90" t="s">
        <v>103</v>
      </c>
      <c r="M340" s="216">
        <v>105.45621646015846</v>
      </c>
      <c r="N340" s="90" t="s">
        <v>1458</v>
      </c>
      <c r="O340" s="49">
        <f>VLOOKUP(N340,'[2]climate data'!$A$78:$C$98,2,FALSE)</f>
        <v>0.13295201779472512</v>
      </c>
      <c r="P340" s="49">
        <f>VLOOKUP(N340,'[2]climate data'!$A$78:$C$98,3,FALSE)</f>
        <v>0.62933706629337072</v>
      </c>
    </row>
    <row r="341" spans="1:16">
      <c r="A341" t="s">
        <v>1168</v>
      </c>
      <c r="B341" s="1606" t="s">
        <v>1526</v>
      </c>
      <c r="C341" s="1606" t="s">
        <v>1532</v>
      </c>
      <c r="D341" s="1606" t="s">
        <v>1515</v>
      </c>
      <c r="F341" s="1606" t="s">
        <v>1526</v>
      </c>
      <c r="G341" s="1788" t="s">
        <v>2312</v>
      </c>
      <c r="H341" s="1606" t="s">
        <v>1822</v>
      </c>
      <c r="L341" s="90" t="s">
        <v>32</v>
      </c>
      <c r="M341" s="216">
        <v>147.76278533297949</v>
      </c>
      <c r="N341" s="90" t="s">
        <v>1458</v>
      </c>
      <c r="O341" s="49">
        <f>VLOOKUP(N341,'[2]climate data'!$A$78:$C$98,2,FALSE)</f>
        <v>0.13295201779472512</v>
      </c>
      <c r="P341" s="49">
        <f>VLOOKUP(N341,'[2]climate data'!$A$78:$C$98,3,FALSE)</f>
        <v>0.62933706629337072</v>
      </c>
    </row>
    <row r="342" spans="1:16">
      <c r="A342" t="s">
        <v>551</v>
      </c>
      <c r="C342" s="1606" t="s">
        <v>1532</v>
      </c>
      <c r="G342" s="1788" t="s">
        <v>596</v>
      </c>
      <c r="L342" s="90" t="s">
        <v>1423</v>
      </c>
      <c r="M342" s="216">
        <v>52.67193750833362</v>
      </c>
      <c r="N342" s="90" t="s">
        <v>1457</v>
      </c>
      <c r="O342" s="49">
        <f>VLOOKUP(N342,'[2]climate data'!$A$78:$C$98,2,FALSE)</f>
        <v>0.1225813667375014</v>
      </c>
      <c r="P342" s="49">
        <f>VLOOKUP(N342,'[2]climate data'!$A$78:$C$98,3,FALSE)</f>
        <v>0.69285821417858218</v>
      </c>
    </row>
    <row r="343" spans="1:16">
      <c r="A343" t="s">
        <v>20</v>
      </c>
      <c r="C343" s="1606" t="s">
        <v>1532</v>
      </c>
      <c r="G343" s="1788" t="s">
        <v>596</v>
      </c>
      <c r="L343" s="90" t="s">
        <v>1168</v>
      </c>
      <c r="M343" s="216">
        <v>17.838980040869046</v>
      </c>
      <c r="N343" s="90" t="s">
        <v>1932</v>
      </c>
      <c r="O343" s="49">
        <f>VLOOKUP(N343,'[2]climate data'!$A$78:$C$98,2,FALSE)</f>
        <v>0.15677321156773211</v>
      </c>
      <c r="P343" s="49">
        <f>VLOOKUP(N343,'[2]climate data'!$A$78:$C$98,3,FALSE)</f>
        <v>0.54174757281553398</v>
      </c>
    </row>
    <row r="344" spans="1:16">
      <c r="A344" t="s">
        <v>1070</v>
      </c>
      <c r="C344" s="1606" t="s">
        <v>1532</v>
      </c>
      <c r="G344" s="1788" t="s">
        <v>2312</v>
      </c>
      <c r="L344" s="90" t="s">
        <v>551</v>
      </c>
      <c r="M344" s="216">
        <v>92.611809772336144</v>
      </c>
      <c r="N344" s="90" t="s">
        <v>1453</v>
      </c>
      <c r="O344" s="49">
        <f>VLOOKUP(N344,'[2]climate data'!$A$78:$C$98,2,FALSE)</f>
        <v>0.14217401446232797</v>
      </c>
      <c r="P344" s="49">
        <f>VLOOKUP(N344,'[2]climate data'!$A$78:$C$98,3,FALSE)</f>
        <v>0.59737714497623251</v>
      </c>
    </row>
    <row r="345" spans="1:16">
      <c r="A345" t="s">
        <v>253</v>
      </c>
      <c r="B345" s="1606" t="s">
        <v>1529</v>
      </c>
      <c r="C345" s="1606" t="s">
        <v>1532</v>
      </c>
      <c r="D345" s="1606" t="s">
        <v>1515</v>
      </c>
      <c r="F345" s="1606" t="s">
        <v>1526</v>
      </c>
      <c r="G345" s="1788" t="s">
        <v>596</v>
      </c>
      <c r="L345" s="90" t="s">
        <v>20</v>
      </c>
      <c r="M345" s="216">
        <v>86.385045578658634</v>
      </c>
      <c r="N345" s="90" t="s">
        <v>1453</v>
      </c>
      <c r="O345" s="49">
        <f>VLOOKUP(N345,'[2]climate data'!$A$78:$C$98,2,FALSE)</f>
        <v>0.14217401446232797</v>
      </c>
      <c r="P345" s="49">
        <f>VLOOKUP(N345,'[2]climate data'!$A$78:$C$98,3,FALSE)</f>
        <v>0.59737714497623251</v>
      </c>
    </row>
    <row r="346" spans="1:16">
      <c r="A346" t="s">
        <v>191</v>
      </c>
      <c r="B346" s="1606" t="s">
        <v>1515</v>
      </c>
      <c r="C346" s="1606" t="s">
        <v>1532</v>
      </c>
      <c r="D346" s="1606" t="s">
        <v>1529</v>
      </c>
      <c r="F346" s="1606" t="s">
        <v>1526</v>
      </c>
      <c r="G346" s="1788" t="s">
        <v>2312</v>
      </c>
      <c r="L346" s="90" t="s">
        <v>1070</v>
      </c>
      <c r="M346" s="216">
        <v>42.692654253339008</v>
      </c>
      <c r="N346" s="90" t="s">
        <v>2286</v>
      </c>
      <c r="O346" s="49">
        <f>VLOOKUP(N346,'[2]climate data'!$A$78:$C$98,2,FALSE)</f>
        <v>0.14796503928666019</v>
      </c>
      <c r="P346" s="49">
        <f>VLOOKUP(N346,'[2]climate data'!$A$78:$C$98,3,FALSE)</f>
        <v>0.57399712296073502</v>
      </c>
    </row>
    <row r="347" spans="1:16">
      <c r="A347" t="s">
        <v>1071</v>
      </c>
      <c r="C347" s="1606" t="s">
        <v>1532</v>
      </c>
      <c r="G347" s="1788" t="s">
        <v>596</v>
      </c>
      <c r="L347" s="90" t="s">
        <v>253</v>
      </c>
      <c r="M347" s="216">
        <v>54.281525665807017</v>
      </c>
      <c r="N347" s="90" t="s">
        <v>1932</v>
      </c>
      <c r="O347" s="49">
        <f>VLOOKUP(N347,'[2]climate data'!$A$78:$C$98,2,FALSE)</f>
        <v>0.15677321156773211</v>
      </c>
      <c r="P347" s="49">
        <f>VLOOKUP(N347,'[2]climate data'!$A$78:$C$98,3,FALSE)</f>
        <v>0.54174757281553398</v>
      </c>
    </row>
    <row r="348" spans="1:16">
      <c r="A348" t="s">
        <v>1424</v>
      </c>
      <c r="G348" s="1788" t="s">
        <v>2312</v>
      </c>
      <c r="L348" s="90" t="s">
        <v>191</v>
      </c>
      <c r="M348" s="216">
        <v>78.552320795108642</v>
      </c>
      <c r="N348" s="90" t="s">
        <v>1914</v>
      </c>
      <c r="O348" s="49">
        <f>VLOOKUP(N348,'[2]climate data'!$A$78:$C$98,2,FALSE)</f>
        <v>0.13416220905016626</v>
      </c>
      <c r="P348" s="49">
        <f>VLOOKUP(N348,'[2]climate data'!$A$78:$C$98,3,FALSE)</f>
        <v>0.63305089749645727</v>
      </c>
    </row>
    <row r="349" spans="1:16">
      <c r="A349" t="s">
        <v>1072</v>
      </c>
      <c r="B349" s="1606" t="s">
        <v>1526</v>
      </c>
      <c r="C349" s="1606" t="s">
        <v>1532</v>
      </c>
      <c r="D349" s="1606" t="s">
        <v>1526</v>
      </c>
      <c r="F349" s="1606" t="s">
        <v>1526</v>
      </c>
      <c r="G349" s="1788" t="s">
        <v>2312</v>
      </c>
      <c r="H349" s="1606" t="s">
        <v>1808</v>
      </c>
      <c r="L349" s="90" t="s">
        <v>1071</v>
      </c>
      <c r="M349" s="216">
        <v>60.973525254650042</v>
      </c>
      <c r="N349" s="90" t="s">
        <v>2285</v>
      </c>
      <c r="O349" s="49">
        <f>VLOOKUP(N349,'[2]climate data'!$A$78:$C$98,2,FALSE)</f>
        <v>0.13135118623358111</v>
      </c>
      <c r="P349" s="49">
        <f>VLOOKUP(N349,'[2]climate data'!$A$78:$C$98,3,FALSE)</f>
        <v>0.64659870447063827</v>
      </c>
    </row>
    <row r="350" spans="1:16">
      <c r="A350" t="s">
        <v>1614</v>
      </c>
      <c r="C350" s="1606" t="s">
        <v>1532</v>
      </c>
      <c r="G350" s="1788" t="s">
        <v>596</v>
      </c>
      <c r="L350" s="90" t="s">
        <v>1424</v>
      </c>
      <c r="M350" s="216">
        <v>28.342964990214199</v>
      </c>
      <c r="N350" s="90" t="s">
        <v>1460</v>
      </c>
      <c r="O350" s="49">
        <f>VLOOKUP(N350,'[2]climate data'!$A$78:$C$98,2,FALSE)</f>
        <v>0.13287016934433349</v>
      </c>
      <c r="P350" s="49">
        <f>VLOOKUP(N350,'[2]climate data'!$A$78:$C$98,3,FALSE)</f>
        <v>0.63740887486717346</v>
      </c>
    </row>
    <row r="351" spans="1:16">
      <c r="A351" t="s">
        <v>106</v>
      </c>
      <c r="B351" s="1606" t="s">
        <v>1526</v>
      </c>
      <c r="C351" s="1606" t="s">
        <v>1532</v>
      </c>
      <c r="G351" s="1788" t="s">
        <v>2312</v>
      </c>
      <c r="L351" s="90" t="s">
        <v>1969</v>
      </c>
      <c r="M351" s="216">
        <v>31.693146285476825</v>
      </c>
      <c r="N351" s="90" t="s">
        <v>2284</v>
      </c>
      <c r="O351" s="49">
        <f>VLOOKUP(N351,'[2]climate data'!$A$78:$C$98,2,FALSE)</f>
        <v>0.1457497612225406</v>
      </c>
      <c r="P351" s="49">
        <f>VLOOKUP(N351,'[2]climate data'!$A$78:$C$98,3,FALSE)</f>
        <v>0.58272141331083149</v>
      </c>
    </row>
    <row r="352" spans="1:16">
      <c r="A352" t="s">
        <v>1426</v>
      </c>
      <c r="C352" s="1606" t="s">
        <v>1532</v>
      </c>
      <c r="G352" s="1788" t="s">
        <v>2312</v>
      </c>
      <c r="L352" s="90" t="s">
        <v>1072</v>
      </c>
      <c r="M352" s="216">
        <v>12.212627352489982</v>
      </c>
      <c r="N352" s="90" t="s">
        <v>1031</v>
      </c>
      <c r="O352" s="49">
        <f>VLOOKUP(N352,'[2]climate data'!$A$78:$C$98,2,FALSE)</f>
        <v>0.13850864553314121</v>
      </c>
      <c r="P352" s="49">
        <f>VLOOKUP(N352,'[2]climate data'!$A$78:$C$98,3,FALSE)</f>
        <v>0.61318559951547114</v>
      </c>
    </row>
    <row r="353" spans="1:16">
      <c r="A353" t="s">
        <v>1073</v>
      </c>
      <c r="C353" s="1606" t="s">
        <v>1532</v>
      </c>
      <c r="G353" s="1788" t="s">
        <v>596</v>
      </c>
      <c r="L353" s="90" t="s">
        <v>1614</v>
      </c>
      <c r="M353" s="216">
        <v>73.392040908360926</v>
      </c>
      <c r="N353" s="90" t="s">
        <v>1912</v>
      </c>
      <c r="O353" s="49">
        <f>VLOOKUP(N353,'[2]climate data'!$A$78:$C$98,2,FALSE)</f>
        <v>0.15764546684709066</v>
      </c>
      <c r="P353" s="49">
        <f>VLOOKUP(N353,'[2]climate data'!$A$78:$C$98,3,FALSE)</f>
        <v>0.53875007349050508</v>
      </c>
    </row>
    <row r="354" spans="1:16">
      <c r="A354" t="s">
        <v>411</v>
      </c>
      <c r="B354" s="1606" t="s">
        <v>1526</v>
      </c>
      <c r="C354" s="1606" t="s">
        <v>1532</v>
      </c>
      <c r="D354" s="1606" t="s">
        <v>1529</v>
      </c>
      <c r="E354" s="1606" t="s">
        <v>1697</v>
      </c>
      <c r="F354" s="1606" t="s">
        <v>1529</v>
      </c>
      <c r="G354" s="1788" t="s">
        <v>2312</v>
      </c>
      <c r="H354" s="1606" t="s">
        <v>1835</v>
      </c>
      <c r="L354" s="90" t="s">
        <v>1425</v>
      </c>
      <c r="M354" s="216">
        <v>85.350769640335272</v>
      </c>
      <c r="N354" s="90" t="s">
        <v>1905</v>
      </c>
      <c r="O354" s="49">
        <f>VLOOKUP(N354,'[2]climate data'!$A$78:$C$98,2,FALSE)</f>
        <v>0.11785345717234262</v>
      </c>
      <c r="P354" s="49">
        <f>VLOOKUP(N354,'[2]climate data'!$A$78:$C$98,3,FALSE)</f>
        <v>0.70929624594792429</v>
      </c>
    </row>
    <row r="355" spans="1:16">
      <c r="A355" t="s">
        <v>192</v>
      </c>
      <c r="B355" s="1606" t="s">
        <v>1515</v>
      </c>
      <c r="C355" s="1606" t="s">
        <v>1532</v>
      </c>
      <c r="D355" s="1606" t="s">
        <v>1529</v>
      </c>
      <c r="F355" s="1606" t="s">
        <v>1526</v>
      </c>
      <c r="G355" s="1788" t="s">
        <v>2312</v>
      </c>
      <c r="L355" s="90" t="s">
        <v>106</v>
      </c>
      <c r="M355" s="216">
        <v>51.954551898052834</v>
      </c>
      <c r="N355" s="90" t="s">
        <v>1964</v>
      </c>
      <c r="O355" s="49">
        <f>VLOOKUP(N355,'[2]climate data'!$A$78:$C$98,2,FALSE)</f>
        <v>0.13927272727272727</v>
      </c>
      <c r="P355" s="49">
        <f>VLOOKUP(N355,'[2]climate data'!$A$78:$C$98,3,FALSE)</f>
        <v>0.60982152437497761</v>
      </c>
    </row>
    <row r="356" spans="1:16">
      <c r="A356" t="s">
        <v>1615</v>
      </c>
      <c r="C356" s="1606" t="s">
        <v>1532</v>
      </c>
      <c r="G356" s="1788" t="s">
        <v>596</v>
      </c>
      <c r="L356" s="90" t="s">
        <v>1426</v>
      </c>
      <c r="M356" s="216">
        <v>71.175289564061345</v>
      </c>
      <c r="N356" s="90" t="s">
        <v>1912</v>
      </c>
      <c r="O356" s="49">
        <f>VLOOKUP(N356,'[2]climate data'!$A$78:$C$98,2,FALSE)</f>
        <v>0.15764546684709066</v>
      </c>
      <c r="P356" s="49">
        <f>VLOOKUP(N356,'[2]climate data'!$A$78:$C$98,3,FALSE)</f>
        <v>0.53875007349050508</v>
      </c>
    </row>
    <row r="357" spans="1:16">
      <c r="A357" t="s">
        <v>1616</v>
      </c>
      <c r="C357" s="1606" t="s">
        <v>1532</v>
      </c>
      <c r="G357" s="1788" t="s">
        <v>596</v>
      </c>
      <c r="L357" s="90" t="s">
        <v>1073</v>
      </c>
      <c r="M357" s="216">
        <v>55.888971406766736</v>
      </c>
      <c r="N357" s="90" t="s">
        <v>2284</v>
      </c>
      <c r="O357" s="49">
        <f>VLOOKUP(N357,'[2]climate data'!$A$78:$C$98,2,FALSE)</f>
        <v>0.1457497612225406</v>
      </c>
      <c r="P357" s="49">
        <f>VLOOKUP(N357,'[2]climate data'!$A$78:$C$98,3,FALSE)</f>
        <v>0.58272141331083149</v>
      </c>
    </row>
    <row r="358" spans="1:16">
      <c r="A358" t="s">
        <v>1617</v>
      </c>
      <c r="C358" s="1606" t="s">
        <v>1532</v>
      </c>
      <c r="G358" s="1788" t="s">
        <v>596</v>
      </c>
      <c r="L358" s="90" t="s">
        <v>411</v>
      </c>
      <c r="M358" s="216">
        <v>92.092071968056786</v>
      </c>
      <c r="N358" s="90" t="s">
        <v>1907</v>
      </c>
      <c r="O358" s="49">
        <f>VLOOKUP(N358,'[2]climate data'!$A$78:$C$98,2,FALSE)</f>
        <v>0.15400143257146579</v>
      </c>
      <c r="P358" s="49">
        <f>VLOOKUP(N358,'[2]climate data'!$A$78:$C$98,3,FALSE)</f>
        <v>0.55149816096614435</v>
      </c>
    </row>
    <row r="359" spans="1:16">
      <c r="A359" t="s">
        <v>1618</v>
      </c>
      <c r="C359" s="1606" t="s">
        <v>1532</v>
      </c>
      <c r="G359" s="1788" t="s">
        <v>596</v>
      </c>
      <c r="L359" s="90" t="s">
        <v>192</v>
      </c>
      <c r="M359" s="216">
        <v>86.624729082305194</v>
      </c>
      <c r="N359" s="90" t="s">
        <v>2228</v>
      </c>
      <c r="O359" s="49">
        <f>VLOOKUP(N359,'[2]climate data'!$A$78:$C$98,2,FALSE)</f>
        <v>0.16007777057679845</v>
      </c>
      <c r="P359" s="49">
        <f>VLOOKUP(N359,'[2]climate data'!$A$78:$C$98,3,FALSE)</f>
        <v>0.53056402861738117</v>
      </c>
    </row>
    <row r="360" spans="1:16">
      <c r="A360" t="s">
        <v>231</v>
      </c>
      <c r="B360" s="1606" t="s">
        <v>1515</v>
      </c>
      <c r="C360" s="1606" t="s">
        <v>1532</v>
      </c>
      <c r="D360" s="1606" t="s">
        <v>1529</v>
      </c>
      <c r="F360" s="1606" t="s">
        <v>1526</v>
      </c>
      <c r="G360" s="1788" t="s">
        <v>596</v>
      </c>
      <c r="L360" s="90" t="s">
        <v>231</v>
      </c>
      <c r="M360" s="216">
        <v>14.823812123918771</v>
      </c>
      <c r="N360" s="90" t="s">
        <v>2228</v>
      </c>
      <c r="O360" s="49">
        <f>VLOOKUP(N360,'[2]climate data'!$A$78:$C$98,2,FALSE)</f>
        <v>0.16007777057679845</v>
      </c>
      <c r="P360" s="49">
        <f>VLOOKUP(N360,'[2]climate data'!$A$78:$C$98,3,FALSE)</f>
        <v>0.53056402861738117</v>
      </c>
    </row>
    <row r="361" spans="1:16">
      <c r="A361" t="s">
        <v>1075</v>
      </c>
      <c r="C361" s="1606" t="s">
        <v>1532</v>
      </c>
      <c r="G361" s="1788" t="s">
        <v>596</v>
      </c>
      <c r="L361" s="90" t="s">
        <v>1075</v>
      </c>
      <c r="M361" s="216">
        <v>5.8993697166442871E-5</v>
      </c>
      <c r="N361" s="90" t="s">
        <v>2286</v>
      </c>
      <c r="O361" s="49">
        <f>VLOOKUP(N361,'[2]climate data'!$A$78:$C$98,2,FALSE)</f>
        <v>0.14796503928666019</v>
      </c>
      <c r="P361" s="49">
        <f>VLOOKUP(N361,'[2]climate data'!$A$78:$C$98,3,FALSE)</f>
        <v>0.57399712296073502</v>
      </c>
    </row>
    <row r="362" spans="1:16">
      <c r="A362" t="s">
        <v>1076</v>
      </c>
      <c r="B362" s="1606" t="s">
        <v>1529</v>
      </c>
      <c r="C362" s="1606" t="s">
        <v>1516</v>
      </c>
      <c r="D362" s="1606" t="s">
        <v>1515</v>
      </c>
      <c r="E362" s="1606" t="s">
        <v>1665</v>
      </c>
      <c r="F362" s="1606" t="s">
        <v>1529</v>
      </c>
      <c r="G362" s="1788" t="s">
        <v>596</v>
      </c>
      <c r="H362" s="1606" t="s">
        <v>1836</v>
      </c>
      <c r="L362" s="90" t="s">
        <v>1076</v>
      </c>
      <c r="M362" s="216">
        <v>92.566882300828183</v>
      </c>
      <c r="N362" s="90" t="s">
        <v>1912</v>
      </c>
      <c r="O362" s="49">
        <f>VLOOKUP(N362,'[2]climate data'!$A$78:$C$98,2,FALSE)</f>
        <v>0.15764546684709066</v>
      </c>
      <c r="P362" s="49">
        <f>VLOOKUP(N362,'[2]climate data'!$A$78:$C$98,3,FALSE)</f>
        <v>0.53875007349050508</v>
      </c>
    </row>
    <row r="363" spans="1:16">
      <c r="A363" t="s">
        <v>1370</v>
      </c>
      <c r="C363" s="1606" t="s">
        <v>1532</v>
      </c>
      <c r="G363" s="1788" t="s">
        <v>596</v>
      </c>
      <c r="L363" s="90" t="s">
        <v>1370</v>
      </c>
      <c r="M363" s="216">
        <v>32.023074009089598</v>
      </c>
      <c r="N363" s="90" t="s">
        <v>2284</v>
      </c>
      <c r="O363" s="49">
        <f>VLOOKUP(N363,'[2]climate data'!$A$78:$C$98,2,FALSE)</f>
        <v>0.1457497612225406</v>
      </c>
      <c r="P363" s="49">
        <f>VLOOKUP(N363,'[2]climate data'!$A$78:$C$98,3,FALSE)</f>
        <v>0.58272141331083149</v>
      </c>
    </row>
    <row r="364" spans="1:16">
      <c r="A364" t="s">
        <v>235</v>
      </c>
      <c r="B364" s="1606" t="s">
        <v>1529</v>
      </c>
      <c r="C364" s="1606" t="s">
        <v>1516</v>
      </c>
      <c r="D364" s="1606" t="s">
        <v>1515</v>
      </c>
      <c r="E364" s="1606" t="s">
        <v>1665</v>
      </c>
      <c r="F364" s="1606" t="s">
        <v>1529</v>
      </c>
      <c r="G364" s="1788" t="s">
        <v>2312</v>
      </c>
      <c r="J364" s="1606" t="s">
        <v>1837</v>
      </c>
      <c r="L364" s="90" t="s">
        <v>235</v>
      </c>
      <c r="M364" s="216">
        <v>121.64025051517895</v>
      </c>
      <c r="N364" s="90" t="s">
        <v>1907</v>
      </c>
      <c r="O364" s="49">
        <f>VLOOKUP(N364,'[2]climate data'!$A$78:$C$98,2,FALSE)</f>
        <v>0.15400143257146579</v>
      </c>
      <c r="P364" s="49">
        <f>VLOOKUP(N364,'[2]climate data'!$A$78:$C$98,3,FALSE)</f>
        <v>0.55149816096614435</v>
      </c>
    </row>
    <row r="365" spans="1:16">
      <c r="A365" t="s">
        <v>237</v>
      </c>
      <c r="B365" s="1606" t="s">
        <v>1515</v>
      </c>
      <c r="C365" s="1606" t="s">
        <v>1532</v>
      </c>
      <c r="D365" s="1606" t="s">
        <v>1515</v>
      </c>
      <c r="F365" s="1606" t="s">
        <v>1526</v>
      </c>
      <c r="G365" s="1788" t="s">
        <v>2312</v>
      </c>
      <c r="L365" s="90" t="s">
        <v>237</v>
      </c>
      <c r="M365" s="216">
        <v>21.372503452293422</v>
      </c>
      <c r="N365" s="90" t="s">
        <v>1472</v>
      </c>
      <c r="O365" s="49">
        <f>VLOOKUP(N365,'[2]climate data'!$A$78:$C$98,2,FALSE)</f>
        <v>0.13726497482790506</v>
      </c>
      <c r="P365" s="49">
        <f>VLOOKUP(N365,'[2]climate data'!$A$78:$C$98,3,FALSE)</f>
        <v>0.61874128455417932</v>
      </c>
    </row>
    <row r="366" spans="1:16">
      <c r="A366" t="s">
        <v>1077</v>
      </c>
      <c r="B366" s="1606" t="s">
        <v>1526</v>
      </c>
      <c r="C366" s="1606" t="s">
        <v>1532</v>
      </c>
      <c r="D366" s="1606" t="s">
        <v>1515</v>
      </c>
      <c r="F366" s="1606" t="s">
        <v>1526</v>
      </c>
      <c r="G366" s="1788" t="s">
        <v>596</v>
      </c>
      <c r="H366" s="1606" t="s">
        <v>1817</v>
      </c>
      <c r="L366" s="90" t="s">
        <v>1077</v>
      </c>
      <c r="M366" s="216">
        <v>15.339341452295647</v>
      </c>
      <c r="N366" s="90" t="s">
        <v>1932</v>
      </c>
      <c r="O366" s="49">
        <f>VLOOKUP(N366,'[2]climate data'!$A$78:$C$98,2,FALSE)</f>
        <v>0.15677321156773211</v>
      </c>
      <c r="P366" s="49">
        <f>VLOOKUP(N366,'[2]climate data'!$A$78:$C$98,3,FALSE)</f>
        <v>0.54174757281553398</v>
      </c>
    </row>
    <row r="367" spans="1:16">
      <c r="A367" t="s">
        <v>1379</v>
      </c>
      <c r="B367" s="1606" t="s">
        <v>1515</v>
      </c>
      <c r="C367" s="1606" t="s">
        <v>1532</v>
      </c>
      <c r="D367" s="1606" t="s">
        <v>1529</v>
      </c>
      <c r="F367" s="1606" t="s">
        <v>1526</v>
      </c>
      <c r="G367" s="1788" t="s">
        <v>2312</v>
      </c>
      <c r="H367" s="1606" t="s">
        <v>1813</v>
      </c>
      <c r="L367" s="90" t="s">
        <v>1379</v>
      </c>
      <c r="M367" s="216">
        <v>78.131965629165919</v>
      </c>
      <c r="N367" s="90" t="s">
        <v>2228</v>
      </c>
      <c r="O367" s="49">
        <f>VLOOKUP(N367,'[2]climate data'!$A$78:$C$98,2,FALSE)</f>
        <v>0.16007777057679845</v>
      </c>
      <c r="P367" s="49">
        <f>VLOOKUP(N367,'[2]climate data'!$A$78:$C$98,3,FALSE)</f>
        <v>0.53056402861738117</v>
      </c>
    </row>
    <row r="368" spans="1:16">
      <c r="A368" t="s">
        <v>254</v>
      </c>
      <c r="B368" s="1606" t="s">
        <v>1526</v>
      </c>
      <c r="C368" s="1606" t="s">
        <v>1532</v>
      </c>
      <c r="G368" s="1788" t="s">
        <v>2312</v>
      </c>
      <c r="L368" s="90" t="s">
        <v>254</v>
      </c>
      <c r="M368" s="216">
        <v>60.275994246513633</v>
      </c>
      <c r="N368" s="90" t="s">
        <v>1460</v>
      </c>
      <c r="O368" s="49">
        <f>VLOOKUP(N368,'[2]climate data'!$A$78:$C$98,2,FALSE)</f>
        <v>0.13287016934433349</v>
      </c>
      <c r="P368" s="49">
        <f>VLOOKUP(N368,'[2]climate data'!$A$78:$C$98,3,FALSE)</f>
        <v>0.63740887486717346</v>
      </c>
    </row>
    <row r="369" spans="1:16">
      <c r="A369" t="s">
        <v>239</v>
      </c>
      <c r="C369" s="1606" t="s">
        <v>1532</v>
      </c>
      <c r="G369" s="1788" t="s">
        <v>2312</v>
      </c>
      <c r="L369" s="90" t="s">
        <v>239</v>
      </c>
      <c r="M369" s="216">
        <v>46.688502831212766</v>
      </c>
      <c r="N369" s="90" t="s">
        <v>1453</v>
      </c>
      <c r="O369" s="49">
        <f>VLOOKUP(N369,'[2]climate data'!$A$78:$C$98,2,FALSE)</f>
        <v>0.14217401446232797</v>
      </c>
      <c r="P369" s="49">
        <f>VLOOKUP(N369,'[2]climate data'!$A$78:$C$98,3,FALSE)</f>
        <v>0.59737714497623251</v>
      </c>
    </row>
    <row r="370" spans="1:16">
      <c r="A370" t="s">
        <v>66</v>
      </c>
      <c r="B370" s="1606" t="s">
        <v>1529</v>
      </c>
      <c r="C370" s="1606" t="s">
        <v>1532</v>
      </c>
      <c r="D370" s="1606" t="s">
        <v>1515</v>
      </c>
      <c r="F370" s="1606" t="s">
        <v>1526</v>
      </c>
      <c r="G370" s="1788" t="s">
        <v>596</v>
      </c>
      <c r="L370" s="90" t="s">
        <v>66</v>
      </c>
      <c r="M370" s="216">
        <v>108.50908722834436</v>
      </c>
      <c r="N370" s="90" t="s">
        <v>1932</v>
      </c>
      <c r="O370" s="49">
        <f>VLOOKUP(N370,'[2]climate data'!$A$78:$C$98,2,FALSE)</f>
        <v>0.15677321156773211</v>
      </c>
      <c r="P370" s="49">
        <f>VLOOKUP(N370,'[2]climate data'!$A$78:$C$98,3,FALSE)</f>
        <v>0.54174757281553398</v>
      </c>
    </row>
    <row r="371" spans="1:16">
      <c r="A371" t="s">
        <v>1620</v>
      </c>
      <c r="C371" s="1606" t="s">
        <v>1532</v>
      </c>
      <c r="G371" s="1788" t="s">
        <v>2312</v>
      </c>
      <c r="L371" s="90" t="s">
        <v>423</v>
      </c>
      <c r="M371" s="216">
        <v>193.94179840237405</v>
      </c>
      <c r="N371" s="90" t="s">
        <v>1453</v>
      </c>
      <c r="O371" s="49">
        <f>VLOOKUP(N371,'[2]climate data'!$A$78:$C$98,2,FALSE)</f>
        <v>0.14217401446232797</v>
      </c>
      <c r="P371" s="49">
        <f>VLOOKUP(N371,'[2]climate data'!$A$78:$C$98,3,FALSE)</f>
        <v>0.59737714497623251</v>
      </c>
    </row>
    <row r="372" spans="1:16">
      <c r="A372" t="s">
        <v>423</v>
      </c>
      <c r="C372" s="1606" t="s">
        <v>1532</v>
      </c>
      <c r="G372" s="1788" t="s">
        <v>596</v>
      </c>
      <c r="L372" s="90" t="s">
        <v>107</v>
      </c>
      <c r="M372" s="216">
        <v>129.68967806701369</v>
      </c>
      <c r="N372" s="90" t="s">
        <v>1446</v>
      </c>
      <c r="O372" s="49">
        <f>VLOOKUP(N372,'[2]climate data'!$A$78:$C$98,2,FALSE)</f>
        <v>0.14198449369566921</v>
      </c>
      <c r="P372" s="49">
        <f>VLOOKUP(N372,'[2]climate data'!$A$78:$C$98,3,FALSE)</f>
        <v>0.59817452341914179</v>
      </c>
    </row>
    <row r="373" spans="1:16">
      <c r="A373" t="s">
        <v>107</v>
      </c>
      <c r="B373" s="1606" t="s">
        <v>1526</v>
      </c>
      <c r="C373" s="1606" t="s">
        <v>1532</v>
      </c>
      <c r="D373" s="1606" t="s">
        <v>1526</v>
      </c>
      <c r="F373" s="1606" t="s">
        <v>1526</v>
      </c>
      <c r="G373" s="1788" t="s">
        <v>2312</v>
      </c>
      <c r="L373" s="90" t="s">
        <v>13</v>
      </c>
      <c r="M373" s="216">
        <v>103.53118792002657</v>
      </c>
      <c r="N373" s="90" t="s">
        <v>1912</v>
      </c>
      <c r="O373" s="49">
        <f>VLOOKUP(N373,'[2]climate data'!$A$78:$C$98,2,FALSE)</f>
        <v>0.15764546684709066</v>
      </c>
      <c r="P373" s="49">
        <f>VLOOKUP(N373,'[2]climate data'!$A$78:$C$98,3,FALSE)</f>
        <v>0.53875007349050508</v>
      </c>
    </row>
    <row r="374" spans="1:16">
      <c r="A374" t="s">
        <v>13</v>
      </c>
      <c r="B374" s="1606" t="s">
        <v>1529</v>
      </c>
      <c r="C374" s="1606" t="s">
        <v>1516</v>
      </c>
      <c r="D374" s="1606" t="s">
        <v>1515</v>
      </c>
      <c r="E374" s="1606" t="s">
        <v>1665</v>
      </c>
      <c r="F374" s="1606" t="s">
        <v>1529</v>
      </c>
      <c r="G374" s="1788" t="s">
        <v>596</v>
      </c>
      <c r="H374" s="1606" t="s">
        <v>1838</v>
      </c>
      <c r="J374" s="1606" t="s">
        <v>1839</v>
      </c>
      <c r="L374" s="90" t="s">
        <v>108</v>
      </c>
      <c r="M374" s="216">
        <v>114.50762278336784</v>
      </c>
      <c r="N374" s="90" t="s">
        <v>1446</v>
      </c>
      <c r="O374" s="49">
        <f>VLOOKUP(N374,'[2]climate data'!$A$78:$C$98,2,FALSE)</f>
        <v>0.14198449369566921</v>
      </c>
      <c r="P374" s="49">
        <f>VLOOKUP(N374,'[2]climate data'!$A$78:$C$98,3,FALSE)</f>
        <v>0.59817452341914179</v>
      </c>
    </row>
    <row r="375" spans="1:16">
      <c r="A375" t="s">
        <v>108</v>
      </c>
      <c r="B375" s="1606" t="s">
        <v>1526</v>
      </c>
      <c r="C375" s="1606" t="s">
        <v>1532</v>
      </c>
      <c r="D375" s="1606" t="s">
        <v>1526</v>
      </c>
      <c r="F375" s="1606" t="s">
        <v>1526</v>
      </c>
      <c r="G375" s="1788" t="s">
        <v>2312</v>
      </c>
      <c r="L375" s="90" t="s">
        <v>1359</v>
      </c>
      <c r="M375" s="216">
        <v>26.670209697258159</v>
      </c>
      <c r="N375" s="90" t="s">
        <v>1932</v>
      </c>
      <c r="O375" s="49">
        <f>VLOOKUP(N375,'[2]climate data'!$A$78:$C$98,2,FALSE)</f>
        <v>0.15677321156773211</v>
      </c>
      <c r="P375" s="49">
        <f>VLOOKUP(N375,'[2]climate data'!$A$78:$C$98,3,FALSE)</f>
        <v>0.54174757281553398</v>
      </c>
    </row>
    <row r="376" spans="1:16">
      <c r="A376" t="s">
        <v>1359</v>
      </c>
      <c r="B376" s="1606" t="s">
        <v>1526</v>
      </c>
      <c r="C376" s="1606" t="s">
        <v>1532</v>
      </c>
      <c r="D376" s="1606" t="s">
        <v>1515</v>
      </c>
      <c r="F376" s="1606" t="s">
        <v>1526</v>
      </c>
      <c r="G376" s="1788" t="s">
        <v>596</v>
      </c>
      <c r="H376" s="1606" t="s">
        <v>1822</v>
      </c>
      <c r="L376" s="90" t="s">
        <v>1078</v>
      </c>
      <c r="M376" s="216">
        <v>42.424624958351892</v>
      </c>
      <c r="N376" s="90" t="s">
        <v>1932</v>
      </c>
      <c r="O376" s="49">
        <f>VLOOKUP(N376,'[2]climate data'!$A$78:$C$98,2,FALSE)</f>
        <v>0.15677321156773211</v>
      </c>
      <c r="P376" s="49">
        <f>VLOOKUP(N376,'[2]climate data'!$A$78:$C$98,3,FALSE)</f>
        <v>0.54174757281553398</v>
      </c>
    </row>
    <row r="377" spans="1:16">
      <c r="A377" t="s">
        <v>1078</v>
      </c>
      <c r="B377" s="1606" t="s">
        <v>1526</v>
      </c>
      <c r="C377" s="1606" t="s">
        <v>1532</v>
      </c>
      <c r="D377" s="1606" t="s">
        <v>1515</v>
      </c>
      <c r="F377" s="1606" t="s">
        <v>1526</v>
      </c>
      <c r="G377" s="1788" t="s">
        <v>596</v>
      </c>
      <c r="H377" s="1606" t="s">
        <v>1817</v>
      </c>
      <c r="L377" s="90" t="s">
        <v>1079</v>
      </c>
      <c r="M377" s="216">
        <v>4.0393497023638378</v>
      </c>
      <c r="N377" s="90" t="s">
        <v>2286</v>
      </c>
      <c r="O377" s="49">
        <f>VLOOKUP(N377,'[2]climate data'!$A$78:$C$98,2,FALSE)</f>
        <v>0.14796503928666019</v>
      </c>
      <c r="P377" s="49">
        <f>VLOOKUP(N377,'[2]climate data'!$A$78:$C$98,3,FALSE)</f>
        <v>0.57399712296073502</v>
      </c>
    </row>
    <row r="378" spans="1:16">
      <c r="A378" t="s">
        <v>1079</v>
      </c>
      <c r="C378" s="1606" t="s">
        <v>1532</v>
      </c>
      <c r="G378" s="1788" t="s">
        <v>596</v>
      </c>
      <c r="L378" s="90" t="s">
        <v>241</v>
      </c>
      <c r="M378" s="216">
        <v>34.147611617434123</v>
      </c>
      <c r="N378" s="90" t="s">
        <v>1446</v>
      </c>
      <c r="O378" s="49">
        <f>VLOOKUP(N378,'[2]climate data'!$A$78:$C$98,2,FALSE)</f>
        <v>0.14198449369566921</v>
      </c>
      <c r="P378" s="49">
        <f>VLOOKUP(N378,'[2]climate data'!$A$78:$C$98,3,FALSE)</f>
        <v>0.59817452341914179</v>
      </c>
    </row>
    <row r="379" spans="1:16">
      <c r="A379" t="s">
        <v>241</v>
      </c>
      <c r="B379" s="1606" t="s">
        <v>1526</v>
      </c>
      <c r="C379" s="1606" t="s">
        <v>1532</v>
      </c>
      <c r="D379" s="1606" t="s">
        <v>1526</v>
      </c>
      <c r="F379" s="1606" t="s">
        <v>1526</v>
      </c>
      <c r="G379" s="1788" t="s">
        <v>2312</v>
      </c>
      <c r="L379" s="90" t="s">
        <v>243</v>
      </c>
      <c r="M379" s="216">
        <v>44.190210847435907</v>
      </c>
      <c r="N379" s="90" t="s">
        <v>1446</v>
      </c>
      <c r="O379" s="49">
        <f>VLOOKUP(N379,'[2]climate data'!$A$78:$C$98,2,FALSE)</f>
        <v>0.14198449369566921</v>
      </c>
      <c r="P379" s="49">
        <f>VLOOKUP(N379,'[2]climate data'!$A$78:$C$98,3,FALSE)</f>
        <v>0.59817452341914179</v>
      </c>
    </row>
    <row r="380" spans="1:16">
      <c r="A380" t="s">
        <v>243</v>
      </c>
      <c r="B380" s="1606" t="s">
        <v>1526</v>
      </c>
      <c r="C380" s="1606" t="s">
        <v>1532</v>
      </c>
      <c r="D380" s="1606" t="s">
        <v>1526</v>
      </c>
      <c r="E380" s="1606" t="s">
        <v>1697</v>
      </c>
      <c r="F380" s="1606" t="s">
        <v>1529</v>
      </c>
      <c r="G380" s="1788" t="s">
        <v>2312</v>
      </c>
      <c r="H380" s="1606" t="s">
        <v>1840</v>
      </c>
      <c r="L380" s="90" t="s">
        <v>1080</v>
      </c>
      <c r="M380" s="216">
        <v>118.65224155062825</v>
      </c>
      <c r="N380" s="90" t="s">
        <v>1446</v>
      </c>
      <c r="O380" s="49">
        <f>VLOOKUP(N380,'[2]climate data'!$A$78:$C$98,2,FALSE)</f>
        <v>0.14198449369566921</v>
      </c>
      <c r="P380" s="49">
        <f>VLOOKUP(N380,'[2]climate data'!$A$78:$C$98,3,FALSE)</f>
        <v>0.59817452341914179</v>
      </c>
    </row>
    <row r="381" spans="1:16">
      <c r="A381" t="s">
        <v>1080</v>
      </c>
      <c r="B381" s="1606" t="s">
        <v>1526</v>
      </c>
      <c r="C381" s="1606" t="s">
        <v>1532</v>
      </c>
      <c r="D381" s="1606" t="s">
        <v>1526</v>
      </c>
      <c r="F381" s="1606" t="s">
        <v>1526</v>
      </c>
      <c r="G381" s="1788" t="s">
        <v>2312</v>
      </c>
      <c r="H381" s="1606" t="s">
        <v>1841</v>
      </c>
      <c r="L381" s="90" t="s">
        <v>245</v>
      </c>
      <c r="M381" s="216">
        <v>129.9911296255284</v>
      </c>
      <c r="N381" s="90" t="s">
        <v>1446</v>
      </c>
      <c r="O381" s="49">
        <f>VLOOKUP(N381,'[2]climate data'!$A$78:$C$98,2,FALSE)</f>
        <v>0.14198449369566921</v>
      </c>
      <c r="P381" s="49">
        <f>VLOOKUP(N381,'[2]climate data'!$A$78:$C$98,3,FALSE)</f>
        <v>0.59817452341914179</v>
      </c>
    </row>
    <row r="382" spans="1:16">
      <c r="A382" t="s">
        <v>245</v>
      </c>
      <c r="B382" s="1606" t="s">
        <v>1526</v>
      </c>
      <c r="C382" s="1606" t="s">
        <v>1532</v>
      </c>
      <c r="D382" s="1606" t="s">
        <v>1526</v>
      </c>
      <c r="F382" s="1606" t="s">
        <v>1526</v>
      </c>
      <c r="G382" s="1788" t="s">
        <v>2312</v>
      </c>
      <c r="L382" s="90" t="s">
        <v>1371</v>
      </c>
      <c r="M382" s="216">
        <v>61.854032274444556</v>
      </c>
      <c r="N382" s="90" t="s">
        <v>1912</v>
      </c>
      <c r="O382" s="49">
        <f>VLOOKUP(N382,'[2]climate data'!$A$78:$C$98,2,FALSE)</f>
        <v>0.15764546684709066</v>
      </c>
      <c r="P382" s="49">
        <f>VLOOKUP(N382,'[2]climate data'!$A$78:$C$98,3,FALSE)</f>
        <v>0.53875007349050508</v>
      </c>
    </row>
    <row r="383" spans="1:16">
      <c r="A383" t="s">
        <v>1371</v>
      </c>
      <c r="C383" s="1606" t="s">
        <v>1532</v>
      </c>
      <c r="G383" s="1788" t="s">
        <v>2312</v>
      </c>
      <c r="L383" s="90" t="s">
        <v>1081</v>
      </c>
      <c r="M383" s="216">
        <v>42.879615511348398</v>
      </c>
      <c r="N383" s="90" t="s">
        <v>2284</v>
      </c>
      <c r="O383" s="49">
        <f>VLOOKUP(N383,'[2]climate data'!$A$78:$C$98,2,FALSE)</f>
        <v>0.1457497612225406</v>
      </c>
      <c r="P383" s="49">
        <f>VLOOKUP(N383,'[2]climate data'!$A$78:$C$98,3,FALSE)</f>
        <v>0.58272141331083149</v>
      </c>
    </row>
    <row r="384" spans="1:16">
      <c r="A384" t="s">
        <v>1081</v>
      </c>
      <c r="C384" s="1606" t="s">
        <v>1532</v>
      </c>
      <c r="G384" s="1788" t="s">
        <v>596</v>
      </c>
      <c r="L384" s="90" t="s">
        <v>1427</v>
      </c>
      <c r="M384" s="216">
        <v>34.556516707851692</v>
      </c>
      <c r="N384" s="90" t="s">
        <v>1457</v>
      </c>
      <c r="O384" s="49">
        <f>VLOOKUP(N384,'[2]climate data'!$A$78:$C$98,2,FALSE)</f>
        <v>0.1225813667375014</v>
      </c>
      <c r="P384" s="49">
        <f>VLOOKUP(N384,'[2]climate data'!$A$78:$C$98,3,FALSE)</f>
        <v>0.69285821417858218</v>
      </c>
    </row>
    <row r="385" spans="1:16">
      <c r="A385" t="s">
        <v>1427</v>
      </c>
      <c r="C385" s="1606" t="s">
        <v>1532</v>
      </c>
      <c r="F385" s="1606" t="s">
        <v>1526</v>
      </c>
      <c r="G385" s="1788" t="s">
        <v>2312</v>
      </c>
      <c r="L385" s="90" t="s">
        <v>1082</v>
      </c>
      <c r="M385" s="216">
        <v>86.12633096162682</v>
      </c>
      <c r="N385" s="90" t="s">
        <v>1031</v>
      </c>
      <c r="O385" s="49">
        <f>VLOOKUP(N385,'[2]climate data'!$A$78:$C$98,2,FALSE)</f>
        <v>0.13850864553314121</v>
      </c>
      <c r="P385" s="49">
        <f>VLOOKUP(N385,'[2]climate data'!$A$78:$C$98,3,FALSE)</f>
        <v>0.61318559951547114</v>
      </c>
    </row>
    <row r="386" spans="1:16">
      <c r="A386" t="s">
        <v>1082</v>
      </c>
      <c r="C386" s="1606" t="s">
        <v>1532</v>
      </c>
      <c r="F386" s="1606" t="s">
        <v>1526</v>
      </c>
      <c r="G386" s="1788" t="s">
        <v>2312</v>
      </c>
      <c r="L386" s="90" t="s">
        <v>1428</v>
      </c>
      <c r="M386" s="216">
        <v>170.37591397336763</v>
      </c>
      <c r="N386" s="90" t="s">
        <v>1907</v>
      </c>
      <c r="O386" s="49">
        <f>VLOOKUP(N386,'[2]climate data'!$A$78:$C$98,2,FALSE)</f>
        <v>0.15400143257146579</v>
      </c>
      <c r="P386" s="49">
        <f>VLOOKUP(N386,'[2]climate data'!$A$78:$C$98,3,FALSE)</f>
        <v>0.55149816096614435</v>
      </c>
    </row>
    <row r="387" spans="1:16">
      <c r="A387" t="s">
        <v>1525</v>
      </c>
      <c r="C387" s="1606" t="s">
        <v>1532</v>
      </c>
      <c r="G387" s="1788" t="s">
        <v>2312</v>
      </c>
      <c r="L387" s="90" t="s">
        <v>22</v>
      </c>
      <c r="M387" s="216">
        <v>5.8993697166442871E-5</v>
      </c>
      <c r="N387" s="90" t="s">
        <v>1964</v>
      </c>
      <c r="O387" s="49">
        <f>VLOOKUP(N387,'[2]climate data'!$A$78:$C$98,2,FALSE)</f>
        <v>0.13927272727272727</v>
      </c>
      <c r="P387" s="49">
        <f>VLOOKUP(N387,'[2]climate data'!$A$78:$C$98,3,FALSE)</f>
        <v>0.60982152437497761</v>
      </c>
    </row>
    <row r="388" spans="1:16">
      <c r="A388" t="s">
        <v>22</v>
      </c>
      <c r="B388" s="1606" t="s">
        <v>1526</v>
      </c>
      <c r="C388" s="1606" t="s">
        <v>1532</v>
      </c>
      <c r="G388" s="1788" t="s">
        <v>2312</v>
      </c>
      <c r="L388" s="90" t="s">
        <v>36</v>
      </c>
      <c r="M388" s="216">
        <v>178.45142198241979</v>
      </c>
      <c r="N388" s="90" t="s">
        <v>1905</v>
      </c>
      <c r="O388" s="49">
        <f>VLOOKUP(N388,'[2]climate data'!$A$78:$C$98,2,FALSE)</f>
        <v>0.11785345717234262</v>
      </c>
      <c r="P388" s="49">
        <f>VLOOKUP(N388,'[2]climate data'!$A$78:$C$98,3,FALSE)</f>
        <v>0.70929624594792429</v>
      </c>
    </row>
    <row r="389" spans="1:16">
      <c r="A389" t="s">
        <v>36</v>
      </c>
      <c r="B389" s="1606" t="s">
        <v>1526</v>
      </c>
      <c r="C389" s="1606" t="s">
        <v>1532</v>
      </c>
      <c r="D389" s="1606" t="s">
        <v>1526</v>
      </c>
      <c r="F389" s="1606" t="s">
        <v>1526</v>
      </c>
      <c r="G389" s="1788" t="s">
        <v>2312</v>
      </c>
      <c r="L389" s="90" t="s">
        <v>1429</v>
      </c>
      <c r="M389" s="216">
        <v>87.158704727329621</v>
      </c>
      <c r="N389" s="90" t="s">
        <v>1905</v>
      </c>
      <c r="O389" s="49">
        <f>VLOOKUP(N389,'[2]climate data'!$A$78:$C$98,2,FALSE)</f>
        <v>0.11785345717234262</v>
      </c>
      <c r="P389" s="49">
        <f>VLOOKUP(N389,'[2]climate data'!$A$78:$C$98,3,FALSE)</f>
        <v>0.70929624594792429</v>
      </c>
    </row>
    <row r="390" spans="1:16">
      <c r="A390" t="s">
        <v>1429</v>
      </c>
      <c r="G390" s="1788" t="s">
        <v>2312</v>
      </c>
      <c r="L390" s="90" t="s">
        <v>1083</v>
      </c>
      <c r="M390" s="216">
        <v>25.261880693761146</v>
      </c>
      <c r="N390" s="90" t="s">
        <v>1914</v>
      </c>
      <c r="O390" s="49">
        <f>VLOOKUP(N390,'[2]climate data'!$A$78:$C$98,2,FALSE)</f>
        <v>0.13416220905016626</v>
      </c>
      <c r="P390" s="49">
        <f>VLOOKUP(N390,'[2]climate data'!$A$78:$C$98,3,FALSE)</f>
        <v>0.63305089749645727</v>
      </c>
    </row>
    <row r="391" spans="1:16">
      <c r="A391" t="s">
        <v>1430</v>
      </c>
      <c r="C391" s="1606" t="s">
        <v>1532</v>
      </c>
      <c r="F391" s="1606" t="s">
        <v>1526</v>
      </c>
      <c r="G391" s="1788" t="s">
        <v>2312</v>
      </c>
      <c r="L391" s="90" t="s">
        <v>1430</v>
      </c>
      <c r="M391" s="216">
        <v>60.494062411405423</v>
      </c>
      <c r="N391" s="90" t="s">
        <v>1457</v>
      </c>
      <c r="O391" s="49">
        <f>VLOOKUP(N391,'[2]climate data'!$A$78:$C$98,2,FALSE)</f>
        <v>0.1225813667375014</v>
      </c>
      <c r="P391" s="49">
        <f>VLOOKUP(N391,'[2]climate data'!$A$78:$C$98,3,FALSE)</f>
        <v>0.69285821417858218</v>
      </c>
    </row>
    <row r="392" spans="1:16">
      <c r="A392" t="s">
        <v>1084</v>
      </c>
      <c r="B392" s="1606" t="s">
        <v>1529</v>
      </c>
      <c r="C392" s="1606" t="s">
        <v>1532</v>
      </c>
      <c r="D392" s="1606" t="s">
        <v>1515</v>
      </c>
      <c r="F392" s="1606" t="s">
        <v>1526</v>
      </c>
      <c r="G392" s="1788" t="s">
        <v>596</v>
      </c>
      <c r="H392" s="1606" t="s">
        <v>1842</v>
      </c>
      <c r="L392" s="90" t="s">
        <v>1084</v>
      </c>
      <c r="M392" s="216">
        <v>0</v>
      </c>
      <c r="N392" s="90" t="s">
        <v>1472</v>
      </c>
      <c r="O392" s="49">
        <f>VLOOKUP(N392,'[2]climate data'!$A$78:$C$98,2,FALSE)</f>
        <v>0.13726497482790506</v>
      </c>
      <c r="P392" s="49">
        <f>VLOOKUP(N392,'[2]climate data'!$A$78:$C$98,3,FALSE)</f>
        <v>0.61874128455417932</v>
      </c>
    </row>
    <row r="393" spans="1:16">
      <c r="A393" t="s">
        <v>414</v>
      </c>
      <c r="B393" s="1606" t="s">
        <v>1515</v>
      </c>
      <c r="C393" s="1606" t="s">
        <v>1532</v>
      </c>
      <c r="D393" s="1606" t="s">
        <v>1529</v>
      </c>
      <c r="E393" s="1606" t="s">
        <v>1697</v>
      </c>
      <c r="F393" s="1606" t="s">
        <v>1529</v>
      </c>
      <c r="G393" s="1788" t="s">
        <v>2312</v>
      </c>
      <c r="H393" s="1606" t="s">
        <v>1843</v>
      </c>
      <c r="L393" s="90" t="s">
        <v>414</v>
      </c>
      <c r="M393" s="216">
        <v>137.93641810880942</v>
      </c>
      <c r="N393" s="90" t="s">
        <v>1907</v>
      </c>
      <c r="O393" s="49">
        <f>VLOOKUP(N393,'[2]climate data'!$A$78:$C$98,2,FALSE)</f>
        <v>0.15400143257146579</v>
      </c>
      <c r="P393" s="49">
        <f>VLOOKUP(N393,'[2]climate data'!$A$78:$C$98,3,FALSE)</f>
        <v>0.55149816096614435</v>
      </c>
    </row>
    <row r="394" spans="1:16">
      <c r="A394" t="s">
        <v>212</v>
      </c>
      <c r="C394" s="1606" t="s">
        <v>1532</v>
      </c>
      <c r="G394" s="1788" t="s">
        <v>2312</v>
      </c>
      <c r="L394" s="90" t="s">
        <v>212</v>
      </c>
      <c r="M394" s="216">
        <v>86.037905483167492</v>
      </c>
      <c r="N394" s="90" t="s">
        <v>1445</v>
      </c>
      <c r="O394" s="49">
        <f>VLOOKUP(N394,'[2]climate data'!$A$78:$C$98,2,FALSE)</f>
        <v>0.12280701754385964</v>
      </c>
      <c r="P394" s="49">
        <f>VLOOKUP(N394,'[2]climate data'!$A$78:$C$98,3,FALSE)</f>
        <v>0.67315322283387025</v>
      </c>
    </row>
    <row r="395" spans="1:16">
      <c r="A395" t="s">
        <v>110</v>
      </c>
      <c r="B395" s="1606" t="s">
        <v>1526</v>
      </c>
      <c r="C395" s="1606" t="s">
        <v>1532</v>
      </c>
      <c r="G395" s="1788" t="s">
        <v>2312</v>
      </c>
      <c r="L395" s="90" t="s">
        <v>110</v>
      </c>
      <c r="M395" s="216">
        <v>109.79843654947408</v>
      </c>
      <c r="N395" s="90" t="s">
        <v>1460</v>
      </c>
      <c r="O395" s="49">
        <f>VLOOKUP(N395,'[2]climate data'!$A$78:$C$98,2,FALSE)</f>
        <v>0.13287016934433349</v>
      </c>
      <c r="P395" s="49">
        <f>VLOOKUP(N395,'[2]climate data'!$A$78:$C$98,3,FALSE)</f>
        <v>0.63740887486717346</v>
      </c>
    </row>
    <row r="396" spans="1:16">
      <c r="A396" t="s">
        <v>1085</v>
      </c>
      <c r="C396" s="1606" t="s">
        <v>1532</v>
      </c>
      <c r="G396" s="1788" t="s">
        <v>596</v>
      </c>
      <c r="L396" s="90" t="s">
        <v>1085</v>
      </c>
      <c r="M396" s="216">
        <v>224.10013460547401</v>
      </c>
      <c r="N396" s="90" t="s">
        <v>1453</v>
      </c>
      <c r="O396" s="49">
        <f>VLOOKUP(N396,'[2]climate data'!$A$78:$C$98,2,FALSE)</f>
        <v>0.14217401446232797</v>
      </c>
      <c r="P396" s="49">
        <f>VLOOKUP(N396,'[2]climate data'!$A$78:$C$98,3,FALSE)</f>
        <v>0.59737714497623251</v>
      </c>
    </row>
    <row r="397" spans="1:16">
      <c r="A397" t="s">
        <v>298</v>
      </c>
      <c r="C397" s="1606" t="s">
        <v>1532</v>
      </c>
      <c r="G397" s="1788" t="s">
        <v>596</v>
      </c>
      <c r="L397" s="90" t="s">
        <v>68</v>
      </c>
      <c r="M397" s="216">
        <v>158.48543075400619</v>
      </c>
      <c r="N397" s="90" t="s">
        <v>1453</v>
      </c>
      <c r="O397" s="49">
        <f>VLOOKUP(N397,'[2]climate data'!$A$78:$C$98,2,FALSE)</f>
        <v>0.14217401446232797</v>
      </c>
      <c r="P397" s="49">
        <f>VLOOKUP(N397,'[2]climate data'!$A$78:$C$98,3,FALSE)</f>
        <v>0.59737714497623251</v>
      </c>
    </row>
    <row r="398" spans="1:16">
      <c r="A398" t="s">
        <v>68</v>
      </c>
      <c r="C398" s="1606" t="s">
        <v>1532</v>
      </c>
      <c r="G398" s="1788" t="s">
        <v>596</v>
      </c>
      <c r="L398" s="90" t="s">
        <v>261</v>
      </c>
      <c r="M398" s="216">
        <v>59.837350898158462</v>
      </c>
      <c r="N398" s="90" t="s">
        <v>1460</v>
      </c>
      <c r="O398" s="49">
        <f>VLOOKUP(N398,'[2]climate data'!$A$78:$C$98,2,FALSE)</f>
        <v>0.13287016934433349</v>
      </c>
      <c r="P398" s="49">
        <f>VLOOKUP(N398,'[2]climate data'!$A$78:$C$98,3,FALSE)</f>
        <v>0.63740887486717346</v>
      </c>
    </row>
    <row r="399" spans="1:16">
      <c r="A399" t="s">
        <v>261</v>
      </c>
      <c r="B399" s="1606" t="s">
        <v>1526</v>
      </c>
      <c r="C399" s="1606" t="s">
        <v>1532</v>
      </c>
      <c r="G399" s="1788" t="s">
        <v>2312</v>
      </c>
      <c r="L399" s="90" t="s">
        <v>1431</v>
      </c>
      <c r="M399" s="216">
        <v>1.8546561652016749</v>
      </c>
      <c r="N399" s="90" t="s">
        <v>1912</v>
      </c>
      <c r="O399" s="49">
        <f>VLOOKUP(N399,'[2]climate data'!$A$78:$C$98,2,FALSE)</f>
        <v>0.15764546684709066</v>
      </c>
      <c r="P399" s="49">
        <f>VLOOKUP(N399,'[2]climate data'!$A$78:$C$98,3,FALSE)</f>
        <v>0.53875007349050508</v>
      </c>
    </row>
    <row r="400" spans="1:16">
      <c r="A400" t="s">
        <v>1431</v>
      </c>
      <c r="C400" s="1606" t="s">
        <v>1532</v>
      </c>
      <c r="G400" s="1788" t="s">
        <v>2312</v>
      </c>
      <c r="L400" s="90" t="s">
        <v>1432</v>
      </c>
      <c r="M400" s="216">
        <v>40.346284218659484</v>
      </c>
      <c r="N400" s="90" t="s">
        <v>1453</v>
      </c>
      <c r="O400" s="49">
        <f>VLOOKUP(N400,'[2]climate data'!$A$78:$C$98,2,FALSE)</f>
        <v>0.14217401446232797</v>
      </c>
      <c r="P400" s="49">
        <f>VLOOKUP(N400,'[2]climate data'!$A$78:$C$98,3,FALSE)</f>
        <v>0.59737714497623251</v>
      </c>
    </row>
    <row r="401" spans="1:16">
      <c r="A401" t="s">
        <v>1432</v>
      </c>
      <c r="C401" s="1606" t="s">
        <v>1532</v>
      </c>
      <c r="G401" s="1788" t="s">
        <v>2312</v>
      </c>
      <c r="L401" s="90" t="s">
        <v>1087</v>
      </c>
      <c r="M401" s="216">
        <v>36.390057792212154</v>
      </c>
      <c r="N401" s="90" t="s">
        <v>2284</v>
      </c>
      <c r="O401" s="49">
        <f>VLOOKUP(N401,'[2]climate data'!$A$78:$C$98,2,FALSE)</f>
        <v>0.1457497612225406</v>
      </c>
      <c r="P401" s="49">
        <f>VLOOKUP(N401,'[2]climate data'!$A$78:$C$98,3,FALSE)</f>
        <v>0.58272141331083149</v>
      </c>
    </row>
    <row r="402" spans="1:16">
      <c r="A402" t="s">
        <v>1086</v>
      </c>
      <c r="B402" s="1606" t="s">
        <v>1526</v>
      </c>
      <c r="C402" s="1606" t="s">
        <v>1532</v>
      </c>
      <c r="D402" s="1606" t="s">
        <v>1529</v>
      </c>
      <c r="F402" s="1606" t="s">
        <v>1526</v>
      </c>
      <c r="G402" s="1788" t="s">
        <v>596</v>
      </c>
      <c r="H402" s="1606" t="s">
        <v>1844</v>
      </c>
      <c r="L402" s="90" t="s">
        <v>1088</v>
      </c>
      <c r="M402" s="216">
        <v>50.945581585693375</v>
      </c>
      <c r="N402" s="90" t="s">
        <v>1907</v>
      </c>
      <c r="O402" s="49">
        <f>VLOOKUP(N402,'[2]climate data'!$A$78:$C$98,2,FALSE)</f>
        <v>0.15400143257146579</v>
      </c>
      <c r="P402" s="49">
        <f>VLOOKUP(N402,'[2]climate data'!$A$78:$C$98,3,FALSE)</f>
        <v>0.55149816096614435</v>
      </c>
    </row>
    <row r="403" spans="1:16">
      <c r="A403" t="s">
        <v>1087</v>
      </c>
      <c r="C403" s="1606" t="s">
        <v>1532</v>
      </c>
      <c r="G403" s="1788" t="s">
        <v>596</v>
      </c>
      <c r="L403" s="90" t="s">
        <v>1171</v>
      </c>
      <c r="M403" s="216">
        <v>9.4685198884322688</v>
      </c>
      <c r="N403" s="90" t="s">
        <v>1457</v>
      </c>
      <c r="O403" s="49">
        <f>VLOOKUP(N403,'[2]climate data'!$A$78:$C$98,2,FALSE)</f>
        <v>0.1225813667375014</v>
      </c>
      <c r="P403" s="49">
        <f>VLOOKUP(N403,'[2]climate data'!$A$78:$C$98,3,FALSE)</f>
        <v>0.69285821417858218</v>
      </c>
    </row>
    <row r="404" spans="1:16">
      <c r="A404" t="s">
        <v>1169</v>
      </c>
      <c r="C404" s="1606" t="s">
        <v>1532</v>
      </c>
      <c r="F404" s="1606" t="s">
        <v>1526</v>
      </c>
      <c r="G404" s="1788" t="s">
        <v>2312</v>
      </c>
      <c r="L404" s="90" t="s">
        <v>552</v>
      </c>
      <c r="M404" s="216">
        <v>147.33686518183333</v>
      </c>
      <c r="N404" s="90" t="s">
        <v>1453</v>
      </c>
      <c r="O404" s="49">
        <f>VLOOKUP(N404,'[2]climate data'!$A$78:$C$98,2,FALSE)</f>
        <v>0.14217401446232797</v>
      </c>
      <c r="P404" s="49">
        <f>VLOOKUP(N404,'[2]climate data'!$A$78:$C$98,3,FALSE)</f>
        <v>0.59737714497623251</v>
      </c>
    </row>
    <row r="405" spans="1:16">
      <c r="A405" t="s">
        <v>1088</v>
      </c>
      <c r="C405" s="1606" t="s">
        <v>1532</v>
      </c>
      <c r="G405" s="1788" t="s">
        <v>2312</v>
      </c>
      <c r="L405" s="90" t="s">
        <v>25</v>
      </c>
      <c r="M405" s="216">
        <v>0</v>
      </c>
      <c r="N405" s="90" t="s">
        <v>1927</v>
      </c>
      <c r="O405" s="49">
        <f>VLOOKUP(N405,'[2]climate data'!$A$78:$C$98,2,FALSE)</f>
        <v>0.1305001073191672</v>
      </c>
      <c r="P405" s="49">
        <f>VLOOKUP(N405,'[2]climate data'!$A$78:$C$98,3,FALSE)</f>
        <v>0.65081560922855075</v>
      </c>
    </row>
    <row r="406" spans="1:16">
      <c r="A406" t="s">
        <v>1171</v>
      </c>
      <c r="C406" s="1606" t="s">
        <v>1532</v>
      </c>
      <c r="G406" s="1788" t="s">
        <v>2312</v>
      </c>
    </row>
    <row r="407" spans="1:16">
      <c r="A407" t="s">
        <v>1514</v>
      </c>
      <c r="C407" s="1606" t="s">
        <v>1532</v>
      </c>
      <c r="F407" s="1606" t="s">
        <v>1526</v>
      </c>
      <c r="G407" s="1788" t="s">
        <v>2312</v>
      </c>
    </row>
    <row r="408" spans="1:16">
      <c r="A408" t="s">
        <v>552</v>
      </c>
      <c r="C408" s="1606" t="s">
        <v>1532</v>
      </c>
      <c r="G408" s="1788" t="s">
        <v>2312</v>
      </c>
    </row>
    <row r="409" spans="1:16">
      <c r="A409" t="s">
        <v>25</v>
      </c>
      <c r="C409" s="1606" t="s">
        <v>1532</v>
      </c>
      <c r="G409" s="1788" t="s">
        <v>2312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2:G67"/>
  <sheetViews>
    <sheetView topLeftCell="A27" workbookViewId="0">
      <selection activeCell="A3" sqref="A3:D8"/>
    </sheetView>
  </sheetViews>
  <sheetFormatPr defaultRowHeight="12.75"/>
  <cols>
    <col min="1" max="1" width="16.28515625" bestFit="1" customWidth="1"/>
    <col min="2" max="2" width="15.42578125" bestFit="1" customWidth="1"/>
    <col min="3" max="3" width="11" bestFit="1" customWidth="1"/>
    <col min="4" max="4" width="10" bestFit="1" customWidth="1"/>
    <col min="5" max="5" width="8.5703125" bestFit="1" customWidth="1"/>
    <col min="6" max="6" width="40.7109375" bestFit="1" customWidth="1"/>
    <col min="7" max="7" width="21.140625" bestFit="1" customWidth="1"/>
  </cols>
  <sheetData>
    <row r="2" spans="1:7">
      <c r="A2" t="s">
        <v>375</v>
      </c>
      <c r="B2" t="s">
        <v>2237</v>
      </c>
      <c r="C2" t="s">
        <v>2238</v>
      </c>
      <c r="D2" t="s">
        <v>2239</v>
      </c>
      <c r="E2" t="s">
        <v>2240</v>
      </c>
      <c r="F2" t="s">
        <v>2241</v>
      </c>
      <c r="G2" t="s">
        <v>1333</v>
      </c>
    </row>
    <row r="3" spans="1:7">
      <c r="A3" t="s">
        <v>971</v>
      </c>
      <c r="B3">
        <v>400</v>
      </c>
      <c r="E3">
        <v>20</v>
      </c>
      <c r="F3">
        <v>3.6800000000000006</v>
      </c>
      <c r="G3" t="s">
        <v>2242</v>
      </c>
    </row>
    <row r="4" spans="1:7">
      <c r="A4" t="s">
        <v>2218</v>
      </c>
      <c r="B4">
        <v>350</v>
      </c>
      <c r="E4">
        <v>17.5</v>
      </c>
      <c r="F4">
        <v>3.22</v>
      </c>
      <c r="G4" t="s">
        <v>2242</v>
      </c>
    </row>
    <row r="5" spans="1:7">
      <c r="A5" t="s">
        <v>2218</v>
      </c>
      <c r="B5">
        <v>400</v>
      </c>
      <c r="E5">
        <v>20</v>
      </c>
      <c r="F5">
        <v>3.6800000000000006</v>
      </c>
      <c r="G5" t="s">
        <v>2242</v>
      </c>
    </row>
    <row r="6" spans="1:7">
      <c r="A6" t="s">
        <v>292</v>
      </c>
      <c r="B6">
        <v>250</v>
      </c>
      <c r="C6">
        <v>300</v>
      </c>
      <c r="E6">
        <v>12.5</v>
      </c>
      <c r="F6">
        <v>2.3000000000000003</v>
      </c>
      <c r="G6" t="s">
        <v>2243</v>
      </c>
    </row>
    <row r="7" spans="1:7">
      <c r="A7" t="s">
        <v>71</v>
      </c>
      <c r="B7">
        <v>350</v>
      </c>
      <c r="E7">
        <v>17.5</v>
      </c>
      <c r="F7">
        <v>3.22</v>
      </c>
      <c r="G7" t="s">
        <v>2242</v>
      </c>
    </row>
    <row r="8" spans="1:7">
      <c r="A8" t="s">
        <v>2219</v>
      </c>
      <c r="B8">
        <v>480</v>
      </c>
      <c r="E8">
        <v>24</v>
      </c>
      <c r="F8">
        <v>4.4160000000000013</v>
      </c>
      <c r="G8" t="s">
        <v>2242</v>
      </c>
    </row>
    <row r="9" spans="1:7">
      <c r="A9" t="s">
        <v>2220</v>
      </c>
      <c r="B9">
        <v>250</v>
      </c>
      <c r="E9">
        <v>12.5</v>
      </c>
      <c r="F9">
        <v>2.3000000000000003</v>
      </c>
      <c r="G9" t="s">
        <v>2242</v>
      </c>
    </row>
    <row r="10" spans="1:7">
      <c r="A10" t="s">
        <v>2221</v>
      </c>
      <c r="B10">
        <v>210</v>
      </c>
      <c r="E10">
        <v>10.5</v>
      </c>
      <c r="F10">
        <v>1.9320000000000004</v>
      </c>
      <c r="G10" t="s">
        <v>2243</v>
      </c>
    </row>
    <row r="11" spans="1:7">
      <c r="A11" t="s">
        <v>2222</v>
      </c>
      <c r="B11">
        <v>360</v>
      </c>
      <c r="E11">
        <v>18</v>
      </c>
      <c r="F11">
        <v>3.3120000000000003</v>
      </c>
      <c r="G11" t="s">
        <v>2242</v>
      </c>
    </row>
    <row r="12" spans="1:7">
      <c r="A12" t="s">
        <v>132</v>
      </c>
      <c r="B12">
        <v>400</v>
      </c>
      <c r="E12">
        <v>20</v>
      </c>
      <c r="F12">
        <v>3.6800000000000006</v>
      </c>
      <c r="G12" t="s">
        <v>2242</v>
      </c>
    </row>
    <row r="13" spans="1:7">
      <c r="A13" t="s">
        <v>12</v>
      </c>
      <c r="B13">
        <v>200</v>
      </c>
      <c r="D13">
        <v>48</v>
      </c>
      <c r="E13">
        <v>10</v>
      </c>
      <c r="F13">
        <v>1.8400000000000003</v>
      </c>
      <c r="G13" t="s">
        <v>2243</v>
      </c>
    </row>
    <row r="14" spans="1:7">
      <c r="A14" t="s">
        <v>57</v>
      </c>
      <c r="B14">
        <v>200</v>
      </c>
      <c r="D14">
        <v>48</v>
      </c>
      <c r="E14">
        <v>10</v>
      </c>
      <c r="F14">
        <v>1.8400000000000003</v>
      </c>
      <c r="G14" t="s">
        <v>2243</v>
      </c>
    </row>
    <row r="15" spans="1:7">
      <c r="A15" t="s">
        <v>1001</v>
      </c>
      <c r="B15">
        <v>245</v>
      </c>
      <c r="E15">
        <v>12.25</v>
      </c>
      <c r="F15">
        <v>2.2540000000000004</v>
      </c>
      <c r="G15" t="s">
        <v>2242</v>
      </c>
    </row>
    <row r="16" spans="1:7">
      <c r="A16" t="s">
        <v>58</v>
      </c>
      <c r="B16">
        <v>250</v>
      </c>
      <c r="E16">
        <v>12.5</v>
      </c>
      <c r="F16">
        <v>2.3000000000000003</v>
      </c>
      <c r="G16" t="s">
        <v>2242</v>
      </c>
    </row>
    <row r="17" spans="1:7">
      <c r="A17" t="s">
        <v>58</v>
      </c>
      <c r="B17">
        <v>450</v>
      </c>
      <c r="E17">
        <v>22.5</v>
      </c>
      <c r="F17">
        <v>4.1400000000000015</v>
      </c>
      <c r="G17" t="s">
        <v>2242</v>
      </c>
    </row>
    <row r="18" spans="1:7">
      <c r="A18" t="s">
        <v>1177</v>
      </c>
      <c r="B18">
        <v>250</v>
      </c>
      <c r="E18">
        <v>12.5</v>
      </c>
      <c r="F18">
        <v>2.3000000000000003</v>
      </c>
      <c r="G18" t="s">
        <v>2242</v>
      </c>
    </row>
    <row r="19" spans="1:7">
      <c r="A19" t="s">
        <v>1177</v>
      </c>
      <c r="B19">
        <v>450</v>
      </c>
      <c r="E19">
        <v>22.5</v>
      </c>
      <c r="F19">
        <v>4.1400000000000015</v>
      </c>
      <c r="G19" t="s">
        <v>2242</v>
      </c>
    </row>
    <row r="20" spans="1:7">
      <c r="A20" t="s">
        <v>1451</v>
      </c>
      <c r="B20">
        <v>450</v>
      </c>
      <c r="E20">
        <v>22.5</v>
      </c>
      <c r="F20">
        <v>4.1400000000000015</v>
      </c>
      <c r="G20" t="s">
        <v>2242</v>
      </c>
    </row>
    <row r="21" spans="1:7">
      <c r="A21" t="s">
        <v>293</v>
      </c>
      <c r="B21">
        <v>300</v>
      </c>
      <c r="E21">
        <v>15</v>
      </c>
      <c r="F21">
        <v>2.7600000000000007</v>
      </c>
      <c r="G21" t="s">
        <v>2242</v>
      </c>
    </row>
    <row r="22" spans="1:7">
      <c r="A22" t="s">
        <v>293</v>
      </c>
      <c r="B22">
        <v>370</v>
      </c>
      <c r="E22">
        <v>18.5</v>
      </c>
      <c r="F22">
        <v>3.4040000000000008</v>
      </c>
      <c r="G22" t="s">
        <v>2242</v>
      </c>
    </row>
    <row r="23" spans="1:7">
      <c r="A23" t="s">
        <v>293</v>
      </c>
      <c r="B23">
        <v>375</v>
      </c>
      <c r="E23">
        <v>18.75</v>
      </c>
      <c r="F23">
        <v>3.4500000000000011</v>
      </c>
      <c r="G23" t="s">
        <v>2242</v>
      </c>
    </row>
    <row r="24" spans="1:7">
      <c r="A24" t="s">
        <v>293</v>
      </c>
      <c r="B24">
        <v>250</v>
      </c>
      <c r="C24">
        <v>300</v>
      </c>
      <c r="E24">
        <v>12.5</v>
      </c>
      <c r="F24">
        <v>2.3000000000000003</v>
      </c>
      <c r="G24" t="s">
        <v>2243</v>
      </c>
    </row>
    <row r="25" spans="1:7">
      <c r="A25" t="s">
        <v>2223</v>
      </c>
      <c r="B25">
        <v>250</v>
      </c>
      <c r="E25">
        <v>12.5</v>
      </c>
      <c r="F25">
        <v>2.3000000000000003</v>
      </c>
      <c r="G25" t="s">
        <v>2242</v>
      </c>
    </row>
    <row r="26" spans="1:7">
      <c r="A26" t="s">
        <v>2224</v>
      </c>
      <c r="B26">
        <v>300</v>
      </c>
      <c r="E26">
        <v>15</v>
      </c>
      <c r="F26">
        <v>2.7600000000000007</v>
      </c>
      <c r="G26" t="s">
        <v>2242</v>
      </c>
    </row>
    <row r="27" spans="1:7">
      <c r="A27" t="s">
        <v>79</v>
      </c>
      <c r="B27">
        <v>380</v>
      </c>
      <c r="E27">
        <v>19</v>
      </c>
      <c r="F27">
        <v>3.4960000000000009</v>
      </c>
      <c r="G27" t="s">
        <v>2242</v>
      </c>
    </row>
    <row r="28" spans="1:7">
      <c r="A28" t="s">
        <v>61</v>
      </c>
      <c r="B28">
        <v>200</v>
      </c>
      <c r="D28">
        <v>48</v>
      </c>
      <c r="E28">
        <v>10</v>
      </c>
      <c r="F28">
        <v>1.8400000000000003</v>
      </c>
      <c r="G28" t="s">
        <v>2243</v>
      </c>
    </row>
    <row r="29" spans="1:7">
      <c r="A29" t="s">
        <v>2225</v>
      </c>
      <c r="B29">
        <v>375</v>
      </c>
      <c r="E29">
        <v>18.75</v>
      </c>
      <c r="F29">
        <v>3.4500000000000011</v>
      </c>
      <c r="G29" t="s">
        <v>2242</v>
      </c>
    </row>
    <row r="30" spans="1:7">
      <c r="A30" t="s">
        <v>2226</v>
      </c>
      <c r="B30">
        <v>395</v>
      </c>
      <c r="E30">
        <v>19.75</v>
      </c>
      <c r="F30">
        <v>3.6340000000000008</v>
      </c>
      <c r="G30" t="s">
        <v>2242</v>
      </c>
    </row>
    <row r="31" spans="1:7">
      <c r="A31" t="s">
        <v>2226</v>
      </c>
      <c r="B31">
        <v>400</v>
      </c>
      <c r="E31">
        <v>20</v>
      </c>
      <c r="F31">
        <v>3.6800000000000006</v>
      </c>
      <c r="G31" t="s">
        <v>2242</v>
      </c>
    </row>
    <row r="32" spans="1:7">
      <c r="A32" t="s">
        <v>1949</v>
      </c>
      <c r="B32">
        <v>400</v>
      </c>
      <c r="E32">
        <v>20</v>
      </c>
      <c r="F32">
        <v>3.6800000000000006</v>
      </c>
      <c r="G32" t="s">
        <v>2242</v>
      </c>
    </row>
    <row r="33" spans="1:7">
      <c r="A33" t="s">
        <v>1949</v>
      </c>
      <c r="B33">
        <v>450</v>
      </c>
      <c r="E33">
        <v>22.5</v>
      </c>
      <c r="F33">
        <v>4.1400000000000015</v>
      </c>
      <c r="G33" t="s">
        <v>2242</v>
      </c>
    </row>
    <row r="34" spans="1:7">
      <c r="A34" t="s">
        <v>37</v>
      </c>
      <c r="B34">
        <v>200</v>
      </c>
      <c r="D34">
        <v>48</v>
      </c>
      <c r="E34">
        <v>10</v>
      </c>
      <c r="F34">
        <v>1.8400000000000003</v>
      </c>
      <c r="G34" t="s">
        <v>2243</v>
      </c>
    </row>
    <row r="35" spans="1:7">
      <c r="A35" t="s">
        <v>1943</v>
      </c>
      <c r="B35">
        <v>300</v>
      </c>
      <c r="E35">
        <v>15</v>
      </c>
      <c r="F35">
        <v>2.7600000000000007</v>
      </c>
      <c r="G35" t="s">
        <v>2242</v>
      </c>
    </row>
    <row r="36" spans="1:7">
      <c r="A36" t="s">
        <v>1028</v>
      </c>
      <c r="B36">
        <v>200</v>
      </c>
      <c r="D36">
        <v>48</v>
      </c>
      <c r="E36">
        <v>10</v>
      </c>
      <c r="F36">
        <v>1.8400000000000003</v>
      </c>
      <c r="G36" t="s">
        <v>2243</v>
      </c>
    </row>
    <row r="37" spans="1:7">
      <c r="A37" t="s">
        <v>62</v>
      </c>
      <c r="B37">
        <v>200</v>
      </c>
      <c r="D37">
        <v>48</v>
      </c>
      <c r="E37">
        <v>10</v>
      </c>
      <c r="F37">
        <v>1.8400000000000003</v>
      </c>
      <c r="G37" t="s">
        <v>2243</v>
      </c>
    </row>
    <row r="38" spans="1:7">
      <c r="A38" t="s">
        <v>258</v>
      </c>
      <c r="B38">
        <v>300</v>
      </c>
      <c r="E38">
        <v>15</v>
      </c>
      <c r="F38">
        <v>2.7600000000000007</v>
      </c>
      <c r="G38" t="s">
        <v>2242</v>
      </c>
    </row>
    <row r="39" spans="1:7">
      <c r="A39" t="s">
        <v>2227</v>
      </c>
      <c r="B39">
        <v>300</v>
      </c>
      <c r="E39">
        <v>15</v>
      </c>
      <c r="F39">
        <v>2.7600000000000007</v>
      </c>
      <c r="G39" t="s">
        <v>2242</v>
      </c>
    </row>
    <row r="40" spans="1:7">
      <c r="A40" t="s">
        <v>2228</v>
      </c>
      <c r="B40">
        <v>350</v>
      </c>
      <c r="E40">
        <v>17.5</v>
      </c>
      <c r="F40">
        <v>3.22</v>
      </c>
      <c r="G40" t="s">
        <v>2242</v>
      </c>
    </row>
    <row r="41" spans="1:7">
      <c r="A41" t="s">
        <v>2229</v>
      </c>
      <c r="B41">
        <v>250</v>
      </c>
      <c r="E41">
        <v>12.5</v>
      </c>
      <c r="F41">
        <v>2.3000000000000003</v>
      </c>
      <c r="G41" t="s">
        <v>2242</v>
      </c>
    </row>
    <row r="42" spans="1:7">
      <c r="A42" t="s">
        <v>2230</v>
      </c>
      <c r="B42">
        <v>250</v>
      </c>
      <c r="E42">
        <v>12.5</v>
      </c>
      <c r="F42">
        <v>2.3000000000000003</v>
      </c>
      <c r="G42" t="s">
        <v>2242</v>
      </c>
    </row>
    <row r="43" spans="1:7">
      <c r="A43" t="s">
        <v>1043</v>
      </c>
      <c r="B43">
        <v>250</v>
      </c>
      <c r="E43">
        <v>12.5</v>
      </c>
      <c r="F43">
        <v>2.3000000000000003</v>
      </c>
      <c r="G43" t="s">
        <v>2242</v>
      </c>
    </row>
    <row r="44" spans="1:7">
      <c r="A44" t="s">
        <v>2231</v>
      </c>
      <c r="B44">
        <v>400</v>
      </c>
      <c r="E44">
        <v>20</v>
      </c>
      <c r="F44">
        <v>3.6800000000000006</v>
      </c>
      <c r="G44" t="s">
        <v>2242</v>
      </c>
    </row>
    <row r="45" spans="1:7">
      <c r="A45" t="s">
        <v>1049</v>
      </c>
      <c r="C45">
        <v>295</v>
      </c>
      <c r="E45">
        <v>0</v>
      </c>
      <c r="F45">
        <v>0</v>
      </c>
      <c r="G45" t="s">
        <v>2243</v>
      </c>
    </row>
    <row r="46" spans="1:7">
      <c r="A46" t="s">
        <v>1050</v>
      </c>
      <c r="B46">
        <v>250</v>
      </c>
      <c r="E46">
        <v>12.5</v>
      </c>
      <c r="F46">
        <v>2.3000000000000003</v>
      </c>
      <c r="G46" t="s">
        <v>2242</v>
      </c>
    </row>
    <row r="47" spans="1:7">
      <c r="A47" t="s">
        <v>1050</v>
      </c>
      <c r="B47">
        <v>450</v>
      </c>
      <c r="E47">
        <v>22.5</v>
      </c>
      <c r="F47">
        <v>4.1400000000000015</v>
      </c>
      <c r="G47" t="s">
        <v>2242</v>
      </c>
    </row>
    <row r="48" spans="1:7">
      <c r="A48" t="s">
        <v>1181</v>
      </c>
      <c r="B48">
        <v>250</v>
      </c>
      <c r="E48">
        <v>12.5</v>
      </c>
      <c r="F48">
        <v>2.3000000000000003</v>
      </c>
      <c r="G48" t="s">
        <v>2242</v>
      </c>
    </row>
    <row r="49" spans="1:7">
      <c r="A49" t="s">
        <v>1181</v>
      </c>
      <c r="B49">
        <v>450</v>
      </c>
      <c r="E49">
        <v>22.5</v>
      </c>
      <c r="F49">
        <v>4.1400000000000015</v>
      </c>
      <c r="G49" t="s">
        <v>2242</v>
      </c>
    </row>
    <row r="50" spans="1:7">
      <c r="A50" t="s">
        <v>1182</v>
      </c>
      <c r="B50">
        <v>250</v>
      </c>
      <c r="E50">
        <v>12.5</v>
      </c>
      <c r="F50">
        <v>2.3000000000000003</v>
      </c>
      <c r="G50" t="s">
        <v>2242</v>
      </c>
    </row>
    <row r="51" spans="1:7">
      <c r="A51" t="s">
        <v>1182</v>
      </c>
      <c r="B51">
        <v>450</v>
      </c>
      <c r="E51">
        <v>22.5</v>
      </c>
      <c r="F51">
        <v>4.1400000000000015</v>
      </c>
      <c r="G51" t="s">
        <v>2242</v>
      </c>
    </row>
    <row r="52" spans="1:7">
      <c r="A52" t="s">
        <v>2232</v>
      </c>
      <c r="B52">
        <v>250</v>
      </c>
      <c r="E52">
        <v>12.5</v>
      </c>
      <c r="F52">
        <v>2.3000000000000003</v>
      </c>
      <c r="G52" t="s">
        <v>2242</v>
      </c>
    </row>
    <row r="53" spans="1:7">
      <c r="A53" t="s">
        <v>2232</v>
      </c>
      <c r="B53">
        <v>250</v>
      </c>
      <c r="E53">
        <v>12.5</v>
      </c>
      <c r="F53">
        <v>2.3000000000000003</v>
      </c>
      <c r="G53" t="s">
        <v>2242</v>
      </c>
    </row>
    <row r="54" spans="1:7">
      <c r="A54" t="s">
        <v>2233</v>
      </c>
      <c r="B54">
        <v>300</v>
      </c>
      <c r="E54">
        <v>15</v>
      </c>
      <c r="F54">
        <v>2.7600000000000007</v>
      </c>
      <c r="G54" t="s">
        <v>2242</v>
      </c>
    </row>
    <row r="55" spans="1:7">
      <c r="A55" t="s">
        <v>2234</v>
      </c>
      <c r="B55">
        <v>300</v>
      </c>
      <c r="E55">
        <v>15</v>
      </c>
      <c r="F55">
        <v>2.7600000000000007</v>
      </c>
      <c r="G55" t="s">
        <v>2242</v>
      </c>
    </row>
    <row r="56" spans="1:7">
      <c r="A56" t="s">
        <v>2235</v>
      </c>
      <c r="B56">
        <v>495</v>
      </c>
      <c r="E56">
        <v>24.75</v>
      </c>
      <c r="F56">
        <v>4.5540000000000012</v>
      </c>
      <c r="G56" t="s">
        <v>2242</v>
      </c>
    </row>
    <row r="57" spans="1:7">
      <c r="A57" t="s">
        <v>1076</v>
      </c>
      <c r="B57">
        <v>200</v>
      </c>
      <c r="E57">
        <v>10</v>
      </c>
      <c r="F57">
        <v>1.8400000000000003</v>
      </c>
      <c r="G57" t="s">
        <v>2242</v>
      </c>
    </row>
    <row r="58" spans="1:7">
      <c r="A58" t="s">
        <v>1076</v>
      </c>
      <c r="B58">
        <v>200</v>
      </c>
      <c r="E58">
        <v>10</v>
      </c>
      <c r="F58">
        <v>1.8400000000000003</v>
      </c>
      <c r="G58" t="s">
        <v>2242</v>
      </c>
    </row>
    <row r="59" spans="1:7">
      <c r="A59" t="s">
        <v>1942</v>
      </c>
      <c r="B59">
        <v>250</v>
      </c>
      <c r="E59">
        <v>12.5</v>
      </c>
      <c r="F59">
        <v>2.3000000000000003</v>
      </c>
      <c r="G59" t="s">
        <v>2243</v>
      </c>
    </row>
    <row r="60" spans="1:7">
      <c r="A60" t="s">
        <v>1942</v>
      </c>
      <c r="B60">
        <v>300</v>
      </c>
      <c r="E60">
        <v>15</v>
      </c>
      <c r="F60">
        <v>2.7600000000000007</v>
      </c>
      <c r="G60" t="s">
        <v>2242</v>
      </c>
    </row>
    <row r="61" spans="1:7">
      <c r="A61" t="s">
        <v>66</v>
      </c>
      <c r="B61">
        <v>250</v>
      </c>
      <c r="E61">
        <v>12.5</v>
      </c>
      <c r="F61">
        <v>2.3000000000000003</v>
      </c>
      <c r="G61" t="s">
        <v>2242</v>
      </c>
    </row>
    <row r="62" spans="1:7">
      <c r="A62" t="s">
        <v>66</v>
      </c>
      <c r="B62">
        <v>450</v>
      </c>
      <c r="E62">
        <v>22.5</v>
      </c>
      <c r="F62">
        <v>4.1400000000000015</v>
      </c>
      <c r="G62" t="s">
        <v>2242</v>
      </c>
    </row>
    <row r="63" spans="1:7">
      <c r="A63" t="s">
        <v>423</v>
      </c>
      <c r="B63">
        <v>200</v>
      </c>
      <c r="D63">
        <v>48</v>
      </c>
      <c r="E63">
        <v>10</v>
      </c>
      <c r="F63">
        <v>1.8400000000000003</v>
      </c>
      <c r="G63" t="s">
        <v>2243</v>
      </c>
    </row>
    <row r="64" spans="1:7">
      <c r="A64" t="s">
        <v>1471</v>
      </c>
      <c r="B64">
        <v>200</v>
      </c>
      <c r="E64">
        <v>10</v>
      </c>
      <c r="F64">
        <v>1.8400000000000003</v>
      </c>
      <c r="G64" t="s">
        <v>2242</v>
      </c>
    </row>
    <row r="65" spans="1:7">
      <c r="A65" t="s">
        <v>13</v>
      </c>
      <c r="B65">
        <v>200</v>
      </c>
      <c r="E65">
        <v>10</v>
      </c>
      <c r="F65">
        <v>1.8400000000000003</v>
      </c>
      <c r="G65" t="s">
        <v>2242</v>
      </c>
    </row>
    <row r="66" spans="1:7">
      <c r="A66" t="s">
        <v>13</v>
      </c>
      <c r="B66">
        <v>300</v>
      </c>
      <c r="E66">
        <v>15</v>
      </c>
      <c r="F66">
        <v>2.7600000000000007</v>
      </c>
      <c r="G66" t="s">
        <v>2242</v>
      </c>
    </row>
    <row r="67" spans="1:7">
      <c r="A67" t="s">
        <v>2236</v>
      </c>
      <c r="B67">
        <v>300</v>
      </c>
      <c r="E67">
        <v>15</v>
      </c>
      <c r="F67">
        <v>2.7600000000000007</v>
      </c>
      <c r="G67" t="s">
        <v>2242</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19"/>
  <sheetViews>
    <sheetView zoomScale="80" zoomScaleNormal="80" workbookViewId="0">
      <selection activeCell="B73" sqref="B73"/>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22.7109375" style="120" bestFit="1" customWidth="1"/>
    <col min="8" max="8" width="17.42578125" style="120" customWidth="1"/>
    <col min="9" max="9" width="22.7109375" style="120" customWidth="1"/>
    <col min="10" max="10" width="21.7109375"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1" width="15.5703125" style="136" customWidth="1"/>
    <col min="32" max="32" width="15.42578125" style="136" customWidth="1"/>
    <col min="33" max="33" width="15.85546875" style="136" customWidth="1"/>
    <col min="34" max="35" width="15.5703125" style="136" customWidth="1"/>
    <col min="36" max="36" width="15.140625" style="136" customWidth="1"/>
    <col min="37" max="38" width="15.5703125" style="136" customWidth="1"/>
    <col min="39" max="39" width="15.85546875" style="136" customWidth="1"/>
    <col min="40" max="40" width="15.42578125" style="136" customWidth="1"/>
    <col min="41" max="41" width="15.140625" style="136" customWidth="1"/>
    <col min="42" max="42" width="15.5703125" style="136" customWidth="1"/>
    <col min="43" max="43" width="15.42578125" style="136" customWidth="1"/>
    <col min="44" max="44" width="15.85546875" style="136" customWidth="1"/>
    <col min="45" max="45" width="15.140625" style="136" customWidth="1"/>
    <col min="46" max="47" width="15.42578125" style="136" customWidth="1"/>
    <col min="48" max="50" width="15.5703125" style="136" customWidth="1"/>
    <col min="51" max="51" width="15.85546875" style="136" customWidth="1"/>
    <col min="52" max="52" width="16.28515625" style="136" customWidth="1"/>
    <col min="53" max="53" width="15.42578125" style="136" customWidth="1"/>
    <col min="54" max="55" width="15.85546875" style="136" customWidth="1"/>
    <col min="56" max="56" width="15.42578125" style="136" customWidth="1"/>
    <col min="57" max="57" width="14.85546875" style="136" customWidth="1"/>
    <col min="58"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989" t="s">
        <v>636</v>
      </c>
      <c r="B1" s="1989"/>
      <c r="C1" s="1989"/>
      <c r="D1" s="1989"/>
      <c r="E1" s="1989"/>
      <c r="F1" s="1989"/>
      <c r="G1" s="1989"/>
      <c r="H1" s="1989"/>
      <c r="I1" s="1989"/>
      <c r="J1" s="1989"/>
      <c r="K1" s="1989"/>
      <c r="L1" s="1989"/>
      <c r="M1" s="1989"/>
      <c r="N1" s="1989"/>
      <c r="O1" s="1989"/>
      <c r="P1" s="1989"/>
      <c r="Q1" s="198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2008" t="s">
        <v>334</v>
      </c>
      <c r="C2" s="2008"/>
      <c r="D2" s="2008"/>
      <c r="E2" s="2008"/>
      <c r="G2" s="221"/>
      <c r="H2" s="2040" t="s">
        <v>618</v>
      </c>
      <c r="I2" s="2041"/>
      <c r="J2" s="2041"/>
      <c r="K2" s="2041"/>
      <c r="L2" s="2041"/>
      <c r="M2" s="2041"/>
      <c r="N2" s="2041"/>
      <c r="O2" s="2041"/>
      <c r="P2" s="2041"/>
      <c r="Q2" s="2041"/>
      <c r="R2" s="204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77"/>
      <c r="I3" s="136"/>
      <c r="J3" s="136"/>
      <c r="K3" s="136"/>
      <c r="L3" s="136"/>
      <c r="M3" s="136"/>
      <c r="N3" s="136"/>
      <c r="O3" s="136"/>
      <c r="P3" s="136"/>
      <c r="Q3" s="136"/>
      <c r="R3" s="930"/>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2089" t="s">
        <v>331</v>
      </c>
      <c r="C4" s="2090"/>
      <c r="D4" s="121"/>
      <c r="E4" s="916" t="s">
        <v>1211</v>
      </c>
      <c r="F4" s="1204" t="s">
        <v>383</v>
      </c>
      <c r="G4" s="219"/>
      <c r="H4" s="377"/>
      <c r="I4" s="547" t="s">
        <v>958</v>
      </c>
      <c r="J4" s="633" t="str">
        <f>IF(AND(HR_Installed="Yes",HR_Operational="Yes"),"Yes", "No")</f>
        <v>No</v>
      </c>
      <c r="K4" s="125"/>
      <c r="L4" s="125"/>
      <c r="M4" s="125"/>
      <c r="N4" s="125"/>
      <c r="O4" s="125"/>
      <c r="P4" s="125"/>
      <c r="Q4" s="125"/>
      <c r="R4" s="930"/>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thickBot="1">
      <c r="B5" s="128" t="s">
        <v>375</v>
      </c>
      <c r="C5" s="587" t="str">
        <f>Community_Name</f>
        <v>Manley Hot Springs</v>
      </c>
      <c r="D5" s="125"/>
      <c r="E5" s="47" t="s">
        <v>1209</v>
      </c>
      <c r="F5" s="1205"/>
      <c r="G5" s="219"/>
      <c r="H5" s="377"/>
      <c r="I5" s="548"/>
      <c r="J5" s="636"/>
      <c r="K5" s="131"/>
      <c r="L5" s="131"/>
      <c r="M5" s="125"/>
      <c r="N5" s="136"/>
      <c r="O5" s="136"/>
      <c r="P5" s="136"/>
      <c r="Q5" s="136"/>
      <c r="R5" s="930"/>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15" customHeight="1" thickBot="1">
      <c r="B6" s="128" t="s">
        <v>376</v>
      </c>
      <c r="C6" s="587" t="str">
        <f>IF('Community data'!B7="Yes",'Community data'!B8,Community_Name)</f>
        <v>Manley Hot Springs</v>
      </c>
      <c r="D6" s="125"/>
      <c r="E6" s="417" t="s">
        <v>1210</v>
      </c>
      <c r="F6" s="1212" t="b">
        <f>IF(OR(C9="Construction",C9="Design"),"High", IF(C9="Feasibility", "Medium", IF(C9="Recon", "Low")))</f>
        <v>0</v>
      </c>
      <c r="G6" s="219"/>
      <c r="H6" s="377"/>
      <c r="I6" s="548" t="s">
        <v>570</v>
      </c>
      <c r="J6" s="634">
        <f>C9</f>
        <v>0</v>
      </c>
      <c r="K6" s="131"/>
      <c r="L6" s="131"/>
      <c r="M6" s="125"/>
      <c r="N6" s="2098" t="s">
        <v>579</v>
      </c>
      <c r="O6" s="2099"/>
      <c r="P6" s="2099"/>
      <c r="Q6" s="2100"/>
      <c r="R6" s="930"/>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24" customHeight="1">
      <c r="B7" s="128" t="s">
        <v>332</v>
      </c>
      <c r="C7" s="587" t="s">
        <v>291</v>
      </c>
      <c r="D7" s="125"/>
      <c r="G7" s="219"/>
      <c r="H7" s="377"/>
      <c r="I7" s="548" t="s">
        <v>593</v>
      </c>
      <c r="J7" s="550">
        <v>0</v>
      </c>
      <c r="K7" s="132"/>
      <c r="L7" s="131"/>
      <c r="M7" s="125"/>
      <c r="N7" s="2101" t="s">
        <v>694</v>
      </c>
      <c r="O7" s="2073"/>
      <c r="P7" s="628">
        <f>J7</f>
        <v>0</v>
      </c>
      <c r="Q7" s="363" t="s">
        <v>388</v>
      </c>
      <c r="R7" s="930"/>
      <c r="S7" s="217"/>
      <c r="T7" s="217"/>
      <c r="U7" s="217"/>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14.25" customHeight="1">
      <c r="B8" s="128" t="s">
        <v>569</v>
      </c>
      <c r="C8" s="587" t="s">
        <v>377</v>
      </c>
      <c r="D8" s="125"/>
      <c r="E8" s="118"/>
      <c r="G8" s="219"/>
      <c r="H8" s="377"/>
      <c r="I8" s="540" t="s">
        <v>831</v>
      </c>
      <c r="J8" s="551">
        <v>0</v>
      </c>
      <c r="K8" s="830"/>
      <c r="L8" s="831"/>
      <c r="M8" s="125"/>
      <c r="N8" s="2101" t="s">
        <v>695</v>
      </c>
      <c r="O8" s="2073"/>
      <c r="P8" s="245">
        <f>J13+J7</f>
        <v>0</v>
      </c>
      <c r="Q8" s="363" t="s">
        <v>388</v>
      </c>
      <c r="R8" s="930"/>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14.25" customHeight="1">
      <c r="B9" s="128" t="s">
        <v>570</v>
      </c>
      <c r="C9" s="490"/>
      <c r="D9" s="125"/>
      <c r="E9" s="118"/>
      <c r="G9" s="219"/>
      <c r="H9" s="377"/>
      <c r="I9" s="548" t="s">
        <v>594</v>
      </c>
      <c r="J9" s="549"/>
      <c r="K9" s="830"/>
      <c r="L9" s="831"/>
      <c r="M9" s="125"/>
      <c r="N9" s="2102" t="s">
        <v>696</v>
      </c>
      <c r="O9" s="2078"/>
      <c r="P9" s="340" t="b">
        <f>IF(J14="Yes", J15, IF(AND(J7&gt;999,J14="No"),#REF!* P7, IF(AND(J7&lt;1000,J14="No"), J24*P7)))</f>
        <v>0</v>
      </c>
      <c r="Q9" s="364"/>
      <c r="R9" s="930"/>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14.25" customHeight="1">
      <c r="B10" s="128"/>
      <c r="C10" s="587"/>
      <c r="D10" s="125"/>
      <c r="E10" s="118"/>
      <c r="G10" s="219"/>
      <c r="H10" s="377"/>
      <c r="I10" s="540" t="s">
        <v>684</v>
      </c>
      <c r="J10" s="549"/>
      <c r="K10" s="830"/>
      <c r="L10" s="831"/>
      <c r="M10" s="125"/>
      <c r="N10" s="2102" t="s">
        <v>697</v>
      </c>
      <c r="O10" s="2078"/>
      <c r="P10" s="340" t="b">
        <f>IF(AND(J7&gt;999,J14="No"),#REF!,IF(AND(J7&lt;1000,J14="No"),J24,IF(J14="Yes",P9/P7)))</f>
        <v>0</v>
      </c>
      <c r="Q10" s="364" t="s">
        <v>580</v>
      </c>
      <c r="R10" s="930"/>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26.25" customHeight="1" thickBot="1">
      <c r="B11" s="134"/>
      <c r="C11" s="611"/>
      <c r="D11" s="125"/>
      <c r="E11" s="118"/>
      <c r="F11" s="135"/>
      <c r="G11" s="219"/>
      <c r="H11" s="377"/>
      <c r="I11" s="548" t="s">
        <v>595</v>
      </c>
      <c r="J11" s="634" t="str">
        <f>'Community data'!B30</f>
        <v>No</v>
      </c>
      <c r="K11" s="136"/>
      <c r="L11" s="136"/>
      <c r="M11" s="125"/>
      <c r="N11" s="2102" t="s">
        <v>602</v>
      </c>
      <c r="O11" s="2078"/>
      <c r="P11" s="629">
        <f>IF(J7&gt;0,IF(J11="No", 150000, 0),0)</f>
        <v>0</v>
      </c>
      <c r="Q11" s="364"/>
      <c r="R11" s="930"/>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26.25" customHeight="1">
      <c r="B12" s="137" t="s">
        <v>360</v>
      </c>
      <c r="C12" s="515" t="s">
        <v>384</v>
      </c>
      <c r="D12" s="306"/>
      <c r="E12" s="306"/>
      <c r="F12" s="118"/>
      <c r="G12" s="219"/>
      <c r="H12" s="377"/>
      <c r="I12" s="552" t="s">
        <v>615</v>
      </c>
      <c r="J12" s="634" t="s">
        <v>597</v>
      </c>
      <c r="K12" s="136"/>
      <c r="L12" s="136"/>
      <c r="M12" s="125"/>
      <c r="N12" s="2102" t="s">
        <v>581</v>
      </c>
      <c r="O12" s="2078"/>
      <c r="P12" s="340">
        <f>IF(J12="No", 0, 200000)</f>
        <v>0</v>
      </c>
      <c r="Q12" s="364"/>
      <c r="R12" s="930"/>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14.25">
      <c r="B13" s="128" t="s">
        <v>262</v>
      </c>
      <c r="C13" s="321" t="e">
        <f>BI59</f>
        <v>#VALUE!</v>
      </c>
      <c r="D13" s="136"/>
      <c r="E13" s="136"/>
      <c r="F13" s="118"/>
      <c r="G13" s="219"/>
      <c r="H13" s="377"/>
      <c r="I13" s="553"/>
      <c r="J13" s="635"/>
      <c r="K13" s="136"/>
      <c r="L13" s="136"/>
      <c r="M13" s="125"/>
      <c r="N13" s="2102" t="s">
        <v>582</v>
      </c>
      <c r="O13" s="2078"/>
      <c r="P13" s="340">
        <f>IF(J10="No", J9*250000, J9*500000)</f>
        <v>0</v>
      </c>
      <c r="Q13" s="364"/>
      <c r="R13" s="930"/>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24.75" customHeight="1">
      <c r="B14" s="128" t="s">
        <v>278</v>
      </c>
      <c r="C14" s="322">
        <f>BI55</f>
        <v>0</v>
      </c>
      <c r="D14" s="136"/>
      <c r="E14" s="136"/>
      <c r="F14" s="118"/>
      <c r="G14" s="219"/>
      <c r="H14" s="377"/>
      <c r="I14" s="552" t="s">
        <v>621</v>
      </c>
      <c r="J14" s="549"/>
      <c r="K14" s="136"/>
      <c r="L14" s="136"/>
      <c r="M14" s="125"/>
      <c r="N14" s="2087" t="s">
        <v>614</v>
      </c>
      <c r="O14" s="2079"/>
      <c r="P14" s="248">
        <f>(SUM(P11:P13)+P9)</f>
        <v>0</v>
      </c>
      <c r="Q14" s="365" t="s">
        <v>580</v>
      </c>
      <c r="R14" s="930"/>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27.75" customHeight="1" thickBot="1">
      <c r="B15" s="128" t="s">
        <v>759</v>
      </c>
      <c r="C15" s="323">
        <f>IF(C14&gt;0,C13/C14,0)</f>
        <v>0</v>
      </c>
      <c r="D15" s="136"/>
      <c r="E15" s="136"/>
      <c r="F15" s="118"/>
      <c r="G15" s="219"/>
      <c r="H15" s="377"/>
      <c r="I15" s="554" t="s">
        <v>693</v>
      </c>
      <c r="J15" s="555"/>
      <c r="K15" s="136"/>
      <c r="L15" s="136"/>
      <c r="M15" s="125"/>
      <c r="N15" s="2093" t="s">
        <v>698</v>
      </c>
      <c r="O15" s="2071"/>
      <c r="P15" s="630">
        <f>P16/'Community data'!B16</f>
        <v>0</v>
      </c>
      <c r="Q15" s="366"/>
      <c r="R15" s="930"/>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12.75" customHeight="1" thickBot="1">
      <c r="A16" s="121"/>
      <c r="B16" s="502" t="s">
        <v>290</v>
      </c>
      <c r="C16" s="503" t="e">
        <f>BI62</f>
        <v>#VALUE!</v>
      </c>
      <c r="D16" s="136"/>
      <c r="E16" s="136"/>
      <c r="F16" s="118"/>
      <c r="G16" s="219"/>
      <c r="H16" s="377"/>
      <c r="I16" s="136"/>
      <c r="J16" s="136"/>
      <c r="K16" s="136"/>
      <c r="L16" s="136"/>
      <c r="M16" s="125"/>
      <c r="N16" s="2092" t="s">
        <v>699</v>
      </c>
      <c r="O16" s="2069"/>
      <c r="P16" s="251">
        <f>J8</f>
        <v>0</v>
      </c>
      <c r="Q16" s="367" t="s">
        <v>583</v>
      </c>
      <c r="R16" s="930"/>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5" customHeight="1">
      <c r="A17" s="121"/>
      <c r="B17" s="157"/>
      <c r="C17" s="347"/>
      <c r="D17" s="136"/>
      <c r="E17" s="136"/>
      <c r="F17" s="118"/>
      <c r="G17" s="219"/>
      <c r="H17" s="377"/>
      <c r="I17" s="846"/>
      <c r="J17" s="846"/>
      <c r="K17" s="840"/>
      <c r="L17" s="846"/>
      <c r="M17" s="125"/>
      <c r="N17" s="2093" t="s">
        <v>605</v>
      </c>
      <c r="O17" s="2071"/>
      <c r="P17" s="631">
        <f>'Community data'!B22</f>
        <v>0.121</v>
      </c>
      <c r="Q17" s="541"/>
      <c r="R17" s="930"/>
      <c r="S17" s="217"/>
      <c r="T17" s="217"/>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thickBot="1">
      <c r="B18" s="138"/>
      <c r="C18" s="145"/>
      <c r="D18" s="136"/>
      <c r="E18" s="136"/>
      <c r="F18" s="118"/>
      <c r="G18" s="219"/>
      <c r="H18" s="377"/>
      <c r="I18" s="327"/>
      <c r="J18" s="121"/>
      <c r="K18" s="121"/>
      <c r="L18" s="121"/>
      <c r="M18" s="125"/>
      <c r="N18" s="2093" t="s">
        <v>584</v>
      </c>
      <c r="O18" s="2071"/>
      <c r="P18" s="245">
        <f>P16*P17</f>
        <v>0</v>
      </c>
      <c r="Q18" s="366" t="s">
        <v>583</v>
      </c>
      <c r="R18" s="930"/>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25.5" customHeight="1">
      <c r="B19" s="137" t="s">
        <v>361</v>
      </c>
      <c r="C19" s="314" t="s">
        <v>271</v>
      </c>
      <c r="D19" s="315" t="s">
        <v>384</v>
      </c>
      <c r="E19" s="307"/>
      <c r="F19" s="306"/>
      <c r="G19" s="219"/>
      <c r="H19" s="377"/>
      <c r="I19" s="327"/>
      <c r="J19" s="328"/>
      <c r="K19" s="121"/>
      <c r="L19" s="121"/>
      <c r="M19" s="125"/>
      <c r="N19" s="2091" t="s">
        <v>606</v>
      </c>
      <c r="O19" s="2080"/>
      <c r="P19" s="251">
        <f>(P16-P18)*0.15</f>
        <v>0</v>
      </c>
      <c r="Q19" s="542" t="s">
        <v>583</v>
      </c>
      <c r="R19" s="930"/>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2.75" customHeight="1">
      <c r="B20" s="316" t="s">
        <v>362</v>
      </c>
      <c r="C20" s="208" t="s">
        <v>266</v>
      </c>
      <c r="D20" s="606">
        <f>IF(SUM(F67:BH67)&gt;0,SUM(F67:BH67)/COUNTIF(F67:BH67,"&gt;0"),0)</f>
        <v>0</v>
      </c>
      <c r="E20" s="121"/>
      <c r="F20" s="136"/>
      <c r="G20" s="219"/>
      <c r="H20" s="377"/>
      <c r="I20" s="136"/>
      <c r="J20" s="241"/>
      <c r="K20" s="845"/>
      <c r="L20" s="121"/>
      <c r="M20" s="125"/>
      <c r="N20" s="2092" t="s">
        <v>700</v>
      </c>
      <c r="O20" s="2069"/>
      <c r="P20" s="251">
        <f>P16-P18-P19</f>
        <v>0</v>
      </c>
      <c r="Q20" s="367" t="s">
        <v>583</v>
      </c>
      <c r="R20" s="930"/>
      <c r="S20" s="217"/>
      <c r="T20" s="217"/>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28.5" customHeight="1">
      <c r="B21" s="316" t="s">
        <v>362</v>
      </c>
      <c r="C21" s="209" t="s">
        <v>363</v>
      </c>
      <c r="D21" s="607">
        <f>SUM(F67:BH67)</f>
        <v>0</v>
      </c>
      <c r="E21" s="121"/>
      <c r="F21" s="136"/>
      <c r="G21" s="219"/>
      <c r="H21" s="377"/>
      <c r="I21" s="121"/>
      <c r="J21" s="121"/>
      <c r="K21" s="121"/>
      <c r="L21" s="383"/>
      <c r="M21" s="125"/>
      <c r="N21" s="2093" t="s">
        <v>701</v>
      </c>
      <c r="O21" s="2071"/>
      <c r="P21" s="255">
        <f>IF(P16=0,0,P19/P16)</f>
        <v>0</v>
      </c>
      <c r="Q21" s="366"/>
      <c r="R21" s="930"/>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2.75" customHeight="1">
      <c r="B22" s="316" t="s">
        <v>364</v>
      </c>
      <c r="C22" s="209" t="s">
        <v>268</v>
      </c>
      <c r="D22" s="606" t="e">
        <f>G72+G91</f>
        <v>#VALUE!</v>
      </c>
      <c r="E22" s="121"/>
      <c r="F22" s="136"/>
      <c r="G22" s="219"/>
      <c r="H22" s="377"/>
      <c r="I22" s="121"/>
      <c r="J22" s="121"/>
      <c r="K22" s="121"/>
      <c r="L22" s="136"/>
      <c r="M22" s="125"/>
      <c r="N22" s="2093" t="s">
        <v>585</v>
      </c>
      <c r="O22" s="2071"/>
      <c r="P22" s="256">
        <f>P21*0.7</f>
        <v>0</v>
      </c>
      <c r="Q22" s="541"/>
      <c r="R22" s="930"/>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2.75" customHeight="1">
      <c r="B23" s="316" t="s">
        <v>364</v>
      </c>
      <c r="C23" s="209" t="s">
        <v>365</v>
      </c>
      <c r="D23" s="608">
        <f>SUM(G72:T72)+SUM(G91:BH91)</f>
        <v>0</v>
      </c>
      <c r="E23" s="121"/>
      <c r="F23" s="136"/>
      <c r="G23" s="219"/>
      <c r="H23" s="377"/>
      <c r="I23" s="327"/>
      <c r="J23" s="384"/>
      <c r="K23" s="121"/>
      <c r="L23" s="136"/>
      <c r="M23" s="125"/>
      <c r="N23" s="2093" t="s">
        <v>586</v>
      </c>
      <c r="O23" s="2071"/>
      <c r="P23" s="257">
        <f>IF(J12="Yes", P22*P16, 0)</f>
        <v>0</v>
      </c>
      <c r="Q23" s="543" t="s">
        <v>583</v>
      </c>
      <c r="R23" s="930"/>
      <c r="S23" s="124"/>
      <c r="T23" s="124"/>
      <c r="U23" s="69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24" customHeight="1">
      <c r="B24" s="128"/>
      <c r="D24" s="1385"/>
      <c r="E24" s="122"/>
      <c r="F24" s="125"/>
      <c r="G24" s="145"/>
      <c r="H24" s="377"/>
      <c r="I24" s="122"/>
      <c r="J24" s="240"/>
      <c r="K24" s="240"/>
      <c r="L24" s="121"/>
      <c r="M24" s="125"/>
      <c r="N24" s="2094" t="s">
        <v>609</v>
      </c>
      <c r="O24" s="2072"/>
      <c r="P24" s="259">
        <f>P23*0.99/0.138/0.8/293</f>
        <v>0</v>
      </c>
      <c r="Q24" s="544" t="s">
        <v>588</v>
      </c>
      <c r="R24" s="930"/>
      <c r="S24" s="211"/>
      <c r="T24" s="211"/>
      <c r="U24" s="69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42" customHeight="1">
      <c r="B25" s="128"/>
      <c r="C25" s="145"/>
      <c r="D25" s="317"/>
      <c r="E25" s="121"/>
      <c r="F25" s="136"/>
      <c r="G25" s="219"/>
      <c r="H25" s="377"/>
      <c r="I25" s="136"/>
      <c r="J25" s="136"/>
      <c r="K25" s="121"/>
      <c r="L25" s="136"/>
      <c r="M25" s="125"/>
      <c r="N25" s="2092" t="s">
        <v>587</v>
      </c>
      <c r="O25" s="2069"/>
      <c r="P25" s="251">
        <f>IF(Generation_Efficiency&gt;13,P20/Generation_Efficiency, P20/13)</f>
        <v>0</v>
      </c>
      <c r="Q25" s="545" t="s">
        <v>588</v>
      </c>
      <c r="R25" s="930"/>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30" customHeight="1">
      <c r="B26" s="316" t="s">
        <v>378</v>
      </c>
      <c r="C26" s="209" t="s">
        <v>379</v>
      </c>
      <c r="D26" s="606" t="e">
        <f>D22*#REF!+D24*#REF!</f>
        <v>#VALUE!</v>
      </c>
      <c r="E26" s="121"/>
      <c r="F26" s="136"/>
      <c r="G26" s="219"/>
      <c r="H26" s="377"/>
      <c r="I26" s="136"/>
      <c r="J26" s="136"/>
      <c r="K26" s="121"/>
      <c r="L26" s="136"/>
      <c r="M26" s="125"/>
      <c r="N26" s="2097" t="s">
        <v>589</v>
      </c>
      <c r="O26" s="2070"/>
      <c r="P26" s="251" t="str">
        <f>IF(AND(J4="Yes", 'Community data'!B40&gt; P25*0.15),P25*0.15,'Community data'!B40)</f>
        <v>unknown</v>
      </c>
      <c r="Q26" s="369" t="s">
        <v>588</v>
      </c>
      <c r="R26" s="930"/>
      <c r="S26" s="689"/>
      <c r="T26" s="68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26.25" customHeight="1" thickBot="1">
      <c r="B27" s="318" t="s">
        <v>378</v>
      </c>
      <c r="C27" s="319" t="s">
        <v>380</v>
      </c>
      <c r="D27" s="609" t="e">
        <f>D23*#REF!+D25*#REF!</f>
        <v>#REF!</v>
      </c>
      <c r="E27" s="121"/>
      <c r="F27" s="136"/>
      <c r="G27" s="219"/>
      <c r="H27" s="377"/>
      <c r="I27" s="136"/>
      <c r="J27" s="136"/>
      <c r="K27" s="240"/>
      <c r="L27" s="121"/>
      <c r="M27" s="125"/>
      <c r="N27" s="2092" t="s">
        <v>590</v>
      </c>
      <c r="O27" s="2069"/>
      <c r="P27" s="251" t="e">
        <f>P24-P26</f>
        <v>#VALUE!</v>
      </c>
      <c r="Q27" s="367" t="s">
        <v>588</v>
      </c>
      <c r="R27" s="930"/>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customHeight="1" thickBot="1">
      <c r="B28" s="143"/>
      <c r="C28" s="143"/>
      <c r="D28" s="148"/>
      <c r="E28" s="121"/>
      <c r="F28" s="136"/>
      <c r="G28" s="219"/>
      <c r="H28" s="377"/>
      <c r="I28" s="121"/>
      <c r="J28" s="121"/>
      <c r="K28" s="121"/>
      <c r="L28" s="121"/>
      <c r="M28" s="125"/>
      <c r="N28" s="2088" t="s">
        <v>702</v>
      </c>
      <c r="O28" s="2068"/>
      <c r="P28" s="263">
        <f>0.01*P14</f>
        <v>0</v>
      </c>
      <c r="Q28" s="370" t="s">
        <v>611</v>
      </c>
      <c r="R28" s="930"/>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30.75" customHeight="1">
      <c r="B29" s="149" t="s">
        <v>366</v>
      </c>
      <c r="C29" s="150" t="s">
        <v>271</v>
      </c>
      <c r="D29" s="312" t="s">
        <v>384</v>
      </c>
      <c r="E29" s="307"/>
      <c r="F29" s="306"/>
      <c r="G29" s="219"/>
      <c r="H29" s="377"/>
      <c r="I29" s="136"/>
      <c r="J29" s="136"/>
      <c r="K29" s="121"/>
      <c r="L29" s="136"/>
      <c r="M29" s="125"/>
      <c r="N29" s="2088" t="s">
        <v>703</v>
      </c>
      <c r="O29" s="2068"/>
      <c r="P29" s="637"/>
      <c r="Q29" s="371"/>
      <c r="R29" s="930"/>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24" customHeight="1">
      <c r="B30" s="128" t="s">
        <v>6</v>
      </c>
      <c r="C30" s="138" t="s">
        <v>287</v>
      </c>
      <c r="D30" s="590">
        <f>P14</f>
        <v>0</v>
      </c>
      <c r="E30" s="118"/>
      <c r="G30" s="219"/>
      <c r="H30" s="377"/>
      <c r="I30" s="327"/>
      <c r="J30" s="121"/>
      <c r="K30" s="121"/>
      <c r="L30" s="136"/>
      <c r="M30" s="125"/>
      <c r="N30" s="2088" t="s">
        <v>591</v>
      </c>
      <c r="O30" s="2068"/>
      <c r="P30" s="340">
        <f>J9*10000</f>
        <v>0</v>
      </c>
      <c r="Q30" s="371"/>
      <c r="R30" s="930"/>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ustomHeight="1" thickBot="1">
      <c r="B31" s="128" t="s">
        <v>286</v>
      </c>
      <c r="C31" s="138" t="s">
        <v>333</v>
      </c>
      <c r="D31" s="589"/>
      <c r="E31" s="118"/>
      <c r="G31" s="219"/>
      <c r="H31" s="377"/>
      <c r="I31" s="121"/>
      <c r="J31" s="328"/>
      <c r="K31" s="121"/>
      <c r="L31" s="136"/>
      <c r="M31" s="125"/>
      <c r="N31" s="2095" t="s">
        <v>592</v>
      </c>
      <c r="O31" s="2096"/>
      <c r="P31" s="546">
        <v>50</v>
      </c>
      <c r="Q31" s="372" t="s">
        <v>280</v>
      </c>
      <c r="R31" s="930"/>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ustomHeight="1">
      <c r="B32" s="128" t="s">
        <v>279</v>
      </c>
      <c r="C32" s="138" t="s">
        <v>280</v>
      </c>
      <c r="D32" s="610">
        <f>P31</f>
        <v>50</v>
      </c>
      <c r="E32" s="118"/>
      <c r="G32" s="219"/>
      <c r="H32" s="377"/>
      <c r="I32" s="121"/>
      <c r="J32" s="328"/>
      <c r="K32" s="121"/>
      <c r="L32" s="136"/>
      <c r="M32" s="125"/>
      <c r="N32" s="136"/>
      <c r="O32" s="136"/>
      <c r="P32" s="136"/>
      <c r="Q32" s="136"/>
      <c r="R32" s="930"/>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591">
        <f>P20</f>
        <v>0</v>
      </c>
      <c r="E33" s="118"/>
      <c r="G33" s="219"/>
      <c r="H33" s="377"/>
      <c r="I33" s="121"/>
      <c r="J33" s="328"/>
      <c r="K33" s="121"/>
      <c r="L33" s="136"/>
      <c r="M33" s="125"/>
      <c r="N33" s="125"/>
      <c r="O33" s="125"/>
      <c r="P33" s="125"/>
      <c r="Q33" s="125"/>
      <c r="R33" s="930"/>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592">
        <f>P24</f>
        <v>0</v>
      </c>
      <c r="E34" s="118"/>
      <c r="G34" s="219"/>
      <c r="H34" s="377"/>
      <c r="I34" s="121"/>
      <c r="J34" s="328"/>
      <c r="K34" s="121"/>
      <c r="L34" s="136"/>
      <c r="M34" s="125"/>
      <c r="N34" s="125"/>
      <c r="O34" s="125"/>
      <c r="P34" s="125"/>
      <c r="Q34" s="125"/>
      <c r="R34" s="930"/>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5.5">
      <c r="B35" s="128" t="s">
        <v>369</v>
      </c>
      <c r="C35" s="138" t="s">
        <v>315</v>
      </c>
      <c r="D35" s="593"/>
      <c r="E35" s="118"/>
      <c r="G35" s="219"/>
      <c r="H35" s="377"/>
      <c r="I35" s="121"/>
      <c r="J35" s="121"/>
      <c r="K35" s="121"/>
      <c r="L35" s="136"/>
      <c r="M35" s="125"/>
      <c r="N35" s="125"/>
      <c r="O35" s="125"/>
      <c r="P35" s="125"/>
      <c r="Q35" s="125"/>
      <c r="R35" s="930"/>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ustomHeight="1">
      <c r="B36" s="128" t="s">
        <v>321</v>
      </c>
      <c r="C36" s="152" t="s">
        <v>1322</v>
      </c>
      <c r="D36" s="594">
        <f>P28</f>
        <v>0</v>
      </c>
      <c r="E36" s="118"/>
      <c r="G36" s="219"/>
      <c r="H36" s="377"/>
      <c r="I36" s="121"/>
      <c r="J36" s="121"/>
      <c r="K36" s="121"/>
      <c r="L36" s="136"/>
      <c r="M36" s="125"/>
      <c r="N36" s="125"/>
      <c r="O36" s="125"/>
      <c r="P36" s="125"/>
      <c r="Q36" s="125"/>
      <c r="R36" s="930"/>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ustomHeight="1">
      <c r="B37" s="128" t="s">
        <v>387</v>
      </c>
      <c r="C37" s="138" t="s">
        <v>388</v>
      </c>
      <c r="D37" s="596"/>
      <c r="E37" s="118"/>
      <c r="G37" s="219"/>
      <c r="H37" s="377"/>
      <c r="I37" s="327"/>
      <c r="J37" s="121"/>
      <c r="K37" s="121"/>
      <c r="L37" s="136"/>
      <c r="M37" s="125"/>
      <c r="N37" s="125"/>
      <c r="O37" s="125"/>
      <c r="P37" s="125"/>
      <c r="Q37" s="125"/>
      <c r="R37" s="930"/>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ustomHeight="1">
      <c r="B38" s="128" t="s">
        <v>389</v>
      </c>
      <c r="C38" s="138" t="s">
        <v>352</v>
      </c>
      <c r="D38" s="595"/>
      <c r="E38" s="118"/>
      <c r="G38" s="219"/>
      <c r="H38" s="377"/>
      <c r="I38" s="272"/>
      <c r="J38" s="272"/>
      <c r="K38" s="272"/>
      <c r="L38" s="233"/>
      <c r="M38" s="8"/>
      <c r="N38" s="8"/>
      <c r="O38" s="470"/>
      <c r="P38" s="125"/>
      <c r="Q38" s="125"/>
      <c r="R38" s="930"/>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ustomHeight="1">
      <c r="B39" s="128" t="s">
        <v>390</v>
      </c>
      <c r="C39" s="138" t="s">
        <v>392</v>
      </c>
      <c r="D39" s="597"/>
      <c r="E39" s="118"/>
      <c r="G39" s="219"/>
      <c r="H39" s="377"/>
      <c r="I39" s="272"/>
      <c r="J39" s="272"/>
      <c r="K39" s="233"/>
      <c r="L39" s="233"/>
      <c r="M39" s="8"/>
      <c r="N39" s="8"/>
      <c r="O39" s="470"/>
      <c r="P39" s="125"/>
      <c r="Q39" s="125"/>
      <c r="R39" s="930"/>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customHeight="1" thickBot="1">
      <c r="B40" s="134" t="s">
        <v>391</v>
      </c>
      <c r="C40" s="313" t="s">
        <v>352</v>
      </c>
      <c r="D40" s="598"/>
      <c r="E40" s="118"/>
      <c r="G40" s="219"/>
      <c r="H40" s="377"/>
      <c r="I40" s="233"/>
      <c r="J40" s="233"/>
      <c r="K40" s="233"/>
      <c r="L40" s="233"/>
      <c r="M40" s="8"/>
      <c r="N40" s="8"/>
      <c r="O40" s="8"/>
      <c r="P40" s="125"/>
      <c r="Q40" s="125"/>
      <c r="R40" s="930"/>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customHeight="1" thickBot="1">
      <c r="B41" s="153"/>
      <c r="C41" s="154"/>
      <c r="D41" s="155"/>
      <c r="E41" s="118"/>
      <c r="F41" s="136"/>
      <c r="G41" s="219"/>
      <c r="H41" s="377"/>
      <c r="I41" s="233"/>
      <c r="J41" s="233"/>
      <c r="K41" s="233"/>
      <c r="L41" s="233"/>
      <c r="M41" s="8"/>
      <c r="N41" s="8"/>
      <c r="O41" s="8"/>
      <c r="P41" s="125"/>
      <c r="Q41" s="125"/>
      <c r="R41" s="930"/>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ustomHeight="1">
      <c r="B42" s="504" t="s">
        <v>327</v>
      </c>
      <c r="C42" s="505" t="s">
        <v>271</v>
      </c>
      <c r="D42" s="506" t="s">
        <v>272</v>
      </c>
      <c r="E42" s="118"/>
      <c r="G42" s="219"/>
      <c r="H42" s="377"/>
      <c r="I42" s="233"/>
      <c r="J42" s="233"/>
      <c r="K42" s="233"/>
      <c r="L42" s="233"/>
      <c r="M42" s="8"/>
      <c r="N42" s="125"/>
      <c r="O42" s="125"/>
      <c r="P42" s="125"/>
      <c r="Q42" s="125"/>
      <c r="R42" s="930"/>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ustomHeight="1">
      <c r="B43" s="311" t="s">
        <v>276</v>
      </c>
      <c r="C43" s="138" t="s">
        <v>265</v>
      </c>
      <c r="D43" s="599">
        <v>0.02</v>
      </c>
      <c r="E43" s="118"/>
      <c r="F43" s="159"/>
      <c r="G43" s="219"/>
      <c r="H43" s="377"/>
      <c r="I43" s="233"/>
      <c r="J43" s="233"/>
      <c r="K43" s="233"/>
      <c r="L43" s="233"/>
      <c r="M43" s="8"/>
      <c r="N43" s="125"/>
      <c r="O43" s="125"/>
      <c r="P43" s="125"/>
      <c r="Q43" s="125"/>
      <c r="R43" s="930"/>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customHeight="1" thickBot="1">
      <c r="B44" s="507" t="s">
        <v>328</v>
      </c>
      <c r="C44" s="143" t="s">
        <v>281</v>
      </c>
      <c r="D44" s="614">
        <f>'Community data'!B21</f>
        <v>10.802351555020987</v>
      </c>
      <c r="E44" s="118"/>
      <c r="F44" s="159"/>
      <c r="G44" s="219"/>
      <c r="H44" s="377"/>
      <c r="I44" s="233"/>
      <c r="J44" s="233"/>
      <c r="K44" s="233"/>
      <c r="L44" s="233"/>
      <c r="M44" s="8"/>
      <c r="N44" s="125"/>
      <c r="O44" s="125"/>
      <c r="P44" s="125"/>
      <c r="Q44" s="125"/>
      <c r="R44" s="930"/>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2.75" customHeight="1" thickBot="1">
      <c r="B45" s="161"/>
      <c r="C45" s="162"/>
      <c r="D45" s="163"/>
      <c r="E45" s="118"/>
      <c r="F45" s="136"/>
      <c r="G45" s="219"/>
      <c r="H45" s="378"/>
      <c r="I45" s="986"/>
      <c r="J45" s="986"/>
      <c r="K45" s="986"/>
      <c r="L45" s="986"/>
      <c r="M45" s="381"/>
      <c r="N45" s="381"/>
      <c r="O45" s="381"/>
      <c r="P45" s="381"/>
      <c r="Q45" s="381"/>
      <c r="R45" s="951"/>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0" t="s">
        <v>272</v>
      </c>
      <c r="E46" s="118"/>
      <c r="F46" s="159"/>
      <c r="G46" s="219"/>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1" t="s">
        <v>282</v>
      </c>
      <c r="C47" s="138" t="s">
        <v>269</v>
      </c>
      <c r="D47" s="601">
        <f>VLOOKUP(Energy_Region,Assumptions!$A$28:$B$38,2,FALSE)</f>
        <v>1.5507921943016665</v>
      </c>
      <c r="E47" s="118"/>
      <c r="F47" s="136"/>
      <c r="G47" s="219"/>
      <c r="H47" s="122"/>
      <c r="I47" s="125"/>
      <c r="J47" s="125"/>
      <c r="K47" s="125"/>
      <c r="L47" s="125" t="s">
        <v>814</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02">
        <f>Assumptions!B26</f>
        <v>0</v>
      </c>
      <c r="E48" s="118"/>
      <c r="F48" s="159"/>
      <c r="G48" s="219"/>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04"/>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H54+1</f>
        <v>2017</v>
      </c>
      <c r="J54" s="171">
        <f t="shared" si="0"/>
        <v>2018</v>
      </c>
      <c r="K54" s="171">
        <f>J54+1</f>
        <v>2019</v>
      </c>
      <c r="L54" s="171">
        <f t="shared" si="0"/>
        <v>2020</v>
      </c>
      <c r="M54" s="171">
        <f t="shared" si="0"/>
        <v>2021</v>
      </c>
      <c r="N54" s="171">
        <f t="shared" si="0"/>
        <v>2022</v>
      </c>
      <c r="O54" s="171">
        <f t="shared" si="0"/>
        <v>2023</v>
      </c>
      <c r="P54" s="171">
        <f t="shared" si="0"/>
        <v>2024</v>
      </c>
      <c r="Q54" s="171">
        <f t="shared" si="0"/>
        <v>2025</v>
      </c>
      <c r="R54" s="171">
        <f t="shared" si="0"/>
        <v>2026</v>
      </c>
      <c r="S54" s="306">
        <f t="shared" si="0"/>
        <v>2027</v>
      </c>
      <c r="T54" s="306">
        <f t="shared" si="0"/>
        <v>2028</v>
      </c>
      <c r="U54" s="306">
        <f t="shared" si="0"/>
        <v>2029</v>
      </c>
      <c r="V54" s="306">
        <f t="shared" si="0"/>
        <v>2030</v>
      </c>
      <c r="W54" s="306">
        <f t="shared" si="0"/>
        <v>2031</v>
      </c>
      <c r="X54" s="306">
        <f t="shared" si="0"/>
        <v>2032</v>
      </c>
      <c r="Y54" s="306">
        <f t="shared" si="0"/>
        <v>2033</v>
      </c>
      <c r="Z54" s="306">
        <f t="shared" si="0"/>
        <v>2034</v>
      </c>
      <c r="AA54" s="306">
        <f t="shared" si="0"/>
        <v>2035</v>
      </c>
      <c r="AB54" s="306">
        <f t="shared" si="0"/>
        <v>2036</v>
      </c>
      <c r="AC54" s="306">
        <f t="shared" si="0"/>
        <v>2037</v>
      </c>
      <c r="AD54" s="306">
        <f t="shared" si="0"/>
        <v>2038</v>
      </c>
      <c r="AE54" s="306">
        <f t="shared" si="0"/>
        <v>2039</v>
      </c>
      <c r="AF54" s="306">
        <f t="shared" si="0"/>
        <v>2040</v>
      </c>
      <c r="AG54" s="306">
        <f t="shared" si="0"/>
        <v>2041</v>
      </c>
      <c r="AH54" s="306">
        <f t="shared" si="0"/>
        <v>2042</v>
      </c>
      <c r="AI54" s="306">
        <f t="shared" si="0"/>
        <v>2043</v>
      </c>
      <c r="AJ54" s="306">
        <f t="shared" si="0"/>
        <v>2044</v>
      </c>
      <c r="AK54" s="306">
        <f t="shared" si="0"/>
        <v>2045</v>
      </c>
      <c r="AL54" s="306">
        <f t="shared" si="0"/>
        <v>2046</v>
      </c>
      <c r="AM54" s="306">
        <f t="shared" si="0"/>
        <v>2047</v>
      </c>
      <c r="AN54" s="306">
        <f t="shared" si="0"/>
        <v>2048</v>
      </c>
      <c r="AO54" s="306">
        <f t="shared" si="0"/>
        <v>2049</v>
      </c>
      <c r="AP54" s="306">
        <f t="shared" si="0"/>
        <v>2050</v>
      </c>
      <c r="AQ54" s="306">
        <f t="shared" si="0"/>
        <v>2051</v>
      </c>
      <c r="AR54" s="306">
        <f t="shared" si="0"/>
        <v>2052</v>
      </c>
      <c r="AS54" s="306">
        <f t="shared" si="0"/>
        <v>2053</v>
      </c>
      <c r="AT54" s="306">
        <f t="shared" si="0"/>
        <v>2054</v>
      </c>
      <c r="AU54" s="306">
        <f t="shared" si="0"/>
        <v>2055</v>
      </c>
      <c r="AV54" s="306">
        <f t="shared" si="0"/>
        <v>2056</v>
      </c>
      <c r="AW54" s="306">
        <f t="shared" si="0"/>
        <v>2057</v>
      </c>
      <c r="AX54" s="306">
        <f t="shared" si="0"/>
        <v>2058</v>
      </c>
      <c r="AY54" s="306">
        <f t="shared" si="0"/>
        <v>2059</v>
      </c>
      <c r="AZ54" s="306">
        <f t="shared" si="0"/>
        <v>2060</v>
      </c>
      <c r="BA54" s="306">
        <f t="shared" si="0"/>
        <v>2061</v>
      </c>
      <c r="BB54" s="306">
        <f t="shared" si="0"/>
        <v>2062</v>
      </c>
      <c r="BC54" s="306">
        <f t="shared" si="0"/>
        <v>2063</v>
      </c>
      <c r="BD54" s="306">
        <f t="shared" si="0"/>
        <v>2064</v>
      </c>
      <c r="BE54" s="306">
        <f t="shared" si="0"/>
        <v>2065</v>
      </c>
      <c r="BF54" s="306">
        <f t="shared" si="0"/>
        <v>2066</v>
      </c>
      <c r="BG54" s="306">
        <f t="shared" si="0"/>
        <v>2067</v>
      </c>
      <c r="BH54" s="306">
        <f t="shared" si="0"/>
        <v>2068</v>
      </c>
      <c r="BI54" s="69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BH57" si="1">F78-F69</f>
        <v>0</v>
      </c>
      <c r="G57" s="178">
        <f t="shared" si="1"/>
        <v>0</v>
      </c>
      <c r="H57" s="178">
        <f t="shared" si="1"/>
        <v>0</v>
      </c>
      <c r="I57" s="178">
        <f t="shared" si="1"/>
        <v>0</v>
      </c>
      <c r="J57" s="178">
        <f t="shared" si="1"/>
        <v>0</v>
      </c>
      <c r="K57" s="178">
        <f t="shared" si="1"/>
        <v>0</v>
      </c>
      <c r="L57" s="178">
        <f t="shared" si="1"/>
        <v>0</v>
      </c>
      <c r="M57" s="178">
        <f t="shared" si="1"/>
        <v>0</v>
      </c>
      <c r="N57" s="178">
        <f t="shared" si="1"/>
        <v>0</v>
      </c>
      <c r="O57" s="178">
        <f t="shared" si="1"/>
        <v>0</v>
      </c>
      <c r="P57" s="178">
        <f t="shared" si="1"/>
        <v>0</v>
      </c>
      <c r="Q57" s="178">
        <f t="shared" si="1"/>
        <v>0</v>
      </c>
      <c r="R57" s="178">
        <f t="shared" si="1"/>
        <v>0</v>
      </c>
      <c r="S57" s="178">
        <f t="shared" si="1"/>
        <v>0</v>
      </c>
      <c r="T57" s="178">
        <f t="shared" si="1"/>
        <v>0</v>
      </c>
      <c r="U57" s="178">
        <f t="shared" si="1"/>
        <v>0</v>
      </c>
      <c r="V57" s="178">
        <f t="shared" si="1"/>
        <v>0</v>
      </c>
      <c r="W57" s="178">
        <f t="shared" si="1"/>
        <v>0</v>
      </c>
      <c r="X57" s="178">
        <f t="shared" si="1"/>
        <v>0</v>
      </c>
      <c r="Y57" s="178">
        <f t="shared" si="1"/>
        <v>0</v>
      </c>
      <c r="Z57" s="178">
        <f t="shared" si="1"/>
        <v>0</v>
      </c>
      <c r="AA57" s="178">
        <f t="shared" si="1"/>
        <v>0</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0</v>
      </c>
      <c r="BJ57" s="121"/>
      <c r="BK57" s="121"/>
      <c r="BL57" s="121"/>
      <c r="BM57" s="121"/>
      <c r="BN57" s="121"/>
      <c r="BO57" s="121"/>
    </row>
    <row r="58" spans="2:67" ht="12.75">
      <c r="C58" s="177"/>
      <c r="D58" s="136" t="s">
        <v>626</v>
      </c>
      <c r="E58" s="121" t="s">
        <v>264</v>
      </c>
      <c r="F58" s="178" t="e">
        <f>F96-F88</f>
        <v>#VALUE!</v>
      </c>
      <c r="G58" s="376" t="e">
        <f>G89-G96</f>
        <v>#VALUE!</v>
      </c>
      <c r="H58" s="376" t="e">
        <f t="shared" ref="H58:BE58" si="2">H89-H96</f>
        <v>#VALUE!</v>
      </c>
      <c r="I58" s="376" t="e">
        <f t="shared" si="2"/>
        <v>#VALUE!</v>
      </c>
      <c r="J58" s="376" t="e">
        <f t="shared" si="2"/>
        <v>#VALUE!</v>
      </c>
      <c r="K58" s="376" t="e">
        <f t="shared" si="2"/>
        <v>#VALUE!</v>
      </c>
      <c r="L58" s="376" t="e">
        <f t="shared" si="2"/>
        <v>#VALUE!</v>
      </c>
      <c r="M58" s="376" t="e">
        <f t="shared" si="2"/>
        <v>#VALUE!</v>
      </c>
      <c r="N58" s="376" t="e">
        <f t="shared" si="2"/>
        <v>#VALUE!</v>
      </c>
      <c r="O58" s="376" t="e">
        <f t="shared" si="2"/>
        <v>#VALUE!</v>
      </c>
      <c r="P58" s="376" t="e">
        <f t="shared" si="2"/>
        <v>#VALUE!</v>
      </c>
      <c r="Q58" s="376" t="e">
        <f t="shared" si="2"/>
        <v>#VALUE!</v>
      </c>
      <c r="R58" s="376" t="e">
        <f t="shared" si="2"/>
        <v>#VALUE!</v>
      </c>
      <c r="S58" s="376" t="e">
        <f t="shared" si="2"/>
        <v>#VALUE!</v>
      </c>
      <c r="T58" s="376" t="e">
        <f t="shared" si="2"/>
        <v>#VALUE!</v>
      </c>
      <c r="U58" s="376" t="e">
        <f t="shared" si="2"/>
        <v>#VALUE!</v>
      </c>
      <c r="V58" s="376" t="e">
        <f t="shared" si="2"/>
        <v>#VALUE!</v>
      </c>
      <c r="W58" s="376" t="e">
        <f t="shared" si="2"/>
        <v>#VALUE!</v>
      </c>
      <c r="X58" s="376" t="e">
        <f t="shared" si="2"/>
        <v>#VALUE!</v>
      </c>
      <c r="Y58" s="376" t="e">
        <f t="shared" si="2"/>
        <v>#VALUE!</v>
      </c>
      <c r="Z58" s="376" t="e">
        <f t="shared" si="2"/>
        <v>#VALUE!</v>
      </c>
      <c r="AA58" s="376" t="e">
        <f t="shared" si="2"/>
        <v>#VALUE!</v>
      </c>
      <c r="AB58" s="376" t="e">
        <f t="shared" si="2"/>
        <v>#VALUE!</v>
      </c>
      <c r="AC58" s="376" t="e">
        <f t="shared" si="2"/>
        <v>#VALUE!</v>
      </c>
      <c r="AD58" s="376" t="e">
        <f t="shared" si="2"/>
        <v>#VALUE!</v>
      </c>
      <c r="AE58" s="376" t="e">
        <f t="shared" si="2"/>
        <v>#VALUE!</v>
      </c>
      <c r="AF58" s="376" t="e">
        <f t="shared" si="2"/>
        <v>#VALUE!</v>
      </c>
      <c r="AG58" s="376" t="e">
        <f t="shared" si="2"/>
        <v>#VALUE!</v>
      </c>
      <c r="AH58" s="376" t="e">
        <f t="shared" si="2"/>
        <v>#VALUE!</v>
      </c>
      <c r="AI58" s="376" t="e">
        <f t="shared" si="2"/>
        <v>#VALUE!</v>
      </c>
      <c r="AJ58" s="376" t="e">
        <f t="shared" si="2"/>
        <v>#VALUE!</v>
      </c>
      <c r="AK58" s="376" t="e">
        <f t="shared" si="2"/>
        <v>#VALUE!</v>
      </c>
      <c r="AL58" s="376" t="e">
        <f t="shared" si="2"/>
        <v>#VALUE!</v>
      </c>
      <c r="AM58" s="376" t="e">
        <f t="shared" si="2"/>
        <v>#VALUE!</v>
      </c>
      <c r="AN58" s="376" t="e">
        <f t="shared" si="2"/>
        <v>#VALUE!</v>
      </c>
      <c r="AO58" s="376" t="e">
        <f t="shared" si="2"/>
        <v>#VALUE!</v>
      </c>
      <c r="AP58" s="376" t="e">
        <f t="shared" si="2"/>
        <v>#VALUE!</v>
      </c>
      <c r="AQ58" s="376" t="e">
        <f t="shared" si="2"/>
        <v>#VALUE!</v>
      </c>
      <c r="AR58" s="376" t="e">
        <f t="shared" si="2"/>
        <v>#VALUE!</v>
      </c>
      <c r="AS58" s="376" t="e">
        <f t="shared" si="2"/>
        <v>#VALUE!</v>
      </c>
      <c r="AT58" s="376" t="e">
        <f t="shared" si="2"/>
        <v>#VALUE!</v>
      </c>
      <c r="AU58" s="376" t="e">
        <f t="shared" si="2"/>
        <v>#VALUE!</v>
      </c>
      <c r="AV58" s="376" t="e">
        <f t="shared" si="2"/>
        <v>#VALUE!</v>
      </c>
      <c r="AW58" s="376" t="e">
        <f t="shared" si="2"/>
        <v>#VALUE!</v>
      </c>
      <c r="AX58" s="376" t="e">
        <f t="shared" si="2"/>
        <v>#VALUE!</v>
      </c>
      <c r="AY58" s="376" t="e">
        <f t="shared" si="2"/>
        <v>#VALUE!</v>
      </c>
      <c r="AZ58" s="376" t="e">
        <f t="shared" si="2"/>
        <v>#VALUE!</v>
      </c>
      <c r="BA58" s="376" t="e">
        <f t="shared" si="2"/>
        <v>#VALUE!</v>
      </c>
      <c r="BB58" s="376" t="e">
        <f t="shared" si="2"/>
        <v>#VALUE!</v>
      </c>
      <c r="BC58" s="376" t="e">
        <f t="shared" si="2"/>
        <v>#VALUE!</v>
      </c>
      <c r="BD58" s="376" t="e">
        <f t="shared" si="2"/>
        <v>#VALUE!</v>
      </c>
      <c r="BE58" s="376" t="e">
        <f t="shared" si="2"/>
        <v>#VALUE!</v>
      </c>
      <c r="BF58" s="178" t="e">
        <f>BF96-BF88</f>
        <v>#VALUE!</v>
      </c>
      <c r="BG58" s="178" t="e">
        <f>BG96-BG88</f>
        <v>#VALUE!</v>
      </c>
      <c r="BH58" s="178" t="e">
        <f>BH96-BH88</f>
        <v>#VALUE!</v>
      </c>
      <c r="BI58" s="175" t="e">
        <f>NPV($D$49,F58:BH58)</f>
        <v>#VALUE!</v>
      </c>
      <c r="BJ58" s="121"/>
      <c r="BK58" s="121"/>
      <c r="BL58" s="121"/>
      <c r="BM58" s="121"/>
      <c r="BN58" s="121"/>
      <c r="BO58" s="121"/>
    </row>
    <row r="59" spans="2:67" ht="12.75">
      <c r="C59" s="177"/>
      <c r="D59" s="179" t="s">
        <v>627</v>
      </c>
      <c r="E59" s="180" t="s">
        <v>264</v>
      </c>
      <c r="F59" s="178" t="e">
        <f t="shared" ref="F59:BH59" si="3">F57+F58</f>
        <v>#VALUE!</v>
      </c>
      <c r="G59" s="178" t="e">
        <f t="shared" si="3"/>
        <v>#VALUE!</v>
      </c>
      <c r="H59" s="178" t="e">
        <f t="shared" si="3"/>
        <v>#VALUE!</v>
      </c>
      <c r="I59" s="178" t="e">
        <f t="shared" si="3"/>
        <v>#VALUE!</v>
      </c>
      <c r="J59" s="178" t="e">
        <f t="shared" si="3"/>
        <v>#VALUE!</v>
      </c>
      <c r="K59" s="178" t="e">
        <f t="shared" si="3"/>
        <v>#VALUE!</v>
      </c>
      <c r="L59" s="178" t="e">
        <f t="shared" si="3"/>
        <v>#VALUE!</v>
      </c>
      <c r="M59" s="178" t="e">
        <f t="shared" si="3"/>
        <v>#VALUE!</v>
      </c>
      <c r="N59" s="178" t="e">
        <f t="shared" si="3"/>
        <v>#VALUE!</v>
      </c>
      <c r="O59" s="178" t="e">
        <f t="shared" si="3"/>
        <v>#VALUE!</v>
      </c>
      <c r="P59" s="178" t="e">
        <f t="shared" si="3"/>
        <v>#VALUE!</v>
      </c>
      <c r="Q59" s="178" t="e">
        <f t="shared" si="3"/>
        <v>#VALUE!</v>
      </c>
      <c r="R59" s="178" t="e">
        <f t="shared" si="3"/>
        <v>#VALUE!</v>
      </c>
      <c r="S59" s="178" t="e">
        <f t="shared" si="3"/>
        <v>#VALUE!</v>
      </c>
      <c r="T59" s="178" t="e">
        <f t="shared" si="3"/>
        <v>#VALUE!</v>
      </c>
      <c r="U59" s="178" t="e">
        <f t="shared" si="3"/>
        <v>#VALUE!</v>
      </c>
      <c r="V59" s="178" t="e">
        <f t="shared" si="3"/>
        <v>#VALUE!</v>
      </c>
      <c r="W59" s="178" t="e">
        <f t="shared" si="3"/>
        <v>#VALUE!</v>
      </c>
      <c r="X59" s="178" t="e">
        <f t="shared" si="3"/>
        <v>#VALUE!</v>
      </c>
      <c r="Y59" s="178" t="e">
        <f t="shared" si="3"/>
        <v>#VALUE!</v>
      </c>
      <c r="Z59" s="178" t="e">
        <f t="shared" si="3"/>
        <v>#VALUE!</v>
      </c>
      <c r="AA59" s="178" t="e">
        <f t="shared" si="3"/>
        <v>#VALUE!</v>
      </c>
      <c r="AB59" s="178" t="e">
        <f t="shared" si="3"/>
        <v>#VALUE!</v>
      </c>
      <c r="AC59" s="178" t="e">
        <f t="shared" si="3"/>
        <v>#VALUE!</v>
      </c>
      <c r="AD59" s="178" t="e">
        <f t="shared" si="3"/>
        <v>#VALUE!</v>
      </c>
      <c r="AE59" s="178" t="e">
        <f t="shared" si="3"/>
        <v>#VALUE!</v>
      </c>
      <c r="AF59" s="178" t="e">
        <f t="shared" si="3"/>
        <v>#VALUE!</v>
      </c>
      <c r="AG59" s="178" t="e">
        <f t="shared" si="3"/>
        <v>#VALUE!</v>
      </c>
      <c r="AH59" s="178" t="e">
        <f t="shared" si="3"/>
        <v>#VALUE!</v>
      </c>
      <c r="AI59" s="178" t="e">
        <f t="shared" si="3"/>
        <v>#VALUE!</v>
      </c>
      <c r="AJ59" s="178" t="e">
        <f t="shared" si="3"/>
        <v>#VALUE!</v>
      </c>
      <c r="AK59" s="178" t="e">
        <f t="shared" si="3"/>
        <v>#VALUE!</v>
      </c>
      <c r="AL59" s="178" t="e">
        <f t="shared" si="3"/>
        <v>#VALUE!</v>
      </c>
      <c r="AM59" s="178" t="e">
        <f t="shared" si="3"/>
        <v>#VALUE!</v>
      </c>
      <c r="AN59" s="178" t="e">
        <f t="shared" si="3"/>
        <v>#VALUE!</v>
      </c>
      <c r="AO59" s="178" t="e">
        <f t="shared" si="3"/>
        <v>#VALUE!</v>
      </c>
      <c r="AP59" s="178" t="e">
        <f t="shared" si="3"/>
        <v>#VALUE!</v>
      </c>
      <c r="AQ59" s="178" t="e">
        <f t="shared" si="3"/>
        <v>#VALUE!</v>
      </c>
      <c r="AR59" s="178" t="e">
        <f t="shared" si="3"/>
        <v>#VALUE!</v>
      </c>
      <c r="AS59" s="178" t="e">
        <f t="shared" si="3"/>
        <v>#VALUE!</v>
      </c>
      <c r="AT59" s="178" t="e">
        <f t="shared" si="3"/>
        <v>#VALUE!</v>
      </c>
      <c r="AU59" s="178" t="e">
        <f t="shared" si="3"/>
        <v>#VALUE!</v>
      </c>
      <c r="AV59" s="178" t="e">
        <f t="shared" si="3"/>
        <v>#VALUE!</v>
      </c>
      <c r="AW59" s="178" t="e">
        <f t="shared" si="3"/>
        <v>#VALUE!</v>
      </c>
      <c r="AX59" s="178" t="e">
        <f t="shared" si="3"/>
        <v>#VALUE!</v>
      </c>
      <c r="AY59" s="178" t="e">
        <f t="shared" si="3"/>
        <v>#VALUE!</v>
      </c>
      <c r="AZ59" s="178" t="e">
        <f t="shared" si="3"/>
        <v>#VALUE!</v>
      </c>
      <c r="BA59" s="178" t="e">
        <f t="shared" si="3"/>
        <v>#VALUE!</v>
      </c>
      <c r="BB59" s="178" t="e">
        <f t="shared" si="3"/>
        <v>#VALUE!</v>
      </c>
      <c r="BC59" s="178" t="e">
        <f t="shared" si="3"/>
        <v>#VALUE!</v>
      </c>
      <c r="BD59" s="178" t="e">
        <f t="shared" si="3"/>
        <v>#VALUE!</v>
      </c>
      <c r="BE59" s="178" t="e">
        <f t="shared" si="3"/>
        <v>#VALUE!</v>
      </c>
      <c r="BF59" s="178" t="e">
        <f t="shared" si="3"/>
        <v>#VALUE!</v>
      </c>
      <c r="BG59" s="178" t="e">
        <f t="shared" si="3"/>
        <v>#VALUE!</v>
      </c>
      <c r="BH59" s="178" t="e">
        <f t="shared" si="3"/>
        <v>#VALUE!</v>
      </c>
      <c r="BI59" s="175" t="e">
        <f>NPV($D$49,F59:BH59)</f>
        <v>#VALUE!</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t="e">
        <f t="shared" ref="F62:BH62" si="4">F59-F55</f>
        <v>#VALUE!</v>
      </c>
      <c r="G62" s="185" t="e">
        <f t="shared" si="4"/>
        <v>#VALUE!</v>
      </c>
      <c r="H62" s="185" t="e">
        <f t="shared" si="4"/>
        <v>#VALUE!</v>
      </c>
      <c r="I62" s="185" t="e">
        <f t="shared" si="4"/>
        <v>#VALUE!</v>
      </c>
      <c r="J62" s="185" t="e">
        <f t="shared" si="4"/>
        <v>#VALUE!</v>
      </c>
      <c r="K62" s="185" t="e">
        <f t="shared" si="4"/>
        <v>#VALUE!</v>
      </c>
      <c r="L62" s="185" t="e">
        <f t="shared" si="4"/>
        <v>#VALUE!</v>
      </c>
      <c r="M62" s="185" t="e">
        <f t="shared" si="4"/>
        <v>#VALUE!</v>
      </c>
      <c r="N62" s="185" t="e">
        <f t="shared" si="4"/>
        <v>#VALUE!</v>
      </c>
      <c r="O62" s="185" t="e">
        <f t="shared" si="4"/>
        <v>#VALUE!</v>
      </c>
      <c r="P62" s="185" t="e">
        <f t="shared" si="4"/>
        <v>#VALUE!</v>
      </c>
      <c r="Q62" s="185" t="e">
        <f t="shared" si="4"/>
        <v>#VALUE!</v>
      </c>
      <c r="R62" s="185" t="e">
        <f t="shared" si="4"/>
        <v>#VALUE!</v>
      </c>
      <c r="S62" s="696" t="e">
        <f t="shared" si="4"/>
        <v>#VALUE!</v>
      </c>
      <c r="T62" s="696" t="e">
        <f t="shared" si="4"/>
        <v>#VALUE!</v>
      </c>
      <c r="U62" s="696" t="e">
        <f t="shared" si="4"/>
        <v>#VALUE!</v>
      </c>
      <c r="V62" s="696" t="e">
        <f t="shared" si="4"/>
        <v>#VALUE!</v>
      </c>
      <c r="W62" s="696" t="e">
        <f t="shared" si="4"/>
        <v>#VALUE!</v>
      </c>
      <c r="X62" s="696" t="e">
        <f t="shared" si="4"/>
        <v>#VALUE!</v>
      </c>
      <c r="Y62" s="696" t="e">
        <f t="shared" si="4"/>
        <v>#VALUE!</v>
      </c>
      <c r="Z62" s="696" t="e">
        <f t="shared" si="4"/>
        <v>#VALUE!</v>
      </c>
      <c r="AA62" s="696" t="e">
        <f t="shared" si="4"/>
        <v>#VALUE!</v>
      </c>
      <c r="AB62" s="696" t="e">
        <f t="shared" si="4"/>
        <v>#VALUE!</v>
      </c>
      <c r="AC62" s="696" t="e">
        <f t="shared" si="4"/>
        <v>#VALUE!</v>
      </c>
      <c r="AD62" s="696" t="e">
        <f t="shared" si="4"/>
        <v>#VALUE!</v>
      </c>
      <c r="AE62" s="696" t="e">
        <f t="shared" si="4"/>
        <v>#VALUE!</v>
      </c>
      <c r="AF62" s="696" t="e">
        <f t="shared" si="4"/>
        <v>#VALUE!</v>
      </c>
      <c r="AG62" s="696" t="e">
        <f t="shared" si="4"/>
        <v>#VALUE!</v>
      </c>
      <c r="AH62" s="696" t="e">
        <f t="shared" si="4"/>
        <v>#VALUE!</v>
      </c>
      <c r="AI62" s="696" t="e">
        <f t="shared" si="4"/>
        <v>#VALUE!</v>
      </c>
      <c r="AJ62" s="696" t="e">
        <f t="shared" si="4"/>
        <v>#VALUE!</v>
      </c>
      <c r="AK62" s="696" t="e">
        <f t="shared" si="4"/>
        <v>#VALUE!</v>
      </c>
      <c r="AL62" s="696" t="e">
        <f t="shared" si="4"/>
        <v>#VALUE!</v>
      </c>
      <c r="AM62" s="696" t="e">
        <f t="shared" si="4"/>
        <v>#VALUE!</v>
      </c>
      <c r="AN62" s="696" t="e">
        <f t="shared" si="4"/>
        <v>#VALUE!</v>
      </c>
      <c r="AO62" s="696" t="e">
        <f t="shared" si="4"/>
        <v>#VALUE!</v>
      </c>
      <c r="AP62" s="696" t="e">
        <f t="shared" si="4"/>
        <v>#VALUE!</v>
      </c>
      <c r="AQ62" s="696" t="e">
        <f t="shared" si="4"/>
        <v>#VALUE!</v>
      </c>
      <c r="AR62" s="696" t="e">
        <f t="shared" si="4"/>
        <v>#VALUE!</v>
      </c>
      <c r="AS62" s="696" t="e">
        <f t="shared" si="4"/>
        <v>#VALUE!</v>
      </c>
      <c r="AT62" s="696" t="e">
        <f t="shared" si="4"/>
        <v>#VALUE!</v>
      </c>
      <c r="AU62" s="696" t="e">
        <f t="shared" si="4"/>
        <v>#VALUE!</v>
      </c>
      <c r="AV62" s="696" t="e">
        <f t="shared" si="4"/>
        <v>#VALUE!</v>
      </c>
      <c r="AW62" s="696" t="e">
        <f t="shared" si="4"/>
        <v>#VALUE!</v>
      </c>
      <c r="AX62" s="696" t="e">
        <f t="shared" si="4"/>
        <v>#VALUE!</v>
      </c>
      <c r="AY62" s="696" t="e">
        <f t="shared" si="4"/>
        <v>#VALUE!</v>
      </c>
      <c r="AZ62" s="696" t="e">
        <f t="shared" si="4"/>
        <v>#VALUE!</v>
      </c>
      <c r="BA62" s="696" t="e">
        <f t="shared" si="4"/>
        <v>#VALUE!</v>
      </c>
      <c r="BB62" s="696" t="e">
        <f t="shared" si="4"/>
        <v>#VALUE!</v>
      </c>
      <c r="BC62" s="696" t="e">
        <f t="shared" si="4"/>
        <v>#VALUE!</v>
      </c>
      <c r="BD62" s="696" t="e">
        <f t="shared" si="4"/>
        <v>#VALUE!</v>
      </c>
      <c r="BE62" s="696" t="e">
        <f t="shared" si="4"/>
        <v>#VALUE!</v>
      </c>
      <c r="BF62" s="696" t="e">
        <f t="shared" si="4"/>
        <v>#VALUE!</v>
      </c>
      <c r="BG62" s="696" t="e">
        <f t="shared" si="4"/>
        <v>#VALUE!</v>
      </c>
      <c r="BH62" s="696" t="e">
        <f t="shared" si="4"/>
        <v>#VALUE!</v>
      </c>
      <c r="BI62" s="175" t="e">
        <f>NPV($D$49,F62:BH62)</f>
        <v>#VALUE!</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5">F65+1</f>
        <v>2015</v>
      </c>
      <c r="H65" s="171">
        <f t="shared" si="5"/>
        <v>2016</v>
      </c>
      <c r="I65" s="171">
        <f>H65+1</f>
        <v>2017</v>
      </c>
      <c r="J65" s="171">
        <f t="shared" si="5"/>
        <v>2018</v>
      </c>
      <c r="K65" s="171">
        <f>J65+1</f>
        <v>2019</v>
      </c>
      <c r="L65" s="171">
        <f t="shared" si="5"/>
        <v>2020</v>
      </c>
      <c r="M65" s="171">
        <f t="shared" si="5"/>
        <v>2021</v>
      </c>
      <c r="N65" s="171">
        <f t="shared" si="5"/>
        <v>2022</v>
      </c>
      <c r="O65" s="171">
        <f t="shared" si="5"/>
        <v>2023</v>
      </c>
      <c r="P65" s="171">
        <f t="shared" si="5"/>
        <v>2024</v>
      </c>
      <c r="Q65" s="171">
        <f t="shared" si="5"/>
        <v>2025</v>
      </c>
      <c r="R65" s="171">
        <f t="shared" si="5"/>
        <v>2026</v>
      </c>
      <c r="S65" s="306">
        <f t="shared" si="5"/>
        <v>2027</v>
      </c>
      <c r="T65" s="306">
        <f t="shared" si="5"/>
        <v>2028</v>
      </c>
      <c r="U65" s="306">
        <f t="shared" si="5"/>
        <v>2029</v>
      </c>
      <c r="V65" s="306">
        <f t="shared" si="5"/>
        <v>2030</v>
      </c>
      <c r="W65" s="306">
        <f t="shared" si="5"/>
        <v>2031</v>
      </c>
      <c r="X65" s="306">
        <f t="shared" si="5"/>
        <v>2032</v>
      </c>
      <c r="Y65" s="306">
        <f t="shared" si="5"/>
        <v>2033</v>
      </c>
      <c r="Z65" s="306">
        <f t="shared" si="5"/>
        <v>2034</v>
      </c>
      <c r="AA65" s="306">
        <f t="shared" si="5"/>
        <v>2035</v>
      </c>
      <c r="AB65" s="306">
        <f t="shared" si="5"/>
        <v>2036</v>
      </c>
      <c r="AC65" s="306">
        <f t="shared" si="5"/>
        <v>2037</v>
      </c>
      <c r="AD65" s="306">
        <f t="shared" si="5"/>
        <v>2038</v>
      </c>
      <c r="AE65" s="306">
        <f t="shared" si="5"/>
        <v>2039</v>
      </c>
      <c r="AF65" s="306">
        <f t="shared" si="5"/>
        <v>2040</v>
      </c>
      <c r="AG65" s="306">
        <f t="shared" si="5"/>
        <v>2041</v>
      </c>
      <c r="AH65" s="306">
        <f t="shared" si="5"/>
        <v>2042</v>
      </c>
      <c r="AI65" s="306">
        <f t="shared" si="5"/>
        <v>2043</v>
      </c>
      <c r="AJ65" s="306">
        <f t="shared" si="5"/>
        <v>2044</v>
      </c>
      <c r="AK65" s="306">
        <f t="shared" si="5"/>
        <v>2045</v>
      </c>
      <c r="AL65" s="306">
        <f t="shared" si="5"/>
        <v>2046</v>
      </c>
      <c r="AM65" s="306">
        <f t="shared" si="5"/>
        <v>2047</v>
      </c>
      <c r="AN65" s="306">
        <f t="shared" si="5"/>
        <v>2048</v>
      </c>
      <c r="AO65" s="306">
        <f t="shared" si="5"/>
        <v>2049</v>
      </c>
      <c r="AP65" s="306">
        <f t="shared" si="5"/>
        <v>2050</v>
      </c>
      <c r="AQ65" s="306">
        <f t="shared" si="5"/>
        <v>2051</v>
      </c>
      <c r="AR65" s="306">
        <f t="shared" si="5"/>
        <v>2052</v>
      </c>
      <c r="AS65" s="306">
        <f t="shared" si="5"/>
        <v>2053</v>
      </c>
      <c r="AT65" s="306">
        <f t="shared" si="5"/>
        <v>2054</v>
      </c>
      <c r="AU65" s="306">
        <f t="shared" si="5"/>
        <v>2055</v>
      </c>
      <c r="AV65" s="306">
        <f t="shared" si="5"/>
        <v>2056</v>
      </c>
      <c r="AW65" s="306">
        <f t="shared" si="5"/>
        <v>2057</v>
      </c>
      <c r="AX65" s="306">
        <f t="shared" si="5"/>
        <v>2058</v>
      </c>
      <c r="AY65" s="306">
        <f t="shared" si="5"/>
        <v>2059</v>
      </c>
      <c r="AZ65" s="306">
        <f t="shared" si="5"/>
        <v>2060</v>
      </c>
      <c r="BA65" s="306">
        <f t="shared" si="5"/>
        <v>2061</v>
      </c>
      <c r="BB65" s="306">
        <f t="shared" si="5"/>
        <v>2062</v>
      </c>
      <c r="BC65" s="306">
        <f t="shared" si="5"/>
        <v>2063</v>
      </c>
      <c r="BD65" s="306">
        <f t="shared" si="5"/>
        <v>2064</v>
      </c>
      <c r="BE65" s="306">
        <f t="shared" si="5"/>
        <v>2065</v>
      </c>
      <c r="BF65" s="306">
        <f t="shared" si="5"/>
        <v>2066</v>
      </c>
      <c r="BG65" s="306">
        <f t="shared" si="5"/>
        <v>2067</v>
      </c>
      <c r="BH65" s="306">
        <f t="shared" si="5"/>
        <v>2068</v>
      </c>
      <c r="BI65" s="695" t="s">
        <v>4</v>
      </c>
      <c r="BJ65" s="121"/>
      <c r="BK65" s="121"/>
      <c r="BL65" s="121"/>
      <c r="BM65" s="121"/>
      <c r="BN65" s="121"/>
      <c r="BO65" s="121"/>
    </row>
    <row r="66" spans="2:67" ht="12.75">
      <c r="C66" s="2005" t="s">
        <v>284</v>
      </c>
      <c r="D66" s="2006"/>
      <c r="E66" s="200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IF(AND(F54&gt;=$D$31,F54&lt;=($D$31+$D$32)),$P$20,0)</f>
        <v>0</v>
      </c>
      <c r="G67" s="189">
        <f>IF(AND(G54&gt;=$D$31,G54&lt;=($D$31+$D$32)),$P$20,0)</f>
        <v>0</v>
      </c>
      <c r="H67" s="189">
        <f t="shared" ref="H67:BH67" si="6">IF(AND(H54&gt;=$D$31,H54&lt;=($D$31+$D$32)),$P$20,0)</f>
        <v>0</v>
      </c>
      <c r="I67" s="189">
        <f t="shared" si="6"/>
        <v>0</v>
      </c>
      <c r="J67" s="189">
        <f t="shared" si="6"/>
        <v>0</v>
      </c>
      <c r="K67" s="189">
        <f t="shared" si="6"/>
        <v>0</v>
      </c>
      <c r="L67" s="189">
        <f t="shared" si="6"/>
        <v>0</v>
      </c>
      <c r="M67" s="189">
        <f t="shared" si="6"/>
        <v>0</v>
      </c>
      <c r="N67" s="189">
        <f t="shared" si="6"/>
        <v>0</v>
      </c>
      <c r="O67" s="189">
        <f t="shared" si="6"/>
        <v>0</v>
      </c>
      <c r="P67" s="189">
        <f t="shared" si="6"/>
        <v>0</v>
      </c>
      <c r="Q67" s="189">
        <f t="shared" si="6"/>
        <v>0</v>
      </c>
      <c r="R67" s="189">
        <f t="shared" si="6"/>
        <v>0</v>
      </c>
      <c r="S67" s="189">
        <f t="shared" si="6"/>
        <v>0</v>
      </c>
      <c r="T67" s="189">
        <f t="shared" si="6"/>
        <v>0</v>
      </c>
      <c r="U67" s="189">
        <f t="shared" si="6"/>
        <v>0</v>
      </c>
      <c r="V67" s="189">
        <f t="shared" si="6"/>
        <v>0</v>
      </c>
      <c r="W67" s="189">
        <f t="shared" si="6"/>
        <v>0</v>
      </c>
      <c r="X67" s="189">
        <f t="shared" si="6"/>
        <v>0</v>
      </c>
      <c r="Y67" s="189">
        <f t="shared" si="6"/>
        <v>0</v>
      </c>
      <c r="Z67" s="189">
        <f t="shared" si="6"/>
        <v>0</v>
      </c>
      <c r="AA67" s="189">
        <f t="shared" si="6"/>
        <v>0</v>
      </c>
      <c r="AB67" s="189">
        <f t="shared" si="6"/>
        <v>0</v>
      </c>
      <c r="AC67" s="189">
        <f t="shared" si="6"/>
        <v>0</v>
      </c>
      <c r="AD67" s="189">
        <f t="shared" si="6"/>
        <v>0</v>
      </c>
      <c r="AE67" s="189">
        <f t="shared" si="6"/>
        <v>0</v>
      </c>
      <c r="AF67" s="189">
        <f t="shared" si="6"/>
        <v>0</v>
      </c>
      <c r="AG67" s="189">
        <f t="shared" si="6"/>
        <v>0</v>
      </c>
      <c r="AH67" s="189">
        <f t="shared" si="6"/>
        <v>0</v>
      </c>
      <c r="AI67" s="189">
        <f t="shared" si="6"/>
        <v>0</v>
      </c>
      <c r="AJ67" s="189">
        <f t="shared" si="6"/>
        <v>0</v>
      </c>
      <c r="AK67" s="189">
        <f t="shared" si="6"/>
        <v>0</v>
      </c>
      <c r="AL67" s="189">
        <f t="shared" si="6"/>
        <v>0</v>
      </c>
      <c r="AM67" s="189">
        <f t="shared" si="6"/>
        <v>0</v>
      </c>
      <c r="AN67" s="189">
        <f t="shared" si="6"/>
        <v>0</v>
      </c>
      <c r="AO67" s="189">
        <f t="shared" si="6"/>
        <v>0</v>
      </c>
      <c r="AP67" s="189">
        <f t="shared" si="6"/>
        <v>0</v>
      </c>
      <c r="AQ67" s="189">
        <f t="shared" si="6"/>
        <v>0</v>
      </c>
      <c r="AR67" s="189">
        <f t="shared" si="6"/>
        <v>0</v>
      </c>
      <c r="AS67" s="189">
        <f t="shared" si="6"/>
        <v>0</v>
      </c>
      <c r="AT67" s="189">
        <f t="shared" si="6"/>
        <v>0</v>
      </c>
      <c r="AU67" s="189">
        <f t="shared" si="6"/>
        <v>0</v>
      </c>
      <c r="AV67" s="189">
        <f t="shared" si="6"/>
        <v>0</v>
      </c>
      <c r="AW67" s="189">
        <f t="shared" si="6"/>
        <v>0</v>
      </c>
      <c r="AX67" s="189">
        <f t="shared" si="6"/>
        <v>0</v>
      </c>
      <c r="AY67" s="189">
        <f t="shared" si="6"/>
        <v>0</v>
      </c>
      <c r="AZ67" s="189">
        <f t="shared" si="6"/>
        <v>0</v>
      </c>
      <c r="BA67" s="189">
        <f t="shared" si="6"/>
        <v>0</v>
      </c>
      <c r="BB67" s="189">
        <f t="shared" si="6"/>
        <v>0</v>
      </c>
      <c r="BC67" s="189">
        <f t="shared" si="6"/>
        <v>0</v>
      </c>
      <c r="BD67" s="189">
        <f t="shared" si="6"/>
        <v>0</v>
      </c>
      <c r="BE67" s="189">
        <f t="shared" si="6"/>
        <v>0</v>
      </c>
      <c r="BF67" s="189">
        <f t="shared" si="6"/>
        <v>0</v>
      </c>
      <c r="BG67" s="189">
        <f t="shared" si="6"/>
        <v>0</v>
      </c>
      <c r="BH67" s="189">
        <f t="shared" si="6"/>
        <v>0</v>
      </c>
      <c r="BI67" s="188"/>
      <c r="BJ67" s="121"/>
      <c r="BK67" s="121"/>
      <c r="BL67" s="121"/>
      <c r="BM67" s="121"/>
      <c r="BN67" s="121"/>
      <c r="BO67" s="121"/>
    </row>
    <row r="68" spans="2:67" ht="12.75">
      <c r="C68" s="190"/>
      <c r="D68" s="121" t="s">
        <v>565</v>
      </c>
      <c r="E68" s="121" t="s">
        <v>264</v>
      </c>
      <c r="F68" s="191">
        <f>IF(AND(F54&gt;=$D$31,F54&lt;=($D$31+$D$31)),$P$28,0)</f>
        <v>0</v>
      </c>
      <c r="G68" s="191">
        <f>IF(AND(G54&gt;=$D$31,G54&lt;=($D$31+$D$31)),$P$28,0)</f>
        <v>0</v>
      </c>
      <c r="H68" s="191">
        <f t="shared" ref="H68:BH68" si="7">IF(AND(H54&gt;=$D$31,H54&lt;=($D$31+$D$31)),$P$28,0)</f>
        <v>0</v>
      </c>
      <c r="I68" s="191">
        <f t="shared" si="7"/>
        <v>0</v>
      </c>
      <c r="J68" s="191">
        <f t="shared" si="7"/>
        <v>0</v>
      </c>
      <c r="K68" s="191">
        <f t="shared" si="7"/>
        <v>0</v>
      </c>
      <c r="L68" s="191">
        <f t="shared" si="7"/>
        <v>0</v>
      </c>
      <c r="M68" s="191">
        <f t="shared" si="7"/>
        <v>0</v>
      </c>
      <c r="N68" s="191">
        <f t="shared" si="7"/>
        <v>0</v>
      </c>
      <c r="O68" s="191">
        <f t="shared" si="7"/>
        <v>0</v>
      </c>
      <c r="P68" s="191">
        <f t="shared" si="7"/>
        <v>0</v>
      </c>
      <c r="Q68" s="191">
        <f t="shared" si="7"/>
        <v>0</v>
      </c>
      <c r="R68" s="191">
        <f t="shared" si="7"/>
        <v>0</v>
      </c>
      <c r="S68" s="191">
        <f t="shared" si="7"/>
        <v>0</v>
      </c>
      <c r="T68" s="191">
        <f t="shared" si="7"/>
        <v>0</v>
      </c>
      <c r="U68" s="191">
        <f t="shared" si="7"/>
        <v>0</v>
      </c>
      <c r="V68" s="191">
        <f t="shared" si="7"/>
        <v>0</v>
      </c>
      <c r="W68" s="191">
        <f t="shared" si="7"/>
        <v>0</v>
      </c>
      <c r="X68" s="191">
        <f t="shared" si="7"/>
        <v>0</v>
      </c>
      <c r="Y68" s="191">
        <f t="shared" si="7"/>
        <v>0</v>
      </c>
      <c r="Z68" s="191">
        <f t="shared" si="7"/>
        <v>0</v>
      </c>
      <c r="AA68" s="191">
        <f t="shared" si="7"/>
        <v>0</v>
      </c>
      <c r="AB68" s="191">
        <f t="shared" si="7"/>
        <v>0</v>
      </c>
      <c r="AC68" s="191">
        <f t="shared" si="7"/>
        <v>0</v>
      </c>
      <c r="AD68" s="191">
        <f t="shared" si="7"/>
        <v>0</v>
      </c>
      <c r="AE68" s="191">
        <f t="shared" si="7"/>
        <v>0</v>
      </c>
      <c r="AF68" s="191">
        <f t="shared" si="7"/>
        <v>0</v>
      </c>
      <c r="AG68" s="191">
        <f t="shared" si="7"/>
        <v>0</v>
      </c>
      <c r="AH68" s="191">
        <f t="shared" si="7"/>
        <v>0</v>
      </c>
      <c r="AI68" s="191">
        <f t="shared" si="7"/>
        <v>0</v>
      </c>
      <c r="AJ68" s="191">
        <f t="shared" si="7"/>
        <v>0</v>
      </c>
      <c r="AK68" s="191">
        <f t="shared" si="7"/>
        <v>0</v>
      </c>
      <c r="AL68" s="191">
        <f t="shared" si="7"/>
        <v>0</v>
      </c>
      <c r="AM68" s="191">
        <f t="shared" si="7"/>
        <v>0</v>
      </c>
      <c r="AN68" s="191">
        <f t="shared" si="7"/>
        <v>0</v>
      </c>
      <c r="AO68" s="191">
        <f t="shared" si="7"/>
        <v>0</v>
      </c>
      <c r="AP68" s="191">
        <f t="shared" si="7"/>
        <v>0</v>
      </c>
      <c r="AQ68" s="191">
        <f t="shared" si="7"/>
        <v>0</v>
      </c>
      <c r="AR68" s="191">
        <f t="shared" si="7"/>
        <v>0</v>
      </c>
      <c r="AS68" s="191">
        <f t="shared" si="7"/>
        <v>0</v>
      </c>
      <c r="AT68" s="191">
        <f t="shared" si="7"/>
        <v>0</v>
      </c>
      <c r="AU68" s="191">
        <f t="shared" si="7"/>
        <v>0</v>
      </c>
      <c r="AV68" s="191">
        <f t="shared" si="7"/>
        <v>0</v>
      </c>
      <c r="AW68" s="191">
        <f t="shared" si="7"/>
        <v>0</v>
      </c>
      <c r="AX68" s="191">
        <f t="shared" si="7"/>
        <v>0</v>
      </c>
      <c r="AY68" s="191">
        <f t="shared" si="7"/>
        <v>0</v>
      </c>
      <c r="AZ68" s="191">
        <f t="shared" si="7"/>
        <v>0</v>
      </c>
      <c r="BA68" s="191">
        <f t="shared" si="7"/>
        <v>0</v>
      </c>
      <c r="BB68" s="191">
        <f t="shared" si="7"/>
        <v>0</v>
      </c>
      <c r="BC68" s="191">
        <f t="shared" si="7"/>
        <v>0</v>
      </c>
      <c r="BD68" s="191">
        <f t="shared" si="7"/>
        <v>0</v>
      </c>
      <c r="BE68" s="191">
        <f t="shared" si="7"/>
        <v>0</v>
      </c>
      <c r="BF68" s="191">
        <f t="shared" si="7"/>
        <v>0</v>
      </c>
      <c r="BG68" s="191">
        <f t="shared" si="7"/>
        <v>0</v>
      </c>
      <c r="BH68" s="191">
        <f t="shared" si="7"/>
        <v>0</v>
      </c>
      <c r="BI68" s="175">
        <f>NPV($D$49,F68:BH68)</f>
        <v>0</v>
      </c>
      <c r="BJ68" s="121"/>
      <c r="BK68" s="121"/>
      <c r="BL68" s="121"/>
      <c r="BM68" s="121"/>
      <c r="BN68" s="121"/>
      <c r="BO68" s="121"/>
    </row>
    <row r="69" spans="2:67" s="192" customFormat="1" ht="12.75">
      <c r="B69" s="193"/>
      <c r="C69" s="177"/>
      <c r="D69" s="180" t="s">
        <v>371</v>
      </c>
      <c r="E69" s="180" t="s">
        <v>264</v>
      </c>
      <c r="F69" s="194">
        <f>F68</f>
        <v>0</v>
      </c>
      <c r="G69" s="194">
        <f>G68</f>
        <v>0</v>
      </c>
      <c r="H69" s="194">
        <f t="shared" ref="H69:BH69" si="8">H68</f>
        <v>0</v>
      </c>
      <c r="I69" s="194">
        <f t="shared" si="8"/>
        <v>0</v>
      </c>
      <c r="J69" s="194">
        <f t="shared" si="8"/>
        <v>0</v>
      </c>
      <c r="K69" s="194">
        <f t="shared" si="8"/>
        <v>0</v>
      </c>
      <c r="L69" s="194">
        <f t="shared" si="8"/>
        <v>0</v>
      </c>
      <c r="M69" s="194">
        <f t="shared" si="8"/>
        <v>0</v>
      </c>
      <c r="N69" s="194">
        <f t="shared" si="8"/>
        <v>0</v>
      </c>
      <c r="O69" s="194">
        <f t="shared" si="8"/>
        <v>0</v>
      </c>
      <c r="P69" s="194">
        <f t="shared" si="8"/>
        <v>0</v>
      </c>
      <c r="Q69" s="194">
        <f t="shared" si="8"/>
        <v>0</v>
      </c>
      <c r="R69" s="194">
        <f t="shared" si="8"/>
        <v>0</v>
      </c>
      <c r="S69" s="194">
        <f t="shared" si="8"/>
        <v>0</v>
      </c>
      <c r="T69" s="194">
        <f t="shared" si="8"/>
        <v>0</v>
      </c>
      <c r="U69" s="194">
        <f t="shared" si="8"/>
        <v>0</v>
      </c>
      <c r="V69" s="194">
        <f t="shared" si="8"/>
        <v>0</v>
      </c>
      <c r="W69" s="194">
        <f t="shared" si="8"/>
        <v>0</v>
      </c>
      <c r="X69" s="194">
        <f t="shared" si="8"/>
        <v>0</v>
      </c>
      <c r="Y69" s="194">
        <f t="shared" si="8"/>
        <v>0</v>
      </c>
      <c r="Z69" s="194">
        <f t="shared" si="8"/>
        <v>0</v>
      </c>
      <c r="AA69" s="194">
        <f t="shared" si="8"/>
        <v>0</v>
      </c>
      <c r="AB69" s="194">
        <f t="shared" si="8"/>
        <v>0</v>
      </c>
      <c r="AC69" s="194">
        <f t="shared" si="8"/>
        <v>0</v>
      </c>
      <c r="AD69" s="194">
        <f t="shared" si="8"/>
        <v>0</v>
      </c>
      <c r="AE69" s="194">
        <f t="shared" si="8"/>
        <v>0</v>
      </c>
      <c r="AF69" s="194">
        <f t="shared" si="8"/>
        <v>0</v>
      </c>
      <c r="AG69" s="194">
        <f t="shared" si="8"/>
        <v>0</v>
      </c>
      <c r="AH69" s="194">
        <f t="shared" si="8"/>
        <v>0</v>
      </c>
      <c r="AI69" s="194">
        <f t="shared" si="8"/>
        <v>0</v>
      </c>
      <c r="AJ69" s="194">
        <f t="shared" si="8"/>
        <v>0</v>
      </c>
      <c r="AK69" s="194">
        <f t="shared" si="8"/>
        <v>0</v>
      </c>
      <c r="AL69" s="194">
        <f t="shared" si="8"/>
        <v>0</v>
      </c>
      <c r="AM69" s="194">
        <f t="shared" si="8"/>
        <v>0</v>
      </c>
      <c r="AN69" s="194">
        <f t="shared" si="8"/>
        <v>0</v>
      </c>
      <c r="AO69" s="194">
        <f t="shared" si="8"/>
        <v>0</v>
      </c>
      <c r="AP69" s="194">
        <f t="shared" si="8"/>
        <v>0</v>
      </c>
      <c r="AQ69" s="194">
        <f t="shared" si="8"/>
        <v>0</v>
      </c>
      <c r="AR69" s="194">
        <f t="shared" si="8"/>
        <v>0</v>
      </c>
      <c r="AS69" s="194">
        <f t="shared" si="8"/>
        <v>0</v>
      </c>
      <c r="AT69" s="194">
        <f t="shared" si="8"/>
        <v>0</v>
      </c>
      <c r="AU69" s="194">
        <f t="shared" si="8"/>
        <v>0</v>
      </c>
      <c r="AV69" s="194">
        <f t="shared" si="8"/>
        <v>0</v>
      </c>
      <c r="AW69" s="194">
        <f t="shared" si="8"/>
        <v>0</v>
      </c>
      <c r="AX69" s="194">
        <f t="shared" si="8"/>
        <v>0</v>
      </c>
      <c r="AY69" s="194">
        <f t="shared" si="8"/>
        <v>0</v>
      </c>
      <c r="AZ69" s="194">
        <f t="shared" si="8"/>
        <v>0</v>
      </c>
      <c r="BA69" s="194">
        <f t="shared" si="8"/>
        <v>0</v>
      </c>
      <c r="BB69" s="194">
        <f t="shared" si="8"/>
        <v>0</v>
      </c>
      <c r="BC69" s="194">
        <f t="shared" si="8"/>
        <v>0</v>
      </c>
      <c r="BD69" s="194">
        <f t="shared" si="8"/>
        <v>0</v>
      </c>
      <c r="BE69" s="194">
        <f t="shared" si="8"/>
        <v>0</v>
      </c>
      <c r="BF69" s="194">
        <f t="shared" si="8"/>
        <v>0</v>
      </c>
      <c r="BG69" s="194">
        <f t="shared" si="8"/>
        <v>0</v>
      </c>
      <c r="BH69" s="194">
        <f t="shared" si="8"/>
        <v>0</v>
      </c>
      <c r="BI69" s="175">
        <f>NPV($D$49,F69:BH69)</f>
        <v>0</v>
      </c>
      <c r="BJ69" s="180"/>
      <c r="BK69" s="180"/>
      <c r="BL69" s="180"/>
      <c r="BM69" s="180"/>
      <c r="BN69" s="180"/>
      <c r="BO69" s="180"/>
    </row>
    <row r="70" spans="2:67" s="121" customFormat="1" ht="18.75">
      <c r="B70" s="1842"/>
      <c r="C70" s="177"/>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75"/>
    </row>
    <row r="71" spans="2:67" ht="12.75">
      <c r="C71" s="2005" t="s">
        <v>285</v>
      </c>
      <c r="D71" s="2006"/>
      <c r="E71" s="2006"/>
      <c r="F71" s="136"/>
      <c r="G71" s="136"/>
      <c r="H71" s="136"/>
      <c r="I71" s="136"/>
      <c r="J71" s="136"/>
      <c r="K71" s="136"/>
      <c r="L71" s="136"/>
      <c r="M71" s="136"/>
      <c r="N71" s="136"/>
      <c r="O71" s="136"/>
      <c r="P71" s="136"/>
      <c r="Q71" s="136"/>
      <c r="R71" s="136"/>
      <c r="BI71" s="188"/>
      <c r="BJ71" s="121"/>
      <c r="BK71" s="121"/>
      <c r="BL71" s="121"/>
      <c r="BM71" s="121"/>
      <c r="BN71" s="121"/>
      <c r="BO71" s="121"/>
    </row>
    <row r="72" spans="2:67" ht="12.75">
      <c r="C72" s="172"/>
      <c r="D72" s="173" t="s">
        <v>623</v>
      </c>
      <c r="E72" s="121" t="s">
        <v>266</v>
      </c>
      <c r="F72" s="189">
        <f t="shared" ref="F72:AK72" si="9">IF(AND(F54&gt;=$D$31,F54&lt;=($D$31+$D$31)),F67,0)</f>
        <v>0</v>
      </c>
      <c r="G72" s="189">
        <f t="shared" si="9"/>
        <v>0</v>
      </c>
      <c r="H72" s="189">
        <f t="shared" si="9"/>
        <v>0</v>
      </c>
      <c r="I72" s="189">
        <f t="shared" si="9"/>
        <v>0</v>
      </c>
      <c r="J72" s="189">
        <f t="shared" si="9"/>
        <v>0</v>
      </c>
      <c r="K72" s="189">
        <f t="shared" si="9"/>
        <v>0</v>
      </c>
      <c r="L72" s="189">
        <f t="shared" si="9"/>
        <v>0</v>
      </c>
      <c r="M72" s="189">
        <f t="shared" si="9"/>
        <v>0</v>
      </c>
      <c r="N72" s="189">
        <f t="shared" si="9"/>
        <v>0</v>
      </c>
      <c r="O72" s="189">
        <f t="shared" si="9"/>
        <v>0</v>
      </c>
      <c r="P72" s="189">
        <f t="shared" si="9"/>
        <v>0</v>
      </c>
      <c r="Q72" s="189">
        <f t="shared" si="9"/>
        <v>0</v>
      </c>
      <c r="R72" s="189">
        <f t="shared" si="9"/>
        <v>0</v>
      </c>
      <c r="S72" s="189">
        <f t="shared" si="9"/>
        <v>0</v>
      </c>
      <c r="T72" s="189">
        <f t="shared" si="9"/>
        <v>0</v>
      </c>
      <c r="U72" s="189">
        <f t="shared" si="9"/>
        <v>0</v>
      </c>
      <c r="V72" s="189">
        <f t="shared" si="9"/>
        <v>0</v>
      </c>
      <c r="W72" s="189">
        <f t="shared" si="9"/>
        <v>0</v>
      </c>
      <c r="X72" s="189">
        <f t="shared" si="9"/>
        <v>0</v>
      </c>
      <c r="Y72" s="189">
        <f t="shared" si="9"/>
        <v>0</v>
      </c>
      <c r="Z72" s="189">
        <f t="shared" si="9"/>
        <v>0</v>
      </c>
      <c r="AA72" s="189">
        <f t="shared" si="9"/>
        <v>0</v>
      </c>
      <c r="AB72" s="189">
        <f t="shared" si="9"/>
        <v>0</v>
      </c>
      <c r="AC72" s="189">
        <f t="shared" si="9"/>
        <v>0</v>
      </c>
      <c r="AD72" s="189">
        <f t="shared" si="9"/>
        <v>0</v>
      </c>
      <c r="AE72" s="189">
        <f t="shared" si="9"/>
        <v>0</v>
      </c>
      <c r="AF72" s="189">
        <f t="shared" si="9"/>
        <v>0</v>
      </c>
      <c r="AG72" s="189">
        <f t="shared" si="9"/>
        <v>0</v>
      </c>
      <c r="AH72" s="189">
        <f t="shared" si="9"/>
        <v>0</v>
      </c>
      <c r="AI72" s="189">
        <f t="shared" si="9"/>
        <v>0</v>
      </c>
      <c r="AJ72" s="189">
        <f t="shared" si="9"/>
        <v>0</v>
      </c>
      <c r="AK72" s="189">
        <f t="shared" si="9"/>
        <v>0</v>
      </c>
      <c r="AL72" s="189">
        <f t="shared" ref="AL72:BH72" si="10">IF(AND(AL54&gt;=$D$31,AL54&lt;=($D$31+$D$31)),AL67,0)</f>
        <v>0</v>
      </c>
      <c r="AM72" s="189">
        <f t="shared" si="10"/>
        <v>0</v>
      </c>
      <c r="AN72" s="189">
        <f t="shared" si="10"/>
        <v>0</v>
      </c>
      <c r="AO72" s="189">
        <f t="shared" si="10"/>
        <v>0</v>
      </c>
      <c r="AP72" s="189">
        <f t="shared" si="10"/>
        <v>0</v>
      </c>
      <c r="AQ72" s="189">
        <f t="shared" si="10"/>
        <v>0</v>
      </c>
      <c r="AR72" s="189">
        <f t="shared" si="10"/>
        <v>0</v>
      </c>
      <c r="AS72" s="189">
        <f t="shared" si="10"/>
        <v>0</v>
      </c>
      <c r="AT72" s="189">
        <f t="shared" si="10"/>
        <v>0</v>
      </c>
      <c r="AU72" s="189">
        <f t="shared" si="10"/>
        <v>0</v>
      </c>
      <c r="AV72" s="189">
        <f t="shared" si="10"/>
        <v>0</v>
      </c>
      <c r="AW72" s="189">
        <f t="shared" si="10"/>
        <v>0</v>
      </c>
      <c r="AX72" s="189">
        <f t="shared" si="10"/>
        <v>0</v>
      </c>
      <c r="AY72" s="189">
        <f t="shared" si="10"/>
        <v>0</v>
      </c>
      <c r="AZ72" s="189">
        <f t="shared" si="10"/>
        <v>0</v>
      </c>
      <c r="BA72" s="189">
        <f t="shared" si="10"/>
        <v>0</v>
      </c>
      <c r="BB72" s="189">
        <f t="shared" si="10"/>
        <v>0</v>
      </c>
      <c r="BC72" s="189">
        <f t="shared" si="10"/>
        <v>0</v>
      </c>
      <c r="BD72" s="189">
        <f t="shared" si="10"/>
        <v>0</v>
      </c>
      <c r="BE72" s="189">
        <f t="shared" si="10"/>
        <v>0</v>
      </c>
      <c r="BF72" s="189">
        <f t="shared" si="10"/>
        <v>0</v>
      </c>
      <c r="BG72" s="189">
        <f t="shared" si="10"/>
        <v>0</v>
      </c>
      <c r="BH72" s="189">
        <f t="shared" si="10"/>
        <v>0</v>
      </c>
      <c r="BI72" s="188"/>
      <c r="BJ72" s="121"/>
      <c r="BK72" s="121"/>
      <c r="BL72" s="121"/>
      <c r="BM72" s="121"/>
      <c r="BN72" s="121"/>
      <c r="BO72" s="121"/>
    </row>
    <row r="73" spans="2:67" s="121" customFormat="1" ht="12.75">
      <c r="B73" s="138"/>
      <c r="C73" s="177"/>
      <c r="D73" s="121" t="str">
        <f>IF(C7="rural","Fuel Cost","Avoided Geneartion Cost")</f>
        <v>Fuel Cost</v>
      </c>
      <c r="E73" s="121" t="str">
        <f>IF(C7="Rural","$ per gallon","$ per kWh")</f>
        <v>$ per gallon</v>
      </c>
      <c r="F73" s="187"/>
      <c r="G73" s="187">
        <f>VLOOKUP($C$6,'Diesel Fuel Prices'!$D$7:$BN$183,-6+G53,0)</f>
        <v>2.6551872277966839</v>
      </c>
      <c r="H73" s="187">
        <f>VLOOKUP($C$6,'Diesel Fuel Prices'!$D$7:$BN$183,-6+H53,0)</f>
        <v>3.1224832058686216</v>
      </c>
      <c r="I73" s="187">
        <f>VLOOKUP($C$6,'Diesel Fuel Prices'!$D$7:$BN$183,-6+I53,0)</f>
        <v>3.2868240966699549</v>
      </c>
      <c r="J73" s="187">
        <f>VLOOKUP($C$6,'Diesel Fuel Prices'!$D$7:$BN$183,-6+J53,0)</f>
        <v>3.2988439943120245</v>
      </c>
      <c r="K73" s="187">
        <f>VLOOKUP($C$6,'Diesel Fuel Prices'!$D$7:$BN$183,-6+K53,0)</f>
        <v>3.3548353301647462</v>
      </c>
      <c r="L73" s="187">
        <f>VLOOKUP($C$6,'Diesel Fuel Prices'!$D$7:$BN$183,-6+L53,0)</f>
        <v>3.4111187308488184</v>
      </c>
      <c r="M73" s="187">
        <f>VLOOKUP($C$6,'Diesel Fuel Prices'!$D$7:$BN$183,-6+M53,0)</f>
        <v>3.4873851625443617</v>
      </c>
      <c r="N73" s="187">
        <f>VLOOKUP($C$6,'Diesel Fuel Prices'!$D$7:$BN$183,-6+N53,0)</f>
        <v>3.5691384112625424</v>
      </c>
      <c r="O73" s="187">
        <f>VLOOKUP($C$6,'Diesel Fuel Prices'!$D$7:$BN$183,-6+O53,0)</f>
        <v>3.6538119974574412</v>
      </c>
      <c r="P73" s="187">
        <f>VLOOKUP($C$6,'Diesel Fuel Prices'!$D$7:$BN$183,-6+P53,0)</f>
        <v>3.7402810266587672</v>
      </c>
      <c r="Q73" s="187">
        <f>VLOOKUP($C$6,'Diesel Fuel Prices'!$D$7:$BN$183,-6+Q53,0)</f>
        <v>3.8271557774647453</v>
      </c>
      <c r="R73" s="187">
        <f>VLOOKUP($C$6,'Diesel Fuel Prices'!$D$7:$BN$183,-6+R53,0)</f>
        <v>3.9197045120745102</v>
      </c>
      <c r="S73" s="187">
        <f>VLOOKUP($C$6,'Diesel Fuel Prices'!$D$7:$BN$183,-6+S53,0)</f>
        <v>4.0145168849374322</v>
      </c>
      <c r="T73" s="187">
        <f>VLOOKUP($C$6,'Diesel Fuel Prices'!$D$7:$BN$183,-6+T53,0)</f>
        <v>4.1116492906592335</v>
      </c>
      <c r="U73" s="187">
        <f>VLOOKUP($C$6,'Diesel Fuel Prices'!$D$7:$BN$183,-6+U53,0)</f>
        <v>4.2111592178865571</v>
      </c>
      <c r="V73" s="187">
        <f>VLOOKUP($C$6,'Diesel Fuel Prices'!$D$7:$BN$183,-6+V53,0)</f>
        <v>4.3131053947023483</v>
      </c>
      <c r="W73" s="187">
        <f>VLOOKUP($C$6,'Diesel Fuel Prices'!$D$7:$BN$183,-6+W53,0)</f>
        <v>4.4175486538963149</v>
      </c>
      <c r="X73" s="187">
        <f>VLOOKUP($C$6,'Diesel Fuel Prices'!$D$7:$BN$183,-6+X53,0)</f>
        <v>4.5245507325726093</v>
      </c>
      <c r="Y73" s="187">
        <f>VLOOKUP($C$6,'Diesel Fuel Prices'!$D$7:$BN$183,-6+Y53,0)</f>
        <v>4.6340259638166303</v>
      </c>
      <c r="Z73" s="187">
        <f>VLOOKUP($C$6,'Diesel Fuel Prices'!$D$7:$BN$183,-6+Z53,0)</f>
        <v>4.7416270426335583</v>
      </c>
      <c r="AA73" s="187">
        <f>VLOOKUP($C$6,'Diesel Fuel Prices'!$D$7:$BN$183,-6+AA53,0)</f>
        <v>4.8548324203107942</v>
      </c>
      <c r="AB73" s="187">
        <f>VLOOKUP($C$6,'Diesel Fuel Prices'!$D$7:$BN$183,-6+AB53,0)</f>
        <v>4.9711608830034164</v>
      </c>
      <c r="AC73" s="187">
        <f>VLOOKUP($C$6,'Diesel Fuel Prices'!$D$7:$BN$183,-6+AC53,0)</f>
        <v>5.0852484007868171</v>
      </c>
      <c r="AD73" s="187">
        <f>VLOOKUP($C$6,'Diesel Fuel Prices'!$D$7:$BN$183,-6+AD53,0)</f>
        <v>5.2079104480425524</v>
      </c>
      <c r="AE73" s="187">
        <f>VLOOKUP($C$6,'Diesel Fuel Prices'!$D$7:$BN$183,-6+AE53,0)</f>
        <v>5.3402464274736552</v>
      </c>
      <c r="AF73" s="187">
        <f>VLOOKUP($C$6,'Diesel Fuel Prices'!$D$7:$BN$183,-6+AF53,0)</f>
        <v>5.4636003299453852</v>
      </c>
      <c r="AG73" s="187">
        <f>VLOOKUP($C$6,'Diesel Fuel Prices'!$D$7:$BN$183,-6+AG53,0)</f>
        <v>5.4636003299453852</v>
      </c>
      <c r="AH73" s="187">
        <f>VLOOKUP($C$6,'Diesel Fuel Prices'!$D$7:$BN$183,-6+AH53,0)</f>
        <v>5.4636003299453852</v>
      </c>
      <c r="AI73" s="187">
        <f>VLOOKUP($C$6,'Diesel Fuel Prices'!$D$7:$BN$183,-6+AI53,0)</f>
        <v>5.4636003299453852</v>
      </c>
      <c r="AJ73" s="187">
        <f>VLOOKUP($C$6,'Diesel Fuel Prices'!$D$7:$BN$183,-6+AJ53,0)</f>
        <v>5.4636003299453852</v>
      </c>
      <c r="AK73" s="187">
        <f>VLOOKUP($C$6,'Diesel Fuel Prices'!$D$7:$BN$183,-6+AK53,0)</f>
        <v>5.4636003299453852</v>
      </c>
      <c r="AL73" s="187">
        <f>VLOOKUP($C$6,'Diesel Fuel Prices'!$D$7:$BN$183,-6+AL53,0)</f>
        <v>5.4636003299453852</v>
      </c>
      <c r="AM73" s="187">
        <f>VLOOKUP($C$6,'Diesel Fuel Prices'!$D$7:$BN$183,-6+AM53,0)</f>
        <v>5.4636003299453852</v>
      </c>
      <c r="AN73" s="187">
        <f>VLOOKUP($C$6,'Diesel Fuel Prices'!$D$7:$BN$183,-6+AN53,0)</f>
        <v>5.4636003299453852</v>
      </c>
      <c r="AO73" s="187">
        <f>VLOOKUP($C$6,'Diesel Fuel Prices'!$D$7:$BN$183,-6+AO53,0)</f>
        <v>5.4636003299453852</v>
      </c>
      <c r="AP73" s="187">
        <f>VLOOKUP($C$6,'Diesel Fuel Prices'!$D$7:$BN$183,-6+AP53,0)</f>
        <v>5.4636003299453852</v>
      </c>
      <c r="AQ73" s="187">
        <f>VLOOKUP($C$6,'Diesel Fuel Prices'!$D$7:$BN$183,-6+AQ53,0)</f>
        <v>5.4636003299453852</v>
      </c>
      <c r="AR73" s="187">
        <f>VLOOKUP($C$6,'Diesel Fuel Prices'!$D$7:$BN$183,-6+AR53,0)</f>
        <v>5.4636003299453852</v>
      </c>
      <c r="AS73" s="187">
        <f>VLOOKUP($C$6,'Diesel Fuel Prices'!$D$7:$BN$183,-6+AS53,0)</f>
        <v>5.4636003299453852</v>
      </c>
      <c r="AT73" s="187">
        <f>VLOOKUP($C$6,'Diesel Fuel Prices'!$D$7:$BN$183,-6+AT53,0)</f>
        <v>5.4636003299453852</v>
      </c>
      <c r="AU73" s="187">
        <f>VLOOKUP($C$6,'Diesel Fuel Prices'!$D$7:$BN$183,-6+AU53,0)</f>
        <v>5.4636003299453852</v>
      </c>
      <c r="AV73" s="187">
        <f>VLOOKUP($C$6,'Diesel Fuel Prices'!$D$7:$BN$183,-6+AV53,0)</f>
        <v>5.4636003299453852</v>
      </c>
      <c r="AW73" s="187">
        <f>VLOOKUP($C$6,'Diesel Fuel Prices'!$D$7:$BN$183,-6+AW53,0)</f>
        <v>5.4636003299453852</v>
      </c>
      <c r="AX73" s="187">
        <f>VLOOKUP($C$6,'Diesel Fuel Prices'!$D$7:$BN$183,-6+AX53,0)</f>
        <v>5.4636003299453852</v>
      </c>
      <c r="AY73" s="187">
        <f>VLOOKUP($C$6,'Diesel Fuel Prices'!$D$7:$BN$183,-6+AY53,0)</f>
        <v>5.4636003299453852</v>
      </c>
      <c r="AZ73" s="187">
        <f>VLOOKUP($C$6,'Diesel Fuel Prices'!$D$7:$BN$183,-6+AZ53,0)</f>
        <v>5.4636003299453852</v>
      </c>
      <c r="BA73" s="187">
        <f>VLOOKUP($C$6,'Diesel Fuel Prices'!$D$7:$BN$183,-6+BA53,0)</f>
        <v>5.4636003299453852</v>
      </c>
      <c r="BB73" s="187">
        <f>VLOOKUP($C$6,'Diesel Fuel Prices'!$D$7:$BN$183,-6+BB53,0)</f>
        <v>5.4636003299453852</v>
      </c>
      <c r="BC73" s="187">
        <f>VLOOKUP($C$6,'Diesel Fuel Prices'!$D$7:$BN$183,-6+BC53,0)</f>
        <v>5.4636003299453852</v>
      </c>
      <c r="BD73" s="187">
        <f>VLOOKUP($C$6,'Diesel Fuel Prices'!$D$7:$BN$183,-6+BD53,0)</f>
        <v>5.4636003299453852</v>
      </c>
      <c r="BE73" s="187">
        <f>VLOOKUP($C$6,'Diesel Fuel Prices'!$D$7:$BN$183,-6+BE53,0)</f>
        <v>5.4636003299453852</v>
      </c>
      <c r="BF73" s="187">
        <f>VLOOKUP($C$6,'Diesel Fuel Prices'!$D$7:$BN$183,-6+BF53,0)</f>
        <v>5.4636003299453852</v>
      </c>
      <c r="BG73" s="187">
        <f>VLOOKUP($C$6,'Diesel Fuel Prices'!$D$7:$BN$183,-6+BG53,0)</f>
        <v>5.4636003299453852</v>
      </c>
      <c r="BH73" s="187">
        <f>VLOOKUP($C$6,'Diesel Fuel Prices'!$D$7:$BN$183,-6+BH53,0)</f>
        <v>5.4636003299453852</v>
      </c>
      <c r="BI73" s="175"/>
    </row>
    <row r="74" spans="2:67" ht="12.75">
      <c r="C74" s="172" t="s">
        <v>277</v>
      </c>
      <c r="D74" s="121" t="s">
        <v>381</v>
      </c>
      <c r="E74" s="121" t="s">
        <v>264</v>
      </c>
      <c r="F74" s="282">
        <f t="shared" ref="F74:AK74" si="11">IF(AND(F54&gt;=$D$31,F54&lt;=($D$31+$D$32)),$D$43*F72,0)</f>
        <v>0</v>
      </c>
      <c r="G74" s="282">
        <f t="shared" si="11"/>
        <v>0</v>
      </c>
      <c r="H74" s="282">
        <f t="shared" si="11"/>
        <v>0</v>
      </c>
      <c r="I74" s="282">
        <f t="shared" si="11"/>
        <v>0</v>
      </c>
      <c r="J74" s="282">
        <f t="shared" si="11"/>
        <v>0</v>
      </c>
      <c r="K74" s="282">
        <f t="shared" si="11"/>
        <v>0</v>
      </c>
      <c r="L74" s="282">
        <f t="shared" si="11"/>
        <v>0</v>
      </c>
      <c r="M74" s="282">
        <f t="shared" si="11"/>
        <v>0</v>
      </c>
      <c r="N74" s="282">
        <f t="shared" si="11"/>
        <v>0</v>
      </c>
      <c r="O74" s="282">
        <f t="shared" si="11"/>
        <v>0</v>
      </c>
      <c r="P74" s="282">
        <f t="shared" si="11"/>
        <v>0</v>
      </c>
      <c r="Q74" s="282">
        <f t="shared" si="11"/>
        <v>0</v>
      </c>
      <c r="R74" s="282">
        <f t="shared" si="11"/>
        <v>0</v>
      </c>
      <c r="S74" s="282">
        <f t="shared" si="11"/>
        <v>0</v>
      </c>
      <c r="T74" s="282">
        <f t="shared" si="11"/>
        <v>0</v>
      </c>
      <c r="U74" s="282">
        <f t="shared" si="11"/>
        <v>0</v>
      </c>
      <c r="V74" s="282">
        <f t="shared" si="11"/>
        <v>0</v>
      </c>
      <c r="W74" s="282">
        <f t="shared" si="11"/>
        <v>0</v>
      </c>
      <c r="X74" s="282">
        <f t="shared" si="11"/>
        <v>0</v>
      </c>
      <c r="Y74" s="282">
        <f t="shared" si="11"/>
        <v>0</v>
      </c>
      <c r="Z74" s="282">
        <f t="shared" si="11"/>
        <v>0</v>
      </c>
      <c r="AA74" s="282">
        <f t="shared" si="11"/>
        <v>0</v>
      </c>
      <c r="AB74" s="282">
        <f t="shared" si="11"/>
        <v>0</v>
      </c>
      <c r="AC74" s="282">
        <f t="shared" si="11"/>
        <v>0</v>
      </c>
      <c r="AD74" s="282">
        <f t="shared" si="11"/>
        <v>0</v>
      </c>
      <c r="AE74" s="282">
        <f t="shared" si="11"/>
        <v>0</v>
      </c>
      <c r="AF74" s="282">
        <f t="shared" si="11"/>
        <v>0</v>
      </c>
      <c r="AG74" s="282">
        <f t="shared" si="11"/>
        <v>0</v>
      </c>
      <c r="AH74" s="282">
        <f t="shared" si="11"/>
        <v>0</v>
      </c>
      <c r="AI74" s="282">
        <f t="shared" si="11"/>
        <v>0</v>
      </c>
      <c r="AJ74" s="282">
        <f t="shared" si="11"/>
        <v>0</v>
      </c>
      <c r="AK74" s="282">
        <f t="shared" si="11"/>
        <v>0</v>
      </c>
      <c r="AL74" s="282">
        <f t="shared" ref="AL74:BH74" si="12">IF(AND(AL54&gt;=$D$31,AL54&lt;=($D$31+$D$32)),$D$43*AL72,0)</f>
        <v>0</v>
      </c>
      <c r="AM74" s="282">
        <f t="shared" si="12"/>
        <v>0</v>
      </c>
      <c r="AN74" s="282">
        <f t="shared" si="12"/>
        <v>0</v>
      </c>
      <c r="AO74" s="282">
        <f t="shared" si="12"/>
        <v>0</v>
      </c>
      <c r="AP74" s="282">
        <f t="shared" si="12"/>
        <v>0</v>
      </c>
      <c r="AQ74" s="282">
        <f t="shared" si="12"/>
        <v>0</v>
      </c>
      <c r="AR74" s="282">
        <f t="shared" si="12"/>
        <v>0</v>
      </c>
      <c r="AS74" s="282">
        <f t="shared" si="12"/>
        <v>0</v>
      </c>
      <c r="AT74" s="282">
        <f t="shared" si="12"/>
        <v>0</v>
      </c>
      <c r="AU74" s="282">
        <f t="shared" si="12"/>
        <v>0</v>
      </c>
      <c r="AV74" s="282">
        <f t="shared" si="12"/>
        <v>0</v>
      </c>
      <c r="AW74" s="282">
        <f t="shared" si="12"/>
        <v>0</v>
      </c>
      <c r="AX74" s="282">
        <f t="shared" si="12"/>
        <v>0</v>
      </c>
      <c r="AY74" s="282">
        <f t="shared" si="12"/>
        <v>0</v>
      </c>
      <c r="AZ74" s="282">
        <f t="shared" si="12"/>
        <v>0</v>
      </c>
      <c r="BA74" s="282">
        <f t="shared" si="12"/>
        <v>0</v>
      </c>
      <c r="BB74" s="282">
        <f t="shared" si="12"/>
        <v>0</v>
      </c>
      <c r="BC74" s="282">
        <f t="shared" si="12"/>
        <v>0</v>
      </c>
      <c r="BD74" s="282">
        <f t="shared" si="12"/>
        <v>0</v>
      </c>
      <c r="BE74" s="282">
        <f t="shared" si="12"/>
        <v>0</v>
      </c>
      <c r="BF74" s="282">
        <f t="shared" si="12"/>
        <v>0</v>
      </c>
      <c r="BG74" s="282">
        <f t="shared" si="12"/>
        <v>0</v>
      </c>
      <c r="BH74" s="282">
        <f t="shared" si="12"/>
        <v>0</v>
      </c>
      <c r="BI74" s="175">
        <f>NPV($D$49,F74:BH74)</f>
        <v>0</v>
      </c>
      <c r="BJ74" s="121"/>
      <c r="BK74" s="121"/>
      <c r="BL74" s="121"/>
      <c r="BM74" s="121"/>
      <c r="BN74" s="121"/>
      <c r="BO74" s="121"/>
    </row>
    <row r="75" spans="2:67" ht="12.75">
      <c r="C75" s="172"/>
      <c r="D75" s="121" t="s">
        <v>267</v>
      </c>
      <c r="E75" s="121" t="str">
        <f>IF(C7="Railbelt South of Alaska Range","mmBtu per year","gallons per year")</f>
        <v>gallons per year</v>
      </c>
      <c r="F75" s="196">
        <f t="shared" ref="F75:AK75" si="13">IF(AND(F54&gt;=$D$31,F54&lt;=($D$31+$D$32)),F72/Generation_Efficiency,0)</f>
        <v>0</v>
      </c>
      <c r="G75" s="196">
        <f t="shared" si="13"/>
        <v>0</v>
      </c>
      <c r="H75" s="196">
        <f t="shared" si="13"/>
        <v>0</v>
      </c>
      <c r="I75" s="196">
        <f t="shared" si="13"/>
        <v>0</v>
      </c>
      <c r="J75" s="196">
        <f t="shared" si="13"/>
        <v>0</v>
      </c>
      <c r="K75" s="196">
        <f t="shared" si="13"/>
        <v>0</v>
      </c>
      <c r="L75" s="196">
        <f t="shared" si="13"/>
        <v>0</v>
      </c>
      <c r="M75" s="196">
        <f t="shared" si="13"/>
        <v>0</v>
      </c>
      <c r="N75" s="196">
        <f t="shared" si="13"/>
        <v>0</v>
      </c>
      <c r="O75" s="196">
        <f t="shared" si="13"/>
        <v>0</v>
      </c>
      <c r="P75" s="196">
        <f t="shared" si="13"/>
        <v>0</v>
      </c>
      <c r="Q75" s="196">
        <f t="shared" si="13"/>
        <v>0</v>
      </c>
      <c r="R75" s="196">
        <f t="shared" si="13"/>
        <v>0</v>
      </c>
      <c r="S75" s="196">
        <f t="shared" si="13"/>
        <v>0</v>
      </c>
      <c r="T75" s="196">
        <f t="shared" si="13"/>
        <v>0</v>
      </c>
      <c r="U75" s="196">
        <f t="shared" si="13"/>
        <v>0</v>
      </c>
      <c r="V75" s="196">
        <f t="shared" si="13"/>
        <v>0</v>
      </c>
      <c r="W75" s="196">
        <f t="shared" si="13"/>
        <v>0</v>
      </c>
      <c r="X75" s="196">
        <f t="shared" si="13"/>
        <v>0</v>
      </c>
      <c r="Y75" s="196">
        <f t="shared" si="13"/>
        <v>0</v>
      </c>
      <c r="Z75" s="196">
        <f t="shared" si="13"/>
        <v>0</v>
      </c>
      <c r="AA75" s="196">
        <f t="shared" si="13"/>
        <v>0</v>
      </c>
      <c r="AB75" s="196">
        <f t="shared" si="13"/>
        <v>0</v>
      </c>
      <c r="AC75" s="196">
        <f t="shared" si="13"/>
        <v>0</v>
      </c>
      <c r="AD75" s="196">
        <f t="shared" si="13"/>
        <v>0</v>
      </c>
      <c r="AE75" s="196">
        <f t="shared" si="13"/>
        <v>0</v>
      </c>
      <c r="AF75" s="196">
        <f t="shared" si="13"/>
        <v>0</v>
      </c>
      <c r="AG75" s="196">
        <f t="shared" si="13"/>
        <v>0</v>
      </c>
      <c r="AH75" s="196">
        <f t="shared" si="13"/>
        <v>0</v>
      </c>
      <c r="AI75" s="196">
        <f t="shared" si="13"/>
        <v>0</v>
      </c>
      <c r="AJ75" s="196">
        <f t="shared" si="13"/>
        <v>0</v>
      </c>
      <c r="AK75" s="196">
        <f t="shared" si="13"/>
        <v>0</v>
      </c>
      <c r="AL75" s="196">
        <f t="shared" ref="AL75:BH75" si="14">IF(AND(AL54&gt;=$D$31,AL54&lt;=($D$31+$D$32)),AL72/Generation_Efficiency,0)</f>
        <v>0</v>
      </c>
      <c r="AM75" s="196">
        <f t="shared" si="14"/>
        <v>0</v>
      </c>
      <c r="AN75" s="196">
        <f t="shared" si="14"/>
        <v>0</v>
      </c>
      <c r="AO75" s="196">
        <f t="shared" si="14"/>
        <v>0</v>
      </c>
      <c r="AP75" s="196">
        <f t="shared" si="14"/>
        <v>0</v>
      </c>
      <c r="AQ75" s="196">
        <f t="shared" si="14"/>
        <v>0</v>
      </c>
      <c r="AR75" s="196">
        <f t="shared" si="14"/>
        <v>0</v>
      </c>
      <c r="AS75" s="196">
        <f t="shared" si="14"/>
        <v>0</v>
      </c>
      <c r="AT75" s="196">
        <f t="shared" si="14"/>
        <v>0</v>
      </c>
      <c r="AU75" s="196">
        <f t="shared" si="14"/>
        <v>0</v>
      </c>
      <c r="AV75" s="196">
        <f t="shared" si="14"/>
        <v>0</v>
      </c>
      <c r="AW75" s="196">
        <f t="shared" si="14"/>
        <v>0</v>
      </c>
      <c r="AX75" s="196">
        <f t="shared" si="14"/>
        <v>0</v>
      </c>
      <c r="AY75" s="196">
        <f t="shared" si="14"/>
        <v>0</v>
      </c>
      <c r="AZ75" s="196">
        <f t="shared" si="14"/>
        <v>0</v>
      </c>
      <c r="BA75" s="196">
        <f t="shared" si="14"/>
        <v>0</v>
      </c>
      <c r="BB75" s="196">
        <f t="shared" si="14"/>
        <v>0</v>
      </c>
      <c r="BC75" s="196">
        <f t="shared" si="14"/>
        <v>0</v>
      </c>
      <c r="BD75" s="196">
        <f t="shared" si="14"/>
        <v>0</v>
      </c>
      <c r="BE75" s="196">
        <f t="shared" si="14"/>
        <v>0</v>
      </c>
      <c r="BF75" s="196">
        <f t="shared" si="14"/>
        <v>0</v>
      </c>
      <c r="BG75" s="196">
        <f t="shared" si="14"/>
        <v>0</v>
      </c>
      <c r="BH75" s="196">
        <f t="shared" si="14"/>
        <v>0</v>
      </c>
      <c r="BI75" s="175"/>
      <c r="BJ75" s="121"/>
      <c r="BK75" s="121"/>
      <c r="BL75" s="121"/>
      <c r="BM75" s="121"/>
      <c r="BN75" s="121"/>
      <c r="BO75" s="121"/>
    </row>
    <row r="76" spans="2:67" ht="12.75">
      <c r="C76" s="190"/>
      <c r="D76" s="121"/>
      <c r="E76" s="121"/>
      <c r="F76" s="191"/>
      <c r="G76" s="191"/>
      <c r="H76" s="191"/>
      <c r="I76" s="191"/>
      <c r="J76" s="191"/>
      <c r="K76" s="191"/>
      <c r="L76" s="191"/>
      <c r="M76" s="191"/>
      <c r="N76" s="191"/>
      <c r="O76" s="191"/>
      <c r="P76" s="191"/>
      <c r="Q76" s="191"/>
      <c r="R76" s="191"/>
      <c r="S76" s="191"/>
      <c r="T76" s="191"/>
      <c r="U76" s="191"/>
      <c r="V76" s="191"/>
      <c r="W76" s="191"/>
      <c r="X76" s="191"/>
      <c r="Y76" s="191"/>
      <c r="Z76" s="191"/>
      <c r="AA76" s="191"/>
      <c r="AB76" s="191"/>
      <c r="AC76" s="191"/>
      <c r="AD76" s="191"/>
      <c r="AE76" s="191"/>
      <c r="AF76" s="191"/>
      <c r="AG76" s="191"/>
      <c r="AH76" s="191"/>
      <c r="AI76" s="191"/>
      <c r="AJ76" s="191"/>
      <c r="AK76" s="191"/>
      <c r="AL76" s="191"/>
      <c r="AM76" s="191"/>
      <c r="AN76" s="191"/>
      <c r="AO76" s="191"/>
      <c r="AP76" s="191"/>
      <c r="AQ76" s="191"/>
      <c r="AR76" s="191"/>
      <c r="AS76" s="191"/>
      <c r="AT76" s="191"/>
      <c r="AU76" s="191"/>
      <c r="AV76" s="191"/>
      <c r="AW76" s="191"/>
      <c r="AX76" s="191"/>
      <c r="AY76" s="191"/>
      <c r="AZ76" s="191"/>
      <c r="BA76" s="191"/>
      <c r="BB76" s="191"/>
      <c r="BC76" s="191"/>
      <c r="BD76" s="191"/>
      <c r="BE76" s="191"/>
      <c r="BF76" s="191"/>
      <c r="BG76" s="191"/>
      <c r="BH76" s="191"/>
      <c r="BI76" s="175"/>
      <c r="BJ76" s="121"/>
      <c r="BK76" s="121"/>
      <c r="BL76" s="121"/>
      <c r="BM76" s="121"/>
      <c r="BN76" s="121"/>
      <c r="BO76" s="121"/>
    </row>
    <row r="77" spans="2:67" ht="12.75">
      <c r="C77" s="177"/>
      <c r="D77" s="121" t="str">
        <f>IF(C7="rural","Fuel Cost","N/A")</f>
        <v>Fuel Cost</v>
      </c>
      <c r="E77" s="121" t="str">
        <f>IF(C7="rural","$ per year","")</f>
        <v>$ per year</v>
      </c>
      <c r="F77" s="191">
        <f t="shared" ref="F77:BH77" si="15">IF($C$7="rural",F75*F73,"")</f>
        <v>0</v>
      </c>
      <c r="G77" s="191">
        <f t="shared" si="15"/>
        <v>0</v>
      </c>
      <c r="H77" s="191">
        <f t="shared" si="15"/>
        <v>0</v>
      </c>
      <c r="I77" s="191">
        <f t="shared" si="15"/>
        <v>0</v>
      </c>
      <c r="J77" s="191">
        <f t="shared" si="15"/>
        <v>0</v>
      </c>
      <c r="K77" s="191">
        <f t="shared" si="15"/>
        <v>0</v>
      </c>
      <c r="L77" s="191">
        <f t="shared" si="15"/>
        <v>0</v>
      </c>
      <c r="M77" s="191">
        <f t="shared" si="15"/>
        <v>0</v>
      </c>
      <c r="N77" s="191">
        <f t="shared" si="15"/>
        <v>0</v>
      </c>
      <c r="O77" s="191">
        <f t="shared" si="15"/>
        <v>0</v>
      </c>
      <c r="P77" s="191">
        <f t="shared" si="15"/>
        <v>0</v>
      </c>
      <c r="Q77" s="191">
        <f t="shared" si="15"/>
        <v>0</v>
      </c>
      <c r="R77" s="191">
        <f t="shared" si="15"/>
        <v>0</v>
      </c>
      <c r="S77" s="191">
        <f t="shared" si="15"/>
        <v>0</v>
      </c>
      <c r="T77" s="191">
        <f t="shared" si="15"/>
        <v>0</v>
      </c>
      <c r="U77" s="191">
        <f t="shared" si="15"/>
        <v>0</v>
      </c>
      <c r="V77" s="191">
        <f t="shared" si="15"/>
        <v>0</v>
      </c>
      <c r="W77" s="191">
        <f t="shared" si="15"/>
        <v>0</v>
      </c>
      <c r="X77" s="191">
        <f t="shared" si="15"/>
        <v>0</v>
      </c>
      <c r="Y77" s="191">
        <f t="shared" si="15"/>
        <v>0</v>
      </c>
      <c r="Z77" s="191">
        <f t="shared" si="15"/>
        <v>0</v>
      </c>
      <c r="AA77" s="191">
        <f t="shared" si="15"/>
        <v>0</v>
      </c>
      <c r="AB77" s="191">
        <f t="shared" si="15"/>
        <v>0</v>
      </c>
      <c r="AC77" s="191">
        <f t="shared" si="15"/>
        <v>0</v>
      </c>
      <c r="AD77" s="191">
        <f t="shared" si="15"/>
        <v>0</v>
      </c>
      <c r="AE77" s="191">
        <f t="shared" si="15"/>
        <v>0</v>
      </c>
      <c r="AF77" s="191">
        <f t="shared" si="15"/>
        <v>0</v>
      </c>
      <c r="AG77" s="191">
        <f t="shared" si="15"/>
        <v>0</v>
      </c>
      <c r="AH77" s="191">
        <f t="shared" si="15"/>
        <v>0</v>
      </c>
      <c r="AI77" s="191">
        <f t="shared" si="15"/>
        <v>0</v>
      </c>
      <c r="AJ77" s="191">
        <f t="shared" si="15"/>
        <v>0</v>
      </c>
      <c r="AK77" s="191">
        <f t="shared" si="15"/>
        <v>0</v>
      </c>
      <c r="AL77" s="191">
        <f t="shared" si="15"/>
        <v>0</v>
      </c>
      <c r="AM77" s="191">
        <f t="shared" si="15"/>
        <v>0</v>
      </c>
      <c r="AN77" s="191">
        <f t="shared" si="15"/>
        <v>0</v>
      </c>
      <c r="AO77" s="191">
        <f t="shared" si="15"/>
        <v>0</v>
      </c>
      <c r="AP77" s="191">
        <f t="shared" si="15"/>
        <v>0</v>
      </c>
      <c r="AQ77" s="191">
        <f t="shared" si="15"/>
        <v>0</v>
      </c>
      <c r="AR77" s="191">
        <f t="shared" si="15"/>
        <v>0</v>
      </c>
      <c r="AS77" s="191">
        <f t="shared" si="15"/>
        <v>0</v>
      </c>
      <c r="AT77" s="191">
        <f t="shared" si="15"/>
        <v>0</v>
      </c>
      <c r="AU77" s="191">
        <f t="shared" si="15"/>
        <v>0</v>
      </c>
      <c r="AV77" s="191">
        <f t="shared" si="15"/>
        <v>0</v>
      </c>
      <c r="AW77" s="191">
        <f t="shared" si="15"/>
        <v>0</v>
      </c>
      <c r="AX77" s="191">
        <f t="shared" si="15"/>
        <v>0</v>
      </c>
      <c r="AY77" s="191">
        <f t="shared" si="15"/>
        <v>0</v>
      </c>
      <c r="AZ77" s="191">
        <f t="shared" si="15"/>
        <v>0</v>
      </c>
      <c r="BA77" s="191">
        <f t="shared" si="15"/>
        <v>0</v>
      </c>
      <c r="BB77" s="191">
        <f t="shared" si="15"/>
        <v>0</v>
      </c>
      <c r="BC77" s="191">
        <f t="shared" si="15"/>
        <v>0</v>
      </c>
      <c r="BD77" s="191">
        <f t="shared" si="15"/>
        <v>0</v>
      </c>
      <c r="BE77" s="191">
        <f t="shared" si="15"/>
        <v>0</v>
      </c>
      <c r="BF77" s="191">
        <f t="shared" si="15"/>
        <v>0</v>
      </c>
      <c r="BG77" s="191">
        <f t="shared" si="15"/>
        <v>0</v>
      </c>
      <c r="BH77" s="191">
        <f t="shared" si="15"/>
        <v>0</v>
      </c>
      <c r="BI77" s="175">
        <f>NPV($D$49,F77:BH77)</f>
        <v>0</v>
      </c>
      <c r="BJ77" s="121"/>
      <c r="BK77" s="121"/>
      <c r="BL77" s="121"/>
      <c r="BM77" s="121"/>
      <c r="BN77" s="121"/>
      <c r="BO77" s="121"/>
    </row>
    <row r="78" spans="2:67" s="192" customFormat="1" ht="12.75">
      <c r="B78" s="193"/>
      <c r="C78" s="182"/>
      <c r="D78" s="184" t="s">
        <v>372</v>
      </c>
      <c r="E78" s="184" t="s">
        <v>264</v>
      </c>
      <c r="F78" s="197">
        <f t="shared" ref="F78:BH78" si="16">IF($C$7="Rural",F77+F76+F74,F73*F72)</f>
        <v>0</v>
      </c>
      <c r="G78" s="197">
        <f t="shared" si="16"/>
        <v>0</v>
      </c>
      <c r="H78" s="197">
        <f t="shared" si="16"/>
        <v>0</v>
      </c>
      <c r="I78" s="197">
        <f t="shared" si="16"/>
        <v>0</v>
      </c>
      <c r="J78" s="197">
        <f t="shared" si="16"/>
        <v>0</v>
      </c>
      <c r="K78" s="197">
        <f t="shared" si="16"/>
        <v>0</v>
      </c>
      <c r="L78" s="197">
        <f t="shared" si="16"/>
        <v>0</v>
      </c>
      <c r="M78" s="197">
        <f t="shared" si="16"/>
        <v>0</v>
      </c>
      <c r="N78" s="197">
        <f t="shared" si="16"/>
        <v>0</v>
      </c>
      <c r="O78" s="197">
        <f t="shared" si="16"/>
        <v>0</v>
      </c>
      <c r="P78" s="197">
        <f t="shared" si="16"/>
        <v>0</v>
      </c>
      <c r="Q78" s="197">
        <f t="shared" si="16"/>
        <v>0</v>
      </c>
      <c r="R78" s="197">
        <f t="shared" si="16"/>
        <v>0</v>
      </c>
      <c r="S78" s="194">
        <f t="shared" si="16"/>
        <v>0</v>
      </c>
      <c r="T78" s="194">
        <f t="shared" si="16"/>
        <v>0</v>
      </c>
      <c r="U78" s="194">
        <f t="shared" si="16"/>
        <v>0</v>
      </c>
      <c r="V78" s="194">
        <f t="shared" si="16"/>
        <v>0</v>
      </c>
      <c r="W78" s="194">
        <f t="shared" si="16"/>
        <v>0</v>
      </c>
      <c r="X78" s="194">
        <f t="shared" si="16"/>
        <v>0</v>
      </c>
      <c r="Y78" s="194">
        <f t="shared" si="16"/>
        <v>0</v>
      </c>
      <c r="Z78" s="194">
        <f t="shared" si="16"/>
        <v>0</v>
      </c>
      <c r="AA78" s="194">
        <f t="shared" si="16"/>
        <v>0</v>
      </c>
      <c r="AB78" s="194">
        <f t="shared" si="16"/>
        <v>0</v>
      </c>
      <c r="AC78" s="194">
        <f t="shared" si="16"/>
        <v>0</v>
      </c>
      <c r="AD78" s="194">
        <f t="shared" si="16"/>
        <v>0</v>
      </c>
      <c r="AE78" s="194">
        <f t="shared" si="16"/>
        <v>0</v>
      </c>
      <c r="AF78" s="194">
        <f t="shared" si="16"/>
        <v>0</v>
      </c>
      <c r="AG78" s="194">
        <f t="shared" si="16"/>
        <v>0</v>
      </c>
      <c r="AH78" s="194">
        <f t="shared" si="16"/>
        <v>0</v>
      </c>
      <c r="AI78" s="194">
        <f t="shared" si="16"/>
        <v>0</v>
      </c>
      <c r="AJ78" s="194">
        <f t="shared" si="16"/>
        <v>0</v>
      </c>
      <c r="AK78" s="194">
        <f t="shared" si="16"/>
        <v>0</v>
      </c>
      <c r="AL78" s="194">
        <f t="shared" si="16"/>
        <v>0</v>
      </c>
      <c r="AM78" s="194">
        <f t="shared" si="16"/>
        <v>0</v>
      </c>
      <c r="AN78" s="194">
        <f t="shared" si="16"/>
        <v>0</v>
      </c>
      <c r="AO78" s="194">
        <f t="shared" si="16"/>
        <v>0</v>
      </c>
      <c r="AP78" s="194">
        <f t="shared" si="16"/>
        <v>0</v>
      </c>
      <c r="AQ78" s="194">
        <f t="shared" si="16"/>
        <v>0</v>
      </c>
      <c r="AR78" s="194">
        <f t="shared" si="16"/>
        <v>0</v>
      </c>
      <c r="AS78" s="194">
        <f t="shared" si="16"/>
        <v>0</v>
      </c>
      <c r="AT78" s="194">
        <f t="shared" si="16"/>
        <v>0</v>
      </c>
      <c r="AU78" s="194">
        <f t="shared" si="16"/>
        <v>0</v>
      </c>
      <c r="AV78" s="194">
        <f t="shared" si="16"/>
        <v>0</v>
      </c>
      <c r="AW78" s="194">
        <f t="shared" si="16"/>
        <v>0</v>
      </c>
      <c r="AX78" s="194">
        <f t="shared" si="16"/>
        <v>0</v>
      </c>
      <c r="AY78" s="194">
        <f t="shared" si="16"/>
        <v>0</v>
      </c>
      <c r="AZ78" s="194">
        <f t="shared" si="16"/>
        <v>0</v>
      </c>
      <c r="BA78" s="194">
        <f t="shared" si="16"/>
        <v>0</v>
      </c>
      <c r="BB78" s="194">
        <f t="shared" si="16"/>
        <v>0</v>
      </c>
      <c r="BC78" s="194">
        <f t="shared" si="16"/>
        <v>0</v>
      </c>
      <c r="BD78" s="194">
        <f t="shared" si="16"/>
        <v>0</v>
      </c>
      <c r="BE78" s="194">
        <f t="shared" si="16"/>
        <v>0</v>
      </c>
      <c r="BF78" s="194">
        <f t="shared" si="16"/>
        <v>0</v>
      </c>
      <c r="BG78" s="194">
        <f t="shared" si="16"/>
        <v>0</v>
      </c>
      <c r="BH78" s="194">
        <f t="shared" si="16"/>
        <v>0</v>
      </c>
      <c r="BI78" s="175">
        <f>NPV($D$49,F78:BH78)</f>
        <v>0</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68" t="s">
        <v>353</v>
      </c>
      <c r="D82" s="198"/>
      <c r="E82" s="170" t="s">
        <v>263</v>
      </c>
      <c r="F82" s="199">
        <v>2014</v>
      </c>
      <c r="G82" s="199">
        <f t="shared" ref="G82:BH82" si="17">F82+1</f>
        <v>2015</v>
      </c>
      <c r="H82" s="199">
        <f t="shared" si="17"/>
        <v>2016</v>
      </c>
      <c r="I82" s="199">
        <f>H82+1</f>
        <v>2017</v>
      </c>
      <c r="J82" s="199">
        <f t="shared" si="17"/>
        <v>2018</v>
      </c>
      <c r="K82" s="199">
        <f>J82+1</f>
        <v>2019</v>
      </c>
      <c r="L82" s="199">
        <f t="shared" si="17"/>
        <v>2020</v>
      </c>
      <c r="M82" s="199">
        <f t="shared" si="17"/>
        <v>2021</v>
      </c>
      <c r="N82" s="199">
        <f t="shared" si="17"/>
        <v>2022</v>
      </c>
      <c r="O82" s="199">
        <f t="shared" si="17"/>
        <v>2023</v>
      </c>
      <c r="P82" s="199">
        <f t="shared" si="17"/>
        <v>2024</v>
      </c>
      <c r="Q82" s="199">
        <f t="shared" si="17"/>
        <v>2025</v>
      </c>
      <c r="R82" s="199">
        <f t="shared" si="17"/>
        <v>2026</v>
      </c>
      <c r="S82" s="691">
        <f t="shared" si="17"/>
        <v>2027</v>
      </c>
      <c r="T82" s="691">
        <f t="shared" si="17"/>
        <v>2028</v>
      </c>
      <c r="U82" s="691">
        <f t="shared" si="17"/>
        <v>2029</v>
      </c>
      <c r="V82" s="691">
        <f t="shared" si="17"/>
        <v>2030</v>
      </c>
      <c r="W82" s="691">
        <f t="shared" si="17"/>
        <v>2031</v>
      </c>
      <c r="X82" s="691">
        <f t="shared" si="17"/>
        <v>2032</v>
      </c>
      <c r="Y82" s="691">
        <f t="shared" si="17"/>
        <v>2033</v>
      </c>
      <c r="Z82" s="691">
        <f t="shared" si="17"/>
        <v>2034</v>
      </c>
      <c r="AA82" s="691">
        <f t="shared" si="17"/>
        <v>2035</v>
      </c>
      <c r="AB82" s="691">
        <f t="shared" si="17"/>
        <v>2036</v>
      </c>
      <c r="AC82" s="691">
        <f t="shared" si="17"/>
        <v>2037</v>
      </c>
      <c r="AD82" s="691">
        <f t="shared" si="17"/>
        <v>2038</v>
      </c>
      <c r="AE82" s="691">
        <f t="shared" si="17"/>
        <v>2039</v>
      </c>
      <c r="AF82" s="691">
        <f t="shared" si="17"/>
        <v>2040</v>
      </c>
      <c r="AG82" s="691">
        <f t="shared" si="17"/>
        <v>2041</v>
      </c>
      <c r="AH82" s="691">
        <f t="shared" si="17"/>
        <v>2042</v>
      </c>
      <c r="AI82" s="691">
        <f t="shared" si="17"/>
        <v>2043</v>
      </c>
      <c r="AJ82" s="691">
        <f t="shared" si="17"/>
        <v>2044</v>
      </c>
      <c r="AK82" s="691">
        <f t="shared" si="17"/>
        <v>2045</v>
      </c>
      <c r="AL82" s="691">
        <f t="shared" si="17"/>
        <v>2046</v>
      </c>
      <c r="AM82" s="691">
        <f t="shared" si="17"/>
        <v>2047</v>
      </c>
      <c r="AN82" s="691">
        <f t="shared" si="17"/>
        <v>2048</v>
      </c>
      <c r="AO82" s="691">
        <f t="shared" si="17"/>
        <v>2049</v>
      </c>
      <c r="AP82" s="691">
        <f t="shared" si="17"/>
        <v>2050</v>
      </c>
      <c r="AQ82" s="691">
        <f t="shared" si="17"/>
        <v>2051</v>
      </c>
      <c r="AR82" s="691">
        <f t="shared" si="17"/>
        <v>2052</v>
      </c>
      <c r="AS82" s="691">
        <f t="shared" si="17"/>
        <v>2053</v>
      </c>
      <c r="AT82" s="691">
        <f t="shared" si="17"/>
        <v>2054</v>
      </c>
      <c r="AU82" s="691">
        <f t="shared" si="17"/>
        <v>2055</v>
      </c>
      <c r="AV82" s="691">
        <f t="shared" si="17"/>
        <v>2056</v>
      </c>
      <c r="AW82" s="691">
        <f t="shared" si="17"/>
        <v>2057</v>
      </c>
      <c r="AX82" s="691">
        <f t="shared" si="17"/>
        <v>2058</v>
      </c>
      <c r="AY82" s="691">
        <f t="shared" si="17"/>
        <v>2059</v>
      </c>
      <c r="AZ82" s="691">
        <f t="shared" si="17"/>
        <v>2060</v>
      </c>
      <c r="BA82" s="691">
        <f t="shared" si="17"/>
        <v>2061</v>
      </c>
      <c r="BB82" s="691">
        <f t="shared" si="17"/>
        <v>2062</v>
      </c>
      <c r="BC82" s="691">
        <f t="shared" si="17"/>
        <v>2063</v>
      </c>
      <c r="BD82" s="691">
        <f t="shared" si="17"/>
        <v>2064</v>
      </c>
      <c r="BE82" s="691">
        <f t="shared" si="17"/>
        <v>2065</v>
      </c>
      <c r="BF82" s="691">
        <f t="shared" si="17"/>
        <v>2066</v>
      </c>
      <c r="BG82" s="691">
        <f t="shared" si="17"/>
        <v>2067</v>
      </c>
      <c r="BH82" s="691">
        <f t="shared" si="17"/>
        <v>2068</v>
      </c>
      <c r="BI82" s="697" t="s">
        <v>4</v>
      </c>
      <c r="BJ82" s="121"/>
      <c r="BK82" s="121"/>
      <c r="BL82" s="121"/>
      <c r="BM82" s="121"/>
      <c r="BN82" s="121"/>
      <c r="BO82" s="121"/>
    </row>
    <row r="83" spans="2:67" ht="12.75">
      <c r="C83" s="2005" t="s">
        <v>284</v>
      </c>
      <c r="D83" s="2007"/>
      <c r="E83" s="2007"/>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67" ht="12.75">
      <c r="C84" s="201"/>
      <c r="D84" s="121" t="s">
        <v>616</v>
      </c>
      <c r="E84" s="121" t="str">
        <f>IF(C7="Railbelt South of Alaska Range", "mmBtu per year", "gallons displaced per year")</f>
        <v>gallons displaced per year</v>
      </c>
      <c r="F84" s="196">
        <f t="shared" ref="F84:AK84" si="18">IF(AND(F54&gt;=$D$31,F54&lt;=($D$31+$D$32)),$P$24,0)</f>
        <v>0</v>
      </c>
      <c r="G84" s="196">
        <f t="shared" si="18"/>
        <v>0</v>
      </c>
      <c r="H84" s="196">
        <f t="shared" si="18"/>
        <v>0</v>
      </c>
      <c r="I84" s="196">
        <f t="shared" si="18"/>
        <v>0</v>
      </c>
      <c r="J84" s="196">
        <f t="shared" si="18"/>
        <v>0</v>
      </c>
      <c r="K84" s="196">
        <f t="shared" si="18"/>
        <v>0</v>
      </c>
      <c r="L84" s="196">
        <f t="shared" si="18"/>
        <v>0</v>
      </c>
      <c r="M84" s="196">
        <f t="shared" si="18"/>
        <v>0</v>
      </c>
      <c r="N84" s="196">
        <f t="shared" si="18"/>
        <v>0</v>
      </c>
      <c r="O84" s="196">
        <f t="shared" si="18"/>
        <v>0</v>
      </c>
      <c r="P84" s="196">
        <f t="shared" si="18"/>
        <v>0</v>
      </c>
      <c r="Q84" s="196">
        <f t="shared" si="18"/>
        <v>0</v>
      </c>
      <c r="R84" s="196">
        <f t="shared" si="18"/>
        <v>0</v>
      </c>
      <c r="S84" s="196">
        <f t="shared" si="18"/>
        <v>0</v>
      </c>
      <c r="T84" s="196">
        <f t="shared" si="18"/>
        <v>0</v>
      </c>
      <c r="U84" s="196">
        <f t="shared" si="18"/>
        <v>0</v>
      </c>
      <c r="V84" s="196">
        <f t="shared" si="18"/>
        <v>0</v>
      </c>
      <c r="W84" s="196">
        <f t="shared" si="18"/>
        <v>0</v>
      </c>
      <c r="X84" s="196">
        <f t="shared" si="18"/>
        <v>0</v>
      </c>
      <c r="Y84" s="196">
        <f t="shared" si="18"/>
        <v>0</v>
      </c>
      <c r="Z84" s="196">
        <f t="shared" si="18"/>
        <v>0</v>
      </c>
      <c r="AA84" s="196">
        <f t="shared" si="18"/>
        <v>0</v>
      </c>
      <c r="AB84" s="196">
        <f t="shared" si="18"/>
        <v>0</v>
      </c>
      <c r="AC84" s="196">
        <f t="shared" si="18"/>
        <v>0</v>
      </c>
      <c r="AD84" s="196">
        <f t="shared" si="18"/>
        <v>0</v>
      </c>
      <c r="AE84" s="196">
        <f t="shared" si="18"/>
        <v>0</v>
      </c>
      <c r="AF84" s="196">
        <f t="shared" si="18"/>
        <v>0</v>
      </c>
      <c r="AG84" s="196">
        <f t="shared" si="18"/>
        <v>0</v>
      </c>
      <c r="AH84" s="196">
        <f t="shared" si="18"/>
        <v>0</v>
      </c>
      <c r="AI84" s="196">
        <f t="shared" si="18"/>
        <v>0</v>
      </c>
      <c r="AJ84" s="196">
        <f t="shared" si="18"/>
        <v>0</v>
      </c>
      <c r="AK84" s="196">
        <f t="shared" si="18"/>
        <v>0</v>
      </c>
      <c r="AL84" s="196">
        <f t="shared" ref="AL84:BH84" si="19">IF(AND(AL54&gt;=$D$31,AL54&lt;=($D$31+$D$32)),$P$24,0)</f>
        <v>0</v>
      </c>
      <c r="AM84" s="196">
        <f t="shared" si="19"/>
        <v>0</v>
      </c>
      <c r="AN84" s="196">
        <f t="shared" si="19"/>
        <v>0</v>
      </c>
      <c r="AO84" s="196">
        <f t="shared" si="19"/>
        <v>0</v>
      </c>
      <c r="AP84" s="196">
        <f t="shared" si="19"/>
        <v>0</v>
      </c>
      <c r="AQ84" s="196">
        <f t="shared" si="19"/>
        <v>0</v>
      </c>
      <c r="AR84" s="196">
        <f t="shared" si="19"/>
        <v>0</v>
      </c>
      <c r="AS84" s="196">
        <f t="shared" si="19"/>
        <v>0</v>
      </c>
      <c r="AT84" s="196">
        <f t="shared" si="19"/>
        <v>0</v>
      </c>
      <c r="AU84" s="196">
        <f t="shared" si="19"/>
        <v>0</v>
      </c>
      <c r="AV84" s="196">
        <f t="shared" si="19"/>
        <v>0</v>
      </c>
      <c r="AW84" s="196">
        <f t="shared" si="19"/>
        <v>0</v>
      </c>
      <c r="AX84" s="196">
        <f t="shared" si="19"/>
        <v>0</v>
      </c>
      <c r="AY84" s="196">
        <f t="shared" si="19"/>
        <v>0</v>
      </c>
      <c r="AZ84" s="196">
        <f t="shared" si="19"/>
        <v>0</v>
      </c>
      <c r="BA84" s="196">
        <f t="shared" si="19"/>
        <v>0</v>
      </c>
      <c r="BB84" s="196">
        <f t="shared" si="19"/>
        <v>0</v>
      </c>
      <c r="BC84" s="196">
        <f t="shared" si="19"/>
        <v>0</v>
      </c>
      <c r="BD84" s="196">
        <f t="shared" si="19"/>
        <v>0</v>
      </c>
      <c r="BE84" s="196">
        <f t="shared" si="19"/>
        <v>0</v>
      </c>
      <c r="BF84" s="196">
        <f t="shared" si="19"/>
        <v>0</v>
      </c>
      <c r="BG84" s="196">
        <f t="shared" si="19"/>
        <v>0</v>
      </c>
      <c r="BH84" s="196">
        <f t="shared" si="19"/>
        <v>0</v>
      </c>
      <c r="BI84" s="175"/>
      <c r="BJ84" s="121"/>
      <c r="BK84" s="121"/>
      <c r="BL84" s="121"/>
      <c r="BM84" s="121"/>
      <c r="BN84" s="121"/>
      <c r="BO84" s="121"/>
    </row>
    <row r="85" spans="2:67" ht="12.75">
      <c r="C85" s="201" t="s">
        <v>277</v>
      </c>
      <c r="D85" s="121" t="s">
        <v>568</v>
      </c>
      <c r="E85" s="121" t="s">
        <v>264</v>
      </c>
      <c r="F85" s="176">
        <f t="shared" ref="F85:AK85" si="20">IF(AND(F54&gt;=$D$31,F54&lt;=($D$31+$D$32)),0,0)</f>
        <v>0</v>
      </c>
      <c r="G85" s="176">
        <f t="shared" si="20"/>
        <v>0</v>
      </c>
      <c r="H85" s="176">
        <f t="shared" si="20"/>
        <v>0</v>
      </c>
      <c r="I85" s="176">
        <f t="shared" si="20"/>
        <v>0</v>
      </c>
      <c r="J85" s="176">
        <f t="shared" si="20"/>
        <v>0</v>
      </c>
      <c r="K85" s="176">
        <f t="shared" si="20"/>
        <v>0</v>
      </c>
      <c r="L85" s="176">
        <f t="shared" si="20"/>
        <v>0</v>
      </c>
      <c r="M85" s="176">
        <f t="shared" si="20"/>
        <v>0</v>
      </c>
      <c r="N85" s="176">
        <f t="shared" si="20"/>
        <v>0</v>
      </c>
      <c r="O85" s="176">
        <f t="shared" si="20"/>
        <v>0</v>
      </c>
      <c r="P85" s="176">
        <f t="shared" si="20"/>
        <v>0</v>
      </c>
      <c r="Q85" s="176">
        <f t="shared" si="20"/>
        <v>0</v>
      </c>
      <c r="R85" s="176">
        <f t="shared" si="20"/>
        <v>0</v>
      </c>
      <c r="S85" s="176">
        <f t="shared" si="20"/>
        <v>0</v>
      </c>
      <c r="T85" s="176">
        <f t="shared" si="20"/>
        <v>0</v>
      </c>
      <c r="U85" s="176">
        <f t="shared" si="20"/>
        <v>0</v>
      </c>
      <c r="V85" s="176">
        <f t="shared" si="20"/>
        <v>0</v>
      </c>
      <c r="W85" s="176">
        <f t="shared" si="20"/>
        <v>0</v>
      </c>
      <c r="X85" s="176">
        <f t="shared" si="20"/>
        <v>0</v>
      </c>
      <c r="Y85" s="176">
        <f t="shared" si="20"/>
        <v>0</v>
      </c>
      <c r="Z85" s="176">
        <f t="shared" si="20"/>
        <v>0</v>
      </c>
      <c r="AA85" s="176">
        <f t="shared" si="20"/>
        <v>0</v>
      </c>
      <c r="AB85" s="176">
        <f t="shared" si="20"/>
        <v>0</v>
      </c>
      <c r="AC85" s="176">
        <f t="shared" si="20"/>
        <v>0</v>
      </c>
      <c r="AD85" s="176">
        <f t="shared" si="20"/>
        <v>0</v>
      </c>
      <c r="AE85" s="176">
        <f t="shared" si="20"/>
        <v>0</v>
      </c>
      <c r="AF85" s="176">
        <f t="shared" si="20"/>
        <v>0</v>
      </c>
      <c r="AG85" s="176">
        <f t="shared" si="20"/>
        <v>0</v>
      </c>
      <c r="AH85" s="176">
        <f t="shared" si="20"/>
        <v>0</v>
      </c>
      <c r="AI85" s="176">
        <f t="shared" si="20"/>
        <v>0</v>
      </c>
      <c r="AJ85" s="176">
        <f t="shared" si="20"/>
        <v>0</v>
      </c>
      <c r="AK85" s="176">
        <f t="shared" si="20"/>
        <v>0</v>
      </c>
      <c r="AL85" s="176">
        <f t="shared" ref="AL85:BH85" si="21">IF(AND(AL54&gt;=$D$31,AL54&lt;=($D$31+$D$32)),0,0)</f>
        <v>0</v>
      </c>
      <c r="AM85" s="176">
        <f t="shared" si="21"/>
        <v>0</v>
      </c>
      <c r="AN85" s="176">
        <f t="shared" si="21"/>
        <v>0</v>
      </c>
      <c r="AO85" s="176">
        <f t="shared" si="21"/>
        <v>0</v>
      </c>
      <c r="AP85" s="176">
        <f t="shared" si="21"/>
        <v>0</v>
      </c>
      <c r="AQ85" s="176">
        <f t="shared" si="21"/>
        <v>0</v>
      </c>
      <c r="AR85" s="176">
        <f t="shared" si="21"/>
        <v>0</v>
      </c>
      <c r="AS85" s="176">
        <f t="shared" si="21"/>
        <v>0</v>
      </c>
      <c r="AT85" s="176">
        <f t="shared" si="21"/>
        <v>0</v>
      </c>
      <c r="AU85" s="176">
        <f t="shared" si="21"/>
        <v>0</v>
      </c>
      <c r="AV85" s="176">
        <f t="shared" si="21"/>
        <v>0</v>
      </c>
      <c r="AW85" s="176">
        <f t="shared" si="21"/>
        <v>0</v>
      </c>
      <c r="AX85" s="176">
        <f t="shared" si="21"/>
        <v>0</v>
      </c>
      <c r="AY85" s="176">
        <f t="shared" si="21"/>
        <v>0</v>
      </c>
      <c r="AZ85" s="176">
        <f t="shared" si="21"/>
        <v>0</v>
      </c>
      <c r="BA85" s="176">
        <f t="shared" si="21"/>
        <v>0</v>
      </c>
      <c r="BB85" s="176">
        <f t="shared" si="21"/>
        <v>0</v>
      </c>
      <c r="BC85" s="176">
        <f t="shared" si="21"/>
        <v>0</v>
      </c>
      <c r="BD85" s="176">
        <f t="shared" si="21"/>
        <v>0</v>
      </c>
      <c r="BE85" s="176">
        <f t="shared" si="21"/>
        <v>0</v>
      </c>
      <c r="BF85" s="176">
        <f t="shared" si="21"/>
        <v>0</v>
      </c>
      <c r="BG85" s="176">
        <f t="shared" si="21"/>
        <v>0</v>
      </c>
      <c r="BH85" s="176">
        <f t="shared" si="21"/>
        <v>0</v>
      </c>
      <c r="BI85" s="175">
        <f>NPV($D$49,F85:BH85)</f>
        <v>0</v>
      </c>
      <c r="BJ85" s="121"/>
      <c r="BK85" s="121"/>
      <c r="BL85" s="121"/>
      <c r="BM85" s="121"/>
      <c r="BN85" s="121"/>
      <c r="BO85" s="121"/>
    </row>
    <row r="86" spans="2:67" ht="12.75">
      <c r="C86" s="201" t="s">
        <v>277</v>
      </c>
      <c r="D86" s="121" t="s">
        <v>567</v>
      </c>
      <c r="E86" s="121" t="s">
        <v>264</v>
      </c>
      <c r="F86" s="176">
        <f t="shared" ref="F86:AK86" si="22">IF(AND(F54&gt;=$D$31,F54&lt;=($D$31+$D$32)),0,0)</f>
        <v>0</v>
      </c>
      <c r="G86" s="176">
        <f t="shared" si="22"/>
        <v>0</v>
      </c>
      <c r="H86" s="176">
        <f t="shared" si="22"/>
        <v>0</v>
      </c>
      <c r="I86" s="176">
        <f t="shared" si="22"/>
        <v>0</v>
      </c>
      <c r="J86" s="176">
        <f t="shared" si="22"/>
        <v>0</v>
      </c>
      <c r="K86" s="176">
        <f t="shared" si="22"/>
        <v>0</v>
      </c>
      <c r="L86" s="176">
        <f t="shared" si="22"/>
        <v>0</v>
      </c>
      <c r="M86" s="176">
        <f t="shared" si="22"/>
        <v>0</v>
      </c>
      <c r="N86" s="176">
        <f t="shared" si="22"/>
        <v>0</v>
      </c>
      <c r="O86" s="176">
        <f t="shared" si="22"/>
        <v>0</v>
      </c>
      <c r="P86" s="176">
        <f t="shared" si="22"/>
        <v>0</v>
      </c>
      <c r="Q86" s="176">
        <f t="shared" si="22"/>
        <v>0</v>
      </c>
      <c r="R86" s="176">
        <f t="shared" si="22"/>
        <v>0</v>
      </c>
      <c r="S86" s="176">
        <f t="shared" si="22"/>
        <v>0</v>
      </c>
      <c r="T86" s="176">
        <f t="shared" si="22"/>
        <v>0</v>
      </c>
      <c r="U86" s="176">
        <f t="shared" si="22"/>
        <v>0</v>
      </c>
      <c r="V86" s="176">
        <f t="shared" si="22"/>
        <v>0</v>
      </c>
      <c r="W86" s="176">
        <f t="shared" si="22"/>
        <v>0</v>
      </c>
      <c r="X86" s="176">
        <f t="shared" si="22"/>
        <v>0</v>
      </c>
      <c r="Y86" s="176">
        <f t="shared" si="22"/>
        <v>0</v>
      </c>
      <c r="Z86" s="176">
        <f t="shared" si="22"/>
        <v>0</v>
      </c>
      <c r="AA86" s="176">
        <f t="shared" si="22"/>
        <v>0</v>
      </c>
      <c r="AB86" s="176">
        <f t="shared" si="22"/>
        <v>0</v>
      </c>
      <c r="AC86" s="176">
        <f t="shared" si="22"/>
        <v>0</v>
      </c>
      <c r="AD86" s="176">
        <f t="shared" si="22"/>
        <v>0</v>
      </c>
      <c r="AE86" s="176">
        <f t="shared" si="22"/>
        <v>0</v>
      </c>
      <c r="AF86" s="176">
        <f t="shared" si="22"/>
        <v>0</v>
      </c>
      <c r="AG86" s="176">
        <f t="shared" si="22"/>
        <v>0</v>
      </c>
      <c r="AH86" s="176">
        <f t="shared" si="22"/>
        <v>0</v>
      </c>
      <c r="AI86" s="176">
        <f t="shared" si="22"/>
        <v>0</v>
      </c>
      <c r="AJ86" s="176">
        <f t="shared" si="22"/>
        <v>0</v>
      </c>
      <c r="AK86" s="176">
        <f t="shared" si="22"/>
        <v>0</v>
      </c>
      <c r="AL86" s="176">
        <f t="shared" ref="AL86:BH86" si="23">IF(AND(AL54&gt;=$D$31,AL54&lt;=($D$31+$D$32)),0,0)</f>
        <v>0</v>
      </c>
      <c r="AM86" s="176">
        <f t="shared" si="23"/>
        <v>0</v>
      </c>
      <c r="AN86" s="176">
        <f t="shared" si="23"/>
        <v>0</v>
      </c>
      <c r="AO86" s="176">
        <f t="shared" si="23"/>
        <v>0</v>
      </c>
      <c r="AP86" s="176">
        <f t="shared" si="23"/>
        <v>0</v>
      </c>
      <c r="AQ86" s="176">
        <f t="shared" si="23"/>
        <v>0</v>
      </c>
      <c r="AR86" s="176">
        <f t="shared" si="23"/>
        <v>0</v>
      </c>
      <c r="AS86" s="176">
        <f t="shared" si="23"/>
        <v>0</v>
      </c>
      <c r="AT86" s="176">
        <f t="shared" si="23"/>
        <v>0</v>
      </c>
      <c r="AU86" s="176">
        <f t="shared" si="23"/>
        <v>0</v>
      </c>
      <c r="AV86" s="176">
        <f t="shared" si="23"/>
        <v>0</v>
      </c>
      <c r="AW86" s="176">
        <f t="shared" si="23"/>
        <v>0</v>
      </c>
      <c r="AX86" s="176">
        <f t="shared" si="23"/>
        <v>0</v>
      </c>
      <c r="AY86" s="176">
        <f t="shared" si="23"/>
        <v>0</v>
      </c>
      <c r="AZ86" s="176">
        <f t="shared" si="23"/>
        <v>0</v>
      </c>
      <c r="BA86" s="176">
        <f t="shared" si="23"/>
        <v>0</v>
      </c>
      <c r="BB86" s="176">
        <f t="shared" si="23"/>
        <v>0</v>
      </c>
      <c r="BC86" s="176">
        <f t="shared" si="23"/>
        <v>0</v>
      </c>
      <c r="BD86" s="176">
        <f t="shared" si="23"/>
        <v>0</v>
      </c>
      <c r="BE86" s="176">
        <f t="shared" si="23"/>
        <v>0</v>
      </c>
      <c r="BF86" s="176">
        <f t="shared" si="23"/>
        <v>0</v>
      </c>
      <c r="BG86" s="176">
        <f t="shared" si="23"/>
        <v>0</v>
      </c>
      <c r="BH86" s="176">
        <f t="shared" si="23"/>
        <v>0</v>
      </c>
      <c r="BI86" s="175">
        <f>NPV($D$49,F86:BH86)</f>
        <v>0</v>
      </c>
      <c r="BJ86" s="121"/>
      <c r="BK86" s="121"/>
      <c r="BL86" s="121"/>
      <c r="BM86" s="121"/>
      <c r="BN86" s="121"/>
      <c r="BO86" s="121"/>
    </row>
    <row r="87" spans="2:67" ht="12.75">
      <c r="C87" s="201"/>
      <c r="D87" s="121" t="s">
        <v>630</v>
      </c>
      <c r="E87" s="121"/>
      <c r="F87" s="176">
        <f t="shared" ref="F87:AK87" si="24">IF(AND(F54&gt;=$D$31,F54&lt;=($D$31+$D$32)),F84*F92,0)</f>
        <v>0</v>
      </c>
      <c r="G87" s="176">
        <f t="shared" si="24"/>
        <v>0</v>
      </c>
      <c r="H87" s="176">
        <f t="shared" si="24"/>
        <v>0</v>
      </c>
      <c r="I87" s="176">
        <f t="shared" si="24"/>
        <v>0</v>
      </c>
      <c r="J87" s="176">
        <f t="shared" si="24"/>
        <v>0</v>
      </c>
      <c r="K87" s="176">
        <f t="shared" si="24"/>
        <v>0</v>
      </c>
      <c r="L87" s="176">
        <f t="shared" si="24"/>
        <v>0</v>
      </c>
      <c r="M87" s="176">
        <f t="shared" si="24"/>
        <v>0</v>
      </c>
      <c r="N87" s="176">
        <f t="shared" si="24"/>
        <v>0</v>
      </c>
      <c r="O87" s="176">
        <f t="shared" si="24"/>
        <v>0</v>
      </c>
      <c r="P87" s="176">
        <f t="shared" si="24"/>
        <v>0</v>
      </c>
      <c r="Q87" s="176">
        <f t="shared" si="24"/>
        <v>0</v>
      </c>
      <c r="R87" s="176">
        <f t="shared" si="24"/>
        <v>0</v>
      </c>
      <c r="S87" s="176">
        <f t="shared" si="24"/>
        <v>0</v>
      </c>
      <c r="T87" s="176">
        <f t="shared" si="24"/>
        <v>0</v>
      </c>
      <c r="U87" s="176">
        <f t="shared" si="24"/>
        <v>0</v>
      </c>
      <c r="V87" s="176">
        <f t="shared" si="24"/>
        <v>0</v>
      </c>
      <c r="W87" s="176">
        <f t="shared" si="24"/>
        <v>0</v>
      </c>
      <c r="X87" s="176">
        <f t="shared" si="24"/>
        <v>0</v>
      </c>
      <c r="Y87" s="176">
        <f t="shared" si="24"/>
        <v>0</v>
      </c>
      <c r="Z87" s="176">
        <f t="shared" si="24"/>
        <v>0</v>
      </c>
      <c r="AA87" s="176">
        <f t="shared" si="24"/>
        <v>0</v>
      </c>
      <c r="AB87" s="176">
        <f t="shared" si="24"/>
        <v>0</v>
      </c>
      <c r="AC87" s="176">
        <f t="shared" si="24"/>
        <v>0</v>
      </c>
      <c r="AD87" s="176">
        <f t="shared" si="24"/>
        <v>0</v>
      </c>
      <c r="AE87" s="176">
        <f t="shared" si="24"/>
        <v>0</v>
      </c>
      <c r="AF87" s="176">
        <f t="shared" si="24"/>
        <v>0</v>
      </c>
      <c r="AG87" s="176">
        <f t="shared" si="24"/>
        <v>0</v>
      </c>
      <c r="AH87" s="176">
        <f t="shared" si="24"/>
        <v>0</v>
      </c>
      <c r="AI87" s="176">
        <f t="shared" si="24"/>
        <v>0</v>
      </c>
      <c r="AJ87" s="176">
        <f t="shared" si="24"/>
        <v>0</v>
      </c>
      <c r="AK87" s="176">
        <f t="shared" si="24"/>
        <v>0</v>
      </c>
      <c r="AL87" s="176">
        <f t="shared" ref="AL87:BH87" si="25">IF(AND(AL54&gt;=$D$31,AL54&lt;=($D$31+$D$32)),AL84*AL92,0)</f>
        <v>0</v>
      </c>
      <c r="AM87" s="176">
        <f t="shared" si="25"/>
        <v>0</v>
      </c>
      <c r="AN87" s="176">
        <f t="shared" si="25"/>
        <v>0</v>
      </c>
      <c r="AO87" s="176">
        <f t="shared" si="25"/>
        <v>0</v>
      </c>
      <c r="AP87" s="176">
        <f t="shared" si="25"/>
        <v>0</v>
      </c>
      <c r="AQ87" s="176">
        <f t="shared" si="25"/>
        <v>0</v>
      </c>
      <c r="AR87" s="176">
        <f t="shared" si="25"/>
        <v>0</v>
      </c>
      <c r="AS87" s="176">
        <f t="shared" si="25"/>
        <v>0</v>
      </c>
      <c r="AT87" s="176">
        <f t="shared" si="25"/>
        <v>0</v>
      </c>
      <c r="AU87" s="176">
        <f t="shared" si="25"/>
        <v>0</v>
      </c>
      <c r="AV87" s="176">
        <f t="shared" si="25"/>
        <v>0</v>
      </c>
      <c r="AW87" s="176">
        <f t="shared" si="25"/>
        <v>0</v>
      </c>
      <c r="AX87" s="176">
        <f t="shared" si="25"/>
        <v>0</v>
      </c>
      <c r="AY87" s="176">
        <f t="shared" si="25"/>
        <v>0</v>
      </c>
      <c r="AZ87" s="176">
        <f t="shared" si="25"/>
        <v>0</v>
      </c>
      <c r="BA87" s="176">
        <f t="shared" si="25"/>
        <v>0</v>
      </c>
      <c r="BB87" s="176">
        <f t="shared" si="25"/>
        <v>0</v>
      </c>
      <c r="BC87" s="176">
        <f t="shared" si="25"/>
        <v>0</v>
      </c>
      <c r="BD87" s="176">
        <f t="shared" si="25"/>
        <v>0</v>
      </c>
      <c r="BE87" s="176">
        <f t="shared" si="25"/>
        <v>0</v>
      </c>
      <c r="BF87" s="176">
        <f t="shared" si="25"/>
        <v>0</v>
      </c>
      <c r="BG87" s="176">
        <f t="shared" si="25"/>
        <v>0</v>
      </c>
      <c r="BH87" s="176">
        <f t="shared" si="25"/>
        <v>0</v>
      </c>
      <c r="BI87" s="175"/>
      <c r="BJ87" s="121"/>
      <c r="BK87" s="121"/>
      <c r="BL87" s="121"/>
      <c r="BM87" s="121"/>
      <c r="BN87" s="121"/>
      <c r="BO87" s="121"/>
    </row>
    <row r="88" spans="2:67" s="192" customFormat="1" ht="12.75">
      <c r="B88" s="193"/>
      <c r="C88" s="190"/>
      <c r="D88" s="180" t="s">
        <v>373</v>
      </c>
      <c r="E88" s="180" t="s">
        <v>264</v>
      </c>
      <c r="F88" s="194">
        <f>F85+F86+F87</f>
        <v>0</v>
      </c>
      <c r="G88" s="194">
        <f>G85+G86+G87</f>
        <v>0</v>
      </c>
      <c r="H88" s="194">
        <f t="shared" ref="H88:BH88" si="26">H85+H86+H87</f>
        <v>0</v>
      </c>
      <c r="I88" s="194">
        <f t="shared" si="26"/>
        <v>0</v>
      </c>
      <c r="J88" s="194">
        <f t="shared" si="26"/>
        <v>0</v>
      </c>
      <c r="K88" s="194">
        <f t="shared" si="26"/>
        <v>0</v>
      </c>
      <c r="L88" s="194">
        <f t="shared" si="26"/>
        <v>0</v>
      </c>
      <c r="M88" s="194">
        <f t="shared" si="26"/>
        <v>0</v>
      </c>
      <c r="N88" s="194">
        <f t="shared" si="26"/>
        <v>0</v>
      </c>
      <c r="O88" s="194">
        <f t="shared" si="26"/>
        <v>0</v>
      </c>
      <c r="P88" s="194">
        <f t="shared" si="26"/>
        <v>0</v>
      </c>
      <c r="Q88" s="194">
        <f t="shared" si="26"/>
        <v>0</v>
      </c>
      <c r="R88" s="194">
        <f t="shared" si="26"/>
        <v>0</v>
      </c>
      <c r="S88" s="194">
        <f t="shared" si="26"/>
        <v>0</v>
      </c>
      <c r="T88" s="194">
        <f t="shared" si="26"/>
        <v>0</v>
      </c>
      <c r="U88" s="194">
        <f t="shared" si="26"/>
        <v>0</v>
      </c>
      <c r="V88" s="194">
        <f t="shared" si="26"/>
        <v>0</v>
      </c>
      <c r="W88" s="194">
        <f t="shared" si="26"/>
        <v>0</v>
      </c>
      <c r="X88" s="194">
        <f t="shared" si="26"/>
        <v>0</v>
      </c>
      <c r="Y88" s="194">
        <f t="shared" si="26"/>
        <v>0</v>
      </c>
      <c r="Z88" s="194">
        <f t="shared" si="26"/>
        <v>0</v>
      </c>
      <c r="AA88" s="194">
        <f t="shared" si="26"/>
        <v>0</v>
      </c>
      <c r="AB88" s="194">
        <f t="shared" si="26"/>
        <v>0</v>
      </c>
      <c r="AC88" s="194">
        <f t="shared" si="26"/>
        <v>0</v>
      </c>
      <c r="AD88" s="194">
        <f t="shared" si="26"/>
        <v>0</v>
      </c>
      <c r="AE88" s="194">
        <f t="shared" si="26"/>
        <v>0</v>
      </c>
      <c r="AF88" s="194">
        <f t="shared" si="26"/>
        <v>0</v>
      </c>
      <c r="AG88" s="194">
        <f t="shared" si="26"/>
        <v>0</v>
      </c>
      <c r="AH88" s="194">
        <f t="shared" si="26"/>
        <v>0</v>
      </c>
      <c r="AI88" s="194">
        <f t="shared" si="26"/>
        <v>0</v>
      </c>
      <c r="AJ88" s="194">
        <f t="shared" si="26"/>
        <v>0</v>
      </c>
      <c r="AK88" s="194">
        <f t="shared" si="26"/>
        <v>0</v>
      </c>
      <c r="AL88" s="194">
        <f t="shared" si="26"/>
        <v>0</v>
      </c>
      <c r="AM88" s="194">
        <f t="shared" si="26"/>
        <v>0</v>
      </c>
      <c r="AN88" s="194">
        <f t="shared" si="26"/>
        <v>0</v>
      </c>
      <c r="AO88" s="194">
        <f t="shared" si="26"/>
        <v>0</v>
      </c>
      <c r="AP88" s="194">
        <f t="shared" si="26"/>
        <v>0</v>
      </c>
      <c r="AQ88" s="194">
        <f t="shared" si="26"/>
        <v>0</v>
      </c>
      <c r="AR88" s="194">
        <f t="shared" si="26"/>
        <v>0</v>
      </c>
      <c r="AS88" s="194">
        <f t="shared" si="26"/>
        <v>0</v>
      </c>
      <c r="AT88" s="194">
        <f t="shared" si="26"/>
        <v>0</v>
      </c>
      <c r="AU88" s="194">
        <f t="shared" si="26"/>
        <v>0</v>
      </c>
      <c r="AV88" s="194">
        <f t="shared" si="26"/>
        <v>0</v>
      </c>
      <c r="AW88" s="194">
        <f t="shared" si="26"/>
        <v>0</v>
      </c>
      <c r="AX88" s="194">
        <f t="shared" si="26"/>
        <v>0</v>
      </c>
      <c r="AY88" s="194">
        <f t="shared" si="26"/>
        <v>0</v>
      </c>
      <c r="AZ88" s="194">
        <f t="shared" si="26"/>
        <v>0</v>
      </c>
      <c r="BA88" s="194">
        <f t="shared" si="26"/>
        <v>0</v>
      </c>
      <c r="BB88" s="194">
        <f t="shared" si="26"/>
        <v>0</v>
      </c>
      <c r="BC88" s="194">
        <f t="shared" si="26"/>
        <v>0</v>
      </c>
      <c r="BD88" s="194">
        <f t="shared" si="26"/>
        <v>0</v>
      </c>
      <c r="BE88" s="194">
        <f t="shared" si="26"/>
        <v>0</v>
      </c>
      <c r="BF88" s="194">
        <f t="shared" si="26"/>
        <v>0</v>
      </c>
      <c r="BG88" s="194">
        <f t="shared" si="26"/>
        <v>0</v>
      </c>
      <c r="BH88" s="194">
        <f t="shared" si="26"/>
        <v>0</v>
      </c>
      <c r="BI88" s="175">
        <f>NPV($D$49,F88:BH88)</f>
        <v>0</v>
      </c>
      <c r="BJ88" s="180"/>
      <c r="BK88" s="180"/>
      <c r="BL88" s="180"/>
      <c r="BM88" s="180"/>
      <c r="BN88" s="180"/>
      <c r="BO88" s="180"/>
    </row>
    <row r="89" spans="2:67" ht="12.75">
      <c r="C89" s="190"/>
      <c r="D89" s="121" t="s">
        <v>833</v>
      </c>
      <c r="E89" s="121"/>
      <c r="F89" s="195"/>
      <c r="G89" s="375">
        <f>G84*G92-G88</f>
        <v>0</v>
      </c>
      <c r="H89" s="375">
        <f t="shared" ref="H89:BH89" si="27">H84*H92-H88</f>
        <v>0</v>
      </c>
      <c r="I89" s="375">
        <f t="shared" si="27"/>
        <v>0</v>
      </c>
      <c r="J89" s="375">
        <f t="shared" si="27"/>
        <v>0</v>
      </c>
      <c r="K89" s="375">
        <f t="shared" si="27"/>
        <v>0</v>
      </c>
      <c r="L89" s="375">
        <f t="shared" si="27"/>
        <v>0</v>
      </c>
      <c r="M89" s="375">
        <f t="shared" si="27"/>
        <v>0</v>
      </c>
      <c r="N89" s="375">
        <f t="shared" si="27"/>
        <v>0</v>
      </c>
      <c r="O89" s="375">
        <f t="shared" si="27"/>
        <v>0</v>
      </c>
      <c r="P89" s="375">
        <f t="shared" si="27"/>
        <v>0</v>
      </c>
      <c r="Q89" s="375">
        <f t="shared" si="27"/>
        <v>0</v>
      </c>
      <c r="R89" s="375">
        <f t="shared" si="27"/>
        <v>0</v>
      </c>
      <c r="S89" s="375">
        <f t="shared" si="27"/>
        <v>0</v>
      </c>
      <c r="T89" s="375">
        <f t="shared" si="27"/>
        <v>0</v>
      </c>
      <c r="U89" s="375">
        <f t="shared" si="27"/>
        <v>0</v>
      </c>
      <c r="V89" s="375">
        <f t="shared" si="27"/>
        <v>0</v>
      </c>
      <c r="W89" s="375">
        <f t="shared" si="27"/>
        <v>0</v>
      </c>
      <c r="X89" s="375">
        <f t="shared" si="27"/>
        <v>0</v>
      </c>
      <c r="Y89" s="375">
        <f t="shared" si="27"/>
        <v>0</v>
      </c>
      <c r="Z89" s="375">
        <f t="shared" si="27"/>
        <v>0</v>
      </c>
      <c r="AA89" s="375">
        <f t="shared" si="27"/>
        <v>0</v>
      </c>
      <c r="AB89" s="375">
        <f t="shared" si="27"/>
        <v>0</v>
      </c>
      <c r="AC89" s="375">
        <f t="shared" si="27"/>
        <v>0</v>
      </c>
      <c r="AD89" s="375">
        <f t="shared" si="27"/>
        <v>0</v>
      </c>
      <c r="AE89" s="375">
        <f t="shared" si="27"/>
        <v>0</v>
      </c>
      <c r="AF89" s="375">
        <f t="shared" si="27"/>
        <v>0</v>
      </c>
      <c r="AG89" s="375">
        <f t="shared" si="27"/>
        <v>0</v>
      </c>
      <c r="AH89" s="375">
        <f t="shared" si="27"/>
        <v>0</v>
      </c>
      <c r="AI89" s="375">
        <f t="shared" si="27"/>
        <v>0</v>
      </c>
      <c r="AJ89" s="375">
        <f t="shared" si="27"/>
        <v>0</v>
      </c>
      <c r="AK89" s="375">
        <f t="shared" si="27"/>
        <v>0</v>
      </c>
      <c r="AL89" s="375">
        <f t="shared" si="27"/>
        <v>0</v>
      </c>
      <c r="AM89" s="375">
        <f t="shared" si="27"/>
        <v>0</v>
      </c>
      <c r="AN89" s="375">
        <f t="shared" si="27"/>
        <v>0</v>
      </c>
      <c r="AO89" s="375">
        <f t="shared" si="27"/>
        <v>0</v>
      </c>
      <c r="AP89" s="375">
        <f t="shared" si="27"/>
        <v>0</v>
      </c>
      <c r="AQ89" s="375">
        <f t="shared" si="27"/>
        <v>0</v>
      </c>
      <c r="AR89" s="375">
        <f t="shared" si="27"/>
        <v>0</v>
      </c>
      <c r="AS89" s="375">
        <f t="shared" si="27"/>
        <v>0</v>
      </c>
      <c r="AT89" s="375">
        <f t="shared" si="27"/>
        <v>0</v>
      </c>
      <c r="AU89" s="375">
        <f t="shared" si="27"/>
        <v>0</v>
      </c>
      <c r="AV89" s="375">
        <f t="shared" si="27"/>
        <v>0</v>
      </c>
      <c r="AW89" s="375">
        <f t="shared" si="27"/>
        <v>0</v>
      </c>
      <c r="AX89" s="375">
        <f t="shared" si="27"/>
        <v>0</v>
      </c>
      <c r="AY89" s="375">
        <f t="shared" si="27"/>
        <v>0</v>
      </c>
      <c r="AZ89" s="375">
        <f t="shared" si="27"/>
        <v>0</v>
      </c>
      <c r="BA89" s="375">
        <f t="shared" si="27"/>
        <v>0</v>
      </c>
      <c r="BB89" s="375">
        <f t="shared" si="27"/>
        <v>0</v>
      </c>
      <c r="BC89" s="375">
        <f t="shared" si="27"/>
        <v>0</v>
      </c>
      <c r="BD89" s="375">
        <f t="shared" si="27"/>
        <v>0</v>
      </c>
      <c r="BE89" s="375">
        <f t="shared" si="27"/>
        <v>0</v>
      </c>
      <c r="BF89" s="375">
        <f t="shared" si="27"/>
        <v>0</v>
      </c>
      <c r="BG89" s="375">
        <f t="shared" si="27"/>
        <v>0</v>
      </c>
      <c r="BH89" s="375">
        <f t="shared" si="27"/>
        <v>0</v>
      </c>
      <c r="BI89" s="175"/>
      <c r="BJ89" s="121"/>
      <c r="BK89" s="121"/>
      <c r="BL89" s="121"/>
      <c r="BM89" s="121"/>
      <c r="BN89" s="121"/>
      <c r="BO89" s="121"/>
    </row>
    <row r="90" spans="2:67" ht="12.75">
      <c r="C90" s="2005" t="s">
        <v>285</v>
      </c>
      <c r="D90" s="2007"/>
      <c r="E90" s="2007"/>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200"/>
      <c r="BJ90" s="121"/>
      <c r="BK90" s="121"/>
      <c r="BL90" s="121"/>
      <c r="BM90" s="121"/>
      <c r="BN90" s="121"/>
      <c r="BO90" s="121"/>
    </row>
    <row r="91" spans="2:67" ht="12.75">
      <c r="C91" s="201"/>
      <c r="D91" s="121" t="s">
        <v>617</v>
      </c>
      <c r="E91" s="121" t="str">
        <f>IF(C7="railbelt south of Alaska Range","mmBtu per year","gallons per year")</f>
        <v>gallons per year</v>
      </c>
      <c r="F91" s="196" t="str">
        <f t="shared" ref="F91:AL91" si="28">$P$26</f>
        <v>unknown</v>
      </c>
      <c r="G91" s="196" t="str">
        <f t="shared" si="28"/>
        <v>unknown</v>
      </c>
      <c r="H91" s="196" t="str">
        <f t="shared" si="28"/>
        <v>unknown</v>
      </c>
      <c r="I91" s="196" t="str">
        <f t="shared" si="28"/>
        <v>unknown</v>
      </c>
      <c r="J91" s="196" t="str">
        <f t="shared" si="28"/>
        <v>unknown</v>
      </c>
      <c r="K91" s="196" t="str">
        <f t="shared" si="28"/>
        <v>unknown</v>
      </c>
      <c r="L91" s="196" t="str">
        <f t="shared" si="28"/>
        <v>unknown</v>
      </c>
      <c r="M91" s="196" t="str">
        <f t="shared" si="28"/>
        <v>unknown</v>
      </c>
      <c r="N91" s="196" t="str">
        <f t="shared" si="28"/>
        <v>unknown</v>
      </c>
      <c r="O91" s="196" t="str">
        <f t="shared" si="28"/>
        <v>unknown</v>
      </c>
      <c r="P91" s="196" t="str">
        <f t="shared" si="28"/>
        <v>unknown</v>
      </c>
      <c r="Q91" s="196" t="str">
        <f t="shared" si="28"/>
        <v>unknown</v>
      </c>
      <c r="R91" s="196" t="str">
        <f t="shared" si="28"/>
        <v>unknown</v>
      </c>
      <c r="S91" s="196" t="str">
        <f t="shared" si="28"/>
        <v>unknown</v>
      </c>
      <c r="T91" s="196" t="str">
        <f t="shared" si="28"/>
        <v>unknown</v>
      </c>
      <c r="U91" s="196" t="str">
        <f t="shared" si="28"/>
        <v>unknown</v>
      </c>
      <c r="V91" s="196" t="str">
        <f t="shared" si="28"/>
        <v>unknown</v>
      </c>
      <c r="W91" s="196" t="str">
        <f t="shared" si="28"/>
        <v>unknown</v>
      </c>
      <c r="X91" s="196" t="str">
        <f t="shared" si="28"/>
        <v>unknown</v>
      </c>
      <c r="Y91" s="196" t="str">
        <f t="shared" si="28"/>
        <v>unknown</v>
      </c>
      <c r="Z91" s="196" t="str">
        <f t="shared" si="28"/>
        <v>unknown</v>
      </c>
      <c r="AA91" s="196" t="str">
        <f t="shared" si="28"/>
        <v>unknown</v>
      </c>
      <c r="AB91" s="196" t="str">
        <f t="shared" si="28"/>
        <v>unknown</v>
      </c>
      <c r="AC91" s="196" t="str">
        <f t="shared" si="28"/>
        <v>unknown</v>
      </c>
      <c r="AD91" s="196" t="str">
        <f t="shared" si="28"/>
        <v>unknown</v>
      </c>
      <c r="AE91" s="196" t="str">
        <f t="shared" si="28"/>
        <v>unknown</v>
      </c>
      <c r="AF91" s="196" t="str">
        <f t="shared" si="28"/>
        <v>unknown</v>
      </c>
      <c r="AG91" s="196" t="str">
        <f t="shared" si="28"/>
        <v>unknown</v>
      </c>
      <c r="AH91" s="196" t="str">
        <f t="shared" si="28"/>
        <v>unknown</v>
      </c>
      <c r="AI91" s="196" t="str">
        <f t="shared" si="28"/>
        <v>unknown</v>
      </c>
      <c r="AJ91" s="196" t="str">
        <f t="shared" si="28"/>
        <v>unknown</v>
      </c>
      <c r="AK91" s="196" t="str">
        <f t="shared" si="28"/>
        <v>unknown</v>
      </c>
      <c r="AL91" s="196" t="str">
        <f t="shared" si="28"/>
        <v>unknown</v>
      </c>
      <c r="AM91" s="196" t="str">
        <f t="shared" ref="AM91:BH91" si="29">$P$26</f>
        <v>unknown</v>
      </c>
      <c r="AN91" s="196" t="str">
        <f t="shared" si="29"/>
        <v>unknown</v>
      </c>
      <c r="AO91" s="196" t="str">
        <f t="shared" si="29"/>
        <v>unknown</v>
      </c>
      <c r="AP91" s="196" t="str">
        <f t="shared" si="29"/>
        <v>unknown</v>
      </c>
      <c r="AQ91" s="196" t="str">
        <f t="shared" si="29"/>
        <v>unknown</v>
      </c>
      <c r="AR91" s="196" t="str">
        <f t="shared" si="29"/>
        <v>unknown</v>
      </c>
      <c r="AS91" s="196" t="str">
        <f t="shared" si="29"/>
        <v>unknown</v>
      </c>
      <c r="AT91" s="196" t="str">
        <f t="shared" si="29"/>
        <v>unknown</v>
      </c>
      <c r="AU91" s="196" t="str">
        <f t="shared" si="29"/>
        <v>unknown</v>
      </c>
      <c r="AV91" s="196" t="str">
        <f t="shared" si="29"/>
        <v>unknown</v>
      </c>
      <c r="AW91" s="196" t="str">
        <f t="shared" si="29"/>
        <v>unknown</v>
      </c>
      <c r="AX91" s="196" t="str">
        <f t="shared" si="29"/>
        <v>unknown</v>
      </c>
      <c r="AY91" s="196" t="str">
        <f t="shared" si="29"/>
        <v>unknown</v>
      </c>
      <c r="AZ91" s="196" t="str">
        <f t="shared" si="29"/>
        <v>unknown</v>
      </c>
      <c r="BA91" s="196" t="str">
        <f t="shared" si="29"/>
        <v>unknown</v>
      </c>
      <c r="BB91" s="196" t="str">
        <f t="shared" si="29"/>
        <v>unknown</v>
      </c>
      <c r="BC91" s="196" t="str">
        <f t="shared" si="29"/>
        <v>unknown</v>
      </c>
      <c r="BD91" s="196" t="str">
        <f t="shared" si="29"/>
        <v>unknown</v>
      </c>
      <c r="BE91" s="196" t="str">
        <f t="shared" si="29"/>
        <v>unknown</v>
      </c>
      <c r="BF91" s="196" t="str">
        <f t="shared" si="29"/>
        <v>unknown</v>
      </c>
      <c r="BG91" s="196" t="str">
        <f t="shared" si="29"/>
        <v>unknown</v>
      </c>
      <c r="BH91" s="196" t="str">
        <f t="shared" si="29"/>
        <v>unknown</v>
      </c>
      <c r="BI91" s="175"/>
      <c r="BJ91" s="121"/>
      <c r="BK91" s="121"/>
      <c r="BL91" s="121"/>
      <c r="BM91" s="121"/>
      <c r="BN91" s="121"/>
      <c r="BO91" s="121"/>
    </row>
    <row r="92" spans="2:67" ht="12.75">
      <c r="C92" s="201"/>
      <c r="D92" s="121" t="s">
        <v>270</v>
      </c>
      <c r="E92" s="121" t="str">
        <f>IF(C7="railbelt south of alaska range","$ per mmBtu","$ per gallon")</f>
        <v>$ per gallon</v>
      </c>
      <c r="F92" s="187"/>
      <c r="G92" s="187">
        <f>G73+$D$47</f>
        <v>4.2059794220983502</v>
      </c>
      <c r="H92" s="187">
        <f t="shared" ref="H92:BH92" si="30">H73+$D$47</f>
        <v>4.6732754001702883</v>
      </c>
      <c r="I92" s="187">
        <f t="shared" si="30"/>
        <v>4.8376162909716216</v>
      </c>
      <c r="J92" s="187">
        <f t="shared" si="30"/>
        <v>4.8496361886136912</v>
      </c>
      <c r="K92" s="187">
        <f t="shared" si="30"/>
        <v>4.9056275244664125</v>
      </c>
      <c r="L92" s="187">
        <f t="shared" si="30"/>
        <v>4.9619109251504847</v>
      </c>
      <c r="M92" s="187">
        <f t="shared" si="30"/>
        <v>5.0381773568460284</v>
      </c>
      <c r="N92" s="187">
        <f t="shared" si="30"/>
        <v>5.1199306055642086</v>
      </c>
      <c r="O92" s="187">
        <f t="shared" si="30"/>
        <v>5.2046041917591079</v>
      </c>
      <c r="P92" s="187">
        <f t="shared" si="30"/>
        <v>5.2910732209604339</v>
      </c>
      <c r="Q92" s="187">
        <f t="shared" si="30"/>
        <v>5.377947971766412</v>
      </c>
      <c r="R92" s="187">
        <f t="shared" si="30"/>
        <v>5.4704967063761769</v>
      </c>
      <c r="S92" s="187">
        <f t="shared" si="30"/>
        <v>5.5653090792390989</v>
      </c>
      <c r="T92" s="187">
        <f t="shared" si="30"/>
        <v>5.6624414849609002</v>
      </c>
      <c r="U92" s="187">
        <f t="shared" si="30"/>
        <v>5.7619514121882238</v>
      </c>
      <c r="V92" s="187">
        <f t="shared" si="30"/>
        <v>5.863897589004015</v>
      </c>
      <c r="W92" s="187">
        <f t="shared" si="30"/>
        <v>5.9683408481979816</v>
      </c>
      <c r="X92" s="187">
        <f t="shared" si="30"/>
        <v>6.075342926874276</v>
      </c>
      <c r="Y92" s="187">
        <f t="shared" si="30"/>
        <v>6.184818158118297</v>
      </c>
      <c r="Z92" s="187">
        <f t="shared" si="30"/>
        <v>6.292419236935225</v>
      </c>
      <c r="AA92" s="187">
        <f t="shared" si="30"/>
        <v>6.4056246146124609</v>
      </c>
      <c r="AB92" s="187">
        <f t="shared" si="30"/>
        <v>6.5219530773050831</v>
      </c>
      <c r="AC92" s="187">
        <f t="shared" si="30"/>
        <v>6.6360405950884838</v>
      </c>
      <c r="AD92" s="187">
        <f t="shared" si="30"/>
        <v>6.7587026423442191</v>
      </c>
      <c r="AE92" s="187">
        <f t="shared" si="30"/>
        <v>6.8910386217753219</v>
      </c>
      <c r="AF92" s="187">
        <f t="shared" si="30"/>
        <v>7.014392524247052</v>
      </c>
      <c r="AG92" s="187">
        <f t="shared" si="30"/>
        <v>7.014392524247052</v>
      </c>
      <c r="AH92" s="187">
        <f t="shared" si="30"/>
        <v>7.014392524247052</v>
      </c>
      <c r="AI92" s="187">
        <f t="shared" si="30"/>
        <v>7.014392524247052</v>
      </c>
      <c r="AJ92" s="187">
        <f t="shared" si="30"/>
        <v>7.014392524247052</v>
      </c>
      <c r="AK92" s="187">
        <f t="shared" si="30"/>
        <v>7.014392524247052</v>
      </c>
      <c r="AL92" s="187">
        <f t="shared" si="30"/>
        <v>7.014392524247052</v>
      </c>
      <c r="AM92" s="187">
        <f t="shared" si="30"/>
        <v>7.014392524247052</v>
      </c>
      <c r="AN92" s="187">
        <f t="shared" si="30"/>
        <v>7.014392524247052</v>
      </c>
      <c r="AO92" s="187">
        <f t="shared" si="30"/>
        <v>7.014392524247052</v>
      </c>
      <c r="AP92" s="187">
        <f t="shared" si="30"/>
        <v>7.014392524247052</v>
      </c>
      <c r="AQ92" s="187">
        <f t="shared" si="30"/>
        <v>7.014392524247052</v>
      </c>
      <c r="AR92" s="187">
        <f t="shared" si="30"/>
        <v>7.014392524247052</v>
      </c>
      <c r="AS92" s="187">
        <f t="shared" si="30"/>
        <v>7.014392524247052</v>
      </c>
      <c r="AT92" s="187">
        <f t="shared" si="30"/>
        <v>7.014392524247052</v>
      </c>
      <c r="AU92" s="187">
        <f t="shared" si="30"/>
        <v>7.014392524247052</v>
      </c>
      <c r="AV92" s="187">
        <f t="shared" si="30"/>
        <v>7.014392524247052</v>
      </c>
      <c r="AW92" s="187">
        <f t="shared" si="30"/>
        <v>7.014392524247052</v>
      </c>
      <c r="AX92" s="187">
        <f t="shared" si="30"/>
        <v>7.014392524247052</v>
      </c>
      <c r="AY92" s="187">
        <f t="shared" si="30"/>
        <v>7.014392524247052</v>
      </c>
      <c r="AZ92" s="187">
        <f t="shared" si="30"/>
        <v>7.014392524247052</v>
      </c>
      <c r="BA92" s="187">
        <f t="shared" si="30"/>
        <v>7.014392524247052</v>
      </c>
      <c r="BB92" s="187">
        <f t="shared" si="30"/>
        <v>7.014392524247052</v>
      </c>
      <c r="BC92" s="187">
        <f t="shared" si="30"/>
        <v>7.014392524247052</v>
      </c>
      <c r="BD92" s="187">
        <f t="shared" si="30"/>
        <v>7.014392524247052</v>
      </c>
      <c r="BE92" s="187">
        <f t="shared" si="30"/>
        <v>7.014392524247052</v>
      </c>
      <c r="BF92" s="187">
        <f t="shared" si="30"/>
        <v>7.014392524247052</v>
      </c>
      <c r="BG92" s="187">
        <f t="shared" si="30"/>
        <v>7.014392524247052</v>
      </c>
      <c r="BH92" s="187">
        <f t="shared" si="30"/>
        <v>7.014392524247052</v>
      </c>
      <c r="BI92" s="175"/>
      <c r="BJ92" s="121"/>
      <c r="BK92" s="121"/>
      <c r="BL92" s="121"/>
      <c r="BM92" s="121"/>
      <c r="BN92" s="121"/>
      <c r="BO92" s="121"/>
    </row>
    <row r="93" spans="2:67" ht="12.75">
      <c r="C93" s="201" t="s">
        <v>277</v>
      </c>
      <c r="D93" s="121" t="s">
        <v>382</v>
      </c>
      <c r="E93" s="121" t="s">
        <v>264</v>
      </c>
      <c r="F93" s="176">
        <v>0</v>
      </c>
      <c r="G93" s="176"/>
      <c r="H93" s="176"/>
      <c r="I93" s="176"/>
      <c r="J93" s="176"/>
      <c r="K93" s="176"/>
      <c r="L93" s="176"/>
      <c r="M93" s="176"/>
      <c r="N93" s="176"/>
      <c r="O93" s="176"/>
      <c r="P93" s="176"/>
      <c r="Q93" s="176"/>
      <c r="R93" s="176"/>
      <c r="S93" s="176"/>
      <c r="T93" s="176"/>
      <c r="U93" s="176"/>
      <c r="V93" s="176"/>
      <c r="W93" s="176"/>
      <c r="X93" s="176"/>
      <c r="Y93" s="176"/>
      <c r="Z93" s="176"/>
      <c r="AA93" s="176"/>
      <c r="AB93" s="176">
        <v>0</v>
      </c>
      <c r="AC93" s="176">
        <v>0</v>
      </c>
      <c r="AD93" s="176">
        <v>0</v>
      </c>
      <c r="AE93" s="176">
        <v>0</v>
      </c>
      <c r="AF93" s="176">
        <v>0</v>
      </c>
      <c r="AG93" s="176">
        <v>0</v>
      </c>
      <c r="AH93" s="176">
        <v>0</v>
      </c>
      <c r="AI93" s="176">
        <v>0</v>
      </c>
      <c r="AJ93" s="176">
        <v>0</v>
      </c>
      <c r="AK93" s="176">
        <v>0</v>
      </c>
      <c r="AL93" s="176">
        <v>0</v>
      </c>
      <c r="AM93" s="176">
        <v>0</v>
      </c>
      <c r="AN93" s="176">
        <v>0</v>
      </c>
      <c r="AO93" s="176">
        <v>0</v>
      </c>
      <c r="AP93" s="176">
        <v>0</v>
      </c>
      <c r="AQ93" s="176">
        <v>0</v>
      </c>
      <c r="AR93" s="176">
        <v>0</v>
      </c>
      <c r="AS93" s="176">
        <v>0</v>
      </c>
      <c r="AT93" s="176">
        <v>0</v>
      </c>
      <c r="AU93" s="176">
        <v>0</v>
      </c>
      <c r="AV93" s="176">
        <v>0</v>
      </c>
      <c r="AW93" s="176">
        <v>0</v>
      </c>
      <c r="AX93" s="176">
        <v>0</v>
      </c>
      <c r="AY93" s="176">
        <v>0</v>
      </c>
      <c r="AZ93" s="176">
        <v>0</v>
      </c>
      <c r="BA93" s="176">
        <v>0</v>
      </c>
      <c r="BB93" s="176">
        <v>0</v>
      </c>
      <c r="BC93" s="176">
        <v>0</v>
      </c>
      <c r="BD93" s="176">
        <v>0</v>
      </c>
      <c r="BE93" s="176">
        <v>0</v>
      </c>
      <c r="BF93" s="176">
        <v>0</v>
      </c>
      <c r="BG93" s="176">
        <v>0</v>
      </c>
      <c r="BH93" s="176">
        <v>0</v>
      </c>
      <c r="BI93" s="175">
        <f>NPV($D$49,F93:BH93)</f>
        <v>0</v>
      </c>
      <c r="BJ93" s="121"/>
      <c r="BK93" s="121"/>
      <c r="BL93" s="121"/>
      <c r="BM93" s="121"/>
      <c r="BN93" s="121"/>
      <c r="BO93" s="121"/>
    </row>
    <row r="94" spans="2:67" ht="12.75">
      <c r="C94" s="201" t="s">
        <v>277</v>
      </c>
      <c r="D94" s="121" t="s">
        <v>316</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190"/>
      <c r="D95" s="121" t="s">
        <v>270</v>
      </c>
      <c r="E95" s="121" t="s">
        <v>264</v>
      </c>
      <c r="F95" s="191" t="e">
        <f>F91*F92</f>
        <v>#VALUE!</v>
      </c>
      <c r="G95" s="191" t="e">
        <f>G91*G92</f>
        <v>#VALUE!</v>
      </c>
      <c r="H95" s="191" t="e">
        <f t="shared" ref="H95:BH95" si="31">H91*H92</f>
        <v>#VALUE!</v>
      </c>
      <c r="I95" s="191" t="e">
        <f t="shared" si="31"/>
        <v>#VALUE!</v>
      </c>
      <c r="J95" s="191" t="e">
        <f t="shared" si="31"/>
        <v>#VALUE!</v>
      </c>
      <c r="K95" s="191" t="e">
        <f t="shared" si="31"/>
        <v>#VALUE!</v>
      </c>
      <c r="L95" s="191" t="e">
        <f t="shared" si="31"/>
        <v>#VALUE!</v>
      </c>
      <c r="M95" s="191" t="e">
        <f t="shared" si="31"/>
        <v>#VALUE!</v>
      </c>
      <c r="N95" s="191" t="e">
        <f t="shared" si="31"/>
        <v>#VALUE!</v>
      </c>
      <c r="O95" s="191" t="e">
        <f t="shared" si="31"/>
        <v>#VALUE!</v>
      </c>
      <c r="P95" s="191" t="e">
        <f t="shared" si="31"/>
        <v>#VALUE!</v>
      </c>
      <c r="Q95" s="191" t="e">
        <f t="shared" si="31"/>
        <v>#VALUE!</v>
      </c>
      <c r="R95" s="191" t="e">
        <f t="shared" si="31"/>
        <v>#VALUE!</v>
      </c>
      <c r="S95" s="191" t="e">
        <f t="shared" si="31"/>
        <v>#VALUE!</v>
      </c>
      <c r="T95" s="191" t="e">
        <f t="shared" si="31"/>
        <v>#VALUE!</v>
      </c>
      <c r="U95" s="191" t="e">
        <f t="shared" si="31"/>
        <v>#VALUE!</v>
      </c>
      <c r="V95" s="191" t="e">
        <f t="shared" si="31"/>
        <v>#VALUE!</v>
      </c>
      <c r="W95" s="191" t="e">
        <f t="shared" si="31"/>
        <v>#VALUE!</v>
      </c>
      <c r="X95" s="191" t="e">
        <f t="shared" si="31"/>
        <v>#VALUE!</v>
      </c>
      <c r="Y95" s="191" t="e">
        <f t="shared" si="31"/>
        <v>#VALUE!</v>
      </c>
      <c r="Z95" s="191" t="e">
        <f t="shared" si="31"/>
        <v>#VALUE!</v>
      </c>
      <c r="AA95" s="191" t="e">
        <f t="shared" si="31"/>
        <v>#VALUE!</v>
      </c>
      <c r="AB95" s="191" t="e">
        <f t="shared" si="31"/>
        <v>#VALUE!</v>
      </c>
      <c r="AC95" s="191" t="e">
        <f t="shared" si="31"/>
        <v>#VALUE!</v>
      </c>
      <c r="AD95" s="191" t="e">
        <f t="shared" si="31"/>
        <v>#VALUE!</v>
      </c>
      <c r="AE95" s="191" t="e">
        <f t="shared" si="31"/>
        <v>#VALUE!</v>
      </c>
      <c r="AF95" s="191" t="e">
        <f t="shared" si="31"/>
        <v>#VALUE!</v>
      </c>
      <c r="AG95" s="191" t="e">
        <f t="shared" si="31"/>
        <v>#VALUE!</v>
      </c>
      <c r="AH95" s="191" t="e">
        <f t="shared" si="31"/>
        <v>#VALUE!</v>
      </c>
      <c r="AI95" s="191" t="e">
        <f t="shared" si="31"/>
        <v>#VALUE!</v>
      </c>
      <c r="AJ95" s="191" t="e">
        <f t="shared" si="31"/>
        <v>#VALUE!</v>
      </c>
      <c r="AK95" s="191" t="e">
        <f t="shared" si="31"/>
        <v>#VALUE!</v>
      </c>
      <c r="AL95" s="191" t="e">
        <f t="shared" si="31"/>
        <v>#VALUE!</v>
      </c>
      <c r="AM95" s="191" t="e">
        <f t="shared" si="31"/>
        <v>#VALUE!</v>
      </c>
      <c r="AN95" s="191" t="e">
        <f t="shared" si="31"/>
        <v>#VALUE!</v>
      </c>
      <c r="AO95" s="191" t="e">
        <f t="shared" si="31"/>
        <v>#VALUE!</v>
      </c>
      <c r="AP95" s="191" t="e">
        <f t="shared" si="31"/>
        <v>#VALUE!</v>
      </c>
      <c r="AQ95" s="191" t="e">
        <f t="shared" si="31"/>
        <v>#VALUE!</v>
      </c>
      <c r="AR95" s="191" t="e">
        <f t="shared" si="31"/>
        <v>#VALUE!</v>
      </c>
      <c r="AS95" s="191" t="e">
        <f t="shared" si="31"/>
        <v>#VALUE!</v>
      </c>
      <c r="AT95" s="191" t="e">
        <f t="shared" si="31"/>
        <v>#VALUE!</v>
      </c>
      <c r="AU95" s="191" t="e">
        <f t="shared" si="31"/>
        <v>#VALUE!</v>
      </c>
      <c r="AV95" s="191" t="e">
        <f t="shared" si="31"/>
        <v>#VALUE!</v>
      </c>
      <c r="AW95" s="191" t="e">
        <f t="shared" si="31"/>
        <v>#VALUE!</v>
      </c>
      <c r="AX95" s="191" t="e">
        <f t="shared" si="31"/>
        <v>#VALUE!</v>
      </c>
      <c r="AY95" s="191" t="e">
        <f t="shared" si="31"/>
        <v>#VALUE!</v>
      </c>
      <c r="AZ95" s="191" t="e">
        <f t="shared" si="31"/>
        <v>#VALUE!</v>
      </c>
      <c r="BA95" s="191" t="e">
        <f t="shared" si="31"/>
        <v>#VALUE!</v>
      </c>
      <c r="BB95" s="191" t="e">
        <f t="shared" si="31"/>
        <v>#VALUE!</v>
      </c>
      <c r="BC95" s="191" t="e">
        <f t="shared" si="31"/>
        <v>#VALUE!</v>
      </c>
      <c r="BD95" s="191" t="e">
        <f t="shared" si="31"/>
        <v>#VALUE!</v>
      </c>
      <c r="BE95" s="191" t="e">
        <f t="shared" si="31"/>
        <v>#VALUE!</v>
      </c>
      <c r="BF95" s="191" t="e">
        <f t="shared" si="31"/>
        <v>#VALUE!</v>
      </c>
      <c r="BG95" s="191" t="e">
        <f t="shared" si="31"/>
        <v>#VALUE!</v>
      </c>
      <c r="BH95" s="191" t="e">
        <f t="shared" si="31"/>
        <v>#VALUE!</v>
      </c>
      <c r="BI95" s="175" t="e">
        <f>NPV($D$49,F95:BH95)</f>
        <v>#VALUE!</v>
      </c>
      <c r="BJ95" s="121"/>
      <c r="BK95" s="121"/>
      <c r="BL95" s="121"/>
      <c r="BM95" s="121"/>
      <c r="BN95" s="121"/>
      <c r="BO95" s="121"/>
    </row>
    <row r="96" spans="2:67" s="192" customFormat="1" ht="12.75">
      <c r="B96" s="193"/>
      <c r="C96" s="202"/>
      <c r="D96" s="184" t="s">
        <v>374</v>
      </c>
      <c r="E96" s="184" t="s">
        <v>264</v>
      </c>
      <c r="F96" s="197" t="e">
        <f t="shared" ref="F96:BH96" si="32">F95+F94+F93</f>
        <v>#VALUE!</v>
      </c>
      <c r="G96" s="197" t="e">
        <f t="shared" si="32"/>
        <v>#VALUE!</v>
      </c>
      <c r="H96" s="197" t="e">
        <f t="shared" si="32"/>
        <v>#VALUE!</v>
      </c>
      <c r="I96" s="197" t="e">
        <f t="shared" si="32"/>
        <v>#VALUE!</v>
      </c>
      <c r="J96" s="197" t="e">
        <f t="shared" si="32"/>
        <v>#VALUE!</v>
      </c>
      <c r="K96" s="197" t="e">
        <f t="shared" si="32"/>
        <v>#VALUE!</v>
      </c>
      <c r="L96" s="197" t="e">
        <f t="shared" si="32"/>
        <v>#VALUE!</v>
      </c>
      <c r="M96" s="197" t="e">
        <f t="shared" si="32"/>
        <v>#VALUE!</v>
      </c>
      <c r="N96" s="197" t="e">
        <f t="shared" si="32"/>
        <v>#VALUE!</v>
      </c>
      <c r="O96" s="197" t="e">
        <f t="shared" si="32"/>
        <v>#VALUE!</v>
      </c>
      <c r="P96" s="197" t="e">
        <f t="shared" si="32"/>
        <v>#VALUE!</v>
      </c>
      <c r="Q96" s="197" t="e">
        <f t="shared" si="32"/>
        <v>#VALUE!</v>
      </c>
      <c r="R96" s="197" t="e">
        <f t="shared" si="32"/>
        <v>#VALUE!</v>
      </c>
      <c r="S96" s="194" t="e">
        <f t="shared" si="32"/>
        <v>#VALUE!</v>
      </c>
      <c r="T96" s="194" t="e">
        <f t="shared" si="32"/>
        <v>#VALUE!</v>
      </c>
      <c r="U96" s="194" t="e">
        <f t="shared" si="32"/>
        <v>#VALUE!</v>
      </c>
      <c r="V96" s="194" t="e">
        <f t="shared" si="32"/>
        <v>#VALUE!</v>
      </c>
      <c r="W96" s="194" t="e">
        <f t="shared" si="32"/>
        <v>#VALUE!</v>
      </c>
      <c r="X96" s="194" t="e">
        <f t="shared" si="32"/>
        <v>#VALUE!</v>
      </c>
      <c r="Y96" s="194" t="e">
        <f t="shared" si="32"/>
        <v>#VALUE!</v>
      </c>
      <c r="Z96" s="194" t="e">
        <f t="shared" si="32"/>
        <v>#VALUE!</v>
      </c>
      <c r="AA96" s="194" t="e">
        <f t="shared" si="32"/>
        <v>#VALUE!</v>
      </c>
      <c r="AB96" s="194" t="e">
        <f t="shared" si="32"/>
        <v>#VALUE!</v>
      </c>
      <c r="AC96" s="194" t="e">
        <f t="shared" si="32"/>
        <v>#VALUE!</v>
      </c>
      <c r="AD96" s="194" t="e">
        <f t="shared" si="32"/>
        <v>#VALUE!</v>
      </c>
      <c r="AE96" s="194" t="e">
        <f t="shared" si="32"/>
        <v>#VALUE!</v>
      </c>
      <c r="AF96" s="194" t="e">
        <f t="shared" si="32"/>
        <v>#VALUE!</v>
      </c>
      <c r="AG96" s="194" t="e">
        <f t="shared" si="32"/>
        <v>#VALUE!</v>
      </c>
      <c r="AH96" s="194" t="e">
        <f t="shared" si="32"/>
        <v>#VALUE!</v>
      </c>
      <c r="AI96" s="194" t="e">
        <f t="shared" si="32"/>
        <v>#VALUE!</v>
      </c>
      <c r="AJ96" s="194" t="e">
        <f t="shared" si="32"/>
        <v>#VALUE!</v>
      </c>
      <c r="AK96" s="194" t="e">
        <f t="shared" si="32"/>
        <v>#VALUE!</v>
      </c>
      <c r="AL96" s="194" t="e">
        <f t="shared" si="32"/>
        <v>#VALUE!</v>
      </c>
      <c r="AM96" s="194" t="e">
        <f t="shared" si="32"/>
        <v>#VALUE!</v>
      </c>
      <c r="AN96" s="194" t="e">
        <f t="shared" si="32"/>
        <v>#VALUE!</v>
      </c>
      <c r="AO96" s="194" t="e">
        <f t="shared" si="32"/>
        <v>#VALUE!</v>
      </c>
      <c r="AP96" s="194" t="e">
        <f t="shared" si="32"/>
        <v>#VALUE!</v>
      </c>
      <c r="AQ96" s="194" t="e">
        <f t="shared" si="32"/>
        <v>#VALUE!</v>
      </c>
      <c r="AR96" s="194" t="e">
        <f t="shared" si="32"/>
        <v>#VALUE!</v>
      </c>
      <c r="AS96" s="194" t="e">
        <f t="shared" si="32"/>
        <v>#VALUE!</v>
      </c>
      <c r="AT96" s="194" t="e">
        <f t="shared" si="32"/>
        <v>#VALUE!</v>
      </c>
      <c r="AU96" s="194" t="e">
        <f t="shared" si="32"/>
        <v>#VALUE!</v>
      </c>
      <c r="AV96" s="194" t="e">
        <f t="shared" si="32"/>
        <v>#VALUE!</v>
      </c>
      <c r="AW96" s="194" t="e">
        <f t="shared" si="32"/>
        <v>#VALUE!</v>
      </c>
      <c r="AX96" s="194" t="e">
        <f t="shared" si="32"/>
        <v>#VALUE!</v>
      </c>
      <c r="AY96" s="194" t="e">
        <f t="shared" si="32"/>
        <v>#VALUE!</v>
      </c>
      <c r="AZ96" s="194" t="e">
        <f t="shared" si="32"/>
        <v>#VALUE!</v>
      </c>
      <c r="BA96" s="194" t="e">
        <f t="shared" si="32"/>
        <v>#VALUE!</v>
      </c>
      <c r="BB96" s="194" t="e">
        <f t="shared" si="32"/>
        <v>#VALUE!</v>
      </c>
      <c r="BC96" s="194" t="e">
        <f t="shared" si="32"/>
        <v>#VALUE!</v>
      </c>
      <c r="BD96" s="194" t="e">
        <f t="shared" si="32"/>
        <v>#VALUE!</v>
      </c>
      <c r="BE96" s="194" t="e">
        <f t="shared" si="32"/>
        <v>#VALUE!</v>
      </c>
      <c r="BF96" s="194" t="e">
        <f t="shared" si="32"/>
        <v>#VALUE!</v>
      </c>
      <c r="BG96" s="194" t="e">
        <f t="shared" si="32"/>
        <v>#VALUE!</v>
      </c>
      <c r="BH96" s="194" t="e">
        <f t="shared" si="32"/>
        <v>#VALUE!</v>
      </c>
      <c r="BI96" s="175" t="e">
        <f>NPV($D$49,F96:BH96)</f>
        <v>#VALUE!</v>
      </c>
      <c r="BJ96" s="180"/>
      <c r="BK96" s="180"/>
      <c r="BL96" s="180"/>
      <c r="BM96" s="180"/>
      <c r="BN96" s="180"/>
      <c r="BO96" s="180"/>
    </row>
    <row r="97" spans="3:70" ht="12.75">
      <c r="C97" s="186"/>
      <c r="D97" s="121"/>
      <c r="E97" s="121"/>
      <c r="F97" s="195"/>
      <c r="G97" s="195"/>
      <c r="H97" s="195"/>
      <c r="I97" s="195"/>
      <c r="J97" s="195"/>
      <c r="K97" s="195"/>
      <c r="L97" s="195"/>
      <c r="M97" s="195"/>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75"/>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4.25">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2.75">
      <c r="C114" s="186"/>
      <c r="D114" s="136"/>
      <c r="E114" s="136"/>
      <c r="F114" s="136"/>
      <c r="H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c r="F119" s="136"/>
      <c r="K119" s="136"/>
      <c r="L119" s="136"/>
      <c r="M119" s="136"/>
      <c r="N119" s="136"/>
      <c r="O119" s="136"/>
      <c r="P119" s="136"/>
      <c r="Q119" s="136"/>
      <c r="R119" s="136"/>
      <c r="BP119" s="121"/>
      <c r="BQ119" s="121"/>
      <c r="BR119" s="121"/>
    </row>
  </sheetData>
  <mergeCells count="34">
    <mergeCell ref="A1:Q1"/>
    <mergeCell ref="B2:E2"/>
    <mergeCell ref="H2:R2"/>
    <mergeCell ref="N16:O16"/>
    <mergeCell ref="N17:O17"/>
    <mergeCell ref="C71:E71"/>
    <mergeCell ref="N15:O15"/>
    <mergeCell ref="N27:O27"/>
    <mergeCell ref="N6:Q6"/>
    <mergeCell ref="N29:O29"/>
    <mergeCell ref="N18:O18"/>
    <mergeCell ref="N7:O7"/>
    <mergeCell ref="N8:O8"/>
    <mergeCell ref="N9:O9"/>
    <mergeCell ref="N10:O10"/>
    <mergeCell ref="N11:O11"/>
    <mergeCell ref="N12:O12"/>
    <mergeCell ref="N13:O13"/>
    <mergeCell ref="C83:E83"/>
    <mergeCell ref="N14:O14"/>
    <mergeCell ref="N28:O28"/>
    <mergeCell ref="B4:C4"/>
    <mergeCell ref="C90:E90"/>
    <mergeCell ref="N19:O19"/>
    <mergeCell ref="C66:E66"/>
    <mergeCell ref="N20:O20"/>
    <mergeCell ref="N21:O21"/>
    <mergeCell ref="N22:O22"/>
    <mergeCell ref="N23:O23"/>
    <mergeCell ref="N24:O24"/>
    <mergeCell ref="N31:O31"/>
    <mergeCell ref="N30:O30"/>
    <mergeCell ref="N25:O25"/>
    <mergeCell ref="N26:O26"/>
  </mergeCells>
  <dataValidations count="6">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J14">
      <formula1>"Yes, No"</formula1>
    </dataValidation>
    <dataValidation type="list" allowBlank="1" showInputMessage="1" showErrorMessage="1" sqref="D6">
      <formula1>#REF!</formula1>
    </dataValidation>
    <dataValidation type="list" allowBlank="1" showInputMessage="1" showErrorMessage="1" sqref="F4:F5">
      <formula1>"High, Medium, Low"</formula1>
    </dataValidation>
    <dataValidation type="list" allowBlank="1" showInputMessage="1" showErrorMessage="1" sqref="J10:J12">
      <formula1>$A$50:$A$51</formula1>
    </dataValidation>
  </dataValidations>
  <pageMargins left="0.7" right="0.7" top="0.75" bottom="0.75" header="0.3" footer="0.3"/>
  <pageSetup paperSize="5" scale="34"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Assumptions!$A$50:$A$51</xm:f>
          </x14:formula1>
          <xm:sqref>J4</xm:sqref>
        </x14:dataValidation>
        <x14:dataValidation type="list" allowBlank="1" showInputMessage="1" showErrorMessage="1">
          <x14:formula1>
            <xm:f>Assumptions!$A$43:$A$46</xm:f>
          </x14:formula1>
          <xm:sqref>C9</xm:sqref>
        </x14:dataValidation>
        <x14:dataValidation type="list" allowBlank="1" showInputMessage="1" showErrorMessage="1">
          <x14:formula1>
            <xm:f>Assumptions!$C$51:$C$57</xm:f>
          </x14:formula1>
          <xm:sqref>J5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O408"/>
  <sheetViews>
    <sheetView workbookViewId="0">
      <selection activeCell="L10" sqref="L10"/>
    </sheetView>
  </sheetViews>
  <sheetFormatPr defaultRowHeight="12.75"/>
  <cols>
    <col min="1" max="1" width="23.28515625" bestFit="1" customWidth="1"/>
    <col min="2" max="9" width="13.28515625" style="1606" customWidth="1"/>
    <col min="10" max="11" width="13.28515625" style="1638" customWidth="1"/>
    <col min="12" max="12" width="37.7109375" bestFit="1" customWidth="1"/>
    <col min="13" max="13" width="55.7109375" bestFit="1" customWidth="1"/>
    <col min="14" max="14" width="166.7109375" bestFit="1" customWidth="1"/>
    <col min="15" max="15" width="24.28515625" bestFit="1" customWidth="1"/>
  </cols>
  <sheetData>
    <row r="1" spans="1:14" s="1249" customFormat="1" ht="99" customHeight="1">
      <c r="A1" s="1249" t="s">
        <v>1502</v>
      </c>
      <c r="B1" s="1249" t="s">
        <v>1845</v>
      </c>
      <c r="C1" s="1249" t="s">
        <v>1767</v>
      </c>
      <c r="D1" s="1249" t="s">
        <v>1846</v>
      </c>
      <c r="E1" s="1249" t="s">
        <v>1847</v>
      </c>
      <c r="F1" s="1249" t="s">
        <v>1848</v>
      </c>
      <c r="G1" s="1249" t="s">
        <v>1849</v>
      </c>
      <c r="H1" s="1249" t="s">
        <v>1850</v>
      </c>
      <c r="I1" s="1249" t="s">
        <v>1207</v>
      </c>
      <c r="J1" s="1643" t="s">
        <v>1897</v>
      </c>
      <c r="K1" s="1643" t="s">
        <v>1899</v>
      </c>
      <c r="L1" s="1249" t="s">
        <v>438</v>
      </c>
      <c r="M1" s="1249" t="s">
        <v>1851</v>
      </c>
      <c r="N1" s="1249" t="s">
        <v>1852</v>
      </c>
    </row>
    <row r="2" spans="1:14">
      <c r="A2" t="s">
        <v>969</v>
      </c>
      <c r="B2" s="1606" t="s">
        <v>1515</v>
      </c>
      <c r="D2" s="1606" t="s">
        <v>1516</v>
      </c>
      <c r="H2" s="1606" t="s">
        <v>1515</v>
      </c>
      <c r="I2" s="1606" t="s">
        <v>1529</v>
      </c>
    </row>
    <row r="3" spans="1:14">
      <c r="A3" t="s">
        <v>1384</v>
      </c>
      <c r="B3" s="1606" t="s">
        <v>1529</v>
      </c>
      <c r="D3" s="1606" t="s">
        <v>1516</v>
      </c>
      <c r="H3" s="1606" t="s">
        <v>1529</v>
      </c>
      <c r="I3" s="1606" t="s">
        <v>1529</v>
      </c>
    </row>
    <row r="4" spans="1:14">
      <c r="A4" t="s">
        <v>970</v>
      </c>
      <c r="B4" s="1606" t="s">
        <v>1529</v>
      </c>
      <c r="D4" s="1606" t="s">
        <v>1516</v>
      </c>
      <c r="H4" s="1606" t="s">
        <v>1529</v>
      </c>
      <c r="I4" s="1606" t="s">
        <v>1529</v>
      </c>
    </row>
    <row r="5" spans="1:14">
      <c r="A5" t="s">
        <v>49</v>
      </c>
      <c r="B5" s="1606" t="s">
        <v>1526</v>
      </c>
      <c r="D5" s="1606" t="s">
        <v>1532</v>
      </c>
      <c r="H5" s="1606" t="s">
        <v>1526</v>
      </c>
      <c r="I5" s="1606" t="s">
        <v>1529</v>
      </c>
    </row>
    <row r="6" spans="1:14">
      <c r="A6" t="s">
        <v>51</v>
      </c>
      <c r="B6" s="1606" t="s">
        <v>1526</v>
      </c>
      <c r="D6" s="1606" t="s">
        <v>1532</v>
      </c>
      <c r="H6" s="1606" t="s">
        <v>1526</v>
      </c>
      <c r="I6" s="1606" t="s">
        <v>1529</v>
      </c>
    </row>
    <row r="7" spans="1:14">
      <c r="A7" t="s">
        <v>53</v>
      </c>
      <c r="B7" s="1606" t="s">
        <v>1515</v>
      </c>
      <c r="C7" s="1606" t="s">
        <v>1516</v>
      </c>
      <c r="D7" s="1606" t="s">
        <v>1516</v>
      </c>
      <c r="H7" s="1606" t="s">
        <v>1515</v>
      </c>
      <c r="I7" s="1606" t="s">
        <v>1515</v>
      </c>
      <c r="N7" t="s">
        <v>1857</v>
      </c>
    </row>
    <row r="8" spans="1:14">
      <c r="A8" t="s">
        <v>70</v>
      </c>
      <c r="B8" s="1606" t="s">
        <v>1526</v>
      </c>
      <c r="D8" s="1606" t="s">
        <v>1532</v>
      </c>
      <c r="H8" s="1606" t="s">
        <v>1526</v>
      </c>
      <c r="I8" s="1606" t="s">
        <v>1529</v>
      </c>
    </row>
    <row r="9" spans="1:14">
      <c r="A9" t="s">
        <v>971</v>
      </c>
      <c r="B9" s="1606" t="s">
        <v>1526</v>
      </c>
      <c r="D9" s="1606" t="s">
        <v>1516</v>
      </c>
      <c r="H9" s="1606" t="s">
        <v>1526</v>
      </c>
      <c r="I9" s="1606" t="s">
        <v>1529</v>
      </c>
    </row>
    <row r="10" spans="1:14">
      <c r="A10" t="s">
        <v>1377</v>
      </c>
      <c r="B10" s="1606" t="s">
        <v>1526</v>
      </c>
      <c r="D10" s="1606" t="s">
        <v>1516</v>
      </c>
      <c r="H10" s="1606" t="s">
        <v>1526</v>
      </c>
      <c r="I10" s="1606" t="s">
        <v>1529</v>
      </c>
    </row>
    <row r="11" spans="1:14">
      <c r="A11" t="s">
        <v>972</v>
      </c>
      <c r="B11" s="1606" t="s">
        <v>1526</v>
      </c>
      <c r="D11" s="1606" t="s">
        <v>1516</v>
      </c>
      <c r="F11" s="1606" t="s">
        <v>1858</v>
      </c>
      <c r="G11" s="1606" t="s">
        <v>1685</v>
      </c>
      <c r="H11" s="1606" t="s">
        <v>1529</v>
      </c>
      <c r="I11" s="1606" t="s">
        <v>1515</v>
      </c>
      <c r="N11" t="s">
        <v>1859</v>
      </c>
    </row>
    <row r="12" spans="1:14">
      <c r="A12" t="s">
        <v>1360</v>
      </c>
      <c r="B12" s="1606" t="s">
        <v>1529</v>
      </c>
      <c r="D12" s="1606" t="s">
        <v>1516</v>
      </c>
      <c r="H12" s="1606" t="s">
        <v>1529</v>
      </c>
      <c r="I12" s="1606" t="s">
        <v>1529</v>
      </c>
    </row>
    <row r="13" spans="1:14">
      <c r="A13" t="s">
        <v>973</v>
      </c>
      <c r="B13" s="1606" t="s">
        <v>1526</v>
      </c>
      <c r="D13" s="1606" t="s">
        <v>1516</v>
      </c>
      <c r="H13" s="1606" t="s">
        <v>1526</v>
      </c>
      <c r="I13" s="1606" t="s">
        <v>1529</v>
      </c>
    </row>
    <row r="14" spans="1:14">
      <c r="A14" t="s">
        <v>1574</v>
      </c>
      <c r="B14" s="1606" t="s">
        <v>1526</v>
      </c>
      <c r="D14" s="1606" t="s">
        <v>1532</v>
      </c>
      <c r="H14" s="1606" t="s">
        <v>1532</v>
      </c>
      <c r="I14" s="1606" t="s">
        <v>1529</v>
      </c>
    </row>
    <row r="15" spans="1:14">
      <c r="A15" t="s">
        <v>30</v>
      </c>
      <c r="B15" s="1606" t="s">
        <v>1529</v>
      </c>
      <c r="D15" s="1606" t="s">
        <v>1516</v>
      </c>
      <c r="H15" s="1606" t="s">
        <v>1529</v>
      </c>
      <c r="I15" s="1606" t="s">
        <v>1529</v>
      </c>
    </row>
    <row r="16" spans="1:14">
      <c r="A16" t="s">
        <v>206</v>
      </c>
      <c r="B16" s="1606" t="s">
        <v>1515</v>
      </c>
      <c r="D16" s="1606" t="s">
        <v>1516</v>
      </c>
      <c r="H16" s="1606" t="s">
        <v>1515</v>
      </c>
      <c r="I16" s="1606" t="s">
        <v>1529</v>
      </c>
    </row>
    <row r="17" spans="1:14">
      <c r="A17" t="s">
        <v>974</v>
      </c>
      <c r="B17" s="1606" t="s">
        <v>1526</v>
      </c>
      <c r="D17" s="1606" t="s">
        <v>1516</v>
      </c>
      <c r="H17" s="1606" t="s">
        <v>1526</v>
      </c>
      <c r="I17" s="1606" t="s">
        <v>1529</v>
      </c>
    </row>
    <row r="18" spans="1:14">
      <c r="A18" t="s">
        <v>292</v>
      </c>
      <c r="B18" s="1606" t="s">
        <v>1529</v>
      </c>
      <c r="D18" s="1606" t="s">
        <v>1516</v>
      </c>
      <c r="H18" s="1606" t="s">
        <v>1529</v>
      </c>
      <c r="I18" s="1606" t="s">
        <v>1529</v>
      </c>
    </row>
    <row r="19" spans="1:14">
      <c r="A19" t="s">
        <v>975</v>
      </c>
      <c r="B19" s="1606" t="s">
        <v>1526</v>
      </c>
      <c r="D19" s="1606" t="s">
        <v>1516</v>
      </c>
      <c r="H19" s="1606" t="s">
        <v>1526</v>
      </c>
      <c r="I19" s="1606" t="s">
        <v>1529</v>
      </c>
    </row>
    <row r="20" spans="1:14">
      <c r="A20" t="s">
        <v>1385</v>
      </c>
      <c r="B20" s="1606" t="s">
        <v>1526</v>
      </c>
      <c r="D20" s="1606" t="s">
        <v>1516</v>
      </c>
      <c r="H20" s="1606" t="s">
        <v>1526</v>
      </c>
      <c r="I20" s="1606" t="s">
        <v>1529</v>
      </c>
    </row>
    <row r="21" spans="1:14">
      <c r="A21" t="s">
        <v>40</v>
      </c>
      <c r="B21" s="1606" t="s">
        <v>1515</v>
      </c>
      <c r="D21" s="1606" t="s">
        <v>1516</v>
      </c>
      <c r="H21" s="1606" t="s">
        <v>1515</v>
      </c>
      <c r="I21" s="1606" t="s">
        <v>1529</v>
      </c>
    </row>
    <row r="22" spans="1:14">
      <c r="A22" t="s">
        <v>115</v>
      </c>
      <c r="B22" s="1606" t="s">
        <v>1526</v>
      </c>
      <c r="D22" s="1606" t="s">
        <v>1532</v>
      </c>
      <c r="H22" s="1606" t="s">
        <v>1526</v>
      </c>
      <c r="I22" s="1606" t="s">
        <v>1529</v>
      </c>
    </row>
    <row r="23" spans="1:14">
      <c r="A23" t="s">
        <v>71</v>
      </c>
      <c r="B23" s="1606" t="s">
        <v>1526</v>
      </c>
      <c r="D23" s="1606" t="s">
        <v>1532</v>
      </c>
      <c r="H23" s="1606" t="s">
        <v>1526</v>
      </c>
      <c r="I23" s="1606" t="s">
        <v>1529</v>
      </c>
      <c r="N23" t="s">
        <v>1855</v>
      </c>
    </row>
    <row r="24" spans="1:14">
      <c r="A24" t="s">
        <v>398</v>
      </c>
      <c r="B24" s="1606" t="s">
        <v>1529</v>
      </c>
      <c r="D24" s="1606" t="s">
        <v>1516</v>
      </c>
      <c r="H24" s="1606" t="s">
        <v>1529</v>
      </c>
      <c r="I24" s="1606" t="s">
        <v>1529</v>
      </c>
    </row>
    <row r="25" spans="1:14">
      <c r="A25" t="s">
        <v>24</v>
      </c>
      <c r="B25" s="1606" t="s">
        <v>1515</v>
      </c>
      <c r="C25" s="1606" t="s">
        <v>1516</v>
      </c>
      <c r="D25" s="1606" t="s">
        <v>1516</v>
      </c>
      <c r="H25" s="1606" t="s">
        <v>1515</v>
      </c>
      <c r="I25" s="1606" t="s">
        <v>1515</v>
      </c>
    </row>
    <row r="26" spans="1:14">
      <c r="A26" t="s">
        <v>117</v>
      </c>
      <c r="B26" s="1606" t="s">
        <v>1526</v>
      </c>
      <c r="D26" s="1606" t="s">
        <v>1532</v>
      </c>
      <c r="H26" s="1606" t="s">
        <v>1526</v>
      </c>
      <c r="I26" s="1606" t="s">
        <v>1529</v>
      </c>
    </row>
    <row r="27" spans="1:14">
      <c r="A27" t="s">
        <v>207</v>
      </c>
      <c r="B27" s="1606" t="s">
        <v>1526</v>
      </c>
      <c r="D27" s="1606" t="s">
        <v>1532</v>
      </c>
      <c r="H27" s="1606" t="s">
        <v>1532</v>
      </c>
      <c r="I27" s="1606" t="s">
        <v>1529</v>
      </c>
    </row>
    <row r="28" spans="1:14">
      <c r="A28" t="s">
        <v>1486</v>
      </c>
      <c r="B28" s="1606" t="s">
        <v>1515</v>
      </c>
      <c r="D28" s="1606" t="s">
        <v>1516</v>
      </c>
      <c r="H28" s="1606" t="s">
        <v>1515</v>
      </c>
      <c r="I28" s="1606" t="s">
        <v>1515</v>
      </c>
    </row>
    <row r="29" spans="1:14">
      <c r="A29" t="s">
        <v>977</v>
      </c>
      <c r="B29" s="1606" t="s">
        <v>1515</v>
      </c>
      <c r="C29" s="1606" t="s">
        <v>1516</v>
      </c>
      <c r="D29" s="1606" t="s">
        <v>1516</v>
      </c>
      <c r="H29" s="1606" t="s">
        <v>1515</v>
      </c>
      <c r="I29" s="1606" t="s">
        <v>1529</v>
      </c>
    </row>
    <row r="30" spans="1:14">
      <c r="A30" t="s">
        <v>1387</v>
      </c>
      <c r="B30" s="1606" t="s">
        <v>1529</v>
      </c>
      <c r="D30" s="1606" t="s">
        <v>1516</v>
      </c>
      <c r="H30" s="1606" t="s">
        <v>1529</v>
      </c>
      <c r="I30" s="1606" t="s">
        <v>1529</v>
      </c>
    </row>
    <row r="31" spans="1:14">
      <c r="A31" t="s">
        <v>1578</v>
      </c>
      <c r="B31" s="1606" t="s">
        <v>1526</v>
      </c>
      <c r="D31" s="1606" t="s">
        <v>1516</v>
      </c>
      <c r="H31" s="1606" t="s">
        <v>1526</v>
      </c>
      <c r="I31" s="1606" t="s">
        <v>1529</v>
      </c>
    </row>
    <row r="32" spans="1:14">
      <c r="A32" t="s">
        <v>978</v>
      </c>
      <c r="B32" s="1606" t="s">
        <v>1526</v>
      </c>
      <c r="D32" s="1606" t="s">
        <v>1532</v>
      </c>
      <c r="H32" s="1606" t="s">
        <v>1532</v>
      </c>
      <c r="I32" s="1606" t="s">
        <v>1529</v>
      </c>
    </row>
    <row r="33" spans="1:14">
      <c r="A33" t="s">
        <v>1579</v>
      </c>
      <c r="B33" s="1606" t="s">
        <v>1515</v>
      </c>
      <c r="D33" s="1606" t="s">
        <v>1516</v>
      </c>
      <c r="H33" s="1606" t="s">
        <v>1515</v>
      </c>
      <c r="I33" s="1606" t="s">
        <v>1529</v>
      </c>
    </row>
    <row r="34" spans="1:14">
      <c r="A34" t="s">
        <v>119</v>
      </c>
      <c r="B34" s="1606" t="s">
        <v>1526</v>
      </c>
      <c r="D34" s="1606" t="s">
        <v>1532</v>
      </c>
      <c r="H34" s="1606" t="s">
        <v>1526</v>
      </c>
      <c r="I34" s="1606" t="s">
        <v>1529</v>
      </c>
      <c r="N34" t="s">
        <v>1855</v>
      </c>
    </row>
    <row r="35" spans="1:14">
      <c r="A35" t="s">
        <v>1512</v>
      </c>
      <c r="B35" s="1606" t="s">
        <v>1529</v>
      </c>
      <c r="D35" s="1606" t="s">
        <v>1516</v>
      </c>
      <c r="H35" s="1606" t="s">
        <v>1529</v>
      </c>
      <c r="I35" s="1606" t="s">
        <v>1529</v>
      </c>
    </row>
    <row r="36" spans="1:14">
      <c r="A36" t="s">
        <v>1487</v>
      </c>
      <c r="B36" s="1606" t="s">
        <v>1526</v>
      </c>
      <c r="D36" s="1606" t="s">
        <v>1532</v>
      </c>
      <c r="H36" s="1606" t="s">
        <v>1532</v>
      </c>
      <c r="I36" s="1606" t="s">
        <v>1529</v>
      </c>
    </row>
    <row r="37" spans="1:14">
      <c r="A37" t="s">
        <v>26</v>
      </c>
      <c r="B37" s="1606" t="s">
        <v>1529</v>
      </c>
      <c r="D37" s="1606" t="s">
        <v>1516</v>
      </c>
      <c r="F37" s="1606" t="s">
        <v>1516</v>
      </c>
      <c r="G37" s="1606" t="s">
        <v>1697</v>
      </c>
      <c r="H37" s="1606" t="s">
        <v>1526</v>
      </c>
      <c r="I37" s="1606" t="s">
        <v>1529</v>
      </c>
      <c r="M37" t="s">
        <v>1862</v>
      </c>
    </row>
    <row r="38" spans="1:14">
      <c r="A38" t="s">
        <v>979</v>
      </c>
      <c r="B38" s="1606" t="s">
        <v>1526</v>
      </c>
      <c r="D38" s="1606" t="s">
        <v>1516</v>
      </c>
      <c r="H38" s="1606" t="s">
        <v>1526</v>
      </c>
      <c r="I38" s="1606" t="s">
        <v>1529</v>
      </c>
    </row>
    <row r="39" spans="1:14">
      <c r="A39" t="s">
        <v>1361</v>
      </c>
      <c r="B39" s="1606" t="s">
        <v>1526</v>
      </c>
      <c r="D39" s="1606" t="s">
        <v>1516</v>
      </c>
      <c r="H39" s="1606" t="s">
        <v>1526</v>
      </c>
      <c r="I39" s="1606" t="s">
        <v>1529</v>
      </c>
    </row>
    <row r="40" spans="1:14">
      <c r="A40" t="s">
        <v>980</v>
      </c>
      <c r="B40" s="1606" t="s">
        <v>1526</v>
      </c>
      <c r="D40" s="1606" t="s">
        <v>1532</v>
      </c>
      <c r="H40" s="1606" t="s">
        <v>1532</v>
      </c>
      <c r="I40" s="1606" t="s">
        <v>1529</v>
      </c>
    </row>
    <row r="41" spans="1:14">
      <c r="A41" t="s">
        <v>1519</v>
      </c>
      <c r="B41" s="1606" t="s">
        <v>1526</v>
      </c>
      <c r="D41" s="1606" t="s">
        <v>1532</v>
      </c>
      <c r="H41" s="1606" t="s">
        <v>1526</v>
      </c>
      <c r="I41" s="1606" t="s">
        <v>1529</v>
      </c>
      <c r="N41" t="s">
        <v>1855</v>
      </c>
    </row>
    <row r="42" spans="1:14">
      <c r="A42" t="s">
        <v>399</v>
      </c>
      <c r="B42" s="1606" t="s">
        <v>1526</v>
      </c>
      <c r="D42" s="1606" t="s">
        <v>1516</v>
      </c>
      <c r="H42" s="1606" t="s">
        <v>1526</v>
      </c>
      <c r="I42" s="1606" t="s">
        <v>1529</v>
      </c>
    </row>
    <row r="43" spans="1:14">
      <c r="A43" t="s">
        <v>72</v>
      </c>
      <c r="B43" s="1606" t="s">
        <v>1526</v>
      </c>
      <c r="D43" s="1606" t="s">
        <v>1516</v>
      </c>
      <c r="H43" s="1606" t="s">
        <v>1526</v>
      </c>
      <c r="I43" s="1606" t="s">
        <v>1529</v>
      </c>
    </row>
    <row r="44" spans="1:14">
      <c r="A44" t="s">
        <v>41</v>
      </c>
      <c r="B44" s="1606" t="s">
        <v>1526</v>
      </c>
      <c r="D44" s="1606" t="s">
        <v>1516</v>
      </c>
      <c r="H44" s="1606" t="s">
        <v>1526</v>
      </c>
      <c r="I44" s="1606" t="s">
        <v>1529</v>
      </c>
    </row>
    <row r="45" spans="1:14">
      <c r="A45" t="s">
        <v>1580</v>
      </c>
      <c r="B45" s="1606" t="s">
        <v>1515</v>
      </c>
      <c r="D45" s="1606" t="s">
        <v>1516</v>
      </c>
      <c r="H45" s="1606" t="s">
        <v>1515</v>
      </c>
      <c r="I45" s="1606" t="s">
        <v>1529</v>
      </c>
    </row>
    <row r="46" spans="1:14">
      <c r="A46" t="s">
        <v>1581</v>
      </c>
      <c r="B46" s="1606" t="s">
        <v>1515</v>
      </c>
      <c r="C46" s="1606" t="s">
        <v>1516</v>
      </c>
      <c r="D46" s="1606" t="s">
        <v>1516</v>
      </c>
      <c r="H46" s="1606" t="s">
        <v>1515</v>
      </c>
      <c r="I46" s="1606" t="s">
        <v>1529</v>
      </c>
      <c r="L46" t="s">
        <v>1871</v>
      </c>
    </row>
    <row r="47" spans="1:14">
      <c r="A47" t="s">
        <v>983</v>
      </c>
      <c r="B47" s="1606" t="s">
        <v>1529</v>
      </c>
      <c r="D47" s="1606" t="s">
        <v>1516</v>
      </c>
      <c r="H47" s="1606" t="s">
        <v>1529</v>
      </c>
      <c r="I47" s="1606" t="s">
        <v>1529</v>
      </c>
    </row>
    <row r="48" spans="1:14">
      <c r="A48" t="s">
        <v>984</v>
      </c>
      <c r="B48" s="1606" t="s">
        <v>1515</v>
      </c>
      <c r="D48" s="1606" t="s">
        <v>1516</v>
      </c>
      <c r="H48" s="1606" t="s">
        <v>1515</v>
      </c>
      <c r="I48" s="1606" t="s">
        <v>1529</v>
      </c>
    </row>
    <row r="49" spans="1:14">
      <c r="A49" t="s">
        <v>123</v>
      </c>
      <c r="B49" s="1606" t="s">
        <v>1529</v>
      </c>
      <c r="D49" s="1606" t="s">
        <v>1516</v>
      </c>
      <c r="H49" s="1606" t="s">
        <v>1529</v>
      </c>
      <c r="I49" s="1606" t="s">
        <v>1529</v>
      </c>
    </row>
    <row r="50" spans="1:14">
      <c r="A50" t="s">
        <v>985</v>
      </c>
      <c r="B50" s="1606" t="s">
        <v>1526</v>
      </c>
      <c r="D50" s="1606" t="s">
        <v>1516</v>
      </c>
      <c r="H50" s="1606" t="s">
        <v>1526</v>
      </c>
      <c r="I50" s="1606" t="s">
        <v>1529</v>
      </c>
    </row>
    <row r="51" spans="1:14">
      <c r="A51" t="s">
        <v>1520</v>
      </c>
      <c r="B51" s="1606" t="s">
        <v>1515</v>
      </c>
      <c r="D51" s="1606" t="s">
        <v>1516</v>
      </c>
      <c r="H51" s="1606" t="s">
        <v>1515</v>
      </c>
      <c r="I51" s="1606" t="s">
        <v>1529</v>
      </c>
    </row>
    <row r="52" spans="1:14">
      <c r="A52" t="s">
        <v>1362</v>
      </c>
      <c r="B52" s="1606" t="s">
        <v>1515</v>
      </c>
      <c r="D52" s="1606" t="s">
        <v>1516</v>
      </c>
      <c r="H52" s="1606" t="s">
        <v>1515</v>
      </c>
      <c r="I52" s="1606" t="s">
        <v>1529</v>
      </c>
    </row>
    <row r="53" spans="1:14">
      <c r="A53" t="s">
        <v>199</v>
      </c>
      <c r="B53" s="1606" t="s">
        <v>1526</v>
      </c>
      <c r="D53" s="1606" t="s">
        <v>1532</v>
      </c>
      <c r="H53" s="1606" t="s">
        <v>1526</v>
      </c>
      <c r="I53" s="1606" t="s">
        <v>1529</v>
      </c>
    </row>
    <row r="54" spans="1:14">
      <c r="A54" t="s">
        <v>987</v>
      </c>
      <c r="B54" s="1606" t="s">
        <v>1529</v>
      </c>
      <c r="D54" s="1606" t="s">
        <v>1516</v>
      </c>
      <c r="H54" s="1606" t="s">
        <v>1529</v>
      </c>
      <c r="I54" s="1606" t="s">
        <v>1529</v>
      </c>
    </row>
    <row r="55" spans="1:14">
      <c r="A55" t="s">
        <v>1582</v>
      </c>
      <c r="B55" s="1606" t="s">
        <v>1526</v>
      </c>
      <c r="D55" s="1606" t="s">
        <v>1516</v>
      </c>
      <c r="H55" s="1606" t="s">
        <v>1526</v>
      </c>
      <c r="I55" s="1606" t="s">
        <v>1529</v>
      </c>
    </row>
    <row r="56" spans="1:14">
      <c r="A56" t="s">
        <v>1356</v>
      </c>
      <c r="B56" s="1606" t="s">
        <v>1529</v>
      </c>
      <c r="D56" s="1606" t="s">
        <v>1516</v>
      </c>
      <c r="G56" s="1606" t="s">
        <v>1792</v>
      </c>
      <c r="H56" s="1606" t="s">
        <v>1529</v>
      </c>
      <c r="I56" s="1606" t="s">
        <v>1529</v>
      </c>
      <c r="N56" t="s">
        <v>1864</v>
      </c>
    </row>
    <row r="57" spans="1:14">
      <c r="A57" t="s">
        <v>73</v>
      </c>
      <c r="B57" s="1606" t="s">
        <v>1526</v>
      </c>
      <c r="D57" s="1606" t="s">
        <v>1532</v>
      </c>
      <c r="H57" s="1606" t="s">
        <v>1526</v>
      </c>
      <c r="I57" s="1606" t="s">
        <v>1529</v>
      </c>
    </row>
    <row r="58" spans="1:14">
      <c r="A58" t="s">
        <v>988</v>
      </c>
      <c r="B58" s="1606" t="s">
        <v>1515</v>
      </c>
      <c r="D58" s="1606" t="s">
        <v>1516</v>
      </c>
      <c r="H58" s="1606" t="s">
        <v>1515</v>
      </c>
      <c r="I58" s="1606" t="s">
        <v>1529</v>
      </c>
    </row>
    <row r="59" spans="1:14">
      <c r="A59" t="s">
        <v>989</v>
      </c>
      <c r="B59" s="1606" t="s">
        <v>1529</v>
      </c>
      <c r="D59" s="1606" t="s">
        <v>1516</v>
      </c>
      <c r="H59" s="1606" t="s">
        <v>1529</v>
      </c>
      <c r="I59" s="1606" t="s">
        <v>1529</v>
      </c>
    </row>
    <row r="60" spans="1:14">
      <c r="A60" t="s">
        <v>990</v>
      </c>
      <c r="B60" s="1606" t="s">
        <v>1515</v>
      </c>
      <c r="C60" s="1606" t="s">
        <v>1516</v>
      </c>
      <c r="D60" s="1606" t="s">
        <v>1516</v>
      </c>
      <c r="F60" s="1606" t="s">
        <v>1516</v>
      </c>
      <c r="G60" s="1606" t="s">
        <v>1792</v>
      </c>
      <c r="H60" s="1606" t="s">
        <v>1515</v>
      </c>
      <c r="I60" s="1606" t="s">
        <v>1515</v>
      </c>
      <c r="N60" t="s">
        <v>1860</v>
      </c>
    </row>
    <row r="61" spans="1:14">
      <c r="A61" t="s">
        <v>9</v>
      </c>
      <c r="B61" s="1606" t="s">
        <v>1515</v>
      </c>
      <c r="D61" s="1606" t="s">
        <v>1516</v>
      </c>
      <c r="F61" s="1606" t="s">
        <v>1516</v>
      </c>
      <c r="G61" s="1606" t="s">
        <v>1665</v>
      </c>
      <c r="H61" s="1606" t="s">
        <v>1529</v>
      </c>
      <c r="I61" s="1606" t="s">
        <v>1515</v>
      </c>
    </row>
    <row r="62" spans="1:14">
      <c r="A62" t="s">
        <v>255</v>
      </c>
      <c r="B62" s="1606" t="s">
        <v>1529</v>
      </c>
      <c r="D62" s="1606" t="s">
        <v>1516</v>
      </c>
      <c r="H62" s="1606" t="s">
        <v>1529</v>
      </c>
      <c r="I62" s="1606" t="s">
        <v>1529</v>
      </c>
      <c r="N62" t="s">
        <v>1861</v>
      </c>
    </row>
    <row r="63" spans="1:14">
      <c r="A63" t="s">
        <v>158</v>
      </c>
      <c r="B63" s="1606" t="s">
        <v>1515</v>
      </c>
      <c r="D63" s="1606" t="s">
        <v>1516</v>
      </c>
      <c r="H63" s="1606" t="s">
        <v>1515</v>
      </c>
      <c r="I63" s="1606" t="s">
        <v>1529</v>
      </c>
    </row>
    <row r="64" spans="1:14">
      <c r="A64" t="s">
        <v>991</v>
      </c>
      <c r="B64" s="1606" t="s">
        <v>1529</v>
      </c>
      <c r="D64" s="1606" t="s">
        <v>1516</v>
      </c>
      <c r="H64" s="1606" t="s">
        <v>1529</v>
      </c>
      <c r="I64" s="1606" t="s">
        <v>1529</v>
      </c>
    </row>
    <row r="65" spans="1:12">
      <c r="A65" t="s">
        <v>1388</v>
      </c>
      <c r="B65" s="1606" t="s">
        <v>1529</v>
      </c>
      <c r="D65" s="1606" t="s">
        <v>1516</v>
      </c>
      <c r="H65" s="1606" t="s">
        <v>1529</v>
      </c>
      <c r="I65" s="1606" t="s">
        <v>1529</v>
      </c>
    </row>
    <row r="66" spans="1:12">
      <c r="A66" t="s">
        <v>10</v>
      </c>
      <c r="B66" s="1606" t="s">
        <v>1529</v>
      </c>
      <c r="D66" s="1606" t="s">
        <v>1516</v>
      </c>
      <c r="H66" s="1606" t="s">
        <v>1529</v>
      </c>
      <c r="I66" s="1606" t="s">
        <v>1529</v>
      </c>
    </row>
    <row r="67" spans="1:12">
      <c r="A67" t="s">
        <v>992</v>
      </c>
      <c r="B67" s="1606" t="s">
        <v>1515</v>
      </c>
      <c r="D67" s="1606" t="s">
        <v>1516</v>
      </c>
      <c r="G67" s="1606" t="s">
        <v>1685</v>
      </c>
      <c r="H67" s="1606" t="s">
        <v>1515</v>
      </c>
      <c r="I67" s="1606" t="s">
        <v>1515</v>
      </c>
    </row>
    <row r="68" spans="1:12">
      <c r="A68" t="s">
        <v>188</v>
      </c>
      <c r="B68" s="1606" t="s">
        <v>1529</v>
      </c>
      <c r="D68" s="1606" t="s">
        <v>1516</v>
      </c>
      <c r="H68" s="1606" t="s">
        <v>1529</v>
      </c>
      <c r="I68" s="1606" t="s">
        <v>1529</v>
      </c>
    </row>
    <row r="69" spans="1:12">
      <c r="A69" t="s">
        <v>993</v>
      </c>
      <c r="B69" s="1606" t="s">
        <v>1529</v>
      </c>
      <c r="D69" s="1606" t="s">
        <v>1516</v>
      </c>
      <c r="H69" s="1606" t="s">
        <v>1529</v>
      </c>
      <c r="I69" s="1606" t="s">
        <v>1529</v>
      </c>
    </row>
    <row r="70" spans="1:12">
      <c r="A70" t="s">
        <v>1521</v>
      </c>
      <c r="B70" s="1606" t="s">
        <v>1526</v>
      </c>
      <c r="D70" s="1606" t="s">
        <v>1532</v>
      </c>
      <c r="H70" s="1606" t="s">
        <v>1526</v>
      </c>
      <c r="I70" s="1606" t="s">
        <v>1515</v>
      </c>
    </row>
    <row r="71" spans="1:12">
      <c r="A71" t="s">
        <v>132</v>
      </c>
      <c r="B71" s="1606" t="s">
        <v>1526</v>
      </c>
      <c r="D71" s="1606" t="s">
        <v>1516</v>
      </c>
      <c r="H71" s="1606" t="s">
        <v>1526</v>
      </c>
      <c r="I71" s="1606" t="s">
        <v>1529</v>
      </c>
    </row>
    <row r="72" spans="1:12">
      <c r="A72" t="s">
        <v>995</v>
      </c>
      <c r="B72" s="1606" t="s">
        <v>1529</v>
      </c>
      <c r="D72" s="1606" t="s">
        <v>1516</v>
      </c>
      <c r="H72" s="1606" t="s">
        <v>1529</v>
      </c>
      <c r="I72" s="1606" t="s">
        <v>1529</v>
      </c>
    </row>
    <row r="73" spans="1:12">
      <c r="A73" t="s">
        <v>996</v>
      </c>
      <c r="B73" s="1606" t="s">
        <v>1526</v>
      </c>
      <c r="D73" s="1606" t="s">
        <v>1532</v>
      </c>
      <c r="H73" s="1606" t="s">
        <v>1526</v>
      </c>
      <c r="I73" s="1606" t="s">
        <v>1529</v>
      </c>
    </row>
    <row r="74" spans="1:12">
      <c r="A74" t="s">
        <v>997</v>
      </c>
      <c r="B74" s="1606" t="s">
        <v>1529</v>
      </c>
      <c r="D74" s="1606" t="s">
        <v>1516</v>
      </c>
      <c r="H74" s="1606" t="s">
        <v>1529</v>
      </c>
      <c r="I74" s="1606" t="s">
        <v>1529</v>
      </c>
    </row>
    <row r="75" spans="1:12">
      <c r="A75" t="s">
        <v>12</v>
      </c>
      <c r="B75" s="1606" t="s">
        <v>1529</v>
      </c>
      <c r="D75" s="1606" t="s">
        <v>1516</v>
      </c>
      <c r="H75" s="1606" t="s">
        <v>1529</v>
      </c>
      <c r="I75" s="1606" t="s">
        <v>1529</v>
      </c>
    </row>
    <row r="76" spans="1:12">
      <c r="A76" t="s">
        <v>1583</v>
      </c>
      <c r="B76" s="1606" t="s">
        <v>1526</v>
      </c>
      <c r="D76" s="1606" t="s">
        <v>1516</v>
      </c>
      <c r="H76" s="1606" t="s">
        <v>1526</v>
      </c>
      <c r="I76" s="1606" t="s">
        <v>1529</v>
      </c>
    </row>
    <row r="77" spans="1:12">
      <c r="A77" t="s">
        <v>145</v>
      </c>
      <c r="B77" s="1606" t="s">
        <v>1529</v>
      </c>
      <c r="D77" s="1606" t="s">
        <v>1516</v>
      </c>
      <c r="H77" s="1606" t="s">
        <v>1529</v>
      </c>
      <c r="I77" s="1606" t="s">
        <v>1529</v>
      </c>
    </row>
    <row r="78" spans="1:12">
      <c r="A78" t="s">
        <v>998</v>
      </c>
      <c r="B78" s="1606" t="s">
        <v>1529</v>
      </c>
      <c r="D78" s="1606" t="s">
        <v>1516</v>
      </c>
      <c r="H78" s="1606" t="s">
        <v>1529</v>
      </c>
      <c r="I78" s="1606" t="s">
        <v>1529</v>
      </c>
    </row>
    <row r="79" spans="1:12">
      <c r="A79" t="s">
        <v>1584</v>
      </c>
      <c r="B79" s="1606" t="s">
        <v>1526</v>
      </c>
      <c r="D79" s="1606" t="s">
        <v>1516</v>
      </c>
      <c r="H79" s="1606" t="s">
        <v>1526</v>
      </c>
      <c r="I79" s="1606" t="s">
        <v>1529</v>
      </c>
    </row>
    <row r="80" spans="1:12">
      <c r="A80" t="s">
        <v>999</v>
      </c>
      <c r="B80" s="1606" t="s">
        <v>1515</v>
      </c>
      <c r="C80" s="1606" t="s">
        <v>1516</v>
      </c>
      <c r="D80" s="1606" t="s">
        <v>1516</v>
      </c>
      <c r="H80" s="1606" t="s">
        <v>1515</v>
      </c>
      <c r="I80" s="1606" t="s">
        <v>1529</v>
      </c>
      <c r="L80" t="s">
        <v>1872</v>
      </c>
    </row>
    <row r="81" spans="1:14">
      <c r="A81" t="s">
        <v>1000</v>
      </c>
      <c r="B81" s="1606" t="s">
        <v>1529</v>
      </c>
      <c r="D81" s="1606" t="s">
        <v>1516</v>
      </c>
      <c r="H81" s="1606" t="s">
        <v>1529</v>
      </c>
      <c r="I81" s="1606" t="s">
        <v>1529</v>
      </c>
    </row>
    <row r="82" spans="1:14">
      <c r="A82" t="s">
        <v>1389</v>
      </c>
      <c r="B82" s="1606" t="s">
        <v>1526</v>
      </c>
      <c r="D82" s="1606" t="s">
        <v>1516</v>
      </c>
      <c r="H82" s="1606" t="s">
        <v>1526</v>
      </c>
      <c r="I82" s="1606" t="s">
        <v>1529</v>
      </c>
    </row>
    <row r="83" spans="1:14">
      <c r="A83" t="s">
        <v>11</v>
      </c>
      <c r="B83" s="1606" t="s">
        <v>1515</v>
      </c>
      <c r="C83" s="1606" t="s">
        <v>1516</v>
      </c>
      <c r="D83" s="1606" t="s">
        <v>1516</v>
      </c>
      <c r="H83" s="1606" t="s">
        <v>1515</v>
      </c>
      <c r="I83" s="1606" t="s">
        <v>1515</v>
      </c>
    </row>
    <row r="84" spans="1:14">
      <c r="A84" t="s">
        <v>1390</v>
      </c>
      <c r="B84" s="1606" t="s">
        <v>1529</v>
      </c>
      <c r="D84" s="1606" t="s">
        <v>1516</v>
      </c>
      <c r="H84" s="1606" t="s">
        <v>1529</v>
      </c>
      <c r="I84" s="1606" t="s">
        <v>1529</v>
      </c>
    </row>
    <row r="85" spans="1:14">
      <c r="A85" t="s">
        <v>1173</v>
      </c>
      <c r="B85" s="1606" t="s">
        <v>1529</v>
      </c>
      <c r="D85" s="1606" t="s">
        <v>1516</v>
      </c>
      <c r="H85" s="1606" t="s">
        <v>1529</v>
      </c>
      <c r="I85" s="1606" t="s">
        <v>1529</v>
      </c>
    </row>
    <row r="86" spans="1:14">
      <c r="A86" t="s">
        <v>57</v>
      </c>
      <c r="B86" s="1606" t="s">
        <v>1529</v>
      </c>
      <c r="D86" s="1606" t="s">
        <v>1516</v>
      </c>
      <c r="H86" s="1606" t="s">
        <v>1529</v>
      </c>
      <c r="I86" s="1606" t="s">
        <v>1529</v>
      </c>
    </row>
    <row r="87" spans="1:14">
      <c r="A87" t="s">
        <v>189</v>
      </c>
      <c r="B87" s="1606" t="s">
        <v>1529</v>
      </c>
      <c r="D87" s="1606" t="s">
        <v>1516</v>
      </c>
      <c r="H87" s="1606" t="s">
        <v>1529</v>
      </c>
      <c r="I87" s="1606" t="s">
        <v>1529</v>
      </c>
    </row>
    <row r="88" spans="1:14">
      <c r="A88" t="s">
        <v>1363</v>
      </c>
      <c r="B88" s="1606" t="s">
        <v>1515</v>
      </c>
      <c r="D88" s="1606" t="s">
        <v>1516</v>
      </c>
      <c r="H88" s="1606" t="s">
        <v>1515</v>
      </c>
      <c r="I88" s="1606" t="s">
        <v>1529</v>
      </c>
    </row>
    <row r="89" spans="1:14">
      <c r="A89" t="s">
        <v>1619</v>
      </c>
      <c r="B89" s="1606" t="s">
        <v>1515</v>
      </c>
      <c r="D89" s="1606" t="s">
        <v>1516</v>
      </c>
      <c r="H89" s="1606" t="s">
        <v>1515</v>
      </c>
      <c r="I89" s="1606" t="s">
        <v>1529</v>
      </c>
    </row>
    <row r="90" spans="1:14">
      <c r="A90" t="s">
        <v>1575</v>
      </c>
      <c r="B90" s="1606" t="s">
        <v>1526</v>
      </c>
      <c r="D90" s="1606" t="s">
        <v>1532</v>
      </c>
      <c r="H90" s="1606" t="s">
        <v>1532</v>
      </c>
      <c r="I90" s="1606" t="s">
        <v>1529</v>
      </c>
    </row>
    <row r="91" spans="1:14">
      <c r="A91" t="s">
        <v>42</v>
      </c>
      <c r="B91" s="1606" t="s">
        <v>1526</v>
      </c>
      <c r="D91" s="1606" t="s">
        <v>1516</v>
      </c>
      <c r="H91" s="1606" t="s">
        <v>1526</v>
      </c>
      <c r="I91" s="1606" t="s">
        <v>1529</v>
      </c>
    </row>
    <row r="92" spans="1:14">
      <c r="A92" t="s">
        <v>1001</v>
      </c>
      <c r="B92" s="1606" t="s">
        <v>1526</v>
      </c>
      <c r="D92" s="1606" t="s">
        <v>1516</v>
      </c>
      <c r="H92" s="1606" t="s">
        <v>1526</v>
      </c>
      <c r="I92" s="1606" t="s">
        <v>1529</v>
      </c>
    </row>
    <row r="93" spans="1:14">
      <c r="A93" t="s">
        <v>1364</v>
      </c>
      <c r="B93" s="1606" t="s">
        <v>1529</v>
      </c>
      <c r="D93" s="1606" t="s">
        <v>1516</v>
      </c>
      <c r="H93" s="1606" t="s">
        <v>1529</v>
      </c>
      <c r="I93" s="1606" t="s">
        <v>1529</v>
      </c>
    </row>
    <row r="94" spans="1:14">
      <c r="A94" t="s">
        <v>1585</v>
      </c>
      <c r="B94" s="1606" t="s">
        <v>1529</v>
      </c>
      <c r="D94" s="1606" t="s">
        <v>1516</v>
      </c>
      <c r="H94" s="1606" t="s">
        <v>1529</v>
      </c>
      <c r="I94" s="1606" t="s">
        <v>1529</v>
      </c>
    </row>
    <row r="95" spans="1:14">
      <c r="A95" t="s">
        <v>23</v>
      </c>
      <c r="B95" s="1606" t="s">
        <v>1526</v>
      </c>
      <c r="D95" s="1606" t="s">
        <v>1516</v>
      </c>
      <c r="F95" s="1606" t="s">
        <v>1516</v>
      </c>
      <c r="G95" s="1606" t="s">
        <v>1685</v>
      </c>
      <c r="H95" s="1606" t="s">
        <v>1526</v>
      </c>
      <c r="I95" s="1606" t="s">
        <v>1515</v>
      </c>
      <c r="M95" t="s">
        <v>1862</v>
      </c>
      <c r="N95" t="s">
        <v>1859</v>
      </c>
    </row>
    <row r="96" spans="1:14">
      <c r="A96" t="s">
        <v>135</v>
      </c>
      <c r="B96" s="1606" t="s">
        <v>1526</v>
      </c>
      <c r="D96" s="1606" t="s">
        <v>1532</v>
      </c>
      <c r="H96" s="1606" t="s">
        <v>1526</v>
      </c>
      <c r="I96" s="1606" t="s">
        <v>1529</v>
      </c>
    </row>
    <row r="97" spans="1:13">
      <c r="A97" t="s">
        <v>58</v>
      </c>
      <c r="B97" s="1606" t="s">
        <v>1526</v>
      </c>
      <c r="D97" s="1606" t="s">
        <v>1516</v>
      </c>
      <c r="H97" s="1606" t="s">
        <v>1526</v>
      </c>
      <c r="I97" s="1606" t="s">
        <v>1529</v>
      </c>
    </row>
    <row r="98" spans="1:13">
      <c r="A98" t="s">
        <v>1177</v>
      </c>
      <c r="B98" s="1606" t="s">
        <v>1526</v>
      </c>
      <c r="D98" s="1606" t="s">
        <v>1516</v>
      </c>
      <c r="H98" s="1606" t="s">
        <v>1526</v>
      </c>
      <c r="I98" s="1606" t="s">
        <v>1529</v>
      </c>
    </row>
    <row r="99" spans="1:13">
      <c r="A99" t="s">
        <v>1003</v>
      </c>
      <c r="B99" s="1606" t="s">
        <v>1515</v>
      </c>
      <c r="D99" s="1606" t="s">
        <v>1516</v>
      </c>
      <c r="H99" s="1606" t="s">
        <v>1515</v>
      </c>
      <c r="I99" s="1606" t="s">
        <v>1529</v>
      </c>
    </row>
    <row r="100" spans="1:13">
      <c r="A100" t="s">
        <v>1004</v>
      </c>
      <c r="B100" s="1606" t="s">
        <v>1529</v>
      </c>
      <c r="D100" s="1606" t="s">
        <v>1516</v>
      </c>
      <c r="H100" s="1606" t="s">
        <v>1529</v>
      </c>
      <c r="I100" s="1606" t="s">
        <v>1529</v>
      </c>
    </row>
    <row r="101" spans="1:13">
      <c r="A101" t="s">
        <v>1005</v>
      </c>
      <c r="B101" s="1606" t="s">
        <v>1515</v>
      </c>
      <c r="D101" s="1606" t="s">
        <v>1516</v>
      </c>
      <c r="H101" s="1606" t="s">
        <v>1515</v>
      </c>
      <c r="I101" s="1606" t="s">
        <v>1529</v>
      </c>
      <c r="M101" t="s">
        <v>1853</v>
      </c>
    </row>
    <row r="102" spans="1:13">
      <c r="A102" t="s">
        <v>1006</v>
      </c>
      <c r="B102" s="1606" t="s">
        <v>1529</v>
      </c>
      <c r="D102" s="1606" t="s">
        <v>1516</v>
      </c>
      <c r="H102" s="1606" t="s">
        <v>1529</v>
      </c>
      <c r="I102" s="1606" t="s">
        <v>1529</v>
      </c>
    </row>
    <row r="103" spans="1:13">
      <c r="A103" t="s">
        <v>1007</v>
      </c>
      <c r="B103" s="1606" t="s">
        <v>1515</v>
      </c>
      <c r="C103" s="1606" t="s">
        <v>1516</v>
      </c>
      <c r="D103" s="1606" t="s">
        <v>1516</v>
      </c>
      <c r="H103" s="1606" t="s">
        <v>1515</v>
      </c>
      <c r="I103" s="1606" t="s">
        <v>1529</v>
      </c>
    </row>
    <row r="104" spans="1:13">
      <c r="A104" t="s">
        <v>1178</v>
      </c>
      <c r="B104" s="1606" t="s">
        <v>1529</v>
      </c>
      <c r="D104" s="1606" t="s">
        <v>1516</v>
      </c>
      <c r="H104" s="1606" t="s">
        <v>1529</v>
      </c>
      <c r="I104" s="1606" t="s">
        <v>1529</v>
      </c>
    </row>
    <row r="105" spans="1:13">
      <c r="A105" t="s">
        <v>1372</v>
      </c>
      <c r="B105" s="1606" t="s">
        <v>1529</v>
      </c>
      <c r="D105" s="1606" t="s">
        <v>1516</v>
      </c>
      <c r="H105" s="1606" t="s">
        <v>1529</v>
      </c>
      <c r="I105" s="1606" t="s">
        <v>1529</v>
      </c>
    </row>
    <row r="106" spans="1:13">
      <c r="A106" t="s">
        <v>74</v>
      </c>
      <c r="B106" s="1606" t="s">
        <v>1526</v>
      </c>
      <c r="D106" s="1606" t="s">
        <v>1532</v>
      </c>
      <c r="H106" s="1606" t="s">
        <v>1526</v>
      </c>
      <c r="I106" s="1606" t="s">
        <v>1529</v>
      </c>
    </row>
    <row r="107" spans="1:13">
      <c r="A107" t="s">
        <v>137</v>
      </c>
      <c r="B107" s="1606" t="s">
        <v>1526</v>
      </c>
      <c r="D107" s="1606" t="s">
        <v>1532</v>
      </c>
      <c r="H107" s="1606" t="s">
        <v>1526</v>
      </c>
      <c r="I107" s="1606" t="s">
        <v>1529</v>
      </c>
    </row>
    <row r="108" spans="1:13">
      <c r="A108" t="s">
        <v>1586</v>
      </c>
      <c r="B108" s="1606" t="s">
        <v>1526</v>
      </c>
      <c r="D108" s="1606" t="s">
        <v>1516</v>
      </c>
      <c r="H108" s="1606" t="s">
        <v>1526</v>
      </c>
      <c r="I108" s="1606" t="s">
        <v>1529</v>
      </c>
    </row>
    <row r="109" spans="1:13">
      <c r="A109" t="s">
        <v>1587</v>
      </c>
      <c r="B109" s="1606" t="s">
        <v>1515</v>
      </c>
      <c r="C109" s="1606" t="s">
        <v>1516</v>
      </c>
      <c r="D109" s="1606" t="s">
        <v>1516</v>
      </c>
      <c r="H109" s="1606" t="s">
        <v>1515</v>
      </c>
      <c r="I109" s="1606" t="s">
        <v>1529</v>
      </c>
    </row>
    <row r="110" spans="1:13">
      <c r="A110" t="s">
        <v>1391</v>
      </c>
      <c r="B110" s="1606" t="s">
        <v>1526</v>
      </c>
      <c r="D110" s="1606" t="s">
        <v>1532</v>
      </c>
      <c r="H110" s="1606" t="s">
        <v>1526</v>
      </c>
      <c r="I110" s="1606" t="s">
        <v>1529</v>
      </c>
    </row>
    <row r="111" spans="1:13">
      <c r="A111" t="s">
        <v>139</v>
      </c>
      <c r="B111" s="1606" t="s">
        <v>1526</v>
      </c>
      <c r="D111" s="1606" t="s">
        <v>1516</v>
      </c>
      <c r="H111" s="1606" t="s">
        <v>1526</v>
      </c>
      <c r="I111" s="1606" t="s">
        <v>1529</v>
      </c>
    </row>
    <row r="112" spans="1:13">
      <c r="A112" t="s">
        <v>141</v>
      </c>
      <c r="B112" s="1606" t="s">
        <v>1515</v>
      </c>
      <c r="D112" s="1606" t="s">
        <v>1516</v>
      </c>
      <c r="H112" s="1606" t="s">
        <v>1515</v>
      </c>
      <c r="I112" s="1606" t="s">
        <v>1529</v>
      </c>
    </row>
    <row r="113" spans="1:15">
      <c r="A113" t="s">
        <v>75</v>
      </c>
      <c r="B113" s="1606" t="s">
        <v>1526</v>
      </c>
      <c r="D113" s="1606" t="s">
        <v>1516</v>
      </c>
      <c r="H113" s="1606" t="s">
        <v>1526</v>
      </c>
      <c r="I113" s="1606" t="s">
        <v>1529</v>
      </c>
    </row>
    <row r="114" spans="1:15">
      <c r="A114" t="s">
        <v>76</v>
      </c>
      <c r="B114" s="1606" t="s">
        <v>1526</v>
      </c>
      <c r="D114" s="1606" t="s">
        <v>1532</v>
      </c>
      <c r="H114" s="1606" t="s">
        <v>1526</v>
      </c>
      <c r="I114" s="1606" t="s">
        <v>1529</v>
      </c>
    </row>
    <row r="115" spans="1:15">
      <c r="A115" t="s">
        <v>1009</v>
      </c>
      <c r="B115" s="1606" t="s">
        <v>1529</v>
      </c>
      <c r="D115" s="1606" t="s">
        <v>1516</v>
      </c>
      <c r="H115" s="1606" t="s">
        <v>1529</v>
      </c>
      <c r="I115" s="1606" t="s">
        <v>1529</v>
      </c>
    </row>
    <row r="116" spans="1:15">
      <c r="A116" t="s">
        <v>1522</v>
      </c>
      <c r="B116" s="1606" t="s">
        <v>1529</v>
      </c>
      <c r="D116" s="1606" t="s">
        <v>1516</v>
      </c>
      <c r="H116" s="1606" t="s">
        <v>1529</v>
      </c>
      <c r="I116" s="1606" t="s">
        <v>1529</v>
      </c>
      <c r="O116" t="s">
        <v>1865</v>
      </c>
    </row>
    <row r="117" spans="1:15">
      <c r="A117" t="s">
        <v>1523</v>
      </c>
      <c r="B117" s="1606" t="s">
        <v>1529</v>
      </c>
      <c r="D117" s="1606" t="s">
        <v>1516</v>
      </c>
      <c r="H117" s="1606" t="s">
        <v>1529</v>
      </c>
      <c r="I117" s="1606" t="s">
        <v>1529</v>
      </c>
    </row>
    <row r="118" spans="1:15">
      <c r="A118" t="s">
        <v>1010</v>
      </c>
      <c r="B118" s="1606" t="s">
        <v>1526</v>
      </c>
      <c r="D118" s="1606" t="s">
        <v>1516</v>
      </c>
      <c r="H118" s="1606" t="s">
        <v>1526</v>
      </c>
      <c r="I118" s="1606" t="s">
        <v>1529</v>
      </c>
    </row>
    <row r="119" spans="1:15">
      <c r="A119" t="s">
        <v>1373</v>
      </c>
      <c r="B119" s="1606" t="s">
        <v>1515</v>
      </c>
      <c r="D119" s="1606" t="s">
        <v>1516</v>
      </c>
      <c r="H119" s="1606" t="s">
        <v>1515</v>
      </c>
      <c r="I119" s="1606" t="s">
        <v>1529</v>
      </c>
    </row>
    <row r="120" spans="1:15">
      <c r="A120" t="s">
        <v>1011</v>
      </c>
      <c r="B120" s="1606" t="s">
        <v>1515</v>
      </c>
      <c r="C120" s="1606" t="s">
        <v>1516</v>
      </c>
      <c r="D120" s="1606" t="s">
        <v>1516</v>
      </c>
      <c r="H120" s="1606" t="s">
        <v>1515</v>
      </c>
      <c r="I120" s="1606" t="s">
        <v>1515</v>
      </c>
    </row>
    <row r="121" spans="1:15">
      <c r="A121" t="s">
        <v>293</v>
      </c>
      <c r="B121" s="1606" t="s">
        <v>1526</v>
      </c>
      <c r="D121" s="1606" t="s">
        <v>1516</v>
      </c>
      <c r="H121" s="1606" t="s">
        <v>1526</v>
      </c>
      <c r="I121" s="1606" t="s">
        <v>1529</v>
      </c>
    </row>
    <row r="122" spans="1:15">
      <c r="A122" t="s">
        <v>143</v>
      </c>
      <c r="B122" s="1606" t="s">
        <v>1515</v>
      </c>
      <c r="D122" s="1606" t="s">
        <v>1516</v>
      </c>
      <c r="H122" s="1606" t="s">
        <v>1515</v>
      </c>
      <c r="I122" s="1606" t="s">
        <v>1529</v>
      </c>
    </row>
    <row r="123" spans="1:15">
      <c r="A123" t="s">
        <v>1588</v>
      </c>
      <c r="B123" s="1606" t="s">
        <v>1529</v>
      </c>
      <c r="D123" s="1606" t="s">
        <v>1516</v>
      </c>
      <c r="H123" s="1606" t="s">
        <v>1529</v>
      </c>
      <c r="I123" s="1606" t="s">
        <v>1529</v>
      </c>
    </row>
    <row r="124" spans="1:15">
      <c r="A124" t="s">
        <v>1589</v>
      </c>
      <c r="B124" s="1606" t="s">
        <v>1526</v>
      </c>
      <c r="D124" s="1606" t="s">
        <v>1516</v>
      </c>
      <c r="H124" s="1606" t="s">
        <v>1526</v>
      </c>
      <c r="I124" s="1606" t="s">
        <v>1529</v>
      </c>
    </row>
    <row r="125" spans="1:15">
      <c r="A125" t="s">
        <v>1392</v>
      </c>
      <c r="B125" s="1606" t="s">
        <v>1529</v>
      </c>
      <c r="D125" s="1606" t="s">
        <v>1516</v>
      </c>
      <c r="H125" s="1606" t="s">
        <v>1529</v>
      </c>
      <c r="I125" s="1606" t="s">
        <v>1529</v>
      </c>
    </row>
    <row r="126" spans="1:15">
      <c r="A126" t="s">
        <v>1393</v>
      </c>
      <c r="B126" s="1606" t="s">
        <v>1515</v>
      </c>
      <c r="D126" s="1606" t="s">
        <v>1516</v>
      </c>
      <c r="H126" s="1606" t="s">
        <v>1515</v>
      </c>
      <c r="I126" s="1606" t="s">
        <v>1529</v>
      </c>
    </row>
    <row r="127" spans="1:15">
      <c r="A127" t="s">
        <v>1524</v>
      </c>
      <c r="B127" s="1606" t="s">
        <v>1526</v>
      </c>
      <c r="D127" s="1606" t="s">
        <v>1516</v>
      </c>
      <c r="H127" s="1606" t="s">
        <v>1526</v>
      </c>
      <c r="I127" s="1606" t="s">
        <v>1529</v>
      </c>
    </row>
    <row r="128" spans="1:15">
      <c r="A128" t="s">
        <v>1590</v>
      </c>
      <c r="B128" s="1606" t="s">
        <v>1529</v>
      </c>
      <c r="D128" s="1606" t="s">
        <v>1516</v>
      </c>
      <c r="H128" s="1606" t="s">
        <v>1529</v>
      </c>
      <c r="I128" s="1606" t="s">
        <v>1529</v>
      </c>
    </row>
    <row r="129" spans="1:9">
      <c r="A129" t="s">
        <v>17</v>
      </c>
      <c r="B129" s="1606" t="s">
        <v>1526</v>
      </c>
      <c r="D129" s="1606" t="s">
        <v>1516</v>
      </c>
      <c r="H129" s="1606" t="s">
        <v>1526</v>
      </c>
      <c r="I129" s="1606" t="s">
        <v>1529</v>
      </c>
    </row>
    <row r="130" spans="1:9">
      <c r="A130" t="s">
        <v>1591</v>
      </c>
      <c r="B130" s="1606" t="s">
        <v>1526</v>
      </c>
      <c r="D130" s="1606" t="s">
        <v>1516</v>
      </c>
      <c r="H130" s="1606" t="s">
        <v>1526</v>
      </c>
      <c r="I130" s="1606" t="s">
        <v>1529</v>
      </c>
    </row>
    <row r="131" spans="1:9">
      <c r="A131" t="s">
        <v>1592</v>
      </c>
      <c r="B131" s="1606" t="s">
        <v>1529</v>
      </c>
      <c r="D131" s="1606" t="s">
        <v>1516</v>
      </c>
      <c r="H131" s="1606" t="s">
        <v>1529</v>
      </c>
      <c r="I131" s="1606" t="s">
        <v>1529</v>
      </c>
    </row>
    <row r="132" spans="1:9">
      <c r="A132" t="s">
        <v>1593</v>
      </c>
      <c r="B132" s="1606" t="s">
        <v>1529</v>
      </c>
      <c r="D132" s="1606" t="s">
        <v>1516</v>
      </c>
      <c r="H132" s="1606" t="s">
        <v>1529</v>
      </c>
      <c r="I132" s="1606" t="s">
        <v>1529</v>
      </c>
    </row>
    <row r="133" spans="1:9">
      <c r="A133" t="s">
        <v>1594</v>
      </c>
      <c r="B133" s="1606" t="s">
        <v>1529</v>
      </c>
      <c r="D133" s="1606" t="s">
        <v>1516</v>
      </c>
      <c r="H133" s="1606" t="s">
        <v>1529</v>
      </c>
      <c r="I133" s="1606" t="s">
        <v>1529</v>
      </c>
    </row>
    <row r="134" spans="1:9">
      <c r="A134" t="s">
        <v>1595</v>
      </c>
      <c r="B134" s="1606" t="s">
        <v>1526</v>
      </c>
      <c r="D134" s="1606" t="s">
        <v>1516</v>
      </c>
      <c r="H134" s="1606" t="s">
        <v>1526</v>
      </c>
      <c r="I134" s="1606" t="s">
        <v>1529</v>
      </c>
    </row>
    <row r="135" spans="1:9">
      <c r="A135" t="s">
        <v>1012</v>
      </c>
      <c r="B135" s="1606" t="s">
        <v>1526</v>
      </c>
      <c r="D135" s="1606" t="s">
        <v>1516</v>
      </c>
      <c r="H135" s="1606" t="s">
        <v>1526</v>
      </c>
      <c r="I135" s="1606" t="s">
        <v>1529</v>
      </c>
    </row>
    <row r="136" spans="1:9">
      <c r="A136" t="s">
        <v>256</v>
      </c>
      <c r="B136" s="1606" t="s">
        <v>1526</v>
      </c>
      <c r="D136" s="1606" t="s">
        <v>1516</v>
      </c>
      <c r="H136" s="1606" t="s">
        <v>1526</v>
      </c>
      <c r="I136" s="1606" t="s">
        <v>1529</v>
      </c>
    </row>
    <row r="137" spans="1:9">
      <c r="A137" t="s">
        <v>77</v>
      </c>
      <c r="B137" s="1606" t="s">
        <v>1526</v>
      </c>
      <c r="D137" s="1606" t="s">
        <v>1532</v>
      </c>
      <c r="H137" s="1606" t="s">
        <v>1526</v>
      </c>
      <c r="I137" s="1606" t="s">
        <v>1529</v>
      </c>
    </row>
    <row r="138" spans="1:9">
      <c r="A138" t="s">
        <v>1374</v>
      </c>
      <c r="B138" s="1606" t="s">
        <v>1526</v>
      </c>
      <c r="D138" s="1606" t="s">
        <v>1516</v>
      </c>
      <c r="H138" s="1606" t="s">
        <v>1526</v>
      </c>
      <c r="I138" s="1606" t="s">
        <v>1529</v>
      </c>
    </row>
    <row r="139" spans="1:9">
      <c r="A139" t="s">
        <v>1596</v>
      </c>
      <c r="B139" s="1606" t="s">
        <v>1526</v>
      </c>
      <c r="D139" s="1606" t="s">
        <v>1516</v>
      </c>
      <c r="H139" s="1606" t="s">
        <v>1526</v>
      </c>
      <c r="I139" s="1606" t="s">
        <v>1529</v>
      </c>
    </row>
    <row r="140" spans="1:9">
      <c r="A140" t="s">
        <v>1395</v>
      </c>
      <c r="B140" s="1606" t="s">
        <v>1529</v>
      </c>
      <c r="D140" s="1606" t="s">
        <v>1516</v>
      </c>
      <c r="H140" s="1606" t="s">
        <v>1529</v>
      </c>
      <c r="I140" s="1606" t="s">
        <v>1529</v>
      </c>
    </row>
    <row r="141" spans="1:9">
      <c r="A141" t="s">
        <v>1013</v>
      </c>
      <c r="B141" s="1606" t="s">
        <v>1529</v>
      </c>
      <c r="D141" s="1606" t="s">
        <v>1516</v>
      </c>
      <c r="H141" s="1606" t="s">
        <v>1529</v>
      </c>
      <c r="I141" s="1606" t="s">
        <v>1529</v>
      </c>
    </row>
    <row r="142" spans="1:9">
      <c r="A142" t="s">
        <v>1365</v>
      </c>
      <c r="I142" s="1606" t="s">
        <v>1529</v>
      </c>
    </row>
    <row r="143" spans="1:9">
      <c r="A143" t="s">
        <v>1167</v>
      </c>
      <c r="B143" s="1606" t="s">
        <v>1526</v>
      </c>
      <c r="D143" s="1606" t="s">
        <v>1516</v>
      </c>
      <c r="H143" s="1606" t="s">
        <v>1526</v>
      </c>
      <c r="I143" s="1606" t="s">
        <v>1529</v>
      </c>
    </row>
    <row r="144" spans="1:9">
      <c r="A144" t="s">
        <v>1597</v>
      </c>
      <c r="B144" s="1606" t="s">
        <v>1526</v>
      </c>
      <c r="D144" s="1606" t="s">
        <v>1516</v>
      </c>
      <c r="H144" s="1606" t="s">
        <v>1526</v>
      </c>
      <c r="I144" s="1606" t="s">
        <v>1529</v>
      </c>
    </row>
    <row r="145" spans="1:12">
      <c r="A145" t="s">
        <v>148</v>
      </c>
      <c r="B145" s="1606" t="s">
        <v>1526</v>
      </c>
      <c r="D145" s="1606" t="s">
        <v>1516</v>
      </c>
      <c r="H145" s="1606" t="s">
        <v>1526</v>
      </c>
      <c r="I145" s="1606" t="s">
        <v>1529</v>
      </c>
    </row>
    <row r="146" spans="1:12">
      <c r="A146" t="s">
        <v>78</v>
      </c>
      <c r="B146" s="1606" t="s">
        <v>1526</v>
      </c>
      <c r="D146" s="1606" t="s">
        <v>1516</v>
      </c>
      <c r="H146" s="1606" t="s">
        <v>1526</v>
      </c>
      <c r="I146" s="1606" t="s">
        <v>1529</v>
      </c>
    </row>
    <row r="147" spans="1:12">
      <c r="A147" t="s">
        <v>79</v>
      </c>
      <c r="B147" s="1606" t="s">
        <v>1526</v>
      </c>
      <c r="D147" s="1606" t="s">
        <v>1516</v>
      </c>
      <c r="H147" s="1606" t="s">
        <v>1526</v>
      </c>
      <c r="I147" s="1606" t="s">
        <v>1529</v>
      </c>
    </row>
    <row r="148" spans="1:12">
      <c r="A148" t="s">
        <v>1015</v>
      </c>
      <c r="B148" s="1606" t="s">
        <v>1526</v>
      </c>
      <c r="D148" s="1606" t="s">
        <v>1516</v>
      </c>
      <c r="H148" s="1606" t="s">
        <v>1526</v>
      </c>
      <c r="I148" s="1606" t="s">
        <v>1529</v>
      </c>
    </row>
    <row r="149" spans="1:12">
      <c r="A149" t="s">
        <v>8</v>
      </c>
      <c r="B149" s="1606" t="s">
        <v>1515</v>
      </c>
      <c r="C149" s="1606" t="s">
        <v>1516</v>
      </c>
      <c r="D149" s="1606" t="s">
        <v>1516</v>
      </c>
      <c r="H149" s="1606" t="s">
        <v>1515</v>
      </c>
      <c r="I149" s="1606" t="s">
        <v>1529</v>
      </c>
      <c r="L149" t="s">
        <v>1874</v>
      </c>
    </row>
    <row r="150" spans="1:12">
      <c r="A150" t="s">
        <v>18</v>
      </c>
      <c r="B150" s="1606" t="s">
        <v>1515</v>
      </c>
      <c r="D150" s="1606" t="s">
        <v>1516</v>
      </c>
      <c r="H150" s="1606" t="s">
        <v>1515</v>
      </c>
      <c r="I150" s="1606" t="s">
        <v>1529</v>
      </c>
    </row>
    <row r="151" spans="1:12">
      <c r="A151" t="s">
        <v>1016</v>
      </c>
      <c r="B151" s="1606" t="s">
        <v>1529</v>
      </c>
      <c r="D151" s="1606" t="s">
        <v>1516</v>
      </c>
      <c r="H151" s="1606" t="s">
        <v>1529</v>
      </c>
      <c r="I151" s="1606" t="s">
        <v>1529</v>
      </c>
    </row>
    <row r="152" spans="1:12">
      <c r="A152" t="s">
        <v>1396</v>
      </c>
      <c r="B152" s="1606" t="s">
        <v>1526</v>
      </c>
      <c r="D152" s="1606" t="s">
        <v>1532</v>
      </c>
      <c r="H152" s="1606" t="s">
        <v>1526</v>
      </c>
      <c r="I152" s="1606" t="s">
        <v>1515</v>
      </c>
    </row>
    <row r="153" spans="1:12">
      <c r="A153" t="s">
        <v>1598</v>
      </c>
      <c r="B153" s="1606" t="s">
        <v>1526</v>
      </c>
      <c r="D153" s="1606" t="s">
        <v>1516</v>
      </c>
      <c r="H153" s="1606" t="s">
        <v>1526</v>
      </c>
      <c r="I153" s="1606" t="s">
        <v>1529</v>
      </c>
    </row>
    <row r="154" spans="1:12">
      <c r="A154" t="s">
        <v>1599</v>
      </c>
      <c r="B154" s="1606" t="s">
        <v>1529</v>
      </c>
      <c r="D154" s="1606" t="s">
        <v>1516</v>
      </c>
      <c r="H154" s="1606" t="s">
        <v>1529</v>
      </c>
      <c r="I154" s="1606" t="s">
        <v>1529</v>
      </c>
    </row>
    <row r="155" spans="1:12">
      <c r="A155" t="s">
        <v>1017</v>
      </c>
      <c r="B155" s="1606" t="s">
        <v>1529</v>
      </c>
      <c r="D155" s="1606" t="s">
        <v>1516</v>
      </c>
      <c r="H155" s="1606" t="s">
        <v>1529</v>
      </c>
      <c r="I155" s="1606" t="s">
        <v>1529</v>
      </c>
    </row>
    <row r="156" spans="1:12">
      <c r="A156" t="s">
        <v>60</v>
      </c>
      <c r="B156" s="1606" t="s">
        <v>1529</v>
      </c>
      <c r="D156" s="1606" t="s">
        <v>1516</v>
      </c>
      <c r="H156" s="1606" t="s">
        <v>1529</v>
      </c>
      <c r="I156" s="1606" t="s">
        <v>1529</v>
      </c>
    </row>
    <row r="157" spans="1:12">
      <c r="A157" t="s">
        <v>1375</v>
      </c>
      <c r="B157" s="1606" t="s">
        <v>1526</v>
      </c>
      <c r="D157" s="1606" t="s">
        <v>1516</v>
      </c>
      <c r="H157" s="1606" t="s">
        <v>1526</v>
      </c>
      <c r="I157" s="1606" t="s">
        <v>1529</v>
      </c>
    </row>
    <row r="158" spans="1:12">
      <c r="A158" t="s">
        <v>61</v>
      </c>
      <c r="B158" s="1606" t="s">
        <v>1529</v>
      </c>
      <c r="D158" s="1606" t="s">
        <v>1516</v>
      </c>
      <c r="H158" s="1606" t="s">
        <v>1529</v>
      </c>
      <c r="I158" s="1606" t="s">
        <v>1529</v>
      </c>
    </row>
    <row r="159" spans="1:12">
      <c r="A159" t="s">
        <v>80</v>
      </c>
      <c r="B159" s="1606" t="s">
        <v>1526</v>
      </c>
      <c r="D159" s="1606" t="s">
        <v>1516</v>
      </c>
      <c r="H159" s="1606" t="s">
        <v>1526</v>
      </c>
      <c r="I159" s="1606" t="s">
        <v>1529</v>
      </c>
    </row>
    <row r="160" spans="1:12">
      <c r="A160" t="s">
        <v>1018</v>
      </c>
      <c r="B160" s="1606" t="s">
        <v>1526</v>
      </c>
      <c r="D160" s="1606" t="s">
        <v>1516</v>
      </c>
      <c r="H160" s="1606" t="s">
        <v>1526</v>
      </c>
      <c r="I160" s="1606" t="s">
        <v>1529</v>
      </c>
    </row>
    <row r="161" spans="1:14">
      <c r="A161" t="s">
        <v>14</v>
      </c>
      <c r="B161" s="1606" t="s">
        <v>1529</v>
      </c>
      <c r="C161" s="1606" t="s">
        <v>1516</v>
      </c>
      <c r="D161" s="1606" t="s">
        <v>1516</v>
      </c>
      <c r="H161" s="1606" t="s">
        <v>1529</v>
      </c>
      <c r="I161" s="1606" t="s">
        <v>1529</v>
      </c>
      <c r="L161" t="s">
        <v>1875</v>
      </c>
    </row>
    <row r="162" spans="1:14">
      <c r="A162" t="s">
        <v>19</v>
      </c>
      <c r="B162" s="1606" t="s">
        <v>1526</v>
      </c>
      <c r="D162" s="1606" t="s">
        <v>1532</v>
      </c>
      <c r="H162" s="1606" t="s">
        <v>1526</v>
      </c>
      <c r="I162" s="1606" t="s">
        <v>1529</v>
      </c>
    </row>
    <row r="163" spans="1:14">
      <c r="A163" t="s">
        <v>1019</v>
      </c>
      <c r="B163" s="1606" t="s">
        <v>1515</v>
      </c>
      <c r="D163" s="1606" t="s">
        <v>1516</v>
      </c>
      <c r="H163" s="1606" t="s">
        <v>1515</v>
      </c>
      <c r="I163" s="1606" t="s">
        <v>1529</v>
      </c>
    </row>
    <row r="164" spans="1:14">
      <c r="A164" t="s">
        <v>1020</v>
      </c>
      <c r="B164" s="1606" t="s">
        <v>1529</v>
      </c>
      <c r="D164" s="1606" t="s">
        <v>1516</v>
      </c>
      <c r="H164" s="1606" t="s">
        <v>1529</v>
      </c>
      <c r="I164" s="1606" t="s">
        <v>1529</v>
      </c>
    </row>
    <row r="165" spans="1:14">
      <c r="A165" t="s">
        <v>152</v>
      </c>
      <c r="B165" s="1606" t="s">
        <v>1529</v>
      </c>
      <c r="D165" s="1606" t="s">
        <v>1516</v>
      </c>
      <c r="H165" s="1606" t="s">
        <v>1529</v>
      </c>
      <c r="I165" s="1606" t="s">
        <v>1529</v>
      </c>
    </row>
    <row r="166" spans="1:14">
      <c r="A166" t="s">
        <v>81</v>
      </c>
      <c r="B166" s="1606" t="s">
        <v>1526</v>
      </c>
      <c r="D166" s="1606" t="s">
        <v>1532</v>
      </c>
      <c r="H166" s="1606" t="s">
        <v>1526</v>
      </c>
      <c r="I166" s="1606" t="s">
        <v>1529</v>
      </c>
      <c r="N166" t="s">
        <v>1884</v>
      </c>
    </row>
    <row r="167" spans="1:14">
      <c r="A167" t="s">
        <v>37</v>
      </c>
      <c r="B167" s="1606" t="s">
        <v>1529</v>
      </c>
      <c r="C167" s="1606" t="s">
        <v>1516</v>
      </c>
      <c r="D167" s="1606" t="s">
        <v>1516</v>
      </c>
      <c r="H167" s="1606" t="s">
        <v>1529</v>
      </c>
      <c r="I167" s="1606" t="s">
        <v>1529</v>
      </c>
      <c r="L167" t="s">
        <v>1876</v>
      </c>
    </row>
    <row r="168" spans="1:14">
      <c r="A168" t="s">
        <v>1021</v>
      </c>
      <c r="B168" s="1606" t="s">
        <v>1529</v>
      </c>
      <c r="D168" s="1606" t="s">
        <v>1516</v>
      </c>
      <c r="H168" s="1606" t="s">
        <v>1529</v>
      </c>
      <c r="I168" s="1606" t="s">
        <v>1529</v>
      </c>
    </row>
    <row r="169" spans="1:14">
      <c r="A169" t="s">
        <v>154</v>
      </c>
      <c r="B169" s="1606" t="s">
        <v>1526</v>
      </c>
      <c r="D169" s="1606" t="s">
        <v>1516</v>
      </c>
      <c r="H169" s="1606" t="s">
        <v>1526</v>
      </c>
      <c r="I169" s="1606" t="s">
        <v>1529</v>
      </c>
    </row>
    <row r="170" spans="1:14">
      <c r="A170" t="s">
        <v>1022</v>
      </c>
      <c r="B170" s="1606" t="s">
        <v>1515</v>
      </c>
      <c r="C170" s="1606" t="s">
        <v>1516</v>
      </c>
      <c r="D170" s="1606" t="s">
        <v>1516</v>
      </c>
      <c r="F170" s="1606" t="s">
        <v>1516</v>
      </c>
      <c r="G170" s="1606" t="s">
        <v>1697</v>
      </c>
      <c r="H170" s="1606" t="s">
        <v>1526</v>
      </c>
      <c r="I170" s="1606" t="s">
        <v>1515</v>
      </c>
    </row>
    <row r="171" spans="1:14">
      <c r="A171" t="s">
        <v>1023</v>
      </c>
      <c r="B171" s="1606" t="s">
        <v>1529</v>
      </c>
      <c r="D171" s="1606" t="s">
        <v>1516</v>
      </c>
      <c r="H171" s="1606" t="s">
        <v>1529</v>
      </c>
      <c r="I171" s="1606" t="s">
        <v>1529</v>
      </c>
    </row>
    <row r="172" spans="1:14">
      <c r="A172" t="s">
        <v>1024</v>
      </c>
      <c r="B172" s="1606" t="s">
        <v>1529</v>
      </c>
      <c r="D172" s="1606" t="s">
        <v>1516</v>
      </c>
      <c r="H172" s="1606" t="s">
        <v>1529</v>
      </c>
      <c r="I172" s="1606" t="s">
        <v>1529</v>
      </c>
    </row>
    <row r="173" spans="1:14">
      <c r="A173" t="s">
        <v>1025</v>
      </c>
      <c r="B173" s="1606" t="s">
        <v>1515</v>
      </c>
      <c r="D173" s="1606" t="s">
        <v>1516</v>
      </c>
      <c r="H173" s="1606" t="s">
        <v>1515</v>
      </c>
      <c r="I173" s="1606" t="s">
        <v>1529</v>
      </c>
    </row>
    <row r="174" spans="1:14">
      <c r="A174" t="s">
        <v>294</v>
      </c>
      <c r="B174" s="1606" t="s">
        <v>1515</v>
      </c>
      <c r="C174" s="1606" t="s">
        <v>1516</v>
      </c>
      <c r="D174" s="1606" t="s">
        <v>1516</v>
      </c>
      <c r="H174" s="1606" t="s">
        <v>1515</v>
      </c>
      <c r="I174" s="1606" t="s">
        <v>1529</v>
      </c>
      <c r="L174" t="s">
        <v>1877</v>
      </c>
    </row>
    <row r="175" spans="1:14">
      <c r="A175" t="s">
        <v>1398</v>
      </c>
      <c r="B175" s="1606" t="s">
        <v>1529</v>
      </c>
      <c r="D175" s="1606" t="s">
        <v>1516</v>
      </c>
      <c r="H175" s="1606" t="s">
        <v>1529</v>
      </c>
      <c r="I175" s="1606" t="s">
        <v>1529</v>
      </c>
    </row>
    <row r="176" spans="1:14">
      <c r="A176" t="s">
        <v>1600</v>
      </c>
      <c r="B176" s="1606" t="s">
        <v>1529</v>
      </c>
      <c r="C176" s="1606" t="s">
        <v>1516</v>
      </c>
      <c r="D176" s="1606" t="s">
        <v>1516</v>
      </c>
      <c r="H176" s="1606" t="s">
        <v>1529</v>
      </c>
      <c r="I176" s="1606" t="s">
        <v>1529</v>
      </c>
    </row>
    <row r="177" spans="1:9">
      <c r="A177" t="s">
        <v>1399</v>
      </c>
      <c r="B177" s="1606" t="s">
        <v>1529</v>
      </c>
      <c r="D177" s="1606" t="s">
        <v>1516</v>
      </c>
      <c r="H177" s="1606" t="s">
        <v>1529</v>
      </c>
      <c r="I177" s="1606" t="s">
        <v>1529</v>
      </c>
    </row>
    <row r="178" spans="1:9">
      <c r="A178" t="s">
        <v>15</v>
      </c>
      <c r="B178" s="1606" t="s">
        <v>1529</v>
      </c>
      <c r="D178" s="1606" t="s">
        <v>1516</v>
      </c>
      <c r="H178" s="1606" t="s">
        <v>1529</v>
      </c>
      <c r="I178" s="1606" t="s">
        <v>1529</v>
      </c>
    </row>
    <row r="179" spans="1:9">
      <c r="A179" t="s">
        <v>208</v>
      </c>
      <c r="B179" s="1606" t="s">
        <v>1526</v>
      </c>
      <c r="D179" s="1606" t="s">
        <v>1532</v>
      </c>
      <c r="H179" s="1606" t="s">
        <v>1532</v>
      </c>
      <c r="I179" s="1606" t="s">
        <v>1529</v>
      </c>
    </row>
    <row r="180" spans="1:9">
      <c r="A180" t="s">
        <v>1601</v>
      </c>
      <c r="B180" s="1606" t="s">
        <v>1526</v>
      </c>
      <c r="D180" s="1606" t="s">
        <v>1516</v>
      </c>
      <c r="H180" s="1606" t="s">
        <v>1526</v>
      </c>
      <c r="I180" s="1606" t="s">
        <v>1529</v>
      </c>
    </row>
    <row r="181" spans="1:9">
      <c r="A181" t="s">
        <v>1490</v>
      </c>
      <c r="B181" s="1606" t="s">
        <v>1526</v>
      </c>
      <c r="D181" s="1606" t="s">
        <v>1516</v>
      </c>
      <c r="H181" s="1606" t="s">
        <v>1526</v>
      </c>
      <c r="I181" s="1606" t="s">
        <v>1529</v>
      </c>
    </row>
    <row r="182" spans="1:9">
      <c r="A182" t="s">
        <v>82</v>
      </c>
      <c r="B182" s="1606" t="s">
        <v>1526</v>
      </c>
      <c r="D182" s="1606" t="s">
        <v>1516</v>
      </c>
      <c r="H182" s="1606" t="s">
        <v>1526</v>
      </c>
      <c r="I182" s="1606" t="s">
        <v>1529</v>
      </c>
    </row>
    <row r="183" spans="1:9">
      <c r="A183" t="s">
        <v>1400</v>
      </c>
      <c r="B183" s="1606" t="s">
        <v>1515</v>
      </c>
      <c r="D183" s="1606" t="s">
        <v>1516</v>
      </c>
      <c r="H183" s="1606" t="s">
        <v>1515</v>
      </c>
      <c r="I183" s="1606" t="s">
        <v>1529</v>
      </c>
    </row>
    <row r="184" spans="1:9">
      <c r="A184" t="s">
        <v>112</v>
      </c>
      <c r="B184" s="1606" t="s">
        <v>1529</v>
      </c>
      <c r="D184" s="1606" t="s">
        <v>1516</v>
      </c>
      <c r="H184" s="1606" t="s">
        <v>1529</v>
      </c>
      <c r="I184" s="1606" t="s">
        <v>1529</v>
      </c>
    </row>
    <row r="185" spans="1:9">
      <c r="A185" t="s">
        <v>1028</v>
      </c>
      <c r="B185" s="1606" t="s">
        <v>1529</v>
      </c>
      <c r="D185" s="1606" t="s">
        <v>1516</v>
      </c>
      <c r="H185" s="1606" t="s">
        <v>1529</v>
      </c>
      <c r="I185" s="1606" t="s">
        <v>1529</v>
      </c>
    </row>
    <row r="186" spans="1:9">
      <c r="A186" t="s">
        <v>83</v>
      </c>
      <c r="B186" s="1606" t="s">
        <v>1526</v>
      </c>
      <c r="D186" s="1606" t="s">
        <v>1532</v>
      </c>
      <c r="H186" s="1606" t="s">
        <v>1526</v>
      </c>
      <c r="I186" s="1606" t="s">
        <v>1529</v>
      </c>
    </row>
    <row r="187" spans="1:9">
      <c r="A187" t="s">
        <v>1029</v>
      </c>
      <c r="B187" s="1606" t="s">
        <v>1529</v>
      </c>
      <c r="D187" s="1606" t="s">
        <v>1516</v>
      </c>
      <c r="H187" s="1606" t="s">
        <v>1529</v>
      </c>
      <c r="I187" s="1606" t="s">
        <v>1529</v>
      </c>
    </row>
    <row r="188" spans="1:9">
      <c r="A188" t="s">
        <v>295</v>
      </c>
      <c r="B188" s="1606" t="s">
        <v>1526</v>
      </c>
      <c r="D188" s="1606" t="s">
        <v>1516</v>
      </c>
      <c r="H188" s="1606" t="s">
        <v>1526</v>
      </c>
      <c r="I188" s="1606" t="s">
        <v>1529</v>
      </c>
    </row>
    <row r="189" spans="1:9">
      <c r="A189" t="s">
        <v>1030</v>
      </c>
      <c r="B189" s="1606" t="s">
        <v>1526</v>
      </c>
      <c r="D189" s="1606" t="s">
        <v>1516</v>
      </c>
      <c r="H189" s="1606" t="s">
        <v>1526</v>
      </c>
      <c r="I189" s="1606" t="s">
        <v>1529</v>
      </c>
    </row>
    <row r="190" spans="1:9">
      <c r="A190" t="s">
        <v>296</v>
      </c>
      <c r="B190" s="1606" t="s">
        <v>1515</v>
      </c>
      <c r="C190" s="1606" t="s">
        <v>1516</v>
      </c>
      <c r="D190" s="1606" t="s">
        <v>1516</v>
      </c>
      <c r="H190" s="1606" t="s">
        <v>1515</v>
      </c>
      <c r="I190" s="1606" t="s">
        <v>1529</v>
      </c>
    </row>
    <row r="191" spans="1:9">
      <c r="A191" t="s">
        <v>46</v>
      </c>
      <c r="B191" s="1606" t="s">
        <v>1529</v>
      </c>
      <c r="D191" s="1606" t="s">
        <v>1516</v>
      </c>
      <c r="H191" s="1606" t="s">
        <v>1529</v>
      </c>
      <c r="I191" s="1606" t="s">
        <v>1529</v>
      </c>
    </row>
    <row r="192" spans="1:9">
      <c r="A192" t="s">
        <v>162</v>
      </c>
      <c r="B192" s="1606" t="s">
        <v>1515</v>
      </c>
      <c r="C192" s="1606" t="s">
        <v>1516</v>
      </c>
      <c r="D192" s="1606" t="s">
        <v>1516</v>
      </c>
      <c r="H192" s="1606" t="s">
        <v>1515</v>
      </c>
      <c r="I192" s="1606" t="s">
        <v>1515</v>
      </c>
    </row>
    <row r="193" spans="1:13">
      <c r="A193" t="s">
        <v>1401</v>
      </c>
      <c r="B193" s="1606" t="s">
        <v>1526</v>
      </c>
      <c r="D193" s="1606" t="s">
        <v>1532</v>
      </c>
      <c r="H193" s="1606" t="s">
        <v>1526</v>
      </c>
      <c r="I193" s="1606" t="s">
        <v>1529</v>
      </c>
    </row>
    <row r="194" spans="1:13">
      <c r="A194" t="s">
        <v>1031</v>
      </c>
      <c r="B194" s="1606" t="s">
        <v>1526</v>
      </c>
      <c r="D194" s="1606" t="s">
        <v>1516</v>
      </c>
      <c r="H194" s="1606" t="s">
        <v>1526</v>
      </c>
      <c r="I194" s="1606" t="s">
        <v>1529</v>
      </c>
    </row>
    <row r="195" spans="1:13">
      <c r="A195" t="s">
        <v>257</v>
      </c>
      <c r="B195" s="1606" t="s">
        <v>1526</v>
      </c>
      <c r="D195" s="1606" t="s">
        <v>1532</v>
      </c>
      <c r="H195" s="1606" t="s">
        <v>1526</v>
      </c>
      <c r="I195" s="1606" t="s">
        <v>1529</v>
      </c>
    </row>
    <row r="196" spans="1:13">
      <c r="A196" t="s">
        <v>84</v>
      </c>
      <c r="B196" s="1606" t="s">
        <v>1526</v>
      </c>
      <c r="D196" s="1606" t="s">
        <v>1532</v>
      </c>
      <c r="H196" s="1606" t="s">
        <v>1532</v>
      </c>
      <c r="I196" s="1606" t="s">
        <v>1529</v>
      </c>
    </row>
    <row r="197" spans="1:13">
      <c r="A197" t="s">
        <v>62</v>
      </c>
      <c r="B197" s="1606" t="s">
        <v>1529</v>
      </c>
      <c r="D197" s="1606" t="s">
        <v>1516</v>
      </c>
      <c r="H197" s="1606" t="s">
        <v>1529</v>
      </c>
      <c r="I197" s="1606" t="s">
        <v>1529</v>
      </c>
    </row>
    <row r="198" spans="1:13">
      <c r="A198" t="s">
        <v>159</v>
      </c>
      <c r="B198" s="1606" t="s">
        <v>1515</v>
      </c>
      <c r="D198" s="1606" t="s">
        <v>1516</v>
      </c>
      <c r="H198" s="1606" t="s">
        <v>1515</v>
      </c>
      <c r="I198" s="1606" t="s">
        <v>1529</v>
      </c>
    </row>
    <row r="199" spans="1:13">
      <c r="A199" t="s">
        <v>1602</v>
      </c>
      <c r="I199" s="1606" t="s">
        <v>1529</v>
      </c>
    </row>
    <row r="200" spans="1:13">
      <c r="A200" t="s">
        <v>1603</v>
      </c>
      <c r="B200" s="1606" t="s">
        <v>1526</v>
      </c>
      <c r="D200" s="1606" t="s">
        <v>1532</v>
      </c>
      <c r="H200" s="1606" t="s">
        <v>1532</v>
      </c>
      <c r="I200" s="1606" t="s">
        <v>1529</v>
      </c>
    </row>
    <row r="201" spans="1:13">
      <c r="A201" t="s">
        <v>43</v>
      </c>
      <c r="B201" s="1606" t="s">
        <v>1515</v>
      </c>
      <c r="D201" s="1606" t="s">
        <v>1516</v>
      </c>
      <c r="H201" s="1606" t="s">
        <v>1515</v>
      </c>
      <c r="I201" s="1606" t="s">
        <v>1529</v>
      </c>
    </row>
    <row r="202" spans="1:13">
      <c r="A202" t="s">
        <v>549</v>
      </c>
      <c r="B202" s="1606" t="s">
        <v>1515</v>
      </c>
      <c r="C202" s="1606" t="s">
        <v>1516</v>
      </c>
      <c r="D202" s="1606" t="s">
        <v>1516</v>
      </c>
      <c r="G202" s="1606" t="s">
        <v>1665</v>
      </c>
      <c r="H202" s="1606" t="s">
        <v>1529</v>
      </c>
      <c r="I202" s="1606" t="s">
        <v>1515</v>
      </c>
      <c r="M202" t="s">
        <v>1856</v>
      </c>
    </row>
    <row r="203" spans="1:13">
      <c r="A203" t="s">
        <v>1170</v>
      </c>
      <c r="B203" s="1606" t="s">
        <v>1515</v>
      </c>
      <c r="C203" s="1606" t="s">
        <v>1516</v>
      </c>
      <c r="D203" s="1606" t="s">
        <v>1516</v>
      </c>
      <c r="G203" s="1606" t="s">
        <v>1665</v>
      </c>
      <c r="H203" s="1606" t="s">
        <v>1529</v>
      </c>
      <c r="I203" s="1606" t="s">
        <v>1515</v>
      </c>
      <c r="M203" t="s">
        <v>1856</v>
      </c>
    </row>
    <row r="204" spans="1:13">
      <c r="A204" t="s">
        <v>44</v>
      </c>
      <c r="B204" s="1606" t="s">
        <v>1529</v>
      </c>
      <c r="D204" s="1606" t="s">
        <v>1516</v>
      </c>
      <c r="H204" s="1606" t="s">
        <v>1529</v>
      </c>
      <c r="I204" s="1606" t="s">
        <v>1529</v>
      </c>
    </row>
    <row r="205" spans="1:13">
      <c r="A205" t="s">
        <v>167</v>
      </c>
      <c r="B205" s="1606" t="s">
        <v>1526</v>
      </c>
      <c r="D205" s="1606" t="s">
        <v>1516</v>
      </c>
      <c r="H205" s="1606" t="s">
        <v>1526</v>
      </c>
      <c r="I205" s="1606" t="s">
        <v>1529</v>
      </c>
    </row>
    <row r="206" spans="1:13">
      <c r="A206" t="s">
        <v>38</v>
      </c>
      <c r="B206" s="1606" t="s">
        <v>1526</v>
      </c>
      <c r="D206" s="1606" t="s">
        <v>1532</v>
      </c>
      <c r="H206" s="1606" t="s">
        <v>1526</v>
      </c>
      <c r="I206" s="1606" t="s">
        <v>1529</v>
      </c>
    </row>
    <row r="207" spans="1:13">
      <c r="A207" t="s">
        <v>169</v>
      </c>
      <c r="B207" s="1606" t="s">
        <v>1526</v>
      </c>
      <c r="D207" s="1606" t="s">
        <v>1532</v>
      </c>
      <c r="H207" s="1606" t="s">
        <v>1526</v>
      </c>
      <c r="I207" s="1606" t="s">
        <v>1529</v>
      </c>
    </row>
    <row r="208" spans="1:13">
      <c r="A208" t="s">
        <v>33</v>
      </c>
      <c r="B208" s="1606" t="s">
        <v>1526</v>
      </c>
      <c r="D208" s="1606" t="s">
        <v>1532</v>
      </c>
      <c r="H208" s="1606" t="s">
        <v>1532</v>
      </c>
      <c r="I208" s="1606" t="s">
        <v>1529</v>
      </c>
    </row>
    <row r="209" spans="1:9">
      <c r="A209" t="s">
        <v>85</v>
      </c>
      <c r="B209" s="1606" t="s">
        <v>1526</v>
      </c>
      <c r="D209" s="1606" t="s">
        <v>1516</v>
      </c>
      <c r="H209" s="1606" t="s">
        <v>1526</v>
      </c>
      <c r="I209" s="1606" t="s">
        <v>1529</v>
      </c>
    </row>
    <row r="210" spans="1:9">
      <c r="A210" t="s">
        <v>258</v>
      </c>
      <c r="B210" s="1606" t="s">
        <v>1526</v>
      </c>
      <c r="D210" s="1606" t="s">
        <v>1516</v>
      </c>
      <c r="H210" s="1606" t="s">
        <v>1526</v>
      </c>
      <c r="I210" s="1606" t="s">
        <v>1529</v>
      </c>
    </row>
    <row r="211" spans="1:9">
      <c r="A211" t="s">
        <v>1032</v>
      </c>
      <c r="B211" s="1606" t="s">
        <v>1529</v>
      </c>
      <c r="D211" s="1606" t="s">
        <v>1516</v>
      </c>
      <c r="H211" s="1606" t="s">
        <v>1529</v>
      </c>
      <c r="I211" s="1606" t="s">
        <v>1529</v>
      </c>
    </row>
    <row r="212" spans="1:9">
      <c r="A212" t="s">
        <v>173</v>
      </c>
      <c r="B212" s="1606" t="s">
        <v>1526</v>
      </c>
      <c r="D212" s="1606" t="s">
        <v>1532</v>
      </c>
      <c r="H212" s="1606" t="s">
        <v>1526</v>
      </c>
      <c r="I212" s="1606" t="s">
        <v>1529</v>
      </c>
    </row>
    <row r="213" spans="1:9">
      <c r="A213" t="s">
        <v>1033</v>
      </c>
      <c r="B213" s="1606" t="s">
        <v>1526</v>
      </c>
      <c r="D213" s="1606" t="s">
        <v>1532</v>
      </c>
      <c r="H213" s="1606" t="s">
        <v>1526</v>
      </c>
      <c r="I213" s="1606" t="s">
        <v>1529</v>
      </c>
    </row>
    <row r="214" spans="1:9">
      <c r="A214" t="s">
        <v>1366</v>
      </c>
      <c r="B214" s="1606" t="s">
        <v>1526</v>
      </c>
      <c r="D214" s="1606" t="s">
        <v>1532</v>
      </c>
      <c r="H214" s="1606" t="s">
        <v>1532</v>
      </c>
      <c r="I214" s="1606" t="s">
        <v>1529</v>
      </c>
    </row>
    <row r="215" spans="1:9">
      <c r="A215" t="s">
        <v>1179</v>
      </c>
      <c r="B215" s="1606" t="s">
        <v>1526</v>
      </c>
      <c r="D215" s="1606" t="s">
        <v>1516</v>
      </c>
      <c r="H215" s="1606" t="s">
        <v>1526</v>
      </c>
      <c r="I215" s="1606" t="s">
        <v>1529</v>
      </c>
    </row>
    <row r="216" spans="1:9">
      <c r="A216" t="s">
        <v>1604</v>
      </c>
      <c r="B216" s="1606" t="s">
        <v>1526</v>
      </c>
      <c r="D216" s="1606" t="s">
        <v>1532</v>
      </c>
      <c r="H216" s="1606" t="s">
        <v>1532</v>
      </c>
      <c r="I216" s="1606" t="s">
        <v>1529</v>
      </c>
    </row>
    <row r="217" spans="1:9">
      <c r="A217" t="s">
        <v>177</v>
      </c>
      <c r="B217" s="1606" t="s">
        <v>1515</v>
      </c>
      <c r="C217" s="1606" t="s">
        <v>1516</v>
      </c>
      <c r="D217" s="1606" t="s">
        <v>1516</v>
      </c>
      <c r="H217" s="1606" t="s">
        <v>1515</v>
      </c>
      <c r="I217" s="1606" t="s">
        <v>1529</v>
      </c>
    </row>
    <row r="218" spans="1:9">
      <c r="A218" t="s">
        <v>1605</v>
      </c>
      <c r="I218" s="1606" t="s">
        <v>1529</v>
      </c>
    </row>
    <row r="219" spans="1:9">
      <c r="A219" t="s">
        <v>179</v>
      </c>
      <c r="B219" s="1606" t="s">
        <v>1526</v>
      </c>
      <c r="D219" s="1606" t="s">
        <v>1532</v>
      </c>
      <c r="H219" s="1606" t="s">
        <v>1526</v>
      </c>
      <c r="I219" s="1606" t="s">
        <v>1529</v>
      </c>
    </row>
    <row r="220" spans="1:9">
      <c r="A220" t="s">
        <v>181</v>
      </c>
      <c r="B220" s="1606" t="s">
        <v>1526</v>
      </c>
      <c r="D220" s="1606" t="s">
        <v>1516</v>
      </c>
      <c r="H220" s="1606" t="s">
        <v>1526</v>
      </c>
      <c r="I220" s="1606" t="s">
        <v>1529</v>
      </c>
    </row>
    <row r="221" spans="1:9">
      <c r="A221" t="s">
        <v>1378</v>
      </c>
      <c r="B221" s="1606" t="s">
        <v>1526</v>
      </c>
      <c r="D221" s="1606" t="s">
        <v>1516</v>
      </c>
      <c r="H221" s="1606" t="s">
        <v>1526</v>
      </c>
      <c r="I221" s="1606" t="s">
        <v>1529</v>
      </c>
    </row>
    <row r="222" spans="1:9">
      <c r="A222" t="s">
        <v>1403</v>
      </c>
      <c r="B222" s="1606" t="s">
        <v>1515</v>
      </c>
      <c r="D222" s="1606" t="s">
        <v>1516</v>
      </c>
      <c r="H222" s="1606" t="s">
        <v>1515</v>
      </c>
      <c r="I222" s="1606" t="s">
        <v>1529</v>
      </c>
    </row>
    <row r="223" spans="1:9">
      <c r="A223" t="s">
        <v>1404</v>
      </c>
      <c r="B223" s="1606" t="s">
        <v>1529</v>
      </c>
      <c r="D223" s="1606" t="s">
        <v>1516</v>
      </c>
      <c r="H223" s="1606" t="s">
        <v>1529</v>
      </c>
      <c r="I223" s="1606" t="s">
        <v>1529</v>
      </c>
    </row>
    <row r="224" spans="1:9">
      <c r="A224" t="s">
        <v>86</v>
      </c>
      <c r="B224" s="1606" t="s">
        <v>1526</v>
      </c>
      <c r="D224" s="1606" t="s">
        <v>1532</v>
      </c>
      <c r="H224" s="1606" t="s">
        <v>1526</v>
      </c>
      <c r="I224" s="1606" t="s">
        <v>1529</v>
      </c>
    </row>
    <row r="225" spans="1:12">
      <c r="A225" t="s">
        <v>1376</v>
      </c>
      <c r="B225" s="1606" t="s">
        <v>1515</v>
      </c>
      <c r="D225" s="1606" t="s">
        <v>1516</v>
      </c>
      <c r="H225" s="1606" t="s">
        <v>1515</v>
      </c>
      <c r="I225" s="1606" t="s">
        <v>1529</v>
      </c>
    </row>
    <row r="226" spans="1:12">
      <c r="A226" t="s">
        <v>1034</v>
      </c>
      <c r="B226" s="1606" t="s">
        <v>1526</v>
      </c>
      <c r="D226" s="1606" t="s">
        <v>1516</v>
      </c>
      <c r="H226" s="1606" t="s">
        <v>1526</v>
      </c>
      <c r="I226" s="1606" t="s">
        <v>1529</v>
      </c>
    </row>
    <row r="227" spans="1:12">
      <c r="A227" t="s">
        <v>185</v>
      </c>
      <c r="B227" s="1606" t="s">
        <v>1526</v>
      </c>
      <c r="D227" s="1606" t="s">
        <v>1516</v>
      </c>
      <c r="H227" s="1606" t="s">
        <v>1526</v>
      </c>
      <c r="I227" s="1606" t="s">
        <v>1529</v>
      </c>
    </row>
    <row r="228" spans="1:12">
      <c r="A228" t="s">
        <v>87</v>
      </c>
      <c r="B228" s="1606" t="s">
        <v>1526</v>
      </c>
      <c r="D228" s="1606" t="s">
        <v>1516</v>
      </c>
      <c r="H228" s="1606" t="s">
        <v>1526</v>
      </c>
      <c r="I228" s="1606" t="s">
        <v>1529</v>
      </c>
    </row>
    <row r="229" spans="1:12">
      <c r="A229" t="s">
        <v>1405</v>
      </c>
      <c r="B229" s="1606" t="s">
        <v>1526</v>
      </c>
      <c r="D229" s="1606" t="s">
        <v>1532</v>
      </c>
      <c r="H229" s="1606" t="s">
        <v>1526</v>
      </c>
      <c r="I229" s="1606" t="s">
        <v>1529</v>
      </c>
    </row>
    <row r="230" spans="1:12">
      <c r="A230" t="s">
        <v>1035</v>
      </c>
      <c r="B230" s="1606" t="s">
        <v>1515</v>
      </c>
      <c r="D230" s="1606" t="s">
        <v>1516</v>
      </c>
      <c r="H230" s="1606" t="s">
        <v>1515</v>
      </c>
      <c r="I230" s="1606" t="s">
        <v>1529</v>
      </c>
    </row>
    <row r="231" spans="1:12">
      <c r="A231" t="s">
        <v>16</v>
      </c>
      <c r="B231" s="1606" t="s">
        <v>1526</v>
      </c>
      <c r="D231" s="1606" t="s">
        <v>1516</v>
      </c>
      <c r="H231" s="1606" t="s">
        <v>1526</v>
      </c>
      <c r="I231" s="1606" t="s">
        <v>1529</v>
      </c>
    </row>
    <row r="232" spans="1:12">
      <c r="A232" t="s">
        <v>1367</v>
      </c>
      <c r="B232" s="1606" t="s">
        <v>1515</v>
      </c>
      <c r="D232" s="1606" t="s">
        <v>1516</v>
      </c>
      <c r="H232" s="1606" t="s">
        <v>1515</v>
      </c>
      <c r="I232" s="1606" t="s">
        <v>1529</v>
      </c>
    </row>
    <row r="233" spans="1:12">
      <c r="A233" t="s">
        <v>1606</v>
      </c>
      <c r="B233" s="1606" t="s">
        <v>1526</v>
      </c>
      <c r="D233" s="1606" t="s">
        <v>1532</v>
      </c>
      <c r="H233" s="1606" t="s">
        <v>1532</v>
      </c>
      <c r="I233" s="1606" t="s">
        <v>1529</v>
      </c>
    </row>
    <row r="234" spans="1:12">
      <c r="A234" t="s">
        <v>28</v>
      </c>
      <c r="B234" s="1606" t="s">
        <v>1526</v>
      </c>
      <c r="D234" s="1606" t="s">
        <v>1532</v>
      </c>
      <c r="H234" s="1606" t="s">
        <v>1526</v>
      </c>
      <c r="I234" s="1606" t="s">
        <v>1529</v>
      </c>
    </row>
    <row r="235" spans="1:12">
      <c r="A235" t="s">
        <v>1357</v>
      </c>
      <c r="B235" s="1606" t="s">
        <v>1526</v>
      </c>
      <c r="D235" s="1606" t="s">
        <v>1516</v>
      </c>
      <c r="H235" s="1606" t="s">
        <v>1526</v>
      </c>
      <c r="I235" s="1606" t="s">
        <v>1529</v>
      </c>
    </row>
    <row r="236" spans="1:12">
      <c r="A236" t="s">
        <v>1037</v>
      </c>
      <c r="B236" s="1606" t="s">
        <v>1529</v>
      </c>
      <c r="D236" s="1606" t="s">
        <v>1516</v>
      </c>
      <c r="H236" s="1606" t="s">
        <v>1529</v>
      </c>
      <c r="I236" s="1606" t="s">
        <v>1529</v>
      </c>
    </row>
    <row r="237" spans="1:12">
      <c r="A237" t="s">
        <v>1407</v>
      </c>
      <c r="B237" s="1606" t="s">
        <v>1526</v>
      </c>
      <c r="D237" s="1606" t="s">
        <v>1516</v>
      </c>
      <c r="H237" s="1606" t="s">
        <v>1526</v>
      </c>
      <c r="I237" s="1606" t="s">
        <v>1529</v>
      </c>
    </row>
    <row r="238" spans="1:12">
      <c r="A238" t="s">
        <v>867</v>
      </c>
      <c r="B238" s="1606" t="s">
        <v>1515</v>
      </c>
      <c r="C238" s="1606" t="s">
        <v>1516</v>
      </c>
      <c r="D238" s="1606" t="s">
        <v>1516</v>
      </c>
      <c r="H238" s="1606" t="s">
        <v>1515</v>
      </c>
      <c r="I238" s="1606" t="s">
        <v>1529</v>
      </c>
      <c r="L238" t="s">
        <v>1878</v>
      </c>
    </row>
    <row r="239" spans="1:12">
      <c r="A239" t="s">
        <v>1038</v>
      </c>
      <c r="B239" s="1606" t="s">
        <v>1529</v>
      </c>
      <c r="D239" s="1606" t="s">
        <v>1516</v>
      </c>
      <c r="H239" s="1606" t="s">
        <v>1529</v>
      </c>
      <c r="I239" s="1606" t="s">
        <v>1529</v>
      </c>
    </row>
    <row r="240" spans="1:12">
      <c r="A240" t="s">
        <v>1607</v>
      </c>
      <c r="B240" s="1606" t="s">
        <v>1526</v>
      </c>
      <c r="D240" s="1606" t="s">
        <v>1516</v>
      </c>
      <c r="H240" s="1606" t="s">
        <v>1526</v>
      </c>
      <c r="I240" s="1606" t="s">
        <v>1529</v>
      </c>
    </row>
    <row r="241" spans="1:9">
      <c r="A241" t="s">
        <v>88</v>
      </c>
      <c r="B241" s="1606" t="s">
        <v>1529</v>
      </c>
      <c r="D241" s="1606" t="s">
        <v>1516</v>
      </c>
      <c r="H241" s="1606" t="s">
        <v>1529</v>
      </c>
      <c r="I241" s="1606" t="s">
        <v>1529</v>
      </c>
    </row>
    <row r="242" spans="1:9">
      <c r="A242" t="s">
        <v>1608</v>
      </c>
      <c r="B242" s="1606" t="s">
        <v>1526</v>
      </c>
      <c r="D242" s="1606" t="s">
        <v>1516</v>
      </c>
      <c r="H242" s="1606" t="s">
        <v>1526</v>
      </c>
      <c r="I242" s="1606" t="s">
        <v>1529</v>
      </c>
    </row>
    <row r="243" spans="1:9">
      <c r="A243" t="s">
        <v>1040</v>
      </c>
      <c r="B243" s="1606" t="s">
        <v>1515</v>
      </c>
      <c r="D243" s="1606" t="s">
        <v>1516</v>
      </c>
      <c r="H243" s="1606" t="s">
        <v>1515</v>
      </c>
      <c r="I243" s="1606" t="s">
        <v>1529</v>
      </c>
    </row>
    <row r="244" spans="1:9">
      <c r="A244" t="s">
        <v>1174</v>
      </c>
      <c r="B244" s="1606" t="s">
        <v>1515</v>
      </c>
      <c r="D244" s="1606" t="s">
        <v>1516</v>
      </c>
      <c r="H244" s="1606" t="s">
        <v>1515</v>
      </c>
      <c r="I244" s="1606" t="s">
        <v>1529</v>
      </c>
    </row>
    <row r="245" spans="1:9">
      <c r="A245" t="s">
        <v>89</v>
      </c>
      <c r="B245" s="1606" t="s">
        <v>1526</v>
      </c>
      <c r="D245" s="1606" t="s">
        <v>1516</v>
      </c>
      <c r="H245" s="1606" t="s">
        <v>1526</v>
      </c>
      <c r="I245" s="1606" t="s">
        <v>1529</v>
      </c>
    </row>
    <row r="246" spans="1:9">
      <c r="A246" t="s">
        <v>1175</v>
      </c>
      <c r="B246" s="1606" t="s">
        <v>1526</v>
      </c>
      <c r="D246" s="1606" t="s">
        <v>1516</v>
      </c>
      <c r="H246" s="1606" t="s">
        <v>1526</v>
      </c>
      <c r="I246" s="1606" t="s">
        <v>1529</v>
      </c>
    </row>
    <row r="247" spans="1:9">
      <c r="A247" t="s">
        <v>1409</v>
      </c>
      <c r="B247" s="1606" t="s">
        <v>1529</v>
      </c>
      <c r="D247" s="1606" t="s">
        <v>1516</v>
      </c>
      <c r="H247" s="1606" t="s">
        <v>1529</v>
      </c>
      <c r="I247" s="1606" t="s">
        <v>1529</v>
      </c>
    </row>
    <row r="248" spans="1:9">
      <c r="A248" t="s">
        <v>1041</v>
      </c>
      <c r="B248" s="1606" t="s">
        <v>1526</v>
      </c>
      <c r="D248" s="1606" t="s">
        <v>1532</v>
      </c>
      <c r="H248" s="1606" t="s">
        <v>1526</v>
      </c>
      <c r="I248" s="1606" t="s">
        <v>1529</v>
      </c>
    </row>
    <row r="249" spans="1:9">
      <c r="A249" t="s">
        <v>1008</v>
      </c>
      <c r="B249" s="1606" t="s">
        <v>1515</v>
      </c>
      <c r="D249" s="1606" t="s">
        <v>1516</v>
      </c>
      <c r="H249" s="1606" t="s">
        <v>1515</v>
      </c>
      <c r="I249" s="1606" t="s">
        <v>1529</v>
      </c>
    </row>
    <row r="250" spans="1:9">
      <c r="A250" t="s">
        <v>1042</v>
      </c>
      <c r="B250" s="1606" t="s">
        <v>1526</v>
      </c>
      <c r="D250" s="1606" t="s">
        <v>1516</v>
      </c>
      <c r="H250" s="1606" t="s">
        <v>1526</v>
      </c>
      <c r="I250" s="1606" t="s">
        <v>1529</v>
      </c>
    </row>
    <row r="251" spans="1:9">
      <c r="A251" t="s">
        <v>196</v>
      </c>
      <c r="B251" s="1606" t="s">
        <v>1526</v>
      </c>
      <c r="D251" s="1606" t="s">
        <v>1532</v>
      </c>
      <c r="H251" s="1606" t="s">
        <v>1526</v>
      </c>
      <c r="I251" s="1606" t="s">
        <v>1529</v>
      </c>
    </row>
    <row r="252" spans="1:9">
      <c r="A252" t="s">
        <v>39</v>
      </c>
      <c r="B252" s="1606" t="s">
        <v>1526</v>
      </c>
      <c r="D252" s="1606" t="s">
        <v>1532</v>
      </c>
      <c r="H252" s="1606" t="s">
        <v>1526</v>
      </c>
      <c r="I252" s="1606" t="s">
        <v>1529</v>
      </c>
    </row>
    <row r="253" spans="1:9">
      <c r="A253" t="s">
        <v>1176</v>
      </c>
      <c r="B253" s="1606" t="s">
        <v>1526</v>
      </c>
      <c r="D253" s="1606" t="s">
        <v>1516</v>
      </c>
      <c r="H253" s="1606" t="s">
        <v>1526</v>
      </c>
      <c r="I253" s="1606" t="s">
        <v>1529</v>
      </c>
    </row>
    <row r="254" spans="1:9">
      <c r="A254" t="s">
        <v>1358</v>
      </c>
      <c r="B254" s="1606" t="s">
        <v>1529</v>
      </c>
      <c r="D254" s="1606" t="s">
        <v>1516</v>
      </c>
      <c r="H254" s="1606" t="s">
        <v>1529</v>
      </c>
      <c r="I254" s="1606" t="s">
        <v>1529</v>
      </c>
    </row>
    <row r="255" spans="1:9">
      <c r="A255" t="s">
        <v>201</v>
      </c>
      <c r="B255" s="1606" t="s">
        <v>1526</v>
      </c>
      <c r="D255" s="1606" t="s">
        <v>1516</v>
      </c>
      <c r="H255" s="1606" t="s">
        <v>1526</v>
      </c>
      <c r="I255" s="1606" t="s">
        <v>1529</v>
      </c>
    </row>
    <row r="256" spans="1:9">
      <c r="A256" t="s">
        <v>1043</v>
      </c>
      <c r="B256" s="1606" t="s">
        <v>1526</v>
      </c>
      <c r="D256" s="1606" t="s">
        <v>1516</v>
      </c>
      <c r="H256" s="1606" t="s">
        <v>1526</v>
      </c>
      <c r="I256" s="1606" t="s">
        <v>1529</v>
      </c>
    </row>
    <row r="257" spans="1:13">
      <c r="A257" t="s">
        <v>1180</v>
      </c>
      <c r="B257" s="1606" t="s">
        <v>1529</v>
      </c>
      <c r="D257" s="1606" t="s">
        <v>1516</v>
      </c>
      <c r="H257" s="1606" t="s">
        <v>1529</v>
      </c>
      <c r="I257" s="1606" t="s">
        <v>1529</v>
      </c>
    </row>
    <row r="258" spans="1:13">
      <c r="A258" t="s">
        <v>90</v>
      </c>
      <c r="B258" s="1606" t="s">
        <v>1526</v>
      </c>
      <c r="D258" s="1606" t="s">
        <v>1516</v>
      </c>
      <c r="H258" s="1606" t="s">
        <v>1526</v>
      </c>
      <c r="I258" s="1606" t="s">
        <v>1529</v>
      </c>
    </row>
    <row r="259" spans="1:13">
      <c r="A259" t="s">
        <v>1044</v>
      </c>
      <c r="B259" s="1606" t="s">
        <v>1515</v>
      </c>
      <c r="C259" s="1606" t="s">
        <v>1516</v>
      </c>
      <c r="D259" s="1606" t="s">
        <v>1516</v>
      </c>
      <c r="H259" s="1606" t="s">
        <v>1526</v>
      </c>
      <c r="I259" s="1606" t="s">
        <v>1515</v>
      </c>
      <c r="M259" t="s">
        <v>1863</v>
      </c>
    </row>
    <row r="260" spans="1:13">
      <c r="A260" t="s">
        <v>250</v>
      </c>
      <c r="B260" s="1606" t="s">
        <v>1526</v>
      </c>
      <c r="D260" s="1606" t="s">
        <v>1532</v>
      </c>
      <c r="H260" s="1606" t="s">
        <v>1526</v>
      </c>
      <c r="I260" s="1606" t="s">
        <v>1529</v>
      </c>
    </row>
    <row r="261" spans="1:13">
      <c r="A261" t="s">
        <v>91</v>
      </c>
      <c r="B261" s="1606" t="s">
        <v>1526</v>
      </c>
      <c r="D261" s="1606" t="s">
        <v>1532</v>
      </c>
      <c r="H261" s="1606" t="s">
        <v>1526</v>
      </c>
      <c r="I261" s="1606" t="s">
        <v>1529</v>
      </c>
    </row>
    <row r="262" spans="1:13">
      <c r="A262" t="s">
        <v>1045</v>
      </c>
      <c r="B262" s="1606" t="s">
        <v>1526</v>
      </c>
      <c r="D262" s="1606" t="s">
        <v>1532</v>
      </c>
      <c r="H262" s="1606" t="s">
        <v>1532</v>
      </c>
      <c r="I262" s="1606" t="s">
        <v>1529</v>
      </c>
    </row>
    <row r="263" spans="1:13">
      <c r="A263" t="s">
        <v>1046</v>
      </c>
      <c r="B263" s="1606" t="s">
        <v>1529</v>
      </c>
      <c r="D263" s="1606" t="s">
        <v>1516</v>
      </c>
      <c r="H263" s="1606" t="s">
        <v>1529</v>
      </c>
      <c r="I263" s="1606" t="s">
        <v>1529</v>
      </c>
    </row>
    <row r="264" spans="1:13">
      <c r="A264" t="s">
        <v>203</v>
      </c>
      <c r="B264" s="1606" t="s">
        <v>1526</v>
      </c>
      <c r="D264" s="1606" t="s">
        <v>1532</v>
      </c>
      <c r="H264" s="1606" t="s">
        <v>1526</v>
      </c>
      <c r="I264" s="1606" t="s">
        <v>1529</v>
      </c>
    </row>
    <row r="265" spans="1:13">
      <c r="A265" t="s">
        <v>35</v>
      </c>
      <c r="B265" s="1606" t="s">
        <v>1526</v>
      </c>
      <c r="D265" s="1606" t="s">
        <v>1516</v>
      </c>
      <c r="H265" s="1606" t="s">
        <v>1526</v>
      </c>
      <c r="I265" s="1606" t="s">
        <v>1529</v>
      </c>
    </row>
    <row r="266" spans="1:13">
      <c r="A266" t="s">
        <v>1047</v>
      </c>
      <c r="B266" s="1606" t="s">
        <v>1526</v>
      </c>
      <c r="D266" s="1606" t="s">
        <v>1516</v>
      </c>
      <c r="H266" s="1606" t="s">
        <v>1526</v>
      </c>
      <c r="I266" s="1606" t="s">
        <v>1529</v>
      </c>
    </row>
    <row r="267" spans="1:13">
      <c r="A267" t="s">
        <v>31</v>
      </c>
      <c r="B267" s="1606" t="s">
        <v>1526</v>
      </c>
      <c r="D267" s="1606" t="s">
        <v>1516</v>
      </c>
      <c r="H267" s="1606" t="s">
        <v>1526</v>
      </c>
      <c r="I267" s="1606" t="s">
        <v>1529</v>
      </c>
    </row>
    <row r="268" spans="1:13">
      <c r="A268" t="s">
        <v>21</v>
      </c>
      <c r="B268" s="1606" t="s">
        <v>1526</v>
      </c>
      <c r="D268" s="1606" t="s">
        <v>1516</v>
      </c>
      <c r="H268" s="1606" t="s">
        <v>1526</v>
      </c>
      <c r="I268" s="1606" t="s">
        <v>1529</v>
      </c>
    </row>
    <row r="269" spans="1:13">
      <c r="A269" t="s">
        <v>1048</v>
      </c>
      <c r="B269" s="1606" t="s">
        <v>1515</v>
      </c>
      <c r="C269" s="1606" t="s">
        <v>1516</v>
      </c>
      <c r="D269" s="1606" t="s">
        <v>1516</v>
      </c>
      <c r="H269" s="1606" t="s">
        <v>1529</v>
      </c>
      <c r="I269" s="1606" t="s">
        <v>1515</v>
      </c>
      <c r="M269" t="s">
        <v>1863</v>
      </c>
    </row>
    <row r="270" spans="1:13">
      <c r="A270" t="s">
        <v>92</v>
      </c>
      <c r="B270" s="1606" t="s">
        <v>1526</v>
      </c>
      <c r="D270" s="1606" t="s">
        <v>1516</v>
      </c>
      <c r="H270" s="1606" t="s">
        <v>1526</v>
      </c>
      <c r="I270" s="1606" t="s">
        <v>1529</v>
      </c>
    </row>
    <row r="271" spans="1:13">
      <c r="A271" t="s">
        <v>1049</v>
      </c>
      <c r="B271" s="1606" t="s">
        <v>1526</v>
      </c>
      <c r="D271" s="1606" t="s">
        <v>1516</v>
      </c>
      <c r="H271" s="1606" t="s">
        <v>1526</v>
      </c>
      <c r="I271" s="1606" t="s">
        <v>1529</v>
      </c>
    </row>
    <row r="272" spans="1:13">
      <c r="A272" t="s">
        <v>1050</v>
      </c>
      <c r="B272" s="1606" t="s">
        <v>1526</v>
      </c>
      <c r="D272" s="1606" t="s">
        <v>1516</v>
      </c>
      <c r="H272" s="1606" t="s">
        <v>1526</v>
      </c>
      <c r="I272" s="1606" t="s">
        <v>1529</v>
      </c>
    </row>
    <row r="273" spans="1:13">
      <c r="A273" t="s">
        <v>1181</v>
      </c>
      <c r="B273" s="1606" t="s">
        <v>1526</v>
      </c>
      <c r="D273" s="1606" t="s">
        <v>1516</v>
      </c>
      <c r="H273" s="1606" t="s">
        <v>1526</v>
      </c>
      <c r="I273" s="1606" t="s">
        <v>1529</v>
      </c>
    </row>
    <row r="274" spans="1:13">
      <c r="A274" t="s">
        <v>1182</v>
      </c>
      <c r="B274" s="1606" t="s">
        <v>1526</v>
      </c>
      <c r="D274" s="1606" t="s">
        <v>1516</v>
      </c>
      <c r="H274" s="1606" t="s">
        <v>1526</v>
      </c>
      <c r="I274" s="1606" t="s">
        <v>1529</v>
      </c>
    </row>
    <row r="275" spans="1:13">
      <c r="A275" t="s">
        <v>209</v>
      </c>
      <c r="B275" s="1606" t="s">
        <v>1526</v>
      </c>
      <c r="D275" s="1606" t="s">
        <v>1532</v>
      </c>
      <c r="H275" s="1606" t="s">
        <v>1532</v>
      </c>
      <c r="I275" s="1606" t="s">
        <v>1529</v>
      </c>
    </row>
    <row r="276" spans="1:13">
      <c r="A276" t="s">
        <v>93</v>
      </c>
      <c r="B276" s="1606" t="s">
        <v>1526</v>
      </c>
      <c r="D276" s="1606" t="s">
        <v>1516</v>
      </c>
      <c r="H276" s="1606" t="s">
        <v>1526</v>
      </c>
      <c r="I276" s="1606" t="s">
        <v>1529</v>
      </c>
    </row>
    <row r="277" spans="1:13">
      <c r="A277" t="s">
        <v>214</v>
      </c>
      <c r="B277" s="1606" t="s">
        <v>1526</v>
      </c>
      <c r="D277" s="1606" t="s">
        <v>1532</v>
      </c>
      <c r="H277" s="1606" t="s">
        <v>1532</v>
      </c>
      <c r="I277" s="1606" t="s">
        <v>1529</v>
      </c>
    </row>
    <row r="278" spans="1:13">
      <c r="A278" t="s">
        <v>94</v>
      </c>
      <c r="B278" s="1606" t="s">
        <v>1526</v>
      </c>
      <c r="D278" s="1606" t="s">
        <v>1532</v>
      </c>
      <c r="H278" s="1606" t="s">
        <v>1532</v>
      </c>
      <c r="I278" s="1606" t="s">
        <v>1529</v>
      </c>
    </row>
    <row r="279" spans="1:13">
      <c r="A279" t="s">
        <v>1518</v>
      </c>
      <c r="B279" s="1606" t="s">
        <v>1526</v>
      </c>
      <c r="D279" s="1606" t="s">
        <v>1532</v>
      </c>
      <c r="H279" s="1606" t="s">
        <v>1532</v>
      </c>
      <c r="I279" s="1606" t="s">
        <v>1529</v>
      </c>
    </row>
    <row r="280" spans="1:13">
      <c r="A280" t="s">
        <v>29</v>
      </c>
      <c r="B280" s="1606" t="s">
        <v>1515</v>
      </c>
      <c r="D280" s="1606" t="s">
        <v>1516</v>
      </c>
      <c r="G280" s="1606" t="s">
        <v>1685</v>
      </c>
      <c r="H280" s="1606" t="s">
        <v>1529</v>
      </c>
      <c r="I280" s="1606" t="s">
        <v>1515</v>
      </c>
      <c r="M280" t="s">
        <v>1870</v>
      </c>
    </row>
    <row r="281" spans="1:13">
      <c r="A281" t="s">
        <v>1052</v>
      </c>
      <c r="B281" s="1606" t="s">
        <v>1526</v>
      </c>
      <c r="D281" s="1606" t="s">
        <v>1532</v>
      </c>
      <c r="H281" s="1606" t="s">
        <v>1532</v>
      </c>
      <c r="I281" s="1606" t="s">
        <v>1529</v>
      </c>
    </row>
    <row r="282" spans="1:13">
      <c r="A282" t="s">
        <v>217</v>
      </c>
      <c r="B282" s="1606" t="s">
        <v>1515</v>
      </c>
      <c r="C282" s="1606" t="s">
        <v>1516</v>
      </c>
      <c r="D282" s="1606" t="s">
        <v>1516</v>
      </c>
      <c r="H282" s="1606" t="s">
        <v>1529</v>
      </c>
      <c r="I282" s="1606" t="s">
        <v>1515</v>
      </c>
    </row>
    <row r="283" spans="1:13">
      <c r="A283" t="s">
        <v>1413</v>
      </c>
      <c r="B283" s="1606" t="s">
        <v>1526</v>
      </c>
      <c r="D283" s="1606" t="s">
        <v>1516</v>
      </c>
      <c r="H283" s="1606" t="s">
        <v>1526</v>
      </c>
      <c r="I283" s="1606" t="s">
        <v>1529</v>
      </c>
    </row>
    <row r="284" spans="1:13">
      <c r="A284" t="s">
        <v>297</v>
      </c>
      <c r="B284" s="1606" t="s">
        <v>1529</v>
      </c>
      <c r="C284" s="1606" t="s">
        <v>1516</v>
      </c>
      <c r="D284" s="1606" t="s">
        <v>1516</v>
      </c>
      <c r="H284" s="1606" t="s">
        <v>1529</v>
      </c>
      <c r="I284" s="1606" t="s">
        <v>1529</v>
      </c>
      <c r="L284" t="s">
        <v>1873</v>
      </c>
    </row>
    <row r="285" spans="1:13">
      <c r="A285" t="s">
        <v>1414</v>
      </c>
      <c r="B285" s="1606" t="s">
        <v>1526</v>
      </c>
      <c r="D285" s="1606" t="s">
        <v>1516</v>
      </c>
      <c r="H285" s="1606" t="s">
        <v>1526</v>
      </c>
      <c r="I285" s="1606" t="s">
        <v>1529</v>
      </c>
    </row>
    <row r="286" spans="1:13">
      <c r="A286" t="s">
        <v>1053</v>
      </c>
      <c r="B286" s="1606" t="s">
        <v>1526</v>
      </c>
      <c r="D286" s="1606" t="s">
        <v>1516</v>
      </c>
      <c r="H286" s="1606" t="s">
        <v>1526</v>
      </c>
      <c r="I286" s="1606" t="s">
        <v>1529</v>
      </c>
    </row>
    <row r="287" spans="1:13">
      <c r="A287" t="s">
        <v>45</v>
      </c>
      <c r="B287" s="1606" t="s">
        <v>1529</v>
      </c>
      <c r="D287" s="1606" t="s">
        <v>1516</v>
      </c>
      <c r="F287" s="1606" t="s">
        <v>1516</v>
      </c>
      <c r="G287" s="1606" t="s">
        <v>1685</v>
      </c>
      <c r="H287" s="1606" t="s">
        <v>1529</v>
      </c>
      <c r="I287" s="1606" t="s">
        <v>1515</v>
      </c>
    </row>
    <row r="288" spans="1:13">
      <c r="A288" t="s">
        <v>1054</v>
      </c>
      <c r="B288" s="1606" t="s">
        <v>1515</v>
      </c>
      <c r="C288" s="1606" t="s">
        <v>1516</v>
      </c>
      <c r="D288" s="1606" t="s">
        <v>1516</v>
      </c>
      <c r="H288" s="1606" t="s">
        <v>1515</v>
      </c>
      <c r="I288" s="1606" t="s">
        <v>1529</v>
      </c>
      <c r="L288" t="s">
        <v>1879</v>
      </c>
    </row>
    <row r="289" spans="1:9">
      <c r="A289" t="s">
        <v>1055</v>
      </c>
      <c r="B289" s="1606" t="s">
        <v>1529</v>
      </c>
      <c r="D289" s="1606" t="s">
        <v>1516</v>
      </c>
      <c r="H289" s="1606" t="s">
        <v>1529</v>
      </c>
      <c r="I289" s="1606" t="s">
        <v>1529</v>
      </c>
    </row>
    <row r="290" spans="1:9">
      <c r="A290" t="s">
        <v>550</v>
      </c>
      <c r="B290" s="1606" t="s">
        <v>1529</v>
      </c>
      <c r="D290" s="1606" t="s">
        <v>1516</v>
      </c>
      <c r="H290" s="1606" t="s">
        <v>1529</v>
      </c>
      <c r="I290" s="1606" t="s">
        <v>1529</v>
      </c>
    </row>
    <row r="291" spans="1:9">
      <c r="A291" t="s">
        <v>1609</v>
      </c>
      <c r="B291" s="1606" t="s">
        <v>1529</v>
      </c>
      <c r="D291" s="1606" t="s">
        <v>1516</v>
      </c>
      <c r="H291" s="1606" t="s">
        <v>1529</v>
      </c>
      <c r="I291" s="1606" t="s">
        <v>1529</v>
      </c>
    </row>
    <row r="292" spans="1:9">
      <c r="A292" t="s">
        <v>220</v>
      </c>
      <c r="B292" s="1606" t="s">
        <v>1526</v>
      </c>
      <c r="D292" s="1606" t="s">
        <v>1532</v>
      </c>
      <c r="H292" s="1606" t="s">
        <v>1526</v>
      </c>
      <c r="I292" s="1606" t="s">
        <v>1529</v>
      </c>
    </row>
    <row r="293" spans="1:9">
      <c r="A293" t="s">
        <v>95</v>
      </c>
      <c r="B293" s="1606" t="s">
        <v>1526</v>
      </c>
      <c r="D293" s="1606" t="s">
        <v>1532</v>
      </c>
      <c r="H293" s="1606" t="s">
        <v>1532</v>
      </c>
      <c r="I293" s="1606" t="s">
        <v>1529</v>
      </c>
    </row>
    <row r="294" spans="1:9">
      <c r="A294" t="s">
        <v>96</v>
      </c>
      <c r="B294" s="1606" t="s">
        <v>1526</v>
      </c>
      <c r="D294" s="1606" t="s">
        <v>1516</v>
      </c>
      <c r="H294" s="1606" t="s">
        <v>1526</v>
      </c>
      <c r="I294" s="1606" t="s">
        <v>1529</v>
      </c>
    </row>
    <row r="295" spans="1:9">
      <c r="A295" t="s">
        <v>259</v>
      </c>
      <c r="B295" s="1606" t="s">
        <v>1526</v>
      </c>
      <c r="D295" s="1606" t="s">
        <v>1516</v>
      </c>
      <c r="H295" s="1606" t="s">
        <v>1526</v>
      </c>
      <c r="I295" s="1606" t="s">
        <v>1529</v>
      </c>
    </row>
    <row r="296" spans="1:9">
      <c r="A296" t="s">
        <v>1610</v>
      </c>
      <c r="B296" s="1606" t="s">
        <v>1526</v>
      </c>
      <c r="D296" s="1606" t="s">
        <v>1516</v>
      </c>
      <c r="H296" s="1606" t="s">
        <v>1526</v>
      </c>
      <c r="I296" s="1606" t="s">
        <v>1529</v>
      </c>
    </row>
    <row r="297" spans="1:9">
      <c r="A297" t="s">
        <v>1056</v>
      </c>
      <c r="B297" s="1606" t="s">
        <v>1526</v>
      </c>
      <c r="D297" s="1606" t="s">
        <v>1516</v>
      </c>
      <c r="H297" s="1606" t="s">
        <v>1526</v>
      </c>
      <c r="I297" s="1606" t="s">
        <v>1529</v>
      </c>
    </row>
    <row r="298" spans="1:9">
      <c r="A298" t="s">
        <v>210</v>
      </c>
      <c r="B298" s="1606" t="s">
        <v>1526</v>
      </c>
      <c r="D298" s="1606" t="s">
        <v>1516</v>
      </c>
      <c r="H298" s="1606" t="s">
        <v>1526</v>
      </c>
      <c r="I298" s="1606" t="s">
        <v>1529</v>
      </c>
    </row>
    <row r="299" spans="1:9">
      <c r="A299" t="s">
        <v>211</v>
      </c>
      <c r="B299" s="1606" t="s">
        <v>1526</v>
      </c>
      <c r="D299" s="1606" t="s">
        <v>1532</v>
      </c>
      <c r="H299" s="1606" t="s">
        <v>1532</v>
      </c>
      <c r="I299" s="1606" t="s">
        <v>1529</v>
      </c>
    </row>
    <row r="300" spans="1:9">
      <c r="A300" t="s">
        <v>1611</v>
      </c>
      <c r="B300" s="1606" t="s">
        <v>1526</v>
      </c>
      <c r="D300" s="1606" t="s">
        <v>1532</v>
      </c>
      <c r="H300" s="1606" t="s">
        <v>1532</v>
      </c>
      <c r="I300" s="1606" t="s">
        <v>1529</v>
      </c>
    </row>
    <row r="301" spans="1:9">
      <c r="A301" t="s">
        <v>1416</v>
      </c>
      <c r="B301" s="1606" t="s">
        <v>1526</v>
      </c>
      <c r="D301" s="1606" t="s">
        <v>1516</v>
      </c>
      <c r="H301" s="1606" t="s">
        <v>1526</v>
      </c>
      <c r="I301" s="1606" t="s">
        <v>1529</v>
      </c>
    </row>
    <row r="302" spans="1:9">
      <c r="A302" t="s">
        <v>1354</v>
      </c>
      <c r="B302" s="1606" t="s">
        <v>1529</v>
      </c>
      <c r="D302" s="1606" t="s">
        <v>1516</v>
      </c>
      <c r="H302" s="1606" t="s">
        <v>1529</v>
      </c>
      <c r="I302" s="1606" t="s">
        <v>1529</v>
      </c>
    </row>
    <row r="303" spans="1:9">
      <c r="A303" t="s">
        <v>1057</v>
      </c>
      <c r="B303" s="1606" t="s">
        <v>1515</v>
      </c>
      <c r="D303" s="1606" t="s">
        <v>1516</v>
      </c>
      <c r="H303" s="1606" t="s">
        <v>1515</v>
      </c>
      <c r="I303" s="1606" t="s">
        <v>1529</v>
      </c>
    </row>
    <row r="304" spans="1:9">
      <c r="A304" t="s">
        <v>233</v>
      </c>
      <c r="B304" s="1606" t="s">
        <v>1529</v>
      </c>
      <c r="D304" s="1606" t="s">
        <v>1516</v>
      </c>
      <c r="F304" s="1606" t="s">
        <v>1516</v>
      </c>
      <c r="G304" s="1606" t="s">
        <v>1697</v>
      </c>
      <c r="H304" s="1606" t="s">
        <v>1529</v>
      </c>
      <c r="I304" s="1606" t="s">
        <v>1529</v>
      </c>
    </row>
    <row r="305" spans="1:9">
      <c r="A305" t="s">
        <v>1418</v>
      </c>
      <c r="B305" s="1606" t="s">
        <v>1526</v>
      </c>
      <c r="D305" s="1606" t="s">
        <v>1532</v>
      </c>
      <c r="H305" s="1606" t="s">
        <v>1526</v>
      </c>
      <c r="I305" s="1606" t="s">
        <v>1529</v>
      </c>
    </row>
    <row r="306" spans="1:9">
      <c r="A306" t="s">
        <v>1058</v>
      </c>
      <c r="B306" s="1606" t="s">
        <v>1529</v>
      </c>
      <c r="D306" s="1606" t="s">
        <v>1516</v>
      </c>
      <c r="H306" s="1606" t="s">
        <v>1529</v>
      </c>
      <c r="I306" s="1606" t="s">
        <v>1529</v>
      </c>
    </row>
    <row r="307" spans="1:9">
      <c r="A307" t="s">
        <v>223</v>
      </c>
      <c r="B307" s="1606" t="s">
        <v>1529</v>
      </c>
      <c r="D307" s="1606" t="s">
        <v>1516</v>
      </c>
      <c r="H307" s="1606" t="s">
        <v>1529</v>
      </c>
      <c r="I307" s="1606" t="s">
        <v>1529</v>
      </c>
    </row>
    <row r="308" spans="1:9">
      <c r="A308" t="s">
        <v>1059</v>
      </c>
      <c r="B308" s="1606" t="s">
        <v>1529</v>
      </c>
      <c r="D308" s="1606" t="s">
        <v>1516</v>
      </c>
      <c r="H308" s="1606" t="s">
        <v>1529</v>
      </c>
      <c r="I308" s="1606" t="s">
        <v>1529</v>
      </c>
    </row>
    <row r="309" spans="1:9">
      <c r="A309" t="s">
        <v>1060</v>
      </c>
      <c r="B309" s="1606" t="s">
        <v>1529</v>
      </c>
      <c r="D309" s="1606" t="s">
        <v>1516</v>
      </c>
      <c r="H309" s="1606" t="s">
        <v>1529</v>
      </c>
      <c r="I309" s="1606" t="s">
        <v>1529</v>
      </c>
    </row>
    <row r="310" spans="1:9">
      <c r="A310" t="s">
        <v>1420</v>
      </c>
      <c r="B310" s="1606" t="s">
        <v>1529</v>
      </c>
      <c r="D310" s="1606" t="s">
        <v>1516</v>
      </c>
      <c r="H310" s="1606" t="s">
        <v>1529</v>
      </c>
      <c r="I310" s="1606" t="s">
        <v>1529</v>
      </c>
    </row>
    <row r="311" spans="1:9">
      <c r="A311" t="s">
        <v>1355</v>
      </c>
      <c r="B311" s="1606" t="s">
        <v>1526</v>
      </c>
      <c r="D311" s="1606" t="s">
        <v>1516</v>
      </c>
      <c r="H311" s="1606" t="s">
        <v>1526</v>
      </c>
      <c r="I311" s="1606" t="s">
        <v>1529</v>
      </c>
    </row>
    <row r="312" spans="1:9">
      <c r="A312" t="s">
        <v>1612</v>
      </c>
      <c r="B312" s="1606" t="s">
        <v>1515</v>
      </c>
      <c r="D312" s="1606" t="s">
        <v>1516</v>
      </c>
      <c r="H312" s="1606" t="s">
        <v>1515</v>
      </c>
      <c r="I312" s="1606" t="s">
        <v>1529</v>
      </c>
    </row>
    <row r="313" spans="1:9">
      <c r="A313" t="s">
        <v>1576</v>
      </c>
      <c r="B313" s="1606" t="s">
        <v>1526</v>
      </c>
      <c r="D313" s="1606" t="s">
        <v>1532</v>
      </c>
      <c r="H313" s="1606" t="s">
        <v>1532</v>
      </c>
      <c r="I313" s="1606" t="s">
        <v>1529</v>
      </c>
    </row>
    <row r="314" spans="1:9">
      <c r="A314" t="s">
        <v>27</v>
      </c>
      <c r="B314" s="1606" t="s">
        <v>1526</v>
      </c>
      <c r="D314" s="1606" t="s">
        <v>1532</v>
      </c>
      <c r="H314" s="1606" t="s">
        <v>1532</v>
      </c>
      <c r="I314" s="1606" t="s">
        <v>1529</v>
      </c>
    </row>
    <row r="315" spans="1:9">
      <c r="A315" t="s">
        <v>409</v>
      </c>
      <c r="B315" s="1606" t="s">
        <v>1529</v>
      </c>
      <c r="D315" s="1606" t="s">
        <v>1516</v>
      </c>
      <c r="H315" s="1606" t="s">
        <v>1529</v>
      </c>
      <c r="I315" s="1606" t="s">
        <v>1529</v>
      </c>
    </row>
    <row r="316" spans="1:9">
      <c r="A316" t="s">
        <v>190</v>
      </c>
      <c r="B316" s="1606" t="s">
        <v>1526</v>
      </c>
      <c r="D316" s="1606" t="s">
        <v>1516</v>
      </c>
      <c r="H316" s="1606" t="s">
        <v>1526</v>
      </c>
      <c r="I316" s="1606" t="s">
        <v>1529</v>
      </c>
    </row>
    <row r="317" spans="1:9">
      <c r="A317" t="s">
        <v>1577</v>
      </c>
      <c r="B317" s="1606" t="s">
        <v>1529</v>
      </c>
      <c r="D317" s="1606" t="s">
        <v>1516</v>
      </c>
      <c r="H317" s="1606" t="s">
        <v>1529</v>
      </c>
      <c r="I317" s="1606" t="s">
        <v>1529</v>
      </c>
    </row>
    <row r="318" spans="1:9">
      <c r="A318" t="s">
        <v>1613</v>
      </c>
      <c r="B318" s="1606" t="s">
        <v>1526</v>
      </c>
      <c r="D318" s="1606" t="s">
        <v>1516</v>
      </c>
      <c r="H318" s="1606" t="s">
        <v>1526</v>
      </c>
      <c r="I318" s="1606" t="s">
        <v>1529</v>
      </c>
    </row>
    <row r="319" spans="1:9">
      <c r="A319" t="s">
        <v>34</v>
      </c>
      <c r="B319" s="1606" t="s">
        <v>1529</v>
      </c>
      <c r="D319" s="1606" t="s">
        <v>1516</v>
      </c>
      <c r="H319" s="1606" t="s">
        <v>1529</v>
      </c>
      <c r="I319" s="1606" t="s">
        <v>1529</v>
      </c>
    </row>
    <row r="320" spans="1:9">
      <c r="A320" t="s">
        <v>97</v>
      </c>
      <c r="B320" s="1606" t="s">
        <v>1526</v>
      </c>
      <c r="D320" s="1606" t="s">
        <v>1516</v>
      </c>
      <c r="H320" s="1606" t="s">
        <v>1526</v>
      </c>
      <c r="I320" s="1606" t="s">
        <v>1529</v>
      </c>
    </row>
    <row r="321" spans="1:12">
      <c r="A321" t="s">
        <v>1061</v>
      </c>
      <c r="B321" s="1606" t="s">
        <v>1526</v>
      </c>
      <c r="D321" s="1606" t="s">
        <v>1532</v>
      </c>
      <c r="H321" s="1606" t="s">
        <v>1526</v>
      </c>
      <c r="I321" s="1606" t="s">
        <v>1529</v>
      </c>
    </row>
    <row r="322" spans="1:12">
      <c r="A322" t="s">
        <v>1062</v>
      </c>
      <c r="B322" s="1606" t="s">
        <v>1526</v>
      </c>
      <c r="D322" s="1606" t="s">
        <v>1516</v>
      </c>
      <c r="H322" s="1606" t="s">
        <v>1526</v>
      </c>
      <c r="I322" s="1606" t="s">
        <v>1529</v>
      </c>
    </row>
    <row r="323" spans="1:12">
      <c r="A323" t="s">
        <v>1063</v>
      </c>
      <c r="B323" s="1606" t="s">
        <v>1526</v>
      </c>
      <c r="D323" s="1606" t="s">
        <v>1532</v>
      </c>
      <c r="H323" s="1606" t="s">
        <v>1526</v>
      </c>
      <c r="I323" s="1606" t="s">
        <v>1529</v>
      </c>
    </row>
    <row r="324" spans="1:12">
      <c r="A324" t="s">
        <v>1064</v>
      </c>
      <c r="B324" s="1606" t="s">
        <v>1526</v>
      </c>
      <c r="D324" s="1606" t="s">
        <v>1532</v>
      </c>
      <c r="H324" s="1606" t="s">
        <v>1526</v>
      </c>
      <c r="I324" s="1606" t="s">
        <v>1529</v>
      </c>
    </row>
    <row r="325" spans="1:12">
      <c r="A325" t="s">
        <v>1368</v>
      </c>
      <c r="B325" s="1606" t="s">
        <v>1526</v>
      </c>
      <c r="D325" s="1606" t="s">
        <v>1532</v>
      </c>
      <c r="H325" s="1606" t="s">
        <v>1532</v>
      </c>
      <c r="I325" s="1606" t="s">
        <v>1529</v>
      </c>
    </row>
    <row r="326" spans="1:12">
      <c r="A326" t="s">
        <v>1065</v>
      </c>
      <c r="B326" s="1606" t="s">
        <v>1526</v>
      </c>
      <c r="D326" s="1606" t="s">
        <v>1516</v>
      </c>
      <c r="H326" s="1606" t="s">
        <v>1526</v>
      </c>
      <c r="I326" s="1606" t="s">
        <v>1529</v>
      </c>
    </row>
    <row r="327" spans="1:12">
      <c r="A327" t="s">
        <v>227</v>
      </c>
      <c r="B327" s="1606" t="s">
        <v>1526</v>
      </c>
      <c r="D327" s="1606" t="s">
        <v>1516</v>
      </c>
      <c r="H327" s="1606" t="s">
        <v>1526</v>
      </c>
      <c r="I327" s="1606" t="s">
        <v>1529</v>
      </c>
    </row>
    <row r="328" spans="1:12">
      <c r="A328" t="s">
        <v>98</v>
      </c>
      <c r="B328" s="1606" t="s">
        <v>1526</v>
      </c>
      <c r="D328" s="1606" t="s">
        <v>1532</v>
      </c>
      <c r="H328" s="1606" t="s">
        <v>1526</v>
      </c>
      <c r="I328" s="1606" t="s">
        <v>1529</v>
      </c>
    </row>
    <row r="329" spans="1:12">
      <c r="A329" t="s">
        <v>1066</v>
      </c>
      <c r="B329" s="1606" t="s">
        <v>1515</v>
      </c>
      <c r="C329" s="1606" t="s">
        <v>1516</v>
      </c>
      <c r="D329" s="1606" t="s">
        <v>1516</v>
      </c>
      <c r="H329" s="1606" t="s">
        <v>1515</v>
      </c>
      <c r="I329" s="1606" t="s">
        <v>1529</v>
      </c>
      <c r="L329" t="s">
        <v>1880</v>
      </c>
    </row>
    <row r="330" spans="1:12">
      <c r="A330" t="s">
        <v>99</v>
      </c>
      <c r="B330" s="1606" t="s">
        <v>1515</v>
      </c>
      <c r="D330" s="1606" t="s">
        <v>1516</v>
      </c>
      <c r="F330" s="1606" t="s">
        <v>1516</v>
      </c>
      <c r="G330" s="1606" t="s">
        <v>1685</v>
      </c>
      <c r="H330" s="1606" t="s">
        <v>1529</v>
      </c>
      <c r="I330" s="1606" t="s">
        <v>1515</v>
      </c>
    </row>
    <row r="331" spans="1:12">
      <c r="A331" t="s">
        <v>100</v>
      </c>
      <c r="B331" s="1606" t="s">
        <v>1526</v>
      </c>
      <c r="D331" s="1606" t="s">
        <v>1532</v>
      </c>
      <c r="H331" s="1606" t="s">
        <v>1532</v>
      </c>
      <c r="I331" s="1606" t="s">
        <v>1529</v>
      </c>
    </row>
    <row r="332" spans="1:12">
      <c r="A332" t="s">
        <v>1067</v>
      </c>
      <c r="B332" s="1606" t="s">
        <v>1529</v>
      </c>
      <c r="D332" s="1606" t="s">
        <v>1516</v>
      </c>
      <c r="H332" s="1606" t="s">
        <v>1529</v>
      </c>
      <c r="I332" s="1606" t="s">
        <v>1529</v>
      </c>
    </row>
    <row r="333" spans="1:12">
      <c r="A333" t="s">
        <v>1369</v>
      </c>
      <c r="B333" s="1606" t="s">
        <v>1529</v>
      </c>
      <c r="D333" s="1606" t="s">
        <v>1516</v>
      </c>
      <c r="H333" s="1606" t="s">
        <v>1529</v>
      </c>
      <c r="I333" s="1606" t="s">
        <v>1529</v>
      </c>
    </row>
    <row r="334" spans="1:12">
      <c r="A334" t="s">
        <v>1068</v>
      </c>
      <c r="B334" s="1606" t="s">
        <v>1515</v>
      </c>
      <c r="D334" s="1606" t="s">
        <v>1516</v>
      </c>
      <c r="H334" s="1606" t="s">
        <v>1515</v>
      </c>
      <c r="I334" s="1606" t="s">
        <v>1529</v>
      </c>
    </row>
    <row r="335" spans="1:12">
      <c r="A335" t="s">
        <v>101</v>
      </c>
      <c r="B335" s="1606" t="s">
        <v>1526</v>
      </c>
      <c r="D335" s="1606" t="s">
        <v>1516</v>
      </c>
      <c r="H335" s="1606" t="s">
        <v>1526</v>
      </c>
      <c r="I335" s="1606" t="s">
        <v>1529</v>
      </c>
    </row>
    <row r="336" spans="1:12">
      <c r="A336" t="s">
        <v>102</v>
      </c>
      <c r="B336" s="1606" t="s">
        <v>1526</v>
      </c>
      <c r="D336" s="1606" t="s">
        <v>1516</v>
      </c>
      <c r="H336" s="1606" t="s">
        <v>1526</v>
      </c>
      <c r="I336" s="1606" t="s">
        <v>1529</v>
      </c>
    </row>
    <row r="337" spans="1:14">
      <c r="A337" t="s">
        <v>1513</v>
      </c>
      <c r="B337" s="1606" t="s">
        <v>1526</v>
      </c>
      <c r="D337" s="1606" t="s">
        <v>1532</v>
      </c>
      <c r="H337" s="1606" t="s">
        <v>1526</v>
      </c>
      <c r="I337" s="1606" t="s">
        <v>1529</v>
      </c>
      <c r="M337" t="s">
        <v>1854</v>
      </c>
    </row>
    <row r="338" spans="1:14">
      <c r="A338" t="s">
        <v>103</v>
      </c>
      <c r="B338" s="1606" t="s">
        <v>1526</v>
      </c>
      <c r="D338" s="1606" t="s">
        <v>1532</v>
      </c>
      <c r="H338" s="1606" t="s">
        <v>1526</v>
      </c>
      <c r="I338" s="1606" t="s">
        <v>1529</v>
      </c>
    </row>
    <row r="339" spans="1:14">
      <c r="A339" t="s">
        <v>32</v>
      </c>
      <c r="B339" s="1606" t="s">
        <v>1529</v>
      </c>
      <c r="D339" s="1606" t="s">
        <v>1516</v>
      </c>
      <c r="H339" s="1606" t="s">
        <v>1529</v>
      </c>
      <c r="I339" s="1606" t="s">
        <v>1529</v>
      </c>
    </row>
    <row r="340" spans="1:14">
      <c r="A340" t="s">
        <v>1168</v>
      </c>
      <c r="B340" s="1606" t="s">
        <v>1526</v>
      </c>
      <c r="D340" s="1606" t="s">
        <v>1516</v>
      </c>
      <c r="H340" s="1606" t="s">
        <v>1526</v>
      </c>
      <c r="I340" s="1606" t="s">
        <v>1529</v>
      </c>
    </row>
    <row r="341" spans="1:14">
      <c r="A341" t="s">
        <v>551</v>
      </c>
      <c r="B341" s="1606" t="s">
        <v>1515</v>
      </c>
      <c r="C341" s="1606" t="s">
        <v>1516</v>
      </c>
      <c r="D341" s="1606" t="s">
        <v>1516</v>
      </c>
      <c r="H341" s="1606" t="s">
        <v>1515</v>
      </c>
      <c r="I341" s="1606" t="s">
        <v>1529</v>
      </c>
      <c r="L341" t="s">
        <v>1881</v>
      </c>
    </row>
    <row r="342" spans="1:14">
      <c r="A342" t="s">
        <v>20</v>
      </c>
      <c r="B342" s="1606" t="s">
        <v>1515</v>
      </c>
      <c r="C342" s="1606" t="s">
        <v>1516</v>
      </c>
      <c r="D342" s="1606" t="s">
        <v>1516</v>
      </c>
      <c r="H342" s="1606" t="s">
        <v>1515</v>
      </c>
      <c r="I342" s="1606" t="s">
        <v>1529</v>
      </c>
      <c r="L342" t="s">
        <v>1882</v>
      </c>
    </row>
    <row r="343" spans="1:14">
      <c r="A343" t="s">
        <v>1070</v>
      </c>
      <c r="B343" s="1606" t="s">
        <v>1526</v>
      </c>
      <c r="D343" s="1606" t="s">
        <v>1516</v>
      </c>
      <c r="H343" s="1606" t="s">
        <v>1526</v>
      </c>
      <c r="I343" s="1606" t="s">
        <v>1529</v>
      </c>
    </row>
    <row r="344" spans="1:14">
      <c r="A344" t="s">
        <v>253</v>
      </c>
      <c r="B344" s="1606" t="s">
        <v>1529</v>
      </c>
      <c r="D344" s="1606" t="s">
        <v>1516</v>
      </c>
      <c r="G344" s="1606" t="s">
        <v>1697</v>
      </c>
      <c r="H344" s="1606" t="s">
        <v>1529</v>
      </c>
      <c r="I344" s="1606" t="s">
        <v>1529</v>
      </c>
      <c r="M344" t="s">
        <v>1868</v>
      </c>
      <c r="N344" t="s">
        <v>1869</v>
      </c>
    </row>
    <row r="345" spans="1:14">
      <c r="A345" t="s">
        <v>191</v>
      </c>
      <c r="B345" s="1606" t="s">
        <v>1526</v>
      </c>
      <c r="D345" s="1606" t="s">
        <v>1516</v>
      </c>
      <c r="H345" s="1606" t="s">
        <v>1526</v>
      </c>
      <c r="I345" s="1606" t="s">
        <v>1529</v>
      </c>
    </row>
    <row r="346" spans="1:14">
      <c r="A346" t="s">
        <v>1071</v>
      </c>
      <c r="B346" s="1606" t="s">
        <v>1526</v>
      </c>
      <c r="D346" s="1606" t="s">
        <v>1516</v>
      </c>
      <c r="H346" s="1606" t="s">
        <v>1526</v>
      </c>
      <c r="I346" s="1606" t="s">
        <v>1529</v>
      </c>
    </row>
    <row r="347" spans="1:14">
      <c r="A347" t="s">
        <v>1424</v>
      </c>
      <c r="B347" s="1606" t="s">
        <v>1526</v>
      </c>
      <c r="D347" s="1606" t="s">
        <v>1516</v>
      </c>
      <c r="H347" s="1606" t="s">
        <v>1526</v>
      </c>
      <c r="I347" s="1606" t="s">
        <v>1529</v>
      </c>
    </row>
    <row r="348" spans="1:14">
      <c r="A348" t="s">
        <v>1072</v>
      </c>
      <c r="B348" s="1606" t="s">
        <v>1526</v>
      </c>
      <c r="D348" s="1606" t="s">
        <v>1532</v>
      </c>
      <c r="H348" s="1606" t="s">
        <v>1526</v>
      </c>
      <c r="I348" s="1606" t="s">
        <v>1529</v>
      </c>
    </row>
    <row r="349" spans="1:14">
      <c r="A349" t="s">
        <v>1614</v>
      </c>
      <c r="B349" s="1606" t="s">
        <v>1526</v>
      </c>
      <c r="D349" s="1606" t="s">
        <v>1516</v>
      </c>
      <c r="H349" s="1606" t="s">
        <v>1526</v>
      </c>
      <c r="I349" s="1606" t="s">
        <v>1529</v>
      </c>
    </row>
    <row r="350" spans="1:14">
      <c r="A350" t="s">
        <v>106</v>
      </c>
      <c r="B350" s="1606" t="s">
        <v>1526</v>
      </c>
      <c r="D350" s="1606" t="s">
        <v>1532</v>
      </c>
      <c r="H350" s="1606" t="s">
        <v>1526</v>
      </c>
      <c r="I350" s="1606" t="s">
        <v>1529</v>
      </c>
    </row>
    <row r="351" spans="1:14">
      <c r="A351" t="s">
        <v>1426</v>
      </c>
      <c r="I351" s="1606" t="s">
        <v>1529</v>
      </c>
    </row>
    <row r="352" spans="1:14">
      <c r="A352" t="s">
        <v>1073</v>
      </c>
      <c r="B352" s="1606" t="s">
        <v>1526</v>
      </c>
      <c r="D352" s="1606" t="s">
        <v>1516</v>
      </c>
      <c r="H352" s="1606" t="s">
        <v>1526</v>
      </c>
      <c r="I352" s="1606" t="s">
        <v>1529</v>
      </c>
    </row>
    <row r="353" spans="1:13">
      <c r="A353" t="s">
        <v>411</v>
      </c>
      <c r="B353" s="1606" t="s">
        <v>1526</v>
      </c>
      <c r="D353" s="1606" t="s">
        <v>1516</v>
      </c>
      <c r="H353" s="1606" t="s">
        <v>1526</v>
      </c>
      <c r="I353" s="1606" t="s">
        <v>1529</v>
      </c>
    </row>
    <row r="354" spans="1:13">
      <c r="A354" t="s">
        <v>192</v>
      </c>
      <c r="B354" s="1606" t="s">
        <v>1526</v>
      </c>
      <c r="D354" s="1606" t="s">
        <v>1532</v>
      </c>
      <c r="H354" s="1606" t="s">
        <v>1532</v>
      </c>
      <c r="I354" s="1606" t="s">
        <v>1529</v>
      </c>
    </row>
    <row r="355" spans="1:13">
      <c r="A355" t="s">
        <v>1615</v>
      </c>
      <c r="B355" s="1606" t="s">
        <v>1515</v>
      </c>
      <c r="D355" s="1606" t="s">
        <v>1516</v>
      </c>
      <c r="H355" s="1606" t="s">
        <v>1515</v>
      </c>
      <c r="I355" s="1606" t="s">
        <v>1529</v>
      </c>
    </row>
    <row r="356" spans="1:13">
      <c r="A356" t="s">
        <v>1616</v>
      </c>
      <c r="B356" s="1606" t="s">
        <v>1526</v>
      </c>
      <c r="D356" s="1606" t="s">
        <v>1516</v>
      </c>
      <c r="H356" s="1606" t="s">
        <v>1526</v>
      </c>
      <c r="I356" s="1606" t="s">
        <v>1529</v>
      </c>
    </row>
    <row r="357" spans="1:13">
      <c r="A357" t="s">
        <v>1617</v>
      </c>
      <c r="I357" s="1606" t="s">
        <v>1529</v>
      </c>
    </row>
    <row r="358" spans="1:13">
      <c r="A358" t="s">
        <v>1618</v>
      </c>
      <c r="B358" s="1606" t="s">
        <v>1515</v>
      </c>
      <c r="D358" s="1606" t="s">
        <v>1516</v>
      </c>
      <c r="H358" s="1606" t="s">
        <v>1515</v>
      </c>
      <c r="I358" s="1606" t="s">
        <v>1529</v>
      </c>
    </row>
    <row r="359" spans="1:13">
      <c r="A359" t="s">
        <v>231</v>
      </c>
      <c r="B359" s="1606" t="s">
        <v>1526</v>
      </c>
      <c r="D359" s="1606" t="s">
        <v>1516</v>
      </c>
      <c r="H359" s="1606" t="s">
        <v>1526</v>
      </c>
      <c r="I359" s="1606" t="s">
        <v>1529</v>
      </c>
    </row>
    <row r="360" spans="1:13">
      <c r="A360" t="s">
        <v>1075</v>
      </c>
      <c r="B360" s="1606" t="s">
        <v>1529</v>
      </c>
      <c r="D360" s="1606" t="s">
        <v>1516</v>
      </c>
      <c r="H360" s="1606" t="s">
        <v>1529</v>
      </c>
      <c r="I360" s="1606" t="s">
        <v>1529</v>
      </c>
    </row>
    <row r="361" spans="1:13">
      <c r="A361" t="s">
        <v>1076</v>
      </c>
      <c r="B361" s="1606" t="s">
        <v>1515</v>
      </c>
      <c r="D361" s="1606" t="s">
        <v>1516</v>
      </c>
      <c r="F361" s="1606" t="s">
        <v>1516</v>
      </c>
      <c r="G361" s="1606" t="s">
        <v>1685</v>
      </c>
      <c r="H361" s="1606" t="s">
        <v>1529</v>
      </c>
      <c r="I361" s="1606" t="s">
        <v>1529</v>
      </c>
      <c r="M361" t="s">
        <v>1885</v>
      </c>
    </row>
    <row r="362" spans="1:13">
      <c r="A362" t="s">
        <v>1370</v>
      </c>
      <c r="B362" s="1606" t="s">
        <v>1529</v>
      </c>
      <c r="D362" s="1606" t="s">
        <v>1516</v>
      </c>
      <c r="H362" s="1606" t="s">
        <v>1529</v>
      </c>
      <c r="I362" s="1606" t="s">
        <v>1529</v>
      </c>
    </row>
    <row r="363" spans="1:13">
      <c r="A363" t="s">
        <v>235</v>
      </c>
      <c r="B363" s="1606" t="s">
        <v>1529</v>
      </c>
      <c r="D363" s="1606" t="s">
        <v>1516</v>
      </c>
      <c r="H363" s="1606" t="s">
        <v>1529</v>
      </c>
      <c r="I363" s="1606" t="s">
        <v>1529</v>
      </c>
    </row>
    <row r="364" spans="1:13">
      <c r="A364" t="s">
        <v>237</v>
      </c>
      <c r="B364" s="1606" t="s">
        <v>1529</v>
      </c>
      <c r="D364" s="1606" t="s">
        <v>1516</v>
      </c>
      <c r="H364" s="1606" t="s">
        <v>1529</v>
      </c>
      <c r="I364" s="1606" t="s">
        <v>1529</v>
      </c>
    </row>
    <row r="365" spans="1:13">
      <c r="A365" t="s">
        <v>1077</v>
      </c>
      <c r="B365" s="1606" t="s">
        <v>1526</v>
      </c>
      <c r="D365" s="1606" t="s">
        <v>1516</v>
      </c>
      <c r="H365" s="1606" t="s">
        <v>1526</v>
      </c>
      <c r="I365" s="1606" t="s">
        <v>1529</v>
      </c>
    </row>
    <row r="366" spans="1:13">
      <c r="A366" t="s">
        <v>1379</v>
      </c>
      <c r="B366" s="1606" t="s">
        <v>1526</v>
      </c>
      <c r="D366" s="1606" t="s">
        <v>1516</v>
      </c>
      <c r="H366" s="1606" t="s">
        <v>1526</v>
      </c>
      <c r="I366" s="1606" t="s">
        <v>1529</v>
      </c>
    </row>
    <row r="367" spans="1:13">
      <c r="A367" t="s">
        <v>254</v>
      </c>
      <c r="B367" s="1606" t="s">
        <v>1526</v>
      </c>
      <c r="D367" s="1606" t="s">
        <v>1516</v>
      </c>
      <c r="H367" s="1606" t="s">
        <v>1526</v>
      </c>
      <c r="I367" s="1606" t="s">
        <v>1529</v>
      </c>
    </row>
    <row r="368" spans="1:13">
      <c r="A368" t="s">
        <v>239</v>
      </c>
      <c r="B368" s="1606" t="s">
        <v>1515</v>
      </c>
      <c r="D368" s="1606" t="s">
        <v>1516</v>
      </c>
      <c r="G368" s="1606">
        <v>4</v>
      </c>
      <c r="H368" s="1606" t="s">
        <v>1515</v>
      </c>
      <c r="I368" s="1606" t="s">
        <v>1529</v>
      </c>
      <c r="L368" t="s">
        <v>1883</v>
      </c>
    </row>
    <row r="369" spans="1:9">
      <c r="A369" t="s">
        <v>66</v>
      </c>
      <c r="B369" s="1606" t="s">
        <v>1526</v>
      </c>
      <c r="D369" s="1606" t="s">
        <v>1516</v>
      </c>
      <c r="H369" s="1606" t="s">
        <v>1526</v>
      </c>
      <c r="I369" s="1606" t="s">
        <v>1529</v>
      </c>
    </row>
    <row r="370" spans="1:9">
      <c r="A370" t="s">
        <v>1620</v>
      </c>
      <c r="B370" s="1606" t="s">
        <v>1529</v>
      </c>
      <c r="D370" s="1606" t="s">
        <v>1516</v>
      </c>
      <c r="H370" s="1606" t="s">
        <v>1529</v>
      </c>
      <c r="I370" s="1606" t="s">
        <v>1529</v>
      </c>
    </row>
    <row r="371" spans="1:9">
      <c r="A371" t="s">
        <v>423</v>
      </c>
      <c r="B371" s="1606" t="s">
        <v>1529</v>
      </c>
      <c r="D371" s="1606" t="s">
        <v>1516</v>
      </c>
      <c r="H371" s="1606" t="s">
        <v>1529</v>
      </c>
      <c r="I371" s="1606" t="s">
        <v>1529</v>
      </c>
    </row>
    <row r="372" spans="1:9">
      <c r="A372" t="s">
        <v>107</v>
      </c>
      <c r="B372" s="1606" t="s">
        <v>1526</v>
      </c>
      <c r="D372" s="1606" t="s">
        <v>1516</v>
      </c>
      <c r="H372" s="1606" t="s">
        <v>1526</v>
      </c>
      <c r="I372" s="1606" t="s">
        <v>1529</v>
      </c>
    </row>
    <row r="373" spans="1:9">
      <c r="A373" t="s">
        <v>13</v>
      </c>
      <c r="B373" s="1606" t="s">
        <v>1526</v>
      </c>
      <c r="D373" s="1606" t="s">
        <v>1516</v>
      </c>
      <c r="H373" s="1606" t="s">
        <v>1526</v>
      </c>
      <c r="I373" s="1606" t="s">
        <v>1529</v>
      </c>
    </row>
    <row r="374" spans="1:9">
      <c r="A374" t="s">
        <v>108</v>
      </c>
      <c r="B374" s="1606" t="s">
        <v>1526</v>
      </c>
      <c r="D374" s="1606" t="s">
        <v>1516</v>
      </c>
      <c r="H374" s="1606" t="s">
        <v>1526</v>
      </c>
      <c r="I374" s="1606" t="s">
        <v>1529</v>
      </c>
    </row>
    <row r="375" spans="1:9">
      <c r="A375" t="s">
        <v>1359</v>
      </c>
      <c r="B375" s="1606" t="s">
        <v>1526</v>
      </c>
      <c r="D375" s="1606" t="s">
        <v>1516</v>
      </c>
      <c r="H375" s="1606" t="s">
        <v>1526</v>
      </c>
      <c r="I375" s="1606" t="s">
        <v>1529</v>
      </c>
    </row>
    <row r="376" spans="1:9">
      <c r="A376" t="s">
        <v>1078</v>
      </c>
      <c r="B376" s="1606" t="s">
        <v>1529</v>
      </c>
      <c r="D376" s="1606" t="s">
        <v>1516</v>
      </c>
      <c r="H376" s="1606" t="s">
        <v>1529</v>
      </c>
      <c r="I376" s="1606" t="s">
        <v>1529</v>
      </c>
    </row>
    <row r="377" spans="1:9">
      <c r="A377" t="s">
        <v>1079</v>
      </c>
      <c r="B377" s="1606" t="s">
        <v>1526</v>
      </c>
      <c r="D377" s="1606" t="s">
        <v>1516</v>
      </c>
      <c r="H377" s="1606" t="s">
        <v>1526</v>
      </c>
      <c r="I377" s="1606" t="s">
        <v>1529</v>
      </c>
    </row>
    <row r="378" spans="1:9">
      <c r="A378" t="s">
        <v>241</v>
      </c>
      <c r="B378" s="1606" t="s">
        <v>1526</v>
      </c>
      <c r="D378" s="1606" t="s">
        <v>1532</v>
      </c>
      <c r="H378" s="1606" t="s">
        <v>1532</v>
      </c>
      <c r="I378" s="1606" t="s">
        <v>1529</v>
      </c>
    </row>
    <row r="379" spans="1:9">
      <c r="A379" t="s">
        <v>243</v>
      </c>
      <c r="B379" s="1606" t="s">
        <v>1526</v>
      </c>
      <c r="D379" s="1606" t="s">
        <v>1532</v>
      </c>
      <c r="H379" s="1606" t="s">
        <v>1532</v>
      </c>
      <c r="I379" s="1606" t="s">
        <v>1529</v>
      </c>
    </row>
    <row r="380" spans="1:9">
      <c r="A380" t="s">
        <v>1080</v>
      </c>
      <c r="B380" s="1606" t="s">
        <v>1526</v>
      </c>
      <c r="D380" s="1606" t="s">
        <v>1516</v>
      </c>
      <c r="H380" s="1606" t="s">
        <v>1526</v>
      </c>
      <c r="I380" s="1606" t="s">
        <v>1529</v>
      </c>
    </row>
    <row r="381" spans="1:9">
      <c r="A381" t="s">
        <v>245</v>
      </c>
      <c r="B381" s="1606" t="s">
        <v>1526</v>
      </c>
      <c r="D381" s="1606" t="s">
        <v>1516</v>
      </c>
      <c r="H381" s="1606" t="s">
        <v>1526</v>
      </c>
      <c r="I381" s="1606" t="s">
        <v>1529</v>
      </c>
    </row>
    <row r="382" spans="1:9">
      <c r="A382" t="s">
        <v>1371</v>
      </c>
      <c r="B382" s="1606" t="s">
        <v>1526</v>
      </c>
      <c r="D382" s="1606" t="s">
        <v>1516</v>
      </c>
      <c r="H382" s="1606" t="s">
        <v>1526</v>
      </c>
      <c r="I382" s="1606" t="s">
        <v>1529</v>
      </c>
    </row>
    <row r="383" spans="1:9">
      <c r="A383" t="s">
        <v>1081</v>
      </c>
      <c r="B383" s="1606" t="s">
        <v>1526</v>
      </c>
      <c r="D383" s="1606" t="s">
        <v>1516</v>
      </c>
      <c r="H383" s="1606" t="s">
        <v>1526</v>
      </c>
      <c r="I383" s="1606" t="s">
        <v>1529</v>
      </c>
    </row>
    <row r="384" spans="1:9">
      <c r="A384" t="s">
        <v>1427</v>
      </c>
      <c r="B384" s="1606" t="s">
        <v>1515</v>
      </c>
      <c r="D384" s="1606" t="s">
        <v>1516</v>
      </c>
      <c r="H384" s="1606" t="s">
        <v>1515</v>
      </c>
      <c r="I384" s="1606" t="s">
        <v>1529</v>
      </c>
    </row>
    <row r="385" spans="1:13">
      <c r="A385" t="s">
        <v>1082</v>
      </c>
      <c r="B385" s="1606" t="s">
        <v>1526</v>
      </c>
      <c r="D385" s="1606" t="s">
        <v>1532</v>
      </c>
      <c r="H385" s="1606" t="s">
        <v>1526</v>
      </c>
      <c r="I385" s="1606" t="s">
        <v>1529</v>
      </c>
    </row>
    <row r="386" spans="1:13">
      <c r="A386" t="s">
        <v>1525</v>
      </c>
      <c r="B386" s="1606" t="s">
        <v>1526</v>
      </c>
      <c r="D386" s="1606" t="s">
        <v>1516</v>
      </c>
      <c r="H386" s="1606" t="s">
        <v>1526</v>
      </c>
      <c r="I386" s="1606" t="s">
        <v>1529</v>
      </c>
    </row>
    <row r="387" spans="1:13">
      <c r="A387" t="s">
        <v>22</v>
      </c>
      <c r="B387" s="1606" t="s">
        <v>1529</v>
      </c>
      <c r="D387" s="1606" t="s">
        <v>1516</v>
      </c>
      <c r="H387" s="1606" t="s">
        <v>1529</v>
      </c>
      <c r="I387" s="1606" t="s">
        <v>1529</v>
      </c>
    </row>
    <row r="388" spans="1:13">
      <c r="A388" t="s">
        <v>36</v>
      </c>
      <c r="B388" s="1606" t="s">
        <v>1515</v>
      </c>
      <c r="D388" s="1606" t="s">
        <v>1516</v>
      </c>
      <c r="H388" s="1606" t="s">
        <v>1515</v>
      </c>
      <c r="I388" s="1606" t="s">
        <v>1529</v>
      </c>
      <c r="M388" t="s">
        <v>1853</v>
      </c>
    </row>
    <row r="389" spans="1:13">
      <c r="A389" t="s">
        <v>1429</v>
      </c>
      <c r="B389" s="1606" t="s">
        <v>1526</v>
      </c>
      <c r="D389" s="1606" t="s">
        <v>1516</v>
      </c>
      <c r="H389" s="1606" t="s">
        <v>1526</v>
      </c>
      <c r="I389" s="1606" t="s">
        <v>1529</v>
      </c>
    </row>
    <row r="390" spans="1:13">
      <c r="A390" t="s">
        <v>1430</v>
      </c>
      <c r="B390" s="1606" t="s">
        <v>1529</v>
      </c>
      <c r="D390" s="1606" t="s">
        <v>1516</v>
      </c>
      <c r="H390" s="1606" t="s">
        <v>1529</v>
      </c>
      <c r="I390" s="1606" t="s">
        <v>1529</v>
      </c>
    </row>
    <row r="391" spans="1:13">
      <c r="A391" t="s">
        <v>1084</v>
      </c>
      <c r="B391" s="1606" t="s">
        <v>1515</v>
      </c>
      <c r="C391" s="1606" t="s">
        <v>1516</v>
      </c>
      <c r="D391" s="1606" t="s">
        <v>1516</v>
      </c>
      <c r="F391" s="1606" t="s">
        <v>1516</v>
      </c>
      <c r="G391" s="1606" t="s">
        <v>1665</v>
      </c>
      <c r="H391" s="1606" t="s">
        <v>1515</v>
      </c>
      <c r="I391" s="1606" t="s">
        <v>1515</v>
      </c>
      <c r="M391" t="s">
        <v>1866</v>
      </c>
    </row>
    <row r="392" spans="1:13">
      <c r="A392" t="s">
        <v>414</v>
      </c>
      <c r="B392" s="1606" t="s">
        <v>1526</v>
      </c>
      <c r="D392" s="1606" t="s">
        <v>1516</v>
      </c>
      <c r="H392" s="1606" t="s">
        <v>1526</v>
      </c>
      <c r="I392" s="1606" t="s">
        <v>1529</v>
      </c>
    </row>
    <row r="393" spans="1:13">
      <c r="A393" t="s">
        <v>212</v>
      </c>
      <c r="B393" s="1606" t="s">
        <v>1526</v>
      </c>
      <c r="D393" s="1606" t="s">
        <v>1532</v>
      </c>
      <c r="H393" s="1606" t="s">
        <v>1532</v>
      </c>
      <c r="I393" s="1606" t="s">
        <v>1529</v>
      </c>
    </row>
    <row r="394" spans="1:13">
      <c r="A394" t="s">
        <v>110</v>
      </c>
      <c r="B394" s="1606" t="s">
        <v>1529</v>
      </c>
      <c r="D394" s="1606" t="s">
        <v>1516</v>
      </c>
      <c r="H394" s="1606" t="s">
        <v>1529</v>
      </c>
      <c r="I394" s="1606" t="s">
        <v>1529</v>
      </c>
    </row>
    <row r="395" spans="1:13">
      <c r="A395" t="s">
        <v>1085</v>
      </c>
      <c r="B395" s="1606" t="s">
        <v>1529</v>
      </c>
      <c r="D395" s="1606" t="s">
        <v>1516</v>
      </c>
      <c r="H395" s="1606" t="s">
        <v>1529</v>
      </c>
      <c r="I395" s="1606" t="s">
        <v>1529</v>
      </c>
    </row>
    <row r="396" spans="1:13">
      <c r="A396" t="s">
        <v>298</v>
      </c>
      <c r="B396" s="1606" t="s">
        <v>1526</v>
      </c>
      <c r="D396" s="1606" t="s">
        <v>1516</v>
      </c>
      <c r="H396" s="1606" t="s">
        <v>1526</v>
      </c>
      <c r="I396" s="1606" t="s">
        <v>1529</v>
      </c>
    </row>
    <row r="397" spans="1:13">
      <c r="A397" t="s">
        <v>68</v>
      </c>
      <c r="B397" s="1606" t="s">
        <v>1526</v>
      </c>
      <c r="D397" s="1606" t="s">
        <v>1516</v>
      </c>
      <c r="H397" s="1606" t="s">
        <v>1526</v>
      </c>
      <c r="I397" s="1606" t="s">
        <v>1529</v>
      </c>
    </row>
    <row r="398" spans="1:13">
      <c r="A398" t="s">
        <v>261</v>
      </c>
      <c r="B398" s="1606" t="s">
        <v>1526</v>
      </c>
      <c r="D398" s="1606" t="s">
        <v>1516</v>
      </c>
      <c r="H398" s="1606" t="s">
        <v>1526</v>
      </c>
      <c r="I398" s="1606" t="s">
        <v>1529</v>
      </c>
    </row>
    <row r="399" spans="1:13">
      <c r="A399" t="s">
        <v>1431</v>
      </c>
      <c r="B399" s="1606" t="s">
        <v>1526</v>
      </c>
      <c r="D399" s="1606" t="s">
        <v>1516</v>
      </c>
      <c r="H399" s="1606" t="s">
        <v>1526</v>
      </c>
      <c r="I399" s="1606" t="s">
        <v>1529</v>
      </c>
    </row>
    <row r="400" spans="1:13">
      <c r="A400" t="s">
        <v>1432</v>
      </c>
      <c r="B400" s="1606" t="s">
        <v>1529</v>
      </c>
      <c r="D400" s="1606" t="s">
        <v>1516</v>
      </c>
      <c r="H400" s="1606" t="s">
        <v>1529</v>
      </c>
      <c r="I400" s="1606" t="s">
        <v>1529</v>
      </c>
    </row>
    <row r="401" spans="1:14">
      <c r="A401" t="s">
        <v>1086</v>
      </c>
      <c r="B401" s="1606" t="s">
        <v>1529</v>
      </c>
      <c r="D401" s="1606" t="s">
        <v>1516</v>
      </c>
      <c r="H401" s="1606" t="s">
        <v>1529</v>
      </c>
      <c r="I401" s="1606" t="s">
        <v>1529</v>
      </c>
      <c r="N401" t="s">
        <v>1867</v>
      </c>
    </row>
    <row r="402" spans="1:14">
      <c r="A402" t="s">
        <v>1087</v>
      </c>
      <c r="B402" s="1606" t="s">
        <v>1529</v>
      </c>
      <c r="D402" s="1606" t="s">
        <v>1516</v>
      </c>
      <c r="H402" s="1606" t="s">
        <v>1529</v>
      </c>
      <c r="I402" s="1606" t="s">
        <v>1529</v>
      </c>
    </row>
    <row r="403" spans="1:14">
      <c r="A403" t="s">
        <v>1169</v>
      </c>
      <c r="B403" s="1606" t="s">
        <v>1526</v>
      </c>
      <c r="D403" s="1606" t="s">
        <v>1516</v>
      </c>
      <c r="H403" s="1606" t="s">
        <v>1526</v>
      </c>
      <c r="I403" s="1606" t="s">
        <v>1529</v>
      </c>
    </row>
    <row r="404" spans="1:14">
      <c r="A404" t="s">
        <v>1088</v>
      </c>
      <c r="B404" s="1606" t="s">
        <v>1515</v>
      </c>
      <c r="D404" s="1606" t="s">
        <v>1516</v>
      </c>
      <c r="H404" s="1606" t="s">
        <v>1515</v>
      </c>
      <c r="I404" s="1606" t="s">
        <v>1529</v>
      </c>
    </row>
    <row r="405" spans="1:14">
      <c r="A405" t="s">
        <v>1171</v>
      </c>
      <c r="B405" s="1606" t="s">
        <v>1529</v>
      </c>
      <c r="D405" s="1606" t="s">
        <v>1516</v>
      </c>
      <c r="H405" s="1606" t="s">
        <v>1529</v>
      </c>
      <c r="I405" s="1606" t="s">
        <v>1529</v>
      </c>
    </row>
    <row r="406" spans="1:14">
      <c r="A406" t="s">
        <v>1514</v>
      </c>
      <c r="B406" s="1606" t="s">
        <v>1526</v>
      </c>
      <c r="D406" s="1606" t="s">
        <v>1516</v>
      </c>
      <c r="H406" s="1606" t="s">
        <v>1526</v>
      </c>
      <c r="I406" s="1606" t="s">
        <v>1529</v>
      </c>
    </row>
    <row r="407" spans="1:14">
      <c r="A407" t="s">
        <v>552</v>
      </c>
      <c r="B407" s="1606" t="s">
        <v>1515</v>
      </c>
      <c r="D407" s="1606" t="s">
        <v>1516</v>
      </c>
      <c r="H407" s="1606" t="s">
        <v>1515</v>
      </c>
      <c r="I407" s="1606" t="s">
        <v>1529</v>
      </c>
    </row>
    <row r="408" spans="1:14">
      <c r="A408" t="s">
        <v>25</v>
      </c>
      <c r="B408" s="1606" t="s">
        <v>1529</v>
      </c>
      <c r="D408" s="1606" t="s">
        <v>1516</v>
      </c>
      <c r="H408" s="1606" t="s">
        <v>1529</v>
      </c>
      <c r="I408" s="1606" t="s">
        <v>1529</v>
      </c>
    </row>
  </sheetData>
  <sortState ref="A2:L414">
    <sortCondition ref="A2:A41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R119"/>
  <sheetViews>
    <sheetView topLeftCell="A7" zoomScale="80" zoomScaleNormal="80" workbookViewId="0">
      <selection activeCell="D34" sqref="D34"/>
    </sheetView>
  </sheetViews>
  <sheetFormatPr defaultColWidth="9.140625" defaultRowHeight="15"/>
  <cols>
    <col min="1" max="1" width="9.140625" style="118"/>
    <col min="2" max="2" width="29.7109375"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26.7109375" style="120" bestFit="1" customWidth="1"/>
    <col min="10" max="10" width="21.7109375" style="120" customWidth="1"/>
    <col min="11" max="11" width="12" style="120" bestFit="1" customWidth="1"/>
    <col min="12" max="12" width="12.2851562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989" t="s">
        <v>1203</v>
      </c>
      <c r="B1" s="1989"/>
      <c r="C1" s="1989"/>
      <c r="D1" s="1989"/>
      <c r="E1" s="1989"/>
      <c r="F1" s="1989"/>
      <c r="G1" s="1989"/>
      <c r="H1" s="1989"/>
      <c r="I1" s="1989"/>
      <c r="J1" s="1989"/>
      <c r="K1" s="1989"/>
      <c r="L1" s="1989"/>
      <c r="M1" s="1989"/>
      <c r="N1" s="1989"/>
      <c r="O1" s="1989"/>
      <c r="P1" s="1989"/>
      <c r="Q1" s="198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2008" t="s">
        <v>334</v>
      </c>
      <c r="C2" s="2008"/>
      <c r="D2" s="2008"/>
      <c r="E2" s="2008"/>
      <c r="G2" s="221"/>
      <c r="H2" s="2040" t="s">
        <v>618</v>
      </c>
      <c r="I2" s="2041"/>
      <c r="J2" s="2041"/>
      <c r="K2" s="2041"/>
      <c r="L2" s="2041"/>
      <c r="M2" s="2041"/>
      <c r="N2" s="2041"/>
      <c r="O2" s="2041"/>
      <c r="P2" s="2041"/>
      <c r="Q2" s="2041"/>
      <c r="R2" s="204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77"/>
      <c r="I3" s="179" t="s">
        <v>1310</v>
      </c>
      <c r="J3" s="929" t="str">
        <f>IF(Average_Load&lt;50,"No","Yes")</f>
        <v>Yes</v>
      </c>
      <c r="K3" s="2075" t="s">
        <v>1103</v>
      </c>
      <c r="L3" s="2075"/>
      <c r="M3" s="136"/>
      <c r="N3" s="136"/>
      <c r="O3" s="136"/>
      <c r="P3" s="136"/>
      <c r="Q3" s="136"/>
      <c r="R3" s="930"/>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2089" t="s">
        <v>331</v>
      </c>
      <c r="C4" s="2090"/>
      <c r="D4" s="121"/>
      <c r="E4" s="916" t="s">
        <v>1211</v>
      </c>
      <c r="F4" s="1204"/>
      <c r="G4" s="219"/>
      <c r="H4" s="377"/>
      <c r="I4" s="547" t="s">
        <v>619</v>
      </c>
      <c r="J4" s="633">
        <f>HR_Installed</f>
        <v>0</v>
      </c>
      <c r="K4" s="125"/>
      <c r="L4" s="125"/>
      <c r="M4" s="125"/>
      <c r="N4" s="125"/>
      <c r="O4" s="125"/>
      <c r="P4" s="125"/>
      <c r="Q4" s="125"/>
      <c r="R4" s="930"/>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4.25">
      <c r="B5" s="128" t="s">
        <v>375</v>
      </c>
      <c r="C5" s="587" t="str">
        <f>Community_Name</f>
        <v>Manley Hot Springs</v>
      </c>
      <c r="D5" s="125"/>
      <c r="E5" s="47" t="s">
        <v>1209</v>
      </c>
      <c r="F5" s="1205"/>
      <c r="G5" s="219"/>
      <c r="H5" s="377"/>
      <c r="I5" s="552" t="s">
        <v>963</v>
      </c>
      <c r="J5" s="634" t="str">
        <f>HR_Operational</f>
        <v>Yes</v>
      </c>
      <c r="K5" s="131"/>
      <c r="L5" s="131"/>
      <c r="M5" s="125"/>
      <c r="N5" s="136"/>
      <c r="O5" s="136"/>
      <c r="P5" s="136"/>
      <c r="Q5" s="136"/>
      <c r="R5" s="930"/>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thickBot="1">
      <c r="B6" s="128" t="s">
        <v>376</v>
      </c>
      <c r="C6" s="587" t="str">
        <f>IF('Community data'!B7="Yes",'Community data'!B8,Community_Name)</f>
        <v>Manley Hot Springs</v>
      </c>
      <c r="D6" s="125"/>
      <c r="E6" s="417" t="s">
        <v>1210</v>
      </c>
      <c r="F6" s="1212" t="str">
        <f>IF(OR(C9="Construction",C9="Design"),"High", IF(C9="Feasibility", "Medium", IF(C9="Recon", "Low")))</f>
        <v>Low</v>
      </c>
      <c r="G6" s="219"/>
      <c r="H6" s="377"/>
      <c r="I6" s="548" t="s">
        <v>593</v>
      </c>
      <c r="J6" s="550">
        <f>MROUND(0.3*Average_Load,5)</f>
        <v>15</v>
      </c>
      <c r="K6" s="131"/>
      <c r="L6" s="131"/>
      <c r="M6" s="125"/>
      <c r="N6" s="136"/>
      <c r="O6" s="136"/>
      <c r="P6" s="136"/>
      <c r="Q6" s="136"/>
      <c r="R6" s="930"/>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14.25">
      <c r="B7" s="128" t="s">
        <v>332</v>
      </c>
      <c r="C7" s="587" t="s">
        <v>291</v>
      </c>
      <c r="D7" s="125"/>
      <c r="G7" s="219"/>
      <c r="H7" s="377"/>
      <c r="I7" s="524" t="s">
        <v>778</v>
      </c>
      <c r="J7" s="1644">
        <f>VLOOKUP(C5,'Solar Data'!$A$2:$C$421,3,FALSE)*kW_proposed/10</f>
        <v>11269.5</v>
      </c>
      <c r="K7" s="136" t="s">
        <v>779</v>
      </c>
      <c r="L7" s="131"/>
      <c r="M7" s="125"/>
      <c r="N7" s="136"/>
      <c r="O7" s="136"/>
      <c r="P7" s="136"/>
      <c r="Q7" s="136"/>
      <c r="R7" s="930"/>
      <c r="S7" s="217"/>
      <c r="T7" s="217"/>
      <c r="U7" s="217"/>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14.25">
      <c r="B8" s="128" t="s">
        <v>569</v>
      </c>
      <c r="C8" s="587" t="s">
        <v>349</v>
      </c>
      <c r="D8" s="125"/>
      <c r="E8" s="118"/>
      <c r="G8" s="219"/>
      <c r="H8" s="377"/>
      <c r="I8" s="524" t="s">
        <v>789</v>
      </c>
      <c r="J8" s="575"/>
      <c r="K8" s="131" t="s">
        <v>388</v>
      </c>
      <c r="L8" s="131"/>
      <c r="M8" s="125"/>
      <c r="N8" s="136"/>
      <c r="O8" s="136"/>
      <c r="P8" s="136"/>
      <c r="Q8" s="136"/>
      <c r="R8" s="930"/>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29.25" customHeight="1">
      <c r="B9" s="128" t="s">
        <v>570</v>
      </c>
      <c r="C9" s="490" t="s">
        <v>576</v>
      </c>
      <c r="D9" s="125"/>
      <c r="E9" s="118"/>
      <c r="G9" s="219"/>
      <c r="H9" s="377"/>
      <c r="I9" s="548" t="s">
        <v>594</v>
      </c>
      <c r="J9" s="549">
        <v>0</v>
      </c>
      <c r="K9" s="275"/>
      <c r="L9" s="131"/>
      <c r="M9" s="125"/>
      <c r="N9" s="136"/>
      <c r="O9" s="136"/>
      <c r="P9" s="136"/>
      <c r="Q9" s="136"/>
      <c r="R9" s="930"/>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14.25">
      <c r="B10" s="128"/>
      <c r="C10" s="587"/>
      <c r="D10" s="125"/>
      <c r="E10" s="118"/>
      <c r="G10" s="219"/>
      <c r="H10" s="377"/>
      <c r="I10" s="524" t="s">
        <v>684</v>
      </c>
      <c r="J10" s="549" t="s">
        <v>597</v>
      </c>
      <c r="K10" s="131"/>
      <c r="L10" s="1843"/>
      <c r="M10" s="125"/>
      <c r="N10" s="136"/>
      <c r="O10" s="136"/>
      <c r="P10" s="136"/>
      <c r="Q10" s="136"/>
      <c r="R10" s="930"/>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30.75" customHeight="1" thickBot="1">
      <c r="B11" s="134"/>
      <c r="C11" s="611"/>
      <c r="D11" s="125"/>
      <c r="E11" s="118"/>
      <c r="F11" s="135"/>
      <c r="G11" s="219"/>
      <c r="H11" s="377"/>
      <c r="I11" s="548" t="s">
        <v>595</v>
      </c>
      <c r="J11" s="634" t="str">
        <f>Swtichgear_RE</f>
        <v>No</v>
      </c>
      <c r="K11" s="136"/>
      <c r="L11" s="136"/>
      <c r="M11" s="125"/>
      <c r="N11" s="136"/>
      <c r="O11" s="136"/>
      <c r="P11" s="136"/>
      <c r="Q11" s="136"/>
      <c r="R11" s="930"/>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27.75" customHeight="1">
      <c r="B12" s="137" t="s">
        <v>360</v>
      </c>
      <c r="C12" s="515" t="s">
        <v>384</v>
      </c>
      <c r="D12" s="306"/>
      <c r="E12" s="306"/>
      <c r="F12" s="118"/>
      <c r="G12" s="219"/>
      <c r="H12" s="377"/>
      <c r="I12" s="552" t="s">
        <v>621</v>
      </c>
      <c r="J12" s="549" t="s">
        <v>597</v>
      </c>
      <c r="K12" s="136"/>
      <c r="L12" s="136"/>
      <c r="M12" s="125"/>
      <c r="N12" s="136"/>
      <c r="O12" s="136"/>
      <c r="P12" s="136"/>
      <c r="Q12" s="136"/>
      <c r="R12" s="930"/>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12.75" customHeight="1">
      <c r="B13" s="128" t="s">
        <v>262</v>
      </c>
      <c r="C13" s="321">
        <f>BI59</f>
        <v>17101.17603241808</v>
      </c>
      <c r="D13" s="136"/>
      <c r="E13" s="136"/>
      <c r="F13" s="118"/>
      <c r="G13" s="219"/>
      <c r="H13" s="377"/>
      <c r="I13" s="556" t="s">
        <v>780</v>
      </c>
      <c r="J13" s="557"/>
      <c r="K13" s="136"/>
      <c r="L13" s="136"/>
      <c r="M13" s="125"/>
      <c r="N13" s="136"/>
      <c r="O13" s="136"/>
      <c r="P13" s="136"/>
      <c r="Q13" s="136"/>
      <c r="R13" s="930"/>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27.75" customHeight="1">
      <c r="B14" s="128" t="s">
        <v>278</v>
      </c>
      <c r="C14" s="322">
        <f>BI55</f>
        <v>265038.19963364006</v>
      </c>
      <c r="D14" s="136"/>
      <c r="E14" s="136"/>
      <c r="F14" s="118"/>
      <c r="G14" s="219"/>
      <c r="H14" s="377"/>
      <c r="I14" s="558" t="s">
        <v>788</v>
      </c>
      <c r="J14" s="529">
        <v>8000</v>
      </c>
      <c r="K14" s="484"/>
      <c r="L14" s="136"/>
      <c r="M14" s="125"/>
      <c r="N14" s="136"/>
      <c r="O14" s="136"/>
      <c r="P14" s="136"/>
      <c r="Q14" s="136"/>
      <c r="R14" s="930"/>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13.5" customHeight="1" thickBot="1">
      <c r="B15" s="128" t="s">
        <v>759</v>
      </c>
      <c r="C15" s="323">
        <f>IF(Solar_NPV_Capital_Costs&gt;0,C13/C14,0)</f>
        <v>6.4523438719614315E-2</v>
      </c>
      <c r="D15" s="136"/>
      <c r="E15" s="136"/>
      <c r="F15" s="118"/>
      <c r="G15" s="219"/>
      <c r="H15" s="377"/>
      <c r="I15" s="485"/>
      <c r="J15" s="164"/>
      <c r="K15" s="484"/>
      <c r="L15" s="136"/>
      <c r="M15" s="125"/>
      <c r="N15" s="136"/>
      <c r="O15" s="136"/>
      <c r="P15" s="136"/>
      <c r="Q15" s="136"/>
      <c r="R15" s="930"/>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15.75" customHeight="1" thickBot="1">
      <c r="A16" s="121"/>
      <c r="B16" s="502" t="s">
        <v>290</v>
      </c>
      <c r="C16" s="503">
        <f>BI62</f>
        <v>-247937.02360122206</v>
      </c>
      <c r="D16" s="136"/>
      <c r="E16" s="136"/>
      <c r="F16" s="118"/>
      <c r="G16" s="219"/>
      <c r="H16" s="377"/>
      <c r="I16" s="524" t="s">
        <v>790</v>
      </c>
      <c r="J16" s="351"/>
      <c r="K16" s="484"/>
      <c r="L16" s="136"/>
      <c r="M16" s="125"/>
      <c r="N16" s="136"/>
      <c r="O16" s="136"/>
      <c r="P16" s="136"/>
      <c r="Q16" s="136"/>
      <c r="R16" s="930"/>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5" customHeight="1">
      <c r="A17" s="121"/>
      <c r="B17" s="157"/>
      <c r="C17" s="347"/>
      <c r="D17" s="136"/>
      <c r="E17" s="136"/>
      <c r="F17" s="118"/>
      <c r="G17" s="219"/>
      <c r="H17" s="377"/>
      <c r="I17" s="559" t="s">
        <v>683</v>
      </c>
      <c r="J17" s="560">
        <f>0.01*Solar_total_cost</f>
        <v>2700</v>
      </c>
      <c r="K17" s="484"/>
      <c r="L17" s="846"/>
      <c r="M17" s="125"/>
      <c r="N17" s="136"/>
      <c r="O17" s="136"/>
      <c r="P17" s="136"/>
      <c r="Q17" s="136"/>
      <c r="R17" s="930"/>
      <c r="S17" s="217"/>
      <c r="T17" s="217"/>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5" customHeight="1" thickBot="1">
      <c r="B18" s="138"/>
      <c r="C18" s="145"/>
      <c r="D18" s="136"/>
      <c r="E18" s="136"/>
      <c r="F18" s="118"/>
      <c r="G18" s="219"/>
      <c r="H18" s="377"/>
      <c r="I18" s="561" t="s">
        <v>763</v>
      </c>
      <c r="J18" s="535">
        <v>20</v>
      </c>
      <c r="K18" s="484"/>
      <c r="L18" s="121"/>
      <c r="M18" s="125"/>
      <c r="N18" s="136"/>
      <c r="O18" s="136"/>
      <c r="P18" s="136"/>
      <c r="Q18" s="136"/>
      <c r="R18" s="930"/>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24" customHeight="1">
      <c r="B19" s="137" t="s">
        <v>361</v>
      </c>
      <c r="C19" s="314" t="s">
        <v>271</v>
      </c>
      <c r="D19" s="315" t="s">
        <v>384</v>
      </c>
      <c r="E19" s="307"/>
      <c r="F19" s="306"/>
      <c r="G19" s="219"/>
      <c r="H19" s="377"/>
      <c r="I19" s="327"/>
      <c r="J19" s="328"/>
      <c r="K19" s="484"/>
      <c r="L19" s="121"/>
      <c r="M19" s="125"/>
      <c r="N19" s="136"/>
      <c r="O19" s="136"/>
      <c r="P19" s="136"/>
      <c r="Q19" s="136"/>
      <c r="R19" s="930"/>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8.75" customHeight="1">
      <c r="B20" s="316" t="s">
        <v>362</v>
      </c>
      <c r="C20" s="208" t="s">
        <v>266</v>
      </c>
      <c r="D20" s="606">
        <f>IF(SUM(F67:BH67)&gt;0,SUM(F67:BH67)/COUNTIF(F67:BH67,"&gt;0"),0)</f>
        <v>10412.018385390706</v>
      </c>
      <c r="E20" s="121"/>
      <c r="F20" s="136"/>
      <c r="G20" s="219"/>
      <c r="H20" s="377"/>
      <c r="I20" s="136"/>
      <c r="J20" s="241"/>
      <c r="K20" s="845"/>
      <c r="L20" s="121"/>
      <c r="M20" s="125"/>
      <c r="N20" s="136"/>
      <c r="O20" s="136"/>
      <c r="P20" s="136"/>
      <c r="Q20" s="136"/>
      <c r="R20" s="930"/>
      <c r="S20" s="217"/>
      <c r="T20" s="217"/>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22.5" customHeight="1">
      <c r="B21" s="316" t="s">
        <v>362</v>
      </c>
      <c r="C21" s="209" t="s">
        <v>363</v>
      </c>
      <c r="D21" s="607">
        <f>SUM(F67:BH67)</f>
        <v>218652.38609320481</v>
      </c>
      <c r="E21" s="121"/>
      <c r="F21" s="136"/>
      <c r="G21" s="219"/>
      <c r="H21" s="377"/>
      <c r="I21" s="121"/>
      <c r="J21" s="121"/>
      <c r="K21" s="121"/>
      <c r="L21" s="136"/>
      <c r="M21" s="125"/>
      <c r="N21" s="136"/>
      <c r="O21" s="136"/>
      <c r="P21" s="136"/>
      <c r="Q21" s="136"/>
      <c r="R21" s="930"/>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27" customHeight="1" thickBot="1">
      <c r="B22" s="316" t="s">
        <v>364</v>
      </c>
      <c r="C22" s="209" t="s">
        <v>268</v>
      </c>
      <c r="D22" s="606">
        <f>G72+G91</f>
        <v>11269.5</v>
      </c>
      <c r="E22" s="121"/>
      <c r="F22" s="136"/>
      <c r="G22" s="219"/>
      <c r="H22" s="377"/>
      <c r="I22" s="136"/>
      <c r="J22" s="136"/>
      <c r="K22" s="136"/>
      <c r="L22" s="136"/>
      <c r="M22" s="125" t="s">
        <v>814</v>
      </c>
      <c r="N22" s="136"/>
      <c r="O22" s="136"/>
      <c r="P22" s="136"/>
      <c r="Q22" s="136"/>
      <c r="R22" s="930"/>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27.75" customHeight="1">
      <c r="B23" s="316" t="s">
        <v>364</v>
      </c>
      <c r="C23" s="209" t="s">
        <v>365</v>
      </c>
      <c r="D23" s="608">
        <f>SUM(G72:T72)+SUM(G91:BH91)</f>
        <v>149825.65383120329</v>
      </c>
      <c r="E23" s="121"/>
      <c r="F23" s="136"/>
      <c r="G23" s="219"/>
      <c r="H23" s="377"/>
      <c r="I23" s="844" t="s">
        <v>579</v>
      </c>
      <c r="J23" s="2099"/>
      <c r="K23" s="2099"/>
      <c r="L23" s="2100"/>
      <c r="M23" s="125"/>
      <c r="N23" s="136"/>
      <c r="O23" s="136"/>
      <c r="P23" s="136"/>
      <c r="Q23" s="136"/>
      <c r="R23" s="930"/>
      <c r="S23" s="124"/>
      <c r="T23" s="124"/>
      <c r="U23" s="69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2.75" customHeight="1">
      <c r="B24" s="128"/>
      <c r="D24" s="1385"/>
      <c r="E24" s="122"/>
      <c r="F24" s="125"/>
      <c r="G24" s="145"/>
      <c r="H24" s="377"/>
      <c r="I24" s="1393" t="s">
        <v>781</v>
      </c>
      <c r="J24" s="1378"/>
      <c r="K24" s="628">
        <f>J6</f>
        <v>15</v>
      </c>
      <c r="L24" s="363" t="s">
        <v>388</v>
      </c>
      <c r="M24" s="125"/>
      <c r="N24" s="136"/>
      <c r="O24" s="136"/>
      <c r="P24" s="136"/>
      <c r="Q24" s="136"/>
      <c r="R24" s="930"/>
      <c r="S24" s="211"/>
      <c r="T24" s="211"/>
      <c r="U24" s="69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4.25" customHeight="1">
      <c r="B25" s="128"/>
      <c r="C25" s="145"/>
      <c r="D25" s="317"/>
      <c r="E25" s="121"/>
      <c r="F25" s="136"/>
      <c r="G25" s="219"/>
      <c r="H25" s="377"/>
      <c r="I25" s="2105" t="s">
        <v>782</v>
      </c>
      <c r="J25" s="2106"/>
      <c r="K25" s="628">
        <f>J8+J6</f>
        <v>15</v>
      </c>
      <c r="L25" s="363" t="s">
        <v>388</v>
      </c>
      <c r="M25" s="125"/>
      <c r="N25" s="136"/>
      <c r="O25" s="136"/>
      <c r="P25" s="136"/>
      <c r="Q25" s="136"/>
      <c r="R25" s="930"/>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4.25" customHeight="1">
      <c r="B26" s="316"/>
      <c r="C26" s="209"/>
      <c r="D26" s="606"/>
      <c r="E26" s="121"/>
      <c r="F26" s="136"/>
      <c r="G26" s="219"/>
      <c r="H26" s="377"/>
      <c r="I26" s="2103" t="s">
        <v>783</v>
      </c>
      <c r="J26" s="2104"/>
      <c r="K26" s="340">
        <f>IF(J12="No",kW_proposed*Cost_kW_if_not_known,J13)</f>
        <v>120000</v>
      </c>
      <c r="L26" s="364"/>
      <c r="M26" s="125"/>
      <c r="N26" s="136"/>
      <c r="O26" s="136"/>
      <c r="P26" s="136"/>
      <c r="Q26" s="136"/>
      <c r="R26" s="930"/>
      <c r="S26" s="689"/>
      <c r="T26" s="68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4.25" customHeight="1" thickBot="1">
      <c r="B27" s="318"/>
      <c r="C27" s="319"/>
      <c r="D27" s="609"/>
      <c r="E27" s="121"/>
      <c r="F27" s="136"/>
      <c r="G27" s="219"/>
      <c r="H27" s="377"/>
      <c r="I27" s="2103" t="s">
        <v>602</v>
      </c>
      <c r="J27" s="2104"/>
      <c r="K27" s="629">
        <f>IF(Switchgear_suitable="No", 150000, 0)</f>
        <v>150000</v>
      </c>
      <c r="L27" s="364"/>
      <c r="M27" s="125"/>
      <c r="N27" s="136"/>
      <c r="O27" s="136"/>
      <c r="P27" s="136"/>
      <c r="Q27" s="136"/>
      <c r="R27" s="930"/>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customHeight="1" thickBot="1">
      <c r="B28" s="143"/>
      <c r="C28" s="143"/>
      <c r="D28" s="148"/>
      <c r="E28" s="121"/>
      <c r="F28" s="136"/>
      <c r="G28" s="219"/>
      <c r="H28" s="377"/>
      <c r="I28" s="2103" t="s">
        <v>582</v>
      </c>
      <c r="J28" s="2104"/>
      <c r="K28" s="340">
        <f>IF(Road_needed="No", Distance_to_T_D*250000, Distance_to_T_D*500000)</f>
        <v>0</v>
      </c>
      <c r="L28" s="364"/>
      <c r="M28" s="125"/>
      <c r="N28" s="136"/>
      <c r="O28" s="136"/>
      <c r="P28" s="136"/>
      <c r="Q28" s="136"/>
      <c r="R28" s="930"/>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2" t="s">
        <v>384</v>
      </c>
      <c r="E29" s="307"/>
      <c r="F29" s="306"/>
      <c r="G29" s="219"/>
      <c r="H29" s="377"/>
      <c r="I29" s="2107" t="s">
        <v>614</v>
      </c>
      <c r="J29" s="2108"/>
      <c r="K29" s="248">
        <f>K26+K27</f>
        <v>270000</v>
      </c>
      <c r="L29" s="365"/>
      <c r="M29" s="125"/>
      <c r="N29" s="136"/>
      <c r="O29" s="136"/>
      <c r="P29" s="136"/>
      <c r="Q29" s="136"/>
      <c r="R29" s="930"/>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590">
        <f>K29</f>
        <v>270000</v>
      </c>
      <c r="E30" s="118"/>
      <c r="G30" s="219"/>
      <c r="H30" s="377"/>
      <c r="I30" s="2109" t="s">
        <v>784</v>
      </c>
      <c r="J30" s="2110"/>
      <c r="K30" s="630">
        <f>J7/kwh_sold</f>
        <v>2.934765625E-2</v>
      </c>
      <c r="L30" s="366"/>
      <c r="M30" s="125"/>
      <c r="N30" s="136"/>
      <c r="O30" s="136"/>
      <c r="P30" s="136"/>
      <c r="Q30" s="136"/>
      <c r="R30" s="930"/>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4.25">
      <c r="B31" s="128" t="s">
        <v>286</v>
      </c>
      <c r="C31" s="138" t="s">
        <v>333</v>
      </c>
      <c r="D31" s="589">
        <v>2015</v>
      </c>
      <c r="E31" s="118"/>
      <c r="G31" s="219"/>
      <c r="H31" s="377"/>
      <c r="I31" s="2111" t="s">
        <v>785</v>
      </c>
      <c r="J31" s="2112"/>
      <c r="K31" s="251">
        <f>kWh_year_from_PVWatts</f>
        <v>11269.5</v>
      </c>
      <c r="L31" s="367" t="s">
        <v>583</v>
      </c>
      <c r="M31" s="125"/>
      <c r="N31" s="136"/>
      <c r="O31" s="136"/>
      <c r="P31" s="136"/>
      <c r="Q31" s="136"/>
      <c r="R31" s="930"/>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64">
        <f>J18</f>
        <v>20</v>
      </c>
      <c r="E32" s="118"/>
      <c r="G32" s="219"/>
      <c r="H32" s="377"/>
      <c r="I32" s="368"/>
      <c r="J32" s="356"/>
      <c r="K32" s="136"/>
      <c r="L32" s="351"/>
      <c r="M32" s="125"/>
      <c r="N32" s="136"/>
      <c r="O32" s="136"/>
      <c r="P32" s="136"/>
      <c r="Q32" s="136"/>
      <c r="R32" s="930"/>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4.25">
      <c r="B33" s="128" t="s">
        <v>367</v>
      </c>
      <c r="C33" s="151" t="s">
        <v>266</v>
      </c>
      <c r="D33" s="591">
        <f>K31</f>
        <v>11269.5</v>
      </c>
      <c r="E33" s="118"/>
      <c r="G33" s="219"/>
      <c r="H33" s="377"/>
      <c r="I33" s="2115" t="s">
        <v>589</v>
      </c>
      <c r="J33" s="2116"/>
      <c r="K33" s="251">
        <f>IF(AND(J4="Yes",J5="Yes"), -kWh_year_from_PVWatts/Generation_Efficiency*0.15, 0)</f>
        <v>0</v>
      </c>
      <c r="L33" s="369" t="s">
        <v>588</v>
      </c>
      <c r="M33" s="125"/>
      <c r="N33" s="125"/>
      <c r="O33" s="125"/>
      <c r="P33" s="125"/>
      <c r="Q33" s="125"/>
      <c r="R33" s="930"/>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592">
        <f>-K33</f>
        <v>0</v>
      </c>
      <c r="E34" s="118"/>
      <c r="G34" s="219"/>
      <c r="H34" s="377"/>
      <c r="I34" s="2113" t="s">
        <v>786</v>
      </c>
      <c r="J34" s="2114"/>
      <c r="K34" s="263">
        <f>O_M____kWh</f>
        <v>2700</v>
      </c>
      <c r="L34" s="370" t="s">
        <v>611</v>
      </c>
      <c r="M34" s="125"/>
      <c r="N34" s="125"/>
      <c r="O34" s="125"/>
      <c r="P34" s="125"/>
      <c r="Q34" s="125"/>
      <c r="R34" s="930"/>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5.5">
      <c r="B35" s="128" t="s">
        <v>369</v>
      </c>
      <c r="C35" s="138" t="s">
        <v>315</v>
      </c>
      <c r="D35" s="593"/>
      <c r="E35" s="118"/>
      <c r="G35" s="219"/>
      <c r="H35" s="377"/>
      <c r="I35" s="2113" t="s">
        <v>787</v>
      </c>
      <c r="J35" s="2114"/>
      <c r="K35" s="638">
        <f>Solar_total_cost/400</f>
        <v>675</v>
      </c>
      <c r="L35" s="371"/>
      <c r="M35" s="125"/>
      <c r="N35" s="125"/>
      <c r="O35" s="125"/>
      <c r="P35" s="125"/>
      <c r="Q35" s="125"/>
      <c r="R35" s="930"/>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1321</v>
      </c>
      <c r="D36" s="594">
        <f>O_M____kWh</f>
        <v>2700</v>
      </c>
      <c r="E36" s="118"/>
      <c r="G36" s="219"/>
      <c r="H36" s="377"/>
      <c r="I36" s="2113" t="s">
        <v>591</v>
      </c>
      <c r="J36" s="2114"/>
      <c r="K36" s="340">
        <f>Distance_to_T_D*10000</f>
        <v>0</v>
      </c>
      <c r="L36" s="371"/>
      <c r="M36" s="125"/>
      <c r="N36" s="125"/>
      <c r="O36" s="125"/>
      <c r="P36" s="125"/>
      <c r="Q36" s="125"/>
      <c r="R36" s="930"/>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3.5" thickBot="1">
      <c r="B37" s="128" t="s">
        <v>387</v>
      </c>
      <c r="C37" s="138" t="s">
        <v>388</v>
      </c>
      <c r="D37" s="596"/>
      <c r="E37" s="118"/>
      <c r="G37" s="219"/>
      <c r="H37" s="377"/>
      <c r="I37" s="2095" t="s">
        <v>592</v>
      </c>
      <c r="J37" s="2096"/>
      <c r="K37" s="546">
        <f>Solar_Project_Life</f>
        <v>20</v>
      </c>
      <c r="L37" s="372" t="s">
        <v>280</v>
      </c>
      <c r="M37" s="125"/>
      <c r="N37" s="125"/>
      <c r="O37" s="125"/>
      <c r="P37" s="125"/>
      <c r="Q37" s="125"/>
      <c r="R37" s="930"/>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c r="B38" s="128" t="s">
        <v>389</v>
      </c>
      <c r="C38" s="138" t="s">
        <v>352</v>
      </c>
      <c r="D38" s="595">
        <f>J7/(J6*8760)</f>
        <v>8.5764840182648405E-2</v>
      </c>
      <c r="E38" s="118"/>
      <c r="G38" s="219"/>
      <c r="H38" s="377"/>
      <c r="I38" s="233"/>
      <c r="J38" s="233"/>
      <c r="K38" s="272"/>
      <c r="L38" s="233"/>
      <c r="M38" s="8"/>
      <c r="N38" s="8"/>
      <c r="O38" s="470"/>
      <c r="P38" s="125"/>
      <c r="Q38" s="125"/>
      <c r="R38" s="930"/>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c r="B39" s="128" t="s">
        <v>390</v>
      </c>
      <c r="C39" s="138" t="s">
        <v>392</v>
      </c>
      <c r="D39" s="597"/>
      <c r="E39" s="118"/>
      <c r="G39" s="219"/>
      <c r="H39" s="377"/>
      <c r="I39" s="233"/>
      <c r="J39" s="233"/>
      <c r="K39" s="233"/>
      <c r="L39" s="233"/>
      <c r="M39" s="8"/>
      <c r="N39" s="8"/>
      <c r="O39" s="470"/>
      <c r="P39" s="125"/>
      <c r="Q39" s="125"/>
      <c r="R39" s="930"/>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5.75" thickBot="1">
      <c r="B40" s="134" t="s">
        <v>391</v>
      </c>
      <c r="C40" s="313" t="s">
        <v>352</v>
      </c>
      <c r="D40" s="598"/>
      <c r="E40" s="118"/>
      <c r="G40" s="219"/>
      <c r="H40" s="377"/>
      <c r="I40" s="233"/>
      <c r="J40" s="233"/>
      <c r="K40" s="233"/>
      <c r="L40" s="233"/>
      <c r="M40" s="8"/>
      <c r="N40" s="8"/>
      <c r="O40" s="8"/>
      <c r="P40" s="125"/>
      <c r="Q40" s="125"/>
      <c r="R40" s="930"/>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5.75" thickBot="1">
      <c r="B41" s="153"/>
      <c r="C41" s="154"/>
      <c r="D41" s="155"/>
      <c r="E41" s="118"/>
      <c r="F41" s="136"/>
      <c r="G41" s="219"/>
      <c r="H41" s="377"/>
      <c r="I41" s="233"/>
      <c r="J41" s="233"/>
      <c r="K41" s="233"/>
      <c r="L41" s="233"/>
      <c r="M41" s="8"/>
      <c r="N41" s="8"/>
      <c r="O41" s="8"/>
      <c r="P41" s="125"/>
      <c r="Q41" s="125"/>
      <c r="R41" s="930"/>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c r="B42" s="504" t="s">
        <v>327</v>
      </c>
      <c r="C42" s="505" t="s">
        <v>271</v>
      </c>
      <c r="D42" s="506" t="s">
        <v>272</v>
      </c>
      <c r="E42" s="118"/>
      <c r="G42" s="219"/>
      <c r="H42" s="377"/>
      <c r="I42" s="233"/>
      <c r="J42" s="233"/>
      <c r="K42" s="233"/>
      <c r="L42" s="233"/>
      <c r="M42" s="8"/>
      <c r="N42" s="125"/>
      <c r="O42" s="125"/>
      <c r="P42" s="125"/>
      <c r="Q42" s="125"/>
      <c r="R42" s="930"/>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5.75" thickBot="1">
      <c r="B43" s="311" t="s">
        <v>276</v>
      </c>
      <c r="C43" s="138" t="s">
        <v>265</v>
      </c>
      <c r="D43" s="599">
        <v>0.02</v>
      </c>
      <c r="E43" s="118"/>
      <c r="F43" s="159"/>
      <c r="G43" s="219"/>
      <c r="H43" s="378"/>
      <c r="I43" s="986"/>
      <c r="J43" s="986"/>
      <c r="K43" s="986"/>
      <c r="L43" s="986"/>
      <c r="M43" s="922"/>
      <c r="N43" s="381"/>
      <c r="O43" s="381"/>
      <c r="P43" s="381"/>
      <c r="Q43" s="381"/>
      <c r="R43" s="951"/>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5.75" thickBot="1">
      <c r="B44" s="507" t="s">
        <v>328</v>
      </c>
      <c r="C44" s="143" t="s">
        <v>281</v>
      </c>
      <c r="D44" s="614">
        <f>'Community data'!B21</f>
        <v>10.802351555020987</v>
      </c>
      <c r="E44" s="118"/>
      <c r="F44" s="159"/>
      <c r="G44" s="219"/>
      <c r="H44" s="122"/>
      <c r="I44" s="233"/>
      <c r="J44" s="233"/>
      <c r="K44" s="233"/>
      <c r="L44" s="233"/>
      <c r="M44" s="8"/>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5.75" thickBot="1">
      <c r="B45" s="161"/>
      <c r="C45" s="162"/>
      <c r="D45" s="163"/>
      <c r="E45" s="118"/>
      <c r="F45" s="136"/>
      <c r="G45" s="219"/>
      <c r="H45" s="122"/>
      <c r="I45" s="233"/>
      <c r="J45" s="233"/>
      <c r="K45" s="233"/>
      <c r="L45" s="233"/>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0" t="s">
        <v>272</v>
      </c>
      <c r="E46" s="118"/>
      <c r="F46" s="159"/>
      <c r="G46" s="219"/>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1" t="s">
        <v>282</v>
      </c>
      <c r="C47" s="138" t="s">
        <v>269</v>
      </c>
      <c r="D47" s="601">
        <f>VLOOKUP(Energy_Region,Assumptions!$A$28:$B$38,2,FALSE)</f>
        <v>1.5507921943016665</v>
      </c>
      <c r="E47" s="118"/>
      <c r="F47" s="136"/>
      <c r="G47" s="219"/>
      <c r="H47" s="122"/>
      <c r="I47" s="125"/>
      <c r="J47" s="125"/>
      <c r="K47" s="125"/>
      <c r="L47" s="125" t="s">
        <v>814</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02">
        <f>Assumptions!B26</f>
        <v>0</v>
      </c>
      <c r="E48" s="118"/>
      <c r="F48" s="159"/>
      <c r="G48" s="219"/>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04"/>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H54+1</f>
        <v>2017</v>
      </c>
      <c r="J54" s="171">
        <f t="shared" si="0"/>
        <v>2018</v>
      </c>
      <c r="K54" s="171">
        <f>J54+1</f>
        <v>2019</v>
      </c>
      <c r="L54" s="171">
        <f t="shared" si="0"/>
        <v>2020</v>
      </c>
      <c r="M54" s="171">
        <f t="shared" si="0"/>
        <v>2021</v>
      </c>
      <c r="N54" s="171">
        <f t="shared" si="0"/>
        <v>2022</v>
      </c>
      <c r="O54" s="171">
        <f t="shared" si="0"/>
        <v>2023</v>
      </c>
      <c r="P54" s="171">
        <f t="shared" si="0"/>
        <v>2024</v>
      </c>
      <c r="Q54" s="171">
        <f t="shared" si="0"/>
        <v>2025</v>
      </c>
      <c r="R54" s="171">
        <f t="shared" si="0"/>
        <v>2026</v>
      </c>
      <c r="S54" s="306">
        <f t="shared" si="0"/>
        <v>2027</v>
      </c>
      <c r="T54" s="306">
        <f t="shared" si="0"/>
        <v>2028</v>
      </c>
      <c r="U54" s="306">
        <f t="shared" si="0"/>
        <v>2029</v>
      </c>
      <c r="V54" s="306">
        <f t="shared" si="0"/>
        <v>2030</v>
      </c>
      <c r="W54" s="306">
        <f t="shared" si="0"/>
        <v>2031</v>
      </c>
      <c r="X54" s="306">
        <f t="shared" si="0"/>
        <v>2032</v>
      </c>
      <c r="Y54" s="306">
        <f t="shared" si="0"/>
        <v>2033</v>
      </c>
      <c r="Z54" s="306">
        <f t="shared" si="0"/>
        <v>2034</v>
      </c>
      <c r="AA54" s="306">
        <f t="shared" si="0"/>
        <v>2035</v>
      </c>
      <c r="AB54" s="306">
        <f t="shared" si="0"/>
        <v>2036</v>
      </c>
      <c r="AC54" s="306">
        <f t="shared" si="0"/>
        <v>2037</v>
      </c>
      <c r="AD54" s="306">
        <f t="shared" si="0"/>
        <v>2038</v>
      </c>
      <c r="AE54" s="306">
        <f t="shared" si="0"/>
        <v>2039</v>
      </c>
      <c r="AF54" s="306">
        <f t="shared" si="0"/>
        <v>2040</v>
      </c>
      <c r="AG54" s="306">
        <f t="shared" si="0"/>
        <v>2041</v>
      </c>
      <c r="AH54" s="306">
        <f t="shared" si="0"/>
        <v>2042</v>
      </c>
      <c r="AI54" s="306">
        <f t="shared" si="0"/>
        <v>2043</v>
      </c>
      <c r="AJ54" s="306">
        <f t="shared" si="0"/>
        <v>2044</v>
      </c>
      <c r="AK54" s="306">
        <f t="shared" si="0"/>
        <v>2045</v>
      </c>
      <c r="AL54" s="306">
        <f t="shared" si="0"/>
        <v>2046</v>
      </c>
      <c r="AM54" s="306">
        <f t="shared" si="0"/>
        <v>2047</v>
      </c>
      <c r="AN54" s="306">
        <f t="shared" si="0"/>
        <v>2048</v>
      </c>
      <c r="AO54" s="306">
        <f t="shared" si="0"/>
        <v>2049</v>
      </c>
      <c r="AP54" s="306">
        <f t="shared" si="0"/>
        <v>2050</v>
      </c>
      <c r="AQ54" s="306">
        <f t="shared" si="0"/>
        <v>2051</v>
      </c>
      <c r="AR54" s="306">
        <f t="shared" si="0"/>
        <v>2052</v>
      </c>
      <c r="AS54" s="306">
        <f t="shared" si="0"/>
        <v>2053</v>
      </c>
      <c r="AT54" s="306">
        <f t="shared" si="0"/>
        <v>2054</v>
      </c>
      <c r="AU54" s="306">
        <f t="shared" si="0"/>
        <v>2055</v>
      </c>
      <c r="AV54" s="306">
        <f t="shared" si="0"/>
        <v>2056</v>
      </c>
      <c r="AW54" s="306">
        <f t="shared" si="0"/>
        <v>2057</v>
      </c>
      <c r="AX54" s="306">
        <f t="shared" si="0"/>
        <v>2058</v>
      </c>
      <c r="AY54" s="306">
        <f t="shared" si="0"/>
        <v>2059</v>
      </c>
      <c r="AZ54" s="306">
        <f t="shared" si="0"/>
        <v>2060</v>
      </c>
      <c r="BA54" s="306">
        <f t="shared" si="0"/>
        <v>2061</v>
      </c>
      <c r="BB54" s="306">
        <f t="shared" si="0"/>
        <v>2062</v>
      </c>
      <c r="BC54" s="306">
        <f t="shared" si="0"/>
        <v>2063</v>
      </c>
      <c r="BD54" s="306">
        <f t="shared" si="0"/>
        <v>2064</v>
      </c>
      <c r="BE54" s="306">
        <f t="shared" si="0"/>
        <v>2065</v>
      </c>
      <c r="BF54" s="306">
        <f t="shared" si="0"/>
        <v>2066</v>
      </c>
      <c r="BG54" s="306">
        <f t="shared" si="0"/>
        <v>2067</v>
      </c>
      <c r="BH54" s="306">
        <f t="shared" si="0"/>
        <v>2068</v>
      </c>
      <c r="BI54" s="69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21665.498541486653</v>
      </c>
      <c r="H55" s="174">
        <f>IF(AND(H$54&gt;=$D$31,H$54&lt;=($D$31+$D$32)),-PMT(0.05,$D$32,$D$30)*'Fuel Price Worksheet'!H23,0)</f>
        <v>21157.713419420561</v>
      </c>
      <c r="I55" s="174">
        <f>IF(AND(I$54&gt;=$D$31,I$54&lt;=($D$31+$D$32)),-PMT(0.05,$D$32,$D$30)*'Fuel Price Worksheet'!I23,0)</f>
        <v>20661.82951115289</v>
      </c>
      <c r="J55" s="174">
        <f>IF(AND(J$54&gt;=$D$31,J$54&lt;=($D$31+$D$32)),-PMT(0.05,$D$32,$D$30)*'Fuel Price Worksheet'!J23,0)</f>
        <v>20177.567881985236</v>
      </c>
      <c r="K55" s="174">
        <f>IF(AND(K$54&gt;=$D$31,K$54&lt;=($D$31+$D$32)),-PMT(0.05,$D$32,$D$30)*'Fuel Price Worksheet'!K23,0)</f>
        <v>19704.656134751207</v>
      </c>
      <c r="L55" s="174">
        <f>IF(AND(L$54&gt;=$D$31,L$54&lt;=($D$31+$D$32)),-PMT(0.05,$D$32,$D$30)*'Fuel Price Worksheet'!L23,0)</f>
        <v>19242.828256592988</v>
      </c>
      <c r="M55" s="174">
        <f>IF(AND(M$54&gt;=$D$31,M$54&lt;=($D$31+$D$32)),-PMT(0.05,$D$32,$D$30)*'Fuel Price Worksheet'!M23,0)</f>
        <v>18791.824469329116</v>
      </c>
      <c r="N55" s="174">
        <f>IF(AND(N$54&gt;=$D$31,N$54&lt;=($D$31+$D$32)),-PMT(0.05,$D$32,$D$30)*'Fuel Price Worksheet'!N23,0)</f>
        <v>18351.391083329261</v>
      </c>
      <c r="O55" s="174">
        <f>IF(AND(O$54&gt;=$D$31,O$54&lt;=($D$31+$D$32)),-PMT(0.05,$D$32,$D$30)*'Fuel Price Worksheet'!O23,0)</f>
        <v>17921.280354813785</v>
      </c>
      <c r="P55" s="174">
        <f>IF(AND(P$54&gt;=$D$31,P$54&lt;=($D$31+$D$32)),-PMT(0.05,$D$32,$D$30)*'Fuel Price Worksheet'!P23,0)</f>
        <v>17501.250346497913</v>
      </c>
      <c r="Q55" s="174">
        <f>IF(AND(Q$54&gt;=$D$31,Q$54&lt;=($D$31+$D$32)),-PMT(0.05,$D$32,$D$30)*'Fuel Price Worksheet'!Q23,0)</f>
        <v>17091.064791501951</v>
      </c>
      <c r="R55" s="174">
        <f>IF(AND(R$54&gt;=$D$31,R$54&lt;=($D$31+$D$32)),-PMT(0.05,$D$32,$D$30)*'Fuel Price Worksheet'!R23,0)</f>
        <v>16690.492960451222</v>
      </c>
      <c r="S55" s="174">
        <f>IF(AND(S$54&gt;=$D$31,S$54&lt;=($D$31+$D$32)),-PMT(0.05,$D$32,$D$30)*'Fuel Price Worksheet'!S23,0)</f>
        <v>16299.309531690755</v>
      </c>
      <c r="T55" s="174">
        <f>IF(AND(T$54&gt;=$D$31,T$54&lt;=($D$31+$D$32)),-PMT(0.05,$D$32,$D$30)*'Fuel Price Worksheet'!T23,0)</f>
        <v>15917.294464541876</v>
      </c>
      <c r="U55" s="174">
        <f>IF(AND(U$54&gt;=$D$31,U$54&lt;=($D$31+$D$32)),-PMT(0.05,$D$32,$D$30)*'Fuel Price Worksheet'!U23,0)</f>
        <v>15544.232875529304</v>
      </c>
      <c r="V55" s="174">
        <f>IF(AND(V$54&gt;=$D$31,V$54&lt;=($D$31+$D$32)),-PMT(0.05,$D$32,$D$30)*'Fuel Price Worksheet'!V23,0)</f>
        <v>15179.914917509228</v>
      </c>
      <c r="W55" s="174">
        <f>IF(AND(W$54&gt;=$D$31,W$54&lt;=($D$31+$D$32)),-PMT(0.05,$D$32,$D$30)*'Fuel Price Worksheet'!W23,0)</f>
        <v>14824.135661630256</v>
      </c>
      <c r="X55" s="174">
        <f>IF(AND(X$54&gt;=$D$31,X$54&lt;=($D$31+$D$32)),-PMT(0.05,$D$32,$D$30)*'Fuel Price Worksheet'!X23,0)</f>
        <v>14476.694982060957</v>
      </c>
      <c r="Y55" s="174">
        <f>IF(AND(Y$54&gt;=$D$31,Y$54&lt;=($D$31+$D$32)),-PMT(0.05,$D$32,$D$30)*'Fuel Price Worksheet'!Y23,0)</f>
        <v>14137.397443419073</v>
      </c>
      <c r="Z55" s="174">
        <f>IF(AND(Z$54&gt;=$D$31,Z$54&lt;=($D$31+$D$32)),-PMT(0.05,$D$32,$D$30)*'Fuel Price Worksheet'!Z23,0)</f>
        <v>13806.052190839113</v>
      </c>
      <c r="AA55" s="174">
        <f>IF(AND(AA$54&gt;=$D$31,AA$54&lt;=($D$31+$D$32)),-PMT(0.05,$D$32,$D$30)*'Fuel Price Worksheet'!AA23,0)</f>
        <v>13482.472842616506</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265038.19963364006</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BH57" si="1">F78-F69</f>
        <v>0</v>
      </c>
      <c r="G57" s="178">
        <f t="shared" si="1"/>
        <v>295.40098429781619</v>
      </c>
      <c r="H57" s="178">
        <f t="shared" si="1"/>
        <v>755.0419677954942</v>
      </c>
      <c r="I57" s="178">
        <f t="shared" si="1"/>
        <v>896.11726359311206</v>
      </c>
      <c r="J57" s="178">
        <f t="shared" si="1"/>
        <v>879.58947286372359</v>
      </c>
      <c r="K57" s="178">
        <f t="shared" si="1"/>
        <v>907.51854730912692</v>
      </c>
      <c r="L57" s="178">
        <f t="shared" si="1"/>
        <v>935.06436367575725</v>
      </c>
      <c r="M57" s="178">
        <f t="shared" si="1"/>
        <v>981.8048999524367</v>
      </c>
      <c r="N57" s="178">
        <f t="shared" si="1"/>
        <v>1032.9760804512907</v>
      </c>
      <c r="O57" s="178">
        <f t="shared" si="1"/>
        <v>1085.9499031234527</v>
      </c>
      <c r="P57" s="178">
        <f t="shared" si="1"/>
        <v>1139.5796949531823</v>
      </c>
      <c r="Q57" s="178">
        <f t="shared" si="1"/>
        <v>1192.4997083826497</v>
      </c>
      <c r="R57" s="178">
        <f t="shared" si="1"/>
        <v>1249.7460648066603</v>
      </c>
      <c r="S57" s="178">
        <f t="shared" si="1"/>
        <v>1307.9718959916681</v>
      </c>
      <c r="T57" s="178">
        <f t="shared" si="1"/>
        <v>1367.1937102555435</v>
      </c>
      <c r="U57" s="178">
        <f t="shared" si="1"/>
        <v>1427.427998307875</v>
      </c>
      <c r="V57" s="178">
        <f t="shared" si="1"/>
        <v>1488.6913515399738</v>
      </c>
      <c r="W57" s="178">
        <f t="shared" si="1"/>
        <v>1551.0012348475911</v>
      </c>
      <c r="X57" s="178">
        <f t="shared" si="1"/>
        <v>1614.3748420780794</v>
      </c>
      <c r="Y57" s="178">
        <f t="shared" si="1"/>
        <v>1678.6951947885227</v>
      </c>
      <c r="Z57" s="178">
        <f t="shared" si="1"/>
        <v>1740.0318340369668</v>
      </c>
      <c r="AA57" s="178">
        <f t="shared" si="1"/>
        <v>1805.0858384648045</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17101.17603241808</v>
      </c>
      <c r="BJ57" s="121"/>
      <c r="BK57" s="121"/>
      <c r="BL57" s="121"/>
      <c r="BM57" s="121"/>
      <c r="BN57" s="121"/>
      <c r="BO57" s="121"/>
    </row>
    <row r="58" spans="2:67" ht="12.75">
      <c r="C58" s="177"/>
      <c r="D58" s="136" t="s">
        <v>626</v>
      </c>
      <c r="E58" s="121" t="s">
        <v>264</v>
      </c>
      <c r="F58" s="178">
        <f>F96-F88</f>
        <v>0</v>
      </c>
      <c r="G58" s="376">
        <f>G89-G96</f>
        <v>0</v>
      </c>
      <c r="H58" s="376">
        <f t="shared" ref="H58:BE58" si="2">H89-H96</f>
        <v>0</v>
      </c>
      <c r="I58" s="376">
        <f t="shared" si="2"/>
        <v>0</v>
      </c>
      <c r="J58" s="376">
        <f t="shared" si="2"/>
        <v>0</v>
      </c>
      <c r="K58" s="376">
        <f t="shared" si="2"/>
        <v>0</v>
      </c>
      <c r="L58" s="376">
        <f t="shared" si="2"/>
        <v>0</v>
      </c>
      <c r="M58" s="376">
        <f t="shared" si="2"/>
        <v>0</v>
      </c>
      <c r="N58" s="376">
        <f t="shared" si="2"/>
        <v>0</v>
      </c>
      <c r="O58" s="376">
        <f t="shared" si="2"/>
        <v>0</v>
      </c>
      <c r="P58" s="376">
        <f t="shared" si="2"/>
        <v>0</v>
      </c>
      <c r="Q58" s="376">
        <f t="shared" si="2"/>
        <v>0</v>
      </c>
      <c r="R58" s="376">
        <f t="shared" si="2"/>
        <v>0</v>
      </c>
      <c r="S58" s="376">
        <f t="shared" si="2"/>
        <v>0</v>
      </c>
      <c r="T58" s="376">
        <f t="shared" si="2"/>
        <v>0</v>
      </c>
      <c r="U58" s="376">
        <f t="shared" si="2"/>
        <v>0</v>
      </c>
      <c r="V58" s="376">
        <f t="shared" si="2"/>
        <v>0</v>
      </c>
      <c r="W58" s="376">
        <f t="shared" si="2"/>
        <v>0</v>
      </c>
      <c r="X58" s="376">
        <f t="shared" si="2"/>
        <v>0</v>
      </c>
      <c r="Y58" s="376">
        <f t="shared" si="2"/>
        <v>0</v>
      </c>
      <c r="Z58" s="376">
        <f t="shared" si="2"/>
        <v>0</v>
      </c>
      <c r="AA58" s="376">
        <f t="shared" si="2"/>
        <v>0</v>
      </c>
      <c r="AB58" s="376">
        <f t="shared" si="2"/>
        <v>0</v>
      </c>
      <c r="AC58" s="376">
        <f t="shared" si="2"/>
        <v>0</v>
      </c>
      <c r="AD58" s="376">
        <f t="shared" si="2"/>
        <v>0</v>
      </c>
      <c r="AE58" s="376">
        <f t="shared" si="2"/>
        <v>0</v>
      </c>
      <c r="AF58" s="376">
        <f t="shared" si="2"/>
        <v>0</v>
      </c>
      <c r="AG58" s="376">
        <f t="shared" si="2"/>
        <v>0</v>
      </c>
      <c r="AH58" s="376">
        <f t="shared" si="2"/>
        <v>0</v>
      </c>
      <c r="AI58" s="376">
        <f t="shared" si="2"/>
        <v>0</v>
      </c>
      <c r="AJ58" s="376">
        <f t="shared" si="2"/>
        <v>0</v>
      </c>
      <c r="AK58" s="376">
        <f t="shared" si="2"/>
        <v>0</v>
      </c>
      <c r="AL58" s="376">
        <f t="shared" si="2"/>
        <v>0</v>
      </c>
      <c r="AM58" s="376">
        <f t="shared" si="2"/>
        <v>0</v>
      </c>
      <c r="AN58" s="376">
        <f t="shared" si="2"/>
        <v>0</v>
      </c>
      <c r="AO58" s="376">
        <f t="shared" si="2"/>
        <v>0</v>
      </c>
      <c r="AP58" s="376">
        <f t="shared" si="2"/>
        <v>0</v>
      </c>
      <c r="AQ58" s="376">
        <f t="shared" si="2"/>
        <v>0</v>
      </c>
      <c r="AR58" s="376">
        <f t="shared" si="2"/>
        <v>0</v>
      </c>
      <c r="AS58" s="376">
        <f t="shared" si="2"/>
        <v>0</v>
      </c>
      <c r="AT58" s="376">
        <f t="shared" si="2"/>
        <v>0</v>
      </c>
      <c r="AU58" s="376">
        <f t="shared" si="2"/>
        <v>0</v>
      </c>
      <c r="AV58" s="376">
        <f t="shared" si="2"/>
        <v>0</v>
      </c>
      <c r="AW58" s="376">
        <f t="shared" si="2"/>
        <v>0</v>
      </c>
      <c r="AX58" s="376">
        <f t="shared" si="2"/>
        <v>0</v>
      </c>
      <c r="AY58" s="376">
        <f t="shared" si="2"/>
        <v>0</v>
      </c>
      <c r="AZ58" s="376">
        <f t="shared" si="2"/>
        <v>0</v>
      </c>
      <c r="BA58" s="376">
        <f t="shared" si="2"/>
        <v>0</v>
      </c>
      <c r="BB58" s="376">
        <f t="shared" si="2"/>
        <v>0</v>
      </c>
      <c r="BC58" s="376">
        <f t="shared" si="2"/>
        <v>0</v>
      </c>
      <c r="BD58" s="376">
        <f t="shared" si="2"/>
        <v>0</v>
      </c>
      <c r="BE58" s="376">
        <f t="shared" si="2"/>
        <v>0</v>
      </c>
      <c r="BF58" s="178">
        <f>BF96-BF88</f>
        <v>0</v>
      </c>
      <c r="BG58" s="178">
        <f>BG96-BG88</f>
        <v>0</v>
      </c>
      <c r="BH58" s="178">
        <f>BH96-BH88</f>
        <v>0</v>
      </c>
      <c r="BI58" s="175">
        <f>NPV($D$49,F58:BH58)</f>
        <v>0</v>
      </c>
      <c r="BJ58" s="121"/>
      <c r="BK58" s="121"/>
      <c r="BL58" s="121"/>
      <c r="BM58" s="121"/>
      <c r="BN58" s="121"/>
      <c r="BO58" s="121"/>
    </row>
    <row r="59" spans="2:67" ht="12.75">
      <c r="C59" s="177"/>
      <c r="D59" s="179" t="s">
        <v>627</v>
      </c>
      <c r="E59" s="180" t="s">
        <v>264</v>
      </c>
      <c r="F59" s="178">
        <f t="shared" ref="F59:BH59" si="3">F57+F58</f>
        <v>0</v>
      </c>
      <c r="G59" s="178">
        <f t="shared" si="3"/>
        <v>295.40098429781619</v>
      </c>
      <c r="H59" s="178">
        <f t="shared" si="3"/>
        <v>755.0419677954942</v>
      </c>
      <c r="I59" s="178">
        <f t="shared" si="3"/>
        <v>896.11726359311206</v>
      </c>
      <c r="J59" s="178">
        <f t="shared" si="3"/>
        <v>879.58947286372359</v>
      </c>
      <c r="K59" s="178">
        <f t="shared" si="3"/>
        <v>907.51854730912692</v>
      </c>
      <c r="L59" s="178">
        <f t="shared" si="3"/>
        <v>935.06436367575725</v>
      </c>
      <c r="M59" s="178">
        <f t="shared" si="3"/>
        <v>981.8048999524367</v>
      </c>
      <c r="N59" s="178">
        <f t="shared" si="3"/>
        <v>1032.9760804512907</v>
      </c>
      <c r="O59" s="178">
        <f t="shared" si="3"/>
        <v>1085.9499031234527</v>
      </c>
      <c r="P59" s="178">
        <f t="shared" si="3"/>
        <v>1139.5796949531823</v>
      </c>
      <c r="Q59" s="178">
        <f t="shared" si="3"/>
        <v>1192.4997083826497</v>
      </c>
      <c r="R59" s="178">
        <f t="shared" si="3"/>
        <v>1249.7460648066603</v>
      </c>
      <c r="S59" s="178">
        <f t="shared" si="3"/>
        <v>1307.9718959916681</v>
      </c>
      <c r="T59" s="178">
        <f t="shared" si="3"/>
        <v>1367.1937102555435</v>
      </c>
      <c r="U59" s="178">
        <f t="shared" si="3"/>
        <v>1427.427998307875</v>
      </c>
      <c r="V59" s="178">
        <f t="shared" si="3"/>
        <v>1488.6913515399738</v>
      </c>
      <c r="W59" s="178">
        <f t="shared" si="3"/>
        <v>1551.0012348475911</v>
      </c>
      <c r="X59" s="178">
        <f t="shared" si="3"/>
        <v>1614.3748420780794</v>
      </c>
      <c r="Y59" s="178">
        <f t="shared" si="3"/>
        <v>1678.6951947885227</v>
      </c>
      <c r="Z59" s="178">
        <f t="shared" si="3"/>
        <v>1740.0318340369668</v>
      </c>
      <c r="AA59" s="178">
        <f t="shared" si="3"/>
        <v>1805.0858384648045</v>
      </c>
      <c r="AB59" s="178">
        <f t="shared" si="3"/>
        <v>0</v>
      </c>
      <c r="AC59" s="178">
        <f t="shared" si="3"/>
        <v>0</v>
      </c>
      <c r="AD59" s="178">
        <f t="shared" si="3"/>
        <v>0</v>
      </c>
      <c r="AE59" s="178">
        <f t="shared" si="3"/>
        <v>0</v>
      </c>
      <c r="AF59" s="178">
        <f t="shared" si="3"/>
        <v>0</v>
      </c>
      <c r="AG59" s="178">
        <f t="shared" si="3"/>
        <v>0</v>
      </c>
      <c r="AH59" s="178">
        <f t="shared" si="3"/>
        <v>0</v>
      </c>
      <c r="AI59" s="178">
        <f t="shared" si="3"/>
        <v>0</v>
      </c>
      <c r="AJ59" s="178">
        <f t="shared" si="3"/>
        <v>0</v>
      </c>
      <c r="AK59" s="178">
        <f t="shared" si="3"/>
        <v>0</v>
      </c>
      <c r="AL59" s="178">
        <f t="shared" si="3"/>
        <v>0</v>
      </c>
      <c r="AM59" s="178">
        <f t="shared" si="3"/>
        <v>0</v>
      </c>
      <c r="AN59" s="178">
        <f t="shared" si="3"/>
        <v>0</v>
      </c>
      <c r="AO59" s="178">
        <f t="shared" si="3"/>
        <v>0</v>
      </c>
      <c r="AP59" s="178">
        <f t="shared" si="3"/>
        <v>0</v>
      </c>
      <c r="AQ59" s="178">
        <f t="shared" si="3"/>
        <v>0</v>
      </c>
      <c r="AR59" s="178">
        <f t="shared" si="3"/>
        <v>0</v>
      </c>
      <c r="AS59" s="178">
        <f t="shared" si="3"/>
        <v>0</v>
      </c>
      <c r="AT59" s="178">
        <f t="shared" si="3"/>
        <v>0</v>
      </c>
      <c r="AU59" s="178">
        <f t="shared" si="3"/>
        <v>0</v>
      </c>
      <c r="AV59" s="178">
        <f t="shared" si="3"/>
        <v>0</v>
      </c>
      <c r="AW59" s="178">
        <f t="shared" si="3"/>
        <v>0</v>
      </c>
      <c r="AX59" s="178">
        <f t="shared" si="3"/>
        <v>0</v>
      </c>
      <c r="AY59" s="178">
        <f t="shared" si="3"/>
        <v>0</v>
      </c>
      <c r="AZ59" s="178">
        <f t="shared" si="3"/>
        <v>0</v>
      </c>
      <c r="BA59" s="178">
        <f t="shared" si="3"/>
        <v>0</v>
      </c>
      <c r="BB59" s="178">
        <f t="shared" si="3"/>
        <v>0</v>
      </c>
      <c r="BC59" s="178">
        <f t="shared" si="3"/>
        <v>0</v>
      </c>
      <c r="BD59" s="178">
        <f t="shared" si="3"/>
        <v>0</v>
      </c>
      <c r="BE59" s="178">
        <f t="shared" si="3"/>
        <v>0</v>
      </c>
      <c r="BF59" s="178">
        <f t="shared" si="3"/>
        <v>0</v>
      </c>
      <c r="BG59" s="178">
        <f t="shared" si="3"/>
        <v>0</v>
      </c>
      <c r="BH59" s="178">
        <f t="shared" si="3"/>
        <v>0</v>
      </c>
      <c r="BI59" s="175">
        <f>NPV($D$49,F59:BH59)</f>
        <v>17101.17603241808</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4">F59-F55</f>
        <v>0</v>
      </c>
      <c r="G62" s="185">
        <f t="shared" si="4"/>
        <v>-21370.097557188838</v>
      </c>
      <c r="H62" s="185">
        <f t="shared" si="4"/>
        <v>-20402.671451625065</v>
      </c>
      <c r="I62" s="185">
        <f t="shared" si="4"/>
        <v>-19765.712247559779</v>
      </c>
      <c r="J62" s="185">
        <f t="shared" si="4"/>
        <v>-19297.978409121512</v>
      </c>
      <c r="K62" s="185">
        <f t="shared" si="4"/>
        <v>-18797.137587442081</v>
      </c>
      <c r="L62" s="185">
        <f t="shared" si="4"/>
        <v>-18307.763892917232</v>
      </c>
      <c r="M62" s="185">
        <f t="shared" si="4"/>
        <v>-17810.01956937668</v>
      </c>
      <c r="N62" s="185">
        <f t="shared" si="4"/>
        <v>-17318.41500287797</v>
      </c>
      <c r="O62" s="185">
        <f t="shared" si="4"/>
        <v>-16835.330451690334</v>
      </c>
      <c r="P62" s="185">
        <f t="shared" si="4"/>
        <v>-16361.670651544729</v>
      </c>
      <c r="Q62" s="185">
        <f t="shared" si="4"/>
        <v>-15898.565083119302</v>
      </c>
      <c r="R62" s="185">
        <f t="shared" si="4"/>
        <v>-15440.746895644561</v>
      </c>
      <c r="S62" s="696">
        <f t="shared" si="4"/>
        <v>-14991.337635699087</v>
      </c>
      <c r="T62" s="696">
        <f t="shared" si="4"/>
        <v>-14550.100754286332</v>
      </c>
      <c r="U62" s="696">
        <f t="shared" si="4"/>
        <v>-14116.804877221428</v>
      </c>
      <c r="V62" s="696">
        <f t="shared" si="4"/>
        <v>-13691.223565969254</v>
      </c>
      <c r="W62" s="696">
        <f t="shared" si="4"/>
        <v>-13273.134426782664</v>
      </c>
      <c r="X62" s="696">
        <f t="shared" si="4"/>
        <v>-12862.320139982878</v>
      </c>
      <c r="Y62" s="696">
        <f t="shared" si="4"/>
        <v>-12458.70224863055</v>
      </c>
      <c r="Z62" s="696">
        <f t="shared" si="4"/>
        <v>-12066.020356802146</v>
      </c>
      <c r="AA62" s="696">
        <f t="shared" si="4"/>
        <v>-11677.3870041517</v>
      </c>
      <c r="AB62" s="696">
        <f t="shared" si="4"/>
        <v>0</v>
      </c>
      <c r="AC62" s="696">
        <f t="shared" si="4"/>
        <v>0</v>
      </c>
      <c r="AD62" s="696">
        <f t="shared" si="4"/>
        <v>0</v>
      </c>
      <c r="AE62" s="696">
        <f t="shared" si="4"/>
        <v>0</v>
      </c>
      <c r="AF62" s="696">
        <f t="shared" si="4"/>
        <v>0</v>
      </c>
      <c r="AG62" s="696">
        <f t="shared" si="4"/>
        <v>0</v>
      </c>
      <c r="AH62" s="696">
        <f t="shared" si="4"/>
        <v>0</v>
      </c>
      <c r="AI62" s="696">
        <f t="shared" si="4"/>
        <v>0</v>
      </c>
      <c r="AJ62" s="696">
        <f t="shared" si="4"/>
        <v>0</v>
      </c>
      <c r="AK62" s="696">
        <f t="shared" si="4"/>
        <v>0</v>
      </c>
      <c r="AL62" s="696">
        <f t="shared" si="4"/>
        <v>0</v>
      </c>
      <c r="AM62" s="696">
        <f t="shared" si="4"/>
        <v>0</v>
      </c>
      <c r="AN62" s="696">
        <f t="shared" si="4"/>
        <v>0</v>
      </c>
      <c r="AO62" s="696">
        <f t="shared" si="4"/>
        <v>0</v>
      </c>
      <c r="AP62" s="696">
        <f t="shared" si="4"/>
        <v>0</v>
      </c>
      <c r="AQ62" s="696">
        <f t="shared" si="4"/>
        <v>0</v>
      </c>
      <c r="AR62" s="696">
        <f t="shared" si="4"/>
        <v>0</v>
      </c>
      <c r="AS62" s="696">
        <f t="shared" si="4"/>
        <v>0</v>
      </c>
      <c r="AT62" s="696">
        <f t="shared" si="4"/>
        <v>0</v>
      </c>
      <c r="AU62" s="696">
        <f t="shared" si="4"/>
        <v>0</v>
      </c>
      <c r="AV62" s="696">
        <f t="shared" si="4"/>
        <v>0</v>
      </c>
      <c r="AW62" s="696">
        <f t="shared" si="4"/>
        <v>0</v>
      </c>
      <c r="AX62" s="696">
        <f t="shared" si="4"/>
        <v>0</v>
      </c>
      <c r="AY62" s="696">
        <f t="shared" si="4"/>
        <v>0</v>
      </c>
      <c r="AZ62" s="696">
        <f t="shared" si="4"/>
        <v>0</v>
      </c>
      <c r="BA62" s="696">
        <f t="shared" si="4"/>
        <v>0</v>
      </c>
      <c r="BB62" s="696">
        <f t="shared" si="4"/>
        <v>0</v>
      </c>
      <c r="BC62" s="696">
        <f t="shared" si="4"/>
        <v>0</v>
      </c>
      <c r="BD62" s="696">
        <f t="shared" si="4"/>
        <v>0</v>
      </c>
      <c r="BE62" s="696">
        <f t="shared" si="4"/>
        <v>0</v>
      </c>
      <c r="BF62" s="696">
        <f t="shared" si="4"/>
        <v>0</v>
      </c>
      <c r="BG62" s="696">
        <f t="shared" si="4"/>
        <v>0</v>
      </c>
      <c r="BH62" s="696">
        <f t="shared" si="4"/>
        <v>0</v>
      </c>
      <c r="BI62" s="175">
        <f>NPV($D$49,F62:BH62)</f>
        <v>-247937.02360122206</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5">F65+1</f>
        <v>2015</v>
      </c>
      <c r="H65" s="171">
        <f t="shared" si="5"/>
        <v>2016</v>
      </c>
      <c r="I65" s="171">
        <f>H65+1</f>
        <v>2017</v>
      </c>
      <c r="J65" s="171">
        <f t="shared" si="5"/>
        <v>2018</v>
      </c>
      <c r="K65" s="171">
        <f>J65+1</f>
        <v>2019</v>
      </c>
      <c r="L65" s="171">
        <f t="shared" si="5"/>
        <v>2020</v>
      </c>
      <c r="M65" s="171">
        <f t="shared" si="5"/>
        <v>2021</v>
      </c>
      <c r="N65" s="171">
        <f t="shared" si="5"/>
        <v>2022</v>
      </c>
      <c r="O65" s="171">
        <f t="shared" si="5"/>
        <v>2023</v>
      </c>
      <c r="P65" s="171">
        <f t="shared" si="5"/>
        <v>2024</v>
      </c>
      <c r="Q65" s="171">
        <f t="shared" si="5"/>
        <v>2025</v>
      </c>
      <c r="R65" s="171">
        <f t="shared" si="5"/>
        <v>2026</v>
      </c>
      <c r="S65" s="306">
        <f t="shared" si="5"/>
        <v>2027</v>
      </c>
      <c r="T65" s="306">
        <f t="shared" si="5"/>
        <v>2028</v>
      </c>
      <c r="U65" s="306">
        <f t="shared" si="5"/>
        <v>2029</v>
      </c>
      <c r="V65" s="306">
        <f t="shared" si="5"/>
        <v>2030</v>
      </c>
      <c r="W65" s="306">
        <f t="shared" si="5"/>
        <v>2031</v>
      </c>
      <c r="X65" s="306">
        <f t="shared" si="5"/>
        <v>2032</v>
      </c>
      <c r="Y65" s="306">
        <f t="shared" si="5"/>
        <v>2033</v>
      </c>
      <c r="Z65" s="306">
        <f t="shared" si="5"/>
        <v>2034</v>
      </c>
      <c r="AA65" s="306">
        <f t="shared" si="5"/>
        <v>2035</v>
      </c>
      <c r="AB65" s="306">
        <f t="shared" si="5"/>
        <v>2036</v>
      </c>
      <c r="AC65" s="306">
        <f t="shared" si="5"/>
        <v>2037</v>
      </c>
      <c r="AD65" s="306">
        <f t="shared" si="5"/>
        <v>2038</v>
      </c>
      <c r="AE65" s="306">
        <f t="shared" si="5"/>
        <v>2039</v>
      </c>
      <c r="AF65" s="306">
        <f t="shared" si="5"/>
        <v>2040</v>
      </c>
      <c r="AG65" s="306">
        <f t="shared" si="5"/>
        <v>2041</v>
      </c>
      <c r="AH65" s="306">
        <f t="shared" si="5"/>
        <v>2042</v>
      </c>
      <c r="AI65" s="306">
        <f t="shared" si="5"/>
        <v>2043</v>
      </c>
      <c r="AJ65" s="306">
        <f t="shared" si="5"/>
        <v>2044</v>
      </c>
      <c r="AK65" s="306">
        <f t="shared" si="5"/>
        <v>2045</v>
      </c>
      <c r="AL65" s="306">
        <f t="shared" si="5"/>
        <v>2046</v>
      </c>
      <c r="AM65" s="306">
        <f t="shared" si="5"/>
        <v>2047</v>
      </c>
      <c r="AN65" s="306">
        <f t="shared" si="5"/>
        <v>2048</v>
      </c>
      <c r="AO65" s="306">
        <f t="shared" si="5"/>
        <v>2049</v>
      </c>
      <c r="AP65" s="306">
        <f t="shared" si="5"/>
        <v>2050</v>
      </c>
      <c r="AQ65" s="306">
        <f t="shared" si="5"/>
        <v>2051</v>
      </c>
      <c r="AR65" s="306">
        <f t="shared" si="5"/>
        <v>2052</v>
      </c>
      <c r="AS65" s="306">
        <f t="shared" si="5"/>
        <v>2053</v>
      </c>
      <c r="AT65" s="306">
        <f t="shared" si="5"/>
        <v>2054</v>
      </c>
      <c r="AU65" s="306">
        <f t="shared" si="5"/>
        <v>2055</v>
      </c>
      <c r="AV65" s="306">
        <f t="shared" si="5"/>
        <v>2056</v>
      </c>
      <c r="AW65" s="306">
        <f t="shared" si="5"/>
        <v>2057</v>
      </c>
      <c r="AX65" s="306">
        <f t="shared" si="5"/>
        <v>2058</v>
      </c>
      <c r="AY65" s="306">
        <f t="shared" si="5"/>
        <v>2059</v>
      </c>
      <c r="AZ65" s="306">
        <f t="shared" si="5"/>
        <v>2060</v>
      </c>
      <c r="BA65" s="306">
        <f t="shared" si="5"/>
        <v>2061</v>
      </c>
      <c r="BB65" s="306">
        <f t="shared" si="5"/>
        <v>2062</v>
      </c>
      <c r="BC65" s="306">
        <f t="shared" si="5"/>
        <v>2063</v>
      </c>
      <c r="BD65" s="306">
        <f t="shared" si="5"/>
        <v>2064</v>
      </c>
      <c r="BE65" s="306">
        <f t="shared" si="5"/>
        <v>2065</v>
      </c>
      <c r="BF65" s="306">
        <f t="shared" si="5"/>
        <v>2066</v>
      </c>
      <c r="BG65" s="306">
        <f t="shared" si="5"/>
        <v>2067</v>
      </c>
      <c r="BH65" s="306">
        <f t="shared" si="5"/>
        <v>2068</v>
      </c>
      <c r="BI65" s="695" t="s">
        <v>4</v>
      </c>
      <c r="BJ65" s="121"/>
      <c r="BK65" s="121"/>
      <c r="BL65" s="121"/>
      <c r="BM65" s="121"/>
      <c r="BN65" s="121"/>
      <c r="BO65" s="121"/>
    </row>
    <row r="66" spans="2:67" ht="12.75">
      <c r="C66" s="2005" t="s">
        <v>284</v>
      </c>
      <c r="D66" s="2006"/>
      <c r="E66" s="200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IF(AND(F54&gt;=$D$31,F54&lt;=($D$31+$D$32)),$P$20,0)</f>
        <v>0</v>
      </c>
      <c r="G67" s="189">
        <f>IF(AND(G54&gt;=$D$31,G54&lt;=($D$31+$D$32)),$D$33,0)</f>
        <v>11269.5</v>
      </c>
      <c r="H67" s="189">
        <f>IF(AND(H54&gt;=$D$31,H54&lt;=($D$31+$D$32)),G67*0.992,0)</f>
        <v>11179.343999999999</v>
      </c>
      <c r="I67" s="189">
        <f t="shared" ref="I67:BH67" si="6">IF(AND(I54&gt;=$D$31,I54&lt;=($D$31+$D$32)),H67*0.992,0)</f>
        <v>11089.909248</v>
      </c>
      <c r="J67" s="189">
        <f t="shared" si="6"/>
        <v>11001.189974016001</v>
      </c>
      <c r="K67" s="189">
        <f t="shared" si="6"/>
        <v>10913.180454223873</v>
      </c>
      <c r="L67" s="189">
        <f t="shared" si="6"/>
        <v>10825.875010590082</v>
      </c>
      <c r="M67" s="189">
        <f t="shared" si="6"/>
        <v>10739.268010505361</v>
      </c>
      <c r="N67" s="189">
        <f t="shared" si="6"/>
        <v>10653.353866421317</v>
      </c>
      <c r="O67" s="189">
        <f t="shared" si="6"/>
        <v>10568.127035489946</v>
      </c>
      <c r="P67" s="189">
        <f t="shared" si="6"/>
        <v>10483.582019206027</v>
      </c>
      <c r="Q67" s="189">
        <f t="shared" si="6"/>
        <v>10399.713363052379</v>
      </c>
      <c r="R67" s="189">
        <f t="shared" si="6"/>
        <v>10316.51565614796</v>
      </c>
      <c r="S67" s="189">
        <f t="shared" si="6"/>
        <v>10233.983530898777</v>
      </c>
      <c r="T67" s="189">
        <f t="shared" si="6"/>
        <v>10152.111662651587</v>
      </c>
      <c r="U67" s="189">
        <f t="shared" si="6"/>
        <v>10070.894769350374</v>
      </c>
      <c r="V67" s="189">
        <f t="shared" si="6"/>
        <v>9990.3276111955711</v>
      </c>
      <c r="W67" s="189">
        <f t="shared" si="6"/>
        <v>9910.4049903060059</v>
      </c>
      <c r="X67" s="189">
        <f t="shared" si="6"/>
        <v>9831.1217503835578</v>
      </c>
      <c r="Y67" s="189">
        <f t="shared" si="6"/>
        <v>9752.4727763804894</v>
      </c>
      <c r="Z67" s="189">
        <f t="shared" si="6"/>
        <v>9674.4529941694454</v>
      </c>
      <c r="AA67" s="189">
        <f t="shared" si="6"/>
        <v>9597.0573702160891</v>
      </c>
      <c r="AB67" s="189">
        <f t="shared" si="6"/>
        <v>0</v>
      </c>
      <c r="AC67" s="189">
        <f t="shared" si="6"/>
        <v>0</v>
      </c>
      <c r="AD67" s="189">
        <f t="shared" si="6"/>
        <v>0</v>
      </c>
      <c r="AE67" s="189">
        <f t="shared" si="6"/>
        <v>0</v>
      </c>
      <c r="AF67" s="189">
        <f t="shared" si="6"/>
        <v>0</v>
      </c>
      <c r="AG67" s="189">
        <f t="shared" si="6"/>
        <v>0</v>
      </c>
      <c r="AH67" s="189">
        <f t="shared" si="6"/>
        <v>0</v>
      </c>
      <c r="AI67" s="189">
        <f t="shared" si="6"/>
        <v>0</v>
      </c>
      <c r="AJ67" s="189">
        <f t="shared" si="6"/>
        <v>0</v>
      </c>
      <c r="AK67" s="189">
        <f t="shared" si="6"/>
        <v>0</v>
      </c>
      <c r="AL67" s="189">
        <f t="shared" si="6"/>
        <v>0</v>
      </c>
      <c r="AM67" s="189">
        <f t="shared" si="6"/>
        <v>0</v>
      </c>
      <c r="AN67" s="189">
        <f t="shared" si="6"/>
        <v>0</v>
      </c>
      <c r="AO67" s="189">
        <f t="shared" si="6"/>
        <v>0</v>
      </c>
      <c r="AP67" s="189">
        <f t="shared" si="6"/>
        <v>0</v>
      </c>
      <c r="AQ67" s="189">
        <f t="shared" si="6"/>
        <v>0</v>
      </c>
      <c r="AR67" s="189">
        <f t="shared" si="6"/>
        <v>0</v>
      </c>
      <c r="AS67" s="189">
        <f t="shared" si="6"/>
        <v>0</v>
      </c>
      <c r="AT67" s="189">
        <f t="shared" si="6"/>
        <v>0</v>
      </c>
      <c r="AU67" s="189">
        <f t="shared" si="6"/>
        <v>0</v>
      </c>
      <c r="AV67" s="189">
        <f t="shared" si="6"/>
        <v>0</v>
      </c>
      <c r="AW67" s="189">
        <f t="shared" si="6"/>
        <v>0</v>
      </c>
      <c r="AX67" s="189">
        <f t="shared" si="6"/>
        <v>0</v>
      </c>
      <c r="AY67" s="189">
        <f t="shared" si="6"/>
        <v>0</v>
      </c>
      <c r="AZ67" s="189">
        <f t="shared" si="6"/>
        <v>0</v>
      </c>
      <c r="BA67" s="189">
        <f t="shared" si="6"/>
        <v>0</v>
      </c>
      <c r="BB67" s="189">
        <f t="shared" si="6"/>
        <v>0</v>
      </c>
      <c r="BC67" s="189">
        <f t="shared" si="6"/>
        <v>0</v>
      </c>
      <c r="BD67" s="189">
        <f t="shared" si="6"/>
        <v>0</v>
      </c>
      <c r="BE67" s="189">
        <f t="shared" si="6"/>
        <v>0</v>
      </c>
      <c r="BF67" s="189">
        <f t="shared" si="6"/>
        <v>0</v>
      </c>
      <c r="BG67" s="189">
        <f t="shared" si="6"/>
        <v>0</v>
      </c>
      <c r="BH67" s="189">
        <f t="shared" si="6"/>
        <v>0</v>
      </c>
      <c r="BI67" s="188"/>
      <c r="BJ67" s="121"/>
      <c r="BK67" s="121"/>
      <c r="BL67" s="121"/>
      <c r="BM67" s="121"/>
      <c r="BN67" s="121"/>
      <c r="BO67" s="121"/>
    </row>
    <row r="68" spans="2:67" ht="12.75">
      <c r="C68" s="172" t="s">
        <v>277</v>
      </c>
      <c r="D68" s="121" t="s">
        <v>1323</v>
      </c>
      <c r="E68" s="121" t="s">
        <v>264</v>
      </c>
      <c r="F68" s="176">
        <f>IF(AND(F54&gt;=$D$31,F54&lt;=($D$31+$D$32)),$K$34,0)</f>
        <v>0</v>
      </c>
      <c r="G68" s="176">
        <f>IF(AND(G54&gt;=$D$31,G54&lt;=($D$31+$D$32)),$K$34,0)</f>
        <v>2700</v>
      </c>
      <c r="H68" s="176">
        <f t="shared" ref="H68:BH68" si="7">IF(AND(H54&gt;=$D$31,H54&lt;=($D$31+$D$32)),$K$34,0)</f>
        <v>2700</v>
      </c>
      <c r="I68" s="176">
        <f t="shared" si="7"/>
        <v>2700</v>
      </c>
      <c r="J68" s="176">
        <f t="shared" si="7"/>
        <v>2700</v>
      </c>
      <c r="K68" s="176">
        <f t="shared" si="7"/>
        <v>2700</v>
      </c>
      <c r="L68" s="176">
        <f t="shared" si="7"/>
        <v>2700</v>
      </c>
      <c r="M68" s="176">
        <f t="shared" si="7"/>
        <v>2700</v>
      </c>
      <c r="N68" s="176">
        <f t="shared" si="7"/>
        <v>2700</v>
      </c>
      <c r="O68" s="176">
        <f t="shared" si="7"/>
        <v>2700</v>
      </c>
      <c r="P68" s="176">
        <f t="shared" si="7"/>
        <v>2700</v>
      </c>
      <c r="Q68" s="176">
        <f t="shared" si="7"/>
        <v>2700</v>
      </c>
      <c r="R68" s="176">
        <f t="shared" si="7"/>
        <v>2700</v>
      </c>
      <c r="S68" s="176">
        <f t="shared" si="7"/>
        <v>2700</v>
      </c>
      <c r="T68" s="176">
        <f t="shared" si="7"/>
        <v>2700</v>
      </c>
      <c r="U68" s="176">
        <f t="shared" si="7"/>
        <v>2700</v>
      </c>
      <c r="V68" s="176">
        <f t="shared" si="7"/>
        <v>2700</v>
      </c>
      <c r="W68" s="176">
        <f t="shared" si="7"/>
        <v>2700</v>
      </c>
      <c r="X68" s="176">
        <f t="shared" si="7"/>
        <v>2700</v>
      </c>
      <c r="Y68" s="176">
        <f t="shared" si="7"/>
        <v>2700</v>
      </c>
      <c r="Z68" s="176">
        <f t="shared" si="7"/>
        <v>2700</v>
      </c>
      <c r="AA68" s="176">
        <f t="shared" si="7"/>
        <v>2700</v>
      </c>
      <c r="AB68" s="176">
        <f t="shared" si="7"/>
        <v>0</v>
      </c>
      <c r="AC68" s="176">
        <f t="shared" si="7"/>
        <v>0</v>
      </c>
      <c r="AD68" s="176">
        <f t="shared" si="7"/>
        <v>0</v>
      </c>
      <c r="AE68" s="176">
        <f t="shared" si="7"/>
        <v>0</v>
      </c>
      <c r="AF68" s="176">
        <f t="shared" si="7"/>
        <v>0</v>
      </c>
      <c r="AG68" s="176">
        <f t="shared" si="7"/>
        <v>0</v>
      </c>
      <c r="AH68" s="176">
        <f t="shared" si="7"/>
        <v>0</v>
      </c>
      <c r="AI68" s="176">
        <f t="shared" si="7"/>
        <v>0</v>
      </c>
      <c r="AJ68" s="176">
        <f t="shared" si="7"/>
        <v>0</v>
      </c>
      <c r="AK68" s="176">
        <f t="shared" si="7"/>
        <v>0</v>
      </c>
      <c r="AL68" s="176">
        <f t="shared" si="7"/>
        <v>0</v>
      </c>
      <c r="AM68" s="176">
        <f t="shared" si="7"/>
        <v>0</v>
      </c>
      <c r="AN68" s="176">
        <f t="shared" si="7"/>
        <v>0</v>
      </c>
      <c r="AO68" s="176">
        <f t="shared" si="7"/>
        <v>0</v>
      </c>
      <c r="AP68" s="176">
        <f t="shared" si="7"/>
        <v>0</v>
      </c>
      <c r="AQ68" s="176">
        <f t="shared" si="7"/>
        <v>0</v>
      </c>
      <c r="AR68" s="176">
        <f t="shared" si="7"/>
        <v>0</v>
      </c>
      <c r="AS68" s="176">
        <f t="shared" si="7"/>
        <v>0</v>
      </c>
      <c r="AT68" s="176">
        <f t="shared" si="7"/>
        <v>0</v>
      </c>
      <c r="AU68" s="176">
        <f t="shared" si="7"/>
        <v>0</v>
      </c>
      <c r="AV68" s="176">
        <f t="shared" si="7"/>
        <v>0</v>
      </c>
      <c r="AW68" s="176">
        <f t="shared" si="7"/>
        <v>0</v>
      </c>
      <c r="AX68" s="176">
        <f t="shared" si="7"/>
        <v>0</v>
      </c>
      <c r="AY68" s="176">
        <f t="shared" si="7"/>
        <v>0</v>
      </c>
      <c r="AZ68" s="176">
        <f t="shared" si="7"/>
        <v>0</v>
      </c>
      <c r="BA68" s="176">
        <f t="shared" si="7"/>
        <v>0</v>
      </c>
      <c r="BB68" s="176">
        <f t="shared" si="7"/>
        <v>0</v>
      </c>
      <c r="BC68" s="176">
        <f t="shared" si="7"/>
        <v>0</v>
      </c>
      <c r="BD68" s="176">
        <f t="shared" si="7"/>
        <v>0</v>
      </c>
      <c r="BE68" s="176">
        <f t="shared" si="7"/>
        <v>0</v>
      </c>
      <c r="BF68" s="176">
        <f t="shared" si="7"/>
        <v>0</v>
      </c>
      <c r="BG68" s="176">
        <f t="shared" si="7"/>
        <v>0</v>
      </c>
      <c r="BH68" s="176">
        <f t="shared" si="7"/>
        <v>0</v>
      </c>
      <c r="BI68" s="175">
        <f>NPV($D$49,F68:BH68)</f>
        <v>40408.315697266335</v>
      </c>
      <c r="BJ68" s="121"/>
      <c r="BK68" s="121"/>
      <c r="BL68" s="121"/>
      <c r="BM68" s="121"/>
      <c r="BN68" s="121"/>
      <c r="BO68" s="121"/>
    </row>
    <row r="69" spans="2:67" s="192" customFormat="1" ht="12.75">
      <c r="B69" s="193"/>
      <c r="C69" s="177"/>
      <c r="D69" s="180" t="s">
        <v>371</v>
      </c>
      <c r="E69" s="180" t="s">
        <v>264</v>
      </c>
      <c r="F69" s="194">
        <f>F68</f>
        <v>0</v>
      </c>
      <c r="G69" s="194">
        <f>G68</f>
        <v>2700</v>
      </c>
      <c r="H69" s="194">
        <f t="shared" ref="H69:BH69" si="8">H68</f>
        <v>2700</v>
      </c>
      <c r="I69" s="194">
        <f t="shared" si="8"/>
        <v>2700</v>
      </c>
      <c r="J69" s="194">
        <f t="shared" si="8"/>
        <v>2700</v>
      </c>
      <c r="K69" s="194">
        <f t="shared" si="8"/>
        <v>2700</v>
      </c>
      <c r="L69" s="194">
        <f t="shared" si="8"/>
        <v>2700</v>
      </c>
      <c r="M69" s="194">
        <f t="shared" si="8"/>
        <v>2700</v>
      </c>
      <c r="N69" s="194">
        <f t="shared" si="8"/>
        <v>2700</v>
      </c>
      <c r="O69" s="194">
        <f t="shared" si="8"/>
        <v>2700</v>
      </c>
      <c r="P69" s="194">
        <f t="shared" si="8"/>
        <v>2700</v>
      </c>
      <c r="Q69" s="194">
        <f t="shared" si="8"/>
        <v>2700</v>
      </c>
      <c r="R69" s="194">
        <f t="shared" si="8"/>
        <v>2700</v>
      </c>
      <c r="S69" s="194">
        <f t="shared" si="8"/>
        <v>2700</v>
      </c>
      <c r="T69" s="194">
        <f t="shared" si="8"/>
        <v>2700</v>
      </c>
      <c r="U69" s="194">
        <f t="shared" si="8"/>
        <v>2700</v>
      </c>
      <c r="V69" s="194">
        <f t="shared" si="8"/>
        <v>2700</v>
      </c>
      <c r="W69" s="194">
        <f t="shared" si="8"/>
        <v>2700</v>
      </c>
      <c r="X69" s="194">
        <f t="shared" si="8"/>
        <v>2700</v>
      </c>
      <c r="Y69" s="194">
        <f t="shared" si="8"/>
        <v>2700</v>
      </c>
      <c r="Z69" s="194">
        <f t="shared" si="8"/>
        <v>2700</v>
      </c>
      <c r="AA69" s="194">
        <f t="shared" si="8"/>
        <v>2700</v>
      </c>
      <c r="AB69" s="194">
        <f t="shared" si="8"/>
        <v>0</v>
      </c>
      <c r="AC69" s="194">
        <f t="shared" si="8"/>
        <v>0</v>
      </c>
      <c r="AD69" s="194">
        <f t="shared" si="8"/>
        <v>0</v>
      </c>
      <c r="AE69" s="194">
        <f t="shared" si="8"/>
        <v>0</v>
      </c>
      <c r="AF69" s="194">
        <f t="shared" si="8"/>
        <v>0</v>
      </c>
      <c r="AG69" s="194">
        <f t="shared" si="8"/>
        <v>0</v>
      </c>
      <c r="AH69" s="194">
        <f t="shared" si="8"/>
        <v>0</v>
      </c>
      <c r="AI69" s="194">
        <f t="shared" si="8"/>
        <v>0</v>
      </c>
      <c r="AJ69" s="194">
        <f t="shared" si="8"/>
        <v>0</v>
      </c>
      <c r="AK69" s="194">
        <f t="shared" si="8"/>
        <v>0</v>
      </c>
      <c r="AL69" s="194">
        <f t="shared" si="8"/>
        <v>0</v>
      </c>
      <c r="AM69" s="194">
        <f t="shared" si="8"/>
        <v>0</v>
      </c>
      <c r="AN69" s="194">
        <f t="shared" si="8"/>
        <v>0</v>
      </c>
      <c r="AO69" s="194">
        <f t="shared" si="8"/>
        <v>0</v>
      </c>
      <c r="AP69" s="194">
        <f t="shared" si="8"/>
        <v>0</v>
      </c>
      <c r="AQ69" s="194">
        <f t="shared" si="8"/>
        <v>0</v>
      </c>
      <c r="AR69" s="194">
        <f t="shared" si="8"/>
        <v>0</v>
      </c>
      <c r="AS69" s="194">
        <f t="shared" si="8"/>
        <v>0</v>
      </c>
      <c r="AT69" s="194">
        <f t="shared" si="8"/>
        <v>0</v>
      </c>
      <c r="AU69" s="194">
        <f t="shared" si="8"/>
        <v>0</v>
      </c>
      <c r="AV69" s="194">
        <f t="shared" si="8"/>
        <v>0</v>
      </c>
      <c r="AW69" s="194">
        <f t="shared" si="8"/>
        <v>0</v>
      </c>
      <c r="AX69" s="194">
        <f t="shared" si="8"/>
        <v>0</v>
      </c>
      <c r="AY69" s="194">
        <f t="shared" si="8"/>
        <v>0</v>
      </c>
      <c r="AZ69" s="194">
        <f t="shared" si="8"/>
        <v>0</v>
      </c>
      <c r="BA69" s="194">
        <f t="shared" si="8"/>
        <v>0</v>
      </c>
      <c r="BB69" s="194">
        <f t="shared" si="8"/>
        <v>0</v>
      </c>
      <c r="BC69" s="194">
        <f t="shared" si="8"/>
        <v>0</v>
      </c>
      <c r="BD69" s="194">
        <f t="shared" si="8"/>
        <v>0</v>
      </c>
      <c r="BE69" s="194">
        <f t="shared" si="8"/>
        <v>0</v>
      </c>
      <c r="BF69" s="194">
        <f t="shared" si="8"/>
        <v>0</v>
      </c>
      <c r="BG69" s="194">
        <f t="shared" si="8"/>
        <v>0</v>
      </c>
      <c r="BH69" s="194">
        <f t="shared" si="8"/>
        <v>0</v>
      </c>
      <c r="BI69" s="175">
        <f>NPV($D$49,F69:BH69)</f>
        <v>40408.315697266335</v>
      </c>
      <c r="BJ69" s="180"/>
      <c r="BK69" s="180"/>
      <c r="BL69" s="180"/>
      <c r="BM69" s="180"/>
      <c r="BN69" s="180"/>
      <c r="BO69" s="180"/>
    </row>
    <row r="70" spans="2:67" s="121" customFormat="1" ht="12.75">
      <c r="B70" s="138"/>
      <c r="C70" s="177"/>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75"/>
    </row>
    <row r="71" spans="2:67" ht="12.75">
      <c r="C71" s="2005" t="s">
        <v>285</v>
      </c>
      <c r="D71" s="2006"/>
      <c r="E71" s="2006"/>
      <c r="F71" s="136"/>
      <c r="G71" s="136"/>
      <c r="H71" s="136"/>
      <c r="I71" s="136"/>
      <c r="J71" s="136"/>
      <c r="K71" s="136"/>
      <c r="L71" s="136"/>
      <c r="M71" s="136"/>
      <c r="N71" s="136"/>
      <c r="O71" s="136"/>
      <c r="P71" s="136"/>
      <c r="Q71" s="136"/>
      <c r="R71" s="136"/>
      <c r="BI71" s="188"/>
      <c r="BJ71" s="121"/>
      <c r="BK71" s="121"/>
      <c r="BL71" s="121"/>
      <c r="BM71" s="121"/>
      <c r="BN71" s="121"/>
      <c r="BO71" s="121"/>
    </row>
    <row r="72" spans="2:67" ht="12.75">
      <c r="C72" s="172"/>
      <c r="D72" s="173" t="s">
        <v>623</v>
      </c>
      <c r="E72" s="121" t="s">
        <v>266</v>
      </c>
      <c r="F72" s="189">
        <f t="shared" ref="F72:AK72" si="9">IF(AND(F54&gt;=$D$31,F54&lt;=($D$31+$D$31)),F67,0)</f>
        <v>0</v>
      </c>
      <c r="G72" s="189">
        <f t="shared" si="9"/>
        <v>11269.5</v>
      </c>
      <c r="H72" s="189">
        <f t="shared" si="9"/>
        <v>11179.343999999999</v>
      </c>
      <c r="I72" s="189">
        <f t="shared" si="9"/>
        <v>11089.909248</v>
      </c>
      <c r="J72" s="189">
        <f t="shared" si="9"/>
        <v>11001.189974016001</v>
      </c>
      <c r="K72" s="189">
        <f t="shared" si="9"/>
        <v>10913.180454223873</v>
      </c>
      <c r="L72" s="189">
        <f t="shared" si="9"/>
        <v>10825.875010590082</v>
      </c>
      <c r="M72" s="189">
        <f t="shared" si="9"/>
        <v>10739.268010505361</v>
      </c>
      <c r="N72" s="189">
        <f t="shared" si="9"/>
        <v>10653.353866421317</v>
      </c>
      <c r="O72" s="189">
        <f t="shared" si="9"/>
        <v>10568.127035489946</v>
      </c>
      <c r="P72" s="189">
        <f t="shared" si="9"/>
        <v>10483.582019206027</v>
      </c>
      <c r="Q72" s="189">
        <f t="shared" si="9"/>
        <v>10399.713363052379</v>
      </c>
      <c r="R72" s="189">
        <f t="shared" si="9"/>
        <v>10316.51565614796</v>
      </c>
      <c r="S72" s="189">
        <f t="shared" si="9"/>
        <v>10233.983530898777</v>
      </c>
      <c r="T72" s="189">
        <f t="shared" si="9"/>
        <v>10152.111662651587</v>
      </c>
      <c r="U72" s="189">
        <f t="shared" si="9"/>
        <v>10070.894769350374</v>
      </c>
      <c r="V72" s="189">
        <f t="shared" si="9"/>
        <v>9990.3276111955711</v>
      </c>
      <c r="W72" s="189">
        <f t="shared" si="9"/>
        <v>9910.4049903060059</v>
      </c>
      <c r="X72" s="189">
        <f t="shared" si="9"/>
        <v>9831.1217503835578</v>
      </c>
      <c r="Y72" s="189">
        <f t="shared" si="9"/>
        <v>9752.4727763804894</v>
      </c>
      <c r="Z72" s="189">
        <f t="shared" si="9"/>
        <v>9674.4529941694454</v>
      </c>
      <c r="AA72" s="189">
        <f t="shared" si="9"/>
        <v>9597.0573702160891</v>
      </c>
      <c r="AB72" s="189">
        <f t="shared" si="9"/>
        <v>0</v>
      </c>
      <c r="AC72" s="189">
        <f t="shared" si="9"/>
        <v>0</v>
      </c>
      <c r="AD72" s="189">
        <f t="shared" si="9"/>
        <v>0</v>
      </c>
      <c r="AE72" s="189">
        <f t="shared" si="9"/>
        <v>0</v>
      </c>
      <c r="AF72" s="189">
        <f t="shared" si="9"/>
        <v>0</v>
      </c>
      <c r="AG72" s="189">
        <f t="shared" si="9"/>
        <v>0</v>
      </c>
      <c r="AH72" s="189">
        <f t="shared" si="9"/>
        <v>0</v>
      </c>
      <c r="AI72" s="189">
        <f t="shared" si="9"/>
        <v>0</v>
      </c>
      <c r="AJ72" s="189">
        <f t="shared" si="9"/>
        <v>0</v>
      </c>
      <c r="AK72" s="189">
        <f t="shared" si="9"/>
        <v>0</v>
      </c>
      <c r="AL72" s="189">
        <f t="shared" ref="AL72:BH72" si="10">IF(AND(AL54&gt;=$D$31,AL54&lt;=($D$31+$D$31)),AL67,0)</f>
        <v>0</v>
      </c>
      <c r="AM72" s="189">
        <f t="shared" si="10"/>
        <v>0</v>
      </c>
      <c r="AN72" s="189">
        <f t="shared" si="10"/>
        <v>0</v>
      </c>
      <c r="AO72" s="189">
        <f t="shared" si="10"/>
        <v>0</v>
      </c>
      <c r="AP72" s="189">
        <f t="shared" si="10"/>
        <v>0</v>
      </c>
      <c r="AQ72" s="189">
        <f t="shared" si="10"/>
        <v>0</v>
      </c>
      <c r="AR72" s="189">
        <f t="shared" si="10"/>
        <v>0</v>
      </c>
      <c r="AS72" s="189">
        <f t="shared" si="10"/>
        <v>0</v>
      </c>
      <c r="AT72" s="189">
        <f t="shared" si="10"/>
        <v>0</v>
      </c>
      <c r="AU72" s="189">
        <f t="shared" si="10"/>
        <v>0</v>
      </c>
      <c r="AV72" s="189">
        <f t="shared" si="10"/>
        <v>0</v>
      </c>
      <c r="AW72" s="189">
        <f t="shared" si="10"/>
        <v>0</v>
      </c>
      <c r="AX72" s="189">
        <f t="shared" si="10"/>
        <v>0</v>
      </c>
      <c r="AY72" s="189">
        <f t="shared" si="10"/>
        <v>0</v>
      </c>
      <c r="AZ72" s="189">
        <f t="shared" si="10"/>
        <v>0</v>
      </c>
      <c r="BA72" s="189">
        <f t="shared" si="10"/>
        <v>0</v>
      </c>
      <c r="BB72" s="189">
        <f t="shared" si="10"/>
        <v>0</v>
      </c>
      <c r="BC72" s="189">
        <f t="shared" si="10"/>
        <v>0</v>
      </c>
      <c r="BD72" s="189">
        <f t="shared" si="10"/>
        <v>0</v>
      </c>
      <c r="BE72" s="189">
        <f t="shared" si="10"/>
        <v>0</v>
      </c>
      <c r="BF72" s="189">
        <f t="shared" si="10"/>
        <v>0</v>
      </c>
      <c r="BG72" s="189">
        <f t="shared" si="10"/>
        <v>0</v>
      </c>
      <c r="BH72" s="189">
        <f t="shared" si="10"/>
        <v>0</v>
      </c>
      <c r="BI72" s="188"/>
      <c r="BJ72" s="121"/>
      <c r="BK72" s="121"/>
      <c r="BL72" s="121"/>
      <c r="BM72" s="121"/>
      <c r="BN72" s="121"/>
      <c r="BO72" s="121"/>
    </row>
    <row r="73" spans="2:67" s="121" customFormat="1" ht="12.75">
      <c r="B73" s="138"/>
      <c r="C73" s="177"/>
      <c r="D73" s="121" t="str">
        <f>IF(C7="rural","Fuel Cost","Avoided Geneartion Cost")</f>
        <v>Fuel Cost</v>
      </c>
      <c r="E73" s="121" t="str">
        <f>IF(C7="Rural","$ per gallon","$ per kWh")</f>
        <v>$ per gallon</v>
      </c>
      <c r="F73" s="187"/>
      <c r="G73" s="187">
        <f>VLOOKUP($C$6,'Diesel Fuel Prices'!$D$7:$BN$183,-6+G53,0)</f>
        <v>2.6551872277966839</v>
      </c>
      <c r="H73" s="187">
        <f>VLOOKUP($C$6,'Diesel Fuel Prices'!$D$7:$BN$183,-6+H53,0)</f>
        <v>3.1224832058686216</v>
      </c>
      <c r="I73" s="187">
        <f>VLOOKUP($C$6,'Diesel Fuel Prices'!$D$7:$BN$183,-6+I53,0)</f>
        <v>3.2868240966699549</v>
      </c>
      <c r="J73" s="187">
        <f>VLOOKUP($C$6,'Diesel Fuel Prices'!$D$7:$BN$183,-6+J53,0)</f>
        <v>3.2988439943120245</v>
      </c>
      <c r="K73" s="187">
        <f>VLOOKUP($C$6,'Diesel Fuel Prices'!$D$7:$BN$183,-6+K53,0)</f>
        <v>3.3548353301647462</v>
      </c>
      <c r="L73" s="187">
        <f>VLOOKUP($C$6,'Diesel Fuel Prices'!$D$7:$BN$183,-6+L53,0)</f>
        <v>3.4111187308488184</v>
      </c>
      <c r="M73" s="187">
        <f>VLOOKUP($C$6,'Diesel Fuel Prices'!$D$7:$BN$183,-6+M53,0)</f>
        <v>3.4873851625443617</v>
      </c>
      <c r="N73" s="187">
        <f>VLOOKUP($C$6,'Diesel Fuel Prices'!$D$7:$BN$183,-6+N53,0)</f>
        <v>3.5691384112625424</v>
      </c>
      <c r="O73" s="187">
        <f>VLOOKUP($C$6,'Diesel Fuel Prices'!$D$7:$BN$183,-6+O53,0)</f>
        <v>3.6538119974574412</v>
      </c>
      <c r="P73" s="187">
        <f>VLOOKUP($C$6,'Diesel Fuel Prices'!$D$7:$BN$183,-6+P53,0)</f>
        <v>3.7402810266587672</v>
      </c>
      <c r="Q73" s="187">
        <f>VLOOKUP($C$6,'Diesel Fuel Prices'!$D$7:$BN$183,-6+Q53,0)</f>
        <v>3.8271557774647453</v>
      </c>
      <c r="R73" s="187">
        <f>VLOOKUP($C$6,'Diesel Fuel Prices'!$D$7:$BN$183,-6+R53,0)</f>
        <v>3.9197045120745102</v>
      </c>
      <c r="S73" s="187">
        <f>VLOOKUP($C$6,'Diesel Fuel Prices'!$D$7:$BN$183,-6+S53,0)</f>
        <v>4.0145168849374322</v>
      </c>
      <c r="T73" s="187">
        <f>VLOOKUP($C$6,'Diesel Fuel Prices'!$D$7:$BN$183,-6+T53,0)</f>
        <v>4.1116492906592335</v>
      </c>
      <c r="U73" s="187">
        <f>VLOOKUP($C$6,'Diesel Fuel Prices'!$D$7:$BN$183,-6+U53,0)</f>
        <v>4.2111592178865571</v>
      </c>
      <c r="V73" s="187">
        <f>VLOOKUP($C$6,'Diesel Fuel Prices'!$D$7:$BN$183,-6+V53,0)</f>
        <v>4.3131053947023483</v>
      </c>
      <c r="W73" s="187">
        <f>VLOOKUP($C$6,'Diesel Fuel Prices'!$D$7:$BN$183,-6+W53,0)</f>
        <v>4.4175486538963149</v>
      </c>
      <c r="X73" s="187">
        <f>VLOOKUP($C$6,'Diesel Fuel Prices'!$D$7:$BN$183,-6+X53,0)</f>
        <v>4.5245507325726093</v>
      </c>
      <c r="Y73" s="187">
        <f>VLOOKUP($C$6,'Diesel Fuel Prices'!$D$7:$BN$183,-6+Y53,0)</f>
        <v>4.6340259638166303</v>
      </c>
      <c r="Z73" s="187">
        <f>VLOOKUP($C$6,'Diesel Fuel Prices'!$D$7:$BN$183,-6+Z53,0)</f>
        <v>4.7416270426335583</v>
      </c>
      <c r="AA73" s="187">
        <f>VLOOKUP($C$6,'Diesel Fuel Prices'!$D$7:$BN$183,-6+AA53,0)</f>
        <v>4.8548324203107942</v>
      </c>
      <c r="AB73" s="187">
        <f>VLOOKUP($C$6,'Diesel Fuel Prices'!$D$7:$BN$183,-6+AB53,0)</f>
        <v>4.9711608830034164</v>
      </c>
      <c r="AC73" s="187">
        <f>VLOOKUP($C$6,'Diesel Fuel Prices'!$D$7:$BN$183,-6+AC53,0)</f>
        <v>5.0852484007868171</v>
      </c>
      <c r="AD73" s="187">
        <f>VLOOKUP($C$6,'Diesel Fuel Prices'!$D$7:$BN$183,-6+AD53,0)</f>
        <v>5.2079104480425524</v>
      </c>
      <c r="AE73" s="187">
        <f>VLOOKUP($C$6,'Diesel Fuel Prices'!$D$7:$BN$183,-6+AE53,0)</f>
        <v>5.3402464274736552</v>
      </c>
      <c r="AF73" s="187">
        <f>VLOOKUP($C$6,'Diesel Fuel Prices'!$D$7:$BN$183,-6+AF53,0)</f>
        <v>5.4636003299453852</v>
      </c>
      <c r="AG73" s="187">
        <f>VLOOKUP($C$6,'Diesel Fuel Prices'!$D$7:$BN$183,-6+AG53,0)</f>
        <v>5.4636003299453852</v>
      </c>
      <c r="AH73" s="187">
        <f>VLOOKUP($C$6,'Diesel Fuel Prices'!$D$7:$BN$183,-6+AH53,0)</f>
        <v>5.4636003299453852</v>
      </c>
      <c r="AI73" s="187">
        <f>VLOOKUP($C$6,'Diesel Fuel Prices'!$D$7:$BN$183,-6+AI53,0)</f>
        <v>5.4636003299453852</v>
      </c>
      <c r="AJ73" s="187">
        <f>VLOOKUP($C$6,'Diesel Fuel Prices'!$D$7:$BN$183,-6+AJ53,0)</f>
        <v>5.4636003299453852</v>
      </c>
      <c r="AK73" s="187">
        <f>VLOOKUP($C$6,'Diesel Fuel Prices'!$D$7:$BN$183,-6+AK53,0)</f>
        <v>5.4636003299453852</v>
      </c>
      <c r="AL73" s="187">
        <f>VLOOKUP($C$6,'Diesel Fuel Prices'!$D$7:$BN$183,-6+AL53,0)</f>
        <v>5.4636003299453852</v>
      </c>
      <c r="AM73" s="187">
        <f>VLOOKUP($C$6,'Diesel Fuel Prices'!$D$7:$BN$183,-6+AM53,0)</f>
        <v>5.4636003299453852</v>
      </c>
      <c r="AN73" s="187">
        <f>VLOOKUP($C$6,'Diesel Fuel Prices'!$D$7:$BN$183,-6+AN53,0)</f>
        <v>5.4636003299453852</v>
      </c>
      <c r="AO73" s="187">
        <f>VLOOKUP($C$6,'Diesel Fuel Prices'!$D$7:$BN$183,-6+AO53,0)</f>
        <v>5.4636003299453852</v>
      </c>
      <c r="AP73" s="187">
        <f>VLOOKUP($C$6,'Diesel Fuel Prices'!$D$7:$BN$183,-6+AP53,0)</f>
        <v>5.4636003299453852</v>
      </c>
      <c r="AQ73" s="187">
        <f>VLOOKUP($C$6,'Diesel Fuel Prices'!$D$7:$BN$183,-6+AQ53,0)</f>
        <v>5.4636003299453852</v>
      </c>
      <c r="AR73" s="187">
        <f>VLOOKUP($C$6,'Diesel Fuel Prices'!$D$7:$BN$183,-6+AR53,0)</f>
        <v>5.4636003299453852</v>
      </c>
      <c r="AS73" s="187">
        <f>VLOOKUP($C$6,'Diesel Fuel Prices'!$D$7:$BN$183,-6+AS53,0)</f>
        <v>5.4636003299453852</v>
      </c>
      <c r="AT73" s="187">
        <f>VLOOKUP($C$6,'Diesel Fuel Prices'!$D$7:$BN$183,-6+AT53,0)</f>
        <v>5.4636003299453852</v>
      </c>
      <c r="AU73" s="187">
        <f>VLOOKUP($C$6,'Diesel Fuel Prices'!$D$7:$BN$183,-6+AU53,0)</f>
        <v>5.4636003299453852</v>
      </c>
      <c r="AV73" s="187">
        <f>VLOOKUP($C$6,'Diesel Fuel Prices'!$D$7:$BN$183,-6+AV53,0)</f>
        <v>5.4636003299453852</v>
      </c>
      <c r="AW73" s="187">
        <f>VLOOKUP($C$6,'Diesel Fuel Prices'!$D$7:$BN$183,-6+AW53,0)</f>
        <v>5.4636003299453852</v>
      </c>
      <c r="AX73" s="187">
        <f>VLOOKUP($C$6,'Diesel Fuel Prices'!$D$7:$BN$183,-6+AX53,0)</f>
        <v>5.4636003299453852</v>
      </c>
      <c r="AY73" s="187">
        <f>VLOOKUP($C$6,'Diesel Fuel Prices'!$D$7:$BN$183,-6+AY53,0)</f>
        <v>5.4636003299453852</v>
      </c>
      <c r="AZ73" s="187">
        <f>VLOOKUP($C$6,'Diesel Fuel Prices'!$D$7:$BN$183,-6+AZ53,0)</f>
        <v>5.4636003299453852</v>
      </c>
      <c r="BA73" s="187">
        <f>VLOOKUP($C$6,'Diesel Fuel Prices'!$D$7:$BN$183,-6+BA53,0)</f>
        <v>5.4636003299453852</v>
      </c>
      <c r="BB73" s="187">
        <f>VLOOKUP($C$6,'Diesel Fuel Prices'!$D$7:$BN$183,-6+BB53,0)</f>
        <v>5.4636003299453852</v>
      </c>
      <c r="BC73" s="187">
        <f>VLOOKUP($C$6,'Diesel Fuel Prices'!$D$7:$BN$183,-6+BC53,0)</f>
        <v>5.4636003299453852</v>
      </c>
      <c r="BD73" s="187">
        <f>VLOOKUP($C$6,'Diesel Fuel Prices'!$D$7:$BN$183,-6+BD53,0)</f>
        <v>5.4636003299453852</v>
      </c>
      <c r="BE73" s="187">
        <f>VLOOKUP($C$6,'Diesel Fuel Prices'!$D$7:$BN$183,-6+BE53,0)</f>
        <v>5.4636003299453852</v>
      </c>
      <c r="BF73" s="187">
        <f>VLOOKUP($C$6,'Diesel Fuel Prices'!$D$7:$BN$183,-6+BF53,0)</f>
        <v>5.4636003299453852</v>
      </c>
      <c r="BG73" s="187">
        <f>VLOOKUP($C$6,'Diesel Fuel Prices'!$D$7:$BN$183,-6+BG53,0)</f>
        <v>5.4636003299453852</v>
      </c>
      <c r="BH73" s="187">
        <f>VLOOKUP($C$6,'Diesel Fuel Prices'!$D$7:$BN$183,-6+BH53,0)</f>
        <v>5.4636003299453852</v>
      </c>
      <c r="BI73" s="175"/>
    </row>
    <row r="74" spans="2:67" ht="12.75">
      <c r="C74" s="172" t="s">
        <v>277</v>
      </c>
      <c r="D74" s="121" t="s">
        <v>381</v>
      </c>
      <c r="E74" s="121" t="s">
        <v>264</v>
      </c>
      <c r="F74" s="282">
        <f t="shared" ref="F74:AK74" si="11">IF(AND(F54&gt;=$D$31,F54&lt;=($D$31+$D$32)),$D$43*F72,0)</f>
        <v>0</v>
      </c>
      <c r="G74" s="282">
        <f t="shared" si="11"/>
        <v>225.39000000000001</v>
      </c>
      <c r="H74" s="282">
        <f t="shared" si="11"/>
        <v>223.58687999999998</v>
      </c>
      <c r="I74" s="282">
        <f t="shared" si="11"/>
        <v>221.79818496000001</v>
      </c>
      <c r="J74" s="282">
        <f t="shared" si="11"/>
        <v>220.02379948032001</v>
      </c>
      <c r="K74" s="282">
        <f t="shared" si="11"/>
        <v>218.26360908447748</v>
      </c>
      <c r="L74" s="282">
        <f t="shared" si="11"/>
        <v>216.51750021180163</v>
      </c>
      <c r="M74" s="282">
        <f t="shared" si="11"/>
        <v>214.78536021010723</v>
      </c>
      <c r="N74" s="282">
        <f t="shared" si="11"/>
        <v>213.06707732842636</v>
      </c>
      <c r="O74" s="282">
        <f t="shared" si="11"/>
        <v>211.36254070979894</v>
      </c>
      <c r="P74" s="282">
        <f t="shared" si="11"/>
        <v>209.67164038412056</v>
      </c>
      <c r="Q74" s="282">
        <f t="shared" si="11"/>
        <v>207.99426726104758</v>
      </c>
      <c r="R74" s="282">
        <f t="shared" si="11"/>
        <v>206.33031312295921</v>
      </c>
      <c r="S74" s="282">
        <f t="shared" si="11"/>
        <v>204.67967061797555</v>
      </c>
      <c r="T74" s="282">
        <f t="shared" si="11"/>
        <v>203.04223325303175</v>
      </c>
      <c r="U74" s="282">
        <f t="shared" si="11"/>
        <v>201.41789538700749</v>
      </c>
      <c r="V74" s="282">
        <f t="shared" si="11"/>
        <v>199.80655222391144</v>
      </c>
      <c r="W74" s="282">
        <f t="shared" si="11"/>
        <v>198.20809980612012</v>
      </c>
      <c r="X74" s="282">
        <f t="shared" si="11"/>
        <v>196.62243500767116</v>
      </c>
      <c r="Y74" s="282">
        <f t="shared" si="11"/>
        <v>195.04945552760978</v>
      </c>
      <c r="Z74" s="282">
        <f t="shared" si="11"/>
        <v>193.4890598833889</v>
      </c>
      <c r="AA74" s="282">
        <f t="shared" si="11"/>
        <v>191.94114740432178</v>
      </c>
      <c r="AB74" s="282">
        <f t="shared" si="11"/>
        <v>0</v>
      </c>
      <c r="AC74" s="282">
        <f t="shared" si="11"/>
        <v>0</v>
      </c>
      <c r="AD74" s="282">
        <f t="shared" si="11"/>
        <v>0</v>
      </c>
      <c r="AE74" s="282">
        <f t="shared" si="11"/>
        <v>0</v>
      </c>
      <c r="AF74" s="282">
        <f t="shared" si="11"/>
        <v>0</v>
      </c>
      <c r="AG74" s="282">
        <f t="shared" si="11"/>
        <v>0</v>
      </c>
      <c r="AH74" s="282">
        <f t="shared" si="11"/>
        <v>0</v>
      </c>
      <c r="AI74" s="282">
        <f t="shared" si="11"/>
        <v>0</v>
      </c>
      <c r="AJ74" s="282">
        <f t="shared" si="11"/>
        <v>0</v>
      </c>
      <c r="AK74" s="282">
        <f t="shared" si="11"/>
        <v>0</v>
      </c>
      <c r="AL74" s="282">
        <f t="shared" ref="AL74:BH74" si="12">IF(AND(AL54&gt;=$D$31,AL54&lt;=($D$31+$D$32)),$D$43*AL72,0)</f>
        <v>0</v>
      </c>
      <c r="AM74" s="282">
        <f t="shared" si="12"/>
        <v>0</v>
      </c>
      <c r="AN74" s="282">
        <f t="shared" si="12"/>
        <v>0</v>
      </c>
      <c r="AO74" s="282">
        <f t="shared" si="12"/>
        <v>0</v>
      </c>
      <c r="AP74" s="282">
        <f t="shared" si="12"/>
        <v>0</v>
      </c>
      <c r="AQ74" s="282">
        <f t="shared" si="12"/>
        <v>0</v>
      </c>
      <c r="AR74" s="282">
        <f t="shared" si="12"/>
        <v>0</v>
      </c>
      <c r="AS74" s="282">
        <f t="shared" si="12"/>
        <v>0</v>
      </c>
      <c r="AT74" s="282">
        <f t="shared" si="12"/>
        <v>0</v>
      </c>
      <c r="AU74" s="282">
        <f t="shared" si="12"/>
        <v>0</v>
      </c>
      <c r="AV74" s="282">
        <f t="shared" si="12"/>
        <v>0</v>
      </c>
      <c r="AW74" s="282">
        <f t="shared" si="12"/>
        <v>0</v>
      </c>
      <c r="AX74" s="282">
        <f t="shared" si="12"/>
        <v>0</v>
      </c>
      <c r="AY74" s="282">
        <f t="shared" si="12"/>
        <v>0</v>
      </c>
      <c r="AZ74" s="282">
        <f t="shared" si="12"/>
        <v>0</v>
      </c>
      <c r="BA74" s="282">
        <f t="shared" si="12"/>
        <v>0</v>
      </c>
      <c r="BB74" s="282">
        <f t="shared" si="12"/>
        <v>0</v>
      </c>
      <c r="BC74" s="282">
        <f t="shared" si="12"/>
        <v>0</v>
      </c>
      <c r="BD74" s="282">
        <f t="shared" si="12"/>
        <v>0</v>
      </c>
      <c r="BE74" s="282">
        <f t="shared" si="12"/>
        <v>0</v>
      </c>
      <c r="BF74" s="282">
        <f t="shared" si="12"/>
        <v>0</v>
      </c>
      <c r="BG74" s="282">
        <f t="shared" si="12"/>
        <v>0</v>
      </c>
      <c r="BH74" s="282">
        <f t="shared" si="12"/>
        <v>0</v>
      </c>
      <c r="BI74" s="175">
        <f>NPV($D$49,F74:BH74)</f>
        <v>3143.5257484437107</v>
      </c>
      <c r="BJ74" s="121"/>
      <c r="BK74" s="121"/>
      <c r="BL74" s="121"/>
      <c r="BM74" s="121"/>
      <c r="BN74" s="121"/>
      <c r="BO74" s="121"/>
    </row>
    <row r="75" spans="2:67" ht="12.75">
      <c r="C75" s="172"/>
      <c r="D75" s="121" t="s">
        <v>267</v>
      </c>
      <c r="E75" s="121" t="str">
        <f>IF(C7="Railbelt South of Alaska Range","mmBtu per year","gallons per year")</f>
        <v>gallons per year</v>
      </c>
      <c r="F75" s="196">
        <f t="shared" ref="F75:AK75" si="13">IF(AND(F54&gt;=$D$31,F54&lt;=($D$31+$D$32)),F72/Generation_Efficiency,0)</f>
        <v>0</v>
      </c>
      <c r="G75" s="196">
        <f t="shared" si="13"/>
        <v>1043.2450696128178</v>
      </c>
      <c r="H75" s="196">
        <f t="shared" si="13"/>
        <v>1034.8991090559152</v>
      </c>
      <c r="I75" s="196">
        <f t="shared" si="13"/>
        <v>1026.6199161834679</v>
      </c>
      <c r="J75" s="196">
        <f t="shared" si="13"/>
        <v>1018.4069568540002</v>
      </c>
      <c r="K75" s="196">
        <f t="shared" si="13"/>
        <v>1010.2597011991683</v>
      </c>
      <c r="L75" s="196">
        <f t="shared" si="13"/>
        <v>1002.1776235895749</v>
      </c>
      <c r="M75" s="196">
        <f t="shared" si="13"/>
        <v>994.16020260085827</v>
      </c>
      <c r="N75" s="196">
        <f t="shared" si="13"/>
        <v>986.20692098005134</v>
      </c>
      <c r="O75" s="196">
        <f t="shared" si="13"/>
        <v>978.3172656122108</v>
      </c>
      <c r="P75" s="196">
        <f t="shared" si="13"/>
        <v>970.49072748731328</v>
      </c>
      <c r="Q75" s="196">
        <f t="shared" si="13"/>
        <v>962.72680166741463</v>
      </c>
      <c r="R75" s="196">
        <f t="shared" si="13"/>
        <v>955.02498725407543</v>
      </c>
      <c r="S75" s="196">
        <f t="shared" si="13"/>
        <v>947.38478735604281</v>
      </c>
      <c r="T75" s="196">
        <f t="shared" si="13"/>
        <v>939.80570905719458</v>
      </c>
      <c r="U75" s="196">
        <f t="shared" si="13"/>
        <v>932.287263384737</v>
      </c>
      <c r="V75" s="196">
        <f t="shared" si="13"/>
        <v>924.82896527765911</v>
      </c>
      <c r="W75" s="196">
        <f t="shared" si="13"/>
        <v>917.43033355543776</v>
      </c>
      <c r="X75" s="196">
        <f t="shared" si="13"/>
        <v>910.0908908869942</v>
      </c>
      <c r="Y75" s="196">
        <f t="shared" si="13"/>
        <v>902.81016375989827</v>
      </c>
      <c r="Z75" s="196">
        <f t="shared" si="13"/>
        <v>895.58768244981911</v>
      </c>
      <c r="AA75" s="196">
        <f t="shared" si="13"/>
        <v>888.42298099022048</v>
      </c>
      <c r="AB75" s="196">
        <f t="shared" si="13"/>
        <v>0</v>
      </c>
      <c r="AC75" s="196">
        <f t="shared" si="13"/>
        <v>0</v>
      </c>
      <c r="AD75" s="196">
        <f t="shared" si="13"/>
        <v>0</v>
      </c>
      <c r="AE75" s="196">
        <f t="shared" si="13"/>
        <v>0</v>
      </c>
      <c r="AF75" s="196">
        <f t="shared" si="13"/>
        <v>0</v>
      </c>
      <c r="AG75" s="196">
        <f t="shared" si="13"/>
        <v>0</v>
      </c>
      <c r="AH75" s="196">
        <f t="shared" si="13"/>
        <v>0</v>
      </c>
      <c r="AI75" s="196">
        <f t="shared" si="13"/>
        <v>0</v>
      </c>
      <c r="AJ75" s="196">
        <f t="shared" si="13"/>
        <v>0</v>
      </c>
      <c r="AK75" s="196">
        <f t="shared" si="13"/>
        <v>0</v>
      </c>
      <c r="AL75" s="196">
        <f t="shared" ref="AL75:BH75" si="14">IF(AND(AL54&gt;=$D$31,AL54&lt;=($D$31+$D$32)),AL72/Generation_Efficiency,0)</f>
        <v>0</v>
      </c>
      <c r="AM75" s="196">
        <f t="shared" si="14"/>
        <v>0</v>
      </c>
      <c r="AN75" s="196">
        <f t="shared" si="14"/>
        <v>0</v>
      </c>
      <c r="AO75" s="196">
        <f t="shared" si="14"/>
        <v>0</v>
      </c>
      <c r="AP75" s="196">
        <f t="shared" si="14"/>
        <v>0</v>
      </c>
      <c r="AQ75" s="196">
        <f t="shared" si="14"/>
        <v>0</v>
      </c>
      <c r="AR75" s="196">
        <f t="shared" si="14"/>
        <v>0</v>
      </c>
      <c r="AS75" s="196">
        <f t="shared" si="14"/>
        <v>0</v>
      </c>
      <c r="AT75" s="196">
        <f t="shared" si="14"/>
        <v>0</v>
      </c>
      <c r="AU75" s="196">
        <f t="shared" si="14"/>
        <v>0</v>
      </c>
      <c r="AV75" s="196">
        <f t="shared" si="14"/>
        <v>0</v>
      </c>
      <c r="AW75" s="196">
        <f t="shared" si="14"/>
        <v>0</v>
      </c>
      <c r="AX75" s="196">
        <f t="shared" si="14"/>
        <v>0</v>
      </c>
      <c r="AY75" s="196">
        <f t="shared" si="14"/>
        <v>0</v>
      </c>
      <c r="AZ75" s="196">
        <f t="shared" si="14"/>
        <v>0</v>
      </c>
      <c r="BA75" s="196">
        <f t="shared" si="14"/>
        <v>0</v>
      </c>
      <c r="BB75" s="196">
        <f t="shared" si="14"/>
        <v>0</v>
      </c>
      <c r="BC75" s="196">
        <f t="shared" si="14"/>
        <v>0</v>
      </c>
      <c r="BD75" s="196">
        <f t="shared" si="14"/>
        <v>0</v>
      </c>
      <c r="BE75" s="196">
        <f t="shared" si="14"/>
        <v>0</v>
      </c>
      <c r="BF75" s="196">
        <f t="shared" si="14"/>
        <v>0</v>
      </c>
      <c r="BG75" s="196">
        <f t="shared" si="14"/>
        <v>0</v>
      </c>
      <c r="BH75" s="196">
        <f t="shared" si="14"/>
        <v>0</v>
      </c>
      <c r="BI75" s="175"/>
      <c r="BJ75" s="121"/>
      <c r="BK75" s="121"/>
      <c r="BL75" s="121"/>
      <c r="BM75" s="121"/>
      <c r="BN75" s="121"/>
      <c r="BO75" s="121"/>
    </row>
    <row r="76" spans="2:67" ht="12.75">
      <c r="C76" s="190"/>
      <c r="D76" s="121"/>
      <c r="E76" s="121"/>
      <c r="F76" s="191"/>
      <c r="G76" s="191"/>
      <c r="H76" s="191"/>
      <c r="I76" s="191"/>
      <c r="J76" s="191"/>
      <c r="K76" s="191"/>
      <c r="L76" s="191"/>
      <c r="M76" s="191"/>
      <c r="N76" s="191"/>
      <c r="O76" s="191"/>
      <c r="P76" s="191"/>
      <c r="Q76" s="191"/>
      <c r="R76" s="191"/>
      <c r="S76" s="191"/>
      <c r="T76" s="191"/>
      <c r="U76" s="191"/>
      <c r="V76" s="191"/>
      <c r="W76" s="191"/>
      <c r="X76" s="191"/>
      <c r="Y76" s="191"/>
      <c r="Z76" s="191"/>
      <c r="AA76" s="191"/>
      <c r="AB76" s="191"/>
      <c r="AC76" s="191"/>
      <c r="AD76" s="191"/>
      <c r="AE76" s="191"/>
      <c r="AF76" s="191"/>
      <c r="AG76" s="191"/>
      <c r="AH76" s="191"/>
      <c r="AI76" s="191"/>
      <c r="AJ76" s="191"/>
      <c r="AK76" s="191"/>
      <c r="AL76" s="191"/>
      <c r="AM76" s="191"/>
      <c r="AN76" s="191"/>
      <c r="AO76" s="191"/>
      <c r="AP76" s="191"/>
      <c r="AQ76" s="191"/>
      <c r="AR76" s="191"/>
      <c r="AS76" s="191"/>
      <c r="AT76" s="191"/>
      <c r="AU76" s="191"/>
      <c r="AV76" s="191"/>
      <c r="AW76" s="191"/>
      <c r="AX76" s="191"/>
      <c r="AY76" s="191"/>
      <c r="AZ76" s="191"/>
      <c r="BA76" s="191"/>
      <c r="BB76" s="191"/>
      <c r="BC76" s="191"/>
      <c r="BD76" s="191"/>
      <c r="BE76" s="191"/>
      <c r="BF76" s="191"/>
      <c r="BG76" s="191"/>
      <c r="BH76" s="191"/>
      <c r="BI76" s="175"/>
      <c r="BJ76" s="121"/>
      <c r="BK76" s="121"/>
      <c r="BL76" s="121"/>
      <c r="BM76" s="121"/>
      <c r="BN76" s="121"/>
      <c r="BO76" s="121"/>
    </row>
    <row r="77" spans="2:67" ht="12.75">
      <c r="C77" s="177"/>
      <c r="D77" s="121" t="str">
        <f>IF(C7="rural","Fuel Cost","N/A")</f>
        <v>Fuel Cost</v>
      </c>
      <c r="E77" s="121" t="str">
        <f>IF(C7="rural","$ per year","")</f>
        <v>$ per year</v>
      </c>
      <c r="F77" s="191">
        <f t="shared" ref="F77:BH77" si="15">IF($C$7="rural",F75*F73,"")</f>
        <v>0</v>
      </c>
      <c r="G77" s="191">
        <f t="shared" si="15"/>
        <v>2770.0109842978163</v>
      </c>
      <c r="H77" s="191">
        <f t="shared" si="15"/>
        <v>3231.4550877954944</v>
      </c>
      <c r="I77" s="191">
        <f t="shared" si="15"/>
        <v>3374.319078633112</v>
      </c>
      <c r="J77" s="191">
        <f t="shared" si="15"/>
        <v>3359.5656733834035</v>
      </c>
      <c r="K77" s="191">
        <f t="shared" si="15"/>
        <v>3389.2549382246493</v>
      </c>
      <c r="L77" s="191">
        <f t="shared" si="15"/>
        <v>3418.5468634639556</v>
      </c>
      <c r="M77" s="191">
        <f t="shared" si="15"/>
        <v>3467.0195397423295</v>
      </c>
      <c r="N77" s="191">
        <f t="shared" si="15"/>
        <v>3519.9090031228643</v>
      </c>
      <c r="O77" s="191">
        <f t="shared" si="15"/>
        <v>3574.5873624136539</v>
      </c>
      <c r="P77" s="191">
        <f t="shared" si="15"/>
        <v>3629.9080545690617</v>
      </c>
      <c r="Q77" s="191">
        <f t="shared" si="15"/>
        <v>3684.505441121602</v>
      </c>
      <c r="R77" s="191">
        <f t="shared" si="15"/>
        <v>3743.4157516837013</v>
      </c>
      <c r="S77" s="191">
        <f t="shared" si="15"/>
        <v>3803.2922253736924</v>
      </c>
      <c r="T77" s="191">
        <f t="shared" si="15"/>
        <v>3864.1514770025119</v>
      </c>
      <c r="U77" s="191">
        <f t="shared" si="15"/>
        <v>3926.0101029208677</v>
      </c>
      <c r="V77" s="191">
        <f t="shared" si="15"/>
        <v>3988.8847993160621</v>
      </c>
      <c r="W77" s="191">
        <f t="shared" si="15"/>
        <v>4052.793135041471</v>
      </c>
      <c r="X77" s="191">
        <f t="shared" si="15"/>
        <v>4117.7524070704085</v>
      </c>
      <c r="Y77" s="191">
        <f t="shared" si="15"/>
        <v>4183.6457392609127</v>
      </c>
      <c r="Z77" s="191">
        <f t="shared" si="15"/>
        <v>4246.5427741535777</v>
      </c>
      <c r="AA77" s="191">
        <f t="shared" si="15"/>
        <v>4313.1446910604827</v>
      </c>
      <c r="AB77" s="191">
        <f t="shared" si="15"/>
        <v>0</v>
      </c>
      <c r="AC77" s="191">
        <f t="shared" si="15"/>
        <v>0</v>
      </c>
      <c r="AD77" s="191">
        <f t="shared" si="15"/>
        <v>0</v>
      </c>
      <c r="AE77" s="191">
        <f t="shared" si="15"/>
        <v>0</v>
      </c>
      <c r="AF77" s="191">
        <f t="shared" si="15"/>
        <v>0</v>
      </c>
      <c r="AG77" s="191">
        <f t="shared" si="15"/>
        <v>0</v>
      </c>
      <c r="AH77" s="191">
        <f t="shared" si="15"/>
        <v>0</v>
      </c>
      <c r="AI77" s="191">
        <f t="shared" si="15"/>
        <v>0</v>
      </c>
      <c r="AJ77" s="191">
        <f t="shared" si="15"/>
        <v>0</v>
      </c>
      <c r="AK77" s="191">
        <f t="shared" si="15"/>
        <v>0</v>
      </c>
      <c r="AL77" s="191">
        <f t="shared" si="15"/>
        <v>0</v>
      </c>
      <c r="AM77" s="191">
        <f t="shared" si="15"/>
        <v>0</v>
      </c>
      <c r="AN77" s="191">
        <f t="shared" si="15"/>
        <v>0</v>
      </c>
      <c r="AO77" s="191">
        <f t="shared" si="15"/>
        <v>0</v>
      </c>
      <c r="AP77" s="191">
        <f t="shared" si="15"/>
        <v>0</v>
      </c>
      <c r="AQ77" s="191">
        <f t="shared" si="15"/>
        <v>0</v>
      </c>
      <c r="AR77" s="191">
        <f t="shared" si="15"/>
        <v>0</v>
      </c>
      <c r="AS77" s="191">
        <f t="shared" si="15"/>
        <v>0</v>
      </c>
      <c r="AT77" s="191">
        <f t="shared" si="15"/>
        <v>0</v>
      </c>
      <c r="AU77" s="191">
        <f t="shared" si="15"/>
        <v>0</v>
      </c>
      <c r="AV77" s="191">
        <f t="shared" si="15"/>
        <v>0</v>
      </c>
      <c r="AW77" s="191">
        <f t="shared" si="15"/>
        <v>0</v>
      </c>
      <c r="AX77" s="191">
        <f t="shared" si="15"/>
        <v>0</v>
      </c>
      <c r="AY77" s="191">
        <f t="shared" si="15"/>
        <v>0</v>
      </c>
      <c r="AZ77" s="191">
        <f t="shared" si="15"/>
        <v>0</v>
      </c>
      <c r="BA77" s="191">
        <f t="shared" si="15"/>
        <v>0</v>
      </c>
      <c r="BB77" s="191">
        <f t="shared" si="15"/>
        <v>0</v>
      </c>
      <c r="BC77" s="191">
        <f t="shared" si="15"/>
        <v>0</v>
      </c>
      <c r="BD77" s="191">
        <f t="shared" si="15"/>
        <v>0</v>
      </c>
      <c r="BE77" s="191">
        <f t="shared" si="15"/>
        <v>0</v>
      </c>
      <c r="BF77" s="191">
        <f t="shared" si="15"/>
        <v>0</v>
      </c>
      <c r="BG77" s="191">
        <f t="shared" si="15"/>
        <v>0</v>
      </c>
      <c r="BH77" s="191">
        <f t="shared" si="15"/>
        <v>0</v>
      </c>
      <c r="BI77" s="175">
        <f>NPV($D$49,F77:BH77)</f>
        <v>54365.965981240704</v>
      </c>
      <c r="BJ77" s="121"/>
      <c r="BK77" s="121"/>
      <c r="BL77" s="121"/>
      <c r="BM77" s="121"/>
      <c r="BN77" s="121"/>
      <c r="BO77" s="121"/>
    </row>
    <row r="78" spans="2:67" s="192" customFormat="1" ht="12.75">
      <c r="B78" s="193"/>
      <c r="C78" s="182"/>
      <c r="D78" s="184" t="s">
        <v>372</v>
      </c>
      <c r="E78" s="184" t="s">
        <v>264</v>
      </c>
      <c r="F78" s="197">
        <f t="shared" ref="F78:BH78" si="16">IF($C$7="Rural",F77+F76+F74,F73*F72)</f>
        <v>0</v>
      </c>
      <c r="G78" s="197">
        <f t="shared" si="16"/>
        <v>2995.4009842978162</v>
      </c>
      <c r="H78" s="197">
        <f t="shared" si="16"/>
        <v>3455.0419677954942</v>
      </c>
      <c r="I78" s="197">
        <f t="shared" si="16"/>
        <v>3596.1172635931121</v>
      </c>
      <c r="J78" s="197">
        <f t="shared" si="16"/>
        <v>3579.5894728637236</v>
      </c>
      <c r="K78" s="197">
        <f t="shared" si="16"/>
        <v>3607.5185473091269</v>
      </c>
      <c r="L78" s="197">
        <f t="shared" si="16"/>
        <v>3635.0643636757572</v>
      </c>
      <c r="M78" s="197">
        <f t="shared" si="16"/>
        <v>3681.8048999524367</v>
      </c>
      <c r="N78" s="197">
        <f t="shared" si="16"/>
        <v>3732.9760804512907</v>
      </c>
      <c r="O78" s="197">
        <f t="shared" si="16"/>
        <v>3785.9499031234527</v>
      </c>
      <c r="P78" s="197">
        <f t="shared" si="16"/>
        <v>3839.5796949531823</v>
      </c>
      <c r="Q78" s="197">
        <f t="shared" si="16"/>
        <v>3892.4997083826497</v>
      </c>
      <c r="R78" s="197">
        <f t="shared" si="16"/>
        <v>3949.7460648066603</v>
      </c>
      <c r="S78" s="194">
        <f t="shared" si="16"/>
        <v>4007.9718959916681</v>
      </c>
      <c r="T78" s="194">
        <f t="shared" si="16"/>
        <v>4067.1937102555435</v>
      </c>
      <c r="U78" s="194">
        <f t="shared" si="16"/>
        <v>4127.427998307875</v>
      </c>
      <c r="V78" s="194">
        <f t="shared" si="16"/>
        <v>4188.6913515399738</v>
      </c>
      <c r="W78" s="194">
        <f t="shared" si="16"/>
        <v>4251.0012348475911</v>
      </c>
      <c r="X78" s="194">
        <f t="shared" si="16"/>
        <v>4314.3748420780794</v>
      </c>
      <c r="Y78" s="194">
        <f t="shared" si="16"/>
        <v>4378.6951947885227</v>
      </c>
      <c r="Z78" s="194">
        <f t="shared" si="16"/>
        <v>4440.0318340369668</v>
      </c>
      <c r="AA78" s="194">
        <f t="shared" si="16"/>
        <v>4505.0858384648045</v>
      </c>
      <c r="AB78" s="194">
        <f t="shared" si="16"/>
        <v>0</v>
      </c>
      <c r="AC78" s="194">
        <f t="shared" si="16"/>
        <v>0</v>
      </c>
      <c r="AD78" s="194">
        <f t="shared" si="16"/>
        <v>0</v>
      </c>
      <c r="AE78" s="194">
        <f t="shared" si="16"/>
        <v>0</v>
      </c>
      <c r="AF78" s="194">
        <f t="shared" si="16"/>
        <v>0</v>
      </c>
      <c r="AG78" s="194">
        <f t="shared" si="16"/>
        <v>0</v>
      </c>
      <c r="AH78" s="194">
        <f t="shared" si="16"/>
        <v>0</v>
      </c>
      <c r="AI78" s="194">
        <f t="shared" si="16"/>
        <v>0</v>
      </c>
      <c r="AJ78" s="194">
        <f t="shared" si="16"/>
        <v>0</v>
      </c>
      <c r="AK78" s="194">
        <f t="shared" si="16"/>
        <v>0</v>
      </c>
      <c r="AL78" s="194">
        <f t="shared" si="16"/>
        <v>0</v>
      </c>
      <c r="AM78" s="194">
        <f t="shared" si="16"/>
        <v>0</v>
      </c>
      <c r="AN78" s="194">
        <f t="shared" si="16"/>
        <v>0</v>
      </c>
      <c r="AO78" s="194">
        <f t="shared" si="16"/>
        <v>0</v>
      </c>
      <c r="AP78" s="194">
        <f t="shared" si="16"/>
        <v>0</v>
      </c>
      <c r="AQ78" s="194">
        <f t="shared" si="16"/>
        <v>0</v>
      </c>
      <c r="AR78" s="194">
        <f t="shared" si="16"/>
        <v>0</v>
      </c>
      <c r="AS78" s="194">
        <f t="shared" si="16"/>
        <v>0</v>
      </c>
      <c r="AT78" s="194">
        <f t="shared" si="16"/>
        <v>0</v>
      </c>
      <c r="AU78" s="194">
        <f t="shared" si="16"/>
        <v>0</v>
      </c>
      <c r="AV78" s="194">
        <f t="shared" si="16"/>
        <v>0</v>
      </c>
      <c r="AW78" s="194">
        <f t="shared" si="16"/>
        <v>0</v>
      </c>
      <c r="AX78" s="194">
        <f t="shared" si="16"/>
        <v>0</v>
      </c>
      <c r="AY78" s="194">
        <f t="shared" si="16"/>
        <v>0</v>
      </c>
      <c r="AZ78" s="194">
        <f t="shared" si="16"/>
        <v>0</v>
      </c>
      <c r="BA78" s="194">
        <f t="shared" si="16"/>
        <v>0</v>
      </c>
      <c r="BB78" s="194">
        <f t="shared" si="16"/>
        <v>0</v>
      </c>
      <c r="BC78" s="194">
        <f t="shared" si="16"/>
        <v>0</v>
      </c>
      <c r="BD78" s="194">
        <f t="shared" si="16"/>
        <v>0</v>
      </c>
      <c r="BE78" s="194">
        <f t="shared" si="16"/>
        <v>0</v>
      </c>
      <c r="BF78" s="194">
        <f t="shared" si="16"/>
        <v>0</v>
      </c>
      <c r="BG78" s="194">
        <f t="shared" si="16"/>
        <v>0</v>
      </c>
      <c r="BH78" s="194">
        <f t="shared" si="16"/>
        <v>0</v>
      </c>
      <c r="BI78" s="175">
        <f>NPV($D$49,F78:BH78)</f>
        <v>57509.491729684407</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68" t="s">
        <v>353</v>
      </c>
      <c r="D82" s="198"/>
      <c r="E82" s="170" t="s">
        <v>263</v>
      </c>
      <c r="F82" s="199">
        <v>2014</v>
      </c>
      <c r="G82" s="199">
        <f t="shared" ref="G82:BH82" si="17">F82+1</f>
        <v>2015</v>
      </c>
      <c r="H82" s="199">
        <f t="shared" si="17"/>
        <v>2016</v>
      </c>
      <c r="I82" s="199">
        <f>H82+1</f>
        <v>2017</v>
      </c>
      <c r="J82" s="199">
        <f t="shared" si="17"/>
        <v>2018</v>
      </c>
      <c r="K82" s="199">
        <f>J82+1</f>
        <v>2019</v>
      </c>
      <c r="L82" s="199">
        <f t="shared" si="17"/>
        <v>2020</v>
      </c>
      <c r="M82" s="199">
        <f t="shared" si="17"/>
        <v>2021</v>
      </c>
      <c r="N82" s="199">
        <f t="shared" si="17"/>
        <v>2022</v>
      </c>
      <c r="O82" s="199">
        <f t="shared" si="17"/>
        <v>2023</v>
      </c>
      <c r="P82" s="199">
        <f t="shared" si="17"/>
        <v>2024</v>
      </c>
      <c r="Q82" s="199">
        <f t="shared" si="17"/>
        <v>2025</v>
      </c>
      <c r="R82" s="199">
        <f t="shared" si="17"/>
        <v>2026</v>
      </c>
      <c r="S82" s="1398">
        <f t="shared" si="17"/>
        <v>2027</v>
      </c>
      <c r="T82" s="1398">
        <f t="shared" si="17"/>
        <v>2028</v>
      </c>
      <c r="U82" s="1398">
        <f t="shared" si="17"/>
        <v>2029</v>
      </c>
      <c r="V82" s="1398">
        <f t="shared" si="17"/>
        <v>2030</v>
      </c>
      <c r="W82" s="1398">
        <f t="shared" si="17"/>
        <v>2031</v>
      </c>
      <c r="X82" s="1398">
        <f t="shared" si="17"/>
        <v>2032</v>
      </c>
      <c r="Y82" s="1398">
        <f t="shared" si="17"/>
        <v>2033</v>
      </c>
      <c r="Z82" s="1398">
        <f t="shared" si="17"/>
        <v>2034</v>
      </c>
      <c r="AA82" s="1398">
        <f t="shared" si="17"/>
        <v>2035</v>
      </c>
      <c r="AB82" s="1398">
        <f t="shared" si="17"/>
        <v>2036</v>
      </c>
      <c r="AC82" s="1398">
        <f t="shared" si="17"/>
        <v>2037</v>
      </c>
      <c r="AD82" s="1398">
        <f t="shared" si="17"/>
        <v>2038</v>
      </c>
      <c r="AE82" s="1398">
        <f t="shared" si="17"/>
        <v>2039</v>
      </c>
      <c r="AF82" s="1398">
        <f t="shared" si="17"/>
        <v>2040</v>
      </c>
      <c r="AG82" s="1398">
        <f t="shared" si="17"/>
        <v>2041</v>
      </c>
      <c r="AH82" s="1398">
        <f t="shared" si="17"/>
        <v>2042</v>
      </c>
      <c r="AI82" s="1398">
        <f t="shared" si="17"/>
        <v>2043</v>
      </c>
      <c r="AJ82" s="1398">
        <f t="shared" si="17"/>
        <v>2044</v>
      </c>
      <c r="AK82" s="1398">
        <f t="shared" si="17"/>
        <v>2045</v>
      </c>
      <c r="AL82" s="1398">
        <f t="shared" si="17"/>
        <v>2046</v>
      </c>
      <c r="AM82" s="1398">
        <f t="shared" si="17"/>
        <v>2047</v>
      </c>
      <c r="AN82" s="1398">
        <f t="shared" si="17"/>
        <v>2048</v>
      </c>
      <c r="AO82" s="1398">
        <f t="shared" si="17"/>
        <v>2049</v>
      </c>
      <c r="AP82" s="1398">
        <f t="shared" si="17"/>
        <v>2050</v>
      </c>
      <c r="AQ82" s="1398">
        <f t="shared" si="17"/>
        <v>2051</v>
      </c>
      <c r="AR82" s="1398">
        <f t="shared" si="17"/>
        <v>2052</v>
      </c>
      <c r="AS82" s="1398">
        <f t="shared" si="17"/>
        <v>2053</v>
      </c>
      <c r="AT82" s="1398">
        <f t="shared" si="17"/>
        <v>2054</v>
      </c>
      <c r="AU82" s="1398">
        <f t="shared" si="17"/>
        <v>2055</v>
      </c>
      <c r="AV82" s="1398">
        <f t="shared" si="17"/>
        <v>2056</v>
      </c>
      <c r="AW82" s="1398">
        <f t="shared" si="17"/>
        <v>2057</v>
      </c>
      <c r="AX82" s="1398">
        <f t="shared" si="17"/>
        <v>2058</v>
      </c>
      <c r="AY82" s="1398">
        <f t="shared" si="17"/>
        <v>2059</v>
      </c>
      <c r="AZ82" s="1398">
        <f t="shared" si="17"/>
        <v>2060</v>
      </c>
      <c r="BA82" s="1398">
        <f t="shared" si="17"/>
        <v>2061</v>
      </c>
      <c r="BB82" s="1398">
        <f t="shared" si="17"/>
        <v>2062</v>
      </c>
      <c r="BC82" s="1398">
        <f t="shared" si="17"/>
        <v>2063</v>
      </c>
      <c r="BD82" s="1398">
        <f t="shared" si="17"/>
        <v>2064</v>
      </c>
      <c r="BE82" s="1398">
        <f t="shared" si="17"/>
        <v>2065</v>
      </c>
      <c r="BF82" s="1398">
        <f t="shared" si="17"/>
        <v>2066</v>
      </c>
      <c r="BG82" s="1398">
        <f t="shared" si="17"/>
        <v>2067</v>
      </c>
      <c r="BH82" s="1398">
        <f t="shared" si="17"/>
        <v>2068</v>
      </c>
      <c r="BI82" s="697" t="s">
        <v>4</v>
      </c>
      <c r="BJ82" s="121"/>
      <c r="BK82" s="121"/>
      <c r="BL82" s="121"/>
      <c r="BM82" s="121"/>
      <c r="BN82" s="121"/>
      <c r="BO82" s="121"/>
    </row>
    <row r="83" spans="2:67" ht="12.75">
      <c r="C83" s="2005" t="s">
        <v>284</v>
      </c>
      <c r="D83" s="2007"/>
      <c r="E83" s="2007"/>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67" ht="12.75">
      <c r="C84" s="201"/>
      <c r="D84" s="121" t="s">
        <v>616</v>
      </c>
      <c r="E84" s="121" t="str">
        <f>IF(C7="Railbelt South of Alaska Range", "mmBtu per year", "gallons displaced per year")</f>
        <v>gallons displaced per year</v>
      </c>
      <c r="F84" s="196">
        <f>IF(AND(F54&gt;=$D$31,F54&lt;=($D$31+$D$32)),$P$24,0)</f>
        <v>0</v>
      </c>
      <c r="G84" s="196">
        <f t="shared" ref="G84:AL84" si="18">IF(AND(G54&gt;=$D$31,G54&lt;=($D$31+$D$32)),0,0)</f>
        <v>0</v>
      </c>
      <c r="H84" s="196">
        <f t="shared" si="18"/>
        <v>0</v>
      </c>
      <c r="I84" s="196">
        <f t="shared" si="18"/>
        <v>0</v>
      </c>
      <c r="J84" s="196">
        <f t="shared" si="18"/>
        <v>0</v>
      </c>
      <c r="K84" s="196">
        <f t="shared" si="18"/>
        <v>0</v>
      </c>
      <c r="L84" s="196">
        <f t="shared" si="18"/>
        <v>0</v>
      </c>
      <c r="M84" s="196">
        <f t="shared" si="18"/>
        <v>0</v>
      </c>
      <c r="N84" s="196">
        <f t="shared" si="18"/>
        <v>0</v>
      </c>
      <c r="O84" s="196">
        <f t="shared" si="18"/>
        <v>0</v>
      </c>
      <c r="P84" s="196">
        <f t="shared" si="18"/>
        <v>0</v>
      </c>
      <c r="Q84" s="196">
        <f t="shared" si="18"/>
        <v>0</v>
      </c>
      <c r="R84" s="196">
        <f t="shared" si="18"/>
        <v>0</v>
      </c>
      <c r="S84" s="196">
        <f t="shared" si="18"/>
        <v>0</v>
      </c>
      <c r="T84" s="196">
        <f t="shared" si="18"/>
        <v>0</v>
      </c>
      <c r="U84" s="196">
        <f t="shared" si="18"/>
        <v>0</v>
      </c>
      <c r="V84" s="196">
        <f t="shared" si="18"/>
        <v>0</v>
      </c>
      <c r="W84" s="196">
        <f t="shared" si="18"/>
        <v>0</v>
      </c>
      <c r="X84" s="196">
        <f t="shared" si="18"/>
        <v>0</v>
      </c>
      <c r="Y84" s="196">
        <f t="shared" si="18"/>
        <v>0</v>
      </c>
      <c r="Z84" s="196">
        <f t="shared" si="18"/>
        <v>0</v>
      </c>
      <c r="AA84" s="196">
        <f t="shared" si="18"/>
        <v>0</v>
      </c>
      <c r="AB84" s="196">
        <f t="shared" si="18"/>
        <v>0</v>
      </c>
      <c r="AC84" s="196">
        <f t="shared" si="18"/>
        <v>0</v>
      </c>
      <c r="AD84" s="196">
        <f t="shared" si="18"/>
        <v>0</v>
      </c>
      <c r="AE84" s="196">
        <f t="shared" si="18"/>
        <v>0</v>
      </c>
      <c r="AF84" s="196">
        <f t="shared" si="18"/>
        <v>0</v>
      </c>
      <c r="AG84" s="196">
        <f t="shared" si="18"/>
        <v>0</v>
      </c>
      <c r="AH84" s="196">
        <f t="shared" si="18"/>
        <v>0</v>
      </c>
      <c r="AI84" s="196">
        <f t="shared" si="18"/>
        <v>0</v>
      </c>
      <c r="AJ84" s="196">
        <f t="shared" si="18"/>
        <v>0</v>
      </c>
      <c r="AK84" s="196">
        <f t="shared" si="18"/>
        <v>0</v>
      </c>
      <c r="AL84" s="196">
        <f t="shared" si="18"/>
        <v>0</v>
      </c>
      <c r="AM84" s="196">
        <f t="shared" ref="AM84:BH84" si="19">IF(AND(AM54&gt;=$D$31,AM54&lt;=($D$31+$D$32)),0,0)</f>
        <v>0</v>
      </c>
      <c r="AN84" s="196">
        <f t="shared" si="19"/>
        <v>0</v>
      </c>
      <c r="AO84" s="196">
        <f t="shared" si="19"/>
        <v>0</v>
      </c>
      <c r="AP84" s="196">
        <f t="shared" si="19"/>
        <v>0</v>
      </c>
      <c r="AQ84" s="196">
        <f t="shared" si="19"/>
        <v>0</v>
      </c>
      <c r="AR84" s="196">
        <f t="shared" si="19"/>
        <v>0</v>
      </c>
      <c r="AS84" s="196">
        <f t="shared" si="19"/>
        <v>0</v>
      </c>
      <c r="AT84" s="196">
        <f t="shared" si="19"/>
        <v>0</v>
      </c>
      <c r="AU84" s="196">
        <f t="shared" si="19"/>
        <v>0</v>
      </c>
      <c r="AV84" s="196">
        <f t="shared" si="19"/>
        <v>0</v>
      </c>
      <c r="AW84" s="196">
        <f t="shared" si="19"/>
        <v>0</v>
      </c>
      <c r="AX84" s="196">
        <f t="shared" si="19"/>
        <v>0</v>
      </c>
      <c r="AY84" s="196">
        <f t="shared" si="19"/>
        <v>0</v>
      </c>
      <c r="AZ84" s="196">
        <f t="shared" si="19"/>
        <v>0</v>
      </c>
      <c r="BA84" s="196">
        <f t="shared" si="19"/>
        <v>0</v>
      </c>
      <c r="BB84" s="196">
        <f t="shared" si="19"/>
        <v>0</v>
      </c>
      <c r="BC84" s="196">
        <f t="shared" si="19"/>
        <v>0</v>
      </c>
      <c r="BD84" s="196">
        <f t="shared" si="19"/>
        <v>0</v>
      </c>
      <c r="BE84" s="196">
        <f t="shared" si="19"/>
        <v>0</v>
      </c>
      <c r="BF84" s="196">
        <f t="shared" si="19"/>
        <v>0</v>
      </c>
      <c r="BG84" s="196">
        <f t="shared" si="19"/>
        <v>0</v>
      </c>
      <c r="BH84" s="196">
        <f t="shared" si="19"/>
        <v>0</v>
      </c>
      <c r="BI84" s="175"/>
      <c r="BJ84" s="121"/>
      <c r="BK84" s="121"/>
      <c r="BL84" s="121"/>
      <c r="BM84" s="121"/>
      <c r="BN84" s="121"/>
      <c r="BO84" s="121"/>
    </row>
    <row r="85" spans="2:67" ht="12.75">
      <c r="C85" s="201" t="s">
        <v>277</v>
      </c>
      <c r="D85" s="121" t="s">
        <v>568</v>
      </c>
      <c r="E85" s="121" t="s">
        <v>264</v>
      </c>
      <c r="F85" s="176">
        <f t="shared" ref="F85:AK85" si="20">IF(AND(F54&gt;=$D$31,F54&lt;=($D$31+$D$32)),0,0)</f>
        <v>0</v>
      </c>
      <c r="G85" s="176">
        <f t="shared" si="20"/>
        <v>0</v>
      </c>
      <c r="H85" s="176">
        <f t="shared" si="20"/>
        <v>0</v>
      </c>
      <c r="I85" s="176">
        <f t="shared" si="20"/>
        <v>0</v>
      </c>
      <c r="J85" s="176">
        <f t="shared" si="20"/>
        <v>0</v>
      </c>
      <c r="K85" s="176">
        <f t="shared" si="20"/>
        <v>0</v>
      </c>
      <c r="L85" s="176">
        <f t="shared" si="20"/>
        <v>0</v>
      </c>
      <c r="M85" s="176">
        <f t="shared" si="20"/>
        <v>0</v>
      </c>
      <c r="N85" s="176">
        <f t="shared" si="20"/>
        <v>0</v>
      </c>
      <c r="O85" s="176">
        <f t="shared" si="20"/>
        <v>0</v>
      </c>
      <c r="P85" s="176">
        <f t="shared" si="20"/>
        <v>0</v>
      </c>
      <c r="Q85" s="176">
        <f t="shared" si="20"/>
        <v>0</v>
      </c>
      <c r="R85" s="176">
        <f t="shared" si="20"/>
        <v>0</v>
      </c>
      <c r="S85" s="176">
        <f t="shared" si="20"/>
        <v>0</v>
      </c>
      <c r="T85" s="176">
        <f t="shared" si="20"/>
        <v>0</v>
      </c>
      <c r="U85" s="176">
        <f t="shared" si="20"/>
        <v>0</v>
      </c>
      <c r="V85" s="176">
        <f t="shared" si="20"/>
        <v>0</v>
      </c>
      <c r="W85" s="176">
        <f t="shared" si="20"/>
        <v>0</v>
      </c>
      <c r="X85" s="176">
        <f t="shared" si="20"/>
        <v>0</v>
      </c>
      <c r="Y85" s="176">
        <f t="shared" si="20"/>
        <v>0</v>
      </c>
      <c r="Z85" s="176">
        <f t="shared" si="20"/>
        <v>0</v>
      </c>
      <c r="AA85" s="176">
        <f t="shared" si="20"/>
        <v>0</v>
      </c>
      <c r="AB85" s="176">
        <f t="shared" si="20"/>
        <v>0</v>
      </c>
      <c r="AC85" s="176">
        <f t="shared" si="20"/>
        <v>0</v>
      </c>
      <c r="AD85" s="176">
        <f t="shared" si="20"/>
        <v>0</v>
      </c>
      <c r="AE85" s="176">
        <f t="shared" si="20"/>
        <v>0</v>
      </c>
      <c r="AF85" s="176">
        <f t="shared" si="20"/>
        <v>0</v>
      </c>
      <c r="AG85" s="176">
        <f t="shared" si="20"/>
        <v>0</v>
      </c>
      <c r="AH85" s="176">
        <f t="shared" si="20"/>
        <v>0</v>
      </c>
      <c r="AI85" s="176">
        <f t="shared" si="20"/>
        <v>0</v>
      </c>
      <c r="AJ85" s="176">
        <f t="shared" si="20"/>
        <v>0</v>
      </c>
      <c r="AK85" s="176">
        <f t="shared" si="20"/>
        <v>0</v>
      </c>
      <c r="AL85" s="176">
        <f t="shared" ref="AL85:BH85" si="21">IF(AND(AL54&gt;=$D$31,AL54&lt;=($D$31+$D$32)),0,0)</f>
        <v>0</v>
      </c>
      <c r="AM85" s="176">
        <f t="shared" si="21"/>
        <v>0</v>
      </c>
      <c r="AN85" s="176">
        <f t="shared" si="21"/>
        <v>0</v>
      </c>
      <c r="AO85" s="176">
        <f t="shared" si="21"/>
        <v>0</v>
      </c>
      <c r="AP85" s="176">
        <f t="shared" si="21"/>
        <v>0</v>
      </c>
      <c r="AQ85" s="176">
        <f t="shared" si="21"/>
        <v>0</v>
      </c>
      <c r="AR85" s="176">
        <f t="shared" si="21"/>
        <v>0</v>
      </c>
      <c r="AS85" s="176">
        <f t="shared" si="21"/>
        <v>0</v>
      </c>
      <c r="AT85" s="176">
        <f t="shared" si="21"/>
        <v>0</v>
      </c>
      <c r="AU85" s="176">
        <f t="shared" si="21"/>
        <v>0</v>
      </c>
      <c r="AV85" s="176">
        <f t="shared" si="21"/>
        <v>0</v>
      </c>
      <c r="AW85" s="176">
        <f t="shared" si="21"/>
        <v>0</v>
      </c>
      <c r="AX85" s="176">
        <f t="shared" si="21"/>
        <v>0</v>
      </c>
      <c r="AY85" s="176">
        <f t="shared" si="21"/>
        <v>0</v>
      </c>
      <c r="AZ85" s="176">
        <f t="shared" si="21"/>
        <v>0</v>
      </c>
      <c r="BA85" s="176">
        <f t="shared" si="21"/>
        <v>0</v>
      </c>
      <c r="BB85" s="176">
        <f t="shared" si="21"/>
        <v>0</v>
      </c>
      <c r="BC85" s="176">
        <f t="shared" si="21"/>
        <v>0</v>
      </c>
      <c r="BD85" s="176">
        <f t="shared" si="21"/>
        <v>0</v>
      </c>
      <c r="BE85" s="176">
        <f t="shared" si="21"/>
        <v>0</v>
      </c>
      <c r="BF85" s="176">
        <f t="shared" si="21"/>
        <v>0</v>
      </c>
      <c r="BG85" s="176">
        <f t="shared" si="21"/>
        <v>0</v>
      </c>
      <c r="BH85" s="176">
        <f t="shared" si="21"/>
        <v>0</v>
      </c>
      <c r="BI85" s="175">
        <f>NPV($D$49,F85:BH85)</f>
        <v>0</v>
      </c>
      <c r="BJ85" s="121"/>
      <c r="BK85" s="121"/>
      <c r="BL85" s="121"/>
      <c r="BM85" s="121"/>
      <c r="BN85" s="121"/>
      <c r="BO85" s="121"/>
    </row>
    <row r="86" spans="2:67" ht="12.75">
      <c r="C86" s="201" t="s">
        <v>277</v>
      </c>
      <c r="D86" s="121" t="s">
        <v>567</v>
      </c>
      <c r="E86" s="121" t="s">
        <v>264</v>
      </c>
      <c r="F86" s="176">
        <f t="shared" ref="F86:AK86" si="22">IF(AND(F54&gt;=$D$31,F54&lt;=($D$31+$D$32)),0,0)</f>
        <v>0</v>
      </c>
      <c r="G86" s="176">
        <f t="shared" si="22"/>
        <v>0</v>
      </c>
      <c r="H86" s="176">
        <f t="shared" si="22"/>
        <v>0</v>
      </c>
      <c r="I86" s="176">
        <f t="shared" si="22"/>
        <v>0</v>
      </c>
      <c r="J86" s="176">
        <f t="shared" si="22"/>
        <v>0</v>
      </c>
      <c r="K86" s="176">
        <f t="shared" si="22"/>
        <v>0</v>
      </c>
      <c r="L86" s="176">
        <f t="shared" si="22"/>
        <v>0</v>
      </c>
      <c r="M86" s="176">
        <f t="shared" si="22"/>
        <v>0</v>
      </c>
      <c r="N86" s="176">
        <f t="shared" si="22"/>
        <v>0</v>
      </c>
      <c r="O86" s="176">
        <f t="shared" si="22"/>
        <v>0</v>
      </c>
      <c r="P86" s="176">
        <f t="shared" si="22"/>
        <v>0</v>
      </c>
      <c r="Q86" s="176">
        <f t="shared" si="22"/>
        <v>0</v>
      </c>
      <c r="R86" s="176">
        <f t="shared" si="22"/>
        <v>0</v>
      </c>
      <c r="S86" s="176">
        <f t="shared" si="22"/>
        <v>0</v>
      </c>
      <c r="T86" s="176">
        <f t="shared" si="22"/>
        <v>0</v>
      </c>
      <c r="U86" s="176">
        <f t="shared" si="22"/>
        <v>0</v>
      </c>
      <c r="V86" s="176">
        <f t="shared" si="22"/>
        <v>0</v>
      </c>
      <c r="W86" s="176">
        <f t="shared" si="22"/>
        <v>0</v>
      </c>
      <c r="X86" s="176">
        <f t="shared" si="22"/>
        <v>0</v>
      </c>
      <c r="Y86" s="176">
        <f t="shared" si="22"/>
        <v>0</v>
      </c>
      <c r="Z86" s="176">
        <f t="shared" si="22"/>
        <v>0</v>
      </c>
      <c r="AA86" s="176">
        <f t="shared" si="22"/>
        <v>0</v>
      </c>
      <c r="AB86" s="176">
        <f t="shared" si="22"/>
        <v>0</v>
      </c>
      <c r="AC86" s="176">
        <f t="shared" si="22"/>
        <v>0</v>
      </c>
      <c r="AD86" s="176">
        <f t="shared" si="22"/>
        <v>0</v>
      </c>
      <c r="AE86" s="176">
        <f t="shared" si="22"/>
        <v>0</v>
      </c>
      <c r="AF86" s="176">
        <f t="shared" si="22"/>
        <v>0</v>
      </c>
      <c r="AG86" s="176">
        <f t="shared" si="22"/>
        <v>0</v>
      </c>
      <c r="AH86" s="176">
        <f t="shared" si="22"/>
        <v>0</v>
      </c>
      <c r="AI86" s="176">
        <f t="shared" si="22"/>
        <v>0</v>
      </c>
      <c r="AJ86" s="176">
        <f t="shared" si="22"/>
        <v>0</v>
      </c>
      <c r="AK86" s="176">
        <f t="shared" si="22"/>
        <v>0</v>
      </c>
      <c r="AL86" s="176">
        <f t="shared" ref="AL86:BH86" si="23">IF(AND(AL54&gt;=$D$31,AL54&lt;=($D$31+$D$32)),0,0)</f>
        <v>0</v>
      </c>
      <c r="AM86" s="176">
        <f t="shared" si="23"/>
        <v>0</v>
      </c>
      <c r="AN86" s="176">
        <f t="shared" si="23"/>
        <v>0</v>
      </c>
      <c r="AO86" s="176">
        <f t="shared" si="23"/>
        <v>0</v>
      </c>
      <c r="AP86" s="176">
        <f t="shared" si="23"/>
        <v>0</v>
      </c>
      <c r="AQ86" s="176">
        <f t="shared" si="23"/>
        <v>0</v>
      </c>
      <c r="AR86" s="176">
        <f t="shared" si="23"/>
        <v>0</v>
      </c>
      <c r="AS86" s="176">
        <f t="shared" si="23"/>
        <v>0</v>
      </c>
      <c r="AT86" s="176">
        <f t="shared" si="23"/>
        <v>0</v>
      </c>
      <c r="AU86" s="176">
        <f t="shared" si="23"/>
        <v>0</v>
      </c>
      <c r="AV86" s="176">
        <f t="shared" si="23"/>
        <v>0</v>
      </c>
      <c r="AW86" s="176">
        <f t="shared" si="23"/>
        <v>0</v>
      </c>
      <c r="AX86" s="176">
        <f t="shared" si="23"/>
        <v>0</v>
      </c>
      <c r="AY86" s="176">
        <f t="shared" si="23"/>
        <v>0</v>
      </c>
      <c r="AZ86" s="176">
        <f t="shared" si="23"/>
        <v>0</v>
      </c>
      <c r="BA86" s="176">
        <f t="shared" si="23"/>
        <v>0</v>
      </c>
      <c r="BB86" s="176">
        <f t="shared" si="23"/>
        <v>0</v>
      </c>
      <c r="BC86" s="176">
        <f t="shared" si="23"/>
        <v>0</v>
      </c>
      <c r="BD86" s="176">
        <f t="shared" si="23"/>
        <v>0</v>
      </c>
      <c r="BE86" s="176">
        <f t="shared" si="23"/>
        <v>0</v>
      </c>
      <c r="BF86" s="176">
        <f t="shared" si="23"/>
        <v>0</v>
      </c>
      <c r="BG86" s="176">
        <f t="shared" si="23"/>
        <v>0</v>
      </c>
      <c r="BH86" s="176">
        <f t="shared" si="23"/>
        <v>0</v>
      </c>
      <c r="BI86" s="175">
        <f>NPV($D$49,F86:BH86)</f>
        <v>0</v>
      </c>
      <c r="BJ86" s="121"/>
      <c r="BK86" s="121"/>
      <c r="BL86" s="121"/>
      <c r="BM86" s="121"/>
      <c r="BN86" s="121"/>
      <c r="BO86" s="121"/>
    </row>
    <row r="87" spans="2:67" ht="12.75">
      <c r="C87" s="201"/>
      <c r="D87" s="121" t="s">
        <v>630</v>
      </c>
      <c r="E87" s="121"/>
      <c r="F87" s="176">
        <f t="shared" ref="F87:AK87" si="24">IF(AND(F54&gt;=$D$31,F54&lt;=($D$31+$D$32)),F84*F92,0)</f>
        <v>0</v>
      </c>
      <c r="G87" s="176">
        <f t="shared" si="24"/>
        <v>0</v>
      </c>
      <c r="H87" s="176">
        <f t="shared" si="24"/>
        <v>0</v>
      </c>
      <c r="I87" s="176">
        <f t="shared" si="24"/>
        <v>0</v>
      </c>
      <c r="J87" s="176">
        <f t="shared" si="24"/>
        <v>0</v>
      </c>
      <c r="K87" s="176">
        <f t="shared" si="24"/>
        <v>0</v>
      </c>
      <c r="L87" s="176">
        <f t="shared" si="24"/>
        <v>0</v>
      </c>
      <c r="M87" s="176">
        <f t="shared" si="24"/>
        <v>0</v>
      </c>
      <c r="N87" s="176">
        <f t="shared" si="24"/>
        <v>0</v>
      </c>
      <c r="O87" s="176">
        <f t="shared" si="24"/>
        <v>0</v>
      </c>
      <c r="P87" s="176">
        <f t="shared" si="24"/>
        <v>0</v>
      </c>
      <c r="Q87" s="176">
        <f t="shared" si="24"/>
        <v>0</v>
      </c>
      <c r="R87" s="176">
        <f t="shared" si="24"/>
        <v>0</v>
      </c>
      <c r="S87" s="176">
        <f t="shared" si="24"/>
        <v>0</v>
      </c>
      <c r="T87" s="176">
        <f t="shared" si="24"/>
        <v>0</v>
      </c>
      <c r="U87" s="176">
        <f t="shared" si="24"/>
        <v>0</v>
      </c>
      <c r="V87" s="176">
        <f t="shared" si="24"/>
        <v>0</v>
      </c>
      <c r="W87" s="176">
        <f t="shared" si="24"/>
        <v>0</v>
      </c>
      <c r="X87" s="176">
        <f t="shared" si="24"/>
        <v>0</v>
      </c>
      <c r="Y87" s="176">
        <f t="shared" si="24"/>
        <v>0</v>
      </c>
      <c r="Z87" s="176">
        <f t="shared" si="24"/>
        <v>0</v>
      </c>
      <c r="AA87" s="176">
        <f t="shared" si="24"/>
        <v>0</v>
      </c>
      <c r="AB87" s="176">
        <f t="shared" si="24"/>
        <v>0</v>
      </c>
      <c r="AC87" s="176">
        <f t="shared" si="24"/>
        <v>0</v>
      </c>
      <c r="AD87" s="176">
        <f t="shared" si="24"/>
        <v>0</v>
      </c>
      <c r="AE87" s="176">
        <f t="shared" si="24"/>
        <v>0</v>
      </c>
      <c r="AF87" s="176">
        <f t="shared" si="24"/>
        <v>0</v>
      </c>
      <c r="AG87" s="176">
        <f t="shared" si="24"/>
        <v>0</v>
      </c>
      <c r="AH87" s="176">
        <f t="shared" si="24"/>
        <v>0</v>
      </c>
      <c r="AI87" s="176">
        <f t="shared" si="24"/>
        <v>0</v>
      </c>
      <c r="AJ87" s="176">
        <f t="shared" si="24"/>
        <v>0</v>
      </c>
      <c r="AK87" s="176">
        <f t="shared" si="24"/>
        <v>0</v>
      </c>
      <c r="AL87" s="176">
        <f t="shared" ref="AL87:BH87" si="25">IF(AND(AL54&gt;=$D$31,AL54&lt;=($D$31+$D$32)),AL84*AL92,0)</f>
        <v>0</v>
      </c>
      <c r="AM87" s="176">
        <f t="shared" si="25"/>
        <v>0</v>
      </c>
      <c r="AN87" s="176">
        <f t="shared" si="25"/>
        <v>0</v>
      </c>
      <c r="AO87" s="176">
        <f t="shared" si="25"/>
        <v>0</v>
      </c>
      <c r="AP87" s="176">
        <f t="shared" si="25"/>
        <v>0</v>
      </c>
      <c r="AQ87" s="176">
        <f t="shared" si="25"/>
        <v>0</v>
      </c>
      <c r="AR87" s="176">
        <f t="shared" si="25"/>
        <v>0</v>
      </c>
      <c r="AS87" s="176">
        <f t="shared" si="25"/>
        <v>0</v>
      </c>
      <c r="AT87" s="176">
        <f t="shared" si="25"/>
        <v>0</v>
      </c>
      <c r="AU87" s="176">
        <f t="shared" si="25"/>
        <v>0</v>
      </c>
      <c r="AV87" s="176">
        <f t="shared" si="25"/>
        <v>0</v>
      </c>
      <c r="AW87" s="176">
        <f t="shared" si="25"/>
        <v>0</v>
      </c>
      <c r="AX87" s="176">
        <f t="shared" si="25"/>
        <v>0</v>
      </c>
      <c r="AY87" s="176">
        <f t="shared" si="25"/>
        <v>0</v>
      </c>
      <c r="AZ87" s="176">
        <f t="shared" si="25"/>
        <v>0</v>
      </c>
      <c r="BA87" s="176">
        <f t="shared" si="25"/>
        <v>0</v>
      </c>
      <c r="BB87" s="176">
        <f t="shared" si="25"/>
        <v>0</v>
      </c>
      <c r="BC87" s="176">
        <f t="shared" si="25"/>
        <v>0</v>
      </c>
      <c r="BD87" s="176">
        <f t="shared" si="25"/>
        <v>0</v>
      </c>
      <c r="BE87" s="176">
        <f t="shared" si="25"/>
        <v>0</v>
      </c>
      <c r="BF87" s="176">
        <f t="shared" si="25"/>
        <v>0</v>
      </c>
      <c r="BG87" s="176">
        <f t="shared" si="25"/>
        <v>0</v>
      </c>
      <c r="BH87" s="176">
        <f t="shared" si="25"/>
        <v>0</v>
      </c>
      <c r="BI87" s="175"/>
      <c r="BJ87" s="121"/>
      <c r="BK87" s="121"/>
      <c r="BL87" s="121"/>
      <c r="BM87" s="121"/>
      <c r="BN87" s="121"/>
      <c r="BO87" s="121"/>
    </row>
    <row r="88" spans="2:67" s="192" customFormat="1" ht="12.75">
      <c r="B88" s="193"/>
      <c r="C88" s="190"/>
      <c r="D88" s="180" t="s">
        <v>373</v>
      </c>
      <c r="E88" s="180" t="s">
        <v>264</v>
      </c>
      <c r="F88" s="194">
        <f>F85+F86+F87</f>
        <v>0</v>
      </c>
      <c r="G88" s="194">
        <f>G85+G86+G87</f>
        <v>0</v>
      </c>
      <c r="H88" s="194">
        <f t="shared" ref="H88:BH88" si="26">H85+H86+H87</f>
        <v>0</v>
      </c>
      <c r="I88" s="194">
        <f t="shared" si="26"/>
        <v>0</v>
      </c>
      <c r="J88" s="194">
        <f t="shared" si="26"/>
        <v>0</v>
      </c>
      <c r="K88" s="194">
        <f t="shared" si="26"/>
        <v>0</v>
      </c>
      <c r="L88" s="194">
        <f t="shared" si="26"/>
        <v>0</v>
      </c>
      <c r="M88" s="194">
        <f t="shared" si="26"/>
        <v>0</v>
      </c>
      <c r="N88" s="194">
        <f t="shared" si="26"/>
        <v>0</v>
      </c>
      <c r="O88" s="194">
        <f t="shared" si="26"/>
        <v>0</v>
      </c>
      <c r="P88" s="194">
        <f t="shared" si="26"/>
        <v>0</v>
      </c>
      <c r="Q88" s="194">
        <f t="shared" si="26"/>
        <v>0</v>
      </c>
      <c r="R88" s="194">
        <f t="shared" si="26"/>
        <v>0</v>
      </c>
      <c r="S88" s="194">
        <f t="shared" si="26"/>
        <v>0</v>
      </c>
      <c r="T88" s="194">
        <f t="shared" si="26"/>
        <v>0</v>
      </c>
      <c r="U88" s="194">
        <f t="shared" si="26"/>
        <v>0</v>
      </c>
      <c r="V88" s="194">
        <f t="shared" si="26"/>
        <v>0</v>
      </c>
      <c r="W88" s="194">
        <f t="shared" si="26"/>
        <v>0</v>
      </c>
      <c r="X88" s="194">
        <f t="shared" si="26"/>
        <v>0</v>
      </c>
      <c r="Y88" s="194">
        <f t="shared" si="26"/>
        <v>0</v>
      </c>
      <c r="Z88" s="194">
        <f t="shared" si="26"/>
        <v>0</v>
      </c>
      <c r="AA88" s="194">
        <f t="shared" si="26"/>
        <v>0</v>
      </c>
      <c r="AB88" s="194">
        <f t="shared" si="26"/>
        <v>0</v>
      </c>
      <c r="AC88" s="194">
        <f t="shared" si="26"/>
        <v>0</v>
      </c>
      <c r="AD88" s="194">
        <f t="shared" si="26"/>
        <v>0</v>
      </c>
      <c r="AE88" s="194">
        <f t="shared" si="26"/>
        <v>0</v>
      </c>
      <c r="AF88" s="194">
        <f t="shared" si="26"/>
        <v>0</v>
      </c>
      <c r="AG88" s="194">
        <f t="shared" si="26"/>
        <v>0</v>
      </c>
      <c r="AH88" s="194">
        <f t="shared" si="26"/>
        <v>0</v>
      </c>
      <c r="AI88" s="194">
        <f t="shared" si="26"/>
        <v>0</v>
      </c>
      <c r="AJ88" s="194">
        <f t="shared" si="26"/>
        <v>0</v>
      </c>
      <c r="AK88" s="194">
        <f t="shared" si="26"/>
        <v>0</v>
      </c>
      <c r="AL88" s="194">
        <f t="shared" si="26"/>
        <v>0</v>
      </c>
      <c r="AM88" s="194">
        <f t="shared" si="26"/>
        <v>0</v>
      </c>
      <c r="AN88" s="194">
        <f t="shared" si="26"/>
        <v>0</v>
      </c>
      <c r="AO88" s="194">
        <f t="shared" si="26"/>
        <v>0</v>
      </c>
      <c r="AP88" s="194">
        <f t="shared" si="26"/>
        <v>0</v>
      </c>
      <c r="AQ88" s="194">
        <f t="shared" si="26"/>
        <v>0</v>
      </c>
      <c r="AR88" s="194">
        <f t="shared" si="26"/>
        <v>0</v>
      </c>
      <c r="AS88" s="194">
        <f t="shared" si="26"/>
        <v>0</v>
      </c>
      <c r="AT88" s="194">
        <f t="shared" si="26"/>
        <v>0</v>
      </c>
      <c r="AU88" s="194">
        <f t="shared" si="26"/>
        <v>0</v>
      </c>
      <c r="AV88" s="194">
        <f t="shared" si="26"/>
        <v>0</v>
      </c>
      <c r="AW88" s="194">
        <f t="shared" si="26"/>
        <v>0</v>
      </c>
      <c r="AX88" s="194">
        <f t="shared" si="26"/>
        <v>0</v>
      </c>
      <c r="AY88" s="194">
        <f t="shared" si="26"/>
        <v>0</v>
      </c>
      <c r="AZ88" s="194">
        <f t="shared" si="26"/>
        <v>0</v>
      </c>
      <c r="BA88" s="194">
        <f t="shared" si="26"/>
        <v>0</v>
      </c>
      <c r="BB88" s="194">
        <f t="shared" si="26"/>
        <v>0</v>
      </c>
      <c r="BC88" s="194">
        <f t="shared" si="26"/>
        <v>0</v>
      </c>
      <c r="BD88" s="194">
        <f t="shared" si="26"/>
        <v>0</v>
      </c>
      <c r="BE88" s="194">
        <f t="shared" si="26"/>
        <v>0</v>
      </c>
      <c r="BF88" s="194">
        <f t="shared" si="26"/>
        <v>0</v>
      </c>
      <c r="BG88" s="194">
        <f t="shared" si="26"/>
        <v>0</v>
      </c>
      <c r="BH88" s="194">
        <f t="shared" si="26"/>
        <v>0</v>
      </c>
      <c r="BI88" s="175">
        <f>NPV($D$49,F88:BH88)</f>
        <v>0</v>
      </c>
      <c r="BJ88" s="180"/>
      <c r="BK88" s="180"/>
      <c r="BL88" s="180"/>
      <c r="BM88" s="180"/>
      <c r="BN88" s="180"/>
      <c r="BO88" s="180"/>
    </row>
    <row r="89" spans="2:67" ht="12.75">
      <c r="C89" s="190"/>
      <c r="D89" s="121" t="s">
        <v>833</v>
      </c>
      <c r="E89" s="121"/>
      <c r="F89" s="195"/>
      <c r="G89" s="375">
        <f>G84*G92-G88</f>
        <v>0</v>
      </c>
      <c r="H89" s="375">
        <f t="shared" ref="H89:BH89" si="27">H84*H92-H88</f>
        <v>0</v>
      </c>
      <c r="I89" s="375">
        <f t="shared" si="27"/>
        <v>0</v>
      </c>
      <c r="J89" s="375">
        <f t="shared" si="27"/>
        <v>0</v>
      </c>
      <c r="K89" s="375">
        <f t="shared" si="27"/>
        <v>0</v>
      </c>
      <c r="L89" s="375">
        <f t="shared" si="27"/>
        <v>0</v>
      </c>
      <c r="M89" s="375">
        <f t="shared" si="27"/>
        <v>0</v>
      </c>
      <c r="N89" s="375">
        <f t="shared" si="27"/>
        <v>0</v>
      </c>
      <c r="O89" s="375">
        <f t="shared" si="27"/>
        <v>0</v>
      </c>
      <c r="P89" s="375">
        <f t="shared" si="27"/>
        <v>0</v>
      </c>
      <c r="Q89" s="375">
        <f t="shared" si="27"/>
        <v>0</v>
      </c>
      <c r="R89" s="375">
        <f t="shared" si="27"/>
        <v>0</v>
      </c>
      <c r="S89" s="375">
        <f t="shared" si="27"/>
        <v>0</v>
      </c>
      <c r="T89" s="375">
        <f t="shared" si="27"/>
        <v>0</v>
      </c>
      <c r="U89" s="375">
        <f t="shared" si="27"/>
        <v>0</v>
      </c>
      <c r="V89" s="375">
        <f t="shared" si="27"/>
        <v>0</v>
      </c>
      <c r="W89" s="375">
        <f t="shared" si="27"/>
        <v>0</v>
      </c>
      <c r="X89" s="375">
        <f t="shared" si="27"/>
        <v>0</v>
      </c>
      <c r="Y89" s="375">
        <f t="shared" si="27"/>
        <v>0</v>
      </c>
      <c r="Z89" s="375">
        <f t="shared" si="27"/>
        <v>0</v>
      </c>
      <c r="AA89" s="375">
        <f t="shared" si="27"/>
        <v>0</v>
      </c>
      <c r="AB89" s="375">
        <f t="shared" si="27"/>
        <v>0</v>
      </c>
      <c r="AC89" s="375">
        <f t="shared" si="27"/>
        <v>0</v>
      </c>
      <c r="AD89" s="375">
        <f t="shared" si="27"/>
        <v>0</v>
      </c>
      <c r="AE89" s="375">
        <f t="shared" si="27"/>
        <v>0</v>
      </c>
      <c r="AF89" s="375">
        <f t="shared" si="27"/>
        <v>0</v>
      </c>
      <c r="AG89" s="375">
        <f t="shared" si="27"/>
        <v>0</v>
      </c>
      <c r="AH89" s="375">
        <f t="shared" si="27"/>
        <v>0</v>
      </c>
      <c r="AI89" s="375">
        <f t="shared" si="27"/>
        <v>0</v>
      </c>
      <c r="AJ89" s="375">
        <f t="shared" si="27"/>
        <v>0</v>
      </c>
      <c r="AK89" s="375">
        <f t="shared" si="27"/>
        <v>0</v>
      </c>
      <c r="AL89" s="375">
        <f t="shared" si="27"/>
        <v>0</v>
      </c>
      <c r="AM89" s="375">
        <f t="shared" si="27"/>
        <v>0</v>
      </c>
      <c r="AN89" s="375">
        <f t="shared" si="27"/>
        <v>0</v>
      </c>
      <c r="AO89" s="375">
        <f t="shared" si="27"/>
        <v>0</v>
      </c>
      <c r="AP89" s="375">
        <f t="shared" si="27"/>
        <v>0</v>
      </c>
      <c r="AQ89" s="375">
        <f t="shared" si="27"/>
        <v>0</v>
      </c>
      <c r="AR89" s="375">
        <f t="shared" si="27"/>
        <v>0</v>
      </c>
      <c r="AS89" s="375">
        <f t="shared" si="27"/>
        <v>0</v>
      </c>
      <c r="AT89" s="375">
        <f t="shared" si="27"/>
        <v>0</v>
      </c>
      <c r="AU89" s="375">
        <f t="shared" si="27"/>
        <v>0</v>
      </c>
      <c r="AV89" s="375">
        <f t="shared" si="27"/>
        <v>0</v>
      </c>
      <c r="AW89" s="375">
        <f t="shared" si="27"/>
        <v>0</v>
      </c>
      <c r="AX89" s="375">
        <f t="shared" si="27"/>
        <v>0</v>
      </c>
      <c r="AY89" s="375">
        <f t="shared" si="27"/>
        <v>0</v>
      </c>
      <c r="AZ89" s="375">
        <f t="shared" si="27"/>
        <v>0</v>
      </c>
      <c r="BA89" s="375">
        <f t="shared" si="27"/>
        <v>0</v>
      </c>
      <c r="BB89" s="375">
        <f t="shared" si="27"/>
        <v>0</v>
      </c>
      <c r="BC89" s="375">
        <f t="shared" si="27"/>
        <v>0</v>
      </c>
      <c r="BD89" s="375">
        <f t="shared" si="27"/>
        <v>0</v>
      </c>
      <c r="BE89" s="375">
        <f t="shared" si="27"/>
        <v>0</v>
      </c>
      <c r="BF89" s="375">
        <f t="shared" si="27"/>
        <v>0</v>
      </c>
      <c r="BG89" s="375">
        <f t="shared" si="27"/>
        <v>0</v>
      </c>
      <c r="BH89" s="375">
        <f t="shared" si="27"/>
        <v>0</v>
      </c>
      <c r="BI89" s="175"/>
      <c r="BJ89" s="121"/>
      <c r="BK89" s="121"/>
      <c r="BL89" s="121"/>
      <c r="BM89" s="121"/>
      <c r="BN89" s="121"/>
      <c r="BO89" s="121"/>
    </row>
    <row r="90" spans="2:67" ht="12.75">
      <c r="C90" s="2005" t="s">
        <v>285</v>
      </c>
      <c r="D90" s="2007"/>
      <c r="E90" s="2007"/>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200"/>
      <c r="BJ90" s="121"/>
      <c r="BK90" s="121"/>
      <c r="BL90" s="121"/>
      <c r="BM90" s="121"/>
      <c r="BN90" s="121"/>
      <c r="BO90" s="121"/>
    </row>
    <row r="91" spans="2:67" ht="12.75">
      <c r="C91" s="201"/>
      <c r="D91" s="121" t="s">
        <v>617</v>
      </c>
      <c r="E91" s="121" t="str">
        <f>IF(C7="railbelt south of Alaska Range","mmBtu per year","gallons per year")</f>
        <v>gallons per year</v>
      </c>
      <c r="F91" s="196">
        <f t="shared" ref="F91:AK91" si="28">IF(AND(F54&gt;=$D$31,F54&lt;=($D$31+$D$32)),$D$34,0)</f>
        <v>0</v>
      </c>
      <c r="G91" s="196">
        <f t="shared" si="28"/>
        <v>0</v>
      </c>
      <c r="H91" s="196">
        <f t="shared" si="28"/>
        <v>0</v>
      </c>
      <c r="I91" s="196">
        <f t="shared" si="28"/>
        <v>0</v>
      </c>
      <c r="J91" s="196">
        <f t="shared" si="28"/>
        <v>0</v>
      </c>
      <c r="K91" s="196">
        <f t="shared" si="28"/>
        <v>0</v>
      </c>
      <c r="L91" s="196">
        <f t="shared" si="28"/>
        <v>0</v>
      </c>
      <c r="M91" s="196">
        <f t="shared" si="28"/>
        <v>0</v>
      </c>
      <c r="N91" s="196">
        <f t="shared" si="28"/>
        <v>0</v>
      </c>
      <c r="O91" s="196">
        <f t="shared" si="28"/>
        <v>0</v>
      </c>
      <c r="P91" s="196">
        <f t="shared" si="28"/>
        <v>0</v>
      </c>
      <c r="Q91" s="196">
        <f t="shared" si="28"/>
        <v>0</v>
      </c>
      <c r="R91" s="196">
        <f t="shared" si="28"/>
        <v>0</v>
      </c>
      <c r="S91" s="196">
        <f t="shared" si="28"/>
        <v>0</v>
      </c>
      <c r="T91" s="196">
        <f t="shared" si="28"/>
        <v>0</v>
      </c>
      <c r="U91" s="196">
        <f t="shared" si="28"/>
        <v>0</v>
      </c>
      <c r="V91" s="196">
        <f t="shared" si="28"/>
        <v>0</v>
      </c>
      <c r="W91" s="196">
        <f t="shared" si="28"/>
        <v>0</v>
      </c>
      <c r="X91" s="196">
        <f t="shared" si="28"/>
        <v>0</v>
      </c>
      <c r="Y91" s="196">
        <f t="shared" si="28"/>
        <v>0</v>
      </c>
      <c r="Z91" s="196">
        <f t="shared" si="28"/>
        <v>0</v>
      </c>
      <c r="AA91" s="196">
        <f t="shared" si="28"/>
        <v>0</v>
      </c>
      <c r="AB91" s="196">
        <f t="shared" si="28"/>
        <v>0</v>
      </c>
      <c r="AC91" s="196">
        <f t="shared" si="28"/>
        <v>0</v>
      </c>
      <c r="AD91" s="196">
        <f t="shared" si="28"/>
        <v>0</v>
      </c>
      <c r="AE91" s="196">
        <f t="shared" si="28"/>
        <v>0</v>
      </c>
      <c r="AF91" s="196">
        <f t="shared" si="28"/>
        <v>0</v>
      </c>
      <c r="AG91" s="196">
        <f t="shared" si="28"/>
        <v>0</v>
      </c>
      <c r="AH91" s="196">
        <f t="shared" si="28"/>
        <v>0</v>
      </c>
      <c r="AI91" s="196">
        <f t="shared" si="28"/>
        <v>0</v>
      </c>
      <c r="AJ91" s="196">
        <f t="shared" si="28"/>
        <v>0</v>
      </c>
      <c r="AK91" s="196">
        <f t="shared" si="28"/>
        <v>0</v>
      </c>
      <c r="AL91" s="196">
        <f t="shared" ref="AL91:BH91" si="29">IF(AND(AL54&gt;=$D$31,AL54&lt;=($D$31+$D$32)),$D$34,0)</f>
        <v>0</v>
      </c>
      <c r="AM91" s="196">
        <f t="shared" si="29"/>
        <v>0</v>
      </c>
      <c r="AN91" s="196">
        <f t="shared" si="29"/>
        <v>0</v>
      </c>
      <c r="AO91" s="196">
        <f t="shared" si="29"/>
        <v>0</v>
      </c>
      <c r="AP91" s="196">
        <f t="shared" si="29"/>
        <v>0</v>
      </c>
      <c r="AQ91" s="196">
        <f t="shared" si="29"/>
        <v>0</v>
      </c>
      <c r="AR91" s="196">
        <f t="shared" si="29"/>
        <v>0</v>
      </c>
      <c r="AS91" s="196">
        <f t="shared" si="29"/>
        <v>0</v>
      </c>
      <c r="AT91" s="196">
        <f t="shared" si="29"/>
        <v>0</v>
      </c>
      <c r="AU91" s="196">
        <f t="shared" si="29"/>
        <v>0</v>
      </c>
      <c r="AV91" s="196">
        <f t="shared" si="29"/>
        <v>0</v>
      </c>
      <c r="AW91" s="196">
        <f t="shared" si="29"/>
        <v>0</v>
      </c>
      <c r="AX91" s="196">
        <f t="shared" si="29"/>
        <v>0</v>
      </c>
      <c r="AY91" s="196">
        <f t="shared" si="29"/>
        <v>0</v>
      </c>
      <c r="AZ91" s="196">
        <f t="shared" si="29"/>
        <v>0</v>
      </c>
      <c r="BA91" s="196">
        <f t="shared" si="29"/>
        <v>0</v>
      </c>
      <c r="BB91" s="196">
        <f t="shared" si="29"/>
        <v>0</v>
      </c>
      <c r="BC91" s="196">
        <f t="shared" si="29"/>
        <v>0</v>
      </c>
      <c r="BD91" s="196">
        <f t="shared" si="29"/>
        <v>0</v>
      </c>
      <c r="BE91" s="196">
        <f t="shared" si="29"/>
        <v>0</v>
      </c>
      <c r="BF91" s="196">
        <f t="shared" si="29"/>
        <v>0</v>
      </c>
      <c r="BG91" s="196">
        <f t="shared" si="29"/>
        <v>0</v>
      </c>
      <c r="BH91" s="196">
        <f t="shared" si="29"/>
        <v>0</v>
      </c>
      <c r="BI91" s="175"/>
      <c r="BJ91" s="121"/>
      <c r="BK91" s="121"/>
      <c r="BL91" s="121"/>
      <c r="BM91" s="121"/>
      <c r="BN91" s="121"/>
      <c r="BO91" s="121"/>
    </row>
    <row r="92" spans="2:67" ht="12.75">
      <c r="C92" s="201"/>
      <c r="D92" s="121" t="s">
        <v>270</v>
      </c>
      <c r="E92" s="121" t="str">
        <f>IF(C7="railbelt south of alaska range","$ per mmBtu","$ per gallon")</f>
        <v>$ per gallon</v>
      </c>
      <c r="F92" s="187"/>
      <c r="G92" s="187">
        <f>G73+$D$47</f>
        <v>4.2059794220983502</v>
      </c>
      <c r="H92" s="187">
        <f t="shared" ref="H92:BH92" si="30">H73+$D$47</f>
        <v>4.6732754001702883</v>
      </c>
      <c r="I92" s="187">
        <f t="shared" si="30"/>
        <v>4.8376162909716216</v>
      </c>
      <c r="J92" s="187">
        <f t="shared" si="30"/>
        <v>4.8496361886136912</v>
      </c>
      <c r="K92" s="187">
        <f t="shared" si="30"/>
        <v>4.9056275244664125</v>
      </c>
      <c r="L92" s="187">
        <f t="shared" si="30"/>
        <v>4.9619109251504847</v>
      </c>
      <c r="M92" s="187">
        <f t="shared" si="30"/>
        <v>5.0381773568460284</v>
      </c>
      <c r="N92" s="187">
        <f t="shared" si="30"/>
        <v>5.1199306055642086</v>
      </c>
      <c r="O92" s="187">
        <f t="shared" si="30"/>
        <v>5.2046041917591079</v>
      </c>
      <c r="P92" s="187">
        <f t="shared" si="30"/>
        <v>5.2910732209604339</v>
      </c>
      <c r="Q92" s="187">
        <f t="shared" si="30"/>
        <v>5.377947971766412</v>
      </c>
      <c r="R92" s="187">
        <f t="shared" si="30"/>
        <v>5.4704967063761769</v>
      </c>
      <c r="S92" s="187">
        <f t="shared" si="30"/>
        <v>5.5653090792390989</v>
      </c>
      <c r="T92" s="187">
        <f t="shared" si="30"/>
        <v>5.6624414849609002</v>
      </c>
      <c r="U92" s="187">
        <f t="shared" si="30"/>
        <v>5.7619514121882238</v>
      </c>
      <c r="V92" s="187">
        <f t="shared" si="30"/>
        <v>5.863897589004015</v>
      </c>
      <c r="W92" s="187">
        <f t="shared" si="30"/>
        <v>5.9683408481979816</v>
      </c>
      <c r="X92" s="187">
        <f t="shared" si="30"/>
        <v>6.075342926874276</v>
      </c>
      <c r="Y92" s="187">
        <f t="shared" si="30"/>
        <v>6.184818158118297</v>
      </c>
      <c r="Z92" s="187">
        <f t="shared" si="30"/>
        <v>6.292419236935225</v>
      </c>
      <c r="AA92" s="187">
        <f t="shared" si="30"/>
        <v>6.4056246146124609</v>
      </c>
      <c r="AB92" s="187">
        <f t="shared" si="30"/>
        <v>6.5219530773050831</v>
      </c>
      <c r="AC92" s="187">
        <f t="shared" si="30"/>
        <v>6.6360405950884838</v>
      </c>
      <c r="AD92" s="187">
        <f t="shared" si="30"/>
        <v>6.7587026423442191</v>
      </c>
      <c r="AE92" s="187">
        <f t="shared" si="30"/>
        <v>6.8910386217753219</v>
      </c>
      <c r="AF92" s="187">
        <f t="shared" si="30"/>
        <v>7.014392524247052</v>
      </c>
      <c r="AG92" s="187">
        <f t="shared" si="30"/>
        <v>7.014392524247052</v>
      </c>
      <c r="AH92" s="187">
        <f t="shared" si="30"/>
        <v>7.014392524247052</v>
      </c>
      <c r="AI92" s="187">
        <f t="shared" si="30"/>
        <v>7.014392524247052</v>
      </c>
      <c r="AJ92" s="187">
        <f t="shared" si="30"/>
        <v>7.014392524247052</v>
      </c>
      <c r="AK92" s="187">
        <f t="shared" si="30"/>
        <v>7.014392524247052</v>
      </c>
      <c r="AL92" s="187">
        <f t="shared" si="30"/>
        <v>7.014392524247052</v>
      </c>
      <c r="AM92" s="187">
        <f t="shared" si="30"/>
        <v>7.014392524247052</v>
      </c>
      <c r="AN92" s="187">
        <f t="shared" si="30"/>
        <v>7.014392524247052</v>
      </c>
      <c r="AO92" s="187">
        <f t="shared" si="30"/>
        <v>7.014392524247052</v>
      </c>
      <c r="AP92" s="187">
        <f t="shared" si="30"/>
        <v>7.014392524247052</v>
      </c>
      <c r="AQ92" s="187">
        <f t="shared" si="30"/>
        <v>7.014392524247052</v>
      </c>
      <c r="AR92" s="187">
        <f t="shared" si="30"/>
        <v>7.014392524247052</v>
      </c>
      <c r="AS92" s="187">
        <f t="shared" si="30"/>
        <v>7.014392524247052</v>
      </c>
      <c r="AT92" s="187">
        <f t="shared" si="30"/>
        <v>7.014392524247052</v>
      </c>
      <c r="AU92" s="187">
        <f t="shared" si="30"/>
        <v>7.014392524247052</v>
      </c>
      <c r="AV92" s="187">
        <f t="shared" si="30"/>
        <v>7.014392524247052</v>
      </c>
      <c r="AW92" s="187">
        <f t="shared" si="30"/>
        <v>7.014392524247052</v>
      </c>
      <c r="AX92" s="187">
        <f t="shared" si="30"/>
        <v>7.014392524247052</v>
      </c>
      <c r="AY92" s="187">
        <f t="shared" si="30"/>
        <v>7.014392524247052</v>
      </c>
      <c r="AZ92" s="187">
        <f t="shared" si="30"/>
        <v>7.014392524247052</v>
      </c>
      <c r="BA92" s="187">
        <f t="shared" si="30"/>
        <v>7.014392524247052</v>
      </c>
      <c r="BB92" s="187">
        <f t="shared" si="30"/>
        <v>7.014392524247052</v>
      </c>
      <c r="BC92" s="187">
        <f t="shared" si="30"/>
        <v>7.014392524247052</v>
      </c>
      <c r="BD92" s="187">
        <f t="shared" si="30"/>
        <v>7.014392524247052</v>
      </c>
      <c r="BE92" s="187">
        <f t="shared" si="30"/>
        <v>7.014392524247052</v>
      </c>
      <c r="BF92" s="187">
        <f t="shared" si="30"/>
        <v>7.014392524247052</v>
      </c>
      <c r="BG92" s="187">
        <f t="shared" si="30"/>
        <v>7.014392524247052</v>
      </c>
      <c r="BH92" s="187">
        <f t="shared" si="30"/>
        <v>7.014392524247052</v>
      </c>
      <c r="BI92" s="175"/>
      <c r="BJ92" s="121"/>
      <c r="BK92" s="121"/>
      <c r="BL92" s="121"/>
      <c r="BM92" s="121"/>
      <c r="BN92" s="121"/>
      <c r="BO92" s="121"/>
    </row>
    <row r="93" spans="2:67" ht="12.75">
      <c r="C93" s="201" t="s">
        <v>277</v>
      </c>
      <c r="D93" s="121" t="s">
        <v>382</v>
      </c>
      <c r="E93" s="121" t="s">
        <v>264</v>
      </c>
      <c r="F93" s="176">
        <v>0</v>
      </c>
      <c r="G93" s="176"/>
      <c r="H93" s="176"/>
      <c r="I93" s="176"/>
      <c r="J93" s="176"/>
      <c r="K93" s="176"/>
      <c r="L93" s="176"/>
      <c r="M93" s="176"/>
      <c r="N93" s="176"/>
      <c r="O93" s="176"/>
      <c r="P93" s="176"/>
      <c r="Q93" s="176"/>
      <c r="R93" s="176"/>
      <c r="S93" s="176"/>
      <c r="T93" s="176"/>
      <c r="U93" s="176"/>
      <c r="V93" s="176"/>
      <c r="W93" s="176"/>
      <c r="X93" s="176"/>
      <c r="Y93" s="176"/>
      <c r="Z93" s="176"/>
      <c r="AA93" s="176"/>
      <c r="AB93" s="176">
        <v>0</v>
      </c>
      <c r="AC93" s="176">
        <v>0</v>
      </c>
      <c r="AD93" s="176">
        <v>0</v>
      </c>
      <c r="AE93" s="176">
        <v>0</v>
      </c>
      <c r="AF93" s="176">
        <v>0</v>
      </c>
      <c r="AG93" s="176">
        <v>0</v>
      </c>
      <c r="AH93" s="176">
        <v>0</v>
      </c>
      <c r="AI93" s="176">
        <v>0</v>
      </c>
      <c r="AJ93" s="176">
        <v>0</v>
      </c>
      <c r="AK93" s="176">
        <v>0</v>
      </c>
      <c r="AL93" s="176">
        <v>0</v>
      </c>
      <c r="AM93" s="176">
        <v>0</v>
      </c>
      <c r="AN93" s="176">
        <v>0</v>
      </c>
      <c r="AO93" s="176">
        <v>0</v>
      </c>
      <c r="AP93" s="176">
        <v>0</v>
      </c>
      <c r="AQ93" s="176">
        <v>0</v>
      </c>
      <c r="AR93" s="176">
        <v>0</v>
      </c>
      <c r="AS93" s="176">
        <v>0</v>
      </c>
      <c r="AT93" s="176">
        <v>0</v>
      </c>
      <c r="AU93" s="176">
        <v>0</v>
      </c>
      <c r="AV93" s="176">
        <v>0</v>
      </c>
      <c r="AW93" s="176">
        <v>0</v>
      </c>
      <c r="AX93" s="176">
        <v>0</v>
      </c>
      <c r="AY93" s="176">
        <v>0</v>
      </c>
      <c r="AZ93" s="176">
        <v>0</v>
      </c>
      <c r="BA93" s="176">
        <v>0</v>
      </c>
      <c r="BB93" s="176">
        <v>0</v>
      </c>
      <c r="BC93" s="176">
        <v>0</v>
      </c>
      <c r="BD93" s="176">
        <v>0</v>
      </c>
      <c r="BE93" s="176">
        <v>0</v>
      </c>
      <c r="BF93" s="176">
        <v>0</v>
      </c>
      <c r="BG93" s="176">
        <v>0</v>
      </c>
      <c r="BH93" s="176">
        <v>0</v>
      </c>
      <c r="BI93" s="175">
        <f>NPV($D$49,F93:BH93)</f>
        <v>0</v>
      </c>
      <c r="BJ93" s="121"/>
      <c r="BK93" s="121"/>
      <c r="BL93" s="121"/>
      <c r="BM93" s="121"/>
      <c r="BN93" s="121"/>
      <c r="BO93" s="121"/>
    </row>
    <row r="94" spans="2:67" ht="12.75">
      <c r="C94" s="201" t="s">
        <v>277</v>
      </c>
      <c r="D94" s="121" t="s">
        <v>316</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190"/>
      <c r="D95" s="121" t="s">
        <v>270</v>
      </c>
      <c r="E95" s="121" t="s">
        <v>264</v>
      </c>
      <c r="F95" s="191">
        <f>F91*F92</f>
        <v>0</v>
      </c>
      <c r="G95" s="191">
        <f>G91*G92</f>
        <v>0</v>
      </c>
      <c r="H95" s="191">
        <f t="shared" ref="H95:BH95" si="31">H91*H92</f>
        <v>0</v>
      </c>
      <c r="I95" s="191">
        <f t="shared" si="31"/>
        <v>0</v>
      </c>
      <c r="J95" s="191">
        <f t="shared" si="31"/>
        <v>0</v>
      </c>
      <c r="K95" s="191">
        <f t="shared" si="31"/>
        <v>0</v>
      </c>
      <c r="L95" s="191">
        <f t="shared" si="31"/>
        <v>0</v>
      </c>
      <c r="M95" s="191">
        <f t="shared" si="31"/>
        <v>0</v>
      </c>
      <c r="N95" s="191">
        <f t="shared" si="31"/>
        <v>0</v>
      </c>
      <c r="O95" s="191">
        <f t="shared" si="31"/>
        <v>0</v>
      </c>
      <c r="P95" s="191">
        <f t="shared" si="31"/>
        <v>0</v>
      </c>
      <c r="Q95" s="191">
        <f t="shared" si="31"/>
        <v>0</v>
      </c>
      <c r="R95" s="191">
        <f t="shared" si="31"/>
        <v>0</v>
      </c>
      <c r="S95" s="191">
        <f t="shared" si="31"/>
        <v>0</v>
      </c>
      <c r="T95" s="191">
        <f t="shared" si="31"/>
        <v>0</v>
      </c>
      <c r="U95" s="191">
        <f t="shared" si="31"/>
        <v>0</v>
      </c>
      <c r="V95" s="191">
        <f t="shared" si="31"/>
        <v>0</v>
      </c>
      <c r="W95" s="191">
        <f t="shared" si="31"/>
        <v>0</v>
      </c>
      <c r="X95" s="191">
        <f t="shared" si="31"/>
        <v>0</v>
      </c>
      <c r="Y95" s="191">
        <f t="shared" si="31"/>
        <v>0</v>
      </c>
      <c r="Z95" s="191">
        <f t="shared" si="31"/>
        <v>0</v>
      </c>
      <c r="AA95" s="191">
        <f t="shared" si="31"/>
        <v>0</v>
      </c>
      <c r="AB95" s="191">
        <f t="shared" si="31"/>
        <v>0</v>
      </c>
      <c r="AC95" s="191">
        <f t="shared" si="31"/>
        <v>0</v>
      </c>
      <c r="AD95" s="191">
        <f t="shared" si="31"/>
        <v>0</v>
      </c>
      <c r="AE95" s="191">
        <f t="shared" si="31"/>
        <v>0</v>
      </c>
      <c r="AF95" s="191">
        <f t="shared" si="31"/>
        <v>0</v>
      </c>
      <c r="AG95" s="191">
        <f t="shared" si="31"/>
        <v>0</v>
      </c>
      <c r="AH95" s="191">
        <f t="shared" si="31"/>
        <v>0</v>
      </c>
      <c r="AI95" s="191">
        <f t="shared" si="31"/>
        <v>0</v>
      </c>
      <c r="AJ95" s="191">
        <f t="shared" si="31"/>
        <v>0</v>
      </c>
      <c r="AK95" s="191">
        <f t="shared" si="31"/>
        <v>0</v>
      </c>
      <c r="AL95" s="191">
        <f t="shared" si="31"/>
        <v>0</v>
      </c>
      <c r="AM95" s="191">
        <f t="shared" si="31"/>
        <v>0</v>
      </c>
      <c r="AN95" s="191">
        <f t="shared" si="31"/>
        <v>0</v>
      </c>
      <c r="AO95" s="191">
        <f t="shared" si="31"/>
        <v>0</v>
      </c>
      <c r="AP95" s="191">
        <f t="shared" si="31"/>
        <v>0</v>
      </c>
      <c r="AQ95" s="191">
        <f t="shared" si="31"/>
        <v>0</v>
      </c>
      <c r="AR95" s="191">
        <f t="shared" si="31"/>
        <v>0</v>
      </c>
      <c r="AS95" s="191">
        <f t="shared" si="31"/>
        <v>0</v>
      </c>
      <c r="AT95" s="191">
        <f t="shared" si="31"/>
        <v>0</v>
      </c>
      <c r="AU95" s="191">
        <f t="shared" si="31"/>
        <v>0</v>
      </c>
      <c r="AV95" s="191">
        <f t="shared" si="31"/>
        <v>0</v>
      </c>
      <c r="AW95" s="191">
        <f t="shared" si="31"/>
        <v>0</v>
      </c>
      <c r="AX95" s="191">
        <f t="shared" si="31"/>
        <v>0</v>
      </c>
      <c r="AY95" s="191">
        <f t="shared" si="31"/>
        <v>0</v>
      </c>
      <c r="AZ95" s="191">
        <f t="shared" si="31"/>
        <v>0</v>
      </c>
      <c r="BA95" s="191">
        <f t="shared" si="31"/>
        <v>0</v>
      </c>
      <c r="BB95" s="191">
        <f t="shared" si="31"/>
        <v>0</v>
      </c>
      <c r="BC95" s="191">
        <f t="shared" si="31"/>
        <v>0</v>
      </c>
      <c r="BD95" s="191">
        <f t="shared" si="31"/>
        <v>0</v>
      </c>
      <c r="BE95" s="191">
        <f t="shared" si="31"/>
        <v>0</v>
      </c>
      <c r="BF95" s="191">
        <f t="shared" si="31"/>
        <v>0</v>
      </c>
      <c r="BG95" s="191">
        <f t="shared" si="31"/>
        <v>0</v>
      </c>
      <c r="BH95" s="191">
        <f t="shared" si="31"/>
        <v>0</v>
      </c>
      <c r="BI95" s="175">
        <f>NPV($D$49,F95:BH95)</f>
        <v>0</v>
      </c>
      <c r="BJ95" s="121"/>
      <c r="BK95" s="121"/>
      <c r="BL95" s="121"/>
      <c r="BM95" s="121"/>
      <c r="BN95" s="121"/>
      <c r="BO95" s="121"/>
    </row>
    <row r="96" spans="2:67" s="192" customFormat="1" ht="12.75">
      <c r="B96" s="193"/>
      <c r="C96" s="202"/>
      <c r="D96" s="184" t="s">
        <v>374</v>
      </c>
      <c r="E96" s="184" t="s">
        <v>264</v>
      </c>
      <c r="F96" s="197">
        <f t="shared" ref="F96:BH96" si="32">F95+F94+F93</f>
        <v>0</v>
      </c>
      <c r="G96" s="197">
        <f t="shared" si="32"/>
        <v>0</v>
      </c>
      <c r="H96" s="197">
        <f t="shared" si="32"/>
        <v>0</v>
      </c>
      <c r="I96" s="197">
        <f t="shared" si="32"/>
        <v>0</v>
      </c>
      <c r="J96" s="197">
        <f t="shared" si="32"/>
        <v>0</v>
      </c>
      <c r="K96" s="197">
        <f t="shared" si="32"/>
        <v>0</v>
      </c>
      <c r="L96" s="197">
        <f t="shared" si="32"/>
        <v>0</v>
      </c>
      <c r="M96" s="197">
        <f t="shared" si="32"/>
        <v>0</v>
      </c>
      <c r="N96" s="197">
        <f t="shared" si="32"/>
        <v>0</v>
      </c>
      <c r="O96" s="197">
        <f t="shared" si="32"/>
        <v>0</v>
      </c>
      <c r="P96" s="197">
        <f t="shared" si="32"/>
        <v>0</v>
      </c>
      <c r="Q96" s="197">
        <f t="shared" si="32"/>
        <v>0</v>
      </c>
      <c r="R96" s="197">
        <f t="shared" si="32"/>
        <v>0</v>
      </c>
      <c r="S96" s="194">
        <f t="shared" si="32"/>
        <v>0</v>
      </c>
      <c r="T96" s="194">
        <f t="shared" si="32"/>
        <v>0</v>
      </c>
      <c r="U96" s="194">
        <f t="shared" si="32"/>
        <v>0</v>
      </c>
      <c r="V96" s="194">
        <f t="shared" si="32"/>
        <v>0</v>
      </c>
      <c r="W96" s="194">
        <f t="shared" si="32"/>
        <v>0</v>
      </c>
      <c r="X96" s="194">
        <f t="shared" si="32"/>
        <v>0</v>
      </c>
      <c r="Y96" s="194">
        <f t="shared" si="32"/>
        <v>0</v>
      </c>
      <c r="Z96" s="194">
        <f t="shared" si="32"/>
        <v>0</v>
      </c>
      <c r="AA96" s="194">
        <f t="shared" si="32"/>
        <v>0</v>
      </c>
      <c r="AB96" s="194">
        <f t="shared" si="32"/>
        <v>0</v>
      </c>
      <c r="AC96" s="194">
        <f t="shared" si="32"/>
        <v>0</v>
      </c>
      <c r="AD96" s="194">
        <f t="shared" si="32"/>
        <v>0</v>
      </c>
      <c r="AE96" s="194">
        <f t="shared" si="32"/>
        <v>0</v>
      </c>
      <c r="AF96" s="194">
        <f t="shared" si="32"/>
        <v>0</v>
      </c>
      <c r="AG96" s="194">
        <f t="shared" si="32"/>
        <v>0</v>
      </c>
      <c r="AH96" s="194">
        <f t="shared" si="32"/>
        <v>0</v>
      </c>
      <c r="AI96" s="194">
        <f t="shared" si="32"/>
        <v>0</v>
      </c>
      <c r="AJ96" s="194">
        <f t="shared" si="32"/>
        <v>0</v>
      </c>
      <c r="AK96" s="194">
        <f t="shared" si="32"/>
        <v>0</v>
      </c>
      <c r="AL96" s="194">
        <f t="shared" si="32"/>
        <v>0</v>
      </c>
      <c r="AM96" s="194">
        <f t="shared" si="32"/>
        <v>0</v>
      </c>
      <c r="AN96" s="194">
        <f t="shared" si="32"/>
        <v>0</v>
      </c>
      <c r="AO96" s="194">
        <f t="shared" si="32"/>
        <v>0</v>
      </c>
      <c r="AP96" s="194">
        <f t="shared" si="32"/>
        <v>0</v>
      </c>
      <c r="AQ96" s="194">
        <f t="shared" si="32"/>
        <v>0</v>
      </c>
      <c r="AR96" s="194">
        <f t="shared" si="32"/>
        <v>0</v>
      </c>
      <c r="AS96" s="194">
        <f t="shared" si="32"/>
        <v>0</v>
      </c>
      <c r="AT96" s="194">
        <f t="shared" si="32"/>
        <v>0</v>
      </c>
      <c r="AU96" s="194">
        <f t="shared" si="32"/>
        <v>0</v>
      </c>
      <c r="AV96" s="194">
        <f t="shared" si="32"/>
        <v>0</v>
      </c>
      <c r="AW96" s="194">
        <f t="shared" si="32"/>
        <v>0</v>
      </c>
      <c r="AX96" s="194">
        <f t="shared" si="32"/>
        <v>0</v>
      </c>
      <c r="AY96" s="194">
        <f t="shared" si="32"/>
        <v>0</v>
      </c>
      <c r="AZ96" s="194">
        <f t="shared" si="32"/>
        <v>0</v>
      </c>
      <c r="BA96" s="194">
        <f t="shared" si="32"/>
        <v>0</v>
      </c>
      <c r="BB96" s="194">
        <f t="shared" si="32"/>
        <v>0</v>
      </c>
      <c r="BC96" s="194">
        <f t="shared" si="32"/>
        <v>0</v>
      </c>
      <c r="BD96" s="194">
        <f t="shared" si="32"/>
        <v>0</v>
      </c>
      <c r="BE96" s="194">
        <f t="shared" si="32"/>
        <v>0</v>
      </c>
      <c r="BF96" s="194">
        <f t="shared" si="32"/>
        <v>0</v>
      </c>
      <c r="BG96" s="194">
        <f t="shared" si="32"/>
        <v>0</v>
      </c>
      <c r="BH96" s="194">
        <f t="shared" si="32"/>
        <v>0</v>
      </c>
      <c r="BI96" s="175">
        <f>NPV($D$49,F96:BH96)</f>
        <v>0</v>
      </c>
      <c r="BJ96" s="180"/>
      <c r="BK96" s="180"/>
      <c r="BL96" s="180"/>
      <c r="BM96" s="180"/>
      <c r="BN96" s="180"/>
      <c r="BO96" s="180"/>
    </row>
    <row r="97" spans="3:70" ht="12.75">
      <c r="C97" s="186"/>
      <c r="D97" s="121"/>
      <c r="E97" s="121"/>
      <c r="F97" s="195"/>
      <c r="G97" s="195"/>
      <c r="H97" s="195"/>
      <c r="I97" s="195"/>
      <c r="J97" s="195"/>
      <c r="K97" s="195"/>
      <c r="L97" s="195"/>
      <c r="M97" s="195"/>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75"/>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4.25">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2.75">
      <c r="C114" s="186"/>
      <c r="D114" s="136"/>
      <c r="E114" s="136"/>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c r="F119" s="136"/>
      <c r="K119" s="136"/>
      <c r="L119" s="136"/>
      <c r="M119" s="136"/>
      <c r="N119" s="136"/>
      <c r="O119" s="136"/>
      <c r="P119" s="136"/>
      <c r="Q119" s="136"/>
      <c r="R119" s="136"/>
      <c r="BP119" s="121"/>
      <c r="BQ119" s="121"/>
      <c r="BR119" s="121"/>
    </row>
  </sheetData>
  <mergeCells count="22">
    <mergeCell ref="A1:Q1"/>
    <mergeCell ref="C90:E90"/>
    <mergeCell ref="J23:L23"/>
    <mergeCell ref="I37:J37"/>
    <mergeCell ref="C66:E66"/>
    <mergeCell ref="C71:E71"/>
    <mergeCell ref="C83:E83"/>
    <mergeCell ref="I27:J27"/>
    <mergeCell ref="I29:J29"/>
    <mergeCell ref="I30:J30"/>
    <mergeCell ref="I31:J31"/>
    <mergeCell ref="I36:J36"/>
    <mergeCell ref="I28:J28"/>
    <mergeCell ref="I33:J33"/>
    <mergeCell ref="I34:J34"/>
    <mergeCell ref="I35:J35"/>
    <mergeCell ref="I26:J26"/>
    <mergeCell ref="B2:E2"/>
    <mergeCell ref="H2:R2"/>
    <mergeCell ref="B4:C4"/>
    <mergeCell ref="I25:J25"/>
    <mergeCell ref="K3:L3"/>
  </mergeCells>
  <dataValidations count="5">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J10:J12">
      <formula1>Yes_No</formula1>
    </dataValidation>
    <dataValidation type="list" allowBlank="1" showInputMessage="1" showErrorMessage="1" sqref="D6">
      <formula1>#REF!</formula1>
    </dataValidation>
    <dataValidation type="list" allowBlank="1" showInputMessage="1" showErrorMessage="1" sqref="F4:F5">
      <formula1>"High, Medium, Low"</formula1>
    </dataValidation>
  </dataValidations>
  <pageMargins left="0.7" right="0.7" top="0.75" bottom="0.75" header="0.3" footer="0.3"/>
  <pageSetup paperSize="5" scale="35"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Assumptions!$A$50:$A$51</xm:f>
          </x14:formula1>
          <xm:sqref>J4</xm:sqref>
        </x14:dataValidation>
        <x14:dataValidation type="list" allowBlank="1" showInputMessage="1" showErrorMessage="1">
          <x14:formula1>
            <xm:f>Assumptions!$A$43:$A$46</xm:f>
          </x14:formula1>
          <xm:sqref>C9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C421"/>
  <sheetViews>
    <sheetView workbookViewId="0">
      <selection sqref="A1:C421"/>
    </sheetView>
  </sheetViews>
  <sheetFormatPr defaultRowHeight="12.75"/>
  <cols>
    <col min="1" max="1" width="23.28515625" bestFit="1" customWidth="1"/>
    <col min="2" max="2" width="26.85546875" bestFit="1" customWidth="1"/>
    <col min="3" max="3" width="23.5703125" bestFit="1" customWidth="1"/>
  </cols>
  <sheetData>
    <row r="1" spans="1:3">
      <c r="A1" t="s">
        <v>303</v>
      </c>
      <c r="B1" t="s">
        <v>1901</v>
      </c>
      <c r="C1" t="s">
        <v>1902</v>
      </c>
    </row>
    <row r="2" spans="1:3">
      <c r="A2" t="s">
        <v>969</v>
      </c>
      <c r="B2" t="s">
        <v>1903</v>
      </c>
      <c r="C2">
        <v>7144</v>
      </c>
    </row>
    <row r="3" spans="1:3">
      <c r="A3" t="s">
        <v>1904</v>
      </c>
      <c r="B3" t="s">
        <v>1903</v>
      </c>
      <c r="C3">
        <v>7144</v>
      </c>
    </row>
    <row r="4" spans="1:3">
      <c r="A4" t="s">
        <v>1384</v>
      </c>
      <c r="B4" t="s">
        <v>1457</v>
      </c>
      <c r="C4">
        <v>8716</v>
      </c>
    </row>
    <row r="5" spans="1:3">
      <c r="A5" t="s">
        <v>970</v>
      </c>
      <c r="B5" t="s">
        <v>1457</v>
      </c>
      <c r="C5">
        <v>8716</v>
      </c>
    </row>
    <row r="6" spans="1:3">
      <c r="A6" t="s">
        <v>49</v>
      </c>
      <c r="B6" t="s">
        <v>1446</v>
      </c>
      <c r="C6">
        <v>8830</v>
      </c>
    </row>
    <row r="7" spans="1:3">
      <c r="A7" t="s">
        <v>51</v>
      </c>
      <c r="B7" t="s">
        <v>1446</v>
      </c>
      <c r="C7">
        <v>8830</v>
      </c>
    </row>
    <row r="8" spans="1:3">
      <c r="A8" t="s">
        <v>53</v>
      </c>
      <c r="B8" t="s">
        <v>1905</v>
      </c>
      <c r="C8">
        <v>7003</v>
      </c>
    </row>
    <row r="9" spans="1:3">
      <c r="A9" t="s">
        <v>70</v>
      </c>
      <c r="B9" t="s">
        <v>1906</v>
      </c>
      <c r="C9">
        <v>8020</v>
      </c>
    </row>
    <row r="10" spans="1:3">
      <c r="A10" t="s">
        <v>971</v>
      </c>
      <c r="B10" t="s">
        <v>1907</v>
      </c>
      <c r="C10">
        <v>8912</v>
      </c>
    </row>
    <row r="11" spans="1:3">
      <c r="A11" t="s">
        <v>1377</v>
      </c>
      <c r="B11" t="s">
        <v>1461</v>
      </c>
      <c r="C11">
        <v>8017</v>
      </c>
    </row>
    <row r="12" spans="1:3">
      <c r="A12" t="s">
        <v>972</v>
      </c>
      <c r="B12" t="s">
        <v>1449</v>
      </c>
      <c r="C12">
        <v>7580</v>
      </c>
    </row>
    <row r="13" spans="1:3">
      <c r="A13" t="s">
        <v>1360</v>
      </c>
      <c r="B13" t="s">
        <v>1457</v>
      </c>
      <c r="C13">
        <v>8716</v>
      </c>
    </row>
    <row r="14" spans="1:3">
      <c r="A14" t="s">
        <v>1908</v>
      </c>
      <c r="B14" t="s">
        <v>1909</v>
      </c>
      <c r="C14">
        <v>8636</v>
      </c>
    </row>
    <row r="15" spans="1:3">
      <c r="A15" t="s">
        <v>973</v>
      </c>
      <c r="B15" t="s">
        <v>1907</v>
      </c>
      <c r="C15">
        <v>8912</v>
      </c>
    </row>
    <row r="16" spans="1:3">
      <c r="A16" t="s">
        <v>1574</v>
      </c>
      <c r="B16" t="s">
        <v>1445</v>
      </c>
      <c r="C16">
        <v>7342</v>
      </c>
    </row>
    <row r="17" spans="1:3">
      <c r="A17" t="s">
        <v>30</v>
      </c>
      <c r="B17" t="s">
        <v>1910</v>
      </c>
      <c r="C17">
        <v>7882</v>
      </c>
    </row>
    <row r="18" spans="1:3">
      <c r="A18" t="s">
        <v>206</v>
      </c>
      <c r="B18" t="s">
        <v>1441</v>
      </c>
      <c r="C18">
        <v>7788</v>
      </c>
    </row>
    <row r="19" spans="1:3">
      <c r="A19" t="s">
        <v>974</v>
      </c>
      <c r="B19" t="s">
        <v>1911</v>
      </c>
      <c r="C19">
        <v>9506</v>
      </c>
    </row>
    <row r="20" spans="1:3">
      <c r="A20" t="s">
        <v>292</v>
      </c>
      <c r="B20" t="s">
        <v>1909</v>
      </c>
      <c r="C20">
        <v>8636</v>
      </c>
    </row>
    <row r="21" spans="1:3">
      <c r="A21" t="s">
        <v>975</v>
      </c>
      <c r="B21" t="s">
        <v>1912</v>
      </c>
      <c r="C21">
        <v>8883</v>
      </c>
    </row>
    <row r="22" spans="1:3">
      <c r="A22" t="s">
        <v>1385</v>
      </c>
      <c r="B22" t="s">
        <v>1906</v>
      </c>
      <c r="C22">
        <v>8020</v>
      </c>
    </row>
    <row r="23" spans="1:3">
      <c r="A23" t="s">
        <v>40</v>
      </c>
      <c r="B23" t="s">
        <v>1468</v>
      </c>
      <c r="C23">
        <v>6717</v>
      </c>
    </row>
    <row r="24" spans="1:3">
      <c r="A24" t="s">
        <v>115</v>
      </c>
      <c r="B24" t="s">
        <v>1913</v>
      </c>
      <c r="C24">
        <v>9428</v>
      </c>
    </row>
    <row r="25" spans="1:3">
      <c r="A25" t="s">
        <v>1914</v>
      </c>
      <c r="B25" t="s">
        <v>1914</v>
      </c>
      <c r="C25">
        <v>8534</v>
      </c>
    </row>
    <row r="26" spans="1:3">
      <c r="A26" t="s">
        <v>1386</v>
      </c>
      <c r="B26" t="s">
        <v>1457</v>
      </c>
      <c r="C26">
        <v>8716</v>
      </c>
    </row>
    <row r="27" spans="1:3">
      <c r="A27" t="s">
        <v>71</v>
      </c>
      <c r="B27" t="s">
        <v>1915</v>
      </c>
      <c r="C27">
        <v>9339</v>
      </c>
    </row>
    <row r="28" spans="1:3">
      <c r="A28" t="s">
        <v>398</v>
      </c>
      <c r="B28" t="s">
        <v>1916</v>
      </c>
      <c r="C28">
        <v>9239</v>
      </c>
    </row>
    <row r="29" spans="1:3">
      <c r="A29" t="s">
        <v>24</v>
      </c>
      <c r="B29" t="s">
        <v>1903</v>
      </c>
      <c r="C29">
        <v>7144</v>
      </c>
    </row>
    <row r="30" spans="1:3">
      <c r="A30" t="s">
        <v>117</v>
      </c>
      <c r="B30" t="s">
        <v>1446</v>
      </c>
      <c r="C30">
        <v>8830</v>
      </c>
    </row>
    <row r="31" spans="1:3">
      <c r="A31" t="s">
        <v>207</v>
      </c>
      <c r="B31" t="s">
        <v>1445</v>
      </c>
      <c r="C31">
        <v>7342</v>
      </c>
    </row>
    <row r="32" spans="1:3">
      <c r="A32" t="s">
        <v>1486</v>
      </c>
      <c r="B32" t="s">
        <v>1917</v>
      </c>
      <c r="C32">
        <v>6717</v>
      </c>
    </row>
    <row r="33" spans="1:3">
      <c r="A33" t="s">
        <v>977</v>
      </c>
      <c r="B33" t="s">
        <v>1453</v>
      </c>
      <c r="C33">
        <v>8048</v>
      </c>
    </row>
    <row r="34" spans="1:3">
      <c r="A34" t="s">
        <v>1387</v>
      </c>
      <c r="B34" t="s">
        <v>1457</v>
      </c>
      <c r="C34">
        <v>8716</v>
      </c>
    </row>
    <row r="35" spans="1:3">
      <c r="A35" t="s">
        <v>1578</v>
      </c>
      <c r="B35" t="s">
        <v>1912</v>
      </c>
      <c r="C35">
        <v>8883</v>
      </c>
    </row>
    <row r="36" spans="1:3">
      <c r="A36" t="s">
        <v>978</v>
      </c>
      <c r="B36" t="s">
        <v>1445</v>
      </c>
      <c r="C36">
        <v>7342</v>
      </c>
    </row>
    <row r="37" spans="1:3">
      <c r="A37" t="s">
        <v>1579</v>
      </c>
      <c r="B37" t="s">
        <v>1084</v>
      </c>
      <c r="C37">
        <v>7211</v>
      </c>
    </row>
    <row r="38" spans="1:3">
      <c r="A38" t="s">
        <v>119</v>
      </c>
      <c r="B38" t="s">
        <v>1916</v>
      </c>
      <c r="C38">
        <v>9239</v>
      </c>
    </row>
    <row r="39" spans="1:3">
      <c r="A39" t="s">
        <v>1512</v>
      </c>
      <c r="B39" t="s">
        <v>1905</v>
      </c>
      <c r="C39">
        <v>7003</v>
      </c>
    </row>
    <row r="40" spans="1:3">
      <c r="A40" t="s">
        <v>1487</v>
      </c>
      <c r="B40" t="s">
        <v>1909</v>
      </c>
      <c r="C40">
        <v>8636</v>
      </c>
    </row>
    <row r="41" spans="1:3">
      <c r="A41" t="s">
        <v>26</v>
      </c>
      <c r="B41" t="s">
        <v>1446</v>
      </c>
      <c r="C41">
        <v>8830</v>
      </c>
    </row>
    <row r="42" spans="1:3">
      <c r="A42" t="s">
        <v>979</v>
      </c>
      <c r="B42" t="s">
        <v>1907</v>
      </c>
      <c r="C42">
        <v>8912</v>
      </c>
    </row>
    <row r="43" spans="1:3">
      <c r="A43" t="s">
        <v>1361</v>
      </c>
      <c r="B43" t="s">
        <v>1912</v>
      </c>
      <c r="C43">
        <v>8883</v>
      </c>
    </row>
    <row r="44" spans="1:3">
      <c r="A44" t="s">
        <v>980</v>
      </c>
      <c r="B44" t="s">
        <v>1909</v>
      </c>
      <c r="C44">
        <v>8636</v>
      </c>
    </row>
    <row r="45" spans="1:3">
      <c r="A45" t="s">
        <v>1918</v>
      </c>
      <c r="B45" t="s">
        <v>1919</v>
      </c>
      <c r="C45">
        <v>8938</v>
      </c>
    </row>
    <row r="46" spans="1:3">
      <c r="A46" t="s">
        <v>1519</v>
      </c>
      <c r="B46" t="s">
        <v>1906</v>
      </c>
      <c r="C46">
        <v>8020</v>
      </c>
    </row>
    <row r="47" spans="1:3">
      <c r="A47" t="s">
        <v>399</v>
      </c>
      <c r="B47" t="s">
        <v>1916</v>
      </c>
      <c r="C47">
        <v>9239</v>
      </c>
    </row>
    <row r="48" spans="1:3">
      <c r="A48" t="s">
        <v>1920</v>
      </c>
      <c r="B48" t="s">
        <v>1909</v>
      </c>
      <c r="C48">
        <v>8636</v>
      </c>
    </row>
    <row r="49" spans="1:3">
      <c r="A49" t="s">
        <v>982</v>
      </c>
      <c r="B49" t="s">
        <v>1451</v>
      </c>
      <c r="C49">
        <v>9455</v>
      </c>
    </row>
    <row r="50" spans="1:3">
      <c r="A50" t="s">
        <v>72</v>
      </c>
      <c r="B50" t="s">
        <v>1921</v>
      </c>
      <c r="C50">
        <v>6717</v>
      </c>
    </row>
    <row r="51" spans="1:3">
      <c r="A51" t="s">
        <v>41</v>
      </c>
      <c r="B51" t="s">
        <v>1922</v>
      </c>
      <c r="C51">
        <v>6717</v>
      </c>
    </row>
    <row r="52" spans="1:3">
      <c r="A52" t="s">
        <v>1580</v>
      </c>
      <c r="B52" t="s">
        <v>1923</v>
      </c>
      <c r="C52">
        <v>8967</v>
      </c>
    </row>
    <row r="53" spans="1:3">
      <c r="A53" t="s">
        <v>1581</v>
      </c>
      <c r="B53" t="s">
        <v>1084</v>
      </c>
      <c r="C53">
        <v>7211</v>
      </c>
    </row>
    <row r="54" spans="1:3">
      <c r="A54" t="s">
        <v>983</v>
      </c>
      <c r="B54" t="s">
        <v>1458</v>
      </c>
      <c r="C54">
        <v>8593</v>
      </c>
    </row>
    <row r="55" spans="1:3">
      <c r="A55" t="s">
        <v>984</v>
      </c>
      <c r="B55" t="s">
        <v>1923</v>
      </c>
      <c r="C55">
        <v>8967</v>
      </c>
    </row>
    <row r="56" spans="1:3">
      <c r="A56" t="s">
        <v>1924</v>
      </c>
      <c r="B56" t="s">
        <v>1916</v>
      </c>
      <c r="C56">
        <v>9239</v>
      </c>
    </row>
    <row r="57" spans="1:3">
      <c r="A57" t="s">
        <v>1925</v>
      </c>
      <c r="B57" t="s">
        <v>1465</v>
      </c>
      <c r="C57">
        <v>7621</v>
      </c>
    </row>
    <row r="58" spans="1:3">
      <c r="A58" t="s">
        <v>1926</v>
      </c>
      <c r="B58" t="s">
        <v>1927</v>
      </c>
      <c r="C58">
        <v>7562</v>
      </c>
    </row>
    <row r="59" spans="1:3">
      <c r="A59" t="s">
        <v>1928</v>
      </c>
      <c r="B59" t="s">
        <v>1923</v>
      </c>
      <c r="C59">
        <v>8967</v>
      </c>
    </row>
    <row r="60" spans="1:3">
      <c r="A60" t="s">
        <v>123</v>
      </c>
      <c r="B60" t="s">
        <v>1916</v>
      </c>
      <c r="C60">
        <v>9239</v>
      </c>
    </row>
    <row r="61" spans="1:3">
      <c r="A61" t="s">
        <v>985</v>
      </c>
      <c r="B61" t="s">
        <v>1916</v>
      </c>
      <c r="C61">
        <v>9239</v>
      </c>
    </row>
    <row r="62" spans="1:3">
      <c r="A62" t="s">
        <v>1929</v>
      </c>
      <c r="B62" t="s">
        <v>1907</v>
      </c>
      <c r="C62">
        <v>8912</v>
      </c>
    </row>
    <row r="63" spans="1:3">
      <c r="A63" t="s">
        <v>1362</v>
      </c>
      <c r="B63" t="s">
        <v>1923</v>
      </c>
      <c r="C63">
        <v>8967</v>
      </c>
    </row>
    <row r="64" spans="1:3">
      <c r="A64" t="s">
        <v>1930</v>
      </c>
      <c r="B64" t="s">
        <v>1912</v>
      </c>
      <c r="C64">
        <v>8883</v>
      </c>
    </row>
    <row r="65" spans="1:3">
      <c r="A65" t="s">
        <v>199</v>
      </c>
      <c r="B65" t="s">
        <v>1446</v>
      </c>
      <c r="C65">
        <v>8830</v>
      </c>
    </row>
    <row r="66" spans="1:3">
      <c r="A66" t="s">
        <v>987</v>
      </c>
      <c r="B66" t="s">
        <v>1912</v>
      </c>
      <c r="C66">
        <v>8883</v>
      </c>
    </row>
    <row r="67" spans="1:3">
      <c r="A67" t="s">
        <v>1582</v>
      </c>
      <c r="B67" t="s">
        <v>1912</v>
      </c>
      <c r="C67">
        <v>8883</v>
      </c>
    </row>
    <row r="68" spans="1:3">
      <c r="A68" t="s">
        <v>125</v>
      </c>
      <c r="B68" t="s">
        <v>1448</v>
      </c>
      <c r="C68">
        <v>7163</v>
      </c>
    </row>
    <row r="69" spans="1:3">
      <c r="A69" t="s">
        <v>73</v>
      </c>
      <c r="B69" t="s">
        <v>1906</v>
      </c>
      <c r="C69">
        <v>8020</v>
      </c>
    </row>
    <row r="70" spans="1:3">
      <c r="A70" t="s">
        <v>988</v>
      </c>
      <c r="B70" t="s">
        <v>1084</v>
      </c>
      <c r="C70">
        <v>7211</v>
      </c>
    </row>
    <row r="71" spans="1:3">
      <c r="A71" t="s">
        <v>989</v>
      </c>
      <c r="B71" t="s">
        <v>1451</v>
      </c>
      <c r="C71">
        <v>9455</v>
      </c>
    </row>
    <row r="72" spans="1:3">
      <c r="A72" t="s">
        <v>990</v>
      </c>
      <c r="B72" t="s">
        <v>1931</v>
      </c>
      <c r="C72">
        <v>7669</v>
      </c>
    </row>
    <row r="73" spans="1:3">
      <c r="A73" t="s">
        <v>9</v>
      </c>
      <c r="B73" t="s">
        <v>1931</v>
      </c>
      <c r="C73">
        <v>7669</v>
      </c>
    </row>
    <row r="74" spans="1:3">
      <c r="A74" t="s">
        <v>255</v>
      </c>
      <c r="B74" t="s">
        <v>1931</v>
      </c>
      <c r="C74">
        <v>7669</v>
      </c>
    </row>
    <row r="75" spans="1:3">
      <c r="A75" t="s">
        <v>991</v>
      </c>
      <c r="B75" t="s">
        <v>1457</v>
      </c>
      <c r="C75">
        <v>8716</v>
      </c>
    </row>
    <row r="76" spans="1:3">
      <c r="A76" t="s">
        <v>1388</v>
      </c>
      <c r="B76" t="s">
        <v>1461</v>
      </c>
      <c r="C76">
        <v>8017</v>
      </c>
    </row>
    <row r="77" spans="1:3">
      <c r="A77" t="s">
        <v>10</v>
      </c>
      <c r="B77" t="s">
        <v>1932</v>
      </c>
      <c r="C77">
        <v>9112</v>
      </c>
    </row>
    <row r="78" spans="1:3">
      <c r="A78" t="s">
        <v>992</v>
      </c>
      <c r="B78" t="s">
        <v>1932</v>
      </c>
      <c r="C78">
        <v>9112</v>
      </c>
    </row>
    <row r="79" spans="1:3">
      <c r="A79" t="s">
        <v>188</v>
      </c>
      <c r="B79" t="s">
        <v>1913</v>
      </c>
      <c r="C79">
        <v>9428</v>
      </c>
    </row>
    <row r="80" spans="1:3">
      <c r="A80" t="s">
        <v>993</v>
      </c>
      <c r="B80" t="s">
        <v>1909</v>
      </c>
      <c r="C80">
        <v>8636</v>
      </c>
    </row>
    <row r="81" spans="1:3">
      <c r="A81" t="s">
        <v>1923</v>
      </c>
      <c r="B81" t="s">
        <v>1923</v>
      </c>
      <c r="C81">
        <v>8967</v>
      </c>
    </row>
    <row r="82" spans="1:3">
      <c r="A82" t="s">
        <v>1521</v>
      </c>
      <c r="B82" t="s">
        <v>1906</v>
      </c>
      <c r="C82">
        <v>8020</v>
      </c>
    </row>
    <row r="83" spans="1:3">
      <c r="A83" t="s">
        <v>132</v>
      </c>
      <c r="B83" t="s">
        <v>1916</v>
      </c>
      <c r="C83">
        <v>9239</v>
      </c>
    </row>
    <row r="84" spans="1:3">
      <c r="A84" t="s">
        <v>994</v>
      </c>
      <c r="B84" t="s">
        <v>1916</v>
      </c>
      <c r="C84">
        <v>9239</v>
      </c>
    </row>
    <row r="85" spans="1:3">
      <c r="A85" t="s">
        <v>995</v>
      </c>
      <c r="B85" t="s">
        <v>1909</v>
      </c>
      <c r="C85">
        <v>8636</v>
      </c>
    </row>
    <row r="86" spans="1:3">
      <c r="A86" t="s">
        <v>996</v>
      </c>
      <c r="B86" t="s">
        <v>1449</v>
      </c>
      <c r="C86">
        <v>7580</v>
      </c>
    </row>
    <row r="87" spans="1:3">
      <c r="A87" t="s">
        <v>997</v>
      </c>
      <c r="B87" t="s">
        <v>1923</v>
      </c>
      <c r="C87">
        <v>8967</v>
      </c>
    </row>
    <row r="88" spans="1:3">
      <c r="A88" t="s">
        <v>12</v>
      </c>
      <c r="B88" t="s">
        <v>1474</v>
      </c>
      <c r="C88">
        <v>8889</v>
      </c>
    </row>
    <row r="89" spans="1:3">
      <c r="A89" t="s">
        <v>1583</v>
      </c>
      <c r="B89" t="s">
        <v>1909</v>
      </c>
      <c r="C89">
        <v>8636</v>
      </c>
    </row>
    <row r="90" spans="1:3">
      <c r="A90" t="s">
        <v>145</v>
      </c>
      <c r="B90" t="s">
        <v>1905</v>
      </c>
      <c r="C90">
        <v>7003</v>
      </c>
    </row>
    <row r="91" spans="1:3">
      <c r="A91" t="s">
        <v>998</v>
      </c>
      <c r="B91" t="s">
        <v>1907</v>
      </c>
      <c r="C91">
        <v>8912</v>
      </c>
    </row>
    <row r="92" spans="1:3">
      <c r="A92" t="s">
        <v>999</v>
      </c>
      <c r="B92" t="s">
        <v>1084</v>
      </c>
      <c r="C92">
        <v>7211</v>
      </c>
    </row>
    <row r="93" spans="1:3">
      <c r="A93" t="s">
        <v>1000</v>
      </c>
      <c r="B93" t="s">
        <v>1932</v>
      </c>
      <c r="C93">
        <v>9112</v>
      </c>
    </row>
    <row r="94" spans="1:3">
      <c r="A94" t="s">
        <v>1389</v>
      </c>
      <c r="B94" t="s">
        <v>1932</v>
      </c>
      <c r="C94">
        <v>9112</v>
      </c>
    </row>
    <row r="95" spans="1:3">
      <c r="A95" t="s">
        <v>11</v>
      </c>
      <c r="B95" t="s">
        <v>1448</v>
      </c>
      <c r="C95">
        <v>7163</v>
      </c>
    </row>
    <row r="96" spans="1:3">
      <c r="A96" t="s">
        <v>1390</v>
      </c>
      <c r="B96" t="s">
        <v>1460</v>
      </c>
      <c r="C96">
        <v>8406</v>
      </c>
    </row>
    <row r="97" spans="1:3">
      <c r="A97" t="s">
        <v>1173</v>
      </c>
      <c r="B97" t="s">
        <v>1470</v>
      </c>
      <c r="C97">
        <v>6717</v>
      </c>
    </row>
    <row r="98" spans="1:3">
      <c r="A98" t="s">
        <v>57</v>
      </c>
      <c r="B98" t="s">
        <v>1919</v>
      </c>
      <c r="C98">
        <v>8938</v>
      </c>
    </row>
    <row r="99" spans="1:3">
      <c r="A99" t="s">
        <v>189</v>
      </c>
      <c r="B99" t="s">
        <v>1933</v>
      </c>
      <c r="C99">
        <v>6717</v>
      </c>
    </row>
    <row r="100" spans="1:3">
      <c r="A100" t="s">
        <v>1619</v>
      </c>
      <c r="B100" t="s">
        <v>1453</v>
      </c>
      <c r="C100">
        <v>8048</v>
      </c>
    </row>
    <row r="101" spans="1:3">
      <c r="A101" t="s">
        <v>42</v>
      </c>
      <c r="B101" t="s">
        <v>1458</v>
      </c>
      <c r="C101">
        <v>8593</v>
      </c>
    </row>
    <row r="102" spans="1:3">
      <c r="A102" t="s">
        <v>1001</v>
      </c>
      <c r="B102" t="s">
        <v>1912</v>
      </c>
      <c r="C102">
        <v>8883</v>
      </c>
    </row>
    <row r="103" spans="1:3">
      <c r="A103" t="s">
        <v>1364</v>
      </c>
      <c r="B103" t="s">
        <v>1934</v>
      </c>
      <c r="C103">
        <v>6741</v>
      </c>
    </row>
    <row r="104" spans="1:3">
      <c r="A104" t="s">
        <v>23</v>
      </c>
      <c r="B104" t="s">
        <v>1449</v>
      </c>
      <c r="C104">
        <v>7580</v>
      </c>
    </row>
    <row r="105" spans="1:3">
      <c r="A105" t="s">
        <v>135</v>
      </c>
      <c r="B105" t="s">
        <v>1921</v>
      </c>
      <c r="C105">
        <v>6717</v>
      </c>
    </row>
    <row r="106" spans="1:3">
      <c r="A106" t="s">
        <v>58</v>
      </c>
      <c r="B106" t="s">
        <v>1934</v>
      </c>
      <c r="C106">
        <v>6741</v>
      </c>
    </row>
    <row r="107" spans="1:3">
      <c r="A107" t="s">
        <v>1177</v>
      </c>
      <c r="B107" t="s">
        <v>1934</v>
      </c>
      <c r="C107">
        <v>6741</v>
      </c>
    </row>
    <row r="108" spans="1:3">
      <c r="A108" t="s">
        <v>1003</v>
      </c>
      <c r="B108" t="s">
        <v>1453</v>
      </c>
      <c r="C108">
        <v>8048</v>
      </c>
    </row>
    <row r="109" spans="1:3">
      <c r="A109" t="s">
        <v>1004</v>
      </c>
      <c r="B109" t="s">
        <v>1934</v>
      </c>
      <c r="C109">
        <v>6741</v>
      </c>
    </row>
    <row r="110" spans="1:3">
      <c r="A110" t="s">
        <v>1935</v>
      </c>
      <c r="B110" t="s">
        <v>1470</v>
      </c>
      <c r="C110">
        <v>6717</v>
      </c>
    </row>
    <row r="111" spans="1:3">
      <c r="A111" t="s">
        <v>1006</v>
      </c>
      <c r="B111" t="s">
        <v>1451</v>
      </c>
      <c r="C111">
        <v>9455</v>
      </c>
    </row>
    <row r="112" spans="1:3">
      <c r="A112" t="s">
        <v>1451</v>
      </c>
      <c r="B112" t="s">
        <v>1451</v>
      </c>
      <c r="C112">
        <v>9455</v>
      </c>
    </row>
    <row r="113" spans="1:3">
      <c r="A113" t="s">
        <v>1178</v>
      </c>
      <c r="B113" t="s">
        <v>1451</v>
      </c>
      <c r="C113">
        <v>9455</v>
      </c>
    </row>
    <row r="114" spans="1:3">
      <c r="A114" t="s">
        <v>1372</v>
      </c>
      <c r="B114" t="s">
        <v>1474</v>
      </c>
      <c r="C114">
        <v>8889</v>
      </c>
    </row>
    <row r="115" spans="1:3">
      <c r="A115" t="s">
        <v>74</v>
      </c>
      <c r="B115" t="s">
        <v>1446</v>
      </c>
      <c r="C115">
        <v>8830</v>
      </c>
    </row>
    <row r="116" spans="1:3">
      <c r="A116" t="s">
        <v>137</v>
      </c>
      <c r="B116" t="s">
        <v>1936</v>
      </c>
      <c r="C116">
        <v>8870</v>
      </c>
    </row>
    <row r="117" spans="1:3">
      <c r="A117" t="s">
        <v>1391</v>
      </c>
      <c r="B117" t="s">
        <v>1449</v>
      </c>
      <c r="C117">
        <v>7580</v>
      </c>
    </row>
    <row r="118" spans="1:3">
      <c r="A118" t="s">
        <v>139</v>
      </c>
      <c r="B118" t="s">
        <v>1449</v>
      </c>
      <c r="C118">
        <v>7580</v>
      </c>
    </row>
    <row r="119" spans="1:3">
      <c r="A119" t="s">
        <v>141</v>
      </c>
      <c r="B119" t="s">
        <v>1937</v>
      </c>
      <c r="C119">
        <v>8210</v>
      </c>
    </row>
    <row r="120" spans="1:3">
      <c r="A120" t="s">
        <v>75</v>
      </c>
      <c r="B120" t="s">
        <v>1938</v>
      </c>
      <c r="C120">
        <v>9308</v>
      </c>
    </row>
    <row r="121" spans="1:3">
      <c r="A121" t="s">
        <v>76</v>
      </c>
      <c r="B121" t="s">
        <v>1906</v>
      </c>
      <c r="C121">
        <v>8020</v>
      </c>
    </row>
    <row r="122" spans="1:3">
      <c r="A122" t="s">
        <v>1906</v>
      </c>
      <c r="B122" t="s">
        <v>1906</v>
      </c>
      <c r="C122">
        <v>8020</v>
      </c>
    </row>
    <row r="123" spans="1:3">
      <c r="A123" t="s">
        <v>1939</v>
      </c>
      <c r="B123" t="s">
        <v>1084</v>
      </c>
      <c r="C123">
        <v>7211</v>
      </c>
    </row>
    <row r="124" spans="1:3">
      <c r="A124" t="s">
        <v>1523</v>
      </c>
      <c r="B124" t="s">
        <v>1084</v>
      </c>
      <c r="C124">
        <v>7211</v>
      </c>
    </row>
    <row r="125" spans="1:3">
      <c r="A125" t="s">
        <v>1010</v>
      </c>
      <c r="B125" t="s">
        <v>1907</v>
      </c>
      <c r="C125">
        <v>8912</v>
      </c>
    </row>
    <row r="126" spans="1:3">
      <c r="A126" t="s">
        <v>1373</v>
      </c>
      <c r="B126" t="s">
        <v>1940</v>
      </c>
      <c r="C126">
        <v>9454</v>
      </c>
    </row>
    <row r="127" spans="1:3">
      <c r="A127" t="s">
        <v>1011</v>
      </c>
      <c r="B127" t="s">
        <v>1448</v>
      </c>
      <c r="C127">
        <v>7163</v>
      </c>
    </row>
    <row r="128" spans="1:3">
      <c r="A128" t="s">
        <v>143</v>
      </c>
      <c r="B128" t="s">
        <v>1905</v>
      </c>
      <c r="C128">
        <v>7003</v>
      </c>
    </row>
    <row r="129" spans="1:3">
      <c r="A129" t="s">
        <v>1392</v>
      </c>
      <c r="B129" t="s">
        <v>1923</v>
      </c>
      <c r="C129">
        <v>8967</v>
      </c>
    </row>
    <row r="130" spans="1:3">
      <c r="A130" t="s">
        <v>1393</v>
      </c>
      <c r="B130" t="s">
        <v>1923</v>
      </c>
      <c r="C130">
        <v>8967</v>
      </c>
    </row>
    <row r="131" spans="1:3">
      <c r="A131" t="s">
        <v>1524</v>
      </c>
      <c r="B131" t="s">
        <v>1933</v>
      </c>
      <c r="C131">
        <v>6717</v>
      </c>
    </row>
    <row r="132" spans="1:3">
      <c r="A132" t="s">
        <v>1394</v>
      </c>
      <c r="B132" t="s">
        <v>1941</v>
      </c>
      <c r="C132">
        <v>7669</v>
      </c>
    </row>
    <row r="133" spans="1:3">
      <c r="A133" t="s">
        <v>1590</v>
      </c>
      <c r="B133" t="s">
        <v>1912</v>
      </c>
      <c r="C133">
        <v>8883</v>
      </c>
    </row>
    <row r="134" spans="1:3">
      <c r="A134" t="s">
        <v>17</v>
      </c>
      <c r="B134" t="s">
        <v>1916</v>
      </c>
      <c r="C134">
        <v>9239</v>
      </c>
    </row>
    <row r="135" spans="1:3">
      <c r="A135" t="s">
        <v>1591</v>
      </c>
      <c r="B135" t="s">
        <v>1942</v>
      </c>
      <c r="C135">
        <v>7513</v>
      </c>
    </row>
    <row r="136" spans="1:3">
      <c r="A136" t="s">
        <v>1593</v>
      </c>
      <c r="B136" t="s">
        <v>1911</v>
      </c>
      <c r="C136">
        <v>9506</v>
      </c>
    </row>
    <row r="137" spans="1:3">
      <c r="A137" t="s">
        <v>1594</v>
      </c>
      <c r="B137" t="s">
        <v>1911</v>
      </c>
      <c r="C137">
        <v>9506</v>
      </c>
    </row>
    <row r="138" spans="1:3">
      <c r="A138" t="s">
        <v>1595</v>
      </c>
      <c r="B138" t="s">
        <v>1909</v>
      </c>
      <c r="C138">
        <v>8636</v>
      </c>
    </row>
    <row r="139" spans="1:3">
      <c r="A139" t="s">
        <v>1012</v>
      </c>
      <c r="B139" t="s">
        <v>1932</v>
      </c>
      <c r="C139">
        <v>9112</v>
      </c>
    </row>
    <row r="140" spans="1:3">
      <c r="A140" t="s">
        <v>256</v>
      </c>
      <c r="B140" t="s">
        <v>1943</v>
      </c>
      <c r="C140">
        <v>9154</v>
      </c>
    </row>
    <row r="141" spans="1:3">
      <c r="A141" t="s">
        <v>77</v>
      </c>
      <c r="B141" t="s">
        <v>1944</v>
      </c>
      <c r="C141">
        <v>6875</v>
      </c>
    </row>
    <row r="142" spans="1:3">
      <c r="A142" t="s">
        <v>1944</v>
      </c>
      <c r="B142" t="s">
        <v>1944</v>
      </c>
      <c r="C142">
        <v>6875</v>
      </c>
    </row>
    <row r="143" spans="1:3">
      <c r="A143" t="s">
        <v>1374</v>
      </c>
      <c r="B143" t="s">
        <v>1452</v>
      </c>
      <c r="C143">
        <v>9128</v>
      </c>
    </row>
    <row r="144" spans="1:3">
      <c r="A144" t="s">
        <v>1596</v>
      </c>
      <c r="B144" t="s">
        <v>1923</v>
      </c>
      <c r="C144">
        <v>8967</v>
      </c>
    </row>
    <row r="145" spans="1:3">
      <c r="A145" t="s">
        <v>1395</v>
      </c>
      <c r="B145" t="s">
        <v>1933</v>
      </c>
      <c r="C145">
        <v>6717</v>
      </c>
    </row>
    <row r="146" spans="1:3">
      <c r="A146" t="s">
        <v>1365</v>
      </c>
      <c r="B146" t="s">
        <v>1084</v>
      </c>
      <c r="C146">
        <v>7211</v>
      </c>
    </row>
    <row r="147" spans="1:3">
      <c r="A147" t="s">
        <v>1167</v>
      </c>
      <c r="B147" t="s">
        <v>1932</v>
      </c>
      <c r="C147">
        <v>9112</v>
      </c>
    </row>
    <row r="148" spans="1:3">
      <c r="A148" t="s">
        <v>148</v>
      </c>
      <c r="B148" t="s">
        <v>1938</v>
      </c>
      <c r="C148">
        <v>9308</v>
      </c>
    </row>
    <row r="149" spans="1:3">
      <c r="A149" t="s">
        <v>78</v>
      </c>
      <c r="B149" t="s">
        <v>1945</v>
      </c>
      <c r="C149">
        <v>8754</v>
      </c>
    </row>
    <row r="150" spans="1:3">
      <c r="A150" t="s">
        <v>79</v>
      </c>
      <c r="B150" t="s">
        <v>1915</v>
      </c>
      <c r="C150">
        <v>9339</v>
      </c>
    </row>
    <row r="151" spans="1:3">
      <c r="A151" t="s">
        <v>1015</v>
      </c>
      <c r="B151" t="s">
        <v>1932</v>
      </c>
      <c r="C151">
        <v>9112</v>
      </c>
    </row>
    <row r="152" spans="1:3">
      <c r="A152" t="s">
        <v>8</v>
      </c>
      <c r="B152" t="s">
        <v>1940</v>
      </c>
      <c r="C152">
        <v>9454</v>
      </c>
    </row>
    <row r="153" spans="1:3">
      <c r="A153" t="s">
        <v>18</v>
      </c>
      <c r="B153" t="s">
        <v>1470</v>
      </c>
      <c r="C153">
        <v>6717</v>
      </c>
    </row>
    <row r="154" spans="1:3">
      <c r="A154" t="s">
        <v>1016</v>
      </c>
      <c r="B154" t="s">
        <v>1911</v>
      </c>
      <c r="C154">
        <v>9506</v>
      </c>
    </row>
    <row r="155" spans="1:3">
      <c r="A155" t="s">
        <v>1396</v>
      </c>
      <c r="B155" t="s">
        <v>1906</v>
      </c>
      <c r="C155">
        <v>8020</v>
      </c>
    </row>
    <row r="156" spans="1:3">
      <c r="A156" t="s">
        <v>1946</v>
      </c>
      <c r="B156" t="s">
        <v>1909</v>
      </c>
      <c r="C156">
        <v>8636</v>
      </c>
    </row>
    <row r="157" spans="1:3">
      <c r="A157" t="s">
        <v>1947</v>
      </c>
      <c r="B157" t="s">
        <v>1912</v>
      </c>
      <c r="C157">
        <v>8883</v>
      </c>
    </row>
    <row r="158" spans="1:3">
      <c r="A158" t="s">
        <v>1017</v>
      </c>
      <c r="B158" t="s">
        <v>1923</v>
      </c>
      <c r="C158">
        <v>8967</v>
      </c>
    </row>
    <row r="159" spans="1:3">
      <c r="A159" t="s">
        <v>60</v>
      </c>
      <c r="B159" t="s">
        <v>1934</v>
      </c>
      <c r="C159">
        <v>6741</v>
      </c>
    </row>
    <row r="160" spans="1:3">
      <c r="A160" t="s">
        <v>1948</v>
      </c>
      <c r="B160" t="s">
        <v>1923</v>
      </c>
      <c r="C160">
        <v>8967</v>
      </c>
    </row>
    <row r="161" spans="1:3">
      <c r="A161" t="s">
        <v>1375</v>
      </c>
      <c r="B161" t="s">
        <v>1454</v>
      </c>
      <c r="C161">
        <v>8515</v>
      </c>
    </row>
    <row r="162" spans="1:3">
      <c r="A162" t="s">
        <v>61</v>
      </c>
      <c r="B162" t="s">
        <v>1919</v>
      </c>
      <c r="C162">
        <v>8938</v>
      </c>
    </row>
    <row r="163" spans="1:3">
      <c r="A163" t="s">
        <v>80</v>
      </c>
      <c r="B163" t="s">
        <v>1915</v>
      </c>
      <c r="C163">
        <v>9339</v>
      </c>
    </row>
    <row r="164" spans="1:3">
      <c r="A164" t="s">
        <v>1018</v>
      </c>
      <c r="B164" t="s">
        <v>1911</v>
      </c>
      <c r="C164">
        <v>9506</v>
      </c>
    </row>
    <row r="165" spans="1:3">
      <c r="A165" t="s">
        <v>14</v>
      </c>
      <c r="B165" t="s">
        <v>1452</v>
      </c>
      <c r="C165">
        <v>9128</v>
      </c>
    </row>
    <row r="166" spans="1:3">
      <c r="A166" t="s">
        <v>19</v>
      </c>
      <c r="B166" t="s">
        <v>1906</v>
      </c>
      <c r="C166">
        <v>8020</v>
      </c>
    </row>
    <row r="167" spans="1:3">
      <c r="A167" t="s">
        <v>1019</v>
      </c>
      <c r="B167" t="s">
        <v>1909</v>
      </c>
      <c r="C167">
        <v>8636</v>
      </c>
    </row>
    <row r="168" spans="1:3">
      <c r="A168" t="s">
        <v>1020</v>
      </c>
      <c r="B168" t="s">
        <v>1909</v>
      </c>
      <c r="C168">
        <v>8636</v>
      </c>
    </row>
    <row r="169" spans="1:3">
      <c r="A169" t="s">
        <v>152</v>
      </c>
      <c r="B169" t="s">
        <v>1949</v>
      </c>
      <c r="C169">
        <v>8294</v>
      </c>
    </row>
    <row r="170" spans="1:3">
      <c r="A170" t="s">
        <v>81</v>
      </c>
      <c r="B170" t="s">
        <v>1949</v>
      </c>
      <c r="C170">
        <v>8294</v>
      </c>
    </row>
    <row r="171" spans="1:3">
      <c r="A171" t="s">
        <v>37</v>
      </c>
      <c r="B171" t="s">
        <v>1919</v>
      </c>
      <c r="C171">
        <v>8938</v>
      </c>
    </row>
    <row r="172" spans="1:3">
      <c r="A172" t="s">
        <v>1021</v>
      </c>
      <c r="B172" t="s">
        <v>1456</v>
      </c>
      <c r="C172">
        <v>8593</v>
      </c>
    </row>
    <row r="173" spans="1:3">
      <c r="A173" t="s">
        <v>1397</v>
      </c>
      <c r="B173" t="s">
        <v>1933</v>
      </c>
      <c r="C173">
        <v>6717</v>
      </c>
    </row>
    <row r="174" spans="1:3">
      <c r="A174" t="s">
        <v>154</v>
      </c>
      <c r="B174" t="s">
        <v>1911</v>
      </c>
      <c r="C174">
        <v>9506</v>
      </c>
    </row>
    <row r="175" spans="1:3">
      <c r="A175" t="s">
        <v>1022</v>
      </c>
      <c r="B175" t="s">
        <v>1911</v>
      </c>
      <c r="C175">
        <v>9506</v>
      </c>
    </row>
    <row r="176" spans="1:3">
      <c r="A176" t="s">
        <v>1024</v>
      </c>
      <c r="B176" t="s">
        <v>1950</v>
      </c>
      <c r="C176">
        <v>7496</v>
      </c>
    </row>
    <row r="177" spans="1:3">
      <c r="A177" t="s">
        <v>1025</v>
      </c>
      <c r="B177" t="s">
        <v>1457</v>
      </c>
      <c r="C177">
        <v>8716</v>
      </c>
    </row>
    <row r="178" spans="1:3">
      <c r="A178" t="s">
        <v>294</v>
      </c>
      <c r="B178" t="s">
        <v>1453</v>
      </c>
      <c r="C178">
        <v>8048</v>
      </c>
    </row>
    <row r="179" spans="1:3">
      <c r="A179" t="s">
        <v>1398</v>
      </c>
      <c r="B179" t="s">
        <v>1911</v>
      </c>
      <c r="C179">
        <v>9506</v>
      </c>
    </row>
    <row r="180" spans="1:3">
      <c r="A180" t="s">
        <v>1399</v>
      </c>
      <c r="B180" t="s">
        <v>1457</v>
      </c>
      <c r="C180">
        <v>8716</v>
      </c>
    </row>
    <row r="181" spans="1:3">
      <c r="A181" t="s">
        <v>15</v>
      </c>
      <c r="B181" t="s">
        <v>1454</v>
      </c>
      <c r="C181">
        <v>8515</v>
      </c>
    </row>
    <row r="182" spans="1:3">
      <c r="A182" t="s">
        <v>208</v>
      </c>
      <c r="B182" t="s">
        <v>1441</v>
      </c>
      <c r="C182">
        <v>7788</v>
      </c>
    </row>
    <row r="183" spans="1:3">
      <c r="A183" t="s">
        <v>1601</v>
      </c>
      <c r="B183" t="s">
        <v>1909</v>
      </c>
      <c r="C183">
        <v>8636</v>
      </c>
    </row>
    <row r="184" spans="1:3">
      <c r="A184" t="s">
        <v>82</v>
      </c>
      <c r="B184" t="s">
        <v>1943</v>
      </c>
      <c r="C184">
        <v>9154</v>
      </c>
    </row>
    <row r="185" spans="1:3">
      <c r="A185" t="s">
        <v>1400</v>
      </c>
      <c r="B185" t="s">
        <v>1936</v>
      </c>
      <c r="C185">
        <v>8870</v>
      </c>
    </row>
    <row r="186" spans="1:3">
      <c r="A186" t="s">
        <v>112</v>
      </c>
      <c r="B186" t="s">
        <v>1457</v>
      </c>
      <c r="C186">
        <v>8716</v>
      </c>
    </row>
    <row r="187" spans="1:3">
      <c r="A187" t="s">
        <v>1028</v>
      </c>
      <c r="B187" t="s">
        <v>1919</v>
      </c>
      <c r="C187">
        <v>8938</v>
      </c>
    </row>
    <row r="188" spans="1:3">
      <c r="A188" t="s">
        <v>83</v>
      </c>
      <c r="B188" t="s">
        <v>1446</v>
      </c>
      <c r="C188">
        <v>8830</v>
      </c>
    </row>
    <row r="189" spans="1:3">
      <c r="A189" t="s">
        <v>1029</v>
      </c>
      <c r="B189" t="s">
        <v>1909</v>
      </c>
      <c r="C189">
        <v>8636</v>
      </c>
    </row>
    <row r="190" spans="1:3">
      <c r="A190" t="s">
        <v>295</v>
      </c>
      <c r="B190" t="s">
        <v>1909</v>
      </c>
      <c r="C190">
        <v>8636</v>
      </c>
    </row>
    <row r="191" spans="1:3">
      <c r="A191" t="s">
        <v>1030</v>
      </c>
      <c r="B191" t="s">
        <v>1932</v>
      </c>
      <c r="C191">
        <v>9112</v>
      </c>
    </row>
    <row r="192" spans="1:3">
      <c r="A192" t="s">
        <v>296</v>
      </c>
      <c r="B192" t="s">
        <v>1456</v>
      </c>
      <c r="C192">
        <v>8593</v>
      </c>
    </row>
    <row r="193" spans="1:3">
      <c r="A193" t="s">
        <v>46</v>
      </c>
      <c r="B193" t="s">
        <v>1922</v>
      </c>
      <c r="C193">
        <v>6717</v>
      </c>
    </row>
    <row r="194" spans="1:3">
      <c r="A194" t="s">
        <v>162</v>
      </c>
      <c r="B194" t="s">
        <v>1905</v>
      </c>
      <c r="C194">
        <v>7003</v>
      </c>
    </row>
    <row r="195" spans="1:3">
      <c r="A195" t="s">
        <v>1401</v>
      </c>
      <c r="B195" t="s">
        <v>1460</v>
      </c>
      <c r="C195">
        <v>8406</v>
      </c>
    </row>
    <row r="196" spans="1:3">
      <c r="A196" t="s">
        <v>1031</v>
      </c>
      <c r="B196" t="s">
        <v>1936</v>
      </c>
      <c r="C196">
        <v>8870</v>
      </c>
    </row>
    <row r="197" spans="1:3">
      <c r="A197" t="s">
        <v>257</v>
      </c>
      <c r="B197" t="s">
        <v>1446</v>
      </c>
      <c r="C197">
        <v>8830</v>
      </c>
    </row>
    <row r="198" spans="1:3">
      <c r="A198" t="s">
        <v>84</v>
      </c>
      <c r="B198" t="s">
        <v>1951</v>
      </c>
      <c r="C198">
        <v>8946</v>
      </c>
    </row>
    <row r="199" spans="1:3">
      <c r="A199" t="s">
        <v>62</v>
      </c>
      <c r="B199" t="s">
        <v>1919</v>
      </c>
      <c r="C199">
        <v>8938</v>
      </c>
    </row>
    <row r="200" spans="1:3">
      <c r="A200" t="s">
        <v>1952</v>
      </c>
      <c r="B200" t="s">
        <v>1919</v>
      </c>
      <c r="C200">
        <v>8938</v>
      </c>
    </row>
    <row r="201" spans="1:3">
      <c r="A201" t="s">
        <v>1953</v>
      </c>
      <c r="B201" t="s">
        <v>1470</v>
      </c>
      <c r="C201">
        <v>6717</v>
      </c>
    </row>
    <row r="202" spans="1:3">
      <c r="A202" t="s">
        <v>159</v>
      </c>
      <c r="B202" t="s">
        <v>1470</v>
      </c>
      <c r="C202">
        <v>6717</v>
      </c>
    </row>
    <row r="203" spans="1:3">
      <c r="A203" t="s">
        <v>43</v>
      </c>
      <c r="B203" t="s">
        <v>1910</v>
      </c>
      <c r="C203">
        <v>7882</v>
      </c>
    </row>
    <row r="204" spans="1:3">
      <c r="A204" t="s">
        <v>549</v>
      </c>
      <c r="B204" t="s">
        <v>1457</v>
      </c>
      <c r="C204">
        <v>8716</v>
      </c>
    </row>
    <row r="205" spans="1:3">
      <c r="A205" t="s">
        <v>1170</v>
      </c>
      <c r="B205" t="s">
        <v>1457</v>
      </c>
      <c r="C205">
        <v>8716</v>
      </c>
    </row>
    <row r="206" spans="1:3">
      <c r="A206" t="s">
        <v>44</v>
      </c>
      <c r="B206" t="s">
        <v>1911</v>
      </c>
      <c r="C206">
        <v>9506</v>
      </c>
    </row>
    <row r="207" spans="1:3">
      <c r="A207" t="s">
        <v>167</v>
      </c>
      <c r="B207" t="s">
        <v>1449</v>
      </c>
      <c r="C207">
        <v>7580</v>
      </c>
    </row>
    <row r="208" spans="1:3">
      <c r="A208" t="s">
        <v>38</v>
      </c>
      <c r="B208" t="s">
        <v>1446</v>
      </c>
      <c r="C208">
        <v>8830</v>
      </c>
    </row>
    <row r="209" spans="1:3">
      <c r="A209" t="s">
        <v>169</v>
      </c>
      <c r="B209" t="s">
        <v>1906</v>
      </c>
      <c r="C209">
        <v>8020</v>
      </c>
    </row>
    <row r="210" spans="1:3">
      <c r="A210" t="s">
        <v>33</v>
      </c>
      <c r="B210" t="s">
        <v>1458</v>
      </c>
      <c r="C210">
        <v>8593</v>
      </c>
    </row>
    <row r="211" spans="1:3">
      <c r="A211" t="s">
        <v>85</v>
      </c>
      <c r="B211" t="s">
        <v>1938</v>
      </c>
      <c r="C211">
        <v>9308</v>
      </c>
    </row>
    <row r="212" spans="1:3">
      <c r="A212" t="s">
        <v>258</v>
      </c>
      <c r="B212" t="s">
        <v>1943</v>
      </c>
      <c r="C212">
        <v>9154</v>
      </c>
    </row>
    <row r="213" spans="1:3">
      <c r="A213" t="s">
        <v>1032</v>
      </c>
      <c r="B213" t="s">
        <v>1463</v>
      </c>
      <c r="C213">
        <v>7698</v>
      </c>
    </row>
    <row r="214" spans="1:3">
      <c r="A214" t="s">
        <v>173</v>
      </c>
      <c r="B214" t="s">
        <v>1446</v>
      </c>
      <c r="C214">
        <v>8830</v>
      </c>
    </row>
    <row r="215" spans="1:3">
      <c r="A215" t="s">
        <v>1033</v>
      </c>
      <c r="B215" t="s">
        <v>1446</v>
      </c>
      <c r="C215">
        <v>8830</v>
      </c>
    </row>
    <row r="216" spans="1:3">
      <c r="A216" t="s">
        <v>1366</v>
      </c>
      <c r="B216" t="s">
        <v>1932</v>
      </c>
      <c r="C216">
        <v>9112</v>
      </c>
    </row>
    <row r="217" spans="1:3">
      <c r="A217" t="s">
        <v>1179</v>
      </c>
      <c r="B217" t="s">
        <v>1942</v>
      </c>
      <c r="C217">
        <v>7513</v>
      </c>
    </row>
    <row r="218" spans="1:3">
      <c r="A218" t="s">
        <v>1604</v>
      </c>
      <c r="B218" t="s">
        <v>1923</v>
      </c>
      <c r="C218">
        <v>8967</v>
      </c>
    </row>
    <row r="219" spans="1:3">
      <c r="A219" t="s">
        <v>177</v>
      </c>
      <c r="B219" t="s">
        <v>1457</v>
      </c>
      <c r="C219">
        <v>8716</v>
      </c>
    </row>
    <row r="220" spans="1:3">
      <c r="A220" t="s">
        <v>179</v>
      </c>
      <c r="B220" t="s">
        <v>1936</v>
      </c>
      <c r="C220">
        <v>8870</v>
      </c>
    </row>
    <row r="221" spans="1:3">
      <c r="A221" t="s">
        <v>181</v>
      </c>
      <c r="B221" t="s">
        <v>1933</v>
      </c>
      <c r="C221">
        <v>6717</v>
      </c>
    </row>
    <row r="222" spans="1:3">
      <c r="A222" t="s">
        <v>1402</v>
      </c>
      <c r="B222" t="s">
        <v>1457</v>
      </c>
      <c r="C222">
        <v>8716</v>
      </c>
    </row>
    <row r="223" spans="1:3">
      <c r="A223" t="s">
        <v>1378</v>
      </c>
      <c r="B223" t="s">
        <v>1942</v>
      </c>
      <c r="C223">
        <v>7513</v>
      </c>
    </row>
    <row r="224" spans="1:3">
      <c r="A224" t="s">
        <v>1403</v>
      </c>
      <c r="B224" t="s">
        <v>1456</v>
      </c>
      <c r="C224">
        <v>8593</v>
      </c>
    </row>
    <row r="225" spans="1:3">
      <c r="A225" t="s">
        <v>1404</v>
      </c>
      <c r="B225" t="s">
        <v>1084</v>
      </c>
      <c r="C225">
        <v>7211</v>
      </c>
    </row>
    <row r="226" spans="1:3">
      <c r="A226" t="s">
        <v>86</v>
      </c>
      <c r="B226" t="s">
        <v>1913</v>
      </c>
      <c r="C226">
        <v>9428</v>
      </c>
    </row>
    <row r="227" spans="1:3">
      <c r="A227" t="s">
        <v>1376</v>
      </c>
      <c r="B227" t="s">
        <v>1470</v>
      </c>
      <c r="C227">
        <v>6717</v>
      </c>
    </row>
    <row r="228" spans="1:3">
      <c r="A228" t="s">
        <v>1034</v>
      </c>
      <c r="B228" t="s">
        <v>1942</v>
      </c>
      <c r="C228">
        <v>7513</v>
      </c>
    </row>
    <row r="229" spans="1:3">
      <c r="A229" t="s">
        <v>185</v>
      </c>
      <c r="B229" t="s">
        <v>1449</v>
      </c>
      <c r="C229">
        <v>7580</v>
      </c>
    </row>
    <row r="230" spans="1:3">
      <c r="A230" t="s">
        <v>87</v>
      </c>
      <c r="B230" t="s">
        <v>1446</v>
      </c>
      <c r="C230">
        <v>8830</v>
      </c>
    </row>
    <row r="231" spans="1:3">
      <c r="A231" t="s">
        <v>1405</v>
      </c>
      <c r="B231" t="s">
        <v>1460</v>
      </c>
      <c r="C231">
        <v>8406</v>
      </c>
    </row>
    <row r="232" spans="1:3">
      <c r="A232" t="s">
        <v>1035</v>
      </c>
      <c r="B232" t="s">
        <v>1932</v>
      </c>
      <c r="C232">
        <v>9112</v>
      </c>
    </row>
    <row r="233" spans="1:3">
      <c r="A233" t="s">
        <v>16</v>
      </c>
      <c r="B233" t="s">
        <v>1933</v>
      </c>
      <c r="C233">
        <v>6717</v>
      </c>
    </row>
    <row r="234" spans="1:3">
      <c r="A234" t="s">
        <v>1367</v>
      </c>
      <c r="B234" t="s">
        <v>1923</v>
      </c>
      <c r="C234">
        <v>8967</v>
      </c>
    </row>
    <row r="235" spans="1:3">
      <c r="A235" t="s">
        <v>1406</v>
      </c>
      <c r="B235" t="s">
        <v>1909</v>
      </c>
      <c r="C235">
        <v>8636</v>
      </c>
    </row>
    <row r="236" spans="1:3">
      <c r="A236" t="s">
        <v>28</v>
      </c>
      <c r="B236" t="s">
        <v>1446</v>
      </c>
      <c r="C236">
        <v>8830</v>
      </c>
    </row>
    <row r="237" spans="1:3">
      <c r="A237" t="s">
        <v>1357</v>
      </c>
      <c r="B237" t="s">
        <v>1932</v>
      </c>
      <c r="C237">
        <v>9112</v>
      </c>
    </row>
    <row r="238" spans="1:3">
      <c r="A238" t="s">
        <v>1037</v>
      </c>
      <c r="B238" t="s">
        <v>1461</v>
      </c>
      <c r="C238">
        <v>8017</v>
      </c>
    </row>
    <row r="239" spans="1:3">
      <c r="A239" t="s">
        <v>1407</v>
      </c>
      <c r="B239" t="s">
        <v>1446</v>
      </c>
      <c r="C239">
        <v>8830</v>
      </c>
    </row>
    <row r="240" spans="1:3">
      <c r="A240" t="s">
        <v>867</v>
      </c>
      <c r="B240" t="s">
        <v>1914</v>
      </c>
      <c r="C240">
        <v>8534</v>
      </c>
    </row>
    <row r="241" spans="1:3">
      <c r="A241" t="s">
        <v>1038</v>
      </c>
      <c r="B241" t="s">
        <v>1456</v>
      </c>
      <c r="C241">
        <v>8593</v>
      </c>
    </row>
    <row r="242" spans="1:3">
      <c r="A242" t="s">
        <v>1954</v>
      </c>
      <c r="B242" t="s">
        <v>1911</v>
      </c>
      <c r="C242">
        <v>9506</v>
      </c>
    </row>
    <row r="243" spans="1:3">
      <c r="A243" t="s">
        <v>88</v>
      </c>
      <c r="B243" t="s">
        <v>1942</v>
      </c>
      <c r="C243">
        <v>7513</v>
      </c>
    </row>
    <row r="244" spans="1:3">
      <c r="A244" t="s">
        <v>1955</v>
      </c>
      <c r="B244" t="s">
        <v>1923</v>
      </c>
      <c r="C244">
        <v>8967</v>
      </c>
    </row>
    <row r="245" spans="1:3">
      <c r="A245" t="s">
        <v>1608</v>
      </c>
      <c r="B245" t="s">
        <v>1912</v>
      </c>
      <c r="C245">
        <v>8883</v>
      </c>
    </row>
    <row r="246" spans="1:3">
      <c r="A246" t="s">
        <v>1040</v>
      </c>
      <c r="B246" t="s">
        <v>1084</v>
      </c>
      <c r="C246">
        <v>7211</v>
      </c>
    </row>
    <row r="247" spans="1:3">
      <c r="A247" t="s">
        <v>1174</v>
      </c>
      <c r="B247" t="s">
        <v>1470</v>
      </c>
      <c r="C247">
        <v>6717</v>
      </c>
    </row>
    <row r="248" spans="1:3">
      <c r="A248" t="s">
        <v>1408</v>
      </c>
      <c r="B248" t="s">
        <v>1456</v>
      </c>
      <c r="C248">
        <v>8593</v>
      </c>
    </row>
    <row r="249" spans="1:3">
      <c r="A249" t="s">
        <v>89</v>
      </c>
      <c r="B249" t="s">
        <v>1906</v>
      </c>
      <c r="C249">
        <v>8020</v>
      </c>
    </row>
    <row r="250" spans="1:3">
      <c r="A250" t="s">
        <v>1175</v>
      </c>
      <c r="B250" t="s">
        <v>1470</v>
      </c>
      <c r="C250">
        <v>6717</v>
      </c>
    </row>
    <row r="251" spans="1:3">
      <c r="A251" t="s">
        <v>1409</v>
      </c>
      <c r="B251" t="s">
        <v>1461</v>
      </c>
      <c r="C251">
        <v>8017</v>
      </c>
    </row>
    <row r="252" spans="1:3">
      <c r="A252" t="s">
        <v>1041</v>
      </c>
      <c r="B252" t="s">
        <v>1936</v>
      </c>
      <c r="C252">
        <v>8870</v>
      </c>
    </row>
    <row r="253" spans="1:3">
      <c r="A253" t="s">
        <v>1008</v>
      </c>
      <c r="B253" t="s">
        <v>1911</v>
      </c>
      <c r="C253">
        <v>9506</v>
      </c>
    </row>
    <row r="254" spans="1:3">
      <c r="A254" t="s">
        <v>1042</v>
      </c>
      <c r="B254" t="s">
        <v>1913</v>
      </c>
      <c r="C254">
        <v>9428</v>
      </c>
    </row>
    <row r="255" spans="1:3">
      <c r="A255" t="s">
        <v>196</v>
      </c>
      <c r="B255" t="s">
        <v>1446</v>
      </c>
      <c r="C255">
        <v>8830</v>
      </c>
    </row>
    <row r="256" spans="1:3">
      <c r="A256" t="s">
        <v>39</v>
      </c>
      <c r="B256" t="s">
        <v>1446</v>
      </c>
      <c r="C256">
        <v>8830</v>
      </c>
    </row>
    <row r="257" spans="1:3">
      <c r="A257" t="s">
        <v>1176</v>
      </c>
      <c r="B257" t="s">
        <v>1919</v>
      </c>
      <c r="C257">
        <v>8938</v>
      </c>
    </row>
    <row r="258" spans="1:3">
      <c r="A258" t="s">
        <v>1358</v>
      </c>
      <c r="B258" t="s">
        <v>1932</v>
      </c>
      <c r="C258">
        <v>9112</v>
      </c>
    </row>
    <row r="259" spans="1:3">
      <c r="A259" t="s">
        <v>201</v>
      </c>
      <c r="B259" t="s">
        <v>1950</v>
      </c>
      <c r="C259">
        <v>7496</v>
      </c>
    </row>
    <row r="260" spans="1:3">
      <c r="A260" t="s">
        <v>1043</v>
      </c>
      <c r="B260" t="s">
        <v>1942</v>
      </c>
      <c r="C260">
        <v>7513</v>
      </c>
    </row>
    <row r="261" spans="1:3">
      <c r="A261" t="s">
        <v>1180</v>
      </c>
      <c r="B261" t="s">
        <v>1907</v>
      </c>
      <c r="C261">
        <v>8912</v>
      </c>
    </row>
    <row r="262" spans="1:3">
      <c r="A262" t="s">
        <v>90</v>
      </c>
      <c r="B262" t="s">
        <v>1449</v>
      </c>
      <c r="C262">
        <v>7580</v>
      </c>
    </row>
    <row r="263" spans="1:3">
      <c r="A263" t="s">
        <v>1044</v>
      </c>
      <c r="B263" t="s">
        <v>1911</v>
      </c>
      <c r="C263">
        <v>9506</v>
      </c>
    </row>
    <row r="264" spans="1:3">
      <c r="A264" t="s">
        <v>250</v>
      </c>
      <c r="B264" t="s">
        <v>1446</v>
      </c>
      <c r="C264">
        <v>8830</v>
      </c>
    </row>
    <row r="265" spans="1:3">
      <c r="A265" t="s">
        <v>91</v>
      </c>
      <c r="B265" t="s">
        <v>1446</v>
      </c>
      <c r="C265">
        <v>8830</v>
      </c>
    </row>
    <row r="266" spans="1:3">
      <c r="A266" t="s">
        <v>1045</v>
      </c>
      <c r="B266" t="s">
        <v>1909</v>
      </c>
      <c r="C266">
        <v>8636</v>
      </c>
    </row>
    <row r="267" spans="1:3">
      <c r="A267" t="s">
        <v>1046</v>
      </c>
      <c r="B267" t="s">
        <v>1911</v>
      </c>
      <c r="C267">
        <v>9506</v>
      </c>
    </row>
    <row r="268" spans="1:3">
      <c r="A268" t="s">
        <v>203</v>
      </c>
      <c r="B268" t="s">
        <v>1909</v>
      </c>
      <c r="C268">
        <v>8636</v>
      </c>
    </row>
    <row r="269" spans="1:3">
      <c r="A269" t="s">
        <v>35</v>
      </c>
      <c r="B269" t="s">
        <v>1941</v>
      </c>
      <c r="C269">
        <v>7669</v>
      </c>
    </row>
    <row r="270" spans="1:3">
      <c r="A270" t="s">
        <v>1047</v>
      </c>
      <c r="B270" t="s">
        <v>1911</v>
      </c>
      <c r="C270">
        <v>9506</v>
      </c>
    </row>
    <row r="271" spans="1:3">
      <c r="A271" t="s">
        <v>31</v>
      </c>
      <c r="B271" t="s">
        <v>1951</v>
      </c>
      <c r="C271">
        <v>8946</v>
      </c>
    </row>
    <row r="272" spans="1:3">
      <c r="A272" t="s">
        <v>21</v>
      </c>
      <c r="B272" t="s">
        <v>1460</v>
      </c>
      <c r="C272">
        <v>8406</v>
      </c>
    </row>
    <row r="273" spans="1:3">
      <c r="A273" t="s">
        <v>1048</v>
      </c>
      <c r="B273" t="s">
        <v>1911</v>
      </c>
      <c r="C273">
        <v>9506</v>
      </c>
    </row>
    <row r="274" spans="1:3">
      <c r="A274" t="s">
        <v>92</v>
      </c>
      <c r="B274" t="s">
        <v>1922</v>
      </c>
      <c r="C274">
        <v>6717</v>
      </c>
    </row>
    <row r="275" spans="1:3">
      <c r="A275" t="s">
        <v>1956</v>
      </c>
      <c r="B275" t="s">
        <v>1923</v>
      </c>
      <c r="C275">
        <v>8967</v>
      </c>
    </row>
    <row r="276" spans="1:3">
      <c r="A276" t="s">
        <v>1049</v>
      </c>
      <c r="B276" t="s">
        <v>1912</v>
      </c>
      <c r="C276">
        <v>8883</v>
      </c>
    </row>
    <row r="277" spans="1:3">
      <c r="A277" t="s">
        <v>1050</v>
      </c>
      <c r="B277" t="s">
        <v>1461</v>
      </c>
      <c r="C277">
        <v>8017</v>
      </c>
    </row>
    <row r="278" spans="1:3">
      <c r="A278" t="s">
        <v>1181</v>
      </c>
      <c r="B278" t="s">
        <v>1461</v>
      </c>
      <c r="C278">
        <v>8017</v>
      </c>
    </row>
    <row r="279" spans="1:3">
      <c r="A279" t="s">
        <v>1182</v>
      </c>
      <c r="B279" t="s">
        <v>1461</v>
      </c>
      <c r="C279">
        <v>8017</v>
      </c>
    </row>
    <row r="280" spans="1:3">
      <c r="A280" t="s">
        <v>209</v>
      </c>
      <c r="B280" t="s">
        <v>1441</v>
      </c>
      <c r="C280">
        <v>7788</v>
      </c>
    </row>
    <row r="281" spans="1:3">
      <c r="A281" t="s">
        <v>93</v>
      </c>
      <c r="B281" t="s">
        <v>1943</v>
      </c>
      <c r="C281">
        <v>9154</v>
      </c>
    </row>
    <row r="282" spans="1:3">
      <c r="A282" t="s">
        <v>214</v>
      </c>
      <c r="B282" t="s">
        <v>1906</v>
      </c>
      <c r="C282">
        <v>8020</v>
      </c>
    </row>
    <row r="283" spans="1:3">
      <c r="A283" t="s">
        <v>94</v>
      </c>
      <c r="B283" t="s">
        <v>1446</v>
      </c>
      <c r="C283">
        <v>8830</v>
      </c>
    </row>
    <row r="284" spans="1:3">
      <c r="A284" t="s">
        <v>1411</v>
      </c>
      <c r="B284" t="s">
        <v>1446</v>
      </c>
      <c r="C284">
        <v>8830</v>
      </c>
    </row>
    <row r="285" spans="1:3">
      <c r="A285" t="s">
        <v>29</v>
      </c>
      <c r="B285" t="s">
        <v>1457</v>
      </c>
      <c r="C285">
        <v>8716</v>
      </c>
    </row>
    <row r="286" spans="1:3">
      <c r="A286" t="s">
        <v>1412</v>
      </c>
      <c r="B286" t="s">
        <v>1933</v>
      </c>
      <c r="C286">
        <v>6717</v>
      </c>
    </row>
    <row r="287" spans="1:3">
      <c r="A287" t="s">
        <v>1052</v>
      </c>
      <c r="B287" t="s">
        <v>1446</v>
      </c>
      <c r="C287">
        <v>8830</v>
      </c>
    </row>
    <row r="288" spans="1:3">
      <c r="A288" t="s">
        <v>217</v>
      </c>
      <c r="B288" t="s">
        <v>1457</v>
      </c>
      <c r="C288">
        <v>8716</v>
      </c>
    </row>
    <row r="289" spans="1:3">
      <c r="A289" t="s">
        <v>1413</v>
      </c>
      <c r="B289" t="s">
        <v>1906</v>
      </c>
      <c r="C289">
        <v>8020</v>
      </c>
    </row>
    <row r="290" spans="1:3">
      <c r="A290" t="s">
        <v>297</v>
      </c>
      <c r="B290" t="s">
        <v>1923</v>
      </c>
      <c r="C290">
        <v>8967</v>
      </c>
    </row>
    <row r="291" spans="1:3">
      <c r="A291" t="s">
        <v>1414</v>
      </c>
      <c r="B291" t="s">
        <v>1905</v>
      </c>
      <c r="C291">
        <v>7003</v>
      </c>
    </row>
    <row r="292" spans="1:3">
      <c r="A292" t="s">
        <v>1053</v>
      </c>
      <c r="B292" t="s">
        <v>1932</v>
      </c>
      <c r="C292">
        <v>9112</v>
      </c>
    </row>
    <row r="293" spans="1:3">
      <c r="A293" t="s">
        <v>45</v>
      </c>
      <c r="B293" t="s">
        <v>1911</v>
      </c>
      <c r="C293">
        <v>9506</v>
      </c>
    </row>
    <row r="294" spans="1:3">
      <c r="A294" t="s">
        <v>1054</v>
      </c>
      <c r="B294" t="s">
        <v>1937</v>
      </c>
      <c r="C294">
        <v>8210</v>
      </c>
    </row>
    <row r="295" spans="1:3">
      <c r="A295" t="s">
        <v>1957</v>
      </c>
      <c r="B295" t="s">
        <v>1456</v>
      </c>
      <c r="C295">
        <v>8593</v>
      </c>
    </row>
    <row r="296" spans="1:3">
      <c r="A296" t="s">
        <v>1055</v>
      </c>
      <c r="B296" t="s">
        <v>1950</v>
      </c>
      <c r="C296">
        <v>7496</v>
      </c>
    </row>
    <row r="297" spans="1:3">
      <c r="A297" t="s">
        <v>1958</v>
      </c>
      <c r="B297" t="s">
        <v>1909</v>
      </c>
      <c r="C297">
        <v>8636</v>
      </c>
    </row>
    <row r="298" spans="1:3">
      <c r="A298" t="s">
        <v>550</v>
      </c>
      <c r="B298" t="s">
        <v>1463</v>
      </c>
      <c r="C298">
        <v>7698</v>
      </c>
    </row>
    <row r="299" spans="1:3">
      <c r="A299" t="s">
        <v>1463</v>
      </c>
      <c r="B299" t="s">
        <v>1463</v>
      </c>
      <c r="C299">
        <v>7698</v>
      </c>
    </row>
    <row r="300" spans="1:3">
      <c r="A300" t="s">
        <v>1609</v>
      </c>
      <c r="B300" t="s">
        <v>1923</v>
      </c>
      <c r="C300">
        <v>8967</v>
      </c>
    </row>
    <row r="301" spans="1:3">
      <c r="A301" t="s">
        <v>1415</v>
      </c>
      <c r="B301" t="s">
        <v>1911</v>
      </c>
      <c r="C301">
        <v>9506</v>
      </c>
    </row>
    <row r="302" spans="1:3">
      <c r="A302" t="s">
        <v>220</v>
      </c>
      <c r="B302" t="s">
        <v>1931</v>
      </c>
      <c r="C302">
        <v>7669</v>
      </c>
    </row>
    <row r="303" spans="1:3">
      <c r="A303" t="s">
        <v>95</v>
      </c>
      <c r="B303" t="s">
        <v>1906</v>
      </c>
      <c r="C303">
        <v>8020</v>
      </c>
    </row>
    <row r="304" spans="1:3">
      <c r="A304" t="s">
        <v>96</v>
      </c>
      <c r="B304" t="s">
        <v>1906</v>
      </c>
      <c r="C304">
        <v>8020</v>
      </c>
    </row>
    <row r="305" spans="1:3">
      <c r="A305" t="s">
        <v>259</v>
      </c>
      <c r="B305" t="s">
        <v>1945</v>
      </c>
      <c r="C305">
        <v>8754</v>
      </c>
    </row>
    <row r="306" spans="1:3">
      <c r="A306" t="s">
        <v>1056</v>
      </c>
      <c r="B306" t="s">
        <v>1463</v>
      </c>
      <c r="C306">
        <v>7698</v>
      </c>
    </row>
    <row r="307" spans="1:3">
      <c r="A307" t="s">
        <v>210</v>
      </c>
      <c r="B307" t="s">
        <v>1951</v>
      </c>
      <c r="C307">
        <v>8946</v>
      </c>
    </row>
    <row r="308" spans="1:3">
      <c r="A308" t="s">
        <v>211</v>
      </c>
      <c r="B308" t="s">
        <v>1465</v>
      </c>
      <c r="C308">
        <v>7621</v>
      </c>
    </row>
    <row r="309" spans="1:3">
      <c r="A309" t="s">
        <v>1416</v>
      </c>
      <c r="B309" t="s">
        <v>1909</v>
      </c>
      <c r="C309">
        <v>8636</v>
      </c>
    </row>
    <row r="310" spans="1:3">
      <c r="A310" t="s">
        <v>1417</v>
      </c>
      <c r="B310" t="s">
        <v>1943</v>
      </c>
      <c r="C310">
        <v>9154</v>
      </c>
    </row>
    <row r="311" spans="1:3">
      <c r="A311" t="s">
        <v>1057</v>
      </c>
      <c r="B311" t="s">
        <v>1454</v>
      </c>
      <c r="C311">
        <v>8515</v>
      </c>
    </row>
    <row r="312" spans="1:3">
      <c r="A312" t="s">
        <v>1959</v>
      </c>
      <c r="B312" t="s">
        <v>1454</v>
      </c>
      <c r="C312">
        <v>8515</v>
      </c>
    </row>
    <row r="313" spans="1:3">
      <c r="A313" t="s">
        <v>233</v>
      </c>
      <c r="B313" t="s">
        <v>1911</v>
      </c>
      <c r="C313">
        <v>9506</v>
      </c>
    </row>
    <row r="314" spans="1:3">
      <c r="A314" t="s">
        <v>1418</v>
      </c>
      <c r="B314" t="s">
        <v>1460</v>
      </c>
      <c r="C314">
        <v>8406</v>
      </c>
    </row>
    <row r="315" spans="1:3">
      <c r="A315" t="s">
        <v>1058</v>
      </c>
      <c r="B315" t="s">
        <v>1457</v>
      </c>
      <c r="C315">
        <v>8716</v>
      </c>
    </row>
    <row r="316" spans="1:3">
      <c r="A316" t="s">
        <v>223</v>
      </c>
      <c r="B316" t="s">
        <v>1931</v>
      </c>
      <c r="C316">
        <v>7669</v>
      </c>
    </row>
    <row r="317" spans="1:3">
      <c r="A317" t="s">
        <v>1059</v>
      </c>
      <c r="B317" t="s">
        <v>1457</v>
      </c>
      <c r="C317">
        <v>8716</v>
      </c>
    </row>
    <row r="318" spans="1:3">
      <c r="A318" t="s">
        <v>1419</v>
      </c>
      <c r="B318" t="s">
        <v>1950</v>
      </c>
      <c r="C318">
        <v>7496</v>
      </c>
    </row>
    <row r="319" spans="1:3">
      <c r="A319" t="s">
        <v>1060</v>
      </c>
      <c r="B319" t="s">
        <v>1463</v>
      </c>
      <c r="C319">
        <v>7698</v>
      </c>
    </row>
    <row r="320" spans="1:3">
      <c r="A320" t="s">
        <v>1420</v>
      </c>
      <c r="B320" t="s">
        <v>1457</v>
      </c>
      <c r="C320">
        <v>8716</v>
      </c>
    </row>
    <row r="321" spans="1:3">
      <c r="A321" t="s">
        <v>1960</v>
      </c>
      <c r="B321" t="s">
        <v>1084</v>
      </c>
      <c r="C321">
        <v>7211</v>
      </c>
    </row>
    <row r="322" spans="1:3">
      <c r="A322" t="s">
        <v>1355</v>
      </c>
      <c r="B322" t="s">
        <v>1449</v>
      </c>
      <c r="C322">
        <v>7580</v>
      </c>
    </row>
    <row r="323" spans="1:3">
      <c r="A323" t="s">
        <v>1961</v>
      </c>
      <c r="B323" t="s">
        <v>1457</v>
      </c>
      <c r="C323">
        <v>8716</v>
      </c>
    </row>
    <row r="324" spans="1:3">
      <c r="A324" t="s">
        <v>1612</v>
      </c>
      <c r="B324" t="s">
        <v>1084</v>
      </c>
      <c r="C324">
        <v>7211</v>
      </c>
    </row>
    <row r="325" spans="1:3">
      <c r="A325" t="s">
        <v>1962</v>
      </c>
      <c r="B325" t="s">
        <v>1914</v>
      </c>
      <c r="C325">
        <v>8534</v>
      </c>
    </row>
    <row r="326" spans="1:3">
      <c r="A326" t="s">
        <v>27</v>
      </c>
      <c r="B326" t="s">
        <v>1945</v>
      </c>
      <c r="C326">
        <v>8754</v>
      </c>
    </row>
    <row r="327" spans="1:3">
      <c r="A327" t="s">
        <v>1963</v>
      </c>
      <c r="B327" t="s">
        <v>1909</v>
      </c>
      <c r="C327">
        <v>8636</v>
      </c>
    </row>
    <row r="328" spans="1:3">
      <c r="A328" t="s">
        <v>409</v>
      </c>
      <c r="B328" t="s">
        <v>1942</v>
      </c>
      <c r="C328">
        <v>7513</v>
      </c>
    </row>
    <row r="329" spans="1:3">
      <c r="A329" t="s">
        <v>190</v>
      </c>
      <c r="B329" t="s">
        <v>1933</v>
      </c>
      <c r="C329">
        <v>6717</v>
      </c>
    </row>
    <row r="330" spans="1:3">
      <c r="A330" t="s">
        <v>34</v>
      </c>
      <c r="B330" t="s">
        <v>1949</v>
      </c>
      <c r="C330">
        <v>8294</v>
      </c>
    </row>
    <row r="331" spans="1:3">
      <c r="A331" t="s">
        <v>97</v>
      </c>
      <c r="B331" t="s">
        <v>1913</v>
      </c>
      <c r="C331">
        <v>9428</v>
      </c>
    </row>
    <row r="332" spans="1:3">
      <c r="A332" t="s">
        <v>1061</v>
      </c>
      <c r="B332" t="s">
        <v>1941</v>
      </c>
      <c r="C332">
        <v>7669</v>
      </c>
    </row>
    <row r="333" spans="1:3">
      <c r="A333" t="s">
        <v>1062</v>
      </c>
      <c r="B333" t="s">
        <v>1906</v>
      </c>
      <c r="C333">
        <v>8020</v>
      </c>
    </row>
    <row r="334" spans="1:3">
      <c r="A334" t="s">
        <v>1063</v>
      </c>
      <c r="B334" t="s">
        <v>1964</v>
      </c>
      <c r="C334">
        <v>8430</v>
      </c>
    </row>
    <row r="335" spans="1:3">
      <c r="A335" t="s">
        <v>1064</v>
      </c>
      <c r="B335" t="s">
        <v>1965</v>
      </c>
      <c r="C335">
        <v>7669</v>
      </c>
    </row>
    <row r="336" spans="1:3">
      <c r="A336" t="s">
        <v>1368</v>
      </c>
      <c r="B336" t="s">
        <v>1909</v>
      </c>
      <c r="C336">
        <v>8636</v>
      </c>
    </row>
    <row r="337" spans="1:3">
      <c r="A337" t="s">
        <v>1065</v>
      </c>
      <c r="B337" t="s">
        <v>1912</v>
      </c>
      <c r="C337">
        <v>8883</v>
      </c>
    </row>
    <row r="338" spans="1:3">
      <c r="A338" t="s">
        <v>1421</v>
      </c>
      <c r="B338" t="s">
        <v>1905</v>
      </c>
      <c r="C338">
        <v>7003</v>
      </c>
    </row>
    <row r="339" spans="1:3">
      <c r="A339" t="s">
        <v>227</v>
      </c>
      <c r="B339" t="s">
        <v>1950</v>
      </c>
      <c r="C339">
        <v>7496</v>
      </c>
    </row>
    <row r="340" spans="1:3">
      <c r="A340" t="s">
        <v>98</v>
      </c>
      <c r="B340" t="s">
        <v>1966</v>
      </c>
      <c r="C340">
        <v>7233</v>
      </c>
    </row>
    <row r="341" spans="1:3">
      <c r="A341" t="s">
        <v>1966</v>
      </c>
      <c r="B341" t="s">
        <v>1966</v>
      </c>
      <c r="C341">
        <v>7233</v>
      </c>
    </row>
    <row r="342" spans="1:3">
      <c r="A342" t="s">
        <v>1066</v>
      </c>
      <c r="B342" t="s">
        <v>1456</v>
      </c>
      <c r="C342">
        <v>8593</v>
      </c>
    </row>
    <row r="343" spans="1:3">
      <c r="A343" t="s">
        <v>99</v>
      </c>
      <c r="B343" t="s">
        <v>1906</v>
      </c>
      <c r="C343">
        <v>8020</v>
      </c>
    </row>
    <row r="344" spans="1:3">
      <c r="A344" t="s">
        <v>100</v>
      </c>
      <c r="B344" t="s">
        <v>1922</v>
      </c>
      <c r="C344">
        <v>6717</v>
      </c>
    </row>
    <row r="345" spans="1:3">
      <c r="A345" t="s">
        <v>1922</v>
      </c>
      <c r="B345" t="s">
        <v>1922</v>
      </c>
      <c r="C345">
        <v>6717</v>
      </c>
    </row>
    <row r="346" spans="1:3">
      <c r="A346" t="s">
        <v>1067</v>
      </c>
      <c r="B346" t="s">
        <v>1911</v>
      </c>
      <c r="C346">
        <v>9506</v>
      </c>
    </row>
    <row r="347" spans="1:3">
      <c r="A347" t="s">
        <v>1369</v>
      </c>
      <c r="B347" t="s">
        <v>1911</v>
      </c>
      <c r="C347">
        <v>9506</v>
      </c>
    </row>
    <row r="348" spans="1:3">
      <c r="A348" t="s">
        <v>1068</v>
      </c>
      <c r="B348" t="s">
        <v>1084</v>
      </c>
      <c r="C348">
        <v>7211</v>
      </c>
    </row>
    <row r="349" spans="1:3">
      <c r="A349" t="s">
        <v>101</v>
      </c>
      <c r="B349" t="s">
        <v>1915</v>
      </c>
      <c r="C349">
        <v>9339</v>
      </c>
    </row>
    <row r="350" spans="1:3">
      <c r="A350" t="s">
        <v>1422</v>
      </c>
      <c r="B350" t="s">
        <v>1474</v>
      </c>
      <c r="C350">
        <v>8889</v>
      </c>
    </row>
    <row r="351" spans="1:3">
      <c r="A351" t="s">
        <v>102</v>
      </c>
      <c r="B351" t="s">
        <v>1964</v>
      </c>
      <c r="C351">
        <v>8430</v>
      </c>
    </row>
    <row r="352" spans="1:3">
      <c r="A352" t="s">
        <v>1917</v>
      </c>
      <c r="B352" t="s">
        <v>1917</v>
      </c>
      <c r="C352">
        <v>6717</v>
      </c>
    </row>
    <row r="353" spans="1:3">
      <c r="A353" t="s">
        <v>103</v>
      </c>
      <c r="B353" t="s">
        <v>1921</v>
      </c>
      <c r="C353">
        <v>6717</v>
      </c>
    </row>
    <row r="354" spans="1:3">
      <c r="A354" t="s">
        <v>32</v>
      </c>
      <c r="B354" t="s">
        <v>1910</v>
      </c>
      <c r="C354">
        <v>7882</v>
      </c>
    </row>
    <row r="355" spans="1:3">
      <c r="A355" t="s">
        <v>1423</v>
      </c>
      <c r="B355" t="s">
        <v>1457</v>
      </c>
      <c r="C355">
        <v>8716</v>
      </c>
    </row>
    <row r="356" spans="1:3">
      <c r="A356" t="s">
        <v>1168</v>
      </c>
      <c r="B356" t="s">
        <v>1932</v>
      </c>
      <c r="C356">
        <v>9112</v>
      </c>
    </row>
    <row r="357" spans="1:3">
      <c r="A357" t="s">
        <v>551</v>
      </c>
      <c r="B357" t="s">
        <v>1468</v>
      </c>
      <c r="C357">
        <v>6717</v>
      </c>
    </row>
    <row r="358" spans="1:3">
      <c r="A358" t="s">
        <v>1967</v>
      </c>
      <c r="B358" t="s">
        <v>1468</v>
      </c>
      <c r="C358">
        <v>6717</v>
      </c>
    </row>
    <row r="359" spans="1:3">
      <c r="A359" t="s">
        <v>20</v>
      </c>
      <c r="B359" t="s">
        <v>1470</v>
      </c>
      <c r="C359">
        <v>6717</v>
      </c>
    </row>
    <row r="360" spans="1:3">
      <c r="A360" t="s">
        <v>1070</v>
      </c>
      <c r="B360" t="s">
        <v>1909</v>
      </c>
      <c r="C360">
        <v>8636</v>
      </c>
    </row>
    <row r="361" spans="1:3">
      <c r="A361" t="s">
        <v>253</v>
      </c>
      <c r="B361" t="s">
        <v>1932</v>
      </c>
      <c r="C361">
        <v>9112</v>
      </c>
    </row>
    <row r="362" spans="1:3">
      <c r="A362" t="s">
        <v>1968</v>
      </c>
      <c r="B362" t="s">
        <v>1932</v>
      </c>
      <c r="C362">
        <v>9112</v>
      </c>
    </row>
    <row r="363" spans="1:3">
      <c r="A363" t="s">
        <v>191</v>
      </c>
      <c r="B363" t="s">
        <v>1933</v>
      </c>
      <c r="C363">
        <v>6717</v>
      </c>
    </row>
    <row r="364" spans="1:3">
      <c r="A364" t="s">
        <v>1071</v>
      </c>
      <c r="B364" t="s">
        <v>1909</v>
      </c>
      <c r="C364">
        <v>8636</v>
      </c>
    </row>
    <row r="365" spans="1:3">
      <c r="A365" t="s">
        <v>1424</v>
      </c>
      <c r="B365" t="s">
        <v>1460</v>
      </c>
      <c r="C365">
        <v>8406</v>
      </c>
    </row>
    <row r="366" spans="1:3">
      <c r="A366" t="s">
        <v>1969</v>
      </c>
      <c r="B366" t="s">
        <v>1923</v>
      </c>
      <c r="C366">
        <v>8967</v>
      </c>
    </row>
    <row r="367" spans="1:3">
      <c r="A367" t="s">
        <v>1072</v>
      </c>
      <c r="B367" t="s">
        <v>1936</v>
      </c>
      <c r="C367">
        <v>8870</v>
      </c>
    </row>
    <row r="368" spans="1:3">
      <c r="A368" t="s">
        <v>1614</v>
      </c>
      <c r="B368" t="s">
        <v>1912</v>
      </c>
      <c r="C368">
        <v>8883</v>
      </c>
    </row>
    <row r="369" spans="1:3">
      <c r="A369" t="s">
        <v>1425</v>
      </c>
      <c r="B369" t="s">
        <v>1950</v>
      </c>
      <c r="C369">
        <v>7496</v>
      </c>
    </row>
    <row r="370" spans="1:3">
      <c r="A370" t="s">
        <v>106</v>
      </c>
      <c r="B370" t="s">
        <v>1964</v>
      </c>
      <c r="C370">
        <v>8430</v>
      </c>
    </row>
    <row r="371" spans="1:3">
      <c r="A371" t="s">
        <v>1426</v>
      </c>
      <c r="B371" t="s">
        <v>1912</v>
      </c>
      <c r="C371">
        <v>8883</v>
      </c>
    </row>
    <row r="372" spans="1:3">
      <c r="A372" t="s">
        <v>1073</v>
      </c>
      <c r="B372" t="s">
        <v>1909</v>
      </c>
      <c r="C372">
        <v>8636</v>
      </c>
    </row>
    <row r="373" spans="1:3">
      <c r="A373" t="s">
        <v>411</v>
      </c>
      <c r="B373" t="s">
        <v>1907</v>
      </c>
      <c r="C373">
        <v>8912</v>
      </c>
    </row>
    <row r="374" spans="1:3">
      <c r="A374" t="s">
        <v>192</v>
      </c>
      <c r="B374" t="s">
        <v>1933</v>
      </c>
      <c r="C374">
        <v>6717</v>
      </c>
    </row>
    <row r="375" spans="1:3">
      <c r="A375" t="s">
        <v>231</v>
      </c>
      <c r="B375" t="s">
        <v>1933</v>
      </c>
      <c r="C375">
        <v>6717</v>
      </c>
    </row>
    <row r="376" spans="1:3">
      <c r="A376" t="s">
        <v>1075</v>
      </c>
      <c r="B376" t="s">
        <v>1923</v>
      </c>
      <c r="C376">
        <v>8967</v>
      </c>
    </row>
    <row r="377" spans="1:3">
      <c r="A377" t="s">
        <v>1076</v>
      </c>
      <c r="B377" t="s">
        <v>1461</v>
      </c>
      <c r="C377">
        <v>8017</v>
      </c>
    </row>
    <row r="378" spans="1:3">
      <c r="A378" t="s">
        <v>1370</v>
      </c>
      <c r="B378" t="s">
        <v>1923</v>
      </c>
      <c r="C378">
        <v>8967</v>
      </c>
    </row>
    <row r="379" spans="1:3">
      <c r="A379" t="s">
        <v>235</v>
      </c>
      <c r="B379" t="s">
        <v>1942</v>
      </c>
      <c r="C379">
        <v>7513</v>
      </c>
    </row>
    <row r="380" spans="1:3">
      <c r="A380" t="s">
        <v>237</v>
      </c>
      <c r="B380" t="s">
        <v>1084</v>
      </c>
      <c r="C380">
        <v>7211</v>
      </c>
    </row>
    <row r="381" spans="1:3">
      <c r="A381" t="s">
        <v>1077</v>
      </c>
      <c r="B381" t="s">
        <v>1932</v>
      </c>
      <c r="C381">
        <v>9112</v>
      </c>
    </row>
    <row r="382" spans="1:3">
      <c r="A382" t="s">
        <v>1379</v>
      </c>
      <c r="B382" t="s">
        <v>1909</v>
      </c>
      <c r="C382">
        <v>8636</v>
      </c>
    </row>
    <row r="383" spans="1:3">
      <c r="A383" t="s">
        <v>254</v>
      </c>
      <c r="B383" t="s">
        <v>1460</v>
      </c>
      <c r="C383">
        <v>8406</v>
      </c>
    </row>
    <row r="384" spans="1:3">
      <c r="A384" t="s">
        <v>239</v>
      </c>
      <c r="B384" t="s">
        <v>1452</v>
      </c>
      <c r="C384">
        <v>9128</v>
      </c>
    </row>
    <row r="385" spans="1:3">
      <c r="A385" t="s">
        <v>66</v>
      </c>
      <c r="B385" t="s">
        <v>1461</v>
      </c>
      <c r="C385">
        <v>8017</v>
      </c>
    </row>
    <row r="386" spans="1:3">
      <c r="A386" t="s">
        <v>423</v>
      </c>
      <c r="B386" t="s">
        <v>1919</v>
      </c>
      <c r="C386">
        <v>8938</v>
      </c>
    </row>
    <row r="387" spans="1:3">
      <c r="A387" t="s">
        <v>107</v>
      </c>
      <c r="B387" t="s">
        <v>1945</v>
      </c>
      <c r="C387">
        <v>8754</v>
      </c>
    </row>
    <row r="388" spans="1:3">
      <c r="A388" t="s">
        <v>13</v>
      </c>
      <c r="B388" t="s">
        <v>1461</v>
      </c>
      <c r="C388">
        <v>8017</v>
      </c>
    </row>
    <row r="389" spans="1:3">
      <c r="A389" t="s">
        <v>108</v>
      </c>
      <c r="B389" t="s">
        <v>1446</v>
      </c>
      <c r="C389">
        <v>8830</v>
      </c>
    </row>
    <row r="390" spans="1:3">
      <c r="A390" t="s">
        <v>1359</v>
      </c>
      <c r="B390" t="s">
        <v>1932</v>
      </c>
      <c r="C390">
        <v>9112</v>
      </c>
    </row>
    <row r="391" spans="1:3">
      <c r="A391" t="s">
        <v>1078</v>
      </c>
      <c r="B391" t="s">
        <v>1932</v>
      </c>
      <c r="C391">
        <v>9112</v>
      </c>
    </row>
    <row r="392" spans="1:3">
      <c r="A392" t="s">
        <v>1079</v>
      </c>
      <c r="B392" t="s">
        <v>1923</v>
      </c>
      <c r="C392">
        <v>8967</v>
      </c>
    </row>
    <row r="393" spans="1:3">
      <c r="A393" t="s">
        <v>241</v>
      </c>
      <c r="B393" t="s">
        <v>1446</v>
      </c>
      <c r="C393">
        <v>8830</v>
      </c>
    </row>
    <row r="394" spans="1:3">
      <c r="A394" t="s">
        <v>243</v>
      </c>
      <c r="B394" t="s">
        <v>1446</v>
      </c>
      <c r="C394">
        <v>8830</v>
      </c>
    </row>
    <row r="395" spans="1:3">
      <c r="A395" t="s">
        <v>1080</v>
      </c>
      <c r="B395" t="s">
        <v>1446</v>
      </c>
      <c r="C395">
        <v>8830</v>
      </c>
    </row>
    <row r="396" spans="1:3">
      <c r="A396" t="s">
        <v>245</v>
      </c>
      <c r="B396" t="s">
        <v>1945</v>
      </c>
      <c r="C396">
        <v>8754</v>
      </c>
    </row>
    <row r="397" spans="1:3">
      <c r="A397" t="s">
        <v>1371</v>
      </c>
      <c r="B397" t="s">
        <v>1912</v>
      </c>
      <c r="C397">
        <v>8883</v>
      </c>
    </row>
    <row r="398" spans="1:3">
      <c r="A398" t="s">
        <v>1081</v>
      </c>
      <c r="B398" t="s">
        <v>1909</v>
      </c>
      <c r="C398">
        <v>8636</v>
      </c>
    </row>
    <row r="399" spans="1:3">
      <c r="A399" t="s">
        <v>1427</v>
      </c>
      <c r="B399" t="s">
        <v>1457</v>
      </c>
      <c r="C399">
        <v>8716</v>
      </c>
    </row>
    <row r="400" spans="1:3">
      <c r="A400" t="s">
        <v>1082</v>
      </c>
      <c r="B400" t="s">
        <v>1931</v>
      </c>
      <c r="C400">
        <v>7669</v>
      </c>
    </row>
    <row r="401" spans="1:3">
      <c r="A401" t="s">
        <v>1428</v>
      </c>
      <c r="B401" t="s">
        <v>1441</v>
      </c>
      <c r="C401">
        <v>7788</v>
      </c>
    </row>
    <row r="402" spans="1:3">
      <c r="A402" t="s">
        <v>22</v>
      </c>
      <c r="B402" t="s">
        <v>1964</v>
      </c>
      <c r="C402">
        <v>8430</v>
      </c>
    </row>
    <row r="403" spans="1:3">
      <c r="A403" t="s">
        <v>1970</v>
      </c>
      <c r="B403" t="s">
        <v>1964</v>
      </c>
      <c r="C403">
        <v>8430</v>
      </c>
    </row>
    <row r="404" spans="1:3">
      <c r="A404" t="s">
        <v>36</v>
      </c>
      <c r="B404" t="s">
        <v>1905</v>
      </c>
      <c r="C404">
        <v>7003</v>
      </c>
    </row>
    <row r="405" spans="1:3">
      <c r="A405" t="s">
        <v>1429</v>
      </c>
      <c r="B405" t="s">
        <v>1950</v>
      </c>
      <c r="C405">
        <v>7496</v>
      </c>
    </row>
    <row r="406" spans="1:3">
      <c r="A406" t="s">
        <v>1083</v>
      </c>
      <c r="B406" t="s">
        <v>1913</v>
      </c>
      <c r="C406">
        <v>9428</v>
      </c>
    </row>
    <row r="407" spans="1:3">
      <c r="A407" t="s">
        <v>1430</v>
      </c>
      <c r="B407" t="s">
        <v>1457</v>
      </c>
      <c r="C407">
        <v>8716</v>
      </c>
    </row>
    <row r="408" spans="1:3">
      <c r="A408" t="s">
        <v>1084</v>
      </c>
      <c r="B408" t="s">
        <v>1084</v>
      </c>
      <c r="C408">
        <v>7211</v>
      </c>
    </row>
    <row r="409" spans="1:3">
      <c r="A409" t="s">
        <v>414</v>
      </c>
      <c r="B409" t="s">
        <v>1916</v>
      </c>
      <c r="C409">
        <v>9239</v>
      </c>
    </row>
    <row r="410" spans="1:3">
      <c r="A410" t="s">
        <v>212</v>
      </c>
      <c r="B410" t="s">
        <v>1445</v>
      </c>
      <c r="C410">
        <v>7342</v>
      </c>
    </row>
    <row r="411" spans="1:3">
      <c r="A411" t="s">
        <v>110</v>
      </c>
      <c r="B411" t="s">
        <v>1921</v>
      </c>
      <c r="C411">
        <v>6717</v>
      </c>
    </row>
    <row r="412" spans="1:3">
      <c r="A412" t="s">
        <v>1085</v>
      </c>
      <c r="B412" t="s">
        <v>1456</v>
      </c>
      <c r="C412">
        <v>8593</v>
      </c>
    </row>
    <row r="413" spans="1:3">
      <c r="A413" t="s">
        <v>68</v>
      </c>
      <c r="B413" t="s">
        <v>1474</v>
      </c>
      <c r="C413">
        <v>8889</v>
      </c>
    </row>
    <row r="414" spans="1:3">
      <c r="A414" t="s">
        <v>261</v>
      </c>
      <c r="B414" t="s">
        <v>1460</v>
      </c>
      <c r="C414">
        <v>8406</v>
      </c>
    </row>
    <row r="415" spans="1:3">
      <c r="A415" t="s">
        <v>1431</v>
      </c>
      <c r="B415" t="s">
        <v>1912</v>
      </c>
      <c r="C415">
        <v>8883</v>
      </c>
    </row>
    <row r="416" spans="1:3">
      <c r="A416" t="s">
        <v>1432</v>
      </c>
      <c r="B416" t="s">
        <v>1452</v>
      </c>
      <c r="C416">
        <v>9128</v>
      </c>
    </row>
    <row r="417" spans="1:3">
      <c r="A417" t="s">
        <v>1087</v>
      </c>
      <c r="B417" t="s">
        <v>1909</v>
      </c>
      <c r="C417">
        <v>8636</v>
      </c>
    </row>
    <row r="418" spans="1:3">
      <c r="A418" t="s">
        <v>1088</v>
      </c>
      <c r="B418" t="s">
        <v>1907</v>
      </c>
      <c r="C418">
        <v>8912</v>
      </c>
    </row>
    <row r="419" spans="1:3">
      <c r="A419" t="s">
        <v>1171</v>
      </c>
      <c r="B419" t="s">
        <v>1457</v>
      </c>
      <c r="C419">
        <v>8716</v>
      </c>
    </row>
    <row r="420" spans="1:3">
      <c r="A420" t="s">
        <v>552</v>
      </c>
      <c r="B420" t="s">
        <v>1474</v>
      </c>
      <c r="C420">
        <v>8889</v>
      </c>
    </row>
    <row r="421" spans="1:3">
      <c r="A421" t="s">
        <v>25</v>
      </c>
      <c r="B421" t="s">
        <v>1927</v>
      </c>
      <c r="C421">
        <v>7562</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18"/>
  <sheetViews>
    <sheetView workbookViewId="0">
      <selection activeCell="P11" sqref="P11"/>
    </sheetView>
  </sheetViews>
  <sheetFormatPr defaultColWidth="9.140625" defaultRowHeight="15"/>
  <cols>
    <col min="1" max="1" width="2.42578125" style="118" bestFit="1" customWidth="1"/>
    <col min="2" max="2" width="24" style="119" customWidth="1"/>
    <col min="3" max="3" width="26.85546875" style="203" bestFit="1" customWidth="1"/>
    <col min="4" max="4" width="37.28515625" style="120" customWidth="1"/>
    <col min="5" max="5" width="24.28515625" style="120" bestFit="1" customWidth="1"/>
    <col min="6" max="6" width="17.140625" style="120" customWidth="1"/>
    <col min="7" max="7" width="18" style="120" customWidth="1"/>
    <col min="8" max="8" width="17.42578125" style="120" customWidth="1"/>
    <col min="9" max="9" width="27.28515625" style="120" customWidth="1"/>
    <col min="10" max="10" width="17.28515625" style="120" customWidth="1"/>
    <col min="11" max="11" width="16.5703125" style="120" customWidth="1"/>
    <col min="12" max="13" width="12.85546875" style="120" bestFit="1" customWidth="1"/>
    <col min="14" max="14" width="16" style="120" customWidth="1"/>
    <col min="15" max="15" width="18.85546875" style="120" customWidth="1"/>
    <col min="16" max="16" width="15" style="120" bestFit="1" customWidth="1"/>
    <col min="17" max="17" width="13.85546875" style="120" customWidth="1"/>
    <col min="18" max="18" width="15.140625" style="120" customWidth="1"/>
    <col min="19" max="19" width="14.42578125" style="136" customWidth="1"/>
    <col min="20" max="20" width="13.28515625" style="136" customWidth="1"/>
    <col min="21" max="22" width="12.140625" style="136" customWidth="1"/>
    <col min="23" max="23" width="12" style="136" customWidth="1"/>
    <col min="24" max="26" width="12.140625" style="136" customWidth="1"/>
    <col min="27" max="27" width="12"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57031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customHeight="1" thickBot="1">
      <c r="A1" s="2128" t="s">
        <v>965</v>
      </c>
      <c r="B1" s="2129"/>
      <c r="C1" s="2129"/>
      <c r="D1" s="2129"/>
      <c r="E1" s="2129"/>
      <c r="F1" s="2129"/>
      <c r="G1" s="2129"/>
      <c r="H1" s="2129"/>
      <c r="I1" s="2129"/>
      <c r="J1" s="2129"/>
      <c r="K1" s="2129"/>
      <c r="L1" s="2129"/>
      <c r="M1" s="2129"/>
      <c r="N1" s="2129"/>
      <c r="O1" s="2129"/>
      <c r="P1" s="2129"/>
      <c r="Q1" s="2129"/>
      <c r="R1" s="2129"/>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2008" t="s">
        <v>334</v>
      </c>
      <c r="C2" s="2008"/>
      <c r="D2" s="2008"/>
      <c r="E2" s="2008"/>
      <c r="G2" s="221"/>
      <c r="H2" s="2017" t="s">
        <v>618</v>
      </c>
      <c r="I2" s="2018"/>
      <c r="J2" s="2018"/>
      <c r="K2" s="2018"/>
      <c r="L2" s="2018"/>
      <c r="M2" s="2018"/>
      <c r="N2" s="2018"/>
      <c r="O2" s="2018"/>
      <c r="P2" s="2018"/>
      <c r="Q2" s="2018"/>
      <c r="R2" s="201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77"/>
      <c r="I3" s="565" t="s">
        <v>760</v>
      </c>
      <c r="J3" s="987"/>
      <c r="K3" s="125"/>
      <c r="L3" s="125"/>
      <c r="M3" s="125"/>
      <c r="N3" s="125"/>
      <c r="O3" s="125"/>
      <c r="P3" s="125"/>
      <c r="Q3" s="125"/>
      <c r="R3" s="1226"/>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thickBot="1">
      <c r="B4" s="2089" t="s">
        <v>331</v>
      </c>
      <c r="C4" s="2090"/>
      <c r="D4" s="121"/>
      <c r="E4" s="916" t="s">
        <v>1211</v>
      </c>
      <c r="F4" s="1204"/>
      <c r="G4" s="219"/>
      <c r="H4" s="377"/>
      <c r="I4" s="566" t="s">
        <v>772</v>
      </c>
      <c r="J4" s="988" t="str">
        <f>IF(AND(HR_Installed="Yes",HR_Operational="Yes"),"Yes","No")</f>
        <v>No</v>
      </c>
      <c r="K4" s="125"/>
      <c r="L4" s="125"/>
      <c r="M4" s="125"/>
      <c r="N4" s="125"/>
      <c r="O4" s="125"/>
      <c r="P4" s="125"/>
      <c r="Q4" s="125"/>
      <c r="R4" s="1227"/>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25.5">
      <c r="B5" s="128" t="s">
        <v>375</v>
      </c>
      <c r="C5" s="587" t="str">
        <f>Community_Name</f>
        <v>Manley Hot Springs</v>
      </c>
      <c r="D5" s="125"/>
      <c r="E5" s="47" t="s">
        <v>1209</v>
      </c>
      <c r="F5" s="1205"/>
      <c r="G5" s="219"/>
      <c r="H5" s="377"/>
      <c r="I5" s="567" t="s">
        <v>761</v>
      </c>
      <c r="J5" s="988" t="str">
        <f>VLOOKUP($C$5,'Intertie Distance Data'!$A$2:$D$305,4, FALSE)</f>
        <v>N/A</v>
      </c>
      <c r="K5" s="989"/>
      <c r="L5" s="989"/>
      <c r="M5" s="122"/>
      <c r="N5" s="2119" t="s">
        <v>579</v>
      </c>
      <c r="O5" s="2120"/>
      <c r="P5" s="2120"/>
      <c r="Q5" s="2121"/>
      <c r="R5" s="2125"/>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26.25" thickBot="1">
      <c r="B6" s="128" t="s">
        <v>376</v>
      </c>
      <c r="C6" s="587" t="str">
        <f>IF('Community data'!B7="Yes",'Community data'!B8,Community_Name)</f>
        <v>Manley Hot Springs</v>
      </c>
      <c r="D6" s="125"/>
      <c r="E6" s="417" t="s">
        <v>1210</v>
      </c>
      <c r="F6" s="1212" t="str">
        <f>IF(OR(C9="Construction",C9="Design"),"High", IF(C9="Feasibility", "Medium", IF(C9="Recon", "Low")))</f>
        <v>Low</v>
      </c>
      <c r="G6" s="219"/>
      <c r="H6" s="377"/>
      <c r="I6" s="128" t="s">
        <v>775</v>
      </c>
      <c r="J6" s="641" t="str">
        <f>VLOOKUP(C5,'Intertie Distance Data'!A2:D305,2,FALSE)</f>
        <v>N/A</v>
      </c>
      <c r="K6" s="428" t="s">
        <v>773</v>
      </c>
      <c r="L6" s="989"/>
      <c r="M6" s="122"/>
      <c r="N6" s="2122"/>
      <c r="O6" s="2123"/>
      <c r="P6" s="2123"/>
      <c r="Q6" s="2124"/>
      <c r="R6" s="2125"/>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14.25">
      <c r="B7" s="128" t="s">
        <v>332</v>
      </c>
      <c r="C7" s="640" t="s">
        <v>291</v>
      </c>
      <c r="D7" s="125"/>
      <c r="E7" s="136"/>
      <c r="G7" s="219"/>
      <c r="H7" s="377"/>
      <c r="I7" s="120" t="s">
        <v>1433</v>
      </c>
      <c r="J7" s="1557" t="str">
        <f>VLOOKUP(C5,'Intertie Distance Data'!A2:D305,3,FALSE)</f>
        <v>N/A</v>
      </c>
      <c r="K7" s="989"/>
      <c r="L7" s="989"/>
      <c r="M7" s="122"/>
      <c r="N7" s="2101" t="s">
        <v>767</v>
      </c>
      <c r="O7" s="2073"/>
      <c r="P7" s="628">
        <f>J12</f>
        <v>384000</v>
      </c>
      <c r="Q7" s="363" t="s">
        <v>583</v>
      </c>
      <c r="R7" s="931"/>
      <c r="S7" s="2076"/>
      <c r="T7" s="2076"/>
      <c r="U7" s="2076"/>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30.75" customHeight="1">
      <c r="B8" s="128" t="s">
        <v>569</v>
      </c>
      <c r="C8" s="640" t="s">
        <v>691</v>
      </c>
      <c r="D8" s="125"/>
      <c r="E8" s="121"/>
      <c r="G8" s="219"/>
      <c r="H8" s="377"/>
      <c r="I8" s="548" t="s">
        <v>570</v>
      </c>
      <c r="J8" s="988" t="str">
        <f>C9</f>
        <v>Recon</v>
      </c>
      <c r="K8" s="991"/>
      <c r="L8" s="989"/>
      <c r="M8" s="122"/>
      <c r="N8" s="2109" t="s">
        <v>880</v>
      </c>
      <c r="O8" s="2110"/>
      <c r="P8" s="1225">
        <f>IF(J5&lt;&gt;"N/A",1-(1-J13)^J5,0)</f>
        <v>0</v>
      </c>
      <c r="Q8" s="541"/>
      <c r="R8" s="931"/>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25.5" customHeight="1">
      <c r="B9" s="128" t="s">
        <v>570</v>
      </c>
      <c r="C9" s="639" t="s">
        <v>576</v>
      </c>
      <c r="D9" s="125"/>
      <c r="E9" s="121"/>
      <c r="G9" s="219"/>
      <c r="H9" s="377"/>
      <c r="I9" s="524" t="s">
        <v>684</v>
      </c>
      <c r="J9" s="990" t="s">
        <v>596</v>
      </c>
      <c r="K9" s="989"/>
      <c r="L9" s="989"/>
      <c r="M9" s="122"/>
      <c r="N9" s="2109" t="s">
        <v>768</v>
      </c>
      <c r="O9" s="2110"/>
      <c r="P9" s="642">
        <f>'Community data'!B22</f>
        <v>0.121</v>
      </c>
      <c r="Q9" s="366" t="s">
        <v>583</v>
      </c>
      <c r="R9" s="931"/>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14.25" customHeight="1">
      <c r="B10" s="128"/>
      <c r="C10" s="640"/>
      <c r="D10" s="125"/>
      <c r="E10" s="121"/>
      <c r="G10" s="219"/>
      <c r="H10" s="377"/>
      <c r="I10" s="552" t="s">
        <v>764</v>
      </c>
      <c r="J10" s="990" t="s">
        <v>597</v>
      </c>
      <c r="K10" s="121"/>
      <c r="L10" s="989"/>
      <c r="M10" s="122"/>
      <c r="N10" s="2117" t="s">
        <v>769</v>
      </c>
      <c r="O10" s="2118"/>
      <c r="P10" s="571">
        <f>IF(AND($F$4&lt;&gt;"Low",J5&lt;&gt;"N/A"),P7*(1+P8)*(1+P9),0)</f>
        <v>0</v>
      </c>
      <c r="Q10" s="487" t="s">
        <v>583</v>
      </c>
      <c r="R10" s="931"/>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15" customHeight="1" thickBot="1">
      <c r="B11" s="134"/>
      <c r="C11" s="611"/>
      <c r="D11" s="125"/>
      <c r="E11" s="121"/>
      <c r="F11" s="135"/>
      <c r="G11" s="219"/>
      <c r="H11" s="377"/>
      <c r="I11" s="556" t="s">
        <v>762</v>
      </c>
      <c r="J11" s="568"/>
      <c r="K11" s="989"/>
      <c r="L11" s="136"/>
      <c r="M11" s="122"/>
      <c r="N11" s="2103" t="s">
        <v>770</v>
      </c>
      <c r="O11" s="2104"/>
      <c r="P11" s="340" t="str">
        <f>IF(J5="N/A","N/A",IF(AND(J10="No",J9="Yes"),500000*J5,IF(AND(J10="No",J9="No"),250000*J5,J11)))</f>
        <v>N/A</v>
      </c>
      <c r="Q11" s="363"/>
      <c r="R11" s="1228" t="s">
        <v>1092</v>
      </c>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22.5" customHeight="1">
      <c r="B12" s="137" t="s">
        <v>360</v>
      </c>
      <c r="C12" s="515" t="s">
        <v>384</v>
      </c>
      <c r="D12" s="306"/>
      <c r="E12" s="306"/>
      <c r="F12" s="118"/>
      <c r="G12" s="219"/>
      <c r="H12" s="377"/>
      <c r="I12" s="556" t="s">
        <v>766</v>
      </c>
      <c r="J12" s="988">
        <f>'Community data'!B17</f>
        <v>384000</v>
      </c>
      <c r="K12" s="136"/>
      <c r="L12" s="136"/>
      <c r="M12" s="122"/>
      <c r="N12" s="2130" t="s">
        <v>589</v>
      </c>
      <c r="O12" s="2131"/>
      <c r="P12" s="993" t="str">
        <f>IF(J5="N/A","N/A",IF(J4="Yes", 'Community data'!B20*0.15, 0))</f>
        <v>N/A</v>
      </c>
      <c r="Q12" s="994" t="s">
        <v>588</v>
      </c>
      <c r="R12" s="1229"/>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14.25" customHeight="1">
      <c r="B13" s="128" t="s">
        <v>262</v>
      </c>
      <c r="C13" s="537">
        <f>IF(J5="N/A",0, BI59)</f>
        <v>0</v>
      </c>
      <c r="D13" s="136"/>
      <c r="E13" s="136"/>
      <c r="F13" s="118"/>
      <c r="G13" s="219"/>
      <c r="H13" s="377"/>
      <c r="I13" s="552" t="s">
        <v>765</v>
      </c>
      <c r="J13" s="992">
        <v>1E-3</v>
      </c>
      <c r="K13" s="136"/>
      <c r="L13" s="136"/>
      <c r="M13" s="122"/>
      <c r="N13" s="2113" t="s">
        <v>591</v>
      </c>
      <c r="O13" s="2114"/>
      <c r="P13" s="340" t="str">
        <f>IF(J5="N/A","N/A", J11*0.05)</f>
        <v>N/A</v>
      </c>
      <c r="Q13" s="370" t="s">
        <v>771</v>
      </c>
      <c r="R13" s="931"/>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24.75" customHeight="1">
      <c r="B14" s="128" t="s">
        <v>278</v>
      </c>
      <c r="C14" s="537">
        <f>IF(J5="N/A",0,BI55)</f>
        <v>0</v>
      </c>
      <c r="D14" s="136"/>
      <c r="E14" s="136"/>
      <c r="F14" s="118"/>
      <c r="G14" s="219"/>
      <c r="H14" s="377"/>
      <c r="I14" s="524"/>
      <c r="J14" s="487"/>
      <c r="K14" s="136"/>
      <c r="L14" s="136"/>
      <c r="M14" s="122"/>
      <c r="N14" s="2126" t="s">
        <v>592</v>
      </c>
      <c r="O14" s="2127"/>
      <c r="P14" s="643">
        <v>20</v>
      </c>
      <c r="Q14" s="572" t="s">
        <v>280</v>
      </c>
      <c r="R14" s="931"/>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thickBot="1">
      <c r="B15" s="128" t="s">
        <v>759</v>
      </c>
      <c r="C15" s="563" t="str">
        <f>IF(Intertie_Costs&lt;&gt;0, C13/C14, "N/A")</f>
        <v>N/A</v>
      </c>
      <c r="D15" s="136"/>
      <c r="E15" s="136"/>
      <c r="F15" s="118"/>
      <c r="G15" s="219"/>
      <c r="H15" s="377"/>
      <c r="I15" s="995"/>
      <c r="J15" s="569"/>
      <c r="K15" s="136"/>
      <c r="L15" s="136"/>
      <c r="M15" s="122"/>
      <c r="N15" s="2132" t="s">
        <v>774</v>
      </c>
      <c r="O15" s="2133"/>
      <c r="P15" s="644" t="str">
        <f>IF(J5="N/A","N/A",'Community data'!L16-Interties!J6)</f>
        <v>N/A</v>
      </c>
      <c r="Q15" s="573"/>
      <c r="R15" s="931"/>
      <c r="S15" s="2077"/>
      <c r="T15" s="2077"/>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thickBot="1">
      <c r="A16" s="121"/>
      <c r="B16" s="502" t="s">
        <v>290</v>
      </c>
      <c r="C16" s="564">
        <f>IF(Intertie_B_C_Ratio="N/A",0, BI62)</f>
        <v>0</v>
      </c>
      <c r="D16" s="136"/>
      <c r="E16" s="136"/>
      <c r="F16" s="118"/>
      <c r="G16" s="219"/>
      <c r="H16" s="377"/>
      <c r="I16" s="996" t="s">
        <v>763</v>
      </c>
      <c r="J16" s="570">
        <v>20</v>
      </c>
      <c r="K16" s="136"/>
      <c r="L16" s="136"/>
      <c r="M16" s="122"/>
      <c r="N16" s="121"/>
      <c r="O16" s="121"/>
      <c r="P16" s="121"/>
      <c r="Q16" s="121"/>
      <c r="R16" s="1230"/>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2.75">
      <c r="A17" s="121"/>
      <c r="B17" s="157"/>
      <c r="C17" s="562"/>
      <c r="D17" s="136"/>
      <c r="E17" s="136"/>
      <c r="F17" s="118"/>
      <c r="G17" s="219"/>
      <c r="H17" s="377"/>
      <c r="I17" s="1987"/>
      <c r="J17" s="1987"/>
      <c r="K17" s="1987"/>
      <c r="L17" s="1987"/>
      <c r="M17" s="122"/>
      <c r="N17" s="121"/>
      <c r="O17" s="121"/>
      <c r="P17" s="121"/>
      <c r="Q17" s="121"/>
      <c r="R17" s="931"/>
      <c r="S17" s="217"/>
      <c r="T17" s="217"/>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thickBot="1">
      <c r="B18" s="138"/>
      <c r="C18" s="145"/>
      <c r="D18" s="136"/>
      <c r="E18" s="136"/>
      <c r="F18" s="118"/>
      <c r="G18" s="219"/>
      <c r="H18" s="377"/>
      <c r="I18" s="997"/>
      <c r="J18" s="121"/>
      <c r="K18" s="121"/>
      <c r="L18" s="121"/>
      <c r="M18" s="122"/>
      <c r="N18" s="121"/>
      <c r="O18" s="121"/>
      <c r="P18" s="121"/>
      <c r="Q18" s="121"/>
      <c r="R18" s="931"/>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14.25">
      <c r="B19" s="137" t="s">
        <v>361</v>
      </c>
      <c r="C19" s="314" t="s">
        <v>271</v>
      </c>
      <c r="D19" s="315" t="s">
        <v>384</v>
      </c>
      <c r="E19" s="307"/>
      <c r="F19" s="306"/>
      <c r="G19" s="219"/>
      <c r="H19" s="377"/>
      <c r="I19" s="997"/>
      <c r="J19" s="328"/>
      <c r="K19" s="121"/>
      <c r="L19" s="121"/>
      <c r="M19" s="122"/>
      <c r="N19" s="138"/>
      <c r="O19" s="138"/>
      <c r="P19" s="998"/>
      <c r="Q19" s="997"/>
      <c r="R19" s="1230"/>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4.25">
      <c r="B20" s="316" t="s">
        <v>362</v>
      </c>
      <c r="C20" s="208" t="s">
        <v>266</v>
      </c>
      <c r="D20" s="606">
        <f>IF(SUM(F67:BH67)&gt;0,SUM(F67:BH67)/COUNTIF(F67:BH67,"&gt;0"),0)</f>
        <v>289650.31998880411</v>
      </c>
      <c r="E20" s="121"/>
      <c r="F20" s="136"/>
      <c r="G20" s="219"/>
      <c r="H20" s="377"/>
      <c r="I20" s="121"/>
      <c r="J20" s="241"/>
      <c r="K20" s="1013"/>
      <c r="L20" s="121"/>
      <c r="M20" s="122"/>
      <c r="N20" s="157"/>
      <c r="O20" s="157"/>
      <c r="P20" s="998"/>
      <c r="Q20" s="997"/>
      <c r="R20" s="1230"/>
      <c r="S20" s="217"/>
      <c r="T20" s="217"/>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12.75">
      <c r="B21" s="316" t="s">
        <v>362</v>
      </c>
      <c r="C21" s="209" t="s">
        <v>363</v>
      </c>
      <c r="D21" s="607">
        <f>SUM(F67:BH67)</f>
        <v>6082656.7197648864</v>
      </c>
      <c r="E21" s="121"/>
      <c r="F21" s="136"/>
      <c r="G21" s="219"/>
      <c r="H21" s="377"/>
      <c r="I21" s="121"/>
      <c r="J21" s="121"/>
      <c r="K21" s="121"/>
      <c r="L21" s="121"/>
      <c r="M21" s="122"/>
      <c r="N21" s="138"/>
      <c r="O21" s="138"/>
      <c r="P21" s="331"/>
      <c r="Q21" s="138"/>
      <c r="R21" s="931"/>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4.25" customHeight="1">
      <c r="B22" s="316" t="s">
        <v>364</v>
      </c>
      <c r="C22" s="209" t="s">
        <v>268</v>
      </c>
      <c r="D22" s="606">
        <f>G73+G90</f>
        <v>0</v>
      </c>
      <c r="E22" s="121"/>
      <c r="F22" s="136"/>
      <c r="G22" s="219"/>
      <c r="H22" s="377"/>
      <c r="I22" s="997"/>
      <c r="J22" s="997"/>
      <c r="K22" s="997"/>
      <c r="L22" s="121"/>
      <c r="M22" s="122"/>
      <c r="N22" s="138"/>
      <c r="O22" s="138"/>
      <c r="P22" s="332"/>
      <c r="Q22" s="333"/>
      <c r="R22" s="931"/>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2.75" customHeight="1">
      <c r="B23" s="316" t="s">
        <v>364</v>
      </c>
      <c r="C23" s="209" t="s">
        <v>365</v>
      </c>
      <c r="D23" s="608" t="e">
        <f>SUM(G73:T73)+SUM(G90:BH90)</f>
        <v>#VALUE!</v>
      </c>
      <c r="E23" s="121"/>
      <c r="F23" s="136"/>
      <c r="G23" s="219"/>
      <c r="H23" s="377"/>
      <c r="I23" s="997"/>
      <c r="J23" s="997"/>
      <c r="K23" s="997"/>
      <c r="L23" s="121"/>
      <c r="M23" s="122"/>
      <c r="N23" s="138"/>
      <c r="O23" s="138"/>
      <c r="P23" s="334"/>
      <c r="Q23" s="335"/>
      <c r="R23" s="935"/>
      <c r="S23" s="124"/>
      <c r="T23" s="124"/>
      <c r="U23" s="69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2.75" customHeight="1">
      <c r="B24" s="128"/>
      <c r="D24" s="1385"/>
      <c r="E24" s="122"/>
      <c r="F24" s="125"/>
      <c r="G24" s="145"/>
      <c r="H24" s="377"/>
      <c r="I24" s="997"/>
      <c r="J24" s="997"/>
      <c r="K24" s="997"/>
      <c r="L24" s="121"/>
      <c r="M24" s="122"/>
      <c r="N24" s="157"/>
      <c r="O24" s="157"/>
      <c r="P24" s="336"/>
      <c r="Q24" s="337"/>
      <c r="R24" s="935"/>
      <c r="S24" s="211"/>
      <c r="T24" s="211"/>
      <c r="U24" s="69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4.25">
      <c r="B25" s="128"/>
      <c r="C25" s="145"/>
      <c r="D25" s="317"/>
      <c r="E25" s="121"/>
      <c r="F25" s="136"/>
      <c r="G25" s="219"/>
      <c r="H25" s="377"/>
      <c r="I25" s="997"/>
      <c r="J25" s="997"/>
      <c r="K25" s="997"/>
      <c r="L25" s="121"/>
      <c r="M25" s="122"/>
      <c r="N25" s="157"/>
      <c r="O25" s="157"/>
      <c r="P25" s="998"/>
      <c r="Q25" s="997"/>
      <c r="R25" s="1230"/>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4.25">
      <c r="B26" s="316"/>
      <c r="C26" s="209"/>
      <c r="D26" s="606"/>
      <c r="E26" s="121"/>
      <c r="F26" s="136"/>
      <c r="G26" s="219"/>
      <c r="H26" s="377"/>
      <c r="I26" s="121"/>
      <c r="J26" s="121"/>
      <c r="K26" s="121"/>
      <c r="L26" s="121"/>
      <c r="M26" s="122"/>
      <c r="N26" s="121"/>
      <c r="O26" s="121"/>
      <c r="P26" s="121"/>
      <c r="Q26" s="121"/>
      <c r="R26" s="1230"/>
      <c r="S26" s="689"/>
      <c r="T26" s="68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thickBot="1">
      <c r="B27" s="318"/>
      <c r="C27" s="319"/>
      <c r="D27" s="609"/>
      <c r="E27" s="121"/>
      <c r="F27" s="136"/>
      <c r="G27" s="219"/>
      <c r="H27" s="377"/>
      <c r="I27" s="121"/>
      <c r="J27" s="121"/>
      <c r="K27" s="240"/>
      <c r="L27" s="121"/>
      <c r="M27" s="122"/>
      <c r="N27" s="157"/>
      <c r="O27" s="157"/>
      <c r="P27" s="998"/>
      <c r="Q27" s="997"/>
      <c r="R27" s="1230"/>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19"/>
      <c r="H28" s="377"/>
      <c r="I28" s="121"/>
      <c r="J28" s="121"/>
      <c r="K28" s="121"/>
      <c r="L28" s="121"/>
      <c r="M28" s="122"/>
      <c r="N28" s="157"/>
      <c r="O28" s="157"/>
      <c r="P28" s="338"/>
      <c r="Q28" s="339"/>
      <c r="R28" s="931"/>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2" t="s">
        <v>384</v>
      </c>
      <c r="E29" s="307"/>
      <c r="F29" s="306"/>
      <c r="G29" s="219"/>
      <c r="H29" s="377"/>
      <c r="I29" s="136"/>
      <c r="J29" s="136"/>
      <c r="K29" s="136"/>
      <c r="L29" s="136"/>
      <c r="M29" s="122"/>
      <c r="N29" s="157"/>
      <c r="O29" s="157"/>
      <c r="P29" s="338"/>
      <c r="Q29" s="138"/>
      <c r="R29" s="931"/>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4.25">
      <c r="B30" s="128" t="s">
        <v>6</v>
      </c>
      <c r="C30" s="138" t="s">
        <v>287</v>
      </c>
      <c r="D30" s="590" t="str">
        <f>P11</f>
        <v>N/A</v>
      </c>
      <c r="E30" s="118"/>
      <c r="G30" s="219"/>
      <c r="H30" s="377"/>
      <c r="I30" s="997"/>
      <c r="J30" s="121"/>
      <c r="K30" s="121"/>
      <c r="L30" s="121"/>
      <c r="M30" s="122"/>
      <c r="N30" s="121"/>
      <c r="O30" s="121"/>
      <c r="P30" s="121"/>
      <c r="Q30" s="121"/>
      <c r="R30" s="931"/>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 r="B31" s="128" t="s">
        <v>286</v>
      </c>
      <c r="C31" s="138" t="s">
        <v>333</v>
      </c>
      <c r="D31" s="589">
        <v>2016</v>
      </c>
      <c r="E31" s="118"/>
      <c r="G31" s="219"/>
      <c r="H31" s="377"/>
      <c r="I31" s="121"/>
      <c r="J31" s="328"/>
      <c r="K31" s="121"/>
      <c r="L31" s="121"/>
      <c r="M31" s="125"/>
      <c r="N31" s="121"/>
      <c r="O31" s="121"/>
      <c r="P31" s="121"/>
      <c r="Q31" s="121"/>
      <c r="R31" s="931"/>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10">
        <v>20</v>
      </c>
      <c r="E32" s="118"/>
      <c r="G32" s="219"/>
      <c r="H32" s="377"/>
      <c r="I32" s="121"/>
      <c r="J32" s="328"/>
      <c r="K32" s="121"/>
      <c r="L32" s="121"/>
      <c r="M32" s="125"/>
      <c r="N32" s="136"/>
      <c r="O32" s="136"/>
      <c r="P32" s="136"/>
      <c r="Q32" s="136"/>
      <c r="R32" s="351"/>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591"/>
      <c r="E33" s="118"/>
      <c r="G33" s="219"/>
      <c r="H33" s="377"/>
      <c r="I33" s="121"/>
      <c r="J33" s="328"/>
      <c r="K33" s="121"/>
      <c r="L33" s="121"/>
      <c r="M33" s="125"/>
      <c r="N33" s="125"/>
      <c r="O33" s="125"/>
      <c r="P33" s="125"/>
      <c r="Q33" s="125"/>
      <c r="R33" s="930"/>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3.5" thickBot="1">
      <c r="B34" s="128" t="s">
        <v>368</v>
      </c>
      <c r="C34" s="138" t="str">
        <f>IF(C7="Railbelt South of Alaska Range","mmBtu displaced per year", "gallons displaced per year")</f>
        <v>gallons displaced per year</v>
      </c>
      <c r="D34" s="592" t="e">
        <f>-P12</f>
        <v>#VALUE!</v>
      </c>
      <c r="E34" s="118"/>
      <c r="G34" s="219"/>
      <c r="H34" s="378"/>
      <c r="I34" s="379"/>
      <c r="J34" s="380"/>
      <c r="K34" s="379"/>
      <c r="L34" s="379"/>
      <c r="M34" s="381"/>
      <c r="N34" s="381"/>
      <c r="O34" s="381"/>
      <c r="P34" s="381"/>
      <c r="Q34" s="381"/>
      <c r="R34" s="951"/>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369</v>
      </c>
      <c r="C35" s="138" t="s">
        <v>315</v>
      </c>
      <c r="D35" s="593"/>
      <c r="E35" s="118"/>
      <c r="G35" s="219"/>
      <c r="H35" s="122"/>
      <c r="I35" s="136"/>
      <c r="J35" s="136"/>
      <c r="K35" s="136"/>
      <c r="L35" s="136"/>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594"/>
      <c r="E36" s="118"/>
      <c r="G36" s="219"/>
      <c r="H36" s="122"/>
      <c r="I36" s="118"/>
      <c r="J36" s="118"/>
      <c r="K36" s="121"/>
      <c r="L36" s="121"/>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596"/>
      <c r="E37" s="118"/>
      <c r="G37" s="219"/>
      <c r="H37" s="122"/>
      <c r="I37" s="118"/>
      <c r="J37" s="118"/>
      <c r="K37" s="121"/>
      <c r="L37" s="121"/>
      <c r="M37" s="125"/>
      <c r="N37" s="125"/>
      <c r="O37" s="125"/>
      <c r="P37" s="125"/>
      <c r="Q37" s="125"/>
      <c r="R37" s="1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595"/>
      <c r="E38" s="118"/>
      <c r="G38" s="219"/>
      <c r="H38" s="122"/>
      <c r="I38" s="136"/>
      <c r="J38" s="136"/>
      <c r="K38" s="121"/>
      <c r="L38" s="121"/>
      <c r="M38" s="125"/>
      <c r="N38" s="125"/>
      <c r="O38" s="125"/>
      <c r="P38" s="125"/>
      <c r="Q38" s="125"/>
      <c r="R38" s="1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597"/>
      <c r="E39" s="118"/>
      <c r="G39" s="219"/>
      <c r="H39" s="122"/>
      <c r="I39" s="309"/>
      <c r="J39" s="309"/>
      <c r="K39" s="121"/>
      <c r="L39" s="122"/>
      <c r="M39" s="125"/>
      <c r="N39" s="125"/>
      <c r="O39" s="125"/>
      <c r="P39" s="125"/>
      <c r="Q39" s="125"/>
      <c r="R39" s="1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3" t="s">
        <v>352</v>
      </c>
      <c r="D40" s="598"/>
      <c r="E40" s="118"/>
      <c r="G40" s="219"/>
      <c r="H40" s="122"/>
      <c r="I40" s="309"/>
      <c r="J40" s="309"/>
      <c r="K40" s="121"/>
      <c r="L40" s="122"/>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19"/>
      <c r="H41" s="122"/>
      <c r="I41" s="125"/>
      <c r="J41" s="125"/>
      <c r="K41" s="122"/>
      <c r="L41" s="122"/>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04" t="s">
        <v>327</v>
      </c>
      <c r="C42" s="505" t="s">
        <v>271</v>
      </c>
      <c r="D42" s="506" t="s">
        <v>272</v>
      </c>
      <c r="E42" s="118"/>
      <c r="G42" s="219"/>
      <c r="H42" s="122"/>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311" t="s">
        <v>276</v>
      </c>
      <c r="C43" s="138" t="s">
        <v>265</v>
      </c>
      <c r="D43" s="599">
        <v>0.02</v>
      </c>
      <c r="E43" s="118"/>
      <c r="F43" s="159"/>
      <c r="G43" s="219"/>
      <c r="H43" s="122"/>
      <c r="I43" s="125"/>
      <c r="J43" s="125"/>
      <c r="K43" s="125"/>
      <c r="L43" s="125"/>
      <c r="M43" s="125"/>
      <c r="N43" s="125"/>
      <c r="O43" s="125"/>
      <c r="P43" s="125"/>
      <c r="Q43" s="125"/>
      <c r="R43" s="1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07" t="s">
        <v>328</v>
      </c>
      <c r="C44" s="143" t="s">
        <v>281</v>
      </c>
      <c r="D44" s="614">
        <f>'Community data'!B21</f>
        <v>10.802351555020987</v>
      </c>
      <c r="E44" s="118"/>
      <c r="F44" s="159"/>
      <c r="G44" s="219"/>
      <c r="H44" s="122"/>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19"/>
      <c r="H45" s="122"/>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0" t="s">
        <v>272</v>
      </c>
      <c r="E46" s="118"/>
      <c r="F46" s="159"/>
      <c r="G46" s="219"/>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1" t="s">
        <v>282</v>
      </c>
      <c r="C47" s="138" t="s">
        <v>269</v>
      </c>
      <c r="D47" s="601">
        <f>VLOOKUP(Energy_Region,Assumptions!$A$28:$B$38,2,FALSE)</f>
        <v>1.5507921943016665</v>
      </c>
      <c r="E47" s="118"/>
      <c r="F47" s="136"/>
      <c r="G47" s="219"/>
      <c r="H47" s="122"/>
      <c r="I47" s="125"/>
      <c r="J47" s="125"/>
      <c r="K47" s="125"/>
      <c r="L47" s="125" t="s">
        <v>814</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02">
        <f>Assumptions!B26</f>
        <v>0</v>
      </c>
      <c r="E48" s="118"/>
      <c r="F48" s="159"/>
      <c r="G48" s="219"/>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04"/>
      <c r="E51" s="118"/>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 t="shared" si="0"/>
        <v>2021</v>
      </c>
      <c r="N54" s="171">
        <f>M54+1</f>
        <v>2022</v>
      </c>
      <c r="O54" s="171">
        <f t="shared" si="0"/>
        <v>2023</v>
      </c>
      <c r="P54" s="171">
        <f t="shared" si="0"/>
        <v>2024</v>
      </c>
      <c r="Q54" s="171">
        <f>P54+1</f>
        <v>2025</v>
      </c>
      <c r="R54" s="171">
        <f t="shared" si="0"/>
        <v>2026</v>
      </c>
      <c r="S54" s="306">
        <f>R54+1</f>
        <v>2027</v>
      </c>
      <c r="T54" s="306">
        <f t="shared" si="0"/>
        <v>2028</v>
      </c>
      <c r="U54" s="306">
        <f t="shared" si="0"/>
        <v>2029</v>
      </c>
      <c r="V54" s="306">
        <f t="shared" si="0"/>
        <v>2030</v>
      </c>
      <c r="W54" s="306">
        <f t="shared" si="0"/>
        <v>2031</v>
      </c>
      <c r="X54" s="306">
        <f t="shared" si="0"/>
        <v>2032</v>
      </c>
      <c r="Y54" s="306">
        <f t="shared" si="0"/>
        <v>2033</v>
      </c>
      <c r="Z54" s="306">
        <f t="shared" si="0"/>
        <v>2034</v>
      </c>
      <c r="AA54" s="306">
        <f t="shared" si="0"/>
        <v>2035</v>
      </c>
      <c r="AB54" s="306">
        <f t="shared" si="0"/>
        <v>2036</v>
      </c>
      <c r="AC54" s="306">
        <f t="shared" si="0"/>
        <v>2037</v>
      </c>
      <c r="AD54" s="306">
        <f t="shared" si="0"/>
        <v>2038</v>
      </c>
      <c r="AE54" s="306">
        <f t="shared" si="0"/>
        <v>2039</v>
      </c>
      <c r="AF54" s="306">
        <f t="shared" si="0"/>
        <v>2040</v>
      </c>
      <c r="AG54" s="306">
        <f t="shared" si="0"/>
        <v>2041</v>
      </c>
      <c r="AH54" s="306">
        <f t="shared" si="0"/>
        <v>2042</v>
      </c>
      <c r="AI54" s="306">
        <f t="shared" si="0"/>
        <v>2043</v>
      </c>
      <c r="AJ54" s="306">
        <f t="shared" si="0"/>
        <v>2044</v>
      </c>
      <c r="AK54" s="306">
        <f t="shared" si="0"/>
        <v>2045</v>
      </c>
      <c r="AL54" s="306">
        <f t="shared" si="0"/>
        <v>2046</v>
      </c>
      <c r="AM54" s="306">
        <f t="shared" si="0"/>
        <v>2047</v>
      </c>
      <c r="AN54" s="306">
        <f t="shared" si="0"/>
        <v>2048</v>
      </c>
      <c r="AO54" s="306">
        <f t="shared" si="0"/>
        <v>2049</v>
      </c>
      <c r="AP54" s="306">
        <f t="shared" si="0"/>
        <v>2050</v>
      </c>
      <c r="AQ54" s="306">
        <f t="shared" si="0"/>
        <v>2051</v>
      </c>
      <c r="AR54" s="306">
        <f t="shared" si="0"/>
        <v>2052</v>
      </c>
      <c r="AS54" s="306">
        <f t="shared" si="0"/>
        <v>2053</v>
      </c>
      <c r="AT54" s="306">
        <f t="shared" si="0"/>
        <v>2054</v>
      </c>
      <c r="AU54" s="306">
        <f t="shared" si="0"/>
        <v>2055</v>
      </c>
      <c r="AV54" s="306">
        <f t="shared" si="0"/>
        <v>2056</v>
      </c>
      <c r="AW54" s="306">
        <f t="shared" si="0"/>
        <v>2057</v>
      </c>
      <c r="AX54" s="306">
        <f t="shared" si="0"/>
        <v>2058</v>
      </c>
      <c r="AY54" s="306">
        <f t="shared" si="0"/>
        <v>2059</v>
      </c>
      <c r="AZ54" s="306">
        <f t="shared" si="0"/>
        <v>2060</v>
      </c>
      <c r="BA54" s="306">
        <f t="shared" si="0"/>
        <v>2061</v>
      </c>
      <c r="BB54" s="306">
        <f t="shared" si="0"/>
        <v>2062</v>
      </c>
      <c r="BC54" s="306">
        <f t="shared" si="0"/>
        <v>2063</v>
      </c>
      <c r="BD54" s="306">
        <f t="shared" si="0"/>
        <v>2064</v>
      </c>
      <c r="BE54" s="306">
        <f t="shared" si="0"/>
        <v>2065</v>
      </c>
      <c r="BF54" s="306">
        <f t="shared" si="0"/>
        <v>2066</v>
      </c>
      <c r="BG54" s="306">
        <f t="shared" si="0"/>
        <v>2067</v>
      </c>
      <c r="BH54" s="306">
        <f t="shared" si="0"/>
        <v>2068</v>
      </c>
      <c r="BI54" s="69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t="e">
        <f>IF(AND(H$54&gt;=$D$31,H$54&lt;=($D$31+$D$32)),-PMT(0.05,$D$32,$D$30)*'Fuel Price Worksheet'!H23,0)</f>
        <v>#VALUE!</v>
      </c>
      <c r="I55" s="174" t="e">
        <f>IF(AND(I$54&gt;=$D$31,I$54&lt;=($D$31+$D$32)),-PMT(0.05,$D$32,$D$30)*'Fuel Price Worksheet'!I23,0)</f>
        <v>#VALUE!</v>
      </c>
      <c r="J55" s="174" t="e">
        <f>IF(AND(J$54&gt;=$D$31,J$54&lt;=($D$31+$D$32)),-PMT(0.05,$D$32,$D$30)*'Fuel Price Worksheet'!J23,0)</f>
        <v>#VALUE!</v>
      </c>
      <c r="K55" s="174" t="e">
        <f>IF(AND(K$54&gt;=$D$31,K$54&lt;=($D$31+$D$32)),-PMT(0.05,$D$32,$D$30)*'Fuel Price Worksheet'!K23,0)</f>
        <v>#VALUE!</v>
      </c>
      <c r="L55" s="174" t="e">
        <f>IF(AND(L$54&gt;=$D$31,L$54&lt;=($D$31+$D$32)),-PMT(0.05,$D$32,$D$30)*'Fuel Price Worksheet'!L23,0)</f>
        <v>#VALUE!</v>
      </c>
      <c r="M55" s="174" t="e">
        <f>IF(AND(M$54&gt;=$D$31,M$54&lt;=($D$31+$D$32)),-PMT(0.05,$D$32,$D$30)*'Fuel Price Worksheet'!M23,0)</f>
        <v>#VALUE!</v>
      </c>
      <c r="N55" s="174" t="e">
        <f>IF(AND(N$54&gt;=$D$31,N$54&lt;=($D$31+$D$32)),-PMT(0.05,$D$32,$D$30)*'Fuel Price Worksheet'!N23,0)</f>
        <v>#VALUE!</v>
      </c>
      <c r="O55" s="174" t="e">
        <f>IF(AND(O$54&gt;=$D$31,O$54&lt;=($D$31+$D$32)),-PMT(0.05,$D$32,$D$30)*'Fuel Price Worksheet'!O23,0)</f>
        <v>#VALUE!</v>
      </c>
      <c r="P55" s="174" t="e">
        <f>IF(AND(P$54&gt;=$D$31,P$54&lt;=($D$31+$D$32)),-PMT(0.05,$D$32,$D$30)*'Fuel Price Worksheet'!P23,0)</f>
        <v>#VALUE!</v>
      </c>
      <c r="Q55" s="174" t="e">
        <f>IF(AND(Q$54&gt;=$D$31,Q$54&lt;=($D$31+$D$32)),-PMT(0.05,$D$32,$D$30)*'Fuel Price Worksheet'!Q23,0)</f>
        <v>#VALUE!</v>
      </c>
      <c r="R55" s="174" t="e">
        <f>IF(AND(R$54&gt;=$D$31,R$54&lt;=($D$31+$D$32)),-PMT(0.05,$D$32,$D$30)*'Fuel Price Worksheet'!R23,0)</f>
        <v>#VALUE!</v>
      </c>
      <c r="S55" s="174" t="e">
        <f>IF(AND(S$54&gt;=$D$31,S$54&lt;=($D$31+$D$32)),-PMT(0.05,$D$32,$D$30)*'Fuel Price Worksheet'!S23,0)</f>
        <v>#VALUE!</v>
      </c>
      <c r="T55" s="174" t="e">
        <f>IF(AND(T$54&gt;=$D$31,T$54&lt;=($D$31+$D$32)),-PMT(0.05,$D$32,$D$30)*'Fuel Price Worksheet'!T23,0)</f>
        <v>#VALUE!</v>
      </c>
      <c r="U55" s="174" t="e">
        <f>IF(AND(U$54&gt;=$D$31,U$54&lt;=($D$31+$D$32)),-PMT(0.05,$D$32,$D$30)*'Fuel Price Worksheet'!U23,0)</f>
        <v>#VALUE!</v>
      </c>
      <c r="V55" s="174" t="e">
        <f>IF(AND(V$54&gt;=$D$31,V$54&lt;=($D$31+$D$32)),-PMT(0.05,$D$32,$D$30)*'Fuel Price Worksheet'!V23,0)</f>
        <v>#VALUE!</v>
      </c>
      <c r="W55" s="174" t="e">
        <f>IF(AND(W$54&gt;=$D$31,W$54&lt;=($D$31+$D$32)),-PMT(0.05,$D$32,$D$30)*'Fuel Price Worksheet'!W23,0)</f>
        <v>#VALUE!</v>
      </c>
      <c r="X55" s="174" t="e">
        <f>IF(AND(X$54&gt;=$D$31,X$54&lt;=($D$31+$D$32)),-PMT(0.05,$D$32,$D$30)*'Fuel Price Worksheet'!X23,0)</f>
        <v>#VALUE!</v>
      </c>
      <c r="Y55" s="174" t="e">
        <f>IF(AND(Y$54&gt;=$D$31,Y$54&lt;=($D$31+$D$32)),-PMT(0.05,$D$32,$D$30)*'Fuel Price Worksheet'!Y23,0)</f>
        <v>#VALUE!</v>
      </c>
      <c r="Z55" s="174" t="e">
        <f>IF(AND(Z$54&gt;=$D$31,Z$54&lt;=($D$31+$D$32)),-PMT(0.05,$D$32,$D$30)*'Fuel Price Worksheet'!Z23,0)</f>
        <v>#VALUE!</v>
      </c>
      <c r="AA55" s="174" t="e">
        <f>IF(AND(AA$54&gt;=$D$31,AA$54&lt;=($D$31+$D$32)),-PMT(0.05,$D$32,$D$30)*'Fuel Price Worksheet'!AA23,0)</f>
        <v>#VALUE!</v>
      </c>
      <c r="AB55" s="174" t="e">
        <f>IF(AND(AB$54&gt;=$D$31,AB$54&lt;=($D$31+$D$32)),-PMT(0.05,$D$32,$D$30)*'Fuel Price Worksheet'!AB23,0)</f>
        <v>#VALUE!</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t="e">
        <f>NPV($D$49,F55:BH55)</f>
        <v>#VALUE!</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AK57" si="1">F78-F70</f>
        <v>0</v>
      </c>
      <c r="G57" s="178">
        <f t="shared" si="1"/>
        <v>0</v>
      </c>
      <c r="H57" s="178" t="e">
        <f t="shared" si="1"/>
        <v>#VALUE!</v>
      </c>
      <c r="I57" s="178" t="e">
        <f t="shared" si="1"/>
        <v>#VALUE!</v>
      </c>
      <c r="J57" s="178" t="e">
        <f t="shared" si="1"/>
        <v>#VALUE!</v>
      </c>
      <c r="K57" s="178" t="e">
        <f t="shared" si="1"/>
        <v>#VALUE!</v>
      </c>
      <c r="L57" s="178" t="e">
        <f t="shared" si="1"/>
        <v>#VALUE!</v>
      </c>
      <c r="M57" s="178" t="e">
        <f t="shared" si="1"/>
        <v>#VALUE!</v>
      </c>
      <c r="N57" s="178" t="e">
        <f t="shared" si="1"/>
        <v>#VALUE!</v>
      </c>
      <c r="O57" s="178" t="e">
        <f t="shared" si="1"/>
        <v>#VALUE!</v>
      </c>
      <c r="P57" s="178" t="e">
        <f t="shared" si="1"/>
        <v>#VALUE!</v>
      </c>
      <c r="Q57" s="178" t="e">
        <f t="shared" si="1"/>
        <v>#VALUE!</v>
      </c>
      <c r="R57" s="178" t="e">
        <f t="shared" si="1"/>
        <v>#VALUE!</v>
      </c>
      <c r="S57" s="178" t="e">
        <f t="shared" si="1"/>
        <v>#VALUE!</v>
      </c>
      <c r="T57" s="178" t="e">
        <f t="shared" si="1"/>
        <v>#VALUE!</v>
      </c>
      <c r="U57" s="178" t="e">
        <f t="shared" si="1"/>
        <v>#VALUE!</v>
      </c>
      <c r="V57" s="178" t="e">
        <f t="shared" si="1"/>
        <v>#VALUE!</v>
      </c>
      <c r="W57" s="178" t="e">
        <f t="shared" si="1"/>
        <v>#VALUE!</v>
      </c>
      <c r="X57" s="178" t="e">
        <f t="shared" si="1"/>
        <v>#VALUE!</v>
      </c>
      <c r="Y57" s="178" t="e">
        <f t="shared" si="1"/>
        <v>#VALUE!</v>
      </c>
      <c r="Z57" s="178" t="e">
        <f t="shared" si="1"/>
        <v>#VALUE!</v>
      </c>
      <c r="AA57" s="178" t="e">
        <f t="shared" si="1"/>
        <v>#VALUE!</v>
      </c>
      <c r="AB57" s="178" t="e">
        <f t="shared" si="1"/>
        <v>#VALUE!</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ref="AL57:BH57" si="2">AL78-AL70</f>
        <v>0</v>
      </c>
      <c r="AM57" s="178">
        <f t="shared" si="2"/>
        <v>0</v>
      </c>
      <c r="AN57" s="178">
        <f t="shared" si="2"/>
        <v>0</v>
      </c>
      <c r="AO57" s="178">
        <f t="shared" si="2"/>
        <v>0</v>
      </c>
      <c r="AP57" s="178">
        <f t="shared" si="2"/>
        <v>0</v>
      </c>
      <c r="AQ57" s="178">
        <f t="shared" si="2"/>
        <v>0</v>
      </c>
      <c r="AR57" s="178">
        <f t="shared" si="2"/>
        <v>0</v>
      </c>
      <c r="AS57" s="178">
        <f t="shared" si="2"/>
        <v>0</v>
      </c>
      <c r="AT57" s="178">
        <f t="shared" si="2"/>
        <v>0</v>
      </c>
      <c r="AU57" s="178">
        <f t="shared" si="2"/>
        <v>0</v>
      </c>
      <c r="AV57" s="178">
        <f t="shared" si="2"/>
        <v>0</v>
      </c>
      <c r="AW57" s="178">
        <f t="shared" si="2"/>
        <v>0</v>
      </c>
      <c r="AX57" s="178">
        <f t="shared" si="2"/>
        <v>0</v>
      </c>
      <c r="AY57" s="178">
        <f t="shared" si="2"/>
        <v>0</v>
      </c>
      <c r="AZ57" s="178">
        <f t="shared" si="2"/>
        <v>0</v>
      </c>
      <c r="BA57" s="178">
        <f t="shared" si="2"/>
        <v>0</v>
      </c>
      <c r="BB57" s="178">
        <f t="shared" si="2"/>
        <v>0</v>
      </c>
      <c r="BC57" s="178">
        <f t="shared" si="2"/>
        <v>0</v>
      </c>
      <c r="BD57" s="178">
        <f t="shared" si="2"/>
        <v>0</v>
      </c>
      <c r="BE57" s="178">
        <f t="shared" si="2"/>
        <v>0</v>
      </c>
      <c r="BF57" s="178">
        <f t="shared" si="2"/>
        <v>0</v>
      </c>
      <c r="BG57" s="178">
        <f t="shared" si="2"/>
        <v>0</v>
      </c>
      <c r="BH57" s="178">
        <f t="shared" si="2"/>
        <v>0</v>
      </c>
      <c r="BI57" s="175" t="e">
        <f>NPV($D$49,F57:BH57)</f>
        <v>#VALUE!</v>
      </c>
      <c r="BJ57" s="121"/>
      <c r="BK57" s="121"/>
      <c r="BL57" s="121"/>
      <c r="BM57" s="121"/>
      <c r="BN57" s="121"/>
      <c r="BO57" s="121"/>
    </row>
    <row r="58" spans="2:67" ht="12.75">
      <c r="C58" s="177"/>
      <c r="D58" s="136" t="s">
        <v>626</v>
      </c>
      <c r="E58" s="121" t="s">
        <v>264</v>
      </c>
      <c r="F58" s="178">
        <f t="shared" ref="F58:BH58" si="3">F95-F87</f>
        <v>0</v>
      </c>
      <c r="G58" s="178">
        <f t="shared" si="3"/>
        <v>0</v>
      </c>
      <c r="H58" s="178" t="e">
        <f t="shared" si="3"/>
        <v>#VALUE!</v>
      </c>
      <c r="I58" s="178" t="e">
        <f t="shared" si="3"/>
        <v>#VALUE!</v>
      </c>
      <c r="J58" s="178" t="e">
        <f t="shared" si="3"/>
        <v>#VALUE!</v>
      </c>
      <c r="K58" s="178" t="e">
        <f t="shared" si="3"/>
        <v>#VALUE!</v>
      </c>
      <c r="L58" s="178" t="e">
        <f t="shared" si="3"/>
        <v>#VALUE!</v>
      </c>
      <c r="M58" s="178" t="e">
        <f t="shared" si="3"/>
        <v>#VALUE!</v>
      </c>
      <c r="N58" s="178" t="e">
        <f t="shared" si="3"/>
        <v>#VALUE!</v>
      </c>
      <c r="O58" s="178" t="e">
        <f t="shared" si="3"/>
        <v>#VALUE!</v>
      </c>
      <c r="P58" s="178" t="e">
        <f t="shared" si="3"/>
        <v>#VALUE!</v>
      </c>
      <c r="Q58" s="178" t="e">
        <f t="shared" si="3"/>
        <v>#VALUE!</v>
      </c>
      <c r="R58" s="178" t="e">
        <f t="shared" si="3"/>
        <v>#VALUE!</v>
      </c>
      <c r="S58" s="178" t="e">
        <f t="shared" si="3"/>
        <v>#VALUE!</v>
      </c>
      <c r="T58" s="178" t="e">
        <f t="shared" si="3"/>
        <v>#VALUE!</v>
      </c>
      <c r="U58" s="178" t="e">
        <f t="shared" si="3"/>
        <v>#VALUE!</v>
      </c>
      <c r="V58" s="178" t="e">
        <f t="shared" si="3"/>
        <v>#VALUE!</v>
      </c>
      <c r="W58" s="178" t="e">
        <f t="shared" si="3"/>
        <v>#VALUE!</v>
      </c>
      <c r="X58" s="178" t="e">
        <f t="shared" si="3"/>
        <v>#VALUE!</v>
      </c>
      <c r="Y58" s="178" t="e">
        <f t="shared" si="3"/>
        <v>#VALUE!</v>
      </c>
      <c r="Z58" s="178" t="e">
        <f t="shared" si="3"/>
        <v>#VALUE!</v>
      </c>
      <c r="AA58" s="178" t="e">
        <f t="shared" si="3"/>
        <v>#VALUE!</v>
      </c>
      <c r="AB58" s="178" t="e">
        <f t="shared" si="3"/>
        <v>#VALUE!</v>
      </c>
      <c r="AC58" s="178">
        <f t="shared" si="3"/>
        <v>0</v>
      </c>
      <c r="AD58" s="178">
        <f t="shared" si="3"/>
        <v>0</v>
      </c>
      <c r="AE58" s="178">
        <f t="shared" si="3"/>
        <v>0</v>
      </c>
      <c r="AF58" s="178">
        <f t="shared" si="3"/>
        <v>0</v>
      </c>
      <c r="AG58" s="178">
        <f t="shared" si="3"/>
        <v>0</v>
      </c>
      <c r="AH58" s="178">
        <f t="shared" si="3"/>
        <v>0</v>
      </c>
      <c r="AI58" s="178">
        <f t="shared" si="3"/>
        <v>0</v>
      </c>
      <c r="AJ58" s="178">
        <f t="shared" si="3"/>
        <v>0</v>
      </c>
      <c r="AK58" s="178">
        <f t="shared" si="3"/>
        <v>0</v>
      </c>
      <c r="AL58" s="178">
        <f t="shared" si="3"/>
        <v>0</v>
      </c>
      <c r="AM58" s="178">
        <f t="shared" si="3"/>
        <v>0</v>
      </c>
      <c r="AN58" s="178">
        <f t="shared" si="3"/>
        <v>0</v>
      </c>
      <c r="AO58" s="178">
        <f t="shared" si="3"/>
        <v>0</v>
      </c>
      <c r="AP58" s="178">
        <f t="shared" si="3"/>
        <v>0</v>
      </c>
      <c r="AQ58" s="178">
        <f t="shared" si="3"/>
        <v>0</v>
      </c>
      <c r="AR58" s="178">
        <f t="shared" si="3"/>
        <v>0</v>
      </c>
      <c r="AS58" s="178">
        <f t="shared" si="3"/>
        <v>0</v>
      </c>
      <c r="AT58" s="178">
        <f t="shared" si="3"/>
        <v>0</v>
      </c>
      <c r="AU58" s="178">
        <f t="shared" si="3"/>
        <v>0</v>
      </c>
      <c r="AV58" s="178">
        <f t="shared" si="3"/>
        <v>0</v>
      </c>
      <c r="AW58" s="178">
        <f t="shared" si="3"/>
        <v>0</v>
      </c>
      <c r="AX58" s="178">
        <f t="shared" si="3"/>
        <v>0</v>
      </c>
      <c r="AY58" s="178">
        <f t="shared" si="3"/>
        <v>0</v>
      </c>
      <c r="AZ58" s="178">
        <f t="shared" si="3"/>
        <v>0</v>
      </c>
      <c r="BA58" s="178">
        <f t="shared" si="3"/>
        <v>0</v>
      </c>
      <c r="BB58" s="178">
        <f t="shared" si="3"/>
        <v>0</v>
      </c>
      <c r="BC58" s="178">
        <f t="shared" si="3"/>
        <v>0</v>
      </c>
      <c r="BD58" s="178">
        <f t="shared" si="3"/>
        <v>0</v>
      </c>
      <c r="BE58" s="178">
        <f t="shared" si="3"/>
        <v>0</v>
      </c>
      <c r="BF58" s="178">
        <f t="shared" si="3"/>
        <v>0</v>
      </c>
      <c r="BG58" s="178">
        <f t="shared" si="3"/>
        <v>0</v>
      </c>
      <c r="BH58" s="178">
        <f t="shared" si="3"/>
        <v>0</v>
      </c>
      <c r="BI58" s="175" t="e">
        <f>NPV($D$49,F58:BH58)</f>
        <v>#VALUE!</v>
      </c>
      <c r="BJ58" s="121"/>
      <c r="BK58" s="121"/>
      <c r="BL58" s="121"/>
      <c r="BM58" s="121"/>
      <c r="BN58" s="121"/>
      <c r="BO58" s="121"/>
    </row>
    <row r="59" spans="2:67" ht="12.75">
      <c r="C59" s="177"/>
      <c r="D59" s="179" t="s">
        <v>627</v>
      </c>
      <c r="E59" s="180" t="s">
        <v>264</v>
      </c>
      <c r="F59" s="178">
        <f t="shared" ref="F59:BH59" si="4">F57+F58</f>
        <v>0</v>
      </c>
      <c r="G59" s="178">
        <f t="shared" si="4"/>
        <v>0</v>
      </c>
      <c r="H59" s="178" t="e">
        <f t="shared" si="4"/>
        <v>#VALUE!</v>
      </c>
      <c r="I59" s="178" t="e">
        <f t="shared" si="4"/>
        <v>#VALUE!</v>
      </c>
      <c r="J59" s="178" t="e">
        <f t="shared" si="4"/>
        <v>#VALUE!</v>
      </c>
      <c r="K59" s="178" t="e">
        <f t="shared" si="4"/>
        <v>#VALUE!</v>
      </c>
      <c r="L59" s="178" t="e">
        <f t="shared" si="4"/>
        <v>#VALUE!</v>
      </c>
      <c r="M59" s="178" t="e">
        <f t="shared" si="4"/>
        <v>#VALUE!</v>
      </c>
      <c r="N59" s="178" t="e">
        <f t="shared" si="4"/>
        <v>#VALUE!</v>
      </c>
      <c r="O59" s="178" t="e">
        <f t="shared" si="4"/>
        <v>#VALUE!</v>
      </c>
      <c r="P59" s="178" t="e">
        <f t="shared" si="4"/>
        <v>#VALUE!</v>
      </c>
      <c r="Q59" s="178" t="e">
        <f t="shared" si="4"/>
        <v>#VALUE!</v>
      </c>
      <c r="R59" s="178" t="e">
        <f t="shared" si="4"/>
        <v>#VALUE!</v>
      </c>
      <c r="S59" s="178" t="e">
        <f t="shared" si="4"/>
        <v>#VALUE!</v>
      </c>
      <c r="T59" s="178" t="e">
        <f t="shared" si="4"/>
        <v>#VALUE!</v>
      </c>
      <c r="U59" s="178" t="e">
        <f t="shared" si="4"/>
        <v>#VALUE!</v>
      </c>
      <c r="V59" s="178" t="e">
        <f t="shared" si="4"/>
        <v>#VALUE!</v>
      </c>
      <c r="W59" s="178" t="e">
        <f t="shared" si="4"/>
        <v>#VALUE!</v>
      </c>
      <c r="X59" s="178" t="e">
        <f t="shared" si="4"/>
        <v>#VALUE!</v>
      </c>
      <c r="Y59" s="178" t="e">
        <f t="shared" si="4"/>
        <v>#VALUE!</v>
      </c>
      <c r="Z59" s="178" t="e">
        <f t="shared" si="4"/>
        <v>#VALUE!</v>
      </c>
      <c r="AA59" s="178" t="e">
        <f t="shared" si="4"/>
        <v>#VALUE!</v>
      </c>
      <c r="AB59" s="178" t="e">
        <f t="shared" si="4"/>
        <v>#VALUE!</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t="e">
        <f>NPV($D$49,F59:BH59)</f>
        <v>#VALUE!</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5">F59-F55</f>
        <v>0</v>
      </c>
      <c r="G62" s="185">
        <f t="shared" si="5"/>
        <v>0</v>
      </c>
      <c r="H62" s="185" t="e">
        <f t="shared" si="5"/>
        <v>#VALUE!</v>
      </c>
      <c r="I62" s="185" t="e">
        <f t="shared" si="5"/>
        <v>#VALUE!</v>
      </c>
      <c r="J62" s="185" t="e">
        <f t="shared" si="5"/>
        <v>#VALUE!</v>
      </c>
      <c r="K62" s="185" t="e">
        <f t="shared" si="5"/>
        <v>#VALUE!</v>
      </c>
      <c r="L62" s="185" t="e">
        <f t="shared" si="5"/>
        <v>#VALUE!</v>
      </c>
      <c r="M62" s="185" t="e">
        <f t="shared" si="5"/>
        <v>#VALUE!</v>
      </c>
      <c r="N62" s="185" t="e">
        <f t="shared" si="5"/>
        <v>#VALUE!</v>
      </c>
      <c r="O62" s="185" t="e">
        <f t="shared" si="5"/>
        <v>#VALUE!</v>
      </c>
      <c r="P62" s="185" t="e">
        <f t="shared" si="5"/>
        <v>#VALUE!</v>
      </c>
      <c r="Q62" s="185" t="e">
        <f t="shared" si="5"/>
        <v>#VALUE!</v>
      </c>
      <c r="R62" s="185" t="e">
        <f t="shared" si="5"/>
        <v>#VALUE!</v>
      </c>
      <c r="S62" s="696" t="e">
        <f t="shared" si="5"/>
        <v>#VALUE!</v>
      </c>
      <c r="T62" s="696" t="e">
        <f t="shared" si="5"/>
        <v>#VALUE!</v>
      </c>
      <c r="U62" s="696" t="e">
        <f t="shared" si="5"/>
        <v>#VALUE!</v>
      </c>
      <c r="V62" s="696" t="e">
        <f t="shared" si="5"/>
        <v>#VALUE!</v>
      </c>
      <c r="W62" s="696" t="e">
        <f t="shared" si="5"/>
        <v>#VALUE!</v>
      </c>
      <c r="X62" s="696" t="e">
        <f t="shared" si="5"/>
        <v>#VALUE!</v>
      </c>
      <c r="Y62" s="696" t="e">
        <f t="shared" si="5"/>
        <v>#VALUE!</v>
      </c>
      <c r="Z62" s="696" t="e">
        <f t="shared" si="5"/>
        <v>#VALUE!</v>
      </c>
      <c r="AA62" s="696" t="e">
        <f t="shared" si="5"/>
        <v>#VALUE!</v>
      </c>
      <c r="AB62" s="696" t="e">
        <f t="shared" si="5"/>
        <v>#VALUE!</v>
      </c>
      <c r="AC62" s="696">
        <f t="shared" si="5"/>
        <v>0</v>
      </c>
      <c r="AD62" s="696">
        <f t="shared" si="5"/>
        <v>0</v>
      </c>
      <c r="AE62" s="696">
        <f t="shared" si="5"/>
        <v>0</v>
      </c>
      <c r="AF62" s="696">
        <f t="shared" si="5"/>
        <v>0</v>
      </c>
      <c r="AG62" s="696">
        <f t="shared" si="5"/>
        <v>0</v>
      </c>
      <c r="AH62" s="696">
        <f t="shared" si="5"/>
        <v>0</v>
      </c>
      <c r="AI62" s="696">
        <f t="shared" si="5"/>
        <v>0</v>
      </c>
      <c r="AJ62" s="696">
        <f t="shared" si="5"/>
        <v>0</v>
      </c>
      <c r="AK62" s="696">
        <f t="shared" si="5"/>
        <v>0</v>
      </c>
      <c r="AL62" s="696">
        <f t="shared" si="5"/>
        <v>0</v>
      </c>
      <c r="AM62" s="696">
        <f t="shared" si="5"/>
        <v>0</v>
      </c>
      <c r="AN62" s="696">
        <f t="shared" si="5"/>
        <v>0</v>
      </c>
      <c r="AO62" s="696">
        <f t="shared" si="5"/>
        <v>0</v>
      </c>
      <c r="AP62" s="696">
        <f t="shared" si="5"/>
        <v>0</v>
      </c>
      <c r="AQ62" s="696">
        <f t="shared" si="5"/>
        <v>0</v>
      </c>
      <c r="AR62" s="696">
        <f t="shared" si="5"/>
        <v>0</v>
      </c>
      <c r="AS62" s="696">
        <f t="shared" si="5"/>
        <v>0</v>
      </c>
      <c r="AT62" s="696">
        <f t="shared" si="5"/>
        <v>0</v>
      </c>
      <c r="AU62" s="696">
        <f t="shared" si="5"/>
        <v>0</v>
      </c>
      <c r="AV62" s="696">
        <f t="shared" si="5"/>
        <v>0</v>
      </c>
      <c r="AW62" s="696">
        <f t="shared" si="5"/>
        <v>0</v>
      </c>
      <c r="AX62" s="696">
        <f t="shared" si="5"/>
        <v>0</v>
      </c>
      <c r="AY62" s="696">
        <f t="shared" si="5"/>
        <v>0</v>
      </c>
      <c r="AZ62" s="696">
        <f t="shared" si="5"/>
        <v>0</v>
      </c>
      <c r="BA62" s="696">
        <f t="shared" si="5"/>
        <v>0</v>
      </c>
      <c r="BB62" s="696">
        <f t="shared" si="5"/>
        <v>0</v>
      </c>
      <c r="BC62" s="696">
        <f t="shared" si="5"/>
        <v>0</v>
      </c>
      <c r="BD62" s="696">
        <f t="shared" si="5"/>
        <v>0</v>
      </c>
      <c r="BE62" s="696">
        <f t="shared" si="5"/>
        <v>0</v>
      </c>
      <c r="BF62" s="696">
        <f t="shared" si="5"/>
        <v>0</v>
      </c>
      <c r="BG62" s="696">
        <f t="shared" si="5"/>
        <v>0</v>
      </c>
      <c r="BH62" s="696">
        <f t="shared" si="5"/>
        <v>0</v>
      </c>
      <c r="BI62" s="175" t="e">
        <f>NPV($D$49,F62:BH62)</f>
        <v>#VALUE!</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6">F65+1</f>
        <v>2015</v>
      </c>
      <c r="H65" s="171">
        <f t="shared" si="6"/>
        <v>2016</v>
      </c>
      <c r="I65" s="171">
        <f t="shared" si="6"/>
        <v>2017</v>
      </c>
      <c r="J65" s="171">
        <f t="shared" si="6"/>
        <v>2018</v>
      </c>
      <c r="K65" s="171">
        <f t="shared" si="6"/>
        <v>2019</v>
      </c>
      <c r="L65" s="171">
        <f t="shared" si="6"/>
        <v>2020</v>
      </c>
      <c r="M65" s="171">
        <f t="shared" si="6"/>
        <v>2021</v>
      </c>
      <c r="N65" s="171">
        <f>M65+1</f>
        <v>2022</v>
      </c>
      <c r="O65" s="171">
        <f t="shared" si="6"/>
        <v>2023</v>
      </c>
      <c r="P65" s="171">
        <f t="shared" si="6"/>
        <v>2024</v>
      </c>
      <c r="Q65" s="171">
        <f>P65+1</f>
        <v>2025</v>
      </c>
      <c r="R65" s="171">
        <f t="shared" si="6"/>
        <v>2026</v>
      </c>
      <c r="S65" s="306">
        <f>R65+1</f>
        <v>2027</v>
      </c>
      <c r="T65" s="306">
        <f t="shared" si="6"/>
        <v>2028</v>
      </c>
      <c r="U65" s="306">
        <f t="shared" si="6"/>
        <v>2029</v>
      </c>
      <c r="V65" s="306">
        <f t="shared" si="6"/>
        <v>2030</v>
      </c>
      <c r="W65" s="306">
        <f t="shared" si="6"/>
        <v>2031</v>
      </c>
      <c r="X65" s="306">
        <f t="shared" si="6"/>
        <v>2032</v>
      </c>
      <c r="Y65" s="306">
        <f t="shared" si="6"/>
        <v>2033</v>
      </c>
      <c r="Z65" s="306">
        <f t="shared" si="6"/>
        <v>2034</v>
      </c>
      <c r="AA65" s="306">
        <f t="shared" si="6"/>
        <v>2035</v>
      </c>
      <c r="AB65" s="306">
        <f t="shared" si="6"/>
        <v>2036</v>
      </c>
      <c r="AC65" s="306">
        <f t="shared" si="6"/>
        <v>2037</v>
      </c>
      <c r="AD65" s="306">
        <f t="shared" si="6"/>
        <v>2038</v>
      </c>
      <c r="AE65" s="306">
        <f t="shared" si="6"/>
        <v>2039</v>
      </c>
      <c r="AF65" s="306">
        <f t="shared" si="6"/>
        <v>2040</v>
      </c>
      <c r="AG65" s="306">
        <f t="shared" si="6"/>
        <v>2041</v>
      </c>
      <c r="AH65" s="306">
        <f t="shared" si="6"/>
        <v>2042</v>
      </c>
      <c r="AI65" s="306">
        <f t="shared" si="6"/>
        <v>2043</v>
      </c>
      <c r="AJ65" s="306">
        <f t="shared" si="6"/>
        <v>2044</v>
      </c>
      <c r="AK65" s="306">
        <f t="shared" si="6"/>
        <v>2045</v>
      </c>
      <c r="AL65" s="306">
        <f t="shared" si="6"/>
        <v>2046</v>
      </c>
      <c r="AM65" s="306">
        <f t="shared" si="6"/>
        <v>2047</v>
      </c>
      <c r="AN65" s="306">
        <f t="shared" si="6"/>
        <v>2048</v>
      </c>
      <c r="AO65" s="306">
        <f t="shared" si="6"/>
        <v>2049</v>
      </c>
      <c r="AP65" s="306">
        <f t="shared" si="6"/>
        <v>2050</v>
      </c>
      <c r="AQ65" s="306">
        <f t="shared" si="6"/>
        <v>2051</v>
      </c>
      <c r="AR65" s="306">
        <f t="shared" si="6"/>
        <v>2052</v>
      </c>
      <c r="AS65" s="306">
        <f t="shared" si="6"/>
        <v>2053</v>
      </c>
      <c r="AT65" s="306">
        <f t="shared" si="6"/>
        <v>2054</v>
      </c>
      <c r="AU65" s="306">
        <f t="shared" si="6"/>
        <v>2055</v>
      </c>
      <c r="AV65" s="306">
        <f t="shared" si="6"/>
        <v>2056</v>
      </c>
      <c r="AW65" s="306">
        <f t="shared" si="6"/>
        <v>2057</v>
      </c>
      <c r="AX65" s="306">
        <f t="shared" si="6"/>
        <v>2058</v>
      </c>
      <c r="AY65" s="306">
        <f t="shared" si="6"/>
        <v>2059</v>
      </c>
      <c r="AZ65" s="306">
        <f t="shared" si="6"/>
        <v>2060</v>
      </c>
      <c r="BA65" s="306">
        <f t="shared" si="6"/>
        <v>2061</v>
      </c>
      <c r="BB65" s="306">
        <f t="shared" si="6"/>
        <v>2062</v>
      </c>
      <c r="BC65" s="306">
        <f t="shared" si="6"/>
        <v>2063</v>
      </c>
      <c r="BD65" s="306">
        <f t="shared" si="6"/>
        <v>2064</v>
      </c>
      <c r="BE65" s="306">
        <f t="shared" si="6"/>
        <v>2065</v>
      </c>
      <c r="BF65" s="306">
        <f t="shared" si="6"/>
        <v>2066</v>
      </c>
      <c r="BG65" s="306">
        <f t="shared" si="6"/>
        <v>2067</v>
      </c>
      <c r="BH65" s="306">
        <f t="shared" si="6"/>
        <v>2068</v>
      </c>
      <c r="BI65" s="695" t="s">
        <v>4</v>
      </c>
      <c r="BJ65" s="121"/>
      <c r="BK65" s="121"/>
      <c r="BL65" s="121"/>
      <c r="BM65" s="121"/>
      <c r="BN65" s="121"/>
      <c r="BO65" s="121"/>
    </row>
    <row r="66" spans="2:67" ht="12.75">
      <c r="C66" s="2005" t="s">
        <v>284</v>
      </c>
      <c r="D66" s="2006"/>
      <c r="E66" s="2006"/>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IF(AND(F54&gt;=$D$31,F54&lt;=($D$31+$D$32)),$P$10,0)</f>
        <v>0</v>
      </c>
      <c r="G67" s="189">
        <f>IF(AND(G54&gt;=$D$31,G54&lt;=($D$31+$D$32)),INDEX(Forecast!$E38:$E58,COLUMN()-6)/(1-$P$8),0)</f>
        <v>0</v>
      </c>
      <c r="H67" s="189">
        <f>IF(AND(H54&gt;=$D$31,H54&lt;=($D$31+$D$32)),INDEX(Forecast!$E38:$E58,COLUMN()-6)/(1-$P$8),0)</f>
        <v>291121.72755349608</v>
      </c>
      <c r="I67" s="189">
        <f>IF(AND(I54&gt;=$D$31,I54&lt;=($D$31+$D$32)),INDEX(Forecast!$E38:$E58,COLUMN()-6)/(1-$P$8),0)</f>
        <v>290974.13601112121</v>
      </c>
      <c r="J67" s="189">
        <f>IF(AND(J54&gt;=$D$31,J54&lt;=($D$31+$D$32)),INDEX(Forecast!$E38:$E58,COLUMN()-6)/(1-$P$8),0)</f>
        <v>290826.61580035061</v>
      </c>
      <c r="K67" s="189">
        <f>IF(AND(K54&gt;=$D$31,K54&lt;=($D$31+$D$32)),INDEX(Forecast!$E38:$E58,COLUMN()-6)/(1-$P$8),0)</f>
        <v>290679.16688670934</v>
      </c>
      <c r="L67" s="189">
        <f>IF(AND(L54&gt;=$D$31,L54&lt;=($D$31+$D$32)),INDEX(Forecast!$E38:$E58,COLUMN()-6)/(1-$P$8),0)</f>
        <v>290531.78923573921</v>
      </c>
      <c r="M67" s="189">
        <f>IF(AND(M54&gt;=$D$31,M54&lt;=($D$31+$D$32)),INDEX(Forecast!$E38:$E58,COLUMN()-6)/(1-$P$8),0)</f>
        <v>290384.48281299876</v>
      </c>
      <c r="N67" s="189">
        <f>IF(AND(N54&gt;=$D$31,N54&lt;=($D$31+$D$32)),INDEX(Forecast!$E38:$E58,COLUMN()-6)/(1-$P$8),0)</f>
        <v>290237.24758406298</v>
      </c>
      <c r="O67" s="189">
        <f>IF(AND(O54&gt;=$D$31,O54&lt;=($D$31+$D$32)),INDEX(Forecast!$E38:$E58,COLUMN()-6)/(1-$P$8),0)</f>
        <v>290090.08351452363</v>
      </c>
      <c r="P67" s="189">
        <f>IF(AND(P54&gt;=$D$31,P54&lt;=($D$31+$D$32)),INDEX(Forecast!$E38:$E58,COLUMN()-6)/(1-$P$8),0)</f>
        <v>289942.99056998914</v>
      </c>
      <c r="Q67" s="189">
        <f>IF(AND(Q54&gt;=$D$31,Q54&lt;=($D$31+$D$32)),INDEX(Forecast!$E38:$E58,COLUMN()-6)/(1-$P$8),0)</f>
        <v>289795.96871608438</v>
      </c>
      <c r="R67" s="189">
        <f>IF(AND(R54&gt;=$D$31,R54&lt;=($D$31+$D$32)),INDEX(Forecast!$E38:$E58,COLUMN()-6)/(1-$P$8),0)</f>
        <v>289649.01791845117</v>
      </c>
      <c r="S67" s="189">
        <f>IF(AND(S54&gt;=$D$31,S54&lt;=($D$31+$D$32)),INDEX(Forecast!$E38:$E58,COLUMN()-6)/(1-$P$8),0)</f>
        <v>289502.13814274751</v>
      </c>
      <c r="T67" s="189">
        <f>IF(AND(T54&gt;=$D$31,T54&lt;=($D$31+$D$32)),INDEX(Forecast!$E38:$E58,COLUMN()-6)/(1-$P$8),0)</f>
        <v>289355.32935464825</v>
      </c>
      <c r="U67" s="189">
        <f>IF(AND(U54&gt;=$D$31,U54&lt;=($D$31+$D$32)),INDEX(Forecast!$E38:$E58,COLUMN()-6)/(1-$P$8),0)</f>
        <v>289208.59151984489</v>
      </c>
      <c r="V67" s="189">
        <f>IF(AND(V54&gt;=$D$31,V54&lt;=($D$31+$D$32)),INDEX(Forecast!$E38:$E58,COLUMN()-6)/(1-$P$8),0)</f>
        <v>289061.92460404529</v>
      </c>
      <c r="W67" s="189">
        <f>IF(AND(W54&gt;=$D$31,W54&lt;=($D$31+$D$32)),INDEX(Forecast!$E38:$E58,COLUMN()-6)/(1-$P$8),0)</f>
        <v>288915.32857297407</v>
      </c>
      <c r="X67" s="189">
        <f>IF(AND(X54&gt;=$D$31,X54&lt;=($D$31+$D$32)),INDEX(Forecast!$E38:$E58,COLUMN()-6)/(1-$P$8),0)</f>
        <v>288768.80339237239</v>
      </c>
      <c r="Y67" s="189">
        <f>IF(AND(Y54&gt;=$D$31,Y54&lt;=($D$31+$D$32)),INDEX(Forecast!$E38:$E58,COLUMN()-6)/(1-$P$8),0)</f>
        <v>288622.34902799776</v>
      </c>
      <c r="Z67" s="189">
        <f>IF(AND(Z54&gt;=$D$31,Z54&lt;=($D$31+$D$32)),INDEX(Forecast!$E38:$E58,COLUMN()-6)/(1-$P$8),0)</f>
        <v>288475.96544562455</v>
      </c>
      <c r="AA67" s="189">
        <f>IF(AND(AA54&gt;=$D$31,AA54&lt;=($D$31+$D$32)),INDEX(Forecast!$E38:$E58,COLUMN()-6)/(1-$P$8),0)</f>
        <v>288329.65261104342</v>
      </c>
      <c r="AB67" s="189">
        <f>IF(AND(AB54&gt;=$D$31,AB54&lt;=($D$31+$D$32)),INDEX(Forecast!$E38:$E59,COLUMN()-6)/(1-$P$8),0)</f>
        <v>288183.41049006185</v>
      </c>
      <c r="AC67" s="189">
        <f>IF(AND(AC54&gt;=$D$31,AC54&lt;=($D$31+$D$32)),INDEX(Forecast!$E38:$E58,COLUMN()-6)/(1-$P$8),0)</f>
        <v>0</v>
      </c>
      <c r="AD67" s="189">
        <f>IF(AND(AD54&gt;=$D$31,AD54&lt;=($D$31+$D$32)),INDEX(Forecast!$E38:$E58,COLUMN()-6)/(1-$P$8),0)</f>
        <v>0</v>
      </c>
      <c r="AE67" s="189">
        <f>IF(AND(AE54&gt;=$D$31,AE54&lt;=($D$31+$D$32)),INDEX(Forecast!$E38:$E58,COLUMN()-6)/(1-$P$8),0)</f>
        <v>0</v>
      </c>
      <c r="AF67" s="189">
        <f>IF(AND(AF54&gt;=$D$31,AF54&lt;=($D$31+$D$32)),INDEX(Forecast!$E38:$E58,COLUMN()-6)/(1-$P$8),0)</f>
        <v>0</v>
      </c>
      <c r="AG67" s="189">
        <f>IF(AND(AG54&gt;=$D$31,AG54&lt;=($D$31+$D$32)),INDEX(Forecast!$E38:$E58,COLUMN()-6)/(1-$P$8),0)</f>
        <v>0</v>
      </c>
      <c r="AH67" s="189">
        <f>IF(AND(AH54&gt;=$D$31,AH54&lt;=($D$31+$D$32)),INDEX(Forecast!$E38:$E58,COLUMN()-6)/(1-$P$8),0)</f>
        <v>0</v>
      </c>
      <c r="AI67" s="189">
        <f>IF(AND(AI54&gt;=$D$31,AI54&lt;=($D$31+$D$32)),INDEX(Forecast!$E38:$E58,COLUMN()-6)/(1-$P$8),0)</f>
        <v>0</v>
      </c>
      <c r="AJ67" s="189">
        <f>IF(AND(AJ54&gt;=$D$31,AJ54&lt;=($D$31+$D$32)),INDEX(Forecast!$E38:$E58,COLUMN()-6)/(1-$P$8),0)</f>
        <v>0</v>
      </c>
      <c r="AK67" s="189">
        <f>IF(AND(AK54&gt;=$D$31,AK54&lt;=($D$31+$D$32)),INDEX(Forecast!$E38:$E58,COLUMN()-6)/(1-$P$8),0)</f>
        <v>0</v>
      </c>
      <c r="AL67" s="189">
        <f>IF(AND(AL54&gt;=$D$31,AL54&lt;=($D$31+$D$32)),INDEX(Forecast!$E38:$E58,COLUMN()-6)/(1-$P$8),0)</f>
        <v>0</v>
      </c>
      <c r="AM67" s="189">
        <f>IF(AND(AM54&gt;=$D$31,AM54&lt;=($D$31+$D$32)),INDEX(Forecast!$E38:$E58,COLUMN()-6)/(1-$P$8),0)</f>
        <v>0</v>
      </c>
      <c r="AN67" s="189">
        <f>IF(AND(AN54&gt;=$D$31,AN54&lt;=($D$31+$D$32)),INDEX(Forecast!$E38:$E58,COLUMN()-6)/(1-$P$8),0)</f>
        <v>0</v>
      </c>
      <c r="AO67" s="189">
        <f>IF(AND(AO54&gt;=$D$31,AO54&lt;=($D$31+$D$32)),INDEX(Forecast!$E38:$E58,COLUMN()-6)/(1-$P$8),0)</f>
        <v>0</v>
      </c>
      <c r="AP67" s="189">
        <f>IF(AND(AP54&gt;=$D$31,AP54&lt;=($D$31+$D$32)),INDEX(Forecast!$E38:$E58,COLUMN()-6)/(1-$P$8),0)</f>
        <v>0</v>
      </c>
      <c r="AQ67" s="189">
        <f>IF(AND(AQ54&gt;=$D$31,AQ54&lt;=($D$31+$D$32)),INDEX(Forecast!$E38:$E58,COLUMN()-6)/(1-$P$8),0)</f>
        <v>0</v>
      </c>
      <c r="AR67" s="189">
        <f>IF(AND(AR54&gt;=$D$31,AR54&lt;=($D$31+$D$32)),INDEX(Forecast!$E38:$E58,COLUMN()-6)/(1-$P$8),0)</f>
        <v>0</v>
      </c>
      <c r="AS67" s="189">
        <f>IF(AND(AS54&gt;=$D$31,AS54&lt;=($D$31+$D$32)),INDEX(Forecast!$E38:$E58,COLUMN()-6)/(1-$P$8),0)</f>
        <v>0</v>
      </c>
      <c r="AT67" s="189">
        <f>IF(AND(AT54&gt;=$D$31,AT54&lt;=($D$31+$D$32)),INDEX(Forecast!$E38:$E58,COLUMN()-6)/(1-$P$8),0)</f>
        <v>0</v>
      </c>
      <c r="AU67" s="189">
        <f>IF(AND(AU54&gt;=$D$31,AU54&lt;=($D$31+$D$32)),INDEX(Forecast!$E38:$E58,COLUMN()-6)/(1-$P$8),0)</f>
        <v>0</v>
      </c>
      <c r="AV67" s="189">
        <f>IF(AND(AV54&gt;=$D$31,AV54&lt;=($D$31+$D$32)),INDEX(Forecast!$E38:$E58,COLUMN()-6)/(1-$P$8),0)</f>
        <v>0</v>
      </c>
      <c r="AW67" s="189">
        <f>IF(AND(AW54&gt;=$D$31,AW54&lt;=($D$31+$D$32)),INDEX(Forecast!$E38:$E58,COLUMN()-6)/(1-$P$8),0)</f>
        <v>0</v>
      </c>
      <c r="AX67" s="189">
        <f>IF(AND(AX54&gt;=$D$31,AX54&lt;=($D$31+$D$32)),INDEX(Forecast!$E38:$E58,COLUMN()-6)/(1-$P$8),0)</f>
        <v>0</v>
      </c>
      <c r="AY67" s="189">
        <f>IF(AND(AY54&gt;=$D$31,AY54&lt;=($D$31+$D$32)),INDEX(Forecast!$E38:$E58,COLUMN()-6)/(1-$P$8),0)</f>
        <v>0</v>
      </c>
      <c r="AZ67" s="189">
        <f>IF(AND(AZ54&gt;=$D$31,AZ54&lt;=($D$31+$D$32)),INDEX(Forecast!$E38:$E58,COLUMN()-6)/(1-$P$8),0)</f>
        <v>0</v>
      </c>
      <c r="BA67" s="189">
        <f>IF(AND(BA54&gt;=$D$31,BA54&lt;=($D$31+$D$32)),INDEX(Forecast!$E38:$E58,COLUMN()-6)/(1-$P$8),0)</f>
        <v>0</v>
      </c>
      <c r="BB67" s="189">
        <f>IF(AND(BB54&gt;=$D$31,BB54&lt;=($D$31+$D$32)),INDEX(Forecast!$E38:$E58,COLUMN()-6)/(1-$P$8),0)</f>
        <v>0</v>
      </c>
      <c r="BC67" s="189">
        <f>IF(AND(BC54&gt;=$D$31,BC54&lt;=($D$31+$D$32)),INDEX(Forecast!$E38:$E58,COLUMN()-6)/(1-$P$8),0)</f>
        <v>0</v>
      </c>
      <c r="BD67" s="189">
        <f>IF(AND(BD54&gt;=$D$31,BD54&lt;=($D$31+$D$32)),INDEX(Forecast!$E38:$E58,COLUMN()-6)/(1-$P$8),0)</f>
        <v>0</v>
      </c>
      <c r="BE67" s="189">
        <f>IF(AND(BE54&gt;=$D$31,BE54&lt;=($D$31+$D$32)),INDEX(Forecast!$E38:$E58,COLUMN()-6)/(1-$P$8),0)</f>
        <v>0</v>
      </c>
      <c r="BF67" s="189">
        <f>IF(AND(BF54&gt;=$D$31,BF54&lt;=($D$31+$D$32)),INDEX(Forecast!$E38:$E58,COLUMN()-6)/(1-$P$8),0)</f>
        <v>0</v>
      </c>
      <c r="BG67" s="189">
        <f>IF(AND(BG54&gt;=$D$31,BG54&lt;=($D$31+$D$32)),INDEX(Forecast!$E38:$E58,COLUMN()-6)/(1-$P$8),0)</f>
        <v>0</v>
      </c>
      <c r="BH67" s="189">
        <f>IF(AND(BH54&gt;=$D$31,BH54&lt;=($D$31+$D$32)),INDEX(Forecast!$E38:$E58,COLUMN()-6)/(1-$P$8),0)</f>
        <v>0</v>
      </c>
      <c r="BI67" s="188"/>
      <c r="BJ67" s="121"/>
      <c r="BK67" s="121"/>
      <c r="BL67" s="121"/>
      <c r="BM67" s="121"/>
      <c r="BN67" s="121"/>
      <c r="BO67" s="121"/>
    </row>
    <row r="68" spans="2:67" ht="12.75">
      <c r="C68" s="172"/>
      <c r="D68" s="121" t="s">
        <v>777</v>
      </c>
      <c r="E68" s="121" t="s">
        <v>672</v>
      </c>
      <c r="F68" s="176"/>
      <c r="G68" s="282">
        <f t="shared" ref="G68:AL68" si="7">IF(AND(G54&gt;=$D$31,G54&lt;=($D$31+$D$32)),$J$6,0)</f>
        <v>0</v>
      </c>
      <c r="H68" s="282" t="str">
        <f t="shared" si="7"/>
        <v>N/A</v>
      </c>
      <c r="I68" s="282" t="str">
        <f t="shared" si="7"/>
        <v>N/A</v>
      </c>
      <c r="J68" s="282" t="str">
        <f t="shared" si="7"/>
        <v>N/A</v>
      </c>
      <c r="K68" s="282" t="str">
        <f t="shared" si="7"/>
        <v>N/A</v>
      </c>
      <c r="L68" s="282" t="str">
        <f t="shared" si="7"/>
        <v>N/A</v>
      </c>
      <c r="M68" s="282" t="str">
        <f t="shared" si="7"/>
        <v>N/A</v>
      </c>
      <c r="N68" s="282" t="str">
        <f t="shared" si="7"/>
        <v>N/A</v>
      </c>
      <c r="O68" s="282" t="str">
        <f t="shared" si="7"/>
        <v>N/A</v>
      </c>
      <c r="P68" s="282" t="str">
        <f t="shared" si="7"/>
        <v>N/A</v>
      </c>
      <c r="Q68" s="282" t="str">
        <f t="shared" si="7"/>
        <v>N/A</v>
      </c>
      <c r="R68" s="282" t="str">
        <f t="shared" si="7"/>
        <v>N/A</v>
      </c>
      <c r="S68" s="282" t="str">
        <f t="shared" si="7"/>
        <v>N/A</v>
      </c>
      <c r="T68" s="282" t="str">
        <f t="shared" si="7"/>
        <v>N/A</v>
      </c>
      <c r="U68" s="282" t="str">
        <f t="shared" si="7"/>
        <v>N/A</v>
      </c>
      <c r="V68" s="282" t="str">
        <f t="shared" si="7"/>
        <v>N/A</v>
      </c>
      <c r="W68" s="282" t="str">
        <f t="shared" si="7"/>
        <v>N/A</v>
      </c>
      <c r="X68" s="282" t="str">
        <f t="shared" si="7"/>
        <v>N/A</v>
      </c>
      <c r="Y68" s="282" t="str">
        <f t="shared" si="7"/>
        <v>N/A</v>
      </c>
      <c r="Z68" s="282" t="str">
        <f t="shared" si="7"/>
        <v>N/A</v>
      </c>
      <c r="AA68" s="282" t="str">
        <f t="shared" si="7"/>
        <v>N/A</v>
      </c>
      <c r="AB68" s="282" t="str">
        <f t="shared" si="7"/>
        <v>N/A</v>
      </c>
      <c r="AC68" s="282">
        <f t="shared" si="7"/>
        <v>0</v>
      </c>
      <c r="AD68" s="282">
        <f t="shared" si="7"/>
        <v>0</v>
      </c>
      <c r="AE68" s="282">
        <f t="shared" si="7"/>
        <v>0</v>
      </c>
      <c r="AF68" s="282">
        <f t="shared" si="7"/>
        <v>0</v>
      </c>
      <c r="AG68" s="282">
        <f t="shared" si="7"/>
        <v>0</v>
      </c>
      <c r="AH68" s="282">
        <f t="shared" si="7"/>
        <v>0</v>
      </c>
      <c r="AI68" s="282">
        <f t="shared" si="7"/>
        <v>0</v>
      </c>
      <c r="AJ68" s="282">
        <f t="shared" si="7"/>
        <v>0</v>
      </c>
      <c r="AK68" s="282">
        <f t="shared" si="7"/>
        <v>0</v>
      </c>
      <c r="AL68" s="282">
        <f t="shared" si="7"/>
        <v>0</v>
      </c>
      <c r="AM68" s="282">
        <f t="shared" ref="AM68:BH68" si="8">IF(AND(AM54&gt;=$D$31,AM54&lt;=($D$31+$D$32)),$J$6,0)</f>
        <v>0</v>
      </c>
      <c r="AN68" s="282">
        <f t="shared" si="8"/>
        <v>0</v>
      </c>
      <c r="AO68" s="282">
        <f t="shared" si="8"/>
        <v>0</v>
      </c>
      <c r="AP68" s="282">
        <f t="shared" si="8"/>
        <v>0</v>
      </c>
      <c r="AQ68" s="282">
        <f t="shared" si="8"/>
        <v>0</v>
      </c>
      <c r="AR68" s="282">
        <f t="shared" si="8"/>
        <v>0</v>
      </c>
      <c r="AS68" s="282">
        <f t="shared" si="8"/>
        <v>0</v>
      </c>
      <c r="AT68" s="282">
        <f t="shared" si="8"/>
        <v>0</v>
      </c>
      <c r="AU68" s="282">
        <f t="shared" si="8"/>
        <v>0</v>
      </c>
      <c r="AV68" s="282">
        <f t="shared" si="8"/>
        <v>0</v>
      </c>
      <c r="AW68" s="282">
        <f t="shared" si="8"/>
        <v>0</v>
      </c>
      <c r="AX68" s="282">
        <f t="shared" si="8"/>
        <v>0</v>
      </c>
      <c r="AY68" s="282">
        <f t="shared" si="8"/>
        <v>0</v>
      </c>
      <c r="AZ68" s="282">
        <f t="shared" si="8"/>
        <v>0</v>
      </c>
      <c r="BA68" s="282">
        <f t="shared" si="8"/>
        <v>0</v>
      </c>
      <c r="BB68" s="282">
        <f t="shared" si="8"/>
        <v>0</v>
      </c>
      <c r="BC68" s="282">
        <f t="shared" si="8"/>
        <v>0</v>
      </c>
      <c r="BD68" s="282">
        <f t="shared" si="8"/>
        <v>0</v>
      </c>
      <c r="BE68" s="282">
        <f t="shared" si="8"/>
        <v>0</v>
      </c>
      <c r="BF68" s="282">
        <f t="shared" si="8"/>
        <v>0</v>
      </c>
      <c r="BG68" s="282">
        <f t="shared" si="8"/>
        <v>0</v>
      </c>
      <c r="BH68" s="282">
        <f t="shared" si="8"/>
        <v>0</v>
      </c>
      <c r="BI68" s="175"/>
      <c r="BJ68" s="121"/>
      <c r="BK68" s="121"/>
      <c r="BL68" s="121"/>
      <c r="BM68" s="121"/>
      <c r="BN68" s="121"/>
      <c r="BO68" s="121"/>
    </row>
    <row r="69" spans="2:67" ht="12.75">
      <c r="C69" s="190"/>
      <c r="D69" s="121" t="s">
        <v>565</v>
      </c>
      <c r="E69" s="121" t="s">
        <v>264</v>
      </c>
      <c r="F69" s="191">
        <f t="shared" ref="F69:AK69" si="9">IF(AND(F54&gt;=$D$31,F54&lt;=($D$31+$D$32)),$P$13,0)</f>
        <v>0</v>
      </c>
      <c r="G69" s="191">
        <f t="shared" si="9"/>
        <v>0</v>
      </c>
      <c r="H69" s="191" t="str">
        <f t="shared" si="9"/>
        <v>N/A</v>
      </c>
      <c r="I69" s="191" t="str">
        <f t="shared" si="9"/>
        <v>N/A</v>
      </c>
      <c r="J69" s="191" t="str">
        <f t="shared" si="9"/>
        <v>N/A</v>
      </c>
      <c r="K69" s="191" t="str">
        <f t="shared" si="9"/>
        <v>N/A</v>
      </c>
      <c r="L69" s="191" t="str">
        <f t="shared" si="9"/>
        <v>N/A</v>
      </c>
      <c r="M69" s="191" t="str">
        <f t="shared" si="9"/>
        <v>N/A</v>
      </c>
      <c r="N69" s="191" t="str">
        <f t="shared" si="9"/>
        <v>N/A</v>
      </c>
      <c r="O69" s="191" t="str">
        <f t="shared" si="9"/>
        <v>N/A</v>
      </c>
      <c r="P69" s="191" t="str">
        <f t="shared" si="9"/>
        <v>N/A</v>
      </c>
      <c r="Q69" s="191" t="str">
        <f t="shared" si="9"/>
        <v>N/A</v>
      </c>
      <c r="R69" s="191" t="str">
        <f t="shared" si="9"/>
        <v>N/A</v>
      </c>
      <c r="S69" s="191" t="str">
        <f t="shared" si="9"/>
        <v>N/A</v>
      </c>
      <c r="T69" s="191" t="str">
        <f t="shared" si="9"/>
        <v>N/A</v>
      </c>
      <c r="U69" s="191" t="str">
        <f t="shared" si="9"/>
        <v>N/A</v>
      </c>
      <c r="V69" s="191" t="str">
        <f t="shared" si="9"/>
        <v>N/A</v>
      </c>
      <c r="W69" s="191" t="str">
        <f t="shared" si="9"/>
        <v>N/A</v>
      </c>
      <c r="X69" s="191" t="str">
        <f t="shared" si="9"/>
        <v>N/A</v>
      </c>
      <c r="Y69" s="191" t="str">
        <f t="shared" si="9"/>
        <v>N/A</v>
      </c>
      <c r="Z69" s="191" t="str">
        <f t="shared" si="9"/>
        <v>N/A</v>
      </c>
      <c r="AA69" s="191" t="str">
        <f t="shared" si="9"/>
        <v>N/A</v>
      </c>
      <c r="AB69" s="191" t="str">
        <f t="shared" si="9"/>
        <v>N/A</v>
      </c>
      <c r="AC69" s="191">
        <f t="shared" si="9"/>
        <v>0</v>
      </c>
      <c r="AD69" s="191">
        <f t="shared" si="9"/>
        <v>0</v>
      </c>
      <c r="AE69" s="191">
        <f t="shared" si="9"/>
        <v>0</v>
      </c>
      <c r="AF69" s="191">
        <f t="shared" si="9"/>
        <v>0</v>
      </c>
      <c r="AG69" s="191">
        <f t="shared" si="9"/>
        <v>0</v>
      </c>
      <c r="AH69" s="191">
        <f t="shared" si="9"/>
        <v>0</v>
      </c>
      <c r="AI69" s="191">
        <f t="shared" si="9"/>
        <v>0</v>
      </c>
      <c r="AJ69" s="191">
        <f t="shared" si="9"/>
        <v>0</v>
      </c>
      <c r="AK69" s="191">
        <f t="shared" si="9"/>
        <v>0</v>
      </c>
      <c r="AL69" s="191">
        <f t="shared" ref="AL69:BH69" si="10">IF(AND(AL54&gt;=$D$31,AL54&lt;=($D$31+$D$32)),$P$13,0)</f>
        <v>0</v>
      </c>
      <c r="AM69" s="191">
        <f t="shared" si="10"/>
        <v>0</v>
      </c>
      <c r="AN69" s="191">
        <f t="shared" si="10"/>
        <v>0</v>
      </c>
      <c r="AO69" s="191">
        <f t="shared" si="10"/>
        <v>0</v>
      </c>
      <c r="AP69" s="191">
        <f t="shared" si="10"/>
        <v>0</v>
      </c>
      <c r="AQ69" s="191">
        <f t="shared" si="10"/>
        <v>0</v>
      </c>
      <c r="AR69" s="191">
        <f t="shared" si="10"/>
        <v>0</v>
      </c>
      <c r="AS69" s="191">
        <f t="shared" si="10"/>
        <v>0</v>
      </c>
      <c r="AT69" s="191">
        <f t="shared" si="10"/>
        <v>0</v>
      </c>
      <c r="AU69" s="191">
        <f t="shared" si="10"/>
        <v>0</v>
      </c>
      <c r="AV69" s="191">
        <f t="shared" si="10"/>
        <v>0</v>
      </c>
      <c r="AW69" s="191">
        <f t="shared" si="10"/>
        <v>0</v>
      </c>
      <c r="AX69" s="191">
        <f t="shared" si="10"/>
        <v>0</v>
      </c>
      <c r="AY69" s="191">
        <f t="shared" si="10"/>
        <v>0</v>
      </c>
      <c r="AZ69" s="191">
        <f t="shared" si="10"/>
        <v>0</v>
      </c>
      <c r="BA69" s="191">
        <f t="shared" si="10"/>
        <v>0</v>
      </c>
      <c r="BB69" s="191">
        <f t="shared" si="10"/>
        <v>0</v>
      </c>
      <c r="BC69" s="191">
        <f t="shared" si="10"/>
        <v>0</v>
      </c>
      <c r="BD69" s="191">
        <f t="shared" si="10"/>
        <v>0</v>
      </c>
      <c r="BE69" s="191">
        <f t="shared" si="10"/>
        <v>0</v>
      </c>
      <c r="BF69" s="191">
        <f t="shared" si="10"/>
        <v>0</v>
      </c>
      <c r="BG69" s="191">
        <f t="shared" si="10"/>
        <v>0</v>
      </c>
      <c r="BH69" s="191">
        <f t="shared" si="10"/>
        <v>0</v>
      </c>
      <c r="BI69" s="175">
        <f>NPV($D$49,F69:BH69)</f>
        <v>0</v>
      </c>
      <c r="BJ69" s="121"/>
      <c r="BK69" s="121"/>
      <c r="BL69" s="121"/>
      <c r="BM69" s="121"/>
      <c r="BN69" s="121"/>
      <c r="BO69" s="121"/>
    </row>
    <row r="70" spans="2:67" s="192" customFormat="1" ht="12.75">
      <c r="B70" s="193"/>
      <c r="C70" s="177"/>
      <c r="D70" s="180" t="s">
        <v>371</v>
      </c>
      <c r="E70" s="180" t="s">
        <v>264</v>
      </c>
      <c r="F70" s="828">
        <f>F69+F68*F67</f>
        <v>0</v>
      </c>
      <c r="G70" s="828">
        <f>G69+G68*G67</f>
        <v>0</v>
      </c>
      <c r="H70" s="828" t="e">
        <f t="shared" ref="H70:AM70" si="11">H69+H68*H67</f>
        <v>#VALUE!</v>
      </c>
      <c r="I70" s="828" t="e">
        <f t="shared" si="11"/>
        <v>#VALUE!</v>
      </c>
      <c r="J70" s="828" t="e">
        <f t="shared" si="11"/>
        <v>#VALUE!</v>
      </c>
      <c r="K70" s="828" t="e">
        <f t="shared" si="11"/>
        <v>#VALUE!</v>
      </c>
      <c r="L70" s="828" t="e">
        <f t="shared" si="11"/>
        <v>#VALUE!</v>
      </c>
      <c r="M70" s="828" t="e">
        <f t="shared" si="11"/>
        <v>#VALUE!</v>
      </c>
      <c r="N70" s="828" t="e">
        <f t="shared" si="11"/>
        <v>#VALUE!</v>
      </c>
      <c r="O70" s="828" t="e">
        <f t="shared" si="11"/>
        <v>#VALUE!</v>
      </c>
      <c r="P70" s="828" t="e">
        <f t="shared" si="11"/>
        <v>#VALUE!</v>
      </c>
      <c r="Q70" s="828" t="e">
        <f t="shared" si="11"/>
        <v>#VALUE!</v>
      </c>
      <c r="R70" s="828" t="e">
        <f t="shared" si="11"/>
        <v>#VALUE!</v>
      </c>
      <c r="S70" s="828" t="e">
        <f t="shared" si="11"/>
        <v>#VALUE!</v>
      </c>
      <c r="T70" s="828" t="e">
        <f t="shared" si="11"/>
        <v>#VALUE!</v>
      </c>
      <c r="U70" s="828" t="e">
        <f t="shared" si="11"/>
        <v>#VALUE!</v>
      </c>
      <c r="V70" s="828" t="e">
        <f t="shared" si="11"/>
        <v>#VALUE!</v>
      </c>
      <c r="W70" s="828" t="e">
        <f t="shared" si="11"/>
        <v>#VALUE!</v>
      </c>
      <c r="X70" s="828" t="e">
        <f t="shared" si="11"/>
        <v>#VALUE!</v>
      </c>
      <c r="Y70" s="828" t="e">
        <f t="shared" si="11"/>
        <v>#VALUE!</v>
      </c>
      <c r="Z70" s="828" t="e">
        <f t="shared" si="11"/>
        <v>#VALUE!</v>
      </c>
      <c r="AA70" s="828" t="e">
        <f t="shared" si="11"/>
        <v>#VALUE!</v>
      </c>
      <c r="AB70" s="828" t="e">
        <f t="shared" si="11"/>
        <v>#VALUE!</v>
      </c>
      <c r="AC70" s="828">
        <f t="shared" si="11"/>
        <v>0</v>
      </c>
      <c r="AD70" s="828">
        <f t="shared" si="11"/>
        <v>0</v>
      </c>
      <c r="AE70" s="828">
        <f t="shared" si="11"/>
        <v>0</v>
      </c>
      <c r="AF70" s="828">
        <f t="shared" si="11"/>
        <v>0</v>
      </c>
      <c r="AG70" s="828">
        <f t="shared" si="11"/>
        <v>0</v>
      </c>
      <c r="AH70" s="828">
        <f t="shared" si="11"/>
        <v>0</v>
      </c>
      <c r="AI70" s="828">
        <f t="shared" si="11"/>
        <v>0</v>
      </c>
      <c r="AJ70" s="828">
        <f t="shared" si="11"/>
        <v>0</v>
      </c>
      <c r="AK70" s="828">
        <f t="shared" si="11"/>
        <v>0</v>
      </c>
      <c r="AL70" s="828">
        <f t="shared" si="11"/>
        <v>0</v>
      </c>
      <c r="AM70" s="828">
        <f t="shared" si="11"/>
        <v>0</v>
      </c>
      <c r="AN70" s="828">
        <f t="shared" ref="AN70:BH70" si="12">AN69+AN68*AN67</f>
        <v>0</v>
      </c>
      <c r="AO70" s="828">
        <f t="shared" si="12"/>
        <v>0</v>
      </c>
      <c r="AP70" s="828">
        <f t="shared" si="12"/>
        <v>0</v>
      </c>
      <c r="AQ70" s="828">
        <f t="shared" si="12"/>
        <v>0</v>
      </c>
      <c r="AR70" s="828">
        <f t="shared" si="12"/>
        <v>0</v>
      </c>
      <c r="AS70" s="828">
        <f t="shared" si="12"/>
        <v>0</v>
      </c>
      <c r="AT70" s="828">
        <f t="shared" si="12"/>
        <v>0</v>
      </c>
      <c r="AU70" s="828">
        <f t="shared" si="12"/>
        <v>0</v>
      </c>
      <c r="AV70" s="828">
        <f t="shared" si="12"/>
        <v>0</v>
      </c>
      <c r="AW70" s="828">
        <f t="shared" si="12"/>
        <v>0</v>
      </c>
      <c r="AX70" s="828">
        <f t="shared" si="12"/>
        <v>0</v>
      </c>
      <c r="AY70" s="828">
        <f t="shared" si="12"/>
        <v>0</v>
      </c>
      <c r="AZ70" s="828">
        <f t="shared" si="12"/>
        <v>0</v>
      </c>
      <c r="BA70" s="828">
        <f t="shared" si="12"/>
        <v>0</v>
      </c>
      <c r="BB70" s="828">
        <f t="shared" si="12"/>
        <v>0</v>
      </c>
      <c r="BC70" s="828">
        <f t="shared" si="12"/>
        <v>0</v>
      </c>
      <c r="BD70" s="828">
        <f t="shared" si="12"/>
        <v>0</v>
      </c>
      <c r="BE70" s="828">
        <f t="shared" si="12"/>
        <v>0</v>
      </c>
      <c r="BF70" s="828">
        <f t="shared" si="12"/>
        <v>0</v>
      </c>
      <c r="BG70" s="828">
        <f t="shared" si="12"/>
        <v>0</v>
      </c>
      <c r="BH70" s="828">
        <f t="shared" si="12"/>
        <v>0</v>
      </c>
      <c r="BI70" s="832" t="e">
        <f>NPV($D$49,F70:BH70)</f>
        <v>#VALUE!</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2005" t="s">
        <v>285</v>
      </c>
      <c r="D72" s="2006"/>
      <c r="E72" s="2006"/>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623</v>
      </c>
      <c r="E73" s="121" t="s">
        <v>266</v>
      </c>
      <c r="F73" s="189">
        <f>IF(AND($F$4&lt;&gt;"Low",F54&gt;=$D$31,F54&lt;=($D$31+$D$32)),Forecast!C38,0)</f>
        <v>0</v>
      </c>
      <c r="G73" s="189">
        <f>IF(AND($F$4&lt;&gt;"Low",G54&gt;=$D$31,G54&lt;=($D$31+$D$32)),INDEX(Forecast!$F38:$F472,COLUMN()-6),0)</f>
        <v>0</v>
      </c>
      <c r="H73" s="189">
        <f>IF(AND($F$4&lt;&gt;"Low",H54&gt;=$D$31,H54&lt;=($D$31+$D$32)),INDEX(Forecast!$F38:$F472,COLUMN()-6),0)</f>
        <v>201313.1664925275</v>
      </c>
      <c r="I73" s="189">
        <f>IF(AND($F$4&lt;&gt;"Low",I54&gt;=$D$31,I54&lt;=($D$31+$D$32)),INDEX(Forecast!$F38:$F472,COLUMN()-6),0)</f>
        <v>205637.82225585432</v>
      </c>
      <c r="J73" s="189">
        <f>IF(AND($F$4&lt;&gt;"Low",J54&gt;=$D$31,J54&lt;=($D$31+$D$32)),INDEX(Forecast!$F38:$F472,COLUMN()-6),0)</f>
        <v>205857.17251283824</v>
      </c>
      <c r="K73" s="189">
        <f>IF(AND($F$4&lt;&gt;"Low",K54&gt;=$D$31,K54&lt;=($D$31+$D$32)),INDEX(Forecast!$F38:$F472,COLUMN()-6),0)</f>
        <v>207259.46711484555</v>
      </c>
      <c r="L73" s="189">
        <f>IF(AND($F$4&lt;&gt;"Low",L54&gt;=$D$31,L54&lt;=($D$31+$D$32)),INDEX(Forecast!$F38:$F472,COLUMN()-6),0)</f>
        <v>208668.13951976554</v>
      </c>
      <c r="M73" s="189">
        <f>IF(AND($F$4&lt;&gt;"Low",M54&gt;=$D$31,M54&lt;=($D$31+$D$32)),INDEX(Forecast!$F38:$F472,COLUMN()-6),0)</f>
        <v>210612.5035194373</v>
      </c>
      <c r="N73" s="189">
        <f>IF(AND($F$4&lt;&gt;"Low",N54&gt;=$D$31,N54&lt;=($D$31+$D$32)),INDEX(Forecast!$F38:$F472,COLUMN()-6),0)</f>
        <v>212702.25927131885</v>
      </c>
      <c r="O73" s="189">
        <f>IF(AND($F$4&lt;&gt;"Low",O54&gt;=$D$31,O54&lt;=($D$31+$D$32)),INDEX(Forecast!$F38:$F472,COLUMN()-6),0)</f>
        <v>214868.26288255374</v>
      </c>
      <c r="P73" s="189">
        <f>IF(AND($F$4&lt;&gt;"Low",P54&gt;=$D$31,P54&lt;=($D$31+$D$32)),INDEX(Forecast!$F38:$F472,COLUMN()-6),0)</f>
        <v>217080.20365888326</v>
      </c>
      <c r="Q73" s="189">
        <f>IF(AND($F$4&lt;&gt;"Low",Q54&gt;=$D$31,Q54&lt;=($D$31+$D$32)),INDEX(Forecast!$F38:$F472,COLUMN()-6),0)</f>
        <v>219300.72771680047</v>
      </c>
      <c r="R73" s="189">
        <f>IF(AND($F$4&lt;&gt;"Low",R54&gt;=$D$31,R54&lt;=($D$31+$D$32)),INDEX(Forecast!$F38:$F472,COLUMN()-6),0)</f>
        <v>221671.08080808408</v>
      </c>
      <c r="S73" s="189">
        <f>IF(AND($F$4&lt;&gt;"Low",S54&gt;=$D$31,S54&lt;=($D$31+$D$32)),INDEX(Forecast!$F38:$F472,COLUMN()-6),0)</f>
        <v>224099.6361909282</v>
      </c>
      <c r="T73" s="189">
        <f>IF(AND($F$4&lt;&gt;"Low",T54&gt;=$D$31,T54&lt;=($D$31+$D$32)),INDEX(Forecast!$F38:$F472,COLUMN()-6),0)</f>
        <v>226587.81397673293</v>
      </c>
      <c r="U73" s="189">
        <f>IF(AND($F$4&lt;&gt;"Low",U54&gt;=$D$31,U54&lt;=($D$31+$D$32)),INDEX(Forecast!$F38:$F472,COLUMN()-6),0)</f>
        <v>229137.06059119248</v>
      </c>
      <c r="V73" s="189">
        <f>IF(AND($F$4&lt;&gt;"Low",V54&gt;=$D$31,V54&lt;=($D$31+$D$32)),INDEX(Forecast!$F38:$F472,COLUMN()-6),0)</f>
        <v>231748.85259431455</v>
      </c>
      <c r="W73" s="189">
        <f>IF(AND($F$4&lt;&gt;"Low",W54&gt;=$D$31,W54&lt;=($D$31+$D$32)),INDEX(Forecast!$F38:$F472,COLUMN()-6),0)</f>
        <v>234424.71974219402</v>
      </c>
      <c r="X73" s="189">
        <f>IF(AND($F$4&lt;&gt;"Low",X54&gt;=$D$31,X54&lt;=($D$31+$D$32)),INDEX(Forecast!$F38:$F472,COLUMN()-6),0)</f>
        <v>237166.21275912106</v>
      </c>
      <c r="Y73" s="189">
        <f>IF(AND($F$4&lt;&gt;"Low",Y54&gt;=$D$31,Y54&lt;=($D$31+$D$32)),INDEX(Forecast!$F38:$F472,COLUMN()-6),0)</f>
        <v>239970.94070784812</v>
      </c>
      <c r="Z73" s="189">
        <f>IF(AND($F$4&lt;&gt;"Low",Z54&gt;=$D$31,Z54&lt;=($D$31+$D$32)),INDEX(Forecast!$F38:$F472,COLUMN()-6),0)</f>
        <v>242722.71067756347</v>
      </c>
      <c r="AA73" s="189">
        <f>IF(AND($F$4&lt;&gt;"Low",AA54&gt;=$D$31,AA54&lt;=($D$31+$D$32)),INDEX(Forecast!$F38:$F472,COLUMN()-6),0)</f>
        <v>245621.21111761348</v>
      </c>
      <c r="AB73" s="189">
        <f>IF(AND($F$4&lt;&gt;"Low",AB54&gt;=$D$31,AB54&lt;=($D$31+$D$32)),INDEX(Forecast!$F38:$F472,COLUMN()-6),0)</f>
        <v>248600.02307296719</v>
      </c>
      <c r="AC73" s="189">
        <f>IF(AND($F$4&lt;&gt;"Low",AC54&gt;=$D$31,AC54&lt;=($D$31+$D$32)),INDEX(Forecast!$F38:$F472,COLUMN()-6),0)</f>
        <v>0</v>
      </c>
      <c r="AD73" s="189">
        <f>IF(AND($F$4&lt;&gt;"Low",AD54&gt;=$D$31,AD54&lt;=($D$31+$D$32)),INDEX(Forecast!$F38:$F472,COLUMN()-6),0)</f>
        <v>0</v>
      </c>
      <c r="AE73" s="189">
        <f>IF(AND($F$4&lt;&gt;"Low",AE54&gt;=$D$31,AE54&lt;=($D$31+$D$32)),INDEX(Forecast!$F38:$F472,COLUMN()-6),0)</f>
        <v>0</v>
      </c>
      <c r="AF73" s="189">
        <f>IF(AND($F$4&lt;&gt;"Low",AF54&gt;=$D$31,AF54&lt;=($D$31+$D$32)),INDEX(Forecast!$F38:$F472,COLUMN()-6),0)</f>
        <v>0</v>
      </c>
      <c r="AG73" s="189">
        <f>IF(AND($F$4&lt;&gt;"Low",AG54&gt;=$D$31,AG54&lt;=($D$31+$D$32)),INDEX(Forecast!$F38:$F472,COLUMN()-6),0)</f>
        <v>0</v>
      </c>
      <c r="AH73" s="189">
        <f>IF(AND($F$4&lt;&gt;"Low",AH54&gt;=$D$31,AH54&lt;=($D$31+$D$32)),INDEX(Forecast!$F38:$F472,COLUMN()-6),0)</f>
        <v>0</v>
      </c>
      <c r="AI73" s="189">
        <f>IF(AND($F$4&lt;&gt;"Low",AI54&gt;=$D$31,AI54&lt;=($D$31+$D$32)),INDEX(Forecast!$F38:$F472,COLUMN()-6),0)</f>
        <v>0</v>
      </c>
      <c r="AJ73" s="189">
        <f>IF(AND($F$4&lt;&gt;"Low",AJ54&gt;=$D$31,AJ54&lt;=($D$31+$D$32)),INDEX(Forecast!$F38:$F472,COLUMN()-6),0)</f>
        <v>0</v>
      </c>
      <c r="AK73" s="189">
        <f>IF(AND($F$4&lt;&gt;"Low",AK54&gt;=$D$31,AK54&lt;=($D$31+$D$32)),INDEX(Forecast!$F38:$F472,COLUMN()-6),0)</f>
        <v>0</v>
      </c>
      <c r="AL73" s="189">
        <f>IF(AND($F$4&lt;&gt;"Low",AL54&gt;=$D$31,AL54&lt;=($D$31+$D$32)),INDEX(Forecast!$F38:$F472,COLUMN()-6),0)</f>
        <v>0</v>
      </c>
      <c r="AM73" s="189">
        <f>IF(AND($F$4&lt;&gt;"Low",AM54&gt;=$D$31,AM54&lt;=($D$31+$D$32)),INDEX(Forecast!$F38:$F472,COLUMN()-6),0)</f>
        <v>0</v>
      </c>
      <c r="AN73" s="189">
        <f>IF(AND($F$4&lt;&gt;"Low",AN54&gt;=$D$31,AN54&lt;=($D$31+$D$32)),INDEX(Forecast!$F38:$F472,COLUMN()-6),0)</f>
        <v>0</v>
      </c>
      <c r="AO73" s="189">
        <f>IF(AND($F$4&lt;&gt;"Low",AO54&gt;=$D$31,AO54&lt;=($D$31+$D$32)),INDEX(Forecast!$F38:$F472,COLUMN()-6),0)</f>
        <v>0</v>
      </c>
      <c r="AP73" s="189">
        <f>IF(AND($F$4&lt;&gt;"Low",AP54&gt;=$D$31,AP54&lt;=($D$31+$D$32)),INDEX(Forecast!$F38:$F472,COLUMN()-6),0)</f>
        <v>0</v>
      </c>
      <c r="AQ73" s="189">
        <f>IF(AND($F$4&lt;&gt;"Low",AQ54&gt;=$D$31,AQ54&lt;=($D$31+$D$32)),INDEX(Forecast!$F38:$F472,COLUMN()-6),0)</f>
        <v>0</v>
      </c>
      <c r="AR73" s="189">
        <f>IF(AND($F$4&lt;&gt;"Low",AR54&gt;=$D$31,AR54&lt;=($D$31+$D$32)),INDEX(Forecast!$F38:$F472,COLUMN()-6),0)</f>
        <v>0</v>
      </c>
      <c r="AS73" s="189">
        <f>IF(AND($F$4&lt;&gt;"Low",AS54&gt;=$D$31,AS54&lt;=($D$31+$D$32)),INDEX(Forecast!$F38:$F472,COLUMN()-6),0)</f>
        <v>0</v>
      </c>
      <c r="AT73" s="189">
        <f>IF(AND($F$4&lt;&gt;"Low",AT54&gt;=$D$31,AT54&lt;=($D$31+$D$32)),INDEX(Forecast!$F38:$F472,COLUMN()-6),0)</f>
        <v>0</v>
      </c>
      <c r="AU73" s="189">
        <f>IF(AND($F$4&lt;&gt;"Low",AU54&gt;=$D$31,AU54&lt;=($D$31+$D$32)),INDEX(Forecast!$F38:$F472,COLUMN()-6),0)</f>
        <v>0</v>
      </c>
      <c r="AV73" s="189">
        <f>IF(AND($F$4&lt;&gt;"Low",AV54&gt;=$D$31,AV54&lt;=($D$31+$D$32)),INDEX(Forecast!$F38:$F472,COLUMN()-6),0)</f>
        <v>0</v>
      </c>
      <c r="AW73" s="189">
        <f>IF(AND($F$4&lt;&gt;"Low",AW54&gt;=$D$31,AW54&lt;=($D$31+$D$32)),INDEX(Forecast!$F38:$F472,COLUMN()-6),0)</f>
        <v>0</v>
      </c>
      <c r="AX73" s="189">
        <f>IF(AND($F$4&lt;&gt;"Low",AX54&gt;=$D$31,AX54&lt;=($D$31+$D$32)),INDEX(Forecast!$F38:$F472,COLUMN()-6),0)</f>
        <v>0</v>
      </c>
      <c r="AY73" s="189">
        <f>IF(AND($F$4&lt;&gt;"Low",AY54&gt;=$D$31,AY54&lt;=($D$31+$D$32)),INDEX(Forecast!$F38:$F472,COLUMN()-6),0)</f>
        <v>0</v>
      </c>
      <c r="AZ73" s="189">
        <f>IF(AND($F$4&lt;&gt;"Low",AZ54&gt;=$D$31,AZ54&lt;=($D$31+$D$32)),INDEX(Forecast!$F38:$F472,COLUMN()-6),0)</f>
        <v>0</v>
      </c>
      <c r="BA73" s="189">
        <f>IF(AND($F$4&lt;&gt;"Low",BA54&gt;=$D$31,BA54&lt;=($D$31+$D$32)),INDEX(Forecast!$F38:$F472,COLUMN()-6),0)</f>
        <v>0</v>
      </c>
      <c r="BB73" s="189">
        <f>IF(AND($F$4&lt;&gt;"Low",BB54&gt;=$D$31,BB54&lt;=($D$31+$D$32)),INDEX(Forecast!$F38:$F472,COLUMN()-6),0)</f>
        <v>0</v>
      </c>
      <c r="BC73" s="189">
        <f>IF(AND($F$4&lt;&gt;"Low",BC54&gt;=$D$31,BC54&lt;=($D$31+$D$32)),INDEX(Forecast!$F38:$F472,COLUMN()-6),0)</f>
        <v>0</v>
      </c>
      <c r="BD73" s="189">
        <f>IF(AND($F$4&lt;&gt;"Low",BD54&gt;=$D$31,BD54&lt;=($D$31+$D$32)),INDEX(Forecast!$F38:$F472,COLUMN()-6),0)</f>
        <v>0</v>
      </c>
      <c r="BE73" s="189">
        <f>IF(AND($F$4&lt;&gt;"Low",BE54&gt;=$D$31,BE54&lt;=($D$31+$D$32)),INDEX(Forecast!$F38:$F472,COLUMN()-6),0)</f>
        <v>0</v>
      </c>
      <c r="BF73" s="189">
        <f>IF(AND($F$4&lt;&gt;"Low",BF54&gt;=$D$31,BF54&lt;=($D$31+$D$32)),INDEX(Forecast!$F38:$F472,COLUMN()-6),0)</f>
        <v>0</v>
      </c>
      <c r="BG73" s="189">
        <f>IF(AND($F$4&lt;&gt;"Low",BG54&gt;=$D$31,BG54&lt;=($D$31+$D$32)),INDEX(Forecast!$F38:$F472,COLUMN()-6),0)</f>
        <v>0</v>
      </c>
      <c r="BH73" s="189">
        <f>IF(AND($F$4&lt;&gt;"Low",BH54&gt;=$D$31,BH54&lt;=($D$31+$D$32)),INDEX(Forecast!$F38:$F472,COLUMN()-6),0)</f>
        <v>0</v>
      </c>
      <c r="BI73" s="188"/>
      <c r="BJ73" s="121"/>
      <c r="BK73" s="121"/>
      <c r="BL73" s="121"/>
      <c r="BM73" s="121"/>
      <c r="BN73" s="121"/>
      <c r="BO73" s="121"/>
    </row>
    <row r="74" spans="2:67" s="121" customFormat="1" ht="12.75">
      <c r="B74" s="138"/>
      <c r="C74" s="177"/>
      <c r="D74" s="121" t="s">
        <v>1314</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c r="D75" s="121" t="s">
        <v>267</v>
      </c>
      <c r="E75" s="121" t="str">
        <f>IF(C7="Railbelt South of Alaska Range","mmBtu per year","gallons per year")</f>
        <v>gallons per year</v>
      </c>
      <c r="F75" s="196">
        <f>IF(AND(F54&gt;=$D$31,F54&lt;=($D$31+$D$32)),'Community data'!$B$20,0)</f>
        <v>0</v>
      </c>
      <c r="G75" s="196">
        <f>IF(AND(G54&gt;=$D$31,G54&lt;=($D$31+$D$32)),'Community data'!$B$20,0)</f>
        <v>0</v>
      </c>
      <c r="H75" s="196">
        <f>H73/$D$44</f>
        <v>18636.050258793523</v>
      </c>
      <c r="I75" s="196">
        <f t="shared" ref="I75:BH75" si="13">I73/$D$44</f>
        <v>19036.394178476152</v>
      </c>
      <c r="J75" s="196">
        <f t="shared" si="13"/>
        <v>19056.699966143464</v>
      </c>
      <c r="K75" s="196">
        <f t="shared" si="13"/>
        <v>19186.513793703587</v>
      </c>
      <c r="L75" s="196">
        <f t="shared" si="13"/>
        <v>19316.918030016855</v>
      </c>
      <c r="M75" s="196">
        <f t="shared" si="13"/>
        <v>19496.912542301361</v>
      </c>
      <c r="N75" s="196">
        <f t="shared" si="13"/>
        <v>19690.366323289465</v>
      </c>
      <c r="O75" s="196">
        <f t="shared" si="13"/>
        <v>19890.878554371979</v>
      </c>
      <c r="P75" s="196">
        <f t="shared" si="13"/>
        <v>20095.643300738837</v>
      </c>
      <c r="Q75" s="196">
        <f t="shared" si="13"/>
        <v>20301.20262239275</v>
      </c>
      <c r="R75" s="196">
        <f t="shared" si="13"/>
        <v>20520.63198267698</v>
      </c>
      <c r="S75" s="196">
        <f t="shared" si="13"/>
        <v>20745.449270882651</v>
      </c>
      <c r="T75" s="196">
        <f t="shared" si="13"/>
        <v>20975.785950181726</v>
      </c>
      <c r="U75" s="196">
        <f t="shared" si="13"/>
        <v>21211.775919724481</v>
      </c>
      <c r="V75" s="196">
        <f t="shared" si="13"/>
        <v>21453.555868268009</v>
      </c>
      <c r="W75" s="196">
        <f t="shared" si="13"/>
        <v>21701.267409060783</v>
      </c>
      <c r="X75" s="196">
        <f t="shared" si="13"/>
        <v>21955.054096428201</v>
      </c>
      <c r="Y75" s="196">
        <f t="shared" si="13"/>
        <v>22214.694595484481</v>
      </c>
      <c r="Z75" s="196">
        <f t="shared" si="13"/>
        <v>22469.432645408095</v>
      </c>
      <c r="AA75" s="196">
        <f t="shared" si="13"/>
        <v>22737.753892433495</v>
      </c>
      <c r="AB75" s="196">
        <f t="shared" si="13"/>
        <v>23013.509772084453</v>
      </c>
      <c r="AC75" s="196">
        <f t="shared" si="13"/>
        <v>0</v>
      </c>
      <c r="AD75" s="196">
        <f t="shared" si="13"/>
        <v>0</v>
      </c>
      <c r="AE75" s="196">
        <f t="shared" si="13"/>
        <v>0</v>
      </c>
      <c r="AF75" s="196">
        <f t="shared" si="13"/>
        <v>0</v>
      </c>
      <c r="AG75" s="196">
        <f t="shared" si="13"/>
        <v>0</v>
      </c>
      <c r="AH75" s="196">
        <f t="shared" si="13"/>
        <v>0</v>
      </c>
      <c r="AI75" s="196">
        <f t="shared" si="13"/>
        <v>0</v>
      </c>
      <c r="AJ75" s="196">
        <f t="shared" si="13"/>
        <v>0</v>
      </c>
      <c r="AK75" s="196">
        <f t="shared" si="13"/>
        <v>0</v>
      </c>
      <c r="AL75" s="196">
        <f t="shared" si="13"/>
        <v>0</v>
      </c>
      <c r="AM75" s="196">
        <f t="shared" si="13"/>
        <v>0</v>
      </c>
      <c r="AN75" s="196">
        <f t="shared" si="13"/>
        <v>0</v>
      </c>
      <c r="AO75" s="196">
        <f t="shared" si="13"/>
        <v>0</v>
      </c>
      <c r="AP75" s="196">
        <f t="shared" si="13"/>
        <v>0</v>
      </c>
      <c r="AQ75" s="196">
        <f t="shared" si="13"/>
        <v>0</v>
      </c>
      <c r="AR75" s="196">
        <f t="shared" si="13"/>
        <v>0</v>
      </c>
      <c r="AS75" s="196">
        <f t="shared" si="13"/>
        <v>0</v>
      </c>
      <c r="AT75" s="196">
        <f t="shared" si="13"/>
        <v>0</v>
      </c>
      <c r="AU75" s="196">
        <f t="shared" si="13"/>
        <v>0</v>
      </c>
      <c r="AV75" s="196">
        <f t="shared" si="13"/>
        <v>0</v>
      </c>
      <c r="AW75" s="196">
        <f t="shared" si="13"/>
        <v>0</v>
      </c>
      <c r="AX75" s="196">
        <f t="shared" si="13"/>
        <v>0</v>
      </c>
      <c r="AY75" s="196">
        <f t="shared" si="13"/>
        <v>0</v>
      </c>
      <c r="AZ75" s="196">
        <f t="shared" si="13"/>
        <v>0</v>
      </c>
      <c r="BA75" s="196">
        <f t="shared" si="13"/>
        <v>0</v>
      </c>
      <c r="BB75" s="196">
        <f t="shared" si="13"/>
        <v>0</v>
      </c>
      <c r="BC75" s="196">
        <f t="shared" si="13"/>
        <v>0</v>
      </c>
      <c r="BD75" s="196">
        <f t="shared" si="13"/>
        <v>0</v>
      </c>
      <c r="BE75" s="196">
        <f t="shared" si="13"/>
        <v>0</v>
      </c>
      <c r="BF75" s="196">
        <f t="shared" si="13"/>
        <v>0</v>
      </c>
      <c r="BG75" s="196">
        <f t="shared" si="13"/>
        <v>0</v>
      </c>
      <c r="BH75" s="196">
        <f t="shared" si="13"/>
        <v>0</v>
      </c>
      <c r="BI75" s="175"/>
      <c r="BJ75" s="121"/>
      <c r="BK75" s="121"/>
      <c r="BL75" s="121"/>
      <c r="BM75" s="121"/>
      <c r="BN75" s="121"/>
      <c r="BO75" s="121"/>
    </row>
    <row r="76" spans="2:67" ht="12.75">
      <c r="C76" s="190"/>
      <c r="D76" s="121" t="s">
        <v>1324</v>
      </c>
      <c r="E76" s="121" t="str">
        <f>IF(C7="rural","$ per year","")</f>
        <v>$ per year</v>
      </c>
      <c r="F76" s="191">
        <f>IF(AND(F54&gt;=$D$31,F54&lt;=($D$31+$D$32)),'Diesel eff'!$D$43,0)</f>
        <v>0</v>
      </c>
      <c r="G76" s="191">
        <f>IF(AND(G54&gt;=$D$31,G54&lt;=($D$31+$D$32)),'Diesel eff'!$D$43,0)</f>
        <v>0</v>
      </c>
      <c r="H76" s="191">
        <f>IF(AND(H54&gt;=$D$31,H54&lt;=($D$31+$D$32)),'Diesel eff'!$D$43,0)</f>
        <v>84181</v>
      </c>
      <c r="I76" s="191">
        <f>IF(AND(I54&gt;=$D$31,I54&lt;=($D$31+$D$32)),'Diesel eff'!$D$43,0)</f>
        <v>84181</v>
      </c>
      <c r="J76" s="191">
        <f>IF(AND(J54&gt;=$D$31,J54&lt;=($D$31+$D$32)),'Diesel eff'!$D$43,0)</f>
        <v>84181</v>
      </c>
      <c r="K76" s="191">
        <f>IF(AND(K54&gt;=$D$31,K54&lt;=($D$31+$D$32)),'Diesel eff'!$D$43,0)</f>
        <v>84181</v>
      </c>
      <c r="L76" s="191">
        <f>IF(AND(L54&gt;=$D$31,L54&lt;=($D$31+$D$32)),'Diesel eff'!$D$43,0)</f>
        <v>84181</v>
      </c>
      <c r="M76" s="191">
        <f>IF(AND(M54&gt;=$D$31,M54&lt;=($D$31+$D$32)),'Diesel eff'!$D$43,0)</f>
        <v>84181</v>
      </c>
      <c r="N76" s="191">
        <f>IF(AND(N54&gt;=$D$31,N54&lt;=($D$31+$D$32)),'Diesel eff'!$D$43,0)</f>
        <v>84181</v>
      </c>
      <c r="O76" s="191">
        <f>IF(AND(O54&gt;=$D$31,O54&lt;=($D$31+$D$32)),'Diesel eff'!$D$43,0)</f>
        <v>84181</v>
      </c>
      <c r="P76" s="191">
        <f>IF(AND(P54&gt;=$D$31,P54&lt;=($D$31+$D$32)),'Diesel eff'!$D$43,0)</f>
        <v>84181</v>
      </c>
      <c r="Q76" s="191">
        <f>IF(AND(Q54&gt;=$D$31,Q54&lt;=($D$31+$D$32)),'Diesel eff'!$D$43,0)</f>
        <v>84181</v>
      </c>
      <c r="R76" s="191">
        <f>IF(AND(R54&gt;=$D$31,R54&lt;=($D$31+$D$32)),'Diesel eff'!$D$43,0)</f>
        <v>84181</v>
      </c>
      <c r="S76" s="191">
        <f>IF(AND(S54&gt;=$D$31,S54&lt;=($D$31+$D$32)),'Diesel eff'!$D$43,0)</f>
        <v>84181</v>
      </c>
      <c r="T76" s="191">
        <f>IF(AND(T54&gt;=$D$31,T54&lt;=($D$31+$D$32)),'Diesel eff'!$D$43,0)</f>
        <v>84181</v>
      </c>
      <c r="U76" s="191">
        <f>IF(AND(U54&gt;=$D$31,U54&lt;=($D$31+$D$32)),'Diesel eff'!$D$43,0)</f>
        <v>84181</v>
      </c>
      <c r="V76" s="191">
        <f>IF(AND(V54&gt;=$D$31,V54&lt;=($D$31+$D$32)),'Diesel eff'!$D$43,0)</f>
        <v>84181</v>
      </c>
      <c r="W76" s="191">
        <f>IF(AND(W54&gt;=$D$31,W54&lt;=($D$31+$D$32)),'Diesel eff'!$D$43,0)</f>
        <v>84181</v>
      </c>
      <c r="X76" s="191">
        <f>IF(AND(X54&gt;=$D$31,X54&lt;=($D$31+$D$32)),'Diesel eff'!$D$43,0)</f>
        <v>84181</v>
      </c>
      <c r="Y76" s="191">
        <f>IF(AND(Y54&gt;=$D$31,Y54&lt;=($D$31+$D$32)),'Diesel eff'!$D$43,0)</f>
        <v>84181</v>
      </c>
      <c r="Z76" s="191">
        <f>IF(AND(Z54&gt;=$D$31,Z54&lt;=($D$31+$D$32)),'Diesel eff'!$D$43,0)</f>
        <v>84181</v>
      </c>
      <c r="AA76" s="191">
        <f>IF(AND(AA54&gt;=$D$31,AA54&lt;=($D$31+$D$32)),'Diesel eff'!$D$43,0)</f>
        <v>84181</v>
      </c>
      <c r="AB76" s="191">
        <f>IF(AND(AB54&gt;=$D$31,AB54&lt;=($D$31+$D$32)),'Diesel eff'!$D$43,0)</f>
        <v>84181</v>
      </c>
      <c r="AC76" s="191">
        <f>IF(AND(AC54&gt;=$D$31,AC54&lt;=($D$31+$D$32)),'Diesel eff'!$D$43,0)</f>
        <v>0</v>
      </c>
      <c r="AD76" s="191">
        <f>IF(AND(AD54&gt;=$D$31,AD54&lt;=($D$31+$D$32)),'Diesel eff'!$D$43,0)</f>
        <v>0</v>
      </c>
      <c r="AE76" s="191">
        <f>IF(AND(AE54&gt;=$D$31,AE54&lt;=($D$31+$D$32)),'Diesel eff'!$D$43,0)</f>
        <v>0</v>
      </c>
      <c r="AF76" s="191">
        <f>IF(AND(AF54&gt;=$D$31,AF54&lt;=($D$31+$D$32)),'Diesel eff'!$D$43,0)</f>
        <v>0</v>
      </c>
      <c r="AG76" s="191">
        <f>IF(AND(AG54&gt;=$D$31,AG54&lt;=($D$31+$D$32)),'Diesel eff'!$D$43,0)</f>
        <v>0</v>
      </c>
      <c r="AH76" s="191">
        <f>IF(AND(AH54&gt;=$D$31,AH54&lt;=($D$31+$D$32)),'Diesel eff'!$D$43,0)</f>
        <v>0</v>
      </c>
      <c r="AI76" s="191">
        <f>IF(AND(AI54&gt;=$D$31,AI54&lt;=($D$31+$D$32)),'Diesel eff'!$D$43,0)</f>
        <v>0</v>
      </c>
      <c r="AJ76" s="191">
        <f>IF(AND(AJ54&gt;=$D$31,AJ54&lt;=($D$31+$D$32)),'Diesel eff'!$D$43,0)</f>
        <v>0</v>
      </c>
      <c r="AK76" s="191">
        <f>IF(AND(AK54&gt;=$D$31,AK54&lt;=($D$31+$D$32)),'Diesel eff'!$D$43,0)</f>
        <v>0</v>
      </c>
      <c r="AL76" s="191">
        <f>IF(AND(AL54&gt;=$D$31,AL54&lt;=($D$31+$D$32)),'Diesel eff'!$D$43,0)</f>
        <v>0</v>
      </c>
      <c r="AM76" s="191">
        <f>IF(AND(AM54&gt;=$D$31,AM54&lt;=($D$31+$D$32)),'Diesel eff'!$D$43,0)</f>
        <v>0</v>
      </c>
      <c r="AN76" s="191">
        <f>IF(AND(AN54&gt;=$D$31,AN54&lt;=($D$31+$D$32)),'Diesel eff'!$D$43,0)</f>
        <v>0</v>
      </c>
      <c r="AO76" s="191">
        <f>IF(AND(AO54&gt;=$D$31,AO54&lt;=($D$31+$D$32)),'Diesel eff'!$D$43,0)</f>
        <v>0</v>
      </c>
      <c r="AP76" s="191">
        <f>IF(AND(AP54&gt;=$D$31,AP54&lt;=($D$31+$D$32)),'Diesel eff'!$D$43,0)</f>
        <v>0</v>
      </c>
      <c r="AQ76" s="191">
        <f>IF(AND(AQ54&gt;=$D$31,AQ54&lt;=($D$31+$D$32)),'Diesel eff'!$D$43,0)</f>
        <v>0</v>
      </c>
      <c r="AR76" s="191">
        <f>IF(AND(AR54&gt;=$D$31,AR54&lt;=($D$31+$D$32)),'Diesel eff'!$D$43,0)</f>
        <v>0</v>
      </c>
      <c r="AS76" s="191">
        <f>IF(AND(AS54&gt;=$D$31,AS54&lt;=($D$31+$D$32)),'Diesel eff'!$D$43,0)</f>
        <v>0</v>
      </c>
      <c r="AT76" s="191">
        <f>IF(AND(AT54&gt;=$D$31,AT54&lt;=($D$31+$D$32)),'Diesel eff'!$D$43,0)</f>
        <v>0</v>
      </c>
      <c r="AU76" s="191">
        <f>IF(AND(AU54&gt;=$D$31,AU54&lt;=($D$31+$D$32)),'Diesel eff'!$D$43,0)</f>
        <v>0</v>
      </c>
      <c r="AV76" s="191">
        <f>IF(AND(AV54&gt;=$D$31,AV54&lt;=($D$31+$D$32)),'Diesel eff'!$D$43,0)</f>
        <v>0</v>
      </c>
      <c r="AW76" s="191">
        <f>IF(AND(AW54&gt;=$D$31,AW54&lt;=($D$31+$D$32)),'Diesel eff'!$D$43,0)</f>
        <v>0</v>
      </c>
      <c r="AX76" s="191">
        <f>IF(AND(AX54&gt;=$D$31,AX54&lt;=($D$31+$D$32)),'Diesel eff'!$D$43,0)</f>
        <v>0</v>
      </c>
      <c r="AY76" s="191">
        <f>IF(AND(AY54&gt;=$D$31,AY54&lt;=($D$31+$D$32)),'Diesel eff'!$D$43,0)</f>
        <v>0</v>
      </c>
      <c r="AZ76" s="191">
        <f>IF(AND(AZ54&gt;=$D$31,AZ54&lt;=($D$31+$D$32)),'Diesel eff'!$D$43,0)</f>
        <v>0</v>
      </c>
      <c r="BA76" s="191">
        <f>IF(AND(BA54&gt;=$D$31,BA54&lt;=($D$31+$D$32)),'Diesel eff'!$D$43,0)</f>
        <v>0</v>
      </c>
      <c r="BB76" s="191">
        <f>IF(AND(BB54&gt;=$D$31,BB54&lt;=($D$31+$D$32)),'Diesel eff'!$D$43,0)</f>
        <v>0</v>
      </c>
      <c r="BC76" s="191">
        <f>IF(AND(BC54&gt;=$D$31,BC54&lt;=($D$31+$D$32)),'Diesel eff'!$D$43,0)</f>
        <v>0</v>
      </c>
      <c r="BD76" s="191">
        <f>IF(AND(BD54&gt;=$D$31,BD54&lt;=($D$31+$D$32)),'Diesel eff'!$D$43,0)</f>
        <v>0</v>
      </c>
      <c r="BE76" s="191">
        <f>IF(AND(BE54&gt;=$D$31,BE54&lt;=($D$31+$D$32)),'Diesel eff'!$D$43,0)</f>
        <v>0</v>
      </c>
      <c r="BF76" s="191">
        <f>IF(AND(BF54&gt;=$D$31,BF54&lt;=($D$31+$D$32)),'Diesel eff'!$D$43,0)</f>
        <v>0</v>
      </c>
      <c r="BG76" s="191">
        <f>IF(AND(BG54&gt;=$D$31,BG54&lt;=($D$31+$D$32)),'Diesel eff'!$D$43,0)</f>
        <v>0</v>
      </c>
      <c r="BH76" s="191">
        <f>IF(AND(BH54&gt;=$D$31,BH54&lt;=($D$31+$D$32)),'Diesel eff'!$D$43,0)</f>
        <v>0</v>
      </c>
      <c r="BI76" s="175">
        <f>NPV($D$49,F76:BH76)</f>
        <v>1223161.6050742816</v>
      </c>
      <c r="BJ76" s="121"/>
      <c r="BK76" s="121"/>
      <c r="BL76" s="121"/>
      <c r="BM76" s="121"/>
      <c r="BN76" s="121"/>
      <c r="BO76" s="121"/>
    </row>
    <row r="77" spans="2:67" ht="12.75">
      <c r="C77" s="177"/>
      <c r="D77" s="121" t="s">
        <v>1315</v>
      </c>
      <c r="E77" s="121" t="str">
        <f>IF(C7="rural","$ per year","")</f>
        <v>$ per year</v>
      </c>
      <c r="F77" s="191">
        <f t="shared" ref="F77:AK77" si="14">IF($C$7="rural",F75*F74,"")</f>
        <v>0</v>
      </c>
      <c r="G77" s="191">
        <f t="shared" si="14"/>
        <v>0</v>
      </c>
      <c r="H77" s="191">
        <f t="shared" si="14"/>
        <v>58190.753956806351</v>
      </c>
      <c r="I77" s="191">
        <f t="shared" si="14"/>
        <v>62569.279099523068</v>
      </c>
      <c r="J77" s="191">
        <f t="shared" si="14"/>
        <v>62865.080234718524</v>
      </c>
      <c r="K77" s="191">
        <f t="shared" si="14"/>
        <v>64367.594337810027</v>
      </c>
      <c r="L77" s="191">
        <f t="shared" si="14"/>
        <v>65892.300914461754</v>
      </c>
      <c r="M77" s="191">
        <f t="shared" si="14"/>
        <v>67993.24351544684</v>
      </c>
      <c r="N77" s="191">
        <f t="shared" si="14"/>
        <v>70277.642776282824</v>
      </c>
      <c r="O77" s="191">
        <f t="shared" si="14"/>
        <v>72677.530701933254</v>
      </c>
      <c r="P77" s="191">
        <f t="shared" si="14"/>
        <v>75163.35335625583</v>
      </c>
      <c r="Q77" s="191">
        <f t="shared" si="14"/>
        <v>77695.864905772847</v>
      </c>
      <c r="R77" s="191">
        <f t="shared" si="14"/>
        <v>80434.813773119458</v>
      </c>
      <c r="S77" s="191">
        <f t="shared" si="14"/>
        <v>83282.956383571349</v>
      </c>
      <c r="T77" s="191">
        <f t="shared" si="14"/>
        <v>86245.075423084607</v>
      </c>
      <c r="U77" s="191">
        <f t="shared" si="14"/>
        <v>89326.165692091847</v>
      </c>
      <c r="V77" s="191">
        <f t="shared" si="14"/>
        <v>92531.447550974975</v>
      </c>
      <c r="W77" s="191">
        <f t="shared" si="14"/>
        <v>95866.404630740435</v>
      </c>
      <c r="X77" s="191">
        <f t="shared" si="14"/>
        <v>99336.756095665478</v>
      </c>
      <c r="Y77" s="191">
        <f t="shared" si="14"/>
        <v>102943.47153373207</v>
      </c>
      <c r="Z77" s="191">
        <f t="shared" si="14"/>
        <v>106541.66946410031</v>
      </c>
      <c r="AA77" s="191">
        <f t="shared" si="14"/>
        <v>110387.98476203409</v>
      </c>
      <c r="AB77" s="191">
        <f t="shared" si="14"/>
        <v>114403.85955960311</v>
      </c>
      <c r="AC77" s="191">
        <f t="shared" si="14"/>
        <v>0</v>
      </c>
      <c r="AD77" s="191">
        <f t="shared" si="14"/>
        <v>0</v>
      </c>
      <c r="AE77" s="191">
        <f t="shared" si="14"/>
        <v>0</v>
      </c>
      <c r="AF77" s="191">
        <f t="shared" si="14"/>
        <v>0</v>
      </c>
      <c r="AG77" s="191">
        <f t="shared" si="14"/>
        <v>0</v>
      </c>
      <c r="AH77" s="191">
        <f t="shared" si="14"/>
        <v>0</v>
      </c>
      <c r="AI77" s="191">
        <f t="shared" si="14"/>
        <v>0</v>
      </c>
      <c r="AJ77" s="191">
        <f t="shared" si="14"/>
        <v>0</v>
      </c>
      <c r="AK77" s="191">
        <f t="shared" si="14"/>
        <v>0</v>
      </c>
      <c r="AL77" s="191">
        <f t="shared" ref="AL77:BH77" si="15">IF($C$7="rural",AL75*AL74,"")</f>
        <v>0</v>
      </c>
      <c r="AM77" s="191">
        <f t="shared" si="15"/>
        <v>0</v>
      </c>
      <c r="AN77" s="191">
        <f t="shared" si="15"/>
        <v>0</v>
      </c>
      <c r="AO77" s="191">
        <f t="shared" si="15"/>
        <v>0</v>
      </c>
      <c r="AP77" s="191">
        <f t="shared" si="15"/>
        <v>0</v>
      </c>
      <c r="AQ77" s="191">
        <f t="shared" si="15"/>
        <v>0</v>
      </c>
      <c r="AR77" s="191">
        <f t="shared" si="15"/>
        <v>0</v>
      </c>
      <c r="AS77" s="191">
        <f t="shared" si="15"/>
        <v>0</v>
      </c>
      <c r="AT77" s="191">
        <f t="shared" si="15"/>
        <v>0</v>
      </c>
      <c r="AU77" s="191">
        <f t="shared" si="15"/>
        <v>0</v>
      </c>
      <c r="AV77" s="191">
        <f t="shared" si="15"/>
        <v>0</v>
      </c>
      <c r="AW77" s="191">
        <f t="shared" si="15"/>
        <v>0</v>
      </c>
      <c r="AX77" s="191">
        <f t="shared" si="15"/>
        <v>0</v>
      </c>
      <c r="AY77" s="191">
        <f t="shared" si="15"/>
        <v>0</v>
      </c>
      <c r="AZ77" s="191">
        <f t="shared" si="15"/>
        <v>0</v>
      </c>
      <c r="BA77" s="191">
        <f t="shared" si="15"/>
        <v>0</v>
      </c>
      <c r="BB77" s="191">
        <f t="shared" si="15"/>
        <v>0</v>
      </c>
      <c r="BC77" s="191">
        <f t="shared" si="15"/>
        <v>0</v>
      </c>
      <c r="BD77" s="191">
        <f t="shared" si="15"/>
        <v>0</v>
      </c>
      <c r="BE77" s="191">
        <f t="shared" si="15"/>
        <v>0</v>
      </c>
      <c r="BF77" s="191">
        <f t="shared" si="15"/>
        <v>0</v>
      </c>
      <c r="BG77" s="191">
        <f t="shared" si="15"/>
        <v>0</v>
      </c>
      <c r="BH77" s="191">
        <f t="shared" si="15"/>
        <v>0</v>
      </c>
      <c r="BI77" s="175">
        <f>NPV($D$49,F77:BH77)</f>
        <v>1160611.6112966088</v>
      </c>
      <c r="BJ77" s="121"/>
      <c r="BK77" s="121"/>
      <c r="BL77" s="121"/>
      <c r="BM77" s="121"/>
      <c r="BN77" s="121"/>
      <c r="BO77" s="121"/>
    </row>
    <row r="78" spans="2:67" s="192" customFormat="1" ht="12.75">
      <c r="B78" s="193"/>
      <c r="C78" s="182"/>
      <c r="D78" s="184" t="s">
        <v>1165</v>
      </c>
      <c r="E78" s="184" t="s">
        <v>264</v>
      </c>
      <c r="F78" s="197">
        <f>SUM(F75:F77)-F75</f>
        <v>0</v>
      </c>
      <c r="G78" s="197">
        <f>SUM(G75:G77)-G75</f>
        <v>0</v>
      </c>
      <c r="H78" s="197">
        <f t="shared" ref="H78:AM78" si="16">SUM(H75:H77)-H75</f>
        <v>142371.75395680635</v>
      </c>
      <c r="I78" s="197">
        <f t="shared" si="16"/>
        <v>146750.27909952306</v>
      </c>
      <c r="J78" s="197">
        <f t="shared" si="16"/>
        <v>147046.08023471851</v>
      </c>
      <c r="K78" s="197">
        <f t="shared" si="16"/>
        <v>148548.59433781003</v>
      </c>
      <c r="L78" s="197">
        <f t="shared" si="16"/>
        <v>150073.30091446175</v>
      </c>
      <c r="M78" s="197">
        <f t="shared" si="16"/>
        <v>152174.24351544684</v>
      </c>
      <c r="N78" s="197">
        <f t="shared" si="16"/>
        <v>154458.64277628282</v>
      </c>
      <c r="O78" s="197">
        <f t="shared" si="16"/>
        <v>156858.53070193325</v>
      </c>
      <c r="P78" s="197">
        <f t="shared" si="16"/>
        <v>159344.35335625586</v>
      </c>
      <c r="Q78" s="197">
        <f t="shared" si="16"/>
        <v>161876.86490577285</v>
      </c>
      <c r="R78" s="197">
        <f t="shared" si="16"/>
        <v>164615.81377311947</v>
      </c>
      <c r="S78" s="197">
        <f t="shared" si="16"/>
        <v>167463.95638357135</v>
      </c>
      <c r="T78" s="197">
        <f t="shared" si="16"/>
        <v>170426.07542308461</v>
      </c>
      <c r="U78" s="197">
        <f t="shared" si="16"/>
        <v>173507.16569209186</v>
      </c>
      <c r="V78" s="197">
        <f t="shared" si="16"/>
        <v>176712.44755097496</v>
      </c>
      <c r="W78" s="197">
        <f t="shared" si="16"/>
        <v>180047.40463074044</v>
      </c>
      <c r="X78" s="197">
        <f t="shared" si="16"/>
        <v>183517.75609566545</v>
      </c>
      <c r="Y78" s="197">
        <f t="shared" si="16"/>
        <v>187124.47153373208</v>
      </c>
      <c r="Z78" s="197">
        <f t="shared" si="16"/>
        <v>190722.66946410033</v>
      </c>
      <c r="AA78" s="197">
        <f t="shared" si="16"/>
        <v>194568.98476203409</v>
      </c>
      <c r="AB78" s="197">
        <f t="shared" si="16"/>
        <v>198584.85955960312</v>
      </c>
      <c r="AC78" s="197">
        <f t="shared" si="16"/>
        <v>0</v>
      </c>
      <c r="AD78" s="197">
        <f t="shared" si="16"/>
        <v>0</v>
      </c>
      <c r="AE78" s="197">
        <f t="shared" si="16"/>
        <v>0</v>
      </c>
      <c r="AF78" s="197">
        <f t="shared" si="16"/>
        <v>0</v>
      </c>
      <c r="AG78" s="197">
        <f t="shared" si="16"/>
        <v>0</v>
      </c>
      <c r="AH78" s="197">
        <f t="shared" si="16"/>
        <v>0</v>
      </c>
      <c r="AI78" s="197">
        <f t="shared" si="16"/>
        <v>0</v>
      </c>
      <c r="AJ78" s="197">
        <f t="shared" si="16"/>
        <v>0</v>
      </c>
      <c r="AK78" s="197">
        <f t="shared" si="16"/>
        <v>0</v>
      </c>
      <c r="AL78" s="197">
        <f t="shared" si="16"/>
        <v>0</v>
      </c>
      <c r="AM78" s="197">
        <f t="shared" si="16"/>
        <v>0</v>
      </c>
      <c r="AN78" s="197">
        <f t="shared" ref="AN78:BH78" si="17">SUM(AN75:AN77)-AN75</f>
        <v>0</v>
      </c>
      <c r="AO78" s="197">
        <f t="shared" si="17"/>
        <v>0</v>
      </c>
      <c r="AP78" s="197">
        <f t="shared" si="17"/>
        <v>0</v>
      </c>
      <c r="AQ78" s="197">
        <f t="shared" si="17"/>
        <v>0</v>
      </c>
      <c r="AR78" s="197">
        <f t="shared" si="17"/>
        <v>0</v>
      </c>
      <c r="AS78" s="197">
        <f t="shared" si="17"/>
        <v>0</v>
      </c>
      <c r="AT78" s="197">
        <f t="shared" si="17"/>
        <v>0</v>
      </c>
      <c r="AU78" s="197">
        <f t="shared" si="17"/>
        <v>0</v>
      </c>
      <c r="AV78" s="197">
        <f t="shared" si="17"/>
        <v>0</v>
      </c>
      <c r="AW78" s="197">
        <f t="shared" si="17"/>
        <v>0</v>
      </c>
      <c r="AX78" s="197">
        <f t="shared" si="17"/>
        <v>0</v>
      </c>
      <c r="AY78" s="197">
        <f t="shared" si="17"/>
        <v>0</v>
      </c>
      <c r="AZ78" s="197">
        <f t="shared" si="17"/>
        <v>0</v>
      </c>
      <c r="BA78" s="197">
        <f t="shared" si="17"/>
        <v>0</v>
      </c>
      <c r="BB78" s="197">
        <f t="shared" si="17"/>
        <v>0</v>
      </c>
      <c r="BC78" s="197">
        <f t="shared" si="17"/>
        <v>0</v>
      </c>
      <c r="BD78" s="197">
        <f t="shared" si="17"/>
        <v>0</v>
      </c>
      <c r="BE78" s="197">
        <f t="shared" si="17"/>
        <v>0</v>
      </c>
      <c r="BF78" s="197">
        <f t="shared" si="17"/>
        <v>0</v>
      </c>
      <c r="BG78" s="197">
        <f t="shared" si="17"/>
        <v>0</v>
      </c>
      <c r="BH78" s="197">
        <f t="shared" si="17"/>
        <v>0</v>
      </c>
      <c r="BI78" s="175">
        <f>NPV($D$49,F78:BH78)</f>
        <v>2383773.2163708908</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70"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70" ht="12.75">
      <c r="C82" s="168" t="s">
        <v>340</v>
      </c>
      <c r="D82" s="198"/>
      <c r="E82" s="170" t="s">
        <v>263</v>
      </c>
      <c r="F82" s="199">
        <v>2014</v>
      </c>
      <c r="G82" s="199">
        <f t="shared" ref="G82:BH82" si="18">F82+1</f>
        <v>2015</v>
      </c>
      <c r="H82" s="199">
        <f t="shared" si="18"/>
        <v>2016</v>
      </c>
      <c r="I82" s="199">
        <f t="shared" si="18"/>
        <v>2017</v>
      </c>
      <c r="J82" s="199">
        <f t="shared" si="18"/>
        <v>2018</v>
      </c>
      <c r="K82" s="199">
        <f t="shared" si="18"/>
        <v>2019</v>
      </c>
      <c r="L82" s="199">
        <f t="shared" si="18"/>
        <v>2020</v>
      </c>
      <c r="M82" s="199">
        <f t="shared" si="18"/>
        <v>2021</v>
      </c>
      <c r="N82" s="199">
        <f>M82+1</f>
        <v>2022</v>
      </c>
      <c r="O82" s="199">
        <f t="shared" si="18"/>
        <v>2023</v>
      </c>
      <c r="P82" s="199">
        <f t="shared" si="18"/>
        <v>2024</v>
      </c>
      <c r="Q82" s="199">
        <f>P82+1</f>
        <v>2025</v>
      </c>
      <c r="R82" s="199">
        <f t="shared" si="18"/>
        <v>2026</v>
      </c>
      <c r="S82" s="691">
        <f>R82+1</f>
        <v>2027</v>
      </c>
      <c r="T82" s="691">
        <f t="shared" si="18"/>
        <v>2028</v>
      </c>
      <c r="U82" s="691">
        <f t="shared" si="18"/>
        <v>2029</v>
      </c>
      <c r="V82" s="691">
        <f t="shared" si="18"/>
        <v>2030</v>
      </c>
      <c r="W82" s="691">
        <f t="shared" si="18"/>
        <v>2031</v>
      </c>
      <c r="X82" s="691">
        <f t="shared" si="18"/>
        <v>2032</v>
      </c>
      <c r="Y82" s="691">
        <f t="shared" si="18"/>
        <v>2033</v>
      </c>
      <c r="Z82" s="691">
        <f t="shared" si="18"/>
        <v>2034</v>
      </c>
      <c r="AA82" s="691">
        <f t="shared" si="18"/>
        <v>2035</v>
      </c>
      <c r="AB82" s="691">
        <f t="shared" si="18"/>
        <v>2036</v>
      </c>
      <c r="AC82" s="691">
        <f t="shared" si="18"/>
        <v>2037</v>
      </c>
      <c r="AD82" s="691">
        <f t="shared" si="18"/>
        <v>2038</v>
      </c>
      <c r="AE82" s="691">
        <f t="shared" si="18"/>
        <v>2039</v>
      </c>
      <c r="AF82" s="691">
        <f t="shared" si="18"/>
        <v>2040</v>
      </c>
      <c r="AG82" s="691">
        <f t="shared" si="18"/>
        <v>2041</v>
      </c>
      <c r="AH82" s="691">
        <f t="shared" si="18"/>
        <v>2042</v>
      </c>
      <c r="AI82" s="691">
        <f t="shared" si="18"/>
        <v>2043</v>
      </c>
      <c r="AJ82" s="691">
        <f t="shared" si="18"/>
        <v>2044</v>
      </c>
      <c r="AK82" s="691">
        <f t="shared" si="18"/>
        <v>2045</v>
      </c>
      <c r="AL82" s="691">
        <f t="shared" si="18"/>
        <v>2046</v>
      </c>
      <c r="AM82" s="691">
        <f t="shared" si="18"/>
        <v>2047</v>
      </c>
      <c r="AN82" s="691">
        <f t="shared" si="18"/>
        <v>2048</v>
      </c>
      <c r="AO82" s="691">
        <f t="shared" si="18"/>
        <v>2049</v>
      </c>
      <c r="AP82" s="691">
        <f t="shared" si="18"/>
        <v>2050</v>
      </c>
      <c r="AQ82" s="691">
        <f t="shared" si="18"/>
        <v>2051</v>
      </c>
      <c r="AR82" s="691">
        <f t="shared" si="18"/>
        <v>2052</v>
      </c>
      <c r="AS82" s="691">
        <f t="shared" si="18"/>
        <v>2053</v>
      </c>
      <c r="AT82" s="691">
        <f t="shared" si="18"/>
        <v>2054</v>
      </c>
      <c r="AU82" s="691">
        <f t="shared" si="18"/>
        <v>2055</v>
      </c>
      <c r="AV82" s="691">
        <f t="shared" si="18"/>
        <v>2056</v>
      </c>
      <c r="AW82" s="691">
        <f t="shared" si="18"/>
        <v>2057</v>
      </c>
      <c r="AX82" s="691">
        <f t="shared" si="18"/>
        <v>2058</v>
      </c>
      <c r="AY82" s="691">
        <f t="shared" si="18"/>
        <v>2059</v>
      </c>
      <c r="AZ82" s="691">
        <f t="shared" si="18"/>
        <v>2060</v>
      </c>
      <c r="BA82" s="691">
        <f t="shared" si="18"/>
        <v>2061</v>
      </c>
      <c r="BB82" s="691">
        <f t="shared" si="18"/>
        <v>2062</v>
      </c>
      <c r="BC82" s="691">
        <f t="shared" si="18"/>
        <v>2063</v>
      </c>
      <c r="BD82" s="691">
        <f t="shared" si="18"/>
        <v>2064</v>
      </c>
      <c r="BE82" s="691">
        <f t="shared" si="18"/>
        <v>2065</v>
      </c>
      <c r="BF82" s="691">
        <f t="shared" si="18"/>
        <v>2066</v>
      </c>
      <c r="BG82" s="691">
        <f t="shared" si="18"/>
        <v>2067</v>
      </c>
      <c r="BH82" s="691">
        <f t="shared" si="18"/>
        <v>2068</v>
      </c>
      <c r="BI82" s="697" t="s">
        <v>4</v>
      </c>
      <c r="BJ82" s="121"/>
      <c r="BK82" s="121"/>
      <c r="BL82" s="121"/>
      <c r="BM82" s="121"/>
      <c r="BN82" s="121"/>
      <c r="BO82" s="121"/>
    </row>
    <row r="83" spans="2:70" ht="12.75">
      <c r="C83" s="2005" t="s">
        <v>284</v>
      </c>
      <c r="D83" s="2007"/>
      <c r="E83" s="2007"/>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70" ht="12.75">
      <c r="C84" s="201"/>
      <c r="D84" s="121" t="s">
        <v>616</v>
      </c>
      <c r="E84" s="121" t="str">
        <f>IF(C7="Railbelt South of Alaska Range", "mmBtu per year", "gallons displaced per year")</f>
        <v>gallons displaced per year</v>
      </c>
      <c r="F84" s="196">
        <f t="shared" ref="F84:AA84" si="19">$P$24</f>
        <v>0</v>
      </c>
      <c r="G84" s="196">
        <f t="shared" si="19"/>
        <v>0</v>
      </c>
      <c r="H84" s="196">
        <f t="shared" si="19"/>
        <v>0</v>
      </c>
      <c r="I84" s="196">
        <f t="shared" si="19"/>
        <v>0</v>
      </c>
      <c r="J84" s="196">
        <f t="shared" si="19"/>
        <v>0</v>
      </c>
      <c r="K84" s="196">
        <f t="shared" si="19"/>
        <v>0</v>
      </c>
      <c r="L84" s="196">
        <f t="shared" si="19"/>
        <v>0</v>
      </c>
      <c r="M84" s="196">
        <f t="shared" si="19"/>
        <v>0</v>
      </c>
      <c r="N84" s="196">
        <f t="shared" si="19"/>
        <v>0</v>
      </c>
      <c r="O84" s="196">
        <f t="shared" si="19"/>
        <v>0</v>
      </c>
      <c r="P84" s="196">
        <f t="shared" si="19"/>
        <v>0</v>
      </c>
      <c r="Q84" s="196">
        <f t="shared" si="19"/>
        <v>0</v>
      </c>
      <c r="R84" s="196">
        <f t="shared" si="19"/>
        <v>0</v>
      </c>
      <c r="S84" s="196">
        <f t="shared" si="19"/>
        <v>0</v>
      </c>
      <c r="T84" s="196">
        <f t="shared" si="19"/>
        <v>0</v>
      </c>
      <c r="U84" s="196">
        <f t="shared" si="19"/>
        <v>0</v>
      </c>
      <c r="V84" s="196">
        <f t="shared" si="19"/>
        <v>0</v>
      </c>
      <c r="W84" s="196">
        <f t="shared" si="19"/>
        <v>0</v>
      </c>
      <c r="X84" s="196">
        <f t="shared" si="19"/>
        <v>0</v>
      </c>
      <c r="Y84" s="196">
        <f t="shared" si="19"/>
        <v>0</v>
      </c>
      <c r="Z84" s="196">
        <f t="shared" si="19"/>
        <v>0</v>
      </c>
      <c r="AA84" s="196">
        <f t="shared" si="19"/>
        <v>0</v>
      </c>
      <c r="AB84" s="196" t="e">
        <f>IF(AND(AB65+1&gt;#REF!,AB65&lt;#REF!+#REF!),#REF!,0)</f>
        <v>#REF!</v>
      </c>
      <c r="AC84" s="196" t="e">
        <f>IF(AND(AC65+1&gt;#REF!,AC65&lt;#REF!+#REF!),#REF!,0)</f>
        <v>#REF!</v>
      </c>
      <c r="AD84" s="196" t="e">
        <f>IF(AND(AD65+1&gt;#REF!,AD65&lt;#REF!+#REF!),#REF!,0)</f>
        <v>#REF!</v>
      </c>
      <c r="AE84" s="196" t="e">
        <f>IF(AND(AE65+1&gt;#REF!,AE65&lt;#REF!+#REF!),#REF!,0)</f>
        <v>#REF!</v>
      </c>
      <c r="AF84" s="196" t="e">
        <f>IF(AND(AF65+1&gt;#REF!,AF65&lt;#REF!+#REF!),#REF!,0)</f>
        <v>#REF!</v>
      </c>
      <c r="AG84" s="196" t="e">
        <f>IF(AND(AG65+1&gt;#REF!,AG65&lt;#REF!+#REF!),#REF!,0)</f>
        <v>#REF!</v>
      </c>
      <c r="AH84" s="196" t="e">
        <f>IF(AND(AH65+1&gt;#REF!,AH65&lt;#REF!+#REF!),#REF!,0)</f>
        <v>#REF!</v>
      </c>
      <c r="AI84" s="196" t="e">
        <f>IF(AND(AI65+1&gt;#REF!,AI65&lt;#REF!+#REF!),#REF!,0)</f>
        <v>#REF!</v>
      </c>
      <c r="AJ84" s="196" t="e">
        <f>IF(AND(AJ65+1&gt;#REF!,AJ65&lt;#REF!+#REF!),#REF!,0)</f>
        <v>#REF!</v>
      </c>
      <c r="AK84" s="196" t="e">
        <f>IF(AND(AK65+1&gt;#REF!,AK65&lt;#REF!+#REF!),#REF!,0)</f>
        <v>#REF!</v>
      </c>
      <c r="AL84" s="196" t="e">
        <f>IF(AND(AL65+1&gt;#REF!,AL65&lt;#REF!+#REF!),#REF!,0)</f>
        <v>#REF!</v>
      </c>
      <c r="AM84" s="196" t="e">
        <f>IF(AND(AM65+1&gt;#REF!,AM65&lt;#REF!+#REF!),#REF!,0)</f>
        <v>#REF!</v>
      </c>
      <c r="AN84" s="196" t="e">
        <f>IF(AND(AN65+1&gt;#REF!,AN65&lt;#REF!+#REF!),#REF!,0)</f>
        <v>#REF!</v>
      </c>
      <c r="AO84" s="196" t="e">
        <f>IF(AND(AO65+1&gt;#REF!,AO65&lt;#REF!+#REF!),#REF!,0)</f>
        <v>#REF!</v>
      </c>
      <c r="AP84" s="196" t="e">
        <f>IF(AND(AP65+1&gt;#REF!,AP65&lt;#REF!+#REF!),#REF!,0)</f>
        <v>#REF!</v>
      </c>
      <c r="AQ84" s="196" t="e">
        <f>IF(AND(AQ65+1&gt;#REF!,AQ65&lt;#REF!+#REF!),#REF!,0)</f>
        <v>#REF!</v>
      </c>
      <c r="AR84" s="196" t="e">
        <f>IF(AND(AR65+1&gt;#REF!,AR65&lt;#REF!+#REF!),#REF!,0)</f>
        <v>#REF!</v>
      </c>
      <c r="AS84" s="196" t="e">
        <f>IF(AND(AS65+1&gt;#REF!,AS65&lt;#REF!+#REF!),#REF!,0)</f>
        <v>#REF!</v>
      </c>
      <c r="AT84" s="196" t="e">
        <f>IF(AND(AT65+1&gt;#REF!,AT65&lt;#REF!+#REF!),#REF!,0)</f>
        <v>#REF!</v>
      </c>
      <c r="AU84" s="196" t="e">
        <f>IF(AND(AU65+1&gt;#REF!,AU65&lt;#REF!+#REF!),#REF!,0)</f>
        <v>#REF!</v>
      </c>
      <c r="AV84" s="196" t="e">
        <f>IF(AND(AV65+1&gt;#REF!,AV65&lt;#REF!+#REF!),#REF!,0)</f>
        <v>#REF!</v>
      </c>
      <c r="AW84" s="196" t="e">
        <f>IF(AND(AW65+1&gt;#REF!,AW65&lt;#REF!+#REF!),#REF!,0)</f>
        <v>#REF!</v>
      </c>
      <c r="AX84" s="196" t="e">
        <f>IF(AND(AX65+1&gt;#REF!,AX65&lt;#REF!+#REF!),#REF!,0)</f>
        <v>#REF!</v>
      </c>
      <c r="AY84" s="196" t="e">
        <f>IF(AND(AY65+1&gt;#REF!,AY65&lt;#REF!+#REF!),#REF!,0)</f>
        <v>#REF!</v>
      </c>
      <c r="AZ84" s="196" t="e">
        <f>IF(AND(AZ65+1&gt;#REF!,AZ65&lt;#REF!+#REF!),#REF!,0)</f>
        <v>#REF!</v>
      </c>
      <c r="BA84" s="196" t="e">
        <f>IF(AND(BA65+1&gt;#REF!,BA65&lt;#REF!+#REF!),#REF!,0)</f>
        <v>#REF!</v>
      </c>
      <c r="BB84" s="196" t="e">
        <f>IF(AND(BB65+1&gt;#REF!,BB65&lt;#REF!+#REF!),#REF!,0)</f>
        <v>#REF!</v>
      </c>
      <c r="BC84" s="196" t="e">
        <f>IF(AND(BC65+1&gt;#REF!,BC65&lt;#REF!+#REF!),#REF!,0)</f>
        <v>#REF!</v>
      </c>
      <c r="BD84" s="196" t="e">
        <f>IF(AND(BD65+1&gt;#REF!,BD65&lt;#REF!+#REF!),#REF!,0)</f>
        <v>#REF!</v>
      </c>
      <c r="BE84" s="196" t="e">
        <f>IF(AND(BE65+1&gt;#REF!,BE65&lt;#REF!+#REF!),#REF!,0)</f>
        <v>#REF!</v>
      </c>
      <c r="BF84" s="196" t="e">
        <f>IF(AND(BF65+1&gt;#REF!,BF65&lt;#REF!+#REF!),#REF!,0)</f>
        <v>#REF!</v>
      </c>
      <c r="BG84" s="196" t="e">
        <f>IF(AND(BG65+1&gt;#REF!,BG65&lt;#REF!+#REF!),#REF!,0)</f>
        <v>#REF!</v>
      </c>
      <c r="BH84" s="196" t="e">
        <f>IF(AND(BH65+1&gt;#REF!,BH65&lt;#REF!+#REF!),#REF!,0)</f>
        <v>#REF!</v>
      </c>
      <c r="BI84" s="175"/>
      <c r="BJ84" s="121"/>
      <c r="BK84" s="121"/>
      <c r="BL84" s="121"/>
      <c r="BM84" s="121"/>
      <c r="BN84" s="121"/>
      <c r="BO84" s="121"/>
    </row>
    <row r="85" spans="2:70" ht="12.75">
      <c r="C85" s="201" t="s">
        <v>277</v>
      </c>
      <c r="D85" s="121" t="s">
        <v>568</v>
      </c>
      <c r="E85" s="121" t="s">
        <v>264</v>
      </c>
      <c r="F85" s="176">
        <v>0</v>
      </c>
      <c r="G85" s="176"/>
      <c r="H85" s="176"/>
      <c r="I85" s="176"/>
      <c r="J85" s="176"/>
      <c r="K85" s="176"/>
      <c r="L85" s="176"/>
      <c r="M85" s="176"/>
      <c r="N85" s="176"/>
      <c r="O85" s="176"/>
      <c r="P85" s="176"/>
      <c r="Q85" s="176"/>
      <c r="R85" s="176"/>
      <c r="S85" s="176"/>
      <c r="T85" s="176"/>
      <c r="U85" s="176"/>
      <c r="V85" s="176"/>
      <c r="W85" s="176"/>
      <c r="X85" s="176"/>
      <c r="Y85" s="176"/>
      <c r="Z85" s="176"/>
      <c r="AA85" s="176"/>
      <c r="AB85" s="176"/>
      <c r="AC85" s="176"/>
      <c r="AD85" s="176"/>
      <c r="AE85" s="176"/>
      <c r="AF85" s="176"/>
      <c r="AG85" s="176"/>
      <c r="AH85" s="176"/>
      <c r="AI85" s="176"/>
      <c r="AJ85" s="176"/>
      <c r="AK85" s="176"/>
      <c r="AL85" s="176"/>
      <c r="AM85" s="176"/>
      <c r="AN85" s="176"/>
      <c r="AO85" s="176"/>
      <c r="AP85" s="176"/>
      <c r="AQ85" s="176"/>
      <c r="AR85" s="176"/>
      <c r="AS85" s="176"/>
      <c r="AT85" s="176"/>
      <c r="AU85" s="176"/>
      <c r="AV85" s="176"/>
      <c r="AW85" s="176"/>
      <c r="AX85" s="176"/>
      <c r="AY85" s="176"/>
      <c r="AZ85" s="176"/>
      <c r="BA85" s="176"/>
      <c r="BB85" s="176"/>
      <c r="BC85" s="176"/>
      <c r="BD85" s="176"/>
      <c r="BE85" s="176"/>
      <c r="BF85" s="176"/>
      <c r="BG85" s="176"/>
      <c r="BH85" s="176"/>
      <c r="BI85" s="175">
        <f>NPV($D$49,F85:BH85)</f>
        <v>0</v>
      </c>
      <c r="BJ85" s="121"/>
      <c r="BK85" s="121"/>
      <c r="BL85" s="121"/>
      <c r="BM85" s="121"/>
      <c r="BN85" s="121"/>
      <c r="BO85" s="121"/>
    </row>
    <row r="86" spans="2:70" ht="12.75">
      <c r="C86" s="201" t="s">
        <v>277</v>
      </c>
      <c r="D86" s="121" t="s">
        <v>567</v>
      </c>
      <c r="E86" s="121" t="s">
        <v>264</v>
      </c>
      <c r="F86" s="176">
        <v>0</v>
      </c>
      <c r="G86" s="176"/>
      <c r="H86" s="176"/>
      <c r="I86" s="176"/>
      <c r="J86" s="176"/>
      <c r="K86" s="176"/>
      <c r="L86" s="176"/>
      <c r="M86" s="176"/>
      <c r="N86" s="176"/>
      <c r="O86" s="176"/>
      <c r="P86" s="176"/>
      <c r="Q86" s="176"/>
      <c r="R86" s="176"/>
      <c r="S86" s="176"/>
      <c r="T86" s="176"/>
      <c r="U86" s="176"/>
      <c r="V86" s="176"/>
      <c r="W86" s="176"/>
      <c r="X86" s="176"/>
      <c r="Y86" s="176"/>
      <c r="Z86" s="176"/>
      <c r="AA86" s="176"/>
      <c r="AB86" s="176"/>
      <c r="AC86" s="176"/>
      <c r="AD86" s="176"/>
      <c r="AE86" s="176"/>
      <c r="AF86" s="176"/>
      <c r="AG86" s="176"/>
      <c r="AH86" s="176"/>
      <c r="AI86" s="176"/>
      <c r="AJ86" s="176"/>
      <c r="AK86" s="176"/>
      <c r="AL86" s="176"/>
      <c r="AM86" s="176"/>
      <c r="AN86" s="176"/>
      <c r="AO86" s="176"/>
      <c r="AP86" s="176"/>
      <c r="AQ86" s="176"/>
      <c r="AR86" s="176"/>
      <c r="AS86" s="176"/>
      <c r="AT86" s="176"/>
      <c r="AU86" s="176"/>
      <c r="AV86" s="176"/>
      <c r="AW86" s="176"/>
      <c r="AX86" s="176"/>
      <c r="AY86" s="176"/>
      <c r="AZ86" s="176"/>
      <c r="BA86" s="176"/>
      <c r="BB86" s="176"/>
      <c r="BC86" s="176"/>
      <c r="BD86" s="176"/>
      <c r="BE86" s="176"/>
      <c r="BF86" s="176"/>
      <c r="BG86" s="176"/>
      <c r="BH86" s="176"/>
      <c r="BI86" s="175">
        <f>NPV($D$49,F86:BH86)</f>
        <v>0</v>
      </c>
      <c r="BJ86" s="121"/>
      <c r="BK86" s="121"/>
      <c r="BL86" s="121"/>
      <c r="BM86" s="121"/>
      <c r="BN86" s="121"/>
      <c r="BO86" s="121"/>
    </row>
    <row r="87" spans="2:70" s="192" customFormat="1" ht="12.75">
      <c r="B87" s="193"/>
      <c r="C87" s="190"/>
      <c r="D87" s="180" t="s">
        <v>373</v>
      </c>
      <c r="E87" s="180" t="s">
        <v>264</v>
      </c>
      <c r="F87" s="194">
        <f t="shared" ref="F87:BH87" si="20">F85+F86</f>
        <v>0</v>
      </c>
      <c r="G87" s="194">
        <f t="shared" si="20"/>
        <v>0</v>
      </c>
      <c r="H87" s="194">
        <f t="shared" si="20"/>
        <v>0</v>
      </c>
      <c r="I87" s="194">
        <f t="shared" si="20"/>
        <v>0</v>
      </c>
      <c r="J87" s="194">
        <f t="shared" si="20"/>
        <v>0</v>
      </c>
      <c r="K87" s="194">
        <f t="shared" si="20"/>
        <v>0</v>
      </c>
      <c r="L87" s="194">
        <f t="shared" si="20"/>
        <v>0</v>
      </c>
      <c r="M87" s="194">
        <f t="shared" si="20"/>
        <v>0</v>
      </c>
      <c r="N87" s="194">
        <f t="shared" si="20"/>
        <v>0</v>
      </c>
      <c r="O87" s="194">
        <f t="shared" si="20"/>
        <v>0</v>
      </c>
      <c r="P87" s="194">
        <f t="shared" si="20"/>
        <v>0</v>
      </c>
      <c r="Q87" s="194">
        <f t="shared" si="20"/>
        <v>0</v>
      </c>
      <c r="R87" s="194">
        <f t="shared" si="20"/>
        <v>0</v>
      </c>
      <c r="S87" s="194">
        <f t="shared" si="20"/>
        <v>0</v>
      </c>
      <c r="T87" s="194">
        <f t="shared" si="20"/>
        <v>0</v>
      </c>
      <c r="U87" s="194">
        <f t="shared" si="20"/>
        <v>0</v>
      </c>
      <c r="V87" s="194">
        <f t="shared" si="20"/>
        <v>0</v>
      </c>
      <c r="W87" s="194">
        <f t="shared" si="20"/>
        <v>0</v>
      </c>
      <c r="X87" s="194">
        <f t="shared" si="20"/>
        <v>0</v>
      </c>
      <c r="Y87" s="194">
        <f t="shared" si="20"/>
        <v>0</v>
      </c>
      <c r="Z87" s="194">
        <f t="shared" si="20"/>
        <v>0</v>
      </c>
      <c r="AA87" s="194">
        <f t="shared" si="20"/>
        <v>0</v>
      </c>
      <c r="AB87" s="194">
        <f t="shared" si="20"/>
        <v>0</v>
      </c>
      <c r="AC87" s="194">
        <f t="shared" si="20"/>
        <v>0</v>
      </c>
      <c r="AD87" s="194">
        <f t="shared" si="20"/>
        <v>0</v>
      </c>
      <c r="AE87" s="194">
        <f t="shared" si="20"/>
        <v>0</v>
      </c>
      <c r="AF87" s="194">
        <f t="shared" si="20"/>
        <v>0</v>
      </c>
      <c r="AG87" s="194">
        <f t="shared" si="20"/>
        <v>0</v>
      </c>
      <c r="AH87" s="194">
        <f t="shared" si="20"/>
        <v>0</v>
      </c>
      <c r="AI87" s="194">
        <f t="shared" si="20"/>
        <v>0</v>
      </c>
      <c r="AJ87" s="194">
        <f t="shared" si="20"/>
        <v>0</v>
      </c>
      <c r="AK87" s="194">
        <f t="shared" si="20"/>
        <v>0</v>
      </c>
      <c r="AL87" s="194">
        <f t="shared" si="20"/>
        <v>0</v>
      </c>
      <c r="AM87" s="194">
        <f t="shared" si="20"/>
        <v>0</v>
      </c>
      <c r="AN87" s="194">
        <f t="shared" si="20"/>
        <v>0</v>
      </c>
      <c r="AO87" s="194">
        <f t="shared" si="20"/>
        <v>0</v>
      </c>
      <c r="AP87" s="194">
        <f t="shared" si="20"/>
        <v>0</v>
      </c>
      <c r="AQ87" s="194">
        <f t="shared" si="20"/>
        <v>0</v>
      </c>
      <c r="AR87" s="194">
        <f t="shared" si="20"/>
        <v>0</v>
      </c>
      <c r="AS87" s="194">
        <f t="shared" si="20"/>
        <v>0</v>
      </c>
      <c r="AT87" s="194">
        <f t="shared" si="20"/>
        <v>0</v>
      </c>
      <c r="AU87" s="194">
        <f t="shared" si="20"/>
        <v>0</v>
      </c>
      <c r="AV87" s="194">
        <f t="shared" si="20"/>
        <v>0</v>
      </c>
      <c r="AW87" s="194">
        <f t="shared" si="20"/>
        <v>0</v>
      </c>
      <c r="AX87" s="194">
        <f t="shared" si="20"/>
        <v>0</v>
      </c>
      <c r="AY87" s="194">
        <f t="shared" si="20"/>
        <v>0</v>
      </c>
      <c r="AZ87" s="194">
        <f t="shared" si="20"/>
        <v>0</v>
      </c>
      <c r="BA87" s="194">
        <f t="shared" si="20"/>
        <v>0</v>
      </c>
      <c r="BB87" s="194">
        <f t="shared" si="20"/>
        <v>0</v>
      </c>
      <c r="BC87" s="194">
        <f t="shared" si="20"/>
        <v>0</v>
      </c>
      <c r="BD87" s="194">
        <f t="shared" si="20"/>
        <v>0</v>
      </c>
      <c r="BE87" s="194">
        <f t="shared" si="20"/>
        <v>0</v>
      </c>
      <c r="BF87" s="194">
        <f t="shared" si="20"/>
        <v>0</v>
      </c>
      <c r="BG87" s="194">
        <f t="shared" si="20"/>
        <v>0</v>
      </c>
      <c r="BH87" s="194">
        <f t="shared" si="20"/>
        <v>0</v>
      </c>
      <c r="BI87" s="175">
        <f>NPV($D$49,F87:BH87)</f>
        <v>0</v>
      </c>
      <c r="BJ87" s="180"/>
      <c r="BK87" s="180"/>
      <c r="BL87" s="180"/>
      <c r="BM87" s="180"/>
      <c r="BN87" s="180"/>
      <c r="BO87" s="180"/>
    </row>
    <row r="88" spans="2:70" ht="12.75">
      <c r="C88" s="190"/>
      <c r="D88" s="121"/>
      <c r="E88" s="121"/>
      <c r="F88" s="195"/>
      <c r="G88" s="195"/>
      <c r="H88" s="195"/>
      <c r="I88" s="195"/>
      <c r="J88" s="195"/>
      <c r="K88" s="195"/>
      <c r="L88" s="195"/>
      <c r="M88" s="195"/>
      <c r="N88" s="195"/>
      <c r="O88" s="195"/>
      <c r="P88" s="195"/>
      <c r="Q88" s="195"/>
      <c r="R88" s="195"/>
      <c r="S88" s="195"/>
      <c r="T88" s="195"/>
      <c r="U88" s="195"/>
      <c r="V88" s="195"/>
      <c r="W88" s="195"/>
      <c r="X88" s="195"/>
      <c r="Y88" s="195"/>
      <c r="Z88" s="195"/>
      <c r="AA88" s="195"/>
      <c r="AB88" s="195"/>
      <c r="AC88" s="195"/>
      <c r="AD88" s="195"/>
      <c r="AE88" s="195"/>
      <c r="AF88" s="195"/>
      <c r="AG88" s="195"/>
      <c r="AH88" s="195"/>
      <c r="AI88" s="195"/>
      <c r="AJ88" s="195"/>
      <c r="AK88" s="195"/>
      <c r="AL88" s="195"/>
      <c r="AM88" s="195"/>
      <c r="AN88" s="195"/>
      <c r="AO88" s="195"/>
      <c r="AP88" s="195"/>
      <c r="AQ88" s="195"/>
      <c r="AR88" s="195"/>
      <c r="AS88" s="195"/>
      <c r="AT88" s="195"/>
      <c r="AU88" s="195"/>
      <c r="AV88" s="195"/>
      <c r="AW88" s="195"/>
      <c r="AX88" s="195"/>
      <c r="AY88" s="195"/>
      <c r="AZ88" s="195"/>
      <c r="BA88" s="195"/>
      <c r="BB88" s="195"/>
      <c r="BC88" s="195"/>
      <c r="BD88" s="195"/>
      <c r="BE88" s="195"/>
      <c r="BF88" s="195"/>
      <c r="BG88" s="195"/>
      <c r="BH88" s="195"/>
      <c r="BI88" s="175"/>
      <c r="BJ88" s="121"/>
      <c r="BK88" s="121"/>
      <c r="BL88" s="121"/>
      <c r="BM88" s="121"/>
      <c r="BN88" s="121"/>
      <c r="BO88" s="121"/>
    </row>
    <row r="89" spans="2:70" ht="12.75">
      <c r="C89" s="2005" t="s">
        <v>285</v>
      </c>
      <c r="D89" s="2007"/>
      <c r="E89" s="2007"/>
      <c r="F89" s="121"/>
      <c r="G89" s="121"/>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200"/>
      <c r="BJ89" s="121"/>
      <c r="BK89" s="121"/>
      <c r="BL89" s="121"/>
      <c r="BM89" s="121"/>
      <c r="BN89" s="121"/>
      <c r="BO89" s="121"/>
    </row>
    <row r="90" spans="2:70" ht="12.75">
      <c r="C90" s="201"/>
      <c r="D90" s="121" t="s">
        <v>617</v>
      </c>
      <c r="E90" s="121" t="str">
        <f>IF(C7="railbelt south of Alaska Range","mmBtu per year","gallons per year")</f>
        <v>gallons per year</v>
      </c>
      <c r="F90" s="196">
        <f t="shared" ref="F90:AK90" si="21">IF(AND(F54&gt;=$D$31,F54&lt;=($D$31+$D$32)),-$P$12,0)</f>
        <v>0</v>
      </c>
      <c r="G90" s="196">
        <f t="shared" si="21"/>
        <v>0</v>
      </c>
      <c r="H90" s="196" t="e">
        <f t="shared" si="21"/>
        <v>#VALUE!</v>
      </c>
      <c r="I90" s="196" t="e">
        <f t="shared" si="21"/>
        <v>#VALUE!</v>
      </c>
      <c r="J90" s="196" t="e">
        <f t="shared" si="21"/>
        <v>#VALUE!</v>
      </c>
      <c r="K90" s="196" t="e">
        <f t="shared" si="21"/>
        <v>#VALUE!</v>
      </c>
      <c r="L90" s="196" t="e">
        <f t="shared" si="21"/>
        <v>#VALUE!</v>
      </c>
      <c r="M90" s="196" t="e">
        <f t="shared" si="21"/>
        <v>#VALUE!</v>
      </c>
      <c r="N90" s="196" t="e">
        <f t="shared" si="21"/>
        <v>#VALUE!</v>
      </c>
      <c r="O90" s="196" t="e">
        <f t="shared" si="21"/>
        <v>#VALUE!</v>
      </c>
      <c r="P90" s="196" t="e">
        <f t="shared" si="21"/>
        <v>#VALUE!</v>
      </c>
      <c r="Q90" s="196" t="e">
        <f t="shared" si="21"/>
        <v>#VALUE!</v>
      </c>
      <c r="R90" s="196" t="e">
        <f t="shared" si="21"/>
        <v>#VALUE!</v>
      </c>
      <c r="S90" s="196" t="e">
        <f t="shared" si="21"/>
        <v>#VALUE!</v>
      </c>
      <c r="T90" s="196" t="e">
        <f t="shared" si="21"/>
        <v>#VALUE!</v>
      </c>
      <c r="U90" s="196" t="e">
        <f t="shared" si="21"/>
        <v>#VALUE!</v>
      </c>
      <c r="V90" s="196" t="e">
        <f t="shared" si="21"/>
        <v>#VALUE!</v>
      </c>
      <c r="W90" s="196" t="e">
        <f t="shared" si="21"/>
        <v>#VALUE!</v>
      </c>
      <c r="X90" s="196" t="e">
        <f t="shared" si="21"/>
        <v>#VALUE!</v>
      </c>
      <c r="Y90" s="196" t="e">
        <f t="shared" si="21"/>
        <v>#VALUE!</v>
      </c>
      <c r="Z90" s="196" t="e">
        <f t="shared" si="21"/>
        <v>#VALUE!</v>
      </c>
      <c r="AA90" s="196" t="e">
        <f t="shared" si="21"/>
        <v>#VALUE!</v>
      </c>
      <c r="AB90" s="196" t="e">
        <f t="shared" si="21"/>
        <v>#VALUE!</v>
      </c>
      <c r="AC90" s="196">
        <f t="shared" si="21"/>
        <v>0</v>
      </c>
      <c r="AD90" s="196">
        <f t="shared" si="21"/>
        <v>0</v>
      </c>
      <c r="AE90" s="196">
        <f t="shared" si="21"/>
        <v>0</v>
      </c>
      <c r="AF90" s="196">
        <f t="shared" si="21"/>
        <v>0</v>
      </c>
      <c r="AG90" s="196">
        <f t="shared" si="21"/>
        <v>0</v>
      </c>
      <c r="AH90" s="196">
        <f t="shared" si="21"/>
        <v>0</v>
      </c>
      <c r="AI90" s="196">
        <f t="shared" si="21"/>
        <v>0</v>
      </c>
      <c r="AJ90" s="196">
        <f t="shared" si="21"/>
        <v>0</v>
      </c>
      <c r="AK90" s="196">
        <f t="shared" si="21"/>
        <v>0</v>
      </c>
      <c r="AL90" s="196">
        <f t="shared" ref="AL90:BH90" si="22">IF(AND(AL54&gt;=$D$31,AL54&lt;=($D$31+$D$32)),-$P$12,0)</f>
        <v>0</v>
      </c>
      <c r="AM90" s="196">
        <f t="shared" si="22"/>
        <v>0</v>
      </c>
      <c r="AN90" s="196">
        <f t="shared" si="22"/>
        <v>0</v>
      </c>
      <c r="AO90" s="196">
        <f t="shared" si="22"/>
        <v>0</v>
      </c>
      <c r="AP90" s="196">
        <f t="shared" si="22"/>
        <v>0</v>
      </c>
      <c r="AQ90" s="196">
        <f t="shared" si="22"/>
        <v>0</v>
      </c>
      <c r="AR90" s="196">
        <f t="shared" si="22"/>
        <v>0</v>
      </c>
      <c r="AS90" s="196">
        <f t="shared" si="22"/>
        <v>0</v>
      </c>
      <c r="AT90" s="196">
        <f t="shared" si="22"/>
        <v>0</v>
      </c>
      <c r="AU90" s="196">
        <f t="shared" si="22"/>
        <v>0</v>
      </c>
      <c r="AV90" s="196">
        <f t="shared" si="22"/>
        <v>0</v>
      </c>
      <c r="AW90" s="196">
        <f t="shared" si="22"/>
        <v>0</v>
      </c>
      <c r="AX90" s="196">
        <f t="shared" si="22"/>
        <v>0</v>
      </c>
      <c r="AY90" s="196">
        <f t="shared" si="22"/>
        <v>0</v>
      </c>
      <c r="AZ90" s="196">
        <f t="shared" si="22"/>
        <v>0</v>
      </c>
      <c r="BA90" s="196">
        <f t="shared" si="22"/>
        <v>0</v>
      </c>
      <c r="BB90" s="196">
        <f t="shared" si="22"/>
        <v>0</v>
      </c>
      <c r="BC90" s="196">
        <f t="shared" si="22"/>
        <v>0</v>
      </c>
      <c r="BD90" s="196">
        <f t="shared" si="22"/>
        <v>0</v>
      </c>
      <c r="BE90" s="196">
        <f t="shared" si="22"/>
        <v>0</v>
      </c>
      <c r="BF90" s="196">
        <f t="shared" si="22"/>
        <v>0</v>
      </c>
      <c r="BG90" s="196">
        <f t="shared" si="22"/>
        <v>0</v>
      </c>
      <c r="BH90" s="196">
        <f t="shared" si="22"/>
        <v>0</v>
      </c>
      <c r="BI90" s="175"/>
      <c r="BJ90" s="121"/>
      <c r="BK90" s="121"/>
      <c r="BL90" s="121"/>
      <c r="BM90" s="121"/>
      <c r="BN90" s="121"/>
      <c r="BO90" s="121"/>
    </row>
    <row r="91" spans="2:70" ht="12.75">
      <c r="C91" s="201"/>
      <c r="D91" s="121" t="s">
        <v>1314</v>
      </c>
      <c r="E91" s="121" t="str">
        <f>IF(C7="railbelt south of alaska range","$ per mmBtu","$ per gallon")</f>
        <v>$ per gallon</v>
      </c>
      <c r="F91" s="187"/>
      <c r="G91" s="187">
        <f>G74+$D$47</f>
        <v>4.2059794220983502</v>
      </c>
      <c r="H91" s="187">
        <f t="shared" ref="H91:BH91" si="23">H74+$D$47</f>
        <v>4.6732754001702883</v>
      </c>
      <c r="I91" s="187">
        <f t="shared" si="23"/>
        <v>4.8376162909716216</v>
      </c>
      <c r="J91" s="187">
        <f t="shared" si="23"/>
        <v>4.8496361886136912</v>
      </c>
      <c r="K91" s="187">
        <f t="shared" si="23"/>
        <v>4.9056275244664125</v>
      </c>
      <c r="L91" s="187">
        <f t="shared" si="23"/>
        <v>4.9619109251504847</v>
      </c>
      <c r="M91" s="187">
        <f t="shared" si="23"/>
        <v>5.0381773568460284</v>
      </c>
      <c r="N91" s="187">
        <f t="shared" si="23"/>
        <v>5.1199306055642086</v>
      </c>
      <c r="O91" s="187">
        <f t="shared" si="23"/>
        <v>5.2046041917591079</v>
      </c>
      <c r="P91" s="187">
        <f t="shared" si="23"/>
        <v>5.2910732209604339</v>
      </c>
      <c r="Q91" s="187">
        <f t="shared" si="23"/>
        <v>5.377947971766412</v>
      </c>
      <c r="R91" s="187">
        <f t="shared" si="23"/>
        <v>5.4704967063761769</v>
      </c>
      <c r="S91" s="187">
        <f t="shared" si="23"/>
        <v>5.5653090792390989</v>
      </c>
      <c r="T91" s="187">
        <f t="shared" si="23"/>
        <v>5.6624414849609002</v>
      </c>
      <c r="U91" s="187">
        <f t="shared" si="23"/>
        <v>5.7619514121882238</v>
      </c>
      <c r="V91" s="187">
        <f t="shared" si="23"/>
        <v>5.863897589004015</v>
      </c>
      <c r="W91" s="187">
        <f t="shared" si="23"/>
        <v>5.9683408481979816</v>
      </c>
      <c r="X91" s="187">
        <f t="shared" si="23"/>
        <v>6.075342926874276</v>
      </c>
      <c r="Y91" s="187">
        <f t="shared" si="23"/>
        <v>6.184818158118297</v>
      </c>
      <c r="Z91" s="187">
        <f t="shared" si="23"/>
        <v>6.292419236935225</v>
      </c>
      <c r="AA91" s="187">
        <f t="shared" si="23"/>
        <v>6.4056246146124609</v>
      </c>
      <c r="AB91" s="187">
        <f t="shared" si="23"/>
        <v>6.5219530773050831</v>
      </c>
      <c r="AC91" s="187">
        <f t="shared" si="23"/>
        <v>6.6360405950884838</v>
      </c>
      <c r="AD91" s="187">
        <f t="shared" si="23"/>
        <v>6.7587026423442191</v>
      </c>
      <c r="AE91" s="187">
        <f t="shared" si="23"/>
        <v>6.8910386217753219</v>
      </c>
      <c r="AF91" s="187">
        <f t="shared" si="23"/>
        <v>7.014392524247052</v>
      </c>
      <c r="AG91" s="187">
        <f t="shared" si="23"/>
        <v>7.014392524247052</v>
      </c>
      <c r="AH91" s="187">
        <f t="shared" si="23"/>
        <v>7.014392524247052</v>
      </c>
      <c r="AI91" s="187">
        <f t="shared" si="23"/>
        <v>7.014392524247052</v>
      </c>
      <c r="AJ91" s="187">
        <f t="shared" si="23"/>
        <v>7.014392524247052</v>
      </c>
      <c r="AK91" s="187">
        <f t="shared" si="23"/>
        <v>7.014392524247052</v>
      </c>
      <c r="AL91" s="187">
        <f t="shared" si="23"/>
        <v>7.014392524247052</v>
      </c>
      <c r="AM91" s="187">
        <f t="shared" si="23"/>
        <v>7.014392524247052</v>
      </c>
      <c r="AN91" s="187">
        <f t="shared" si="23"/>
        <v>7.014392524247052</v>
      </c>
      <c r="AO91" s="187">
        <f t="shared" si="23"/>
        <v>7.014392524247052</v>
      </c>
      <c r="AP91" s="187">
        <f t="shared" si="23"/>
        <v>7.014392524247052</v>
      </c>
      <c r="AQ91" s="187">
        <f t="shared" si="23"/>
        <v>7.014392524247052</v>
      </c>
      <c r="AR91" s="187">
        <f t="shared" si="23"/>
        <v>7.014392524247052</v>
      </c>
      <c r="AS91" s="187">
        <f t="shared" si="23"/>
        <v>7.014392524247052</v>
      </c>
      <c r="AT91" s="187">
        <f t="shared" si="23"/>
        <v>7.014392524247052</v>
      </c>
      <c r="AU91" s="187">
        <f t="shared" si="23"/>
        <v>7.014392524247052</v>
      </c>
      <c r="AV91" s="187">
        <f t="shared" si="23"/>
        <v>7.014392524247052</v>
      </c>
      <c r="AW91" s="187">
        <f t="shared" si="23"/>
        <v>7.014392524247052</v>
      </c>
      <c r="AX91" s="187">
        <f t="shared" si="23"/>
        <v>7.014392524247052</v>
      </c>
      <c r="AY91" s="187">
        <f t="shared" si="23"/>
        <v>7.014392524247052</v>
      </c>
      <c r="AZ91" s="187">
        <f t="shared" si="23"/>
        <v>7.014392524247052</v>
      </c>
      <c r="BA91" s="187">
        <f t="shared" si="23"/>
        <v>7.014392524247052</v>
      </c>
      <c r="BB91" s="187">
        <f t="shared" si="23"/>
        <v>7.014392524247052</v>
      </c>
      <c r="BC91" s="187">
        <f t="shared" si="23"/>
        <v>7.014392524247052</v>
      </c>
      <c r="BD91" s="187">
        <f t="shared" si="23"/>
        <v>7.014392524247052</v>
      </c>
      <c r="BE91" s="187">
        <f t="shared" si="23"/>
        <v>7.014392524247052</v>
      </c>
      <c r="BF91" s="187">
        <f t="shared" si="23"/>
        <v>7.014392524247052</v>
      </c>
      <c r="BG91" s="187">
        <f t="shared" si="23"/>
        <v>7.014392524247052</v>
      </c>
      <c r="BH91" s="187">
        <f t="shared" si="23"/>
        <v>7.014392524247052</v>
      </c>
      <c r="BI91" s="175"/>
      <c r="BJ91" s="121"/>
      <c r="BK91" s="121"/>
      <c r="BL91" s="121"/>
      <c r="BM91" s="121"/>
      <c r="BN91" s="121"/>
      <c r="BO91" s="121"/>
    </row>
    <row r="92" spans="2:70" ht="12.75">
      <c r="C92" s="201" t="s">
        <v>277</v>
      </c>
      <c r="D92" s="121" t="s">
        <v>382</v>
      </c>
      <c r="E92" s="121" t="s">
        <v>264</v>
      </c>
      <c r="F92" s="176">
        <v>0</v>
      </c>
      <c r="G92" s="176">
        <f t="shared" ref="G92:AL92" si="24">IF(AND(G54&gt;=$D$31,G54&lt;=($D$31+$D$32)),500,0)</f>
        <v>0</v>
      </c>
      <c r="H92" s="176">
        <f t="shared" si="24"/>
        <v>500</v>
      </c>
      <c r="I92" s="176">
        <f t="shared" si="24"/>
        <v>500</v>
      </c>
      <c r="J92" s="176">
        <f t="shared" si="24"/>
        <v>500</v>
      </c>
      <c r="K92" s="176">
        <f t="shared" si="24"/>
        <v>500</v>
      </c>
      <c r="L92" s="176">
        <f t="shared" si="24"/>
        <v>500</v>
      </c>
      <c r="M92" s="176">
        <f t="shared" si="24"/>
        <v>500</v>
      </c>
      <c r="N92" s="176">
        <f t="shared" si="24"/>
        <v>500</v>
      </c>
      <c r="O92" s="176">
        <f t="shared" si="24"/>
        <v>500</v>
      </c>
      <c r="P92" s="176">
        <f t="shared" si="24"/>
        <v>500</v>
      </c>
      <c r="Q92" s="176">
        <f t="shared" si="24"/>
        <v>500</v>
      </c>
      <c r="R92" s="176">
        <f t="shared" si="24"/>
        <v>500</v>
      </c>
      <c r="S92" s="176">
        <f t="shared" si="24"/>
        <v>500</v>
      </c>
      <c r="T92" s="176">
        <f t="shared" si="24"/>
        <v>500</v>
      </c>
      <c r="U92" s="176">
        <f t="shared" si="24"/>
        <v>500</v>
      </c>
      <c r="V92" s="176">
        <f t="shared" si="24"/>
        <v>500</v>
      </c>
      <c r="W92" s="176">
        <f t="shared" si="24"/>
        <v>500</v>
      </c>
      <c r="X92" s="176">
        <f t="shared" si="24"/>
        <v>500</v>
      </c>
      <c r="Y92" s="176">
        <f t="shared" si="24"/>
        <v>500</v>
      </c>
      <c r="Z92" s="176">
        <f t="shared" si="24"/>
        <v>500</v>
      </c>
      <c r="AA92" s="176">
        <f t="shared" si="24"/>
        <v>500</v>
      </c>
      <c r="AB92" s="176">
        <f t="shared" si="24"/>
        <v>500</v>
      </c>
      <c r="AC92" s="176">
        <f t="shared" si="24"/>
        <v>0</v>
      </c>
      <c r="AD92" s="176">
        <f t="shared" si="24"/>
        <v>0</v>
      </c>
      <c r="AE92" s="176">
        <f t="shared" si="24"/>
        <v>0</v>
      </c>
      <c r="AF92" s="176">
        <f t="shared" si="24"/>
        <v>0</v>
      </c>
      <c r="AG92" s="176">
        <f t="shared" si="24"/>
        <v>0</v>
      </c>
      <c r="AH92" s="176">
        <f t="shared" si="24"/>
        <v>0</v>
      </c>
      <c r="AI92" s="176">
        <f t="shared" si="24"/>
        <v>0</v>
      </c>
      <c r="AJ92" s="176">
        <f t="shared" si="24"/>
        <v>0</v>
      </c>
      <c r="AK92" s="176">
        <f t="shared" si="24"/>
        <v>0</v>
      </c>
      <c r="AL92" s="176">
        <f t="shared" si="24"/>
        <v>0</v>
      </c>
      <c r="AM92" s="176">
        <f t="shared" ref="AM92:BH92" si="25">IF(AND(AM54&gt;=$D$31,AM54&lt;=($D$31+$D$32)),500,0)</f>
        <v>0</v>
      </c>
      <c r="AN92" s="176">
        <f t="shared" si="25"/>
        <v>0</v>
      </c>
      <c r="AO92" s="176">
        <f t="shared" si="25"/>
        <v>0</v>
      </c>
      <c r="AP92" s="176">
        <f t="shared" si="25"/>
        <v>0</v>
      </c>
      <c r="AQ92" s="176">
        <f t="shared" si="25"/>
        <v>0</v>
      </c>
      <c r="AR92" s="176">
        <f t="shared" si="25"/>
        <v>0</v>
      </c>
      <c r="AS92" s="176">
        <f t="shared" si="25"/>
        <v>0</v>
      </c>
      <c r="AT92" s="176">
        <f t="shared" si="25"/>
        <v>0</v>
      </c>
      <c r="AU92" s="176">
        <f t="shared" si="25"/>
        <v>0</v>
      </c>
      <c r="AV92" s="176">
        <f t="shared" si="25"/>
        <v>0</v>
      </c>
      <c r="AW92" s="176">
        <f t="shared" si="25"/>
        <v>0</v>
      </c>
      <c r="AX92" s="176">
        <f t="shared" si="25"/>
        <v>0</v>
      </c>
      <c r="AY92" s="176">
        <f t="shared" si="25"/>
        <v>0</v>
      </c>
      <c r="AZ92" s="176">
        <f t="shared" si="25"/>
        <v>0</v>
      </c>
      <c r="BA92" s="176">
        <f t="shared" si="25"/>
        <v>0</v>
      </c>
      <c r="BB92" s="176">
        <f t="shared" si="25"/>
        <v>0</v>
      </c>
      <c r="BC92" s="176">
        <f t="shared" si="25"/>
        <v>0</v>
      </c>
      <c r="BD92" s="176">
        <f t="shared" si="25"/>
        <v>0</v>
      </c>
      <c r="BE92" s="176">
        <f t="shared" si="25"/>
        <v>0</v>
      </c>
      <c r="BF92" s="176">
        <f t="shared" si="25"/>
        <v>0</v>
      </c>
      <c r="BG92" s="176">
        <f t="shared" si="25"/>
        <v>0</v>
      </c>
      <c r="BH92" s="176">
        <f t="shared" si="25"/>
        <v>0</v>
      </c>
      <c r="BI92" s="175">
        <f>NPV($D$49,F92:BH92)</f>
        <v>7265.0693450676617</v>
      </c>
      <c r="BJ92" s="121"/>
      <c r="BK92" s="121"/>
      <c r="BL92" s="121"/>
      <c r="BM92" s="121"/>
      <c r="BN92" s="121"/>
      <c r="BO92" s="121"/>
    </row>
    <row r="93" spans="2:70" ht="12.75">
      <c r="C93" s="201" t="s">
        <v>277</v>
      </c>
      <c r="D93" s="121" t="s">
        <v>316</v>
      </c>
      <c r="E93" s="121" t="s">
        <v>264</v>
      </c>
      <c r="F93" s="176">
        <v>0</v>
      </c>
      <c r="G93" s="176">
        <f t="shared" ref="G93:AL93" si="26">IF(AND(G54&gt;=$D$31,G54&lt;=($D$31+$D$32)),1000,0)</f>
        <v>0</v>
      </c>
      <c r="H93" s="176">
        <f t="shared" si="26"/>
        <v>1000</v>
      </c>
      <c r="I93" s="176">
        <f t="shared" si="26"/>
        <v>1000</v>
      </c>
      <c r="J93" s="176">
        <f t="shared" si="26"/>
        <v>1000</v>
      </c>
      <c r="K93" s="176">
        <f t="shared" si="26"/>
        <v>1000</v>
      </c>
      <c r="L93" s="176">
        <f t="shared" si="26"/>
        <v>1000</v>
      </c>
      <c r="M93" s="176">
        <f t="shared" si="26"/>
        <v>1000</v>
      </c>
      <c r="N93" s="176">
        <f t="shared" si="26"/>
        <v>1000</v>
      </c>
      <c r="O93" s="176">
        <f t="shared" si="26"/>
        <v>1000</v>
      </c>
      <c r="P93" s="176">
        <f t="shared" si="26"/>
        <v>1000</v>
      </c>
      <c r="Q93" s="176">
        <f t="shared" si="26"/>
        <v>1000</v>
      </c>
      <c r="R93" s="176">
        <f t="shared" si="26"/>
        <v>1000</v>
      </c>
      <c r="S93" s="176">
        <f t="shared" si="26"/>
        <v>1000</v>
      </c>
      <c r="T93" s="176">
        <f t="shared" si="26"/>
        <v>1000</v>
      </c>
      <c r="U93" s="176">
        <f t="shared" si="26"/>
        <v>1000</v>
      </c>
      <c r="V93" s="176">
        <f t="shared" si="26"/>
        <v>1000</v>
      </c>
      <c r="W93" s="176">
        <f t="shared" si="26"/>
        <v>1000</v>
      </c>
      <c r="X93" s="176">
        <f t="shared" si="26"/>
        <v>1000</v>
      </c>
      <c r="Y93" s="176">
        <f t="shared" si="26"/>
        <v>1000</v>
      </c>
      <c r="Z93" s="176">
        <f t="shared" si="26"/>
        <v>1000</v>
      </c>
      <c r="AA93" s="176">
        <f t="shared" si="26"/>
        <v>1000</v>
      </c>
      <c r="AB93" s="176">
        <f t="shared" si="26"/>
        <v>1000</v>
      </c>
      <c r="AC93" s="176">
        <f t="shared" si="26"/>
        <v>0</v>
      </c>
      <c r="AD93" s="176">
        <f t="shared" si="26"/>
        <v>0</v>
      </c>
      <c r="AE93" s="176">
        <f t="shared" si="26"/>
        <v>0</v>
      </c>
      <c r="AF93" s="176">
        <f t="shared" si="26"/>
        <v>0</v>
      </c>
      <c r="AG93" s="176">
        <f t="shared" si="26"/>
        <v>0</v>
      </c>
      <c r="AH93" s="176">
        <f t="shared" si="26"/>
        <v>0</v>
      </c>
      <c r="AI93" s="176">
        <f t="shared" si="26"/>
        <v>0</v>
      </c>
      <c r="AJ93" s="176">
        <f t="shared" si="26"/>
        <v>0</v>
      </c>
      <c r="AK93" s="176">
        <f t="shared" si="26"/>
        <v>0</v>
      </c>
      <c r="AL93" s="176">
        <f t="shared" si="26"/>
        <v>0</v>
      </c>
      <c r="AM93" s="176">
        <f t="shared" ref="AM93:BH93" si="27">IF(AND(AM54&gt;=$D$31,AM54&lt;=($D$31+$D$32)),1000,0)</f>
        <v>0</v>
      </c>
      <c r="AN93" s="176">
        <f t="shared" si="27"/>
        <v>0</v>
      </c>
      <c r="AO93" s="176">
        <f t="shared" si="27"/>
        <v>0</v>
      </c>
      <c r="AP93" s="176">
        <f t="shared" si="27"/>
        <v>0</v>
      </c>
      <c r="AQ93" s="176">
        <f t="shared" si="27"/>
        <v>0</v>
      </c>
      <c r="AR93" s="176">
        <f t="shared" si="27"/>
        <v>0</v>
      </c>
      <c r="AS93" s="176">
        <f t="shared" si="27"/>
        <v>0</v>
      </c>
      <c r="AT93" s="176">
        <f t="shared" si="27"/>
        <v>0</v>
      </c>
      <c r="AU93" s="176">
        <f t="shared" si="27"/>
        <v>0</v>
      </c>
      <c r="AV93" s="176">
        <f t="shared" si="27"/>
        <v>0</v>
      </c>
      <c r="AW93" s="176">
        <f t="shared" si="27"/>
        <v>0</v>
      </c>
      <c r="AX93" s="176">
        <f t="shared" si="27"/>
        <v>0</v>
      </c>
      <c r="AY93" s="176">
        <f t="shared" si="27"/>
        <v>0</v>
      </c>
      <c r="AZ93" s="176">
        <f t="shared" si="27"/>
        <v>0</v>
      </c>
      <c r="BA93" s="176">
        <f t="shared" si="27"/>
        <v>0</v>
      </c>
      <c r="BB93" s="176">
        <f t="shared" si="27"/>
        <v>0</v>
      </c>
      <c r="BC93" s="176">
        <f t="shared" si="27"/>
        <v>0</v>
      </c>
      <c r="BD93" s="176">
        <f t="shared" si="27"/>
        <v>0</v>
      </c>
      <c r="BE93" s="176">
        <f t="shared" si="27"/>
        <v>0</v>
      </c>
      <c r="BF93" s="176">
        <f t="shared" si="27"/>
        <v>0</v>
      </c>
      <c r="BG93" s="176">
        <f t="shared" si="27"/>
        <v>0</v>
      </c>
      <c r="BH93" s="176">
        <f t="shared" si="27"/>
        <v>0</v>
      </c>
      <c r="BI93" s="175">
        <f>NPV($D$49,F93:BH93)</f>
        <v>14530.138690135323</v>
      </c>
      <c r="BJ93" s="121"/>
      <c r="BK93" s="121"/>
      <c r="BL93" s="121"/>
      <c r="BM93" s="121"/>
      <c r="BN93" s="121"/>
      <c r="BO93" s="121"/>
    </row>
    <row r="94" spans="2:70" ht="12.75">
      <c r="C94" s="190"/>
      <c r="D94" s="121" t="s">
        <v>1315</v>
      </c>
      <c r="E94" s="121" t="s">
        <v>264</v>
      </c>
      <c r="F94" s="191">
        <f t="shared" ref="F94:BH94" si="28">F90*F91</f>
        <v>0</v>
      </c>
      <c r="G94" s="191">
        <f t="shared" si="28"/>
        <v>0</v>
      </c>
      <c r="H94" s="191" t="e">
        <f t="shared" si="28"/>
        <v>#VALUE!</v>
      </c>
      <c r="I94" s="191" t="e">
        <f t="shared" si="28"/>
        <v>#VALUE!</v>
      </c>
      <c r="J94" s="191" t="e">
        <f t="shared" si="28"/>
        <v>#VALUE!</v>
      </c>
      <c r="K94" s="191" t="e">
        <f t="shared" si="28"/>
        <v>#VALUE!</v>
      </c>
      <c r="L94" s="191" t="e">
        <f t="shared" si="28"/>
        <v>#VALUE!</v>
      </c>
      <c r="M94" s="191" t="e">
        <f t="shared" si="28"/>
        <v>#VALUE!</v>
      </c>
      <c r="N94" s="191" t="e">
        <f t="shared" si="28"/>
        <v>#VALUE!</v>
      </c>
      <c r="O94" s="191" t="e">
        <f t="shared" si="28"/>
        <v>#VALUE!</v>
      </c>
      <c r="P94" s="191" t="e">
        <f t="shared" si="28"/>
        <v>#VALUE!</v>
      </c>
      <c r="Q94" s="191" t="e">
        <f t="shared" si="28"/>
        <v>#VALUE!</v>
      </c>
      <c r="R94" s="191" t="e">
        <f t="shared" si="28"/>
        <v>#VALUE!</v>
      </c>
      <c r="S94" s="191" t="e">
        <f t="shared" si="28"/>
        <v>#VALUE!</v>
      </c>
      <c r="T94" s="191" t="e">
        <f t="shared" si="28"/>
        <v>#VALUE!</v>
      </c>
      <c r="U94" s="191" t="e">
        <f t="shared" si="28"/>
        <v>#VALUE!</v>
      </c>
      <c r="V94" s="191" t="e">
        <f t="shared" si="28"/>
        <v>#VALUE!</v>
      </c>
      <c r="W94" s="191" t="e">
        <f t="shared" si="28"/>
        <v>#VALUE!</v>
      </c>
      <c r="X94" s="191" t="e">
        <f t="shared" si="28"/>
        <v>#VALUE!</v>
      </c>
      <c r="Y94" s="191" t="e">
        <f t="shared" si="28"/>
        <v>#VALUE!</v>
      </c>
      <c r="Z94" s="191" t="e">
        <f t="shared" si="28"/>
        <v>#VALUE!</v>
      </c>
      <c r="AA94" s="191" t="e">
        <f t="shared" si="28"/>
        <v>#VALUE!</v>
      </c>
      <c r="AB94" s="191" t="e">
        <f t="shared" si="28"/>
        <v>#VALUE!</v>
      </c>
      <c r="AC94" s="191">
        <f t="shared" si="28"/>
        <v>0</v>
      </c>
      <c r="AD94" s="191">
        <f t="shared" si="28"/>
        <v>0</v>
      </c>
      <c r="AE94" s="191">
        <f t="shared" si="28"/>
        <v>0</v>
      </c>
      <c r="AF94" s="191">
        <f t="shared" si="28"/>
        <v>0</v>
      </c>
      <c r="AG94" s="191">
        <f t="shared" si="28"/>
        <v>0</v>
      </c>
      <c r="AH94" s="191">
        <f t="shared" si="28"/>
        <v>0</v>
      </c>
      <c r="AI94" s="191">
        <f t="shared" si="28"/>
        <v>0</v>
      </c>
      <c r="AJ94" s="191">
        <f t="shared" si="28"/>
        <v>0</v>
      </c>
      <c r="AK94" s="191">
        <f t="shared" si="28"/>
        <v>0</v>
      </c>
      <c r="AL94" s="191">
        <f t="shared" si="28"/>
        <v>0</v>
      </c>
      <c r="AM94" s="191">
        <f t="shared" si="28"/>
        <v>0</v>
      </c>
      <c r="AN94" s="191">
        <f t="shared" si="28"/>
        <v>0</v>
      </c>
      <c r="AO94" s="191">
        <f t="shared" si="28"/>
        <v>0</v>
      </c>
      <c r="AP94" s="191">
        <f t="shared" si="28"/>
        <v>0</v>
      </c>
      <c r="AQ94" s="191">
        <f t="shared" si="28"/>
        <v>0</v>
      </c>
      <c r="AR94" s="191">
        <f t="shared" si="28"/>
        <v>0</v>
      </c>
      <c r="AS94" s="191">
        <f t="shared" si="28"/>
        <v>0</v>
      </c>
      <c r="AT94" s="191">
        <f t="shared" si="28"/>
        <v>0</v>
      </c>
      <c r="AU94" s="191">
        <f t="shared" si="28"/>
        <v>0</v>
      </c>
      <c r="AV94" s="191">
        <f t="shared" si="28"/>
        <v>0</v>
      </c>
      <c r="AW94" s="191">
        <f t="shared" si="28"/>
        <v>0</v>
      </c>
      <c r="AX94" s="191">
        <f t="shared" si="28"/>
        <v>0</v>
      </c>
      <c r="AY94" s="191">
        <f t="shared" si="28"/>
        <v>0</v>
      </c>
      <c r="AZ94" s="191">
        <f t="shared" si="28"/>
        <v>0</v>
      </c>
      <c r="BA94" s="191">
        <f t="shared" si="28"/>
        <v>0</v>
      </c>
      <c r="BB94" s="191">
        <f t="shared" si="28"/>
        <v>0</v>
      </c>
      <c r="BC94" s="191">
        <f t="shared" si="28"/>
        <v>0</v>
      </c>
      <c r="BD94" s="191">
        <f t="shared" si="28"/>
        <v>0</v>
      </c>
      <c r="BE94" s="191">
        <f t="shared" si="28"/>
        <v>0</v>
      </c>
      <c r="BF94" s="191">
        <f t="shared" si="28"/>
        <v>0</v>
      </c>
      <c r="BG94" s="191">
        <f t="shared" si="28"/>
        <v>0</v>
      </c>
      <c r="BH94" s="191">
        <f t="shared" si="28"/>
        <v>0</v>
      </c>
      <c r="BI94" s="175" t="e">
        <f>NPV($D$49,F94:BH94)</f>
        <v>#VALUE!</v>
      </c>
      <c r="BJ94" s="121"/>
      <c r="BK94" s="121"/>
      <c r="BL94" s="121"/>
      <c r="BM94" s="121"/>
      <c r="BN94" s="121"/>
      <c r="BO94" s="121"/>
    </row>
    <row r="95" spans="2:70" s="192" customFormat="1" ht="12.75">
      <c r="B95" s="193"/>
      <c r="C95" s="202"/>
      <c r="D95" s="184" t="s">
        <v>374</v>
      </c>
      <c r="E95" s="184" t="s">
        <v>264</v>
      </c>
      <c r="F95" s="197">
        <f t="shared" ref="F95:BH95" si="29">F94+F93+F92</f>
        <v>0</v>
      </c>
      <c r="G95" s="197">
        <f t="shared" si="29"/>
        <v>0</v>
      </c>
      <c r="H95" s="197" t="e">
        <f t="shared" si="29"/>
        <v>#VALUE!</v>
      </c>
      <c r="I95" s="197" t="e">
        <f t="shared" si="29"/>
        <v>#VALUE!</v>
      </c>
      <c r="J95" s="197" t="e">
        <f t="shared" si="29"/>
        <v>#VALUE!</v>
      </c>
      <c r="K95" s="197" t="e">
        <f t="shared" si="29"/>
        <v>#VALUE!</v>
      </c>
      <c r="L95" s="197" t="e">
        <f t="shared" si="29"/>
        <v>#VALUE!</v>
      </c>
      <c r="M95" s="197" t="e">
        <f t="shared" si="29"/>
        <v>#VALUE!</v>
      </c>
      <c r="N95" s="197" t="e">
        <f t="shared" si="29"/>
        <v>#VALUE!</v>
      </c>
      <c r="O95" s="197" t="e">
        <f t="shared" si="29"/>
        <v>#VALUE!</v>
      </c>
      <c r="P95" s="197" t="e">
        <f t="shared" si="29"/>
        <v>#VALUE!</v>
      </c>
      <c r="Q95" s="197" t="e">
        <f t="shared" si="29"/>
        <v>#VALUE!</v>
      </c>
      <c r="R95" s="197" t="e">
        <f t="shared" si="29"/>
        <v>#VALUE!</v>
      </c>
      <c r="S95" s="194" t="e">
        <f t="shared" si="29"/>
        <v>#VALUE!</v>
      </c>
      <c r="T95" s="194" t="e">
        <f t="shared" si="29"/>
        <v>#VALUE!</v>
      </c>
      <c r="U95" s="194" t="e">
        <f t="shared" si="29"/>
        <v>#VALUE!</v>
      </c>
      <c r="V95" s="194" t="e">
        <f t="shared" si="29"/>
        <v>#VALUE!</v>
      </c>
      <c r="W95" s="194" t="e">
        <f t="shared" si="29"/>
        <v>#VALUE!</v>
      </c>
      <c r="X95" s="194" t="e">
        <f t="shared" si="29"/>
        <v>#VALUE!</v>
      </c>
      <c r="Y95" s="194" t="e">
        <f t="shared" si="29"/>
        <v>#VALUE!</v>
      </c>
      <c r="Z95" s="194" t="e">
        <f t="shared" si="29"/>
        <v>#VALUE!</v>
      </c>
      <c r="AA95" s="194" t="e">
        <f t="shared" si="29"/>
        <v>#VALUE!</v>
      </c>
      <c r="AB95" s="194" t="e">
        <f t="shared" si="29"/>
        <v>#VALUE!</v>
      </c>
      <c r="AC95" s="194">
        <f t="shared" si="29"/>
        <v>0</v>
      </c>
      <c r="AD95" s="194">
        <f t="shared" si="29"/>
        <v>0</v>
      </c>
      <c r="AE95" s="194">
        <f t="shared" si="29"/>
        <v>0</v>
      </c>
      <c r="AF95" s="194">
        <f t="shared" si="29"/>
        <v>0</v>
      </c>
      <c r="AG95" s="194">
        <f t="shared" si="29"/>
        <v>0</v>
      </c>
      <c r="AH95" s="194">
        <f t="shared" si="29"/>
        <v>0</v>
      </c>
      <c r="AI95" s="194">
        <f t="shared" si="29"/>
        <v>0</v>
      </c>
      <c r="AJ95" s="194">
        <f t="shared" si="29"/>
        <v>0</v>
      </c>
      <c r="AK95" s="194">
        <f t="shared" si="29"/>
        <v>0</v>
      </c>
      <c r="AL95" s="194">
        <f t="shared" si="29"/>
        <v>0</v>
      </c>
      <c r="AM95" s="194">
        <f t="shared" si="29"/>
        <v>0</v>
      </c>
      <c r="AN95" s="194">
        <f t="shared" si="29"/>
        <v>0</v>
      </c>
      <c r="AO95" s="194">
        <f t="shared" si="29"/>
        <v>0</v>
      </c>
      <c r="AP95" s="194">
        <f t="shared" si="29"/>
        <v>0</v>
      </c>
      <c r="AQ95" s="194">
        <f t="shared" si="29"/>
        <v>0</v>
      </c>
      <c r="AR95" s="194">
        <f t="shared" si="29"/>
        <v>0</v>
      </c>
      <c r="AS95" s="194">
        <f t="shared" si="29"/>
        <v>0</v>
      </c>
      <c r="AT95" s="194">
        <f t="shared" si="29"/>
        <v>0</v>
      </c>
      <c r="AU95" s="194">
        <f t="shared" si="29"/>
        <v>0</v>
      </c>
      <c r="AV95" s="194">
        <f t="shared" si="29"/>
        <v>0</v>
      </c>
      <c r="AW95" s="194">
        <f t="shared" si="29"/>
        <v>0</v>
      </c>
      <c r="AX95" s="194">
        <f t="shared" si="29"/>
        <v>0</v>
      </c>
      <c r="AY95" s="194">
        <f t="shared" si="29"/>
        <v>0</v>
      </c>
      <c r="AZ95" s="194">
        <f t="shared" si="29"/>
        <v>0</v>
      </c>
      <c r="BA95" s="194">
        <f t="shared" si="29"/>
        <v>0</v>
      </c>
      <c r="BB95" s="194">
        <f t="shared" si="29"/>
        <v>0</v>
      </c>
      <c r="BC95" s="194">
        <f t="shared" si="29"/>
        <v>0</v>
      </c>
      <c r="BD95" s="194">
        <f t="shared" si="29"/>
        <v>0</v>
      </c>
      <c r="BE95" s="194">
        <f t="shared" si="29"/>
        <v>0</v>
      </c>
      <c r="BF95" s="194">
        <f t="shared" si="29"/>
        <v>0</v>
      </c>
      <c r="BG95" s="194">
        <f t="shared" si="29"/>
        <v>0</v>
      </c>
      <c r="BH95" s="194">
        <f t="shared" si="29"/>
        <v>0</v>
      </c>
      <c r="BI95" s="175" t="e">
        <f>NPV($D$49,F95:BH95)</f>
        <v>#VALUE!</v>
      </c>
      <c r="BJ95" s="180"/>
      <c r="BK95" s="180"/>
      <c r="BL95" s="180"/>
      <c r="BM95" s="180"/>
      <c r="BN95" s="180"/>
      <c r="BO95" s="180"/>
    </row>
    <row r="96" spans="2:70" ht="12.75">
      <c r="C96" s="186"/>
      <c r="D96" s="121"/>
      <c r="E96" s="121"/>
      <c r="F96" s="195"/>
      <c r="G96" s="195"/>
      <c r="H96" s="195"/>
      <c r="I96" s="195"/>
      <c r="J96" s="195"/>
      <c r="K96" s="195"/>
      <c r="L96" s="195"/>
      <c r="M96" s="195"/>
      <c r="N96" s="195"/>
      <c r="O96" s="195"/>
      <c r="P96" s="195"/>
      <c r="Q96" s="195"/>
      <c r="R96" s="195"/>
      <c r="S96" s="195"/>
      <c r="T96" s="195"/>
      <c r="U96" s="195"/>
      <c r="V96" s="195"/>
      <c r="W96" s="195"/>
      <c r="X96" s="195"/>
      <c r="Y96" s="195"/>
      <c r="Z96" s="195"/>
      <c r="AA96" s="195"/>
      <c r="AB96" s="195"/>
      <c r="AC96" s="195"/>
      <c r="AD96" s="195"/>
      <c r="AE96" s="195"/>
      <c r="AF96" s="195"/>
      <c r="AG96" s="195"/>
      <c r="AH96" s="195"/>
      <c r="AI96" s="195"/>
      <c r="AJ96" s="195"/>
      <c r="AK96" s="195"/>
      <c r="AL96" s="195"/>
      <c r="AM96" s="195"/>
      <c r="AN96" s="195"/>
      <c r="AO96" s="195"/>
      <c r="AP96" s="195"/>
      <c r="AQ96" s="195"/>
      <c r="AR96" s="195"/>
      <c r="AS96" s="195"/>
      <c r="AT96" s="195"/>
      <c r="AU96" s="195"/>
      <c r="AV96" s="195"/>
      <c r="AW96" s="195"/>
      <c r="AX96" s="195"/>
      <c r="AY96" s="195"/>
      <c r="AZ96" s="195"/>
      <c r="BA96" s="195"/>
      <c r="BB96" s="195"/>
      <c r="BC96" s="195"/>
      <c r="BD96" s="195"/>
      <c r="BE96" s="195"/>
      <c r="BF96" s="195"/>
      <c r="BG96" s="195"/>
      <c r="BH96" s="195"/>
      <c r="BI96" s="195"/>
      <c r="BJ96" s="195"/>
      <c r="BK96" s="195"/>
      <c r="BL96" s="195"/>
      <c r="BM96" s="195"/>
      <c r="BN96" s="195"/>
      <c r="BO96" s="175"/>
      <c r="BP96" s="121"/>
      <c r="BQ96" s="121"/>
      <c r="BR96" s="121"/>
    </row>
    <row r="97" spans="3:70" ht="12.75">
      <c r="C97" s="186"/>
      <c r="D97" s="136"/>
      <c r="E97" s="136"/>
      <c r="F97" s="136"/>
      <c r="G97" s="136"/>
      <c r="H97" s="136"/>
      <c r="I97" s="136"/>
      <c r="J97" s="136"/>
      <c r="K97" s="136"/>
      <c r="L97" s="136"/>
      <c r="M97" s="136"/>
      <c r="N97" s="136"/>
      <c r="O97" s="136"/>
      <c r="P97" s="136"/>
      <c r="Q97" s="136"/>
      <c r="R97" s="136"/>
      <c r="BO97" s="136"/>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4.25">
      <c r="F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2.75">
      <c r="C112" s="186"/>
      <c r="D112" s="136"/>
      <c r="E112" s="136"/>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4.25">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c r="F118" s="136"/>
      <c r="K118" s="136"/>
      <c r="L118" s="136"/>
      <c r="M118" s="136"/>
      <c r="N118" s="136"/>
      <c r="O118" s="136"/>
      <c r="P118" s="136"/>
      <c r="Q118" s="136"/>
      <c r="R118" s="136"/>
      <c r="BP118" s="121"/>
      <c r="BQ118" s="121"/>
      <c r="BR118" s="121"/>
    </row>
  </sheetData>
  <mergeCells count="22">
    <mergeCell ref="A1:R1"/>
    <mergeCell ref="C89:E89"/>
    <mergeCell ref="N11:O11"/>
    <mergeCell ref="N12:O12"/>
    <mergeCell ref="N15:O15"/>
    <mergeCell ref="C72:E72"/>
    <mergeCell ref="C83:E83"/>
    <mergeCell ref="S15:T15"/>
    <mergeCell ref="I17:L17"/>
    <mergeCell ref="N13:O13"/>
    <mergeCell ref="N14:O14"/>
    <mergeCell ref="C66:E66"/>
    <mergeCell ref="S7:U7"/>
    <mergeCell ref="N8:O8"/>
    <mergeCell ref="N9:O9"/>
    <mergeCell ref="N10:O10"/>
    <mergeCell ref="B2:E2"/>
    <mergeCell ref="H2:R2"/>
    <mergeCell ref="N5:Q6"/>
    <mergeCell ref="R5:R6"/>
    <mergeCell ref="N7:O7"/>
    <mergeCell ref="B4:C4"/>
  </mergeCells>
  <dataValidations count="5">
    <dataValidation type="list" allowBlank="1" showInputMessage="1" showErrorMessage="1" sqref="C8">
      <formula1>RE_Technology</formula1>
    </dataValidation>
    <dataValidation type="list" allowBlank="1" showInputMessage="1" showErrorMessage="1" sqref="C7">
      <formula1>Region</formula1>
    </dataValidation>
    <dataValidation type="list" allowBlank="1" showInputMessage="1" showErrorMessage="1" sqref="J3">
      <formula1>"Yes,No"</formula1>
    </dataValidation>
    <dataValidation type="list" allowBlank="1" showInputMessage="1" showErrorMessage="1" sqref="J4">
      <formula1>$A$43:$A$44</formula1>
    </dataValidation>
    <dataValidation type="list" allowBlank="1" showInputMessage="1" showErrorMessage="1" sqref="F4:F5">
      <formula1>"High, Medium, Low"</formula1>
    </dataValidation>
  </dataValidations>
  <pageMargins left="0.7" right="0.7" top="0.75" bottom="0.75" header="0.3" footer="0.3"/>
  <pageSetup paperSize="5" scale="38"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J9:J10</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E305"/>
  <sheetViews>
    <sheetView topLeftCell="A130" workbookViewId="0">
      <selection activeCell="A154" sqref="A154:XFD154"/>
    </sheetView>
  </sheetViews>
  <sheetFormatPr defaultRowHeight="12.75"/>
  <cols>
    <col min="1" max="1" width="23.28515625" bestFit="1" customWidth="1"/>
    <col min="2" max="2" width="13.42578125" style="287" customWidth="1"/>
    <col min="3" max="3" width="18.7109375" style="287" customWidth="1"/>
    <col min="4" max="4" width="13.28515625" style="287" customWidth="1"/>
  </cols>
  <sheetData>
    <row r="1" spans="1:5" s="1249" customFormat="1" ht="38.25">
      <c r="B1" s="1249" t="s">
        <v>1381</v>
      </c>
      <c r="C1" s="1249" t="s">
        <v>1382</v>
      </c>
      <c r="D1" s="1249" t="s">
        <v>1383</v>
      </c>
    </row>
    <row r="2" spans="1:5">
      <c r="A2" t="s">
        <v>969</v>
      </c>
      <c r="B2" s="287" t="s">
        <v>890</v>
      </c>
      <c r="C2" s="287" t="s">
        <v>890</v>
      </c>
      <c r="D2" s="287" t="s">
        <v>890</v>
      </c>
      <c r="E2" s="90"/>
    </row>
    <row r="3" spans="1:5">
      <c r="A3" t="s">
        <v>1384</v>
      </c>
      <c r="B3" s="287" t="s">
        <v>890</v>
      </c>
      <c r="C3" s="287" t="s">
        <v>890</v>
      </c>
      <c r="D3" s="287" t="s">
        <v>890</v>
      </c>
      <c r="E3" s="90"/>
    </row>
    <row r="4" spans="1:5">
      <c r="A4" t="s">
        <v>970</v>
      </c>
      <c r="B4" s="287" t="s">
        <v>890</v>
      </c>
      <c r="C4" s="287" t="s">
        <v>890</v>
      </c>
      <c r="D4" s="287" t="s">
        <v>890</v>
      </c>
      <c r="E4" s="90"/>
    </row>
    <row r="5" spans="1:5">
      <c r="A5" t="s">
        <v>49</v>
      </c>
      <c r="B5" s="287">
        <v>7.999999999999996E-2</v>
      </c>
      <c r="C5" s="287" t="s">
        <v>173</v>
      </c>
      <c r="D5" s="287">
        <v>7.9013490944623195</v>
      </c>
      <c r="E5" s="90"/>
    </row>
    <row r="6" spans="1:5">
      <c r="A6" t="s">
        <v>51</v>
      </c>
      <c r="B6" s="287">
        <v>0.10999999999999999</v>
      </c>
      <c r="C6" s="287" t="s">
        <v>173</v>
      </c>
      <c r="D6" s="287">
        <v>7.9013490944623195</v>
      </c>
      <c r="E6" s="90"/>
    </row>
    <row r="7" spans="1:5">
      <c r="A7" t="s">
        <v>53</v>
      </c>
      <c r="B7" s="287" t="s">
        <v>890</v>
      </c>
      <c r="C7" s="287" t="s">
        <v>890</v>
      </c>
      <c r="D7" s="287" t="s">
        <v>890</v>
      </c>
      <c r="E7" s="90"/>
    </row>
    <row r="8" spans="1:5">
      <c r="A8" t="s">
        <v>70</v>
      </c>
      <c r="B8" s="287">
        <v>8.8500000000000023E-2</v>
      </c>
      <c r="C8" s="287" t="s">
        <v>214</v>
      </c>
      <c r="D8" s="287">
        <v>22.643858571674258</v>
      </c>
      <c r="E8" s="90"/>
    </row>
    <row r="9" spans="1:5">
      <c r="A9" t="s">
        <v>971</v>
      </c>
      <c r="B9" s="287" t="s">
        <v>890</v>
      </c>
      <c r="C9" s="287" t="s">
        <v>890</v>
      </c>
      <c r="D9" s="287" t="s">
        <v>890</v>
      </c>
      <c r="E9" s="90"/>
    </row>
    <row r="10" spans="1:5">
      <c r="A10" t="s">
        <v>972</v>
      </c>
      <c r="B10" s="287" t="s">
        <v>890</v>
      </c>
      <c r="C10" s="287" t="s">
        <v>890</v>
      </c>
      <c r="D10" s="287" t="s">
        <v>890</v>
      </c>
      <c r="E10" s="90"/>
    </row>
    <row r="11" spans="1:5">
      <c r="A11" t="s">
        <v>1360</v>
      </c>
      <c r="B11" s="287" t="s">
        <v>890</v>
      </c>
      <c r="C11" s="287" t="s">
        <v>890</v>
      </c>
      <c r="D11" s="287" t="s">
        <v>890</v>
      </c>
      <c r="E11" s="90"/>
    </row>
    <row r="12" spans="1:5">
      <c r="A12" t="s">
        <v>973</v>
      </c>
      <c r="B12" s="287">
        <v>1.2999999999999678E-3</v>
      </c>
      <c r="C12" s="287" t="s">
        <v>971</v>
      </c>
      <c r="D12" s="287">
        <v>1.6755152715450035</v>
      </c>
      <c r="E12" s="90"/>
    </row>
    <row r="13" spans="1:5">
      <c r="A13" t="s">
        <v>30</v>
      </c>
      <c r="B13" s="287" t="s">
        <v>890</v>
      </c>
      <c r="C13" s="287" t="s">
        <v>890</v>
      </c>
      <c r="D13" s="287" t="s">
        <v>890</v>
      </c>
      <c r="E13" s="90"/>
    </row>
    <row r="14" spans="1:5">
      <c r="A14" t="s">
        <v>206</v>
      </c>
      <c r="B14" s="287" t="s">
        <v>890</v>
      </c>
      <c r="C14" s="287" t="s">
        <v>890</v>
      </c>
      <c r="D14" s="287" t="s">
        <v>890</v>
      </c>
      <c r="E14" s="90"/>
    </row>
    <row r="15" spans="1:5">
      <c r="A15" t="s">
        <v>1385</v>
      </c>
      <c r="B15" s="287" t="s">
        <v>890</v>
      </c>
      <c r="C15" s="287" t="s">
        <v>890</v>
      </c>
      <c r="D15" s="287" t="s">
        <v>890</v>
      </c>
      <c r="E15" s="90"/>
    </row>
    <row r="16" spans="1:5">
      <c r="A16" t="s">
        <v>40</v>
      </c>
      <c r="B16" s="287" t="s">
        <v>890</v>
      </c>
      <c r="C16" s="287" t="s">
        <v>890</v>
      </c>
      <c r="D16" s="287" t="s">
        <v>890</v>
      </c>
      <c r="E16" s="90"/>
    </row>
    <row r="17" spans="1:5">
      <c r="A17" t="s">
        <v>115</v>
      </c>
      <c r="B17" s="287">
        <v>0.14349999999999996</v>
      </c>
      <c r="C17" s="287" t="s">
        <v>86</v>
      </c>
      <c r="D17" s="287">
        <v>10.052621497436975</v>
      </c>
      <c r="E17" s="90"/>
    </row>
    <row r="18" spans="1:5">
      <c r="A18" t="s">
        <v>1386</v>
      </c>
      <c r="B18" s="287" t="s">
        <v>890</v>
      </c>
      <c r="C18" s="287" t="s">
        <v>890</v>
      </c>
      <c r="D18" s="287" t="s">
        <v>890</v>
      </c>
      <c r="E18" s="90"/>
    </row>
    <row r="19" spans="1:5">
      <c r="A19" t="s">
        <v>71</v>
      </c>
      <c r="B19" s="287">
        <v>4.7199999999999909E-2</v>
      </c>
      <c r="C19" s="287" t="s">
        <v>80</v>
      </c>
      <c r="D19" s="287">
        <v>18.062359647948139</v>
      </c>
      <c r="E19" s="90"/>
    </row>
    <row r="20" spans="1:5">
      <c r="A20" t="s">
        <v>398</v>
      </c>
      <c r="B20" s="287" t="s">
        <v>890</v>
      </c>
      <c r="C20" s="287" t="s">
        <v>890</v>
      </c>
      <c r="D20" s="287" t="s">
        <v>890</v>
      </c>
      <c r="E20" s="90"/>
    </row>
    <row r="21" spans="1:5">
      <c r="A21" t="s">
        <v>24</v>
      </c>
      <c r="B21" s="287" t="s">
        <v>890</v>
      </c>
      <c r="C21" s="287" t="s">
        <v>890</v>
      </c>
      <c r="D21" s="287" t="s">
        <v>890</v>
      </c>
      <c r="E21" s="90"/>
    </row>
    <row r="22" spans="1:5">
      <c r="A22" t="s">
        <v>117</v>
      </c>
      <c r="B22" s="287">
        <v>0.27929999999999999</v>
      </c>
      <c r="C22" s="287" t="s">
        <v>173</v>
      </c>
      <c r="D22" s="287">
        <v>28.086140752472293</v>
      </c>
      <c r="E22" s="90"/>
    </row>
    <row r="23" spans="1:5">
      <c r="A23" t="s">
        <v>207</v>
      </c>
      <c r="B23" s="287" t="s">
        <v>890</v>
      </c>
      <c r="C23" s="287" t="s">
        <v>890</v>
      </c>
      <c r="D23" s="287" t="s">
        <v>890</v>
      </c>
      <c r="E23" s="90"/>
    </row>
    <row r="24" spans="1:5">
      <c r="A24" t="s">
        <v>1387</v>
      </c>
      <c r="B24" s="287" t="s">
        <v>890</v>
      </c>
      <c r="C24" s="287" t="s">
        <v>890</v>
      </c>
      <c r="D24" s="287" t="s">
        <v>890</v>
      </c>
      <c r="E24" s="90"/>
    </row>
    <row r="25" spans="1:5">
      <c r="A25" t="s">
        <v>978</v>
      </c>
      <c r="B25" s="287" t="s">
        <v>890</v>
      </c>
      <c r="C25" s="287" t="s">
        <v>890</v>
      </c>
      <c r="D25" s="287" t="s">
        <v>890</v>
      </c>
      <c r="E25" s="90"/>
    </row>
    <row r="26" spans="1:5">
      <c r="A26" t="s">
        <v>119</v>
      </c>
      <c r="B26" s="287" t="s">
        <v>890</v>
      </c>
      <c r="C26" s="287" t="s">
        <v>890</v>
      </c>
      <c r="D26" s="287" t="s">
        <v>890</v>
      </c>
      <c r="E26" s="90"/>
    </row>
    <row r="27" spans="1:5">
      <c r="A27" t="s">
        <v>26</v>
      </c>
      <c r="B27" s="287">
        <v>7.5799999999999979E-2</v>
      </c>
      <c r="C27" s="287" t="s">
        <v>173</v>
      </c>
      <c r="D27" s="287">
        <v>13.289158983274513</v>
      </c>
      <c r="E27" s="90"/>
    </row>
    <row r="28" spans="1:5">
      <c r="A28" t="s">
        <v>979</v>
      </c>
      <c r="B28" s="287" t="s">
        <v>890</v>
      </c>
      <c r="C28" s="287" t="s">
        <v>890</v>
      </c>
      <c r="D28" s="287" t="s">
        <v>890</v>
      </c>
      <c r="E28" s="90"/>
    </row>
    <row r="29" spans="1:5">
      <c r="A29" t="s">
        <v>72</v>
      </c>
      <c r="B29" s="287" t="s">
        <v>890</v>
      </c>
      <c r="C29" s="287" t="s">
        <v>890</v>
      </c>
      <c r="D29" s="287" t="s">
        <v>890</v>
      </c>
      <c r="E29" s="90"/>
    </row>
    <row r="30" spans="1:5">
      <c r="A30" t="s">
        <v>41</v>
      </c>
      <c r="B30" s="287" t="s">
        <v>890</v>
      </c>
      <c r="C30" s="287" t="s">
        <v>890</v>
      </c>
      <c r="D30" s="287" t="s">
        <v>890</v>
      </c>
      <c r="E30" s="90"/>
    </row>
    <row r="31" spans="1:5">
      <c r="A31" t="s">
        <v>123</v>
      </c>
      <c r="B31" s="287" t="s">
        <v>890</v>
      </c>
      <c r="C31" s="287" t="s">
        <v>890</v>
      </c>
      <c r="D31" s="287" t="s">
        <v>890</v>
      </c>
      <c r="E31" s="90"/>
    </row>
    <row r="32" spans="1:5">
      <c r="A32" t="s">
        <v>985</v>
      </c>
      <c r="B32" s="287" t="s">
        <v>890</v>
      </c>
      <c r="C32" s="287" t="s">
        <v>890</v>
      </c>
      <c r="D32" s="287" t="s">
        <v>890</v>
      </c>
      <c r="E32" s="90"/>
    </row>
    <row r="33" spans="1:5">
      <c r="A33" t="s">
        <v>199</v>
      </c>
      <c r="B33" s="287">
        <v>0.47470000000000001</v>
      </c>
      <c r="C33" s="287" t="s">
        <v>257</v>
      </c>
      <c r="D33" s="287">
        <v>17.459148729161374</v>
      </c>
      <c r="E33" s="90"/>
    </row>
    <row r="34" spans="1:5">
      <c r="A34" t="s">
        <v>987</v>
      </c>
      <c r="B34" s="287" t="s">
        <v>890</v>
      </c>
      <c r="C34" s="287" t="s">
        <v>890</v>
      </c>
      <c r="D34" s="287" t="s">
        <v>890</v>
      </c>
      <c r="E34" s="90"/>
    </row>
    <row r="35" spans="1:5">
      <c r="A35" t="s">
        <v>125</v>
      </c>
      <c r="B35" s="287" t="s">
        <v>890</v>
      </c>
      <c r="C35" s="287" t="s">
        <v>890</v>
      </c>
      <c r="D35" s="287" t="s">
        <v>890</v>
      </c>
      <c r="E35" s="90"/>
    </row>
    <row r="36" spans="1:5">
      <c r="A36" t="s">
        <v>73</v>
      </c>
      <c r="B36" s="287" t="s">
        <v>890</v>
      </c>
      <c r="C36" s="287" t="s">
        <v>890</v>
      </c>
      <c r="D36" s="287" t="s">
        <v>890</v>
      </c>
      <c r="E36" s="90"/>
    </row>
    <row r="37" spans="1:5">
      <c r="A37" t="s">
        <v>989</v>
      </c>
      <c r="B37" s="287" t="s">
        <v>890</v>
      </c>
      <c r="C37" s="287" t="s">
        <v>890</v>
      </c>
      <c r="D37" s="287" t="s">
        <v>890</v>
      </c>
      <c r="E37" s="90"/>
    </row>
    <row r="38" spans="1:5">
      <c r="A38" t="s">
        <v>990</v>
      </c>
      <c r="B38" s="287" t="s">
        <v>890</v>
      </c>
      <c r="C38" s="287" t="s">
        <v>890</v>
      </c>
      <c r="D38" s="287" t="s">
        <v>890</v>
      </c>
      <c r="E38" s="90"/>
    </row>
    <row r="39" spans="1:5">
      <c r="A39" t="s">
        <v>9</v>
      </c>
      <c r="B39" s="287">
        <v>0.20099999999999996</v>
      </c>
      <c r="C39" s="287" t="s">
        <v>990</v>
      </c>
      <c r="D39" s="287">
        <v>5.3462889028514065</v>
      </c>
      <c r="E39" s="90"/>
    </row>
    <row r="40" spans="1:5">
      <c r="A40" t="s">
        <v>255</v>
      </c>
      <c r="B40" s="287">
        <v>0.31099999999999994</v>
      </c>
      <c r="C40" s="287" t="s">
        <v>990</v>
      </c>
      <c r="D40" s="287">
        <v>14.114655240666577</v>
      </c>
      <c r="E40" s="90"/>
    </row>
    <row r="41" spans="1:5">
      <c r="A41" t="s">
        <v>991</v>
      </c>
      <c r="B41" s="287">
        <v>2.0000000000000018E-3</v>
      </c>
      <c r="C41" s="287" t="s">
        <v>549</v>
      </c>
      <c r="D41" s="287">
        <v>33.588757241087393</v>
      </c>
      <c r="E41" s="90"/>
    </row>
    <row r="42" spans="1:5">
      <c r="A42" t="s">
        <v>1388</v>
      </c>
      <c r="B42" s="287" t="s">
        <v>890</v>
      </c>
      <c r="C42" s="287" t="s">
        <v>890</v>
      </c>
      <c r="D42" s="287" t="s">
        <v>890</v>
      </c>
      <c r="E42" s="90"/>
    </row>
    <row r="43" spans="1:5">
      <c r="A43" t="s">
        <v>10</v>
      </c>
      <c r="B43" s="287">
        <v>0.48899999999999993</v>
      </c>
      <c r="C43" s="287" t="s">
        <v>1012</v>
      </c>
      <c r="D43" s="287">
        <v>27.382687205396156</v>
      </c>
      <c r="E43" s="90"/>
    </row>
    <row r="44" spans="1:5">
      <c r="A44" t="s">
        <v>992</v>
      </c>
      <c r="B44" s="287">
        <v>0.51</v>
      </c>
      <c r="C44" s="287" t="s">
        <v>1030</v>
      </c>
      <c r="D44" s="287">
        <v>21.975727573995531</v>
      </c>
      <c r="E44" s="90"/>
    </row>
    <row r="45" spans="1:5">
      <c r="A45" t="s">
        <v>188</v>
      </c>
      <c r="B45" s="287">
        <v>4.2000000000000037E-2</v>
      </c>
      <c r="C45" s="287" t="s">
        <v>115</v>
      </c>
      <c r="D45" s="287">
        <v>10.052621497436975</v>
      </c>
      <c r="E45" s="90"/>
    </row>
    <row r="46" spans="1:5">
      <c r="A46" t="s">
        <v>132</v>
      </c>
      <c r="B46" s="287">
        <v>8.0999999999999961E-2</v>
      </c>
      <c r="C46" s="287" t="s">
        <v>123</v>
      </c>
      <c r="D46" s="287">
        <v>27.821842187298849</v>
      </c>
      <c r="E46" s="90"/>
    </row>
    <row r="47" spans="1:5">
      <c r="A47" t="s">
        <v>994</v>
      </c>
      <c r="B47" s="287" t="s">
        <v>890</v>
      </c>
      <c r="C47" s="287" t="s">
        <v>890</v>
      </c>
      <c r="D47" s="287" t="s">
        <v>890</v>
      </c>
      <c r="E47" s="90"/>
    </row>
    <row r="48" spans="1:5">
      <c r="A48" t="s">
        <v>996</v>
      </c>
      <c r="B48" s="287" t="s">
        <v>890</v>
      </c>
      <c r="C48" s="287" t="s">
        <v>890</v>
      </c>
      <c r="D48" s="287" t="s">
        <v>890</v>
      </c>
      <c r="E48" s="90"/>
    </row>
    <row r="49" spans="1:5">
      <c r="A49" t="s">
        <v>997</v>
      </c>
      <c r="B49" s="287" t="s">
        <v>890</v>
      </c>
      <c r="C49" s="287" t="s">
        <v>890</v>
      </c>
      <c r="D49" s="287" t="s">
        <v>890</v>
      </c>
      <c r="E49" s="90"/>
    </row>
    <row r="50" spans="1:5">
      <c r="A50" t="s">
        <v>12</v>
      </c>
      <c r="B50" s="287" t="s">
        <v>890</v>
      </c>
      <c r="C50" s="287" t="s">
        <v>890</v>
      </c>
      <c r="D50" s="287" t="s">
        <v>890</v>
      </c>
      <c r="E50" s="90"/>
    </row>
    <row r="51" spans="1:5">
      <c r="A51" t="s">
        <v>145</v>
      </c>
      <c r="B51" s="287">
        <v>0.41289999999999999</v>
      </c>
      <c r="C51" s="287" t="s">
        <v>162</v>
      </c>
      <c r="D51" s="287">
        <v>28.24562555181247</v>
      </c>
      <c r="E51" s="90"/>
    </row>
    <row r="52" spans="1:5">
      <c r="A52" t="s">
        <v>998</v>
      </c>
      <c r="B52" s="287" t="s">
        <v>890</v>
      </c>
      <c r="C52" s="287" t="s">
        <v>890</v>
      </c>
      <c r="D52" s="287" t="s">
        <v>890</v>
      </c>
      <c r="E52" s="90"/>
    </row>
    <row r="53" spans="1:5">
      <c r="A53" t="s">
        <v>1000</v>
      </c>
      <c r="B53" s="287" t="s">
        <v>890</v>
      </c>
      <c r="C53" s="287" t="s">
        <v>890</v>
      </c>
      <c r="D53" s="287" t="s">
        <v>890</v>
      </c>
      <c r="E53" s="90"/>
    </row>
    <row r="54" spans="1:5">
      <c r="A54" t="s">
        <v>1389</v>
      </c>
      <c r="B54" s="287" t="s">
        <v>890</v>
      </c>
      <c r="C54" s="287" t="s">
        <v>890</v>
      </c>
      <c r="D54" s="287" t="s">
        <v>890</v>
      </c>
      <c r="E54" s="90"/>
    </row>
    <row r="55" spans="1:5">
      <c r="A55" t="s">
        <v>11</v>
      </c>
      <c r="B55" s="287" t="s">
        <v>890</v>
      </c>
      <c r="C55" s="287" t="s">
        <v>890</v>
      </c>
      <c r="D55" s="287" t="s">
        <v>890</v>
      </c>
      <c r="E55" s="90"/>
    </row>
    <row r="56" spans="1:5">
      <c r="A56" t="s">
        <v>1390</v>
      </c>
      <c r="B56" s="287" t="s">
        <v>890</v>
      </c>
      <c r="C56" s="287" t="s">
        <v>890</v>
      </c>
      <c r="D56" s="287" t="s">
        <v>890</v>
      </c>
      <c r="E56" s="90"/>
    </row>
    <row r="57" spans="1:5">
      <c r="A57" t="s">
        <v>1173</v>
      </c>
      <c r="B57" s="287" t="s">
        <v>890</v>
      </c>
      <c r="C57" s="287" t="s">
        <v>890</v>
      </c>
      <c r="D57" s="287" t="s">
        <v>890</v>
      </c>
      <c r="E57" s="90"/>
    </row>
    <row r="58" spans="1:5">
      <c r="A58" t="s">
        <v>57</v>
      </c>
      <c r="B58" s="287" t="s">
        <v>890</v>
      </c>
      <c r="C58" s="287" t="s">
        <v>890</v>
      </c>
      <c r="D58" s="287" t="s">
        <v>890</v>
      </c>
      <c r="E58" s="90"/>
    </row>
    <row r="59" spans="1:5">
      <c r="A59" t="s">
        <v>189</v>
      </c>
      <c r="B59" s="287" t="s">
        <v>890</v>
      </c>
      <c r="C59" s="287" t="s">
        <v>890</v>
      </c>
      <c r="D59" s="287" t="s">
        <v>890</v>
      </c>
      <c r="E59" s="90"/>
    </row>
    <row r="60" spans="1:5">
      <c r="A60" t="s">
        <v>42</v>
      </c>
      <c r="B60" s="287" t="s">
        <v>890</v>
      </c>
      <c r="C60" s="287" t="s">
        <v>890</v>
      </c>
      <c r="D60" s="287" t="s">
        <v>890</v>
      </c>
      <c r="E60" s="90"/>
    </row>
    <row r="61" spans="1:5">
      <c r="A61" t="s">
        <v>1001</v>
      </c>
      <c r="B61" s="287" t="s">
        <v>890</v>
      </c>
      <c r="C61" s="287" t="s">
        <v>890</v>
      </c>
      <c r="D61" s="287" t="s">
        <v>890</v>
      </c>
      <c r="E61" s="90"/>
    </row>
    <row r="62" spans="1:5">
      <c r="A62" t="s">
        <v>1364</v>
      </c>
      <c r="B62" s="287" t="s">
        <v>890</v>
      </c>
      <c r="C62" s="287" t="s">
        <v>890</v>
      </c>
      <c r="D62" s="287" t="s">
        <v>890</v>
      </c>
      <c r="E62" s="90"/>
    </row>
    <row r="63" spans="1:5">
      <c r="A63" t="s">
        <v>23</v>
      </c>
      <c r="B63" s="287">
        <v>4.0000000000000036E-3</v>
      </c>
      <c r="C63" s="287" t="s">
        <v>972</v>
      </c>
      <c r="D63" s="287">
        <v>17.571204254650194</v>
      </c>
      <c r="E63" s="90"/>
    </row>
    <row r="64" spans="1:5">
      <c r="A64" t="s">
        <v>135</v>
      </c>
      <c r="B64" s="287" t="s">
        <v>890</v>
      </c>
      <c r="C64" s="287" t="s">
        <v>890</v>
      </c>
      <c r="D64" s="287" t="s">
        <v>890</v>
      </c>
      <c r="E64" s="90"/>
    </row>
    <row r="65" spans="1:5">
      <c r="A65" t="s">
        <v>58</v>
      </c>
      <c r="B65" s="287">
        <v>0.10449999999999998</v>
      </c>
      <c r="C65" s="287" t="s">
        <v>1076</v>
      </c>
      <c r="D65" s="287">
        <v>0.82368335740177723</v>
      </c>
      <c r="E65" s="90"/>
    </row>
    <row r="66" spans="1:5">
      <c r="A66" t="s">
        <v>1177</v>
      </c>
      <c r="B66" s="287">
        <v>0.10449999999999998</v>
      </c>
      <c r="C66" s="287" t="s">
        <v>1076</v>
      </c>
      <c r="D66" s="287">
        <v>0.82368335740177723</v>
      </c>
      <c r="E66" s="90"/>
    </row>
    <row r="67" spans="1:5">
      <c r="A67" t="s">
        <v>1003</v>
      </c>
      <c r="B67" s="287" t="s">
        <v>890</v>
      </c>
      <c r="C67" s="287" t="s">
        <v>890</v>
      </c>
      <c r="D67" s="287" t="s">
        <v>890</v>
      </c>
      <c r="E67" s="90"/>
    </row>
    <row r="68" spans="1:5">
      <c r="A68" t="s">
        <v>1006</v>
      </c>
      <c r="B68" s="287" t="s">
        <v>890</v>
      </c>
      <c r="C68" s="287" t="s">
        <v>890</v>
      </c>
      <c r="D68" s="287" t="s">
        <v>890</v>
      </c>
      <c r="E68" s="90"/>
    </row>
    <row r="69" spans="1:5">
      <c r="A69" t="s">
        <v>1178</v>
      </c>
      <c r="B69" s="287" t="s">
        <v>890</v>
      </c>
      <c r="C69" s="287" t="s">
        <v>890</v>
      </c>
      <c r="D69" s="287" t="s">
        <v>890</v>
      </c>
      <c r="E69" s="90"/>
    </row>
    <row r="70" spans="1:5">
      <c r="A70" t="s">
        <v>1372</v>
      </c>
      <c r="B70" s="287" t="s">
        <v>890</v>
      </c>
      <c r="C70" s="287" t="s">
        <v>890</v>
      </c>
      <c r="D70" s="287" t="s">
        <v>890</v>
      </c>
      <c r="E70" s="90"/>
    </row>
    <row r="71" spans="1:5">
      <c r="A71" t="s">
        <v>74</v>
      </c>
      <c r="B71" s="287">
        <v>0.10440000000000005</v>
      </c>
      <c r="C71" s="287" t="s">
        <v>27</v>
      </c>
      <c r="D71" s="287">
        <v>34.563527577899613</v>
      </c>
      <c r="E71" s="90"/>
    </row>
    <row r="72" spans="1:5">
      <c r="A72" t="s">
        <v>137</v>
      </c>
      <c r="B72" s="287" t="s">
        <v>890</v>
      </c>
      <c r="C72" s="287" t="s">
        <v>890</v>
      </c>
      <c r="D72" s="287" t="s">
        <v>890</v>
      </c>
      <c r="E72" s="90"/>
    </row>
    <row r="73" spans="1:5">
      <c r="A73" t="s">
        <v>1391</v>
      </c>
      <c r="B73" s="287" t="s">
        <v>890</v>
      </c>
      <c r="C73" s="287" t="s">
        <v>890</v>
      </c>
      <c r="D73" s="287" t="s">
        <v>890</v>
      </c>
      <c r="E73" s="90"/>
    </row>
    <row r="74" spans="1:5">
      <c r="A74" t="s">
        <v>139</v>
      </c>
      <c r="B74" s="287">
        <v>0.20709999999999995</v>
      </c>
      <c r="C74" s="287" t="s">
        <v>167</v>
      </c>
      <c r="D74" s="287">
        <v>26.875203969712068</v>
      </c>
      <c r="E74" s="90"/>
    </row>
    <row r="75" spans="1:5">
      <c r="A75" t="s">
        <v>141</v>
      </c>
      <c r="B75" s="287" t="s">
        <v>890</v>
      </c>
      <c r="C75" s="287" t="s">
        <v>890</v>
      </c>
      <c r="D75" s="287" t="s">
        <v>890</v>
      </c>
      <c r="E75" s="90"/>
    </row>
    <row r="76" spans="1:5">
      <c r="A76" t="s">
        <v>75</v>
      </c>
      <c r="B76" s="287" t="s">
        <v>890</v>
      </c>
      <c r="C76" s="287" t="s">
        <v>890</v>
      </c>
      <c r="D76" s="287" t="s">
        <v>890</v>
      </c>
      <c r="E76" s="90"/>
    </row>
    <row r="77" spans="1:5">
      <c r="A77" t="s">
        <v>76</v>
      </c>
      <c r="B77" s="287">
        <v>3.839999999999999E-2</v>
      </c>
      <c r="C77" s="287" t="s">
        <v>214</v>
      </c>
      <c r="D77" s="287">
        <v>6.9666737999467099</v>
      </c>
      <c r="E77" s="90"/>
    </row>
    <row r="78" spans="1:5">
      <c r="A78" t="s">
        <v>1010</v>
      </c>
      <c r="B78" s="287" t="s">
        <v>890</v>
      </c>
      <c r="C78" s="287" t="s">
        <v>890</v>
      </c>
      <c r="D78" s="287" t="s">
        <v>890</v>
      </c>
      <c r="E78" s="90"/>
    </row>
    <row r="79" spans="1:5">
      <c r="A79" t="s">
        <v>1373</v>
      </c>
      <c r="B79" s="287" t="s">
        <v>890</v>
      </c>
      <c r="C79" s="287" t="s">
        <v>890</v>
      </c>
      <c r="D79" s="287" t="s">
        <v>890</v>
      </c>
      <c r="E79" s="90"/>
    </row>
    <row r="80" spans="1:5">
      <c r="A80" t="s">
        <v>1011</v>
      </c>
      <c r="B80" s="287" t="s">
        <v>890</v>
      </c>
      <c r="C80" s="287" t="s">
        <v>890</v>
      </c>
      <c r="D80" s="287" t="s">
        <v>890</v>
      </c>
      <c r="E80" s="90"/>
    </row>
    <row r="81" spans="1:5">
      <c r="A81" t="s">
        <v>143</v>
      </c>
      <c r="B81" s="287" t="s">
        <v>890</v>
      </c>
      <c r="C81" s="287" t="s">
        <v>890</v>
      </c>
      <c r="D81" s="287" t="s">
        <v>890</v>
      </c>
      <c r="E81" s="90"/>
    </row>
    <row r="82" spans="1:5">
      <c r="A82" t="s">
        <v>1392</v>
      </c>
      <c r="B82" s="287" t="s">
        <v>890</v>
      </c>
      <c r="C82" s="287" t="s">
        <v>890</v>
      </c>
      <c r="D82" s="287" t="s">
        <v>890</v>
      </c>
      <c r="E82" s="90"/>
    </row>
    <row r="83" spans="1:5">
      <c r="A83" t="s">
        <v>1393</v>
      </c>
      <c r="B83" s="287" t="s">
        <v>890</v>
      </c>
      <c r="C83" s="287" t="s">
        <v>890</v>
      </c>
      <c r="D83" s="287" t="s">
        <v>890</v>
      </c>
      <c r="E83" s="90"/>
    </row>
    <row r="84" spans="1:5">
      <c r="A84" t="s">
        <v>1394</v>
      </c>
      <c r="B84" s="287" t="s">
        <v>890</v>
      </c>
      <c r="C84" s="287" t="s">
        <v>890</v>
      </c>
      <c r="D84" s="287" t="s">
        <v>890</v>
      </c>
      <c r="E84" s="90"/>
    </row>
    <row r="85" spans="1:5">
      <c r="A85" t="s">
        <v>17</v>
      </c>
      <c r="B85" s="287" t="s">
        <v>890</v>
      </c>
      <c r="C85" s="287" t="s">
        <v>890</v>
      </c>
      <c r="D85" s="287" t="s">
        <v>890</v>
      </c>
      <c r="E85" s="90"/>
    </row>
    <row r="86" spans="1:5">
      <c r="A86" t="s">
        <v>1012</v>
      </c>
      <c r="B86" s="287" t="s">
        <v>890</v>
      </c>
      <c r="C86" s="287" t="s">
        <v>890</v>
      </c>
      <c r="D86" s="287" t="s">
        <v>890</v>
      </c>
      <c r="E86" s="90"/>
    </row>
    <row r="87" spans="1:5">
      <c r="A87" t="s">
        <v>256</v>
      </c>
      <c r="B87" s="287">
        <v>7.2699999999999987E-2</v>
      </c>
      <c r="C87" s="287" t="s">
        <v>93</v>
      </c>
      <c r="D87" s="287">
        <v>24.078116716451277</v>
      </c>
      <c r="E87" s="90"/>
    </row>
    <row r="88" spans="1:5">
      <c r="A88" t="s">
        <v>77</v>
      </c>
      <c r="B88" s="287" t="s">
        <v>890</v>
      </c>
      <c r="C88" s="287" t="s">
        <v>890</v>
      </c>
      <c r="D88" s="287" t="s">
        <v>890</v>
      </c>
      <c r="E88" s="90"/>
    </row>
    <row r="89" spans="1:5">
      <c r="A89" t="s">
        <v>1395</v>
      </c>
      <c r="B89" s="287" t="s">
        <v>890</v>
      </c>
      <c r="C89" s="287" t="s">
        <v>890</v>
      </c>
      <c r="D89" s="287" t="s">
        <v>890</v>
      </c>
      <c r="E89" s="90"/>
    </row>
    <row r="90" spans="1:5">
      <c r="A90" t="s">
        <v>1167</v>
      </c>
      <c r="B90" s="287" t="s">
        <v>890</v>
      </c>
      <c r="C90" s="287" t="s">
        <v>890</v>
      </c>
      <c r="D90" s="287" t="s">
        <v>890</v>
      </c>
      <c r="E90" s="90"/>
    </row>
    <row r="91" spans="1:5">
      <c r="A91" t="s">
        <v>148</v>
      </c>
      <c r="B91" s="287">
        <v>2.0999999999999908E-3</v>
      </c>
      <c r="C91" s="287" t="s">
        <v>75</v>
      </c>
      <c r="D91" s="287">
        <v>30.82769905270068</v>
      </c>
      <c r="E91" s="90"/>
    </row>
    <row r="92" spans="1:5">
      <c r="A92" t="s">
        <v>78</v>
      </c>
      <c r="B92" s="287" t="s">
        <v>890</v>
      </c>
      <c r="C92" s="287" t="s">
        <v>890</v>
      </c>
      <c r="D92" s="287" t="s">
        <v>890</v>
      </c>
      <c r="E92" s="90"/>
    </row>
    <row r="93" spans="1:5">
      <c r="A93" t="s">
        <v>79</v>
      </c>
      <c r="B93" s="287" t="s">
        <v>890</v>
      </c>
      <c r="C93" s="287" t="s">
        <v>890</v>
      </c>
      <c r="D93" s="287" t="s">
        <v>890</v>
      </c>
      <c r="E93" s="90"/>
    </row>
    <row r="94" spans="1:5">
      <c r="A94" t="s">
        <v>1015</v>
      </c>
      <c r="B94" s="287" t="s">
        <v>890</v>
      </c>
      <c r="C94" s="287" t="s">
        <v>890</v>
      </c>
      <c r="D94" s="287" t="s">
        <v>890</v>
      </c>
      <c r="E94" s="90"/>
    </row>
    <row r="95" spans="1:5">
      <c r="A95" t="s">
        <v>8</v>
      </c>
      <c r="B95" s="287" t="s">
        <v>890</v>
      </c>
      <c r="C95" s="287" t="s">
        <v>890</v>
      </c>
      <c r="D95" s="287" t="s">
        <v>890</v>
      </c>
      <c r="E95" s="90"/>
    </row>
    <row r="96" spans="1:5">
      <c r="A96" t="s">
        <v>18</v>
      </c>
      <c r="B96" s="287">
        <v>4.799999999999971E-3</v>
      </c>
      <c r="C96" s="287" t="s">
        <v>1173</v>
      </c>
      <c r="D96" s="287">
        <v>21.893152893820062</v>
      </c>
      <c r="E96" s="90"/>
    </row>
    <row r="97" spans="1:5">
      <c r="A97" t="s">
        <v>1396</v>
      </c>
      <c r="B97" s="287" t="s">
        <v>890</v>
      </c>
      <c r="C97" s="287" t="s">
        <v>890</v>
      </c>
      <c r="D97" s="287" t="s">
        <v>890</v>
      </c>
      <c r="E97" s="90"/>
    </row>
    <row r="98" spans="1:5">
      <c r="A98" t="s">
        <v>60</v>
      </c>
      <c r="B98" s="287" t="s">
        <v>890</v>
      </c>
      <c r="C98" s="287" t="s">
        <v>890</v>
      </c>
      <c r="D98" s="287" t="s">
        <v>890</v>
      </c>
      <c r="E98" s="90"/>
    </row>
    <row r="99" spans="1:5">
      <c r="A99" t="s">
        <v>1375</v>
      </c>
      <c r="B99" s="287" t="s">
        <v>890</v>
      </c>
      <c r="C99" s="287" t="s">
        <v>890</v>
      </c>
      <c r="D99" s="287" t="s">
        <v>890</v>
      </c>
      <c r="E99" s="90"/>
    </row>
    <row r="100" spans="1:5">
      <c r="A100" t="s">
        <v>61</v>
      </c>
      <c r="B100" s="287" t="s">
        <v>890</v>
      </c>
      <c r="C100" s="287" t="s">
        <v>890</v>
      </c>
      <c r="D100" s="287" t="s">
        <v>890</v>
      </c>
      <c r="E100" s="90"/>
    </row>
    <row r="101" spans="1:5">
      <c r="A101" t="s">
        <v>80</v>
      </c>
      <c r="B101" s="287" t="s">
        <v>890</v>
      </c>
      <c r="C101" s="287" t="s">
        <v>890</v>
      </c>
      <c r="D101" s="287" t="s">
        <v>890</v>
      </c>
      <c r="E101" s="90"/>
    </row>
    <row r="102" spans="1:5">
      <c r="A102" t="s">
        <v>1018</v>
      </c>
      <c r="B102" s="287" t="s">
        <v>890</v>
      </c>
      <c r="C102" s="287" t="s">
        <v>890</v>
      </c>
      <c r="D102" s="287" t="s">
        <v>890</v>
      </c>
      <c r="E102" s="90"/>
    </row>
    <row r="103" spans="1:5">
      <c r="A103" t="s">
        <v>14</v>
      </c>
      <c r="B103" s="287">
        <v>0.26910000000000001</v>
      </c>
      <c r="C103" s="287" t="s">
        <v>8</v>
      </c>
      <c r="D103" s="287">
        <v>33.394967741078744</v>
      </c>
      <c r="E103" s="90"/>
    </row>
    <row r="104" spans="1:5">
      <c r="A104" t="s">
        <v>19</v>
      </c>
      <c r="B104" s="287">
        <v>4.7399999999999998E-2</v>
      </c>
      <c r="C104" s="287" t="s">
        <v>73</v>
      </c>
      <c r="D104" s="287">
        <v>16.819255833829892</v>
      </c>
      <c r="E104" s="90"/>
    </row>
    <row r="105" spans="1:5">
      <c r="A105" t="s">
        <v>152</v>
      </c>
      <c r="B105" s="287" t="s">
        <v>890</v>
      </c>
      <c r="C105" s="287" t="s">
        <v>890</v>
      </c>
      <c r="D105" s="287" t="s">
        <v>890</v>
      </c>
      <c r="E105" s="90"/>
    </row>
    <row r="106" spans="1:5">
      <c r="A106" t="s">
        <v>81</v>
      </c>
      <c r="B106" s="287" t="s">
        <v>890</v>
      </c>
      <c r="C106" s="287" t="s">
        <v>890</v>
      </c>
      <c r="D106" s="287" t="s">
        <v>890</v>
      </c>
      <c r="E106" s="90"/>
    </row>
    <row r="107" spans="1:5">
      <c r="A107" t="s">
        <v>37</v>
      </c>
      <c r="B107" s="287" t="s">
        <v>890</v>
      </c>
      <c r="C107" s="287" t="s">
        <v>890</v>
      </c>
      <c r="D107" s="287" t="s">
        <v>890</v>
      </c>
      <c r="E107" s="90"/>
    </row>
    <row r="108" spans="1:5">
      <c r="A108" t="s">
        <v>1021</v>
      </c>
      <c r="B108" s="287" t="s">
        <v>890</v>
      </c>
      <c r="C108" s="287" t="s">
        <v>890</v>
      </c>
      <c r="D108" s="287" t="s">
        <v>890</v>
      </c>
      <c r="E108" s="90"/>
    </row>
    <row r="109" spans="1:5">
      <c r="A109" t="s">
        <v>1397</v>
      </c>
      <c r="B109" s="287" t="s">
        <v>890</v>
      </c>
      <c r="C109" s="287" t="s">
        <v>890</v>
      </c>
      <c r="D109" s="287" t="s">
        <v>890</v>
      </c>
      <c r="E109" s="90"/>
    </row>
    <row r="110" spans="1:5">
      <c r="A110" t="s">
        <v>154</v>
      </c>
      <c r="B110" s="287" t="s">
        <v>890</v>
      </c>
      <c r="C110" s="287" t="s">
        <v>890</v>
      </c>
      <c r="D110" s="287" t="s">
        <v>890</v>
      </c>
      <c r="E110" s="90"/>
    </row>
    <row r="111" spans="1:5">
      <c r="A111" t="s">
        <v>1022</v>
      </c>
      <c r="B111" s="287" t="s">
        <v>890</v>
      </c>
      <c r="C111" s="287" t="s">
        <v>890</v>
      </c>
      <c r="D111" s="287" t="s">
        <v>890</v>
      </c>
      <c r="E111" s="90"/>
    </row>
    <row r="112" spans="1:5">
      <c r="A112" t="s">
        <v>1024</v>
      </c>
      <c r="B112" s="287" t="s">
        <v>890</v>
      </c>
      <c r="C112" s="287" t="s">
        <v>890</v>
      </c>
      <c r="D112" s="287" t="s">
        <v>890</v>
      </c>
      <c r="E112" s="90"/>
    </row>
    <row r="113" spans="1:5">
      <c r="A113" t="s">
        <v>294</v>
      </c>
      <c r="B113" s="287" t="s">
        <v>890</v>
      </c>
      <c r="C113" s="287" t="s">
        <v>890</v>
      </c>
      <c r="D113" s="287" t="s">
        <v>890</v>
      </c>
      <c r="E113" s="90"/>
    </row>
    <row r="114" spans="1:5">
      <c r="A114" t="s">
        <v>1398</v>
      </c>
      <c r="B114" s="287" t="s">
        <v>890</v>
      </c>
      <c r="C114" s="287" t="s">
        <v>890</v>
      </c>
      <c r="D114" s="287" t="s">
        <v>890</v>
      </c>
      <c r="E114" s="90"/>
    </row>
    <row r="115" spans="1:5">
      <c r="A115" t="s">
        <v>1399</v>
      </c>
      <c r="B115" s="287" t="s">
        <v>890</v>
      </c>
      <c r="C115" s="287" t="s">
        <v>890</v>
      </c>
      <c r="D115" s="287" t="s">
        <v>890</v>
      </c>
      <c r="E115" s="90"/>
    </row>
    <row r="116" spans="1:5">
      <c r="A116" t="s">
        <v>15</v>
      </c>
      <c r="B116" s="287" t="s">
        <v>890</v>
      </c>
      <c r="C116" s="287" t="s">
        <v>890</v>
      </c>
      <c r="D116" s="287" t="s">
        <v>890</v>
      </c>
      <c r="E116" s="90"/>
    </row>
    <row r="117" spans="1:5">
      <c r="A117" t="s">
        <v>208</v>
      </c>
      <c r="B117" s="287" t="s">
        <v>890</v>
      </c>
      <c r="C117" s="287" t="s">
        <v>890</v>
      </c>
      <c r="D117" s="287" t="s">
        <v>890</v>
      </c>
      <c r="E117" s="90"/>
    </row>
    <row r="118" spans="1:5">
      <c r="A118" t="s">
        <v>82</v>
      </c>
      <c r="B118" s="287" t="s">
        <v>890</v>
      </c>
      <c r="C118" s="287" t="s">
        <v>890</v>
      </c>
      <c r="D118" s="287" t="s">
        <v>890</v>
      </c>
      <c r="E118" s="90"/>
    </row>
    <row r="119" spans="1:5">
      <c r="A119" t="s">
        <v>1400</v>
      </c>
      <c r="B119" s="287" t="s">
        <v>890</v>
      </c>
      <c r="C119" s="287" t="s">
        <v>890</v>
      </c>
      <c r="D119" s="287" t="s">
        <v>890</v>
      </c>
      <c r="E119" s="90"/>
    </row>
    <row r="120" spans="1:5">
      <c r="A120" t="s">
        <v>112</v>
      </c>
      <c r="B120" s="287">
        <v>0.27599999999999997</v>
      </c>
      <c r="C120" s="287" t="s">
        <v>177</v>
      </c>
      <c r="D120" s="287">
        <v>25.473905404669953</v>
      </c>
      <c r="E120" s="90"/>
    </row>
    <row r="121" spans="1:5">
      <c r="A121" t="s">
        <v>1028</v>
      </c>
      <c r="B121" s="287">
        <v>0.1497</v>
      </c>
      <c r="C121" s="287" t="s">
        <v>296</v>
      </c>
      <c r="D121" s="287">
        <v>26.592590528098807</v>
      </c>
      <c r="E121" s="90"/>
    </row>
    <row r="122" spans="1:5">
      <c r="A122" t="s">
        <v>83</v>
      </c>
      <c r="B122" s="287" t="s">
        <v>890</v>
      </c>
      <c r="C122" s="287" t="s">
        <v>890</v>
      </c>
      <c r="D122" s="287" t="s">
        <v>890</v>
      </c>
      <c r="E122" s="90"/>
    </row>
    <row r="123" spans="1:5">
      <c r="A123" t="s">
        <v>1030</v>
      </c>
      <c r="B123" s="287" t="s">
        <v>890</v>
      </c>
      <c r="C123" s="287" t="s">
        <v>890</v>
      </c>
      <c r="D123" s="287" t="s">
        <v>890</v>
      </c>
      <c r="E123" s="90"/>
    </row>
    <row r="124" spans="1:5">
      <c r="A124" t="s">
        <v>296</v>
      </c>
      <c r="B124" s="287">
        <v>2.0000000000000004E-2</v>
      </c>
      <c r="C124" s="287" t="s">
        <v>867</v>
      </c>
      <c r="D124" s="287">
        <v>31.285718056838785</v>
      </c>
      <c r="E124" s="90"/>
    </row>
    <row r="125" spans="1:5">
      <c r="A125" t="s">
        <v>46</v>
      </c>
      <c r="B125" s="287">
        <v>2.6799999999999935E-2</v>
      </c>
      <c r="C125" s="287" t="s">
        <v>100</v>
      </c>
      <c r="D125" s="287">
        <v>19.030904882325487</v>
      </c>
      <c r="E125" s="90"/>
    </row>
    <row r="126" spans="1:5">
      <c r="A126" t="s">
        <v>162</v>
      </c>
      <c r="B126" s="287" t="s">
        <v>890</v>
      </c>
      <c r="C126" s="287" t="s">
        <v>890</v>
      </c>
      <c r="D126" s="287" t="s">
        <v>890</v>
      </c>
      <c r="E126" s="90"/>
    </row>
    <row r="127" spans="1:5">
      <c r="A127" t="s">
        <v>1401</v>
      </c>
      <c r="B127" s="287" t="s">
        <v>890</v>
      </c>
      <c r="C127" s="287" t="s">
        <v>890</v>
      </c>
      <c r="D127" s="287" t="s">
        <v>890</v>
      </c>
      <c r="E127" s="90"/>
    </row>
    <row r="128" spans="1:5">
      <c r="A128" t="s">
        <v>1031</v>
      </c>
      <c r="B128" s="287" t="s">
        <v>890</v>
      </c>
      <c r="C128" s="287" t="s">
        <v>890</v>
      </c>
      <c r="D128" s="287" t="s">
        <v>890</v>
      </c>
      <c r="E128" s="90"/>
    </row>
    <row r="129" spans="1:5">
      <c r="A129" t="s">
        <v>257</v>
      </c>
      <c r="B129" s="287" t="s">
        <v>890</v>
      </c>
      <c r="C129" s="287" t="s">
        <v>890</v>
      </c>
      <c r="D129" s="287" t="s">
        <v>890</v>
      </c>
      <c r="E129" s="90"/>
    </row>
    <row r="130" spans="1:5">
      <c r="A130" t="s">
        <v>84</v>
      </c>
      <c r="B130" s="287" t="s">
        <v>890</v>
      </c>
      <c r="C130" s="287" t="s">
        <v>890</v>
      </c>
      <c r="D130" s="287" t="s">
        <v>890</v>
      </c>
      <c r="E130" s="90"/>
    </row>
    <row r="131" spans="1:5">
      <c r="A131" t="s">
        <v>62</v>
      </c>
      <c r="B131" s="287" t="s">
        <v>890</v>
      </c>
      <c r="C131" s="287" t="s">
        <v>890</v>
      </c>
      <c r="D131" s="287" t="s">
        <v>890</v>
      </c>
      <c r="E131" s="90"/>
    </row>
    <row r="132" spans="1:5">
      <c r="A132" t="s">
        <v>159</v>
      </c>
      <c r="B132" s="287">
        <v>0.4224</v>
      </c>
      <c r="C132" s="287" t="s">
        <v>1173</v>
      </c>
      <c r="D132" s="287">
        <v>3.3353675379241365</v>
      </c>
      <c r="E132" s="90"/>
    </row>
    <row r="133" spans="1:5">
      <c r="A133" t="s">
        <v>43</v>
      </c>
      <c r="B133" s="287">
        <v>6.0599999999999987E-2</v>
      </c>
      <c r="C133" s="287" t="s">
        <v>30</v>
      </c>
      <c r="D133" s="287">
        <v>29.104200341126045</v>
      </c>
      <c r="E133" s="90"/>
    </row>
    <row r="134" spans="1:5">
      <c r="A134" t="s">
        <v>549</v>
      </c>
      <c r="B134" s="287" t="s">
        <v>890</v>
      </c>
      <c r="C134" s="287" t="s">
        <v>890</v>
      </c>
      <c r="D134" s="287" t="s">
        <v>890</v>
      </c>
      <c r="E134" s="90"/>
    </row>
    <row r="135" spans="1:5">
      <c r="A135" t="s">
        <v>1170</v>
      </c>
      <c r="B135" s="287">
        <v>2.0000000000000018E-3</v>
      </c>
      <c r="C135" s="287" t="s">
        <v>549</v>
      </c>
      <c r="D135" s="287">
        <v>20.998669708855644</v>
      </c>
      <c r="E135" s="90"/>
    </row>
    <row r="136" spans="1:5">
      <c r="A136" t="s">
        <v>44</v>
      </c>
      <c r="B136" s="287">
        <v>0.30469999999999997</v>
      </c>
      <c r="C136" s="287" t="s">
        <v>1022</v>
      </c>
      <c r="D136" s="287">
        <v>22.426479234262153</v>
      </c>
      <c r="E136" s="90"/>
    </row>
    <row r="137" spans="1:5">
      <c r="A137" t="s">
        <v>167</v>
      </c>
      <c r="B137" s="287" t="s">
        <v>890</v>
      </c>
      <c r="C137" s="287" t="s">
        <v>890</v>
      </c>
      <c r="D137" s="287" t="s">
        <v>890</v>
      </c>
      <c r="E137" s="90"/>
    </row>
    <row r="138" spans="1:5">
      <c r="A138" t="s">
        <v>38</v>
      </c>
      <c r="B138" s="287">
        <v>4.0000000000000036E-2</v>
      </c>
      <c r="C138" s="287" t="s">
        <v>1033</v>
      </c>
      <c r="D138" s="287">
        <v>34.563527577899613</v>
      </c>
      <c r="E138" s="90"/>
    </row>
    <row r="139" spans="1:5">
      <c r="A139" t="s">
        <v>169</v>
      </c>
      <c r="B139" s="287" t="s">
        <v>890</v>
      </c>
      <c r="C139" s="287" t="s">
        <v>890</v>
      </c>
      <c r="D139" s="287" t="s">
        <v>890</v>
      </c>
      <c r="E139" s="90"/>
    </row>
    <row r="140" spans="1:5">
      <c r="A140" t="s">
        <v>33</v>
      </c>
      <c r="B140" s="287" t="s">
        <v>890</v>
      </c>
      <c r="C140" s="287" t="s">
        <v>890</v>
      </c>
      <c r="D140" s="287" t="s">
        <v>890</v>
      </c>
      <c r="E140" s="90"/>
    </row>
    <row r="141" spans="1:5">
      <c r="A141" t="s">
        <v>85</v>
      </c>
      <c r="B141" s="287" t="s">
        <v>890</v>
      </c>
      <c r="C141" s="287" t="s">
        <v>890</v>
      </c>
      <c r="D141" s="287" t="s">
        <v>890</v>
      </c>
      <c r="E141" s="90"/>
    </row>
    <row r="142" spans="1:5">
      <c r="A142" t="s">
        <v>258</v>
      </c>
      <c r="B142" s="287">
        <v>0.3526999999999999</v>
      </c>
      <c r="C142" s="287" t="s">
        <v>93</v>
      </c>
      <c r="D142" s="287">
        <v>24.078116716451277</v>
      </c>
      <c r="E142" s="90"/>
    </row>
    <row r="143" spans="1:5">
      <c r="A143" t="s">
        <v>1032</v>
      </c>
      <c r="B143" s="287" t="s">
        <v>890</v>
      </c>
      <c r="C143" s="287" t="s">
        <v>890</v>
      </c>
      <c r="D143" s="287" t="s">
        <v>890</v>
      </c>
      <c r="E143" s="90"/>
    </row>
    <row r="144" spans="1:5">
      <c r="A144" t="s">
        <v>173</v>
      </c>
      <c r="B144" s="287" t="s">
        <v>890</v>
      </c>
      <c r="C144" s="287" t="s">
        <v>890</v>
      </c>
      <c r="D144" s="287" t="s">
        <v>890</v>
      </c>
      <c r="E144" s="90"/>
    </row>
    <row r="145" spans="1:5">
      <c r="A145" t="s">
        <v>1033</v>
      </c>
      <c r="B145" s="287">
        <v>0.18469999999999998</v>
      </c>
      <c r="C145" s="287" t="s">
        <v>257</v>
      </c>
      <c r="D145" s="287">
        <v>30.772773446507021</v>
      </c>
      <c r="E145" s="90"/>
    </row>
    <row r="146" spans="1:5">
      <c r="A146" t="s">
        <v>177</v>
      </c>
      <c r="B146" s="287" t="s">
        <v>890</v>
      </c>
      <c r="C146" s="287" t="s">
        <v>890</v>
      </c>
      <c r="D146" s="287" t="s">
        <v>890</v>
      </c>
      <c r="E146" s="90"/>
    </row>
    <row r="147" spans="1:5">
      <c r="A147" t="s">
        <v>179</v>
      </c>
      <c r="B147" s="287">
        <v>0.11439999999999995</v>
      </c>
      <c r="C147" s="287" t="s">
        <v>1031</v>
      </c>
      <c r="D147" s="287">
        <v>27.344128918748623</v>
      </c>
      <c r="E147" s="90"/>
    </row>
    <row r="148" spans="1:5">
      <c r="A148" t="s">
        <v>181</v>
      </c>
      <c r="B148" s="287" t="s">
        <v>890</v>
      </c>
      <c r="C148" s="287" t="s">
        <v>890</v>
      </c>
      <c r="D148" s="287" t="s">
        <v>890</v>
      </c>
      <c r="E148" s="90"/>
    </row>
    <row r="149" spans="1:5">
      <c r="A149" t="s">
        <v>1402</v>
      </c>
      <c r="B149" s="287" t="s">
        <v>890</v>
      </c>
      <c r="C149" s="287" t="s">
        <v>890</v>
      </c>
      <c r="D149" s="287" t="s">
        <v>890</v>
      </c>
      <c r="E149" s="90"/>
    </row>
    <row r="150" spans="1:5">
      <c r="A150" t="s">
        <v>1403</v>
      </c>
      <c r="B150" s="287" t="s">
        <v>890</v>
      </c>
      <c r="C150" s="287" t="s">
        <v>890</v>
      </c>
      <c r="D150" s="287" t="s">
        <v>890</v>
      </c>
      <c r="E150" s="90"/>
    </row>
    <row r="151" spans="1:5">
      <c r="A151" t="s">
        <v>1404</v>
      </c>
      <c r="B151" s="287" t="s">
        <v>890</v>
      </c>
      <c r="C151" s="287" t="s">
        <v>890</v>
      </c>
      <c r="D151" s="287" t="s">
        <v>890</v>
      </c>
      <c r="E151" s="90"/>
    </row>
    <row r="152" spans="1:5">
      <c r="A152" t="s">
        <v>86</v>
      </c>
      <c r="B152" s="287">
        <v>1.4000000000000012E-2</v>
      </c>
      <c r="C152" s="287" t="s">
        <v>241</v>
      </c>
      <c r="D152" s="287">
        <v>27.128320227687222</v>
      </c>
      <c r="E152" s="90"/>
    </row>
    <row r="153" spans="1:5">
      <c r="A153" t="s">
        <v>1376</v>
      </c>
      <c r="B153" s="287" t="s">
        <v>890</v>
      </c>
      <c r="C153" s="287" t="s">
        <v>890</v>
      </c>
      <c r="D153" s="287" t="s">
        <v>890</v>
      </c>
      <c r="E153" s="90"/>
    </row>
    <row r="154" spans="1:5">
      <c r="A154" s="93" t="s">
        <v>1034</v>
      </c>
      <c r="B154" s="719" t="s">
        <v>890</v>
      </c>
      <c r="C154" s="719" t="s">
        <v>890</v>
      </c>
      <c r="D154" s="719" t="s">
        <v>890</v>
      </c>
      <c r="E154" s="90"/>
    </row>
    <row r="155" spans="1:5">
      <c r="A155" t="s">
        <v>185</v>
      </c>
      <c r="B155" s="287">
        <v>0.11000000000000004</v>
      </c>
      <c r="C155" s="287" t="s">
        <v>972</v>
      </c>
      <c r="D155" s="287">
        <v>25.576732992705111</v>
      </c>
      <c r="E155" s="90"/>
    </row>
    <row r="156" spans="1:5">
      <c r="A156" t="s">
        <v>87</v>
      </c>
      <c r="B156" s="287">
        <v>6.0999999999999943E-3</v>
      </c>
      <c r="C156" s="287" t="s">
        <v>95</v>
      </c>
      <c r="D156" s="287">
        <v>26.488116280784467</v>
      </c>
      <c r="E156" s="90"/>
    </row>
    <row r="157" spans="1:5">
      <c r="A157" t="s">
        <v>1405</v>
      </c>
      <c r="B157" s="287" t="s">
        <v>890</v>
      </c>
      <c r="C157" s="287" t="s">
        <v>890</v>
      </c>
      <c r="D157" s="287" t="s">
        <v>890</v>
      </c>
      <c r="E157" s="90"/>
    </row>
    <row r="158" spans="1:5">
      <c r="A158" t="s">
        <v>1035</v>
      </c>
      <c r="B158" s="287" t="s">
        <v>890</v>
      </c>
      <c r="C158" s="287" t="s">
        <v>890</v>
      </c>
      <c r="D158" s="287" t="s">
        <v>890</v>
      </c>
      <c r="E158" s="90"/>
    </row>
    <row r="159" spans="1:5">
      <c r="A159" t="s">
        <v>16</v>
      </c>
      <c r="B159" s="287" t="s">
        <v>890</v>
      </c>
      <c r="C159" s="287" t="s">
        <v>890</v>
      </c>
      <c r="D159" s="287" t="s">
        <v>890</v>
      </c>
      <c r="E159" s="90"/>
    </row>
    <row r="160" spans="1:5">
      <c r="A160" t="s">
        <v>1406</v>
      </c>
      <c r="B160" s="287" t="s">
        <v>890</v>
      </c>
      <c r="C160" s="287" t="s">
        <v>890</v>
      </c>
      <c r="D160" s="287" t="s">
        <v>890</v>
      </c>
      <c r="E160" s="90"/>
    </row>
    <row r="161" spans="1:5">
      <c r="A161" t="s">
        <v>28</v>
      </c>
      <c r="B161" s="287">
        <v>2.6999999999999247E-3</v>
      </c>
      <c r="C161" s="287" t="s">
        <v>1080</v>
      </c>
      <c r="D161" s="287">
        <v>20.810951680364802</v>
      </c>
      <c r="E161" s="90"/>
    </row>
    <row r="162" spans="1:5">
      <c r="A162" t="s">
        <v>1357</v>
      </c>
      <c r="B162" s="287" t="s">
        <v>890</v>
      </c>
      <c r="C162" s="287" t="s">
        <v>890</v>
      </c>
      <c r="D162" s="287" t="s">
        <v>890</v>
      </c>
      <c r="E162" s="90"/>
    </row>
    <row r="163" spans="1:5">
      <c r="A163" t="s">
        <v>1037</v>
      </c>
      <c r="B163" s="287">
        <v>0.19349999999999995</v>
      </c>
      <c r="C163" s="287" t="s">
        <v>1076</v>
      </c>
      <c r="D163" s="287">
        <v>16.074270999849656</v>
      </c>
      <c r="E163" s="90"/>
    </row>
    <row r="164" spans="1:5">
      <c r="A164" t="s">
        <v>1407</v>
      </c>
      <c r="B164" s="287" t="s">
        <v>890</v>
      </c>
      <c r="C164" s="287" t="s">
        <v>890</v>
      </c>
      <c r="D164" s="287" t="s">
        <v>890</v>
      </c>
      <c r="E164" s="90"/>
    </row>
    <row r="165" spans="1:5">
      <c r="A165" t="s">
        <v>867</v>
      </c>
      <c r="B165" s="287" t="s">
        <v>890</v>
      </c>
      <c r="C165" s="287" t="s">
        <v>890</v>
      </c>
      <c r="D165" s="287" t="s">
        <v>890</v>
      </c>
      <c r="E165" s="90"/>
    </row>
    <row r="166" spans="1:5">
      <c r="A166" t="s">
        <v>1038</v>
      </c>
      <c r="B166" s="287" t="s">
        <v>890</v>
      </c>
      <c r="C166" s="287" t="s">
        <v>890</v>
      </c>
      <c r="D166" s="287" t="s">
        <v>890</v>
      </c>
      <c r="E166" s="90"/>
    </row>
    <row r="167" spans="1:5">
      <c r="A167" t="s">
        <v>88</v>
      </c>
      <c r="B167" s="287">
        <v>0.60540000000000005</v>
      </c>
      <c r="C167" s="287" t="s">
        <v>409</v>
      </c>
      <c r="D167" s="287">
        <v>34.459931281169425</v>
      </c>
      <c r="E167" s="90"/>
    </row>
    <row r="168" spans="1:5">
      <c r="A168" t="s">
        <v>1174</v>
      </c>
      <c r="B168" s="287" t="s">
        <v>890</v>
      </c>
      <c r="C168" s="287" t="s">
        <v>890</v>
      </c>
      <c r="D168" s="287" t="s">
        <v>890</v>
      </c>
      <c r="E168" s="90"/>
    </row>
    <row r="169" spans="1:5">
      <c r="A169" t="s">
        <v>1408</v>
      </c>
      <c r="B169" s="287" t="s">
        <v>890</v>
      </c>
      <c r="C169" s="287" t="s">
        <v>890</v>
      </c>
      <c r="D169" s="287" t="s">
        <v>890</v>
      </c>
      <c r="E169" s="90"/>
    </row>
    <row r="170" spans="1:5">
      <c r="A170" t="s">
        <v>89</v>
      </c>
      <c r="B170" s="287">
        <v>1.7299999999999982E-2</v>
      </c>
      <c r="C170" s="287" t="s">
        <v>95</v>
      </c>
      <c r="D170" s="287">
        <v>17.636340357754079</v>
      </c>
      <c r="E170" s="90"/>
    </row>
    <row r="171" spans="1:5">
      <c r="A171" t="s">
        <v>1175</v>
      </c>
      <c r="B171" s="287" t="s">
        <v>890</v>
      </c>
      <c r="C171" s="287" t="s">
        <v>890</v>
      </c>
      <c r="D171" s="287" t="s">
        <v>890</v>
      </c>
      <c r="E171" s="90"/>
    </row>
    <row r="172" spans="1:5">
      <c r="A172" t="s">
        <v>1409</v>
      </c>
      <c r="B172" s="287" t="s">
        <v>890</v>
      </c>
      <c r="C172" s="287" t="s">
        <v>890</v>
      </c>
      <c r="D172" s="287" t="s">
        <v>890</v>
      </c>
      <c r="E172" s="90"/>
    </row>
    <row r="173" spans="1:5">
      <c r="A173" t="s">
        <v>1410</v>
      </c>
      <c r="B173" s="287" t="s">
        <v>890</v>
      </c>
      <c r="C173" s="287" t="s">
        <v>890</v>
      </c>
      <c r="D173" s="287" t="s">
        <v>890</v>
      </c>
      <c r="E173" s="90"/>
    </row>
    <row r="174" spans="1:5">
      <c r="A174" t="s">
        <v>1041</v>
      </c>
      <c r="B174" s="287" t="s">
        <v>890</v>
      </c>
      <c r="C174" s="287" t="s">
        <v>890</v>
      </c>
      <c r="D174" s="287" t="s">
        <v>890</v>
      </c>
      <c r="E174" s="90"/>
    </row>
    <row r="175" spans="1:5">
      <c r="A175" t="s">
        <v>1008</v>
      </c>
      <c r="B175" s="287" t="s">
        <v>890</v>
      </c>
      <c r="C175" s="287" t="s">
        <v>890</v>
      </c>
      <c r="D175" s="287" t="s">
        <v>890</v>
      </c>
      <c r="E175" s="90"/>
    </row>
    <row r="176" spans="1:5">
      <c r="A176" t="s">
        <v>1042</v>
      </c>
      <c r="B176" s="287" t="s">
        <v>890</v>
      </c>
      <c r="C176" s="287" t="s">
        <v>890</v>
      </c>
      <c r="D176" s="287" t="s">
        <v>890</v>
      </c>
      <c r="E176" s="90"/>
    </row>
    <row r="177" spans="1:5">
      <c r="A177" t="s">
        <v>196</v>
      </c>
      <c r="B177" s="287">
        <v>0.31999999999999995</v>
      </c>
      <c r="C177" s="287" t="s">
        <v>173</v>
      </c>
      <c r="D177" s="287">
        <v>23.233064581306632</v>
      </c>
      <c r="E177" s="90"/>
    </row>
    <row r="178" spans="1:5">
      <c r="A178" t="s">
        <v>39</v>
      </c>
      <c r="B178" s="287">
        <v>0.17999999999999994</v>
      </c>
      <c r="C178" s="287" t="s">
        <v>173</v>
      </c>
      <c r="D178" s="287">
        <v>17.690077652389796</v>
      </c>
      <c r="E178" s="90"/>
    </row>
    <row r="179" spans="1:5">
      <c r="A179" t="s">
        <v>1176</v>
      </c>
      <c r="B179" s="287" t="s">
        <v>890</v>
      </c>
      <c r="C179" s="287" t="s">
        <v>890</v>
      </c>
      <c r="D179" s="287" t="s">
        <v>890</v>
      </c>
      <c r="E179" s="90"/>
    </row>
    <row r="180" spans="1:5">
      <c r="A180" t="s">
        <v>1358</v>
      </c>
      <c r="B180" s="287" t="s">
        <v>890</v>
      </c>
      <c r="C180" s="287" t="s">
        <v>890</v>
      </c>
      <c r="D180" s="287" t="s">
        <v>890</v>
      </c>
      <c r="E180" s="90"/>
    </row>
    <row r="181" spans="1:5">
      <c r="A181" t="s">
        <v>201</v>
      </c>
      <c r="B181" s="287" t="s">
        <v>890</v>
      </c>
      <c r="C181" s="287" t="s">
        <v>890</v>
      </c>
      <c r="D181" s="287" t="s">
        <v>890</v>
      </c>
      <c r="E181" s="90"/>
    </row>
    <row r="182" spans="1:5">
      <c r="A182" t="s">
        <v>1180</v>
      </c>
      <c r="B182" s="287" t="s">
        <v>890</v>
      </c>
      <c r="C182" s="287" t="s">
        <v>890</v>
      </c>
      <c r="D182" s="287" t="s">
        <v>890</v>
      </c>
      <c r="E182" s="90"/>
    </row>
    <row r="183" spans="1:5">
      <c r="A183" t="s">
        <v>90</v>
      </c>
      <c r="B183" s="287">
        <v>0.15469999999999995</v>
      </c>
      <c r="C183" s="287" t="s">
        <v>167</v>
      </c>
      <c r="D183" s="287">
        <v>9.0262293641302236</v>
      </c>
      <c r="E183" s="90"/>
    </row>
    <row r="184" spans="1:5">
      <c r="A184" t="s">
        <v>1044</v>
      </c>
      <c r="B184" s="287" t="s">
        <v>890</v>
      </c>
      <c r="C184" s="287" t="s">
        <v>890</v>
      </c>
      <c r="D184" s="287" t="s">
        <v>890</v>
      </c>
      <c r="E184" s="90"/>
    </row>
    <row r="185" spans="1:5">
      <c r="A185" t="s">
        <v>250</v>
      </c>
      <c r="B185" s="287">
        <v>0.251</v>
      </c>
      <c r="C185" s="287" t="s">
        <v>91</v>
      </c>
      <c r="D185" s="287">
        <v>9.7408106824419889</v>
      </c>
      <c r="E185" s="90"/>
    </row>
    <row r="186" spans="1:5">
      <c r="A186" t="s">
        <v>91</v>
      </c>
      <c r="B186" s="287" t="s">
        <v>890</v>
      </c>
      <c r="C186" s="287" t="s">
        <v>890</v>
      </c>
      <c r="D186" s="287" t="s">
        <v>890</v>
      </c>
      <c r="E186" s="90"/>
    </row>
    <row r="187" spans="1:5">
      <c r="A187" t="s">
        <v>1046</v>
      </c>
      <c r="B187" s="287" t="s">
        <v>890</v>
      </c>
      <c r="C187" s="287" t="s">
        <v>890</v>
      </c>
      <c r="D187" s="287" t="s">
        <v>890</v>
      </c>
      <c r="E187" s="90"/>
    </row>
    <row r="188" spans="1:5">
      <c r="A188" t="s">
        <v>203</v>
      </c>
      <c r="B188" s="287" t="s">
        <v>890</v>
      </c>
      <c r="C188" s="287" t="s">
        <v>890</v>
      </c>
      <c r="D188" s="287" t="s">
        <v>890</v>
      </c>
      <c r="E188" s="90"/>
    </row>
    <row r="189" spans="1:5">
      <c r="A189" t="s">
        <v>35</v>
      </c>
      <c r="B189" s="287" t="s">
        <v>890</v>
      </c>
      <c r="C189" s="287" t="s">
        <v>890</v>
      </c>
      <c r="D189" s="287" t="s">
        <v>890</v>
      </c>
      <c r="E189" s="90"/>
    </row>
    <row r="190" spans="1:5">
      <c r="A190" t="s">
        <v>31</v>
      </c>
      <c r="B190" s="287" t="s">
        <v>890</v>
      </c>
      <c r="C190" s="287" t="s">
        <v>890</v>
      </c>
      <c r="D190" s="287" t="s">
        <v>890</v>
      </c>
      <c r="E190" s="90"/>
    </row>
    <row r="191" spans="1:5">
      <c r="A191" t="s">
        <v>21</v>
      </c>
      <c r="B191" s="287" t="s">
        <v>890</v>
      </c>
      <c r="C191" s="287" t="s">
        <v>890</v>
      </c>
      <c r="D191" s="287" t="s">
        <v>890</v>
      </c>
      <c r="E191" s="90"/>
    </row>
    <row r="192" spans="1:5">
      <c r="A192" t="s">
        <v>1048</v>
      </c>
      <c r="B192" s="287" t="s">
        <v>890</v>
      </c>
      <c r="C192" s="287" t="s">
        <v>890</v>
      </c>
      <c r="D192" s="287" t="s">
        <v>890</v>
      </c>
      <c r="E192" s="90"/>
    </row>
    <row r="193" spans="1:5">
      <c r="A193" t="s">
        <v>92</v>
      </c>
      <c r="B193" s="287">
        <v>2.7999999999999914E-2</v>
      </c>
      <c r="C193" s="287" t="s">
        <v>100</v>
      </c>
      <c r="D193" s="287">
        <v>19.030904882325487</v>
      </c>
      <c r="E193" s="90"/>
    </row>
    <row r="194" spans="1:5">
      <c r="A194" t="s">
        <v>1050</v>
      </c>
      <c r="B194" s="287">
        <v>0.18970000000000004</v>
      </c>
      <c r="C194" s="287" t="s">
        <v>66</v>
      </c>
      <c r="D194" s="287">
        <v>5.4709235527609783</v>
      </c>
      <c r="E194" s="90"/>
    </row>
    <row r="195" spans="1:5">
      <c r="A195" t="s">
        <v>1181</v>
      </c>
      <c r="B195" s="287">
        <v>0.19449999999999995</v>
      </c>
      <c r="C195" s="287" t="s">
        <v>66</v>
      </c>
      <c r="D195" s="287">
        <v>5.4709235527609783</v>
      </c>
      <c r="E195" s="90"/>
    </row>
    <row r="196" spans="1:5">
      <c r="A196" t="s">
        <v>1182</v>
      </c>
      <c r="B196" s="287">
        <v>0.18970000000000004</v>
      </c>
      <c r="C196" s="287" t="s">
        <v>66</v>
      </c>
      <c r="D196" s="287">
        <v>1.4878739400046477</v>
      </c>
      <c r="E196" s="90"/>
    </row>
    <row r="197" spans="1:5">
      <c r="A197" t="s">
        <v>209</v>
      </c>
      <c r="B197" s="287" t="s">
        <v>890</v>
      </c>
      <c r="C197" s="287" t="s">
        <v>890</v>
      </c>
      <c r="D197" s="287" t="s">
        <v>890</v>
      </c>
      <c r="E197" s="90"/>
    </row>
    <row r="198" spans="1:5">
      <c r="A198" t="s">
        <v>93</v>
      </c>
      <c r="B198" s="287">
        <v>2.1600000000000064E-2</v>
      </c>
      <c r="C198" s="287" t="s">
        <v>82</v>
      </c>
      <c r="D198" s="287">
        <v>34.09110660265312</v>
      </c>
      <c r="E198" s="90"/>
    </row>
    <row r="199" spans="1:5">
      <c r="A199" t="s">
        <v>214</v>
      </c>
      <c r="B199" s="287" t="s">
        <v>890</v>
      </c>
      <c r="C199" s="287" t="s">
        <v>890</v>
      </c>
      <c r="D199" s="287" t="s">
        <v>890</v>
      </c>
      <c r="E199" s="90"/>
    </row>
    <row r="200" spans="1:5">
      <c r="A200" t="s">
        <v>94</v>
      </c>
      <c r="B200" s="287">
        <v>5.9799999999999964E-2</v>
      </c>
      <c r="C200" s="287" t="s">
        <v>173</v>
      </c>
      <c r="D200" s="287">
        <v>33.871932831387838</v>
      </c>
      <c r="E200" s="90"/>
    </row>
    <row r="201" spans="1:5">
      <c r="A201" t="s">
        <v>1411</v>
      </c>
      <c r="B201" s="287" t="s">
        <v>890</v>
      </c>
      <c r="C201" s="287" t="s">
        <v>890</v>
      </c>
      <c r="D201" s="287" t="s">
        <v>890</v>
      </c>
      <c r="E201" s="90"/>
    </row>
    <row r="202" spans="1:5">
      <c r="A202" t="s">
        <v>29</v>
      </c>
      <c r="B202" s="287">
        <v>0.189</v>
      </c>
      <c r="C202" s="287" t="s">
        <v>177</v>
      </c>
      <c r="D202" s="287">
        <v>29.352821727710257</v>
      </c>
      <c r="E202" s="90"/>
    </row>
    <row r="203" spans="1:5">
      <c r="A203" t="s">
        <v>1412</v>
      </c>
      <c r="B203" s="287" t="s">
        <v>890</v>
      </c>
      <c r="C203" s="287" t="s">
        <v>890</v>
      </c>
      <c r="D203" s="287" t="s">
        <v>890</v>
      </c>
      <c r="E203" s="90"/>
    </row>
    <row r="204" spans="1:5">
      <c r="A204" t="s">
        <v>1052</v>
      </c>
      <c r="B204" s="287">
        <v>7.5799999999999979E-2</v>
      </c>
      <c r="C204" s="287" t="s">
        <v>173</v>
      </c>
      <c r="D204" s="287">
        <v>17.101139364925839</v>
      </c>
      <c r="E204" s="90"/>
    </row>
    <row r="205" spans="1:5">
      <c r="A205" t="s">
        <v>217</v>
      </c>
      <c r="B205" s="287">
        <v>0.2298</v>
      </c>
      <c r="C205" s="287" t="s">
        <v>549</v>
      </c>
      <c r="D205" s="287">
        <v>11.272627302728077</v>
      </c>
      <c r="E205" s="90"/>
    </row>
    <row r="206" spans="1:5">
      <c r="A206" t="s">
        <v>1413</v>
      </c>
      <c r="B206" s="287" t="s">
        <v>890</v>
      </c>
      <c r="C206" s="287" t="s">
        <v>890</v>
      </c>
      <c r="D206" s="287" t="s">
        <v>890</v>
      </c>
      <c r="E206" s="90"/>
    </row>
    <row r="207" spans="1:5">
      <c r="A207" t="s">
        <v>1414</v>
      </c>
      <c r="B207" s="287" t="s">
        <v>890</v>
      </c>
      <c r="C207" s="287" t="s">
        <v>890</v>
      </c>
      <c r="D207" s="287" t="s">
        <v>890</v>
      </c>
      <c r="E207" s="90"/>
    </row>
    <row r="208" spans="1:5">
      <c r="A208" t="s">
        <v>1053</v>
      </c>
      <c r="B208" s="287" t="s">
        <v>890</v>
      </c>
      <c r="C208" s="287" t="s">
        <v>890</v>
      </c>
      <c r="D208" s="287" t="s">
        <v>890</v>
      </c>
      <c r="E208" s="90"/>
    </row>
    <row r="209" spans="1:5">
      <c r="A209" t="s">
        <v>45</v>
      </c>
      <c r="B209" s="287">
        <v>0.31469999999999998</v>
      </c>
      <c r="C209" s="287" t="s">
        <v>1022</v>
      </c>
      <c r="D209" s="287">
        <v>27.803442574841739</v>
      </c>
      <c r="E209" s="90"/>
    </row>
    <row r="210" spans="1:5">
      <c r="A210" t="s">
        <v>1054</v>
      </c>
      <c r="B210" s="287" t="s">
        <v>890</v>
      </c>
      <c r="C210" s="287" t="s">
        <v>890</v>
      </c>
      <c r="D210" s="287" t="s">
        <v>890</v>
      </c>
      <c r="E210" s="90"/>
    </row>
    <row r="211" spans="1:5">
      <c r="A211" t="s">
        <v>1055</v>
      </c>
      <c r="B211" s="287">
        <v>8.9999999999999969E-2</v>
      </c>
      <c r="C211" s="287" t="s">
        <v>255</v>
      </c>
      <c r="D211" s="287">
        <v>27.8166211037708</v>
      </c>
      <c r="E211" s="90"/>
    </row>
    <row r="212" spans="1:5">
      <c r="A212" t="s">
        <v>550</v>
      </c>
      <c r="B212" s="287" t="s">
        <v>890</v>
      </c>
      <c r="C212" s="287" t="s">
        <v>890</v>
      </c>
      <c r="D212" s="287" t="s">
        <v>890</v>
      </c>
      <c r="E212" s="90"/>
    </row>
    <row r="213" spans="1:5">
      <c r="A213" t="s">
        <v>1415</v>
      </c>
      <c r="B213" s="287" t="s">
        <v>890</v>
      </c>
      <c r="C213" s="287" t="s">
        <v>890</v>
      </c>
      <c r="D213" s="287" t="s">
        <v>890</v>
      </c>
      <c r="E213" s="90"/>
    </row>
    <row r="214" spans="1:5">
      <c r="A214" t="s">
        <v>220</v>
      </c>
      <c r="B214" s="287" t="s">
        <v>890</v>
      </c>
      <c r="C214" s="287" t="s">
        <v>890</v>
      </c>
      <c r="D214" s="287" t="s">
        <v>890</v>
      </c>
      <c r="E214" s="90"/>
    </row>
    <row r="215" spans="1:5">
      <c r="A215" t="s">
        <v>95</v>
      </c>
      <c r="B215" s="287" t="s">
        <v>890</v>
      </c>
      <c r="C215" s="287" t="s">
        <v>890</v>
      </c>
      <c r="D215" s="287" t="s">
        <v>890</v>
      </c>
      <c r="E215" s="90"/>
    </row>
    <row r="216" spans="1:5">
      <c r="A216" t="s">
        <v>96</v>
      </c>
      <c r="B216" s="287">
        <v>3.3999999999999586E-3</v>
      </c>
      <c r="C216" s="287" t="s">
        <v>95</v>
      </c>
      <c r="D216" s="287">
        <v>3.2840731776440721</v>
      </c>
      <c r="E216" s="90"/>
    </row>
    <row r="217" spans="1:5">
      <c r="A217" t="s">
        <v>259</v>
      </c>
      <c r="B217" s="287" t="s">
        <v>890</v>
      </c>
      <c r="C217" s="287" t="s">
        <v>890</v>
      </c>
      <c r="D217" s="287" t="s">
        <v>890</v>
      </c>
      <c r="E217" s="90"/>
    </row>
    <row r="218" spans="1:5">
      <c r="A218" t="s">
        <v>1056</v>
      </c>
      <c r="B218" s="287" t="s">
        <v>890</v>
      </c>
      <c r="C218" s="287" t="s">
        <v>890</v>
      </c>
      <c r="D218" s="287" t="s">
        <v>890</v>
      </c>
      <c r="E218" s="90"/>
    </row>
    <row r="219" spans="1:5">
      <c r="A219" t="s">
        <v>210</v>
      </c>
      <c r="B219" s="287" t="s">
        <v>890</v>
      </c>
      <c r="C219" s="287" t="s">
        <v>890</v>
      </c>
      <c r="D219" s="287" t="s">
        <v>890</v>
      </c>
      <c r="E219" s="90"/>
    </row>
    <row r="220" spans="1:5">
      <c r="A220" t="s">
        <v>211</v>
      </c>
      <c r="B220" s="287" t="s">
        <v>890</v>
      </c>
      <c r="C220" s="287" t="s">
        <v>890</v>
      </c>
      <c r="D220" s="287" t="s">
        <v>890</v>
      </c>
      <c r="E220" s="90"/>
    </row>
    <row r="221" spans="1:5">
      <c r="A221" t="s">
        <v>1416</v>
      </c>
      <c r="B221" s="287" t="s">
        <v>890</v>
      </c>
      <c r="C221" s="287" t="s">
        <v>890</v>
      </c>
      <c r="D221" s="287" t="s">
        <v>890</v>
      </c>
      <c r="E221" s="90"/>
    </row>
    <row r="222" spans="1:5">
      <c r="A222" t="s">
        <v>1417</v>
      </c>
      <c r="B222" s="287" t="s">
        <v>890</v>
      </c>
      <c r="C222" s="287" t="s">
        <v>890</v>
      </c>
      <c r="D222" s="287" t="s">
        <v>890</v>
      </c>
      <c r="E222" s="90"/>
    </row>
    <row r="223" spans="1:5">
      <c r="A223" t="s">
        <v>1057</v>
      </c>
      <c r="B223" s="287" t="s">
        <v>890</v>
      </c>
      <c r="C223" s="287" t="s">
        <v>890</v>
      </c>
      <c r="D223" s="287" t="s">
        <v>890</v>
      </c>
      <c r="E223" s="90"/>
    </row>
    <row r="224" spans="1:5">
      <c r="A224" t="s">
        <v>233</v>
      </c>
      <c r="B224" s="287">
        <v>9.2399999999999927E-2</v>
      </c>
      <c r="C224" s="287" t="s">
        <v>1048</v>
      </c>
      <c r="D224" s="287">
        <v>24.146738650019763</v>
      </c>
      <c r="E224" s="90"/>
    </row>
    <row r="225" spans="1:5">
      <c r="A225" t="s">
        <v>1418</v>
      </c>
      <c r="B225" s="287" t="s">
        <v>890</v>
      </c>
      <c r="C225" s="287" t="s">
        <v>890</v>
      </c>
      <c r="D225" s="287" t="s">
        <v>890</v>
      </c>
      <c r="E225" s="90"/>
    </row>
    <row r="226" spans="1:5">
      <c r="A226" t="s">
        <v>1058</v>
      </c>
      <c r="B226" s="287" t="s">
        <v>890</v>
      </c>
      <c r="C226" s="287" t="s">
        <v>890</v>
      </c>
      <c r="D226" s="287" t="s">
        <v>890</v>
      </c>
      <c r="E226" s="90"/>
    </row>
    <row r="227" spans="1:5">
      <c r="A227" t="s">
        <v>223</v>
      </c>
      <c r="B227" s="287" t="s">
        <v>890</v>
      </c>
      <c r="C227" s="287" t="s">
        <v>890</v>
      </c>
      <c r="D227" s="287" t="s">
        <v>890</v>
      </c>
      <c r="E227" s="90"/>
    </row>
    <row r="228" spans="1:5">
      <c r="A228" t="s">
        <v>1059</v>
      </c>
      <c r="B228" s="287">
        <v>2.0000000000000018E-3</v>
      </c>
      <c r="C228" s="287" t="s">
        <v>549</v>
      </c>
      <c r="D228" s="287">
        <v>10.314919585110767</v>
      </c>
      <c r="E228" s="90"/>
    </row>
    <row r="229" spans="1:5">
      <c r="A229" t="s">
        <v>1419</v>
      </c>
      <c r="B229" s="287" t="s">
        <v>890</v>
      </c>
      <c r="C229" s="287" t="s">
        <v>890</v>
      </c>
      <c r="D229" s="287" t="s">
        <v>890</v>
      </c>
      <c r="E229" s="90"/>
    </row>
    <row r="230" spans="1:5">
      <c r="A230" t="s">
        <v>1060</v>
      </c>
      <c r="B230" s="287" t="s">
        <v>890</v>
      </c>
      <c r="C230" s="287" t="s">
        <v>890</v>
      </c>
      <c r="D230" s="287" t="s">
        <v>890</v>
      </c>
      <c r="E230" s="90"/>
    </row>
    <row r="231" spans="1:5">
      <c r="A231" t="s">
        <v>1420</v>
      </c>
      <c r="B231" s="287" t="s">
        <v>890</v>
      </c>
      <c r="C231" s="287" t="s">
        <v>890</v>
      </c>
      <c r="D231" s="287" t="s">
        <v>890</v>
      </c>
      <c r="E231" s="90"/>
    </row>
    <row r="232" spans="1:5">
      <c r="A232" t="s">
        <v>1355</v>
      </c>
      <c r="B232" s="287" t="s">
        <v>890</v>
      </c>
      <c r="C232" s="287" t="s">
        <v>890</v>
      </c>
      <c r="D232" s="287" t="s">
        <v>890</v>
      </c>
      <c r="E232" s="90"/>
    </row>
    <row r="233" spans="1:5">
      <c r="A233" t="s">
        <v>27</v>
      </c>
      <c r="B233" s="287" t="s">
        <v>890</v>
      </c>
      <c r="C233" s="287" t="s">
        <v>890</v>
      </c>
      <c r="D233" s="287" t="s">
        <v>890</v>
      </c>
      <c r="E233" s="90"/>
    </row>
    <row r="234" spans="1:5">
      <c r="A234" t="s">
        <v>409</v>
      </c>
      <c r="B234" s="287" t="s">
        <v>890</v>
      </c>
      <c r="C234" s="287" t="s">
        <v>890</v>
      </c>
      <c r="D234" s="287" t="s">
        <v>890</v>
      </c>
      <c r="E234" s="90"/>
    </row>
    <row r="235" spans="1:5">
      <c r="A235" t="s">
        <v>190</v>
      </c>
      <c r="B235" s="287" t="s">
        <v>890</v>
      </c>
      <c r="C235" s="287" t="s">
        <v>890</v>
      </c>
      <c r="D235" s="287" t="s">
        <v>890</v>
      </c>
      <c r="E235" s="90"/>
    </row>
    <row r="236" spans="1:5">
      <c r="A236" t="s">
        <v>34</v>
      </c>
      <c r="B236" s="287" t="s">
        <v>890</v>
      </c>
      <c r="C236" s="287" t="s">
        <v>890</v>
      </c>
      <c r="D236" s="287" t="s">
        <v>890</v>
      </c>
      <c r="E236" s="90"/>
    </row>
    <row r="237" spans="1:5">
      <c r="A237" t="s">
        <v>97</v>
      </c>
      <c r="B237" s="287">
        <v>1.3100000000000001E-2</v>
      </c>
      <c r="C237" s="287" t="s">
        <v>87</v>
      </c>
      <c r="D237" s="287">
        <v>25.724300315467257</v>
      </c>
      <c r="E237" s="90"/>
    </row>
    <row r="238" spans="1:5">
      <c r="A238" t="s">
        <v>1061</v>
      </c>
      <c r="B238" s="287" t="s">
        <v>890</v>
      </c>
      <c r="C238" s="287" t="s">
        <v>890</v>
      </c>
      <c r="D238" s="287" t="s">
        <v>890</v>
      </c>
      <c r="E238" s="90"/>
    </row>
    <row r="239" spans="1:5">
      <c r="A239" t="s">
        <v>1062</v>
      </c>
      <c r="B239" s="287">
        <v>3.3999999999999586E-3</v>
      </c>
      <c r="C239" s="287" t="s">
        <v>95</v>
      </c>
      <c r="D239" s="287">
        <v>0.4786144438217943</v>
      </c>
      <c r="E239" s="90"/>
    </row>
    <row r="240" spans="1:5">
      <c r="A240" t="s">
        <v>1063</v>
      </c>
      <c r="B240" s="287" t="s">
        <v>890</v>
      </c>
      <c r="C240" s="287" t="s">
        <v>890</v>
      </c>
      <c r="D240" s="287" t="s">
        <v>890</v>
      </c>
      <c r="E240" s="90"/>
    </row>
    <row r="241" spans="1:5">
      <c r="A241" t="s">
        <v>1064</v>
      </c>
      <c r="B241" s="287" t="s">
        <v>890</v>
      </c>
      <c r="C241" s="287" t="s">
        <v>890</v>
      </c>
      <c r="D241" s="287" t="s">
        <v>890</v>
      </c>
      <c r="E241" s="90"/>
    </row>
    <row r="242" spans="1:5">
      <c r="A242" t="s">
        <v>1368</v>
      </c>
      <c r="B242" s="287" t="s">
        <v>890</v>
      </c>
      <c r="C242" s="287" t="s">
        <v>890</v>
      </c>
      <c r="D242" s="287" t="s">
        <v>890</v>
      </c>
      <c r="E242" s="90"/>
    </row>
    <row r="243" spans="1:5">
      <c r="A243" t="s">
        <v>1421</v>
      </c>
      <c r="B243" s="287" t="s">
        <v>890</v>
      </c>
      <c r="C243" s="287" t="s">
        <v>890</v>
      </c>
      <c r="D243" s="287" t="s">
        <v>890</v>
      </c>
      <c r="E243" s="90"/>
    </row>
    <row r="244" spans="1:5">
      <c r="A244" t="s">
        <v>227</v>
      </c>
      <c r="B244" s="287" t="s">
        <v>890</v>
      </c>
      <c r="C244" s="287" t="s">
        <v>890</v>
      </c>
      <c r="D244" s="287" t="s">
        <v>890</v>
      </c>
      <c r="E244" s="90"/>
    </row>
    <row r="245" spans="1:5">
      <c r="A245" t="s">
        <v>98</v>
      </c>
      <c r="B245" s="287" t="s">
        <v>890</v>
      </c>
      <c r="C245" s="287" t="s">
        <v>890</v>
      </c>
      <c r="D245" s="287" t="s">
        <v>890</v>
      </c>
      <c r="E245" s="90"/>
    </row>
    <row r="246" spans="1:5">
      <c r="A246" t="s">
        <v>1066</v>
      </c>
      <c r="B246" s="287" t="s">
        <v>890</v>
      </c>
      <c r="C246" s="287" t="s">
        <v>890</v>
      </c>
      <c r="D246" s="287" t="s">
        <v>890</v>
      </c>
      <c r="E246" s="90"/>
    </row>
    <row r="247" spans="1:5">
      <c r="A247" t="s">
        <v>99</v>
      </c>
      <c r="B247" s="287">
        <v>0.11350000000000005</v>
      </c>
      <c r="C247" s="287" t="s">
        <v>73</v>
      </c>
      <c r="D247" s="287">
        <v>21.434471764700408</v>
      </c>
      <c r="E247" s="90"/>
    </row>
    <row r="248" spans="1:5">
      <c r="A248" t="s">
        <v>100</v>
      </c>
      <c r="B248" s="287" t="s">
        <v>890</v>
      </c>
      <c r="C248" s="287" t="s">
        <v>890</v>
      </c>
      <c r="D248" s="287" t="s">
        <v>890</v>
      </c>
      <c r="E248" s="90"/>
    </row>
    <row r="249" spans="1:5">
      <c r="A249" t="s">
        <v>101</v>
      </c>
      <c r="B249" s="287">
        <v>5.8199999999999918E-2</v>
      </c>
      <c r="C249" s="287" t="s">
        <v>80</v>
      </c>
      <c r="D249" s="287">
        <v>21.115026710883129</v>
      </c>
      <c r="E249" s="90"/>
    </row>
    <row r="250" spans="1:5">
      <c r="A250" t="s">
        <v>1422</v>
      </c>
      <c r="B250" s="287" t="s">
        <v>890</v>
      </c>
      <c r="C250" s="287" t="s">
        <v>890</v>
      </c>
      <c r="D250" s="287" t="s">
        <v>890</v>
      </c>
      <c r="E250" s="90"/>
    </row>
    <row r="251" spans="1:5">
      <c r="A251" t="s">
        <v>102</v>
      </c>
      <c r="B251" s="287" t="s">
        <v>890</v>
      </c>
      <c r="C251" s="287" t="s">
        <v>890</v>
      </c>
      <c r="D251" s="287" t="s">
        <v>890</v>
      </c>
      <c r="E251" s="90"/>
    </row>
    <row r="252" spans="1:5">
      <c r="A252" t="s">
        <v>103</v>
      </c>
      <c r="B252" s="287" t="s">
        <v>890</v>
      </c>
      <c r="C252" s="287" t="s">
        <v>890</v>
      </c>
      <c r="D252" s="287" t="s">
        <v>890</v>
      </c>
      <c r="E252" s="90"/>
    </row>
    <row r="253" spans="1:5">
      <c r="A253" t="s">
        <v>32</v>
      </c>
      <c r="B253" s="287">
        <v>6.0599999999999987E-2</v>
      </c>
      <c r="C253" s="287" t="s">
        <v>30</v>
      </c>
      <c r="D253" s="287">
        <v>23.820087357552151</v>
      </c>
      <c r="E253" s="90"/>
    </row>
    <row r="254" spans="1:5">
      <c r="A254" t="s">
        <v>1423</v>
      </c>
      <c r="B254" s="287" t="s">
        <v>890</v>
      </c>
      <c r="C254" s="287" t="s">
        <v>890</v>
      </c>
      <c r="D254" s="287" t="s">
        <v>890</v>
      </c>
      <c r="E254" s="90"/>
    </row>
    <row r="255" spans="1:5">
      <c r="A255" t="s">
        <v>1168</v>
      </c>
      <c r="B255" s="287" t="s">
        <v>890</v>
      </c>
      <c r="C255" s="287" t="s">
        <v>890</v>
      </c>
      <c r="D255" s="287" t="s">
        <v>890</v>
      </c>
      <c r="E255" s="90"/>
    </row>
    <row r="256" spans="1:5">
      <c r="A256" t="s">
        <v>551</v>
      </c>
      <c r="B256" s="287" t="s">
        <v>890</v>
      </c>
      <c r="C256" s="287" t="s">
        <v>890</v>
      </c>
      <c r="D256" s="287" t="s">
        <v>890</v>
      </c>
      <c r="E256" s="90"/>
    </row>
    <row r="257" spans="1:5">
      <c r="A257" t="s">
        <v>20</v>
      </c>
      <c r="B257" s="287">
        <v>4.799999999999971E-3</v>
      </c>
      <c r="C257" s="287" t="s">
        <v>1173</v>
      </c>
      <c r="D257" s="287">
        <v>24.451340514177556</v>
      </c>
      <c r="E257" s="90"/>
    </row>
    <row r="258" spans="1:5">
      <c r="A258" t="s">
        <v>253</v>
      </c>
      <c r="B258" s="287" t="s">
        <v>890</v>
      </c>
      <c r="C258" s="287" t="s">
        <v>890</v>
      </c>
      <c r="D258" s="287" t="s">
        <v>890</v>
      </c>
      <c r="E258" s="90"/>
    </row>
    <row r="259" spans="1:5">
      <c r="A259" t="s">
        <v>191</v>
      </c>
      <c r="B259" s="287" t="s">
        <v>890</v>
      </c>
      <c r="C259" s="287" t="s">
        <v>890</v>
      </c>
      <c r="D259" s="287" t="s">
        <v>890</v>
      </c>
      <c r="E259" s="90"/>
    </row>
    <row r="260" spans="1:5">
      <c r="A260" t="s">
        <v>1424</v>
      </c>
      <c r="B260" s="287" t="s">
        <v>890</v>
      </c>
      <c r="C260" s="287" t="s">
        <v>890</v>
      </c>
      <c r="D260" s="287" t="s">
        <v>890</v>
      </c>
      <c r="E260" s="90"/>
    </row>
    <row r="261" spans="1:5">
      <c r="A261" t="s">
        <v>1072</v>
      </c>
      <c r="B261" s="287" t="s">
        <v>890</v>
      </c>
      <c r="C261" s="287" t="s">
        <v>890</v>
      </c>
      <c r="D261" s="287" t="s">
        <v>890</v>
      </c>
      <c r="E261" s="90"/>
    </row>
    <row r="262" spans="1:5">
      <c r="A262" t="s">
        <v>1425</v>
      </c>
      <c r="B262" s="287" t="s">
        <v>890</v>
      </c>
      <c r="C262" s="287" t="s">
        <v>890</v>
      </c>
      <c r="D262" s="287" t="s">
        <v>890</v>
      </c>
      <c r="E262" s="90"/>
    </row>
    <row r="263" spans="1:5">
      <c r="A263" t="s">
        <v>106</v>
      </c>
      <c r="B263" s="287">
        <v>9.9999999999988987E-5</v>
      </c>
      <c r="C263" s="287" t="s">
        <v>1063</v>
      </c>
      <c r="D263" s="287">
        <v>8.2248108111102507</v>
      </c>
      <c r="E263" s="90"/>
    </row>
    <row r="264" spans="1:5">
      <c r="A264" t="s">
        <v>1426</v>
      </c>
      <c r="B264" s="287" t="s">
        <v>890</v>
      </c>
      <c r="C264" s="287" t="s">
        <v>890</v>
      </c>
      <c r="D264" s="287" t="s">
        <v>890</v>
      </c>
      <c r="E264" s="90"/>
    </row>
    <row r="265" spans="1:5">
      <c r="A265" t="s">
        <v>411</v>
      </c>
      <c r="B265" s="287" t="s">
        <v>890</v>
      </c>
      <c r="C265" s="287" t="s">
        <v>890</v>
      </c>
      <c r="D265" s="287" t="s">
        <v>890</v>
      </c>
      <c r="E265" s="90"/>
    </row>
    <row r="266" spans="1:5">
      <c r="A266" t="s">
        <v>192</v>
      </c>
      <c r="B266" s="287" t="s">
        <v>890</v>
      </c>
      <c r="C266" s="287" t="s">
        <v>890</v>
      </c>
      <c r="D266" s="287" t="s">
        <v>890</v>
      </c>
      <c r="E266" s="90"/>
    </row>
    <row r="267" spans="1:5">
      <c r="A267" t="s">
        <v>231</v>
      </c>
      <c r="B267" s="287">
        <v>0.29370000000000007</v>
      </c>
      <c r="C267" s="287" t="s">
        <v>16</v>
      </c>
      <c r="D267" s="287">
        <v>14.823812123918771</v>
      </c>
      <c r="E267" s="90"/>
    </row>
    <row r="268" spans="1:5">
      <c r="A268" t="s">
        <v>1076</v>
      </c>
      <c r="B268" s="287" t="s">
        <v>890</v>
      </c>
      <c r="C268" s="287" t="s">
        <v>890</v>
      </c>
      <c r="D268" s="287" t="s">
        <v>890</v>
      </c>
      <c r="E268" s="90"/>
    </row>
    <row r="269" spans="1:5">
      <c r="A269" t="s">
        <v>235</v>
      </c>
      <c r="B269" s="287" t="s">
        <v>890</v>
      </c>
      <c r="C269" s="287" t="s">
        <v>890</v>
      </c>
      <c r="D269" s="287" t="s">
        <v>890</v>
      </c>
      <c r="E269" s="90"/>
    </row>
    <row r="270" spans="1:5">
      <c r="A270" t="s">
        <v>237</v>
      </c>
      <c r="B270" s="287">
        <v>0.68500000000000005</v>
      </c>
      <c r="C270" s="287" t="s">
        <v>1084</v>
      </c>
      <c r="D270" s="287">
        <v>21.372503452293422</v>
      </c>
      <c r="E270" s="90"/>
    </row>
    <row r="271" spans="1:5">
      <c r="A271" t="s">
        <v>1077</v>
      </c>
      <c r="B271" s="287" t="s">
        <v>890</v>
      </c>
      <c r="C271" s="287" t="s">
        <v>890</v>
      </c>
      <c r="D271" s="287" t="s">
        <v>890</v>
      </c>
      <c r="E271" s="90"/>
    </row>
    <row r="272" spans="1:5">
      <c r="A272" t="s">
        <v>1379</v>
      </c>
      <c r="B272" s="287" t="s">
        <v>890</v>
      </c>
      <c r="C272" s="287" t="s">
        <v>890</v>
      </c>
      <c r="D272" s="287" t="s">
        <v>890</v>
      </c>
      <c r="E272" s="90"/>
    </row>
    <row r="273" spans="1:5">
      <c r="A273" t="s">
        <v>254</v>
      </c>
      <c r="B273" s="287">
        <v>6.5400000000000014E-2</v>
      </c>
      <c r="C273" s="287" t="s">
        <v>72</v>
      </c>
      <c r="D273" s="287">
        <v>5.9426849568940856</v>
      </c>
      <c r="E273" s="90"/>
    </row>
    <row r="274" spans="1:5">
      <c r="A274" t="s">
        <v>239</v>
      </c>
      <c r="B274" s="287">
        <v>5.7599999999999985E-2</v>
      </c>
      <c r="C274" s="287" t="s">
        <v>40</v>
      </c>
      <c r="D274" s="287">
        <v>30.652674945562588</v>
      </c>
      <c r="E274" s="90"/>
    </row>
    <row r="275" spans="1:5">
      <c r="A275" t="s">
        <v>66</v>
      </c>
      <c r="B275" s="287" t="s">
        <v>890</v>
      </c>
      <c r="C275" s="287" t="s">
        <v>890</v>
      </c>
      <c r="D275" s="287" t="s">
        <v>890</v>
      </c>
      <c r="E275" s="90"/>
    </row>
    <row r="276" spans="1:5">
      <c r="A276" t="s">
        <v>423</v>
      </c>
      <c r="B276" s="287" t="s">
        <v>890</v>
      </c>
      <c r="C276" s="287" t="s">
        <v>890</v>
      </c>
      <c r="D276" s="287" t="s">
        <v>890</v>
      </c>
      <c r="E276" s="90"/>
    </row>
    <row r="277" spans="1:5">
      <c r="A277" t="s">
        <v>107</v>
      </c>
      <c r="B277" s="287" t="s">
        <v>890</v>
      </c>
      <c r="C277" s="287" t="s">
        <v>890</v>
      </c>
      <c r="D277" s="287" t="s">
        <v>890</v>
      </c>
      <c r="E277" s="90"/>
    </row>
    <row r="278" spans="1:5">
      <c r="A278" t="s">
        <v>13</v>
      </c>
      <c r="B278" s="287" t="s">
        <v>890</v>
      </c>
      <c r="C278" s="287" t="s">
        <v>890</v>
      </c>
      <c r="D278" s="287" t="s">
        <v>890</v>
      </c>
      <c r="E278" s="90"/>
    </row>
    <row r="279" spans="1:5">
      <c r="A279" t="s">
        <v>108</v>
      </c>
      <c r="B279" s="287" t="s">
        <v>890</v>
      </c>
      <c r="C279" s="287" t="s">
        <v>890</v>
      </c>
      <c r="D279" s="287" t="s">
        <v>890</v>
      </c>
      <c r="E279" s="90"/>
    </row>
    <row r="280" spans="1:5">
      <c r="A280" t="s">
        <v>1359</v>
      </c>
      <c r="B280" s="287" t="s">
        <v>890</v>
      </c>
      <c r="C280" s="287" t="s">
        <v>890</v>
      </c>
      <c r="D280" s="287" t="s">
        <v>890</v>
      </c>
      <c r="E280" s="90"/>
    </row>
    <row r="281" spans="1:5">
      <c r="A281" t="s">
        <v>1078</v>
      </c>
      <c r="B281" s="287" t="s">
        <v>890</v>
      </c>
      <c r="C281" s="287" t="s">
        <v>890</v>
      </c>
      <c r="D281" s="287" t="s">
        <v>890</v>
      </c>
      <c r="E281" s="90"/>
    </row>
    <row r="282" spans="1:5">
      <c r="A282" t="s">
        <v>241</v>
      </c>
      <c r="B282" s="287">
        <v>7.999999999999996E-2</v>
      </c>
      <c r="C282" s="287" t="s">
        <v>173</v>
      </c>
      <c r="D282" s="287">
        <v>20.866833098619029</v>
      </c>
      <c r="E282" s="90"/>
    </row>
    <row r="283" spans="1:5">
      <c r="A283" t="s">
        <v>243</v>
      </c>
      <c r="B283" s="287">
        <v>2.2399999999999975E-2</v>
      </c>
      <c r="C283" s="287" t="s">
        <v>74</v>
      </c>
      <c r="D283" s="287">
        <v>23.952649873643978</v>
      </c>
      <c r="E283" s="90"/>
    </row>
    <row r="284" spans="1:5">
      <c r="A284" t="s">
        <v>1080</v>
      </c>
      <c r="B284" s="287" t="s">
        <v>890</v>
      </c>
      <c r="C284" s="287" t="s">
        <v>890</v>
      </c>
      <c r="D284" s="287" t="s">
        <v>890</v>
      </c>
      <c r="E284" s="90"/>
    </row>
    <row r="285" spans="1:5">
      <c r="A285" t="s">
        <v>245</v>
      </c>
      <c r="B285" s="287">
        <v>0.38139999999999996</v>
      </c>
      <c r="C285" s="287" t="s">
        <v>107</v>
      </c>
      <c r="D285" s="287">
        <v>3.6024571255516871</v>
      </c>
      <c r="E285" s="90"/>
    </row>
    <row r="286" spans="1:5">
      <c r="A286" t="s">
        <v>1427</v>
      </c>
      <c r="B286" s="287" t="s">
        <v>890</v>
      </c>
      <c r="C286" s="287" t="s">
        <v>890</v>
      </c>
      <c r="D286" s="287" t="s">
        <v>890</v>
      </c>
      <c r="E286" s="90"/>
    </row>
    <row r="287" spans="1:5">
      <c r="A287" t="s">
        <v>1082</v>
      </c>
      <c r="B287" s="287" t="s">
        <v>890</v>
      </c>
      <c r="C287" s="287" t="s">
        <v>890</v>
      </c>
      <c r="D287" s="287" t="s">
        <v>890</v>
      </c>
      <c r="E287" s="90"/>
    </row>
    <row r="288" spans="1:5">
      <c r="A288" t="s">
        <v>1428</v>
      </c>
      <c r="B288" s="287" t="s">
        <v>890</v>
      </c>
      <c r="C288" s="287" t="s">
        <v>890</v>
      </c>
      <c r="D288" s="287" t="s">
        <v>890</v>
      </c>
      <c r="E288" s="90"/>
    </row>
    <row r="289" spans="1:5">
      <c r="A289" t="s">
        <v>22</v>
      </c>
      <c r="B289" s="287" t="s">
        <v>890</v>
      </c>
      <c r="C289" s="287" t="s">
        <v>890</v>
      </c>
      <c r="D289" s="287" t="s">
        <v>890</v>
      </c>
      <c r="E289" s="90"/>
    </row>
    <row r="290" spans="1:5">
      <c r="A290" t="s">
        <v>36</v>
      </c>
      <c r="B290" s="287" t="s">
        <v>890</v>
      </c>
      <c r="C290" s="287" t="s">
        <v>890</v>
      </c>
      <c r="D290" s="287" t="s">
        <v>890</v>
      </c>
      <c r="E290" s="90"/>
    </row>
    <row r="291" spans="1:5">
      <c r="A291" t="s">
        <v>1429</v>
      </c>
      <c r="B291" s="287" t="s">
        <v>890</v>
      </c>
      <c r="C291" s="287" t="s">
        <v>890</v>
      </c>
      <c r="D291" s="287" t="s">
        <v>890</v>
      </c>
      <c r="E291" s="90"/>
    </row>
    <row r="292" spans="1:5">
      <c r="A292" t="s">
        <v>1083</v>
      </c>
      <c r="B292" s="287" t="s">
        <v>890</v>
      </c>
      <c r="C292" s="287" t="s">
        <v>890</v>
      </c>
      <c r="D292" s="287" t="s">
        <v>890</v>
      </c>
      <c r="E292" s="90"/>
    </row>
    <row r="293" spans="1:5">
      <c r="A293" t="s">
        <v>1430</v>
      </c>
      <c r="B293" s="287" t="s">
        <v>890</v>
      </c>
      <c r="C293" s="287" t="s">
        <v>890</v>
      </c>
      <c r="D293" s="287" t="s">
        <v>890</v>
      </c>
      <c r="E293" s="90"/>
    </row>
    <row r="294" spans="1:5">
      <c r="A294" t="s">
        <v>414</v>
      </c>
      <c r="B294" s="287" t="s">
        <v>890</v>
      </c>
      <c r="C294" s="287" t="s">
        <v>890</v>
      </c>
      <c r="D294" s="287" t="s">
        <v>890</v>
      </c>
      <c r="E294" s="90"/>
    </row>
    <row r="295" spans="1:5">
      <c r="A295" t="s">
        <v>212</v>
      </c>
      <c r="B295" s="287" t="s">
        <v>890</v>
      </c>
      <c r="C295" s="287" t="s">
        <v>890</v>
      </c>
      <c r="D295" s="287" t="s">
        <v>890</v>
      </c>
      <c r="E295" s="90"/>
    </row>
    <row r="296" spans="1:5">
      <c r="A296" t="s">
        <v>110</v>
      </c>
      <c r="B296" s="287">
        <v>8.9500000000000024E-2</v>
      </c>
      <c r="C296" s="287" t="s">
        <v>135</v>
      </c>
      <c r="D296" s="287">
        <v>26.814124648882366</v>
      </c>
      <c r="E296" s="90"/>
    </row>
    <row r="297" spans="1:5">
      <c r="A297" t="s">
        <v>1085</v>
      </c>
      <c r="B297" s="287" t="s">
        <v>890</v>
      </c>
      <c r="C297" s="287" t="s">
        <v>890</v>
      </c>
      <c r="D297" s="287" t="s">
        <v>890</v>
      </c>
      <c r="E297" s="90"/>
    </row>
    <row r="298" spans="1:5">
      <c r="A298" t="s">
        <v>68</v>
      </c>
      <c r="B298" s="287" t="s">
        <v>890</v>
      </c>
      <c r="C298" s="287" t="s">
        <v>890</v>
      </c>
      <c r="D298" s="287" t="s">
        <v>890</v>
      </c>
      <c r="E298" s="90"/>
    </row>
    <row r="299" spans="1:5">
      <c r="A299" t="s">
        <v>261</v>
      </c>
      <c r="B299" s="287">
        <v>2.2100000000000009E-2</v>
      </c>
      <c r="C299" s="287" t="s">
        <v>75</v>
      </c>
      <c r="D299" s="287">
        <v>16.680453120592958</v>
      </c>
      <c r="E299" s="90"/>
    </row>
    <row r="300" spans="1:5">
      <c r="A300" t="s">
        <v>1431</v>
      </c>
      <c r="B300" s="287" t="s">
        <v>890</v>
      </c>
      <c r="C300" s="287" t="s">
        <v>890</v>
      </c>
      <c r="D300" s="287" t="s">
        <v>890</v>
      </c>
      <c r="E300" s="90"/>
    </row>
    <row r="301" spans="1:5">
      <c r="A301" t="s">
        <v>1432</v>
      </c>
      <c r="B301" s="287" t="s">
        <v>890</v>
      </c>
      <c r="C301" s="287" t="s">
        <v>890</v>
      </c>
      <c r="D301" s="287" t="s">
        <v>890</v>
      </c>
      <c r="E301" s="90"/>
    </row>
    <row r="302" spans="1:5">
      <c r="A302" t="s">
        <v>1088</v>
      </c>
      <c r="B302" s="287" t="s">
        <v>890</v>
      </c>
      <c r="C302" s="287" t="s">
        <v>890</v>
      </c>
      <c r="D302" s="287" t="s">
        <v>890</v>
      </c>
      <c r="E302" s="90"/>
    </row>
    <row r="303" spans="1:5">
      <c r="A303" t="s">
        <v>1171</v>
      </c>
      <c r="B303" s="287">
        <v>2.0000000000000018E-3</v>
      </c>
      <c r="C303" s="287" t="s">
        <v>549</v>
      </c>
      <c r="D303" s="287">
        <v>21.942882847481531</v>
      </c>
      <c r="E303" s="90"/>
    </row>
    <row r="304" spans="1:5">
      <c r="A304" t="s">
        <v>552</v>
      </c>
      <c r="B304" s="287">
        <v>8.0000000000000071E-3</v>
      </c>
      <c r="C304" s="287" t="s">
        <v>550</v>
      </c>
      <c r="D304" s="287">
        <v>32.874370820028801</v>
      </c>
      <c r="E304" s="90"/>
    </row>
    <row r="305" spans="1:5">
      <c r="A305" t="s">
        <v>25</v>
      </c>
      <c r="B305" s="287" t="s">
        <v>890</v>
      </c>
      <c r="C305" s="287" t="s">
        <v>890</v>
      </c>
      <c r="D305" s="287" t="s">
        <v>890</v>
      </c>
      <c r="E305" s="90"/>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74"/>
  <sheetViews>
    <sheetView topLeftCell="A10" zoomScale="90" zoomScaleNormal="90" workbookViewId="0">
      <selection activeCell="D47" sqref="D47"/>
    </sheetView>
  </sheetViews>
  <sheetFormatPr defaultColWidth="9.140625" defaultRowHeight="15"/>
  <cols>
    <col min="1" max="1" width="2.42578125" style="118" bestFit="1" customWidth="1"/>
    <col min="2" max="2" width="24" style="119" customWidth="1"/>
    <col min="3" max="3" width="26.85546875" style="203" bestFit="1" customWidth="1"/>
    <col min="4" max="4" width="37.28515625" style="120" customWidth="1"/>
    <col min="5" max="5" width="24.28515625" style="120" bestFit="1" customWidth="1"/>
    <col min="6" max="6" width="17.140625" style="120" customWidth="1"/>
    <col min="7" max="7" width="18" style="120" customWidth="1"/>
    <col min="8" max="8" width="17.42578125" style="120" customWidth="1"/>
    <col min="9" max="9" width="27.28515625" style="120" customWidth="1"/>
    <col min="10" max="10" width="17.28515625" style="120" customWidth="1"/>
    <col min="11" max="11" width="16.5703125" style="120" customWidth="1"/>
    <col min="12" max="13" width="12.85546875" style="120" bestFit="1" customWidth="1"/>
    <col min="14" max="14" width="16" style="120" customWidth="1"/>
    <col min="15" max="15" width="18.85546875" style="120" customWidth="1"/>
    <col min="16" max="16" width="15" style="120" bestFit="1" customWidth="1"/>
    <col min="17" max="17" width="13.85546875" style="120" customWidth="1"/>
    <col min="18" max="18" width="15.140625" style="120" customWidth="1"/>
    <col min="19" max="19" width="14.42578125" style="136" customWidth="1"/>
    <col min="20" max="20" width="13.28515625" style="136" customWidth="1"/>
    <col min="21" max="22" width="12.140625" style="136" customWidth="1"/>
    <col min="23" max="23" width="12" style="136" customWidth="1"/>
    <col min="24" max="26" width="12.140625" style="136" customWidth="1"/>
    <col min="27" max="27" width="12"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57031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989" t="s">
        <v>1163</v>
      </c>
      <c r="B1" s="1989"/>
      <c r="C1" s="1989"/>
      <c r="D1" s="1989"/>
      <c r="E1" s="1989"/>
      <c r="F1" s="1989"/>
      <c r="G1" s="1989"/>
      <c r="H1" s="1989"/>
      <c r="I1" s="1989"/>
      <c r="J1" s="1989"/>
      <c r="K1" s="1989"/>
      <c r="L1" s="1989"/>
      <c r="M1" s="1989"/>
      <c r="N1" s="1989"/>
      <c r="O1" s="1989"/>
      <c r="P1" s="1989"/>
      <c r="Q1" s="1989"/>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2008" t="s">
        <v>334</v>
      </c>
      <c r="C2" s="2008"/>
      <c r="D2" s="2008"/>
      <c r="E2" s="2008"/>
      <c r="G2" s="221"/>
      <c r="H2" s="2017" t="s">
        <v>618</v>
      </c>
      <c r="I2" s="2018"/>
      <c r="J2" s="2018"/>
      <c r="K2" s="2018"/>
      <c r="L2" s="2018"/>
      <c r="M2" s="2018"/>
      <c r="N2" s="2018"/>
      <c r="O2" s="2018"/>
      <c r="P2" s="2018"/>
      <c r="Q2" s="2018"/>
      <c r="R2" s="2019"/>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77"/>
      <c r="I3" s="122"/>
      <c r="J3" s="429"/>
      <c r="K3" s="122"/>
      <c r="L3" s="125"/>
      <c r="M3" s="125"/>
      <c r="N3" s="125"/>
      <c r="O3" s="125"/>
      <c r="P3" s="125"/>
      <c r="Q3" s="125"/>
      <c r="R3" s="930"/>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2089" t="s">
        <v>331</v>
      </c>
      <c r="C4" s="2090"/>
      <c r="D4" s="121"/>
      <c r="E4" s="916" t="s">
        <v>1211</v>
      </c>
      <c r="F4" s="1204" t="s">
        <v>890</v>
      </c>
      <c r="G4" s="219"/>
      <c r="H4" s="377"/>
      <c r="I4" s="1366" t="s">
        <v>644</v>
      </c>
      <c r="J4" s="1367">
        <f>'Community data'!B10</f>
        <v>89</v>
      </c>
      <c r="K4" s="122"/>
      <c r="L4" s="125"/>
      <c r="M4" s="122"/>
      <c r="N4" s="122"/>
      <c r="O4" s="122"/>
      <c r="P4" s="122"/>
      <c r="Q4" s="122"/>
      <c r="R4" s="956"/>
      <c r="S4" s="122"/>
      <c r="T4" s="122"/>
      <c r="U4" s="122"/>
      <c r="V4" s="122"/>
      <c r="W4" s="122"/>
      <c r="X4" s="122"/>
      <c r="Y4" s="122"/>
      <c r="Z4" s="12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5"/>
      <c r="BK4" s="125"/>
      <c r="BL4" s="125"/>
      <c r="BM4" s="125"/>
      <c r="BN4" s="125"/>
      <c r="BO4" s="125"/>
    </row>
    <row r="5" spans="1:67" ht="14.25">
      <c r="B5" s="128" t="s">
        <v>375</v>
      </c>
      <c r="C5" s="587" t="str">
        <f>Community_Name</f>
        <v>Manley Hot Springs</v>
      </c>
      <c r="D5" s="125"/>
      <c r="E5" s="47" t="s">
        <v>1209</v>
      </c>
      <c r="F5" s="1205" t="s">
        <v>890</v>
      </c>
      <c r="G5" s="219"/>
      <c r="H5" s="377"/>
      <c r="I5" s="485" t="s">
        <v>882</v>
      </c>
      <c r="J5" s="1368">
        <f>'Community data'!G4</f>
        <v>170952</v>
      </c>
      <c r="K5" s="404"/>
      <c r="L5" s="131"/>
      <c r="M5" s="122"/>
      <c r="N5" s="427"/>
      <c r="O5" s="427"/>
      <c r="P5" s="427"/>
      <c r="Q5" s="427"/>
      <c r="R5" s="1000"/>
      <c r="S5" s="121"/>
      <c r="T5" s="121"/>
      <c r="U5" s="138"/>
      <c r="V5" s="138"/>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5"/>
      <c r="BK5" s="125"/>
      <c r="BL5" s="125"/>
      <c r="BM5" s="125"/>
      <c r="BN5" s="125"/>
      <c r="BO5" s="125"/>
    </row>
    <row r="6" spans="1:67" thickBot="1">
      <c r="B6" s="128" t="s">
        <v>376</v>
      </c>
      <c r="C6" s="587" t="str">
        <f>IF('Community data'!B7="Yes",'Community data'!B8,Community_Name)</f>
        <v>Manley Hot Springs</v>
      </c>
      <c r="D6" s="125"/>
      <c r="E6" s="417" t="s">
        <v>1210</v>
      </c>
      <c r="F6" s="1212" t="s">
        <v>890</v>
      </c>
      <c r="G6" s="219"/>
      <c r="H6" s="377"/>
      <c r="I6" s="1369" t="s">
        <v>883</v>
      </c>
      <c r="J6" s="1370">
        <f>'Community data'!G10</f>
        <v>0</v>
      </c>
      <c r="K6" s="428"/>
      <c r="L6" s="131"/>
      <c r="M6" s="122"/>
      <c r="N6" s="427"/>
      <c r="O6" s="427"/>
      <c r="P6" s="427"/>
      <c r="Q6" s="427"/>
      <c r="R6" s="1000"/>
      <c r="S6" s="121"/>
      <c r="T6" s="121"/>
      <c r="U6" s="138"/>
      <c r="V6" s="138"/>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5"/>
      <c r="BK6" s="125"/>
      <c r="BL6" s="125"/>
      <c r="BM6" s="125"/>
      <c r="BN6" s="125"/>
      <c r="BO6" s="125"/>
    </row>
    <row r="7" spans="1:67" ht="25.5">
      <c r="B7" s="128" t="s">
        <v>332</v>
      </c>
      <c r="C7" s="640" t="s">
        <v>291</v>
      </c>
      <c r="D7" s="125"/>
      <c r="E7" s="136"/>
      <c r="G7" s="219"/>
      <c r="H7" s="377"/>
      <c r="I7" s="1371" t="s">
        <v>917</v>
      </c>
      <c r="J7" s="1372">
        <f>J4*70*12</f>
        <v>74760</v>
      </c>
      <c r="K7" s="404"/>
      <c r="L7" s="131"/>
      <c r="M7" s="122"/>
      <c r="N7" s="138"/>
      <c r="O7" s="138"/>
      <c r="P7" s="423"/>
      <c r="Q7" s="138"/>
      <c r="R7" s="931"/>
      <c r="S7" s="421"/>
      <c r="T7" s="421"/>
      <c r="U7" s="421"/>
      <c r="V7" s="138"/>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5"/>
      <c r="BK7" s="125"/>
      <c r="BL7" s="125"/>
      <c r="BM7" s="125"/>
      <c r="BN7" s="125"/>
      <c r="BO7" s="125"/>
    </row>
    <row r="8" spans="1:67" ht="14.25">
      <c r="B8" s="128" t="s">
        <v>569</v>
      </c>
      <c r="C8" s="640" t="s">
        <v>886</v>
      </c>
      <c r="D8" s="125"/>
      <c r="E8" s="121"/>
      <c r="G8" s="219"/>
      <c r="H8" s="377"/>
      <c r="I8" s="1373" t="s">
        <v>884</v>
      </c>
      <c r="J8" s="1374">
        <f>'Community data'!L17</f>
        <v>0.66999999999999993</v>
      </c>
      <c r="K8" s="430"/>
      <c r="L8" s="131"/>
      <c r="M8" s="122"/>
      <c r="N8" s="138"/>
      <c r="O8" s="138"/>
      <c r="P8" s="424"/>
      <c r="Q8" s="333"/>
      <c r="R8" s="931"/>
      <c r="S8" s="138"/>
      <c r="T8" s="138"/>
      <c r="U8" s="138"/>
      <c r="V8" s="138"/>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5"/>
      <c r="BK8" s="125"/>
      <c r="BL8" s="125"/>
      <c r="BM8" s="125"/>
      <c r="BN8" s="125"/>
      <c r="BO8" s="125"/>
    </row>
    <row r="9" spans="1:67" thickBot="1">
      <c r="B9" s="128" t="s">
        <v>570</v>
      </c>
      <c r="C9" s="639"/>
      <c r="D9" s="125"/>
      <c r="E9" s="121"/>
      <c r="G9" s="219"/>
      <c r="H9" s="377"/>
      <c r="I9" s="134" t="s">
        <v>939</v>
      </c>
      <c r="J9" s="1375">
        <f>(J7-J6)*J8</f>
        <v>50089.2</v>
      </c>
      <c r="K9" s="404"/>
      <c r="L9" s="131"/>
      <c r="M9" s="122"/>
      <c r="N9" s="138"/>
      <c r="O9" s="138"/>
      <c r="P9" s="425"/>
      <c r="Q9" s="138"/>
      <c r="R9" s="931"/>
      <c r="S9" s="420"/>
      <c r="T9" s="138"/>
      <c r="U9" s="138"/>
      <c r="V9" s="138"/>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5"/>
      <c r="BK9" s="125"/>
      <c r="BL9" s="125"/>
      <c r="BM9" s="125"/>
      <c r="BN9" s="125"/>
      <c r="BO9" s="125"/>
    </row>
    <row r="10" spans="1:67" ht="14.25">
      <c r="B10" s="128"/>
      <c r="C10" s="640"/>
      <c r="D10" s="125"/>
      <c r="E10" s="121"/>
      <c r="G10" s="219"/>
      <c r="H10" s="377"/>
      <c r="I10" s="136"/>
      <c r="J10" s="136"/>
      <c r="K10" s="121"/>
      <c r="L10" s="131"/>
      <c r="M10" s="122"/>
      <c r="N10" s="122"/>
      <c r="O10" s="122"/>
      <c r="P10" s="426"/>
      <c r="Q10" s="121"/>
      <c r="R10" s="931"/>
      <c r="S10" s="420"/>
      <c r="T10" s="138"/>
      <c r="U10" s="138"/>
      <c r="V10" s="138"/>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5"/>
      <c r="BK10" s="125"/>
      <c r="BL10" s="125"/>
      <c r="BM10" s="125"/>
      <c r="BN10" s="125"/>
      <c r="BO10" s="125"/>
    </row>
    <row r="11" spans="1:67" thickBot="1">
      <c r="B11" s="134"/>
      <c r="C11" s="611"/>
      <c r="D11" s="125"/>
      <c r="E11" s="121"/>
      <c r="F11" s="135"/>
      <c r="G11" s="219"/>
      <c r="H11" s="377"/>
      <c r="I11" s="121"/>
      <c r="J11" s="431"/>
      <c r="K11" s="404"/>
      <c r="L11" s="136"/>
      <c r="M11" s="122"/>
      <c r="N11" s="122"/>
      <c r="O11" s="122"/>
      <c r="P11" s="240"/>
      <c r="Q11" s="138"/>
      <c r="R11" s="931"/>
      <c r="S11" s="420"/>
      <c r="T11" s="138"/>
      <c r="U11" s="138"/>
      <c r="V11" s="121"/>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5"/>
      <c r="BK11" s="125"/>
      <c r="BL11" s="125"/>
      <c r="BM11" s="125"/>
      <c r="BN11" s="125"/>
      <c r="BO11" s="125"/>
    </row>
    <row r="12" spans="1:67">
      <c r="B12" s="137" t="s">
        <v>360</v>
      </c>
      <c r="C12" s="515" t="s">
        <v>384</v>
      </c>
      <c r="D12" s="306"/>
      <c r="E12" s="306"/>
      <c r="F12" s="118"/>
      <c r="G12" s="219"/>
      <c r="H12" s="377"/>
      <c r="I12" s="838"/>
      <c r="J12" s="405"/>
      <c r="K12" s="121"/>
      <c r="L12" s="136"/>
      <c r="M12" s="122"/>
      <c r="N12" s="122"/>
      <c r="O12" s="122"/>
      <c r="P12" s="338"/>
      <c r="Q12" s="407"/>
      <c r="R12" s="931"/>
      <c r="S12" s="420"/>
      <c r="T12" s="138"/>
      <c r="U12" s="138"/>
      <c r="V12" s="121"/>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5"/>
      <c r="BK12" s="125"/>
      <c r="BL12" s="125"/>
      <c r="BM12" s="125"/>
      <c r="BN12" s="125"/>
      <c r="BO12" s="125"/>
    </row>
    <row r="13" spans="1:67" ht="12.75">
      <c r="B13" s="128" t="s">
        <v>262</v>
      </c>
      <c r="C13" s="536">
        <f>BI59</f>
        <v>0</v>
      </c>
      <c r="D13" s="136"/>
      <c r="E13" s="136"/>
      <c r="F13" s="118"/>
      <c r="G13" s="219"/>
      <c r="H13" s="377"/>
      <c r="I13" s="121"/>
      <c r="J13" s="121"/>
      <c r="K13" s="121"/>
      <c r="L13" s="136"/>
      <c r="M13" s="122"/>
      <c r="N13" s="122"/>
      <c r="O13" s="122"/>
      <c r="P13" s="240"/>
      <c r="Q13" s="138"/>
      <c r="R13" s="931"/>
      <c r="S13" s="420"/>
      <c r="T13" s="138"/>
      <c r="U13" s="138"/>
      <c r="V13" s="121"/>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5"/>
      <c r="BK13" s="125"/>
      <c r="BL13" s="125"/>
      <c r="BM13" s="125"/>
      <c r="BN13" s="125"/>
      <c r="BO13" s="125"/>
    </row>
    <row r="14" spans="1:67">
      <c r="B14" s="128" t="s">
        <v>278</v>
      </c>
      <c r="C14" s="537">
        <f>BI55</f>
        <v>0</v>
      </c>
      <c r="D14" s="136"/>
      <c r="E14" s="136"/>
      <c r="F14" s="118"/>
      <c r="G14" s="219"/>
      <c r="H14" s="377"/>
      <c r="I14" s="121"/>
      <c r="J14" s="121"/>
      <c r="K14" s="121"/>
      <c r="L14" s="136"/>
      <c r="M14" s="122"/>
      <c r="N14" s="122"/>
      <c r="O14" s="122"/>
      <c r="P14" s="406"/>
      <c r="Q14" s="407"/>
      <c r="R14" s="931"/>
      <c r="S14" s="420"/>
      <c r="T14" s="138"/>
      <c r="U14" s="138"/>
      <c r="V14" s="121"/>
      <c r="W14" s="122"/>
      <c r="X14" s="122"/>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2"/>
      <c r="BJ14" s="125"/>
      <c r="BK14" s="125"/>
      <c r="BL14" s="125"/>
      <c r="BM14" s="125"/>
      <c r="BN14" s="125"/>
      <c r="BO14" s="125"/>
    </row>
    <row r="15" spans="1:67" ht="13.5" thickBot="1">
      <c r="B15" s="128" t="s">
        <v>759</v>
      </c>
      <c r="C15" s="563">
        <f>IF(PCE_NPV_Capital_Costs&lt;&gt;0,PCE_NPV_Benefits/PCE_NPV_Capital_Costs, 0)</f>
        <v>0</v>
      </c>
      <c r="D15" s="136"/>
      <c r="E15" s="136"/>
      <c r="F15" s="118"/>
      <c r="G15" s="219"/>
      <c r="H15" s="377"/>
      <c r="I15" s="121"/>
      <c r="J15" s="121"/>
      <c r="K15" s="136"/>
      <c r="L15" s="122"/>
      <c r="M15" s="122"/>
      <c r="N15" s="122"/>
      <c r="O15" s="329"/>
      <c r="P15" s="138"/>
      <c r="Q15" s="244"/>
      <c r="R15" s="999"/>
      <c r="S15" s="138"/>
      <c r="T15" s="138"/>
      <c r="U15" s="121"/>
      <c r="V15" s="122"/>
      <c r="W15" s="122"/>
      <c r="X15" s="122"/>
      <c r="Y15" s="122"/>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5"/>
      <c r="BJ15" s="125"/>
      <c r="BK15" s="125"/>
      <c r="BL15" s="125"/>
      <c r="BM15" s="125"/>
      <c r="BN15" s="125"/>
      <c r="BO15" s="118"/>
    </row>
    <row r="16" spans="1:67" ht="15.75" thickBot="1">
      <c r="A16" s="121"/>
      <c r="B16" s="502" t="s">
        <v>290</v>
      </c>
      <c r="C16" s="564">
        <f>BI62</f>
        <v>0</v>
      </c>
      <c r="D16" s="136"/>
      <c r="E16" s="136"/>
      <c r="F16" s="118"/>
      <c r="G16" s="219"/>
      <c r="H16" s="377"/>
      <c r="I16" s="121"/>
      <c r="J16" s="431"/>
      <c r="K16" s="121"/>
      <c r="L16" s="136"/>
      <c r="M16" s="122"/>
      <c r="N16" s="122"/>
      <c r="O16" s="122"/>
      <c r="P16" s="338"/>
      <c r="Q16" s="407"/>
      <c r="R16" s="934"/>
      <c r="S16" s="138"/>
      <c r="T16" s="138"/>
      <c r="U16" s="138"/>
      <c r="V16" s="121"/>
      <c r="W16" s="122"/>
      <c r="X16" s="122"/>
      <c r="Y16" s="122"/>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5"/>
      <c r="BK16" s="125"/>
      <c r="BL16" s="125"/>
      <c r="BM16" s="125"/>
      <c r="BN16" s="125"/>
      <c r="BO16" s="125"/>
    </row>
    <row r="17" spans="1:67" ht="12.75">
      <c r="A17" s="121"/>
      <c r="B17" s="157"/>
      <c r="C17" s="562"/>
      <c r="D17" s="136"/>
      <c r="E17" s="136"/>
      <c r="F17" s="118"/>
      <c r="G17" s="219"/>
      <c r="H17" s="377"/>
      <c r="I17" s="838"/>
      <c r="J17" s="432"/>
      <c r="K17" s="122"/>
      <c r="L17" s="122"/>
      <c r="M17" s="122"/>
      <c r="N17" s="122"/>
      <c r="O17" s="122"/>
      <c r="P17" s="240"/>
      <c r="Q17" s="138"/>
      <c r="R17" s="931"/>
      <c r="S17" s="421"/>
      <c r="T17" s="421"/>
      <c r="U17" s="138"/>
      <c r="V17" s="138"/>
      <c r="W17" s="122"/>
      <c r="X17" s="122"/>
      <c r="Y17" s="122"/>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2"/>
      <c r="BJ17" s="125"/>
      <c r="BK17" s="125"/>
      <c r="BL17" s="125"/>
      <c r="BM17" s="125"/>
      <c r="BN17" s="125"/>
      <c r="BO17" s="125"/>
    </row>
    <row r="18" spans="1:67" ht="13.5" thickBot="1">
      <c r="B18" s="138"/>
      <c r="C18" s="145"/>
      <c r="D18" s="136"/>
      <c r="E18" s="136"/>
      <c r="F18" s="118"/>
      <c r="G18" s="219"/>
      <c r="H18" s="377"/>
      <c r="I18" s="838"/>
      <c r="J18" s="405"/>
      <c r="K18" s="121"/>
      <c r="L18" s="121"/>
      <c r="M18" s="122"/>
      <c r="N18" s="121"/>
      <c r="O18" s="121"/>
      <c r="P18" s="121"/>
      <c r="Q18" s="121"/>
      <c r="R18" s="931"/>
      <c r="S18" s="138"/>
      <c r="T18" s="138"/>
      <c r="U18" s="138"/>
      <c r="V18" s="138"/>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2"/>
      <c r="BJ18" s="125"/>
      <c r="BK18" s="125"/>
      <c r="BL18" s="125"/>
      <c r="BM18" s="125"/>
      <c r="BN18" s="125"/>
      <c r="BO18" s="125"/>
    </row>
    <row r="19" spans="1:67" ht="14.25">
      <c r="B19" s="137" t="s">
        <v>361</v>
      </c>
      <c r="C19" s="314" t="s">
        <v>271</v>
      </c>
      <c r="D19" s="315" t="s">
        <v>384</v>
      </c>
      <c r="E19" s="307"/>
      <c r="F19" s="306"/>
      <c r="G19" s="219"/>
      <c r="H19" s="377"/>
      <c r="I19" s="121"/>
      <c r="J19" s="121"/>
      <c r="K19" s="121"/>
      <c r="L19" s="121"/>
      <c r="M19" s="122"/>
      <c r="N19" s="341"/>
      <c r="O19" s="341"/>
      <c r="P19" s="408"/>
      <c r="Q19" s="409"/>
      <c r="R19" s="934"/>
      <c r="S19" s="138"/>
      <c r="T19" s="138"/>
      <c r="U19" s="138"/>
      <c r="V19" s="138"/>
      <c r="W19" s="122"/>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2"/>
      <c r="BJ19" s="125"/>
      <c r="BK19" s="125"/>
      <c r="BL19" s="125"/>
      <c r="BM19" s="125"/>
      <c r="BN19" s="125"/>
      <c r="BO19" s="125"/>
    </row>
    <row r="20" spans="1:67" ht="14.25">
      <c r="B20" s="316" t="s">
        <v>362</v>
      </c>
      <c r="C20" s="208" t="s">
        <v>266</v>
      </c>
      <c r="D20" s="606" t="e">
        <f>IF(SUM(#REF!)&gt;0,SUM(#REF!)/COUNTIF(#REF!,"&gt;0"),0)</f>
        <v>#REF!</v>
      </c>
      <c r="E20" s="121"/>
      <c r="F20" s="136"/>
      <c r="G20" s="219"/>
      <c r="H20" s="377"/>
      <c r="I20" s="121"/>
      <c r="J20" s="121"/>
      <c r="K20" s="845"/>
      <c r="L20" s="121"/>
      <c r="M20" s="122"/>
      <c r="N20" s="342"/>
      <c r="O20" s="342"/>
      <c r="P20" s="330"/>
      <c r="Q20" s="327"/>
      <c r="R20" s="934"/>
      <c r="S20" s="421"/>
      <c r="T20" s="421"/>
      <c r="U20" s="138"/>
      <c r="V20" s="138"/>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5"/>
      <c r="BK20" s="125"/>
      <c r="BL20" s="125"/>
      <c r="BM20" s="125"/>
      <c r="BN20" s="125"/>
      <c r="BO20" s="125"/>
    </row>
    <row r="21" spans="1:67" ht="12.75">
      <c r="B21" s="316" t="s">
        <v>362</v>
      </c>
      <c r="C21" s="209" t="s">
        <v>363</v>
      </c>
      <c r="D21" s="607" t="e">
        <f>SUM(#REF!)</f>
        <v>#REF!</v>
      </c>
      <c r="E21" s="121"/>
      <c r="F21" s="136"/>
      <c r="G21" s="219"/>
      <c r="H21" s="377"/>
      <c r="I21" s="121"/>
      <c r="J21" s="431"/>
      <c r="K21" s="121"/>
      <c r="L21" s="121"/>
      <c r="M21" s="122"/>
      <c r="N21" s="138"/>
      <c r="O21" s="138"/>
      <c r="P21" s="331"/>
      <c r="Q21" s="138"/>
      <c r="R21" s="931"/>
      <c r="S21" s="138"/>
      <c r="T21" s="138"/>
      <c r="U21" s="422"/>
      <c r="V21" s="138"/>
      <c r="W21" s="122"/>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5"/>
      <c r="BK21" s="125"/>
      <c r="BL21" s="125"/>
      <c r="BM21" s="125"/>
      <c r="BN21" s="125"/>
      <c r="BO21" s="125"/>
    </row>
    <row r="22" spans="1:67" ht="12.75">
      <c r="B22" s="316" t="s">
        <v>364</v>
      </c>
      <c r="C22" s="209" t="s">
        <v>268</v>
      </c>
      <c r="D22" s="606" t="e">
        <f>#REF!+#REF!</f>
        <v>#REF!</v>
      </c>
      <c r="E22" s="121"/>
      <c r="F22" s="136"/>
      <c r="G22" s="219"/>
      <c r="H22" s="377"/>
      <c r="I22" s="838"/>
      <c r="J22" s="432"/>
      <c r="K22" s="121"/>
      <c r="L22" s="121"/>
      <c r="M22" s="122"/>
      <c r="N22" s="138"/>
      <c r="O22" s="138"/>
      <c r="P22" s="332"/>
      <c r="Q22" s="333"/>
      <c r="R22" s="931"/>
      <c r="S22" s="138"/>
      <c r="T22" s="138"/>
      <c r="U22" s="138"/>
      <c r="V22" s="138"/>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5"/>
      <c r="BK22" s="125"/>
      <c r="BL22" s="125"/>
      <c r="BM22" s="125"/>
      <c r="BN22" s="125"/>
      <c r="BO22" s="125"/>
    </row>
    <row r="23" spans="1:67" ht="12.75">
      <c r="B23" s="316" t="s">
        <v>364</v>
      </c>
      <c r="C23" s="209" t="s">
        <v>365</v>
      </c>
      <c r="D23" s="608" t="e">
        <f>SUM(#REF!)+SUM(#REF!)</f>
        <v>#REF!</v>
      </c>
      <c r="E23" s="121"/>
      <c r="F23" s="136"/>
      <c r="G23" s="219"/>
      <c r="H23" s="377"/>
      <c r="I23" s="838"/>
      <c r="J23" s="405"/>
      <c r="K23" s="121"/>
      <c r="L23" s="121"/>
      <c r="M23" s="122"/>
      <c r="N23" s="138"/>
      <c r="O23" s="138"/>
      <c r="P23" s="334"/>
      <c r="Q23" s="335"/>
      <c r="R23" s="935"/>
      <c r="S23" s="124"/>
      <c r="T23" s="124"/>
      <c r="U23" s="84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4.25">
      <c r="B24" s="128"/>
      <c r="D24" s="1385"/>
      <c r="E24" s="122"/>
      <c r="F24" s="125"/>
      <c r="G24" s="145"/>
      <c r="H24" s="377"/>
      <c r="I24" s="122"/>
      <c r="J24" s="240"/>
      <c r="K24" s="240"/>
      <c r="L24" s="121"/>
      <c r="M24" s="122"/>
      <c r="N24" s="157"/>
      <c r="O24" s="157"/>
      <c r="P24" s="336"/>
      <c r="Q24" s="337"/>
      <c r="R24" s="935"/>
      <c r="S24" s="211"/>
      <c r="T24" s="211"/>
      <c r="U24" s="84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4.25">
      <c r="B25" s="128"/>
      <c r="C25" s="145"/>
      <c r="D25" s="317"/>
      <c r="E25" s="121"/>
      <c r="F25" s="136"/>
      <c r="G25" s="219"/>
      <c r="H25" s="377"/>
      <c r="I25" s="121"/>
      <c r="J25" s="121"/>
      <c r="K25" s="121"/>
      <c r="L25" s="121"/>
      <c r="M25" s="122"/>
      <c r="N25" s="342"/>
      <c r="O25" s="342"/>
      <c r="P25" s="330"/>
      <c r="Q25" s="327"/>
      <c r="R25" s="934"/>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4.25">
      <c r="B26" s="316"/>
      <c r="C26" s="209"/>
      <c r="D26" s="606"/>
      <c r="E26" s="121"/>
      <c r="F26" s="136"/>
      <c r="G26" s="219"/>
      <c r="H26" s="377"/>
      <c r="I26" s="121"/>
      <c r="J26" s="431"/>
      <c r="K26" s="121"/>
      <c r="L26" s="121"/>
      <c r="M26" s="122"/>
      <c r="N26" s="121"/>
      <c r="O26" s="121"/>
      <c r="P26" s="121"/>
      <c r="Q26" s="121"/>
      <c r="R26" s="934"/>
      <c r="S26" s="837"/>
      <c r="T26" s="837"/>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thickBot="1">
      <c r="B27" s="318"/>
      <c r="C27" s="319"/>
      <c r="D27" s="609"/>
      <c r="E27" s="121"/>
      <c r="F27" s="136"/>
      <c r="G27" s="219"/>
      <c r="H27" s="377"/>
      <c r="I27" s="838"/>
      <c r="J27" s="432"/>
      <c r="K27" s="240"/>
      <c r="L27" s="121"/>
      <c r="M27" s="122"/>
      <c r="N27" s="342"/>
      <c r="O27" s="342"/>
      <c r="P27" s="330"/>
      <c r="Q27" s="327"/>
      <c r="R27" s="934"/>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19"/>
      <c r="H28" s="377"/>
      <c r="I28" s="838"/>
      <c r="J28" s="405"/>
      <c r="K28" s="121"/>
      <c r="L28" s="121"/>
      <c r="M28" s="122"/>
      <c r="N28" s="157"/>
      <c r="O28" s="157"/>
      <c r="P28" s="338"/>
      <c r="Q28" s="339"/>
      <c r="R28" s="931"/>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2" t="s">
        <v>384</v>
      </c>
      <c r="E29" s="307"/>
      <c r="F29" s="306"/>
      <c r="G29" s="219"/>
      <c r="H29" s="377"/>
      <c r="I29" s="121"/>
      <c r="J29" s="121"/>
      <c r="K29" s="121"/>
      <c r="L29" s="136"/>
      <c r="M29" s="122"/>
      <c r="N29" s="157"/>
      <c r="O29" s="157"/>
      <c r="P29" s="338"/>
      <c r="Q29" s="138"/>
      <c r="R29" s="931"/>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4.25">
      <c r="B30" s="128" t="s">
        <v>6</v>
      </c>
      <c r="C30" s="138" t="s">
        <v>287</v>
      </c>
      <c r="D30" s="590">
        <f>P9</f>
        <v>0</v>
      </c>
      <c r="E30" s="118"/>
      <c r="G30" s="219"/>
      <c r="H30" s="377"/>
      <c r="I30" s="327"/>
      <c r="J30" s="121"/>
      <c r="K30" s="121"/>
      <c r="L30" s="121"/>
      <c r="M30" s="125"/>
      <c r="N30" s="121"/>
      <c r="O30" s="121"/>
      <c r="P30" s="121"/>
      <c r="Q30" s="121"/>
      <c r="R30" s="931"/>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 r="B31" s="128" t="s">
        <v>286</v>
      </c>
      <c r="C31" s="138" t="s">
        <v>333</v>
      </c>
      <c r="D31" s="589">
        <v>2015</v>
      </c>
      <c r="E31" s="118"/>
      <c r="G31" s="219"/>
      <c r="H31" s="377"/>
      <c r="I31" s="121"/>
      <c r="J31" s="845"/>
      <c r="K31" s="845"/>
      <c r="L31" s="125"/>
      <c r="M31" s="125"/>
      <c r="N31" s="121"/>
      <c r="O31" s="121"/>
      <c r="P31" s="121"/>
      <c r="Q31" s="121"/>
      <c r="R31" s="931"/>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10">
        <v>10</v>
      </c>
      <c r="E32" s="118"/>
      <c r="G32" s="219"/>
      <c r="H32" s="377"/>
      <c r="I32" s="121"/>
      <c r="J32" s="650"/>
      <c r="K32" s="650"/>
      <c r="L32" s="650"/>
      <c r="M32" s="650"/>
      <c r="N32" s="136"/>
      <c r="O32" s="136"/>
      <c r="P32" s="136"/>
      <c r="Q32" s="136"/>
      <c r="R32" s="351"/>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591">
        <v>0</v>
      </c>
      <c r="E33" s="118"/>
      <c r="G33" s="219"/>
      <c r="H33" s="377"/>
      <c r="I33" s="8"/>
      <c r="J33" s="468"/>
      <c r="K33" s="468"/>
      <c r="L33" s="411"/>
      <c r="M33" s="411"/>
      <c r="N33" s="125"/>
      <c r="O33" s="125"/>
      <c r="P33" s="125"/>
      <c r="Q33" s="125"/>
      <c r="R33" s="930"/>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2.75">
      <c r="B34" s="128" t="s">
        <v>368</v>
      </c>
      <c r="C34" s="138" t="str">
        <f>IF(C7="Railbelt South of Alaska Range","mmBtu displaced per year", "gallons displaced per year")</f>
        <v>gallons displaced per year</v>
      </c>
      <c r="D34" s="592">
        <v>0</v>
      </c>
      <c r="E34" s="118"/>
      <c r="G34" s="219"/>
      <c r="H34" s="377"/>
      <c r="I34" s="8"/>
      <c r="J34" s="468"/>
      <c r="K34" s="468"/>
      <c r="L34" s="411"/>
      <c r="M34" s="411"/>
      <c r="N34" s="125"/>
      <c r="O34" s="125"/>
      <c r="P34" s="125"/>
      <c r="Q34" s="125"/>
      <c r="R34" s="930"/>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369</v>
      </c>
      <c r="C35" s="138" t="s">
        <v>315</v>
      </c>
      <c r="D35" s="593">
        <v>0</v>
      </c>
      <c r="E35" s="118"/>
      <c r="G35" s="219"/>
      <c r="H35" s="377"/>
      <c r="I35" s="8"/>
      <c r="J35" s="468"/>
      <c r="K35" s="468"/>
      <c r="L35" s="411"/>
      <c r="M35" s="411"/>
      <c r="N35" s="125"/>
      <c r="O35" s="125"/>
      <c r="P35" s="125"/>
      <c r="Q35" s="125"/>
      <c r="R35" s="930"/>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594"/>
      <c r="E36" s="118"/>
      <c r="G36" s="219"/>
      <c r="H36" s="377"/>
      <c r="I36" s="8"/>
      <c r="J36" s="468"/>
      <c r="K36" s="468"/>
      <c r="L36" s="411"/>
      <c r="M36" s="411"/>
      <c r="N36" s="125"/>
      <c r="O36" s="125"/>
      <c r="P36" s="125"/>
      <c r="Q36" s="125"/>
      <c r="R36" s="930"/>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596"/>
      <c r="E37" s="118"/>
      <c r="G37" s="219"/>
      <c r="H37" s="377"/>
      <c r="I37" s="8"/>
      <c r="J37" s="468"/>
      <c r="K37" s="468"/>
      <c r="L37" s="411"/>
      <c r="M37" s="411"/>
      <c r="N37" s="125"/>
      <c r="O37" s="125"/>
      <c r="P37" s="125"/>
      <c r="Q37" s="125"/>
      <c r="R37" s="930"/>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595"/>
      <c r="E38" s="118"/>
      <c r="G38" s="219"/>
      <c r="H38" s="377"/>
      <c r="I38" s="8"/>
      <c r="J38" s="468"/>
      <c r="K38" s="468"/>
      <c r="L38" s="411"/>
      <c r="M38" s="411"/>
      <c r="N38" s="125"/>
      <c r="O38" s="125"/>
      <c r="P38" s="125"/>
      <c r="Q38" s="125"/>
      <c r="R38" s="930"/>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597"/>
      <c r="E39" s="118"/>
      <c r="G39" s="219"/>
      <c r="H39" s="377"/>
      <c r="I39" s="8"/>
      <c r="J39" s="468"/>
      <c r="K39" s="468"/>
      <c r="L39" s="411"/>
      <c r="M39" s="411"/>
      <c r="N39" s="125"/>
      <c r="O39" s="125"/>
      <c r="P39" s="125"/>
      <c r="Q39" s="125"/>
      <c r="R39" s="930"/>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3" t="s">
        <v>352</v>
      </c>
      <c r="D40" s="598"/>
      <c r="E40" s="118"/>
      <c r="G40" s="219"/>
      <c r="H40" s="377"/>
      <c r="I40" s="8"/>
      <c r="J40" s="468"/>
      <c r="K40" s="468"/>
      <c r="L40" s="411"/>
      <c r="M40" s="411"/>
      <c r="N40" s="125"/>
      <c r="O40" s="125"/>
      <c r="P40" s="125"/>
      <c r="Q40" s="125"/>
      <c r="R40" s="930"/>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19"/>
      <c r="H41" s="377"/>
      <c r="I41" s="8"/>
      <c r="J41" s="468"/>
      <c r="K41" s="468"/>
      <c r="L41" s="411"/>
      <c r="M41" s="411"/>
      <c r="N41" s="125"/>
      <c r="O41" s="125"/>
      <c r="P41" s="125"/>
      <c r="Q41" s="125"/>
      <c r="R41" s="930"/>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04" t="s">
        <v>327</v>
      </c>
      <c r="C42" s="505" t="s">
        <v>271</v>
      </c>
      <c r="D42" s="506" t="s">
        <v>272</v>
      </c>
      <c r="E42" s="118"/>
      <c r="G42" s="219"/>
      <c r="H42" s="377"/>
      <c r="I42" s="125"/>
      <c r="J42" s="136"/>
      <c r="K42" s="136"/>
      <c r="L42" s="125"/>
      <c r="M42" s="125"/>
      <c r="N42" s="125"/>
      <c r="O42" s="125"/>
      <c r="P42" s="125"/>
      <c r="Q42" s="125"/>
      <c r="R42" s="930"/>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3.5" thickBot="1">
      <c r="B43" s="311" t="s">
        <v>276</v>
      </c>
      <c r="C43" s="138" t="s">
        <v>265</v>
      </c>
      <c r="D43" s="599">
        <v>0.02</v>
      </c>
      <c r="E43" s="118"/>
      <c r="F43" s="159"/>
      <c r="G43" s="219"/>
      <c r="H43" s="378"/>
      <c r="I43" s="381"/>
      <c r="J43" s="381"/>
      <c r="K43" s="381"/>
      <c r="L43" s="381"/>
      <c r="M43" s="381"/>
      <c r="N43" s="381"/>
      <c r="O43" s="381"/>
      <c r="P43" s="381"/>
      <c r="Q43" s="381"/>
      <c r="R43" s="951"/>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07" t="s">
        <v>328</v>
      </c>
      <c r="C44" s="143" t="s">
        <v>281</v>
      </c>
      <c r="D44" s="614">
        <f>'Community data'!B21</f>
        <v>10.802351555020987</v>
      </c>
      <c r="E44" s="118"/>
      <c r="F44" s="159"/>
      <c r="G44" s="219"/>
      <c r="H44" s="122"/>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19"/>
      <c r="H45" s="122"/>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0" t="s">
        <v>272</v>
      </c>
      <c r="E46" s="118"/>
      <c r="F46" s="159"/>
      <c r="G46" s="219"/>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1" t="s">
        <v>282</v>
      </c>
      <c r="C47" s="138" t="s">
        <v>269</v>
      </c>
      <c r="D47" s="601">
        <f>VLOOKUP(Energy_Region,Assumptions!$A$28:$B$38,2,FALSE)</f>
        <v>1.5507921943016665</v>
      </c>
      <c r="E47" s="118"/>
      <c r="F47" s="136"/>
      <c r="G47" s="219"/>
      <c r="H47" s="122"/>
      <c r="I47" s="125"/>
      <c r="J47" s="125"/>
      <c r="K47" s="125"/>
      <c r="L47" s="125" t="s">
        <v>814</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02">
        <f>Assumptions!B26</f>
        <v>0</v>
      </c>
      <c r="E48" s="118"/>
      <c r="F48" s="159"/>
      <c r="G48" s="219"/>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70" ht="12.75">
      <c r="B49" s="128" t="s">
        <v>1</v>
      </c>
      <c r="C49" s="138" t="s">
        <v>273</v>
      </c>
      <c r="D49" s="603">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70" ht="12.75">
      <c r="B50" s="128" t="s">
        <v>317</v>
      </c>
      <c r="C50" s="151" t="s">
        <v>319</v>
      </c>
      <c r="D50" s="604"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70" ht="13.5" thickBot="1">
      <c r="B51" s="134"/>
      <c r="C51" s="165"/>
      <c r="D51" s="604"/>
      <c r="E51" s="118"/>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70"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70"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70" ht="12.75">
      <c r="C54" s="168" t="s">
        <v>624</v>
      </c>
      <c r="D54" s="169"/>
      <c r="E54" s="170" t="s">
        <v>263</v>
      </c>
      <c r="F54" s="171">
        <v>2014</v>
      </c>
      <c r="G54" s="171">
        <f t="shared" ref="G54:BH54" si="0">F54+1</f>
        <v>2015</v>
      </c>
      <c r="H54" s="171">
        <f t="shared" si="0"/>
        <v>2016</v>
      </c>
      <c r="I54" s="171">
        <f>H54+1</f>
        <v>2017</v>
      </c>
      <c r="J54" s="171">
        <f t="shared" si="0"/>
        <v>2018</v>
      </c>
      <c r="K54" s="171">
        <f>J54+1</f>
        <v>2019</v>
      </c>
      <c r="L54" s="171">
        <f t="shared" si="0"/>
        <v>2020</v>
      </c>
      <c r="M54" s="171">
        <f t="shared" si="0"/>
        <v>2021</v>
      </c>
      <c r="N54" s="171">
        <f>M54+1</f>
        <v>2022</v>
      </c>
      <c r="O54" s="171">
        <f t="shared" si="0"/>
        <v>2023</v>
      </c>
      <c r="P54" s="171">
        <f t="shared" si="0"/>
        <v>2024</v>
      </c>
      <c r="Q54" s="171">
        <f t="shared" si="0"/>
        <v>2025</v>
      </c>
      <c r="R54" s="171">
        <f t="shared" si="0"/>
        <v>2026</v>
      </c>
      <c r="S54" s="306">
        <f>R54+1</f>
        <v>2027</v>
      </c>
      <c r="T54" s="306">
        <f t="shared" si="0"/>
        <v>2028</v>
      </c>
      <c r="U54" s="306">
        <f t="shared" si="0"/>
        <v>2029</v>
      </c>
      <c r="V54" s="306">
        <f t="shared" si="0"/>
        <v>2030</v>
      </c>
      <c r="W54" s="306">
        <f t="shared" si="0"/>
        <v>2031</v>
      </c>
      <c r="X54" s="306">
        <f t="shared" si="0"/>
        <v>2032</v>
      </c>
      <c r="Y54" s="306">
        <f t="shared" si="0"/>
        <v>2033</v>
      </c>
      <c r="Z54" s="306">
        <f t="shared" si="0"/>
        <v>2034</v>
      </c>
      <c r="AA54" s="306">
        <f t="shared" si="0"/>
        <v>2035</v>
      </c>
      <c r="AB54" s="306">
        <f t="shared" si="0"/>
        <v>2036</v>
      </c>
      <c r="AC54" s="306">
        <f t="shared" si="0"/>
        <v>2037</v>
      </c>
      <c r="AD54" s="306">
        <f t="shared" si="0"/>
        <v>2038</v>
      </c>
      <c r="AE54" s="306">
        <f t="shared" si="0"/>
        <v>2039</v>
      </c>
      <c r="AF54" s="306">
        <f t="shared" si="0"/>
        <v>2040</v>
      </c>
      <c r="AG54" s="306">
        <f t="shared" si="0"/>
        <v>2041</v>
      </c>
      <c r="AH54" s="306">
        <f t="shared" si="0"/>
        <v>2042</v>
      </c>
      <c r="AI54" s="306">
        <f t="shared" si="0"/>
        <v>2043</v>
      </c>
      <c r="AJ54" s="306">
        <f t="shared" si="0"/>
        <v>2044</v>
      </c>
      <c r="AK54" s="306">
        <f t="shared" si="0"/>
        <v>2045</v>
      </c>
      <c r="AL54" s="306">
        <f t="shared" si="0"/>
        <v>2046</v>
      </c>
      <c r="AM54" s="306">
        <f t="shared" si="0"/>
        <v>2047</v>
      </c>
      <c r="AN54" s="306">
        <f t="shared" si="0"/>
        <v>2048</v>
      </c>
      <c r="AO54" s="306">
        <f t="shared" si="0"/>
        <v>2049</v>
      </c>
      <c r="AP54" s="306">
        <f t="shared" si="0"/>
        <v>2050</v>
      </c>
      <c r="AQ54" s="306">
        <f t="shared" si="0"/>
        <v>2051</v>
      </c>
      <c r="AR54" s="306">
        <f t="shared" si="0"/>
        <v>2052</v>
      </c>
      <c r="AS54" s="306">
        <f t="shared" si="0"/>
        <v>2053</v>
      </c>
      <c r="AT54" s="306">
        <f t="shared" si="0"/>
        <v>2054</v>
      </c>
      <c r="AU54" s="306">
        <f t="shared" si="0"/>
        <v>2055</v>
      </c>
      <c r="AV54" s="306">
        <f t="shared" si="0"/>
        <v>2056</v>
      </c>
      <c r="AW54" s="306">
        <f t="shared" si="0"/>
        <v>2057</v>
      </c>
      <c r="AX54" s="306">
        <f t="shared" si="0"/>
        <v>2058</v>
      </c>
      <c r="AY54" s="306">
        <f t="shared" si="0"/>
        <v>2059</v>
      </c>
      <c r="AZ54" s="306">
        <f t="shared" si="0"/>
        <v>2060</v>
      </c>
      <c r="BA54" s="306">
        <f t="shared" si="0"/>
        <v>2061</v>
      </c>
      <c r="BB54" s="306">
        <f t="shared" si="0"/>
        <v>2062</v>
      </c>
      <c r="BC54" s="306">
        <f t="shared" si="0"/>
        <v>2063</v>
      </c>
      <c r="BD54" s="306">
        <f t="shared" si="0"/>
        <v>2064</v>
      </c>
      <c r="BE54" s="306">
        <f t="shared" si="0"/>
        <v>2065</v>
      </c>
      <c r="BF54" s="306">
        <f t="shared" si="0"/>
        <v>2066</v>
      </c>
      <c r="BG54" s="306">
        <f t="shared" si="0"/>
        <v>2067</v>
      </c>
      <c r="BH54" s="306">
        <f t="shared" si="0"/>
        <v>2068</v>
      </c>
      <c r="BI54" s="695" t="s">
        <v>4</v>
      </c>
      <c r="BJ54" s="121"/>
      <c r="BK54" s="121"/>
      <c r="BL54" s="121"/>
      <c r="BM54" s="121"/>
      <c r="BN54" s="121"/>
      <c r="BO54" s="121"/>
    </row>
    <row r="55" spans="2:70"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70"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70" ht="12.75">
      <c r="C57" s="177"/>
      <c r="D57" s="136" t="s">
        <v>859</v>
      </c>
      <c r="E57" s="121" t="s">
        <v>264</v>
      </c>
      <c r="F57" s="410">
        <f>F55</f>
        <v>0</v>
      </c>
      <c r="G57" s="410">
        <f>G55</f>
        <v>0</v>
      </c>
      <c r="H57" s="410">
        <f t="shared" ref="H57:Q57" si="1">H55</f>
        <v>0</v>
      </c>
      <c r="I57" s="410">
        <f t="shared" si="1"/>
        <v>0</v>
      </c>
      <c r="J57" s="410">
        <f t="shared" si="1"/>
        <v>0</v>
      </c>
      <c r="K57" s="410">
        <f t="shared" si="1"/>
        <v>0</v>
      </c>
      <c r="L57" s="410">
        <f t="shared" si="1"/>
        <v>0</v>
      </c>
      <c r="M57" s="410">
        <f t="shared" si="1"/>
        <v>0</v>
      </c>
      <c r="N57" s="410">
        <f t="shared" si="1"/>
        <v>0</v>
      </c>
      <c r="O57" s="410">
        <f t="shared" si="1"/>
        <v>0</v>
      </c>
      <c r="P57" s="410">
        <f t="shared" si="1"/>
        <v>0</v>
      </c>
      <c r="Q57" s="410">
        <f t="shared" si="1"/>
        <v>0</v>
      </c>
      <c r="R57" s="410">
        <f t="shared" ref="R57:BH57" si="2">$P$19</f>
        <v>0</v>
      </c>
      <c r="S57" s="410">
        <f t="shared" si="2"/>
        <v>0</v>
      </c>
      <c r="T57" s="410">
        <f t="shared" si="2"/>
        <v>0</v>
      </c>
      <c r="U57" s="410">
        <f t="shared" si="2"/>
        <v>0</v>
      </c>
      <c r="V57" s="410">
        <f t="shared" si="2"/>
        <v>0</v>
      </c>
      <c r="W57" s="410">
        <f t="shared" si="2"/>
        <v>0</v>
      </c>
      <c r="X57" s="410">
        <f t="shared" si="2"/>
        <v>0</v>
      </c>
      <c r="Y57" s="410">
        <f t="shared" si="2"/>
        <v>0</v>
      </c>
      <c r="Z57" s="410">
        <f t="shared" si="2"/>
        <v>0</v>
      </c>
      <c r="AA57" s="410">
        <f t="shared" si="2"/>
        <v>0</v>
      </c>
      <c r="AB57" s="410">
        <f t="shared" si="2"/>
        <v>0</v>
      </c>
      <c r="AC57" s="410">
        <f t="shared" si="2"/>
        <v>0</v>
      </c>
      <c r="AD57" s="410">
        <f t="shared" si="2"/>
        <v>0</v>
      </c>
      <c r="AE57" s="410">
        <f t="shared" si="2"/>
        <v>0</v>
      </c>
      <c r="AF57" s="410">
        <f t="shared" si="2"/>
        <v>0</v>
      </c>
      <c r="AG57" s="410">
        <f t="shared" si="2"/>
        <v>0</v>
      </c>
      <c r="AH57" s="410">
        <f t="shared" si="2"/>
        <v>0</v>
      </c>
      <c r="AI57" s="410">
        <f t="shared" si="2"/>
        <v>0</v>
      </c>
      <c r="AJ57" s="410">
        <f t="shared" si="2"/>
        <v>0</v>
      </c>
      <c r="AK57" s="410">
        <f t="shared" si="2"/>
        <v>0</v>
      </c>
      <c r="AL57" s="410">
        <f t="shared" si="2"/>
        <v>0</v>
      </c>
      <c r="AM57" s="410">
        <f t="shared" si="2"/>
        <v>0</v>
      </c>
      <c r="AN57" s="410">
        <f t="shared" si="2"/>
        <v>0</v>
      </c>
      <c r="AO57" s="410">
        <f t="shared" si="2"/>
        <v>0</v>
      </c>
      <c r="AP57" s="410">
        <f t="shared" si="2"/>
        <v>0</v>
      </c>
      <c r="AQ57" s="410">
        <f t="shared" si="2"/>
        <v>0</v>
      </c>
      <c r="AR57" s="410">
        <f t="shared" si="2"/>
        <v>0</v>
      </c>
      <c r="AS57" s="410">
        <f t="shared" si="2"/>
        <v>0</v>
      </c>
      <c r="AT57" s="410">
        <f t="shared" si="2"/>
        <v>0</v>
      </c>
      <c r="AU57" s="410">
        <f t="shared" si="2"/>
        <v>0</v>
      </c>
      <c r="AV57" s="410">
        <f t="shared" si="2"/>
        <v>0</v>
      </c>
      <c r="AW57" s="410">
        <f t="shared" si="2"/>
        <v>0</v>
      </c>
      <c r="AX57" s="410">
        <f t="shared" si="2"/>
        <v>0</v>
      </c>
      <c r="AY57" s="410">
        <f t="shared" si="2"/>
        <v>0</v>
      </c>
      <c r="AZ57" s="410">
        <f t="shared" si="2"/>
        <v>0</v>
      </c>
      <c r="BA57" s="410">
        <f t="shared" si="2"/>
        <v>0</v>
      </c>
      <c r="BB57" s="410">
        <f t="shared" si="2"/>
        <v>0</v>
      </c>
      <c r="BC57" s="410">
        <f t="shared" si="2"/>
        <v>0</v>
      </c>
      <c r="BD57" s="410">
        <f t="shared" si="2"/>
        <v>0</v>
      </c>
      <c r="BE57" s="410">
        <f t="shared" si="2"/>
        <v>0</v>
      </c>
      <c r="BF57" s="410">
        <f t="shared" si="2"/>
        <v>0</v>
      </c>
      <c r="BG57" s="410">
        <f t="shared" si="2"/>
        <v>0</v>
      </c>
      <c r="BH57" s="410">
        <f t="shared" si="2"/>
        <v>0</v>
      </c>
      <c r="BI57" s="175">
        <f>NPV($D$49,F57:BH57)</f>
        <v>0</v>
      </c>
      <c r="BJ57" s="121"/>
      <c r="BK57" s="121"/>
      <c r="BL57" s="121"/>
      <c r="BM57" s="121"/>
      <c r="BN57" s="121"/>
      <c r="BO57" s="121"/>
    </row>
    <row r="58" spans="2:70" ht="12.75">
      <c r="C58" s="177"/>
      <c r="D58" s="136"/>
      <c r="E58" s="121"/>
      <c r="F58" s="178"/>
      <c r="G58" s="178"/>
      <c r="H58" s="178"/>
      <c r="I58" s="178"/>
      <c r="J58" s="178"/>
      <c r="K58" s="178"/>
      <c r="L58" s="178"/>
      <c r="M58" s="178"/>
      <c r="N58" s="178"/>
      <c r="O58" s="178"/>
      <c r="P58" s="178"/>
      <c r="Q58" s="178"/>
      <c r="R58" s="178"/>
      <c r="S58" s="178"/>
      <c r="T58" s="178"/>
      <c r="U58" s="178"/>
      <c r="V58" s="178"/>
      <c r="W58" s="178"/>
      <c r="X58" s="178"/>
      <c r="Y58" s="178"/>
      <c r="Z58" s="178"/>
      <c r="AA58" s="178"/>
      <c r="AB58" s="178"/>
      <c r="AC58" s="178"/>
      <c r="AD58" s="178"/>
      <c r="AE58" s="178"/>
      <c r="AF58" s="178"/>
      <c r="AG58" s="178"/>
      <c r="AH58" s="178"/>
      <c r="AI58" s="178"/>
      <c r="AJ58" s="178"/>
      <c r="AK58" s="178"/>
      <c r="AL58" s="178"/>
      <c r="AM58" s="178"/>
      <c r="AN58" s="178"/>
      <c r="AO58" s="178"/>
      <c r="AP58" s="178"/>
      <c r="AQ58" s="178"/>
      <c r="AR58" s="178"/>
      <c r="AS58" s="178"/>
      <c r="AT58" s="178"/>
      <c r="AU58" s="178"/>
      <c r="AV58" s="178"/>
      <c r="AW58" s="178"/>
      <c r="AX58" s="178"/>
      <c r="AY58" s="178"/>
      <c r="AZ58" s="178"/>
      <c r="BA58" s="178"/>
      <c r="BB58" s="178"/>
      <c r="BC58" s="178"/>
      <c r="BD58" s="178"/>
      <c r="BE58" s="178"/>
      <c r="BF58" s="178"/>
      <c r="BG58" s="178"/>
      <c r="BH58" s="178"/>
      <c r="BI58" s="175">
        <f>NPV($D$49,F58:BH58)</f>
        <v>0</v>
      </c>
      <c r="BJ58" s="121"/>
      <c r="BK58" s="121"/>
      <c r="BL58" s="121"/>
      <c r="BM58" s="121"/>
      <c r="BN58" s="121"/>
      <c r="BO58" s="121"/>
    </row>
    <row r="59" spans="2:70" ht="12.75">
      <c r="C59" s="177"/>
      <c r="D59" s="179" t="s">
        <v>627</v>
      </c>
      <c r="E59" s="180" t="s">
        <v>264</v>
      </c>
      <c r="F59" s="178">
        <f t="shared" ref="F59:AA59" si="3">F57+F58</f>
        <v>0</v>
      </c>
      <c r="G59" s="178">
        <f t="shared" si="3"/>
        <v>0</v>
      </c>
      <c r="H59" s="178">
        <f t="shared" si="3"/>
        <v>0</v>
      </c>
      <c r="I59" s="178">
        <f t="shared" si="3"/>
        <v>0</v>
      </c>
      <c r="J59" s="178">
        <f t="shared" si="3"/>
        <v>0</v>
      </c>
      <c r="K59" s="178">
        <f t="shared" si="3"/>
        <v>0</v>
      </c>
      <c r="L59" s="178">
        <f t="shared" si="3"/>
        <v>0</v>
      </c>
      <c r="M59" s="178">
        <f t="shared" si="3"/>
        <v>0</v>
      </c>
      <c r="N59" s="178">
        <f t="shared" si="3"/>
        <v>0</v>
      </c>
      <c r="O59" s="178">
        <f t="shared" si="3"/>
        <v>0</v>
      </c>
      <c r="P59" s="178">
        <f t="shared" si="3"/>
        <v>0</v>
      </c>
      <c r="Q59" s="178">
        <f t="shared" si="3"/>
        <v>0</v>
      </c>
      <c r="R59" s="178">
        <f t="shared" si="3"/>
        <v>0</v>
      </c>
      <c r="S59" s="178">
        <f t="shared" si="3"/>
        <v>0</v>
      </c>
      <c r="T59" s="178">
        <f t="shared" si="3"/>
        <v>0</v>
      </c>
      <c r="U59" s="178">
        <f t="shared" si="3"/>
        <v>0</v>
      </c>
      <c r="V59" s="178">
        <f t="shared" si="3"/>
        <v>0</v>
      </c>
      <c r="W59" s="178">
        <f t="shared" si="3"/>
        <v>0</v>
      </c>
      <c r="X59" s="178">
        <f t="shared" si="3"/>
        <v>0</v>
      </c>
      <c r="Y59" s="178">
        <f t="shared" si="3"/>
        <v>0</v>
      </c>
      <c r="Z59" s="178">
        <f t="shared" si="3"/>
        <v>0</v>
      </c>
      <c r="AA59" s="178">
        <f t="shared" si="3"/>
        <v>0</v>
      </c>
      <c r="AB59" s="178">
        <f t="shared" ref="AB59:BH59" si="4">AB57+AB58</f>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0</v>
      </c>
      <c r="BJ59" s="121"/>
      <c r="BK59" s="121"/>
      <c r="BL59" s="121"/>
      <c r="BM59" s="121"/>
      <c r="BN59" s="121"/>
      <c r="BO59" s="121"/>
    </row>
    <row r="60" spans="2:70"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70"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70" ht="12.75">
      <c r="C62" s="182"/>
      <c r="D62" s="183" t="s">
        <v>289</v>
      </c>
      <c r="E62" s="184" t="s">
        <v>264</v>
      </c>
      <c r="F62" s="185">
        <f t="shared" ref="F62:BH62" si="5">F59-F55</f>
        <v>0</v>
      </c>
      <c r="G62" s="185">
        <f t="shared" si="5"/>
        <v>0</v>
      </c>
      <c r="H62" s="185">
        <f t="shared" si="5"/>
        <v>0</v>
      </c>
      <c r="I62" s="185">
        <f t="shared" si="5"/>
        <v>0</v>
      </c>
      <c r="J62" s="185">
        <f t="shared" si="5"/>
        <v>0</v>
      </c>
      <c r="K62" s="185">
        <f t="shared" si="5"/>
        <v>0</v>
      </c>
      <c r="L62" s="185">
        <f t="shared" si="5"/>
        <v>0</v>
      </c>
      <c r="M62" s="185">
        <f t="shared" si="5"/>
        <v>0</v>
      </c>
      <c r="N62" s="185">
        <f t="shared" si="5"/>
        <v>0</v>
      </c>
      <c r="O62" s="185">
        <f t="shared" si="5"/>
        <v>0</v>
      </c>
      <c r="P62" s="185">
        <f t="shared" si="5"/>
        <v>0</v>
      </c>
      <c r="Q62" s="185">
        <f t="shared" si="5"/>
        <v>0</v>
      </c>
      <c r="R62" s="185">
        <f t="shared" si="5"/>
        <v>0</v>
      </c>
      <c r="S62" s="696">
        <f t="shared" si="5"/>
        <v>0</v>
      </c>
      <c r="T62" s="696">
        <f t="shared" si="5"/>
        <v>0</v>
      </c>
      <c r="U62" s="696">
        <f t="shared" si="5"/>
        <v>0</v>
      </c>
      <c r="V62" s="696">
        <f t="shared" si="5"/>
        <v>0</v>
      </c>
      <c r="W62" s="696">
        <f t="shared" si="5"/>
        <v>0</v>
      </c>
      <c r="X62" s="696">
        <f t="shared" si="5"/>
        <v>0</v>
      </c>
      <c r="Y62" s="696">
        <f t="shared" si="5"/>
        <v>0</v>
      </c>
      <c r="Z62" s="696">
        <f t="shared" si="5"/>
        <v>0</v>
      </c>
      <c r="AA62" s="696">
        <f t="shared" si="5"/>
        <v>0</v>
      </c>
      <c r="AB62" s="696">
        <f t="shared" si="5"/>
        <v>0</v>
      </c>
      <c r="AC62" s="696">
        <f t="shared" si="5"/>
        <v>0</v>
      </c>
      <c r="AD62" s="696">
        <f t="shared" si="5"/>
        <v>0</v>
      </c>
      <c r="AE62" s="696">
        <f t="shared" si="5"/>
        <v>0</v>
      </c>
      <c r="AF62" s="696">
        <f t="shared" si="5"/>
        <v>0</v>
      </c>
      <c r="AG62" s="696">
        <f t="shared" si="5"/>
        <v>0</v>
      </c>
      <c r="AH62" s="696">
        <f t="shared" si="5"/>
        <v>0</v>
      </c>
      <c r="AI62" s="696">
        <f t="shared" si="5"/>
        <v>0</v>
      </c>
      <c r="AJ62" s="696">
        <f t="shared" si="5"/>
        <v>0</v>
      </c>
      <c r="AK62" s="696">
        <f t="shared" si="5"/>
        <v>0</v>
      </c>
      <c r="AL62" s="696">
        <f t="shared" si="5"/>
        <v>0</v>
      </c>
      <c r="AM62" s="696">
        <f t="shared" si="5"/>
        <v>0</v>
      </c>
      <c r="AN62" s="696">
        <f t="shared" si="5"/>
        <v>0</v>
      </c>
      <c r="AO62" s="696">
        <f t="shared" si="5"/>
        <v>0</v>
      </c>
      <c r="AP62" s="696">
        <f t="shared" si="5"/>
        <v>0</v>
      </c>
      <c r="AQ62" s="696">
        <f t="shared" si="5"/>
        <v>0</v>
      </c>
      <c r="AR62" s="696">
        <f t="shared" si="5"/>
        <v>0</v>
      </c>
      <c r="AS62" s="696">
        <f t="shared" si="5"/>
        <v>0</v>
      </c>
      <c r="AT62" s="696">
        <f t="shared" si="5"/>
        <v>0</v>
      </c>
      <c r="AU62" s="696">
        <f t="shared" si="5"/>
        <v>0</v>
      </c>
      <c r="AV62" s="696">
        <f t="shared" si="5"/>
        <v>0</v>
      </c>
      <c r="AW62" s="696">
        <f t="shared" si="5"/>
        <v>0</v>
      </c>
      <c r="AX62" s="696">
        <f t="shared" si="5"/>
        <v>0</v>
      </c>
      <c r="AY62" s="696">
        <f t="shared" si="5"/>
        <v>0</v>
      </c>
      <c r="AZ62" s="696">
        <f t="shared" si="5"/>
        <v>0</v>
      </c>
      <c r="BA62" s="696">
        <f t="shared" si="5"/>
        <v>0</v>
      </c>
      <c r="BB62" s="696">
        <f t="shared" si="5"/>
        <v>0</v>
      </c>
      <c r="BC62" s="696">
        <f t="shared" si="5"/>
        <v>0</v>
      </c>
      <c r="BD62" s="696">
        <f t="shared" si="5"/>
        <v>0</v>
      </c>
      <c r="BE62" s="696">
        <f t="shared" si="5"/>
        <v>0</v>
      </c>
      <c r="BF62" s="696">
        <f t="shared" si="5"/>
        <v>0</v>
      </c>
      <c r="BG62" s="696">
        <f t="shared" si="5"/>
        <v>0</v>
      </c>
      <c r="BH62" s="696">
        <f t="shared" si="5"/>
        <v>0</v>
      </c>
      <c r="BI62" s="175">
        <f>NPV($D$49,F62:BH62)</f>
        <v>0</v>
      </c>
      <c r="BJ62" s="121"/>
      <c r="BK62" s="121"/>
      <c r="BL62" s="121"/>
      <c r="BM62" s="121"/>
      <c r="BN62" s="121"/>
      <c r="BO62" s="121"/>
    </row>
    <row r="63" spans="2:70"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70" ht="14.25">
      <c r="F64" s="136"/>
      <c r="K64" s="136"/>
      <c r="L64" s="136"/>
      <c r="M64" s="136"/>
      <c r="N64" s="136"/>
      <c r="O64" s="136"/>
      <c r="P64" s="136"/>
      <c r="Q64" s="136"/>
      <c r="R64" s="136"/>
      <c r="BO64" s="136"/>
      <c r="BP64" s="121"/>
      <c r="BQ64" s="121"/>
      <c r="BR64" s="121"/>
    </row>
    <row r="65" spans="3:70" ht="14.25">
      <c r="F65" s="136"/>
      <c r="K65" s="136"/>
      <c r="L65" s="136"/>
      <c r="M65" s="136"/>
      <c r="N65" s="136"/>
      <c r="O65" s="136"/>
      <c r="P65" s="136"/>
      <c r="Q65" s="136"/>
      <c r="R65" s="136"/>
      <c r="BO65" s="136"/>
      <c r="BP65" s="121"/>
      <c r="BQ65" s="121"/>
      <c r="BR65" s="121"/>
    </row>
    <row r="66" spans="3:70" ht="14.25">
      <c r="F66" s="136"/>
      <c r="K66" s="136"/>
      <c r="L66" s="136"/>
      <c r="M66" s="136"/>
      <c r="N66" s="136"/>
      <c r="O66" s="136"/>
      <c r="P66" s="136"/>
      <c r="Q66" s="136"/>
      <c r="R66" s="136"/>
      <c r="BO66" s="136"/>
      <c r="BP66" s="121"/>
      <c r="BQ66" s="121"/>
      <c r="BR66" s="121"/>
    </row>
    <row r="67" spans="3:70" ht="14.25">
      <c r="F67" s="136"/>
      <c r="K67" s="136"/>
      <c r="L67" s="136"/>
      <c r="M67" s="136"/>
      <c r="N67" s="136"/>
      <c r="O67" s="136"/>
      <c r="P67" s="136"/>
      <c r="Q67" s="136"/>
      <c r="R67" s="136"/>
      <c r="BO67" s="136"/>
      <c r="BP67" s="121"/>
      <c r="BQ67" s="121"/>
      <c r="BR67" s="121"/>
    </row>
    <row r="68" spans="3:70" ht="12.75">
      <c r="C68" s="186"/>
      <c r="D68" s="136"/>
      <c r="E68" s="136"/>
      <c r="F68" s="136"/>
      <c r="H68" s="136"/>
      <c r="K68" s="136"/>
      <c r="L68" s="136"/>
      <c r="M68" s="136"/>
      <c r="N68" s="136"/>
      <c r="O68" s="136"/>
      <c r="P68" s="136"/>
      <c r="Q68" s="136"/>
      <c r="R68" s="136"/>
      <c r="BO68" s="136"/>
      <c r="BP68" s="121"/>
      <c r="BQ68" s="121"/>
      <c r="BR68" s="121"/>
    </row>
    <row r="69" spans="3:70" ht="12.75">
      <c r="C69" s="186"/>
      <c r="D69" s="136"/>
      <c r="E69" s="136"/>
      <c r="F69" s="136"/>
      <c r="K69" s="136"/>
      <c r="L69" s="136"/>
      <c r="M69" s="136"/>
      <c r="N69" s="136"/>
      <c r="O69" s="136"/>
      <c r="P69" s="136"/>
      <c r="Q69" s="136"/>
      <c r="R69" s="136"/>
      <c r="BO69" s="136"/>
      <c r="BP69" s="121"/>
      <c r="BQ69" s="121"/>
      <c r="BR69" s="121"/>
    </row>
    <row r="70" spans="3:70" ht="14.25">
      <c r="F70" s="136"/>
      <c r="K70" s="136"/>
      <c r="L70" s="136"/>
      <c r="M70" s="136"/>
      <c r="N70" s="136"/>
      <c r="O70" s="136"/>
      <c r="P70" s="136"/>
      <c r="Q70" s="136"/>
      <c r="R70" s="136"/>
      <c r="BO70" s="136"/>
      <c r="BP70" s="121"/>
      <c r="BQ70" s="121"/>
      <c r="BR70" s="121"/>
    </row>
    <row r="71" spans="3:70" ht="14.25">
      <c r="F71" s="136"/>
      <c r="K71" s="136"/>
      <c r="L71" s="136"/>
      <c r="M71" s="136"/>
      <c r="N71" s="136"/>
      <c r="O71" s="136"/>
      <c r="P71" s="136"/>
      <c r="Q71" s="136"/>
      <c r="R71" s="136"/>
      <c r="BO71" s="136"/>
      <c r="BP71" s="121"/>
      <c r="BQ71" s="121"/>
      <c r="BR71" s="121"/>
    </row>
    <row r="72" spans="3:70" ht="14.25">
      <c r="F72" s="136"/>
      <c r="K72" s="136"/>
      <c r="L72" s="136"/>
      <c r="M72" s="136"/>
      <c r="N72" s="136"/>
      <c r="O72" s="136"/>
      <c r="P72" s="136"/>
      <c r="Q72" s="136"/>
      <c r="R72" s="136"/>
      <c r="BO72" s="136"/>
      <c r="BP72" s="121"/>
      <c r="BQ72" s="121"/>
      <c r="BR72" s="121"/>
    </row>
    <row r="73" spans="3:70" ht="14.25">
      <c r="F73" s="136"/>
      <c r="K73" s="136"/>
      <c r="L73" s="136"/>
      <c r="M73" s="136"/>
      <c r="N73" s="136"/>
      <c r="O73" s="136"/>
      <c r="P73" s="136"/>
      <c r="Q73" s="136"/>
      <c r="R73" s="136"/>
      <c r="BO73" s="136"/>
      <c r="BP73" s="121"/>
      <c r="BQ73" s="121"/>
      <c r="BR73" s="121"/>
    </row>
    <row r="74" spans="3:70">
      <c r="F74" s="136"/>
      <c r="K74" s="136"/>
      <c r="L74" s="136"/>
      <c r="M74" s="136"/>
      <c r="N74" s="136"/>
      <c r="O74" s="136"/>
      <c r="P74" s="136"/>
      <c r="Q74" s="136"/>
      <c r="R74" s="136"/>
      <c r="BP74" s="121"/>
      <c r="BQ74" s="121"/>
      <c r="BR74" s="121"/>
    </row>
  </sheetData>
  <mergeCells count="4">
    <mergeCell ref="A1:Q1"/>
    <mergeCell ref="B2:E2"/>
    <mergeCell ref="H2:R2"/>
    <mergeCell ref="B4:C4"/>
  </mergeCells>
  <dataValidations count="2">
    <dataValidation type="list" allowBlank="1" showInputMessage="1" showErrorMessage="1" sqref="C7">
      <formula1>Region</formula1>
    </dataValidation>
    <dataValidation type="list" allowBlank="1" showInputMessage="1" showErrorMessage="1" sqref="J25 J20">
      <formula1>$G$43:$G$46</formula1>
    </dataValidation>
  </dataValidations>
  <pageMargins left="0.7" right="0.7" top="0.75" bottom="0.75" header="0.3" footer="0.3"/>
  <pageSetup paperSize="5" scale="39"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J3</xm:sqref>
        </x14:dataValidation>
        <x14:dataValidation type="list" allowBlank="1" showInputMessage="1" showErrorMessage="1">
          <x14:formula1>
            <xm:f>Assumptions!$A$4:$A$14</xm:f>
          </x14:formula1>
          <xm:sqref>C8</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59999389629810485"/>
    <pageSetUpPr fitToPage="1"/>
  </sheetPr>
  <dimension ref="A1:BR121"/>
  <sheetViews>
    <sheetView topLeftCell="A16" workbookViewId="0">
      <selection activeCell="D47" sqref="D47"/>
    </sheetView>
  </sheetViews>
  <sheetFormatPr defaultColWidth="9.140625" defaultRowHeight="15"/>
  <cols>
    <col min="1" max="1" width="2.42578125" style="39" bestFit="1" customWidth="1"/>
    <col min="2" max="2" width="24" style="1163" customWidth="1"/>
    <col min="3" max="3" width="26.85546875" style="1201" bestFit="1" customWidth="1"/>
    <col min="4" max="4" width="37.28515625" style="93" customWidth="1"/>
    <col min="5" max="5" width="24.28515625" style="93" bestFit="1" customWidth="1"/>
    <col min="6" max="6" width="17.140625" style="93" customWidth="1"/>
    <col min="7" max="7" width="18" style="93" customWidth="1"/>
    <col min="8" max="8" width="17.42578125" style="93" customWidth="1"/>
    <col min="9" max="9" width="29.5703125" style="93" customWidth="1"/>
    <col min="10" max="10" width="17.28515625" style="93" customWidth="1"/>
    <col min="11" max="11" width="16.5703125" style="93" customWidth="1"/>
    <col min="12" max="13" width="12.85546875" style="93" bestFit="1" customWidth="1"/>
    <col min="14" max="14" width="16" style="93" customWidth="1"/>
    <col min="15" max="15" width="18.85546875" style="93" customWidth="1"/>
    <col min="16" max="16" width="15" style="93" bestFit="1" customWidth="1"/>
    <col min="17" max="17" width="13.85546875" style="93" customWidth="1"/>
    <col min="18" max="18" width="15.140625" style="93" customWidth="1"/>
    <col min="19" max="19" width="14.42578125" style="467" hidden="1" customWidth="1"/>
    <col min="20" max="20" width="13.28515625" style="467" hidden="1" customWidth="1"/>
    <col min="21" max="22" width="12.140625" style="467" hidden="1" customWidth="1"/>
    <col min="23" max="23" width="12" style="467" hidden="1" customWidth="1"/>
    <col min="24" max="26" width="12.140625" style="467" hidden="1" customWidth="1"/>
    <col min="27" max="27" width="12" style="467" hidden="1" customWidth="1"/>
    <col min="28" max="29" width="12.140625" style="467" hidden="1" customWidth="1"/>
    <col min="30" max="33" width="7.5703125" style="467" hidden="1" customWidth="1"/>
    <col min="34" max="35" width="7.140625" style="467" hidden="1" customWidth="1"/>
    <col min="36" max="42" width="7.5703125" style="467" hidden="1" customWidth="1"/>
    <col min="43" max="43" width="8" style="467" hidden="1" customWidth="1"/>
    <col min="44" max="44" width="8.28515625" style="467" hidden="1" customWidth="1"/>
    <col min="45" max="45" width="8" style="467" hidden="1" customWidth="1"/>
    <col min="46" max="52" width="8.28515625" style="467" hidden="1" customWidth="1"/>
    <col min="53" max="53" width="8" style="467" hidden="1" customWidth="1"/>
    <col min="54" max="58" width="8.28515625" style="467" hidden="1" customWidth="1"/>
    <col min="59" max="59" width="10.28515625" style="467" hidden="1" customWidth="1"/>
    <col min="60" max="60" width="7.5703125" style="467" hidden="1" customWidth="1"/>
    <col min="61" max="61" width="19.140625" style="467" customWidth="1"/>
    <col min="62" max="62" width="18" style="467" customWidth="1"/>
    <col min="63" max="66" width="8.28515625" style="467" customWidth="1"/>
    <col min="67" max="67" width="17.5703125" style="1202" customWidth="1"/>
    <col min="68" max="74" width="14.140625" style="39" customWidth="1"/>
    <col min="75" max="16384" width="9.140625" style="39"/>
  </cols>
  <sheetData>
    <row r="1" spans="1:67" ht="23.25" customHeight="1" thickBot="1">
      <c r="A1" s="2136" t="s">
        <v>1261</v>
      </c>
      <c r="B1" s="2136"/>
      <c r="C1" s="2136"/>
      <c r="D1" s="2136"/>
      <c r="E1" s="2136"/>
      <c r="F1" s="2136"/>
      <c r="G1" s="2136"/>
      <c r="H1" s="2136"/>
      <c r="I1" s="2136"/>
      <c r="J1" s="2136"/>
      <c r="K1" s="2136"/>
      <c r="L1" s="2136"/>
      <c r="M1" s="2136"/>
      <c r="N1" s="2136"/>
      <c r="O1" s="2136"/>
      <c r="P1" s="2136"/>
      <c r="Q1" s="2136"/>
      <c r="R1" s="213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row>
    <row r="2" spans="1:67" ht="20.25">
      <c r="B2" s="2137" t="s">
        <v>334</v>
      </c>
      <c r="C2" s="2137"/>
      <c r="D2" s="2137"/>
      <c r="E2" s="2137"/>
      <c r="G2" s="1025"/>
      <c r="H2" s="2138" t="s">
        <v>618</v>
      </c>
      <c r="I2" s="2139"/>
      <c r="J2" s="2139"/>
      <c r="K2" s="2139"/>
      <c r="L2" s="2139"/>
      <c r="M2" s="2139"/>
      <c r="N2" s="2139"/>
      <c r="O2" s="2139"/>
      <c r="P2" s="2139"/>
      <c r="Q2" s="2139"/>
      <c r="R2" s="2140"/>
      <c r="S2" s="471"/>
      <c r="T2" s="471"/>
      <c r="U2" s="471"/>
      <c r="V2" s="471"/>
      <c r="W2" s="471"/>
      <c r="X2" s="471"/>
      <c r="Y2" s="471"/>
      <c r="Z2" s="471"/>
      <c r="AA2" s="471"/>
      <c r="AB2" s="471"/>
      <c r="AC2" s="471"/>
      <c r="AD2" s="471"/>
      <c r="AE2" s="471"/>
      <c r="AF2" s="471"/>
      <c r="AG2" s="471"/>
      <c r="AH2" s="471"/>
      <c r="AI2" s="471"/>
      <c r="AJ2" s="471"/>
      <c r="AK2" s="471"/>
      <c r="AL2" s="471"/>
      <c r="AM2" s="471"/>
      <c r="AN2" s="471"/>
      <c r="AO2" s="471"/>
      <c r="AP2" s="471"/>
      <c r="AQ2" s="471"/>
      <c r="AR2" s="471"/>
      <c r="AS2" s="471"/>
      <c r="AT2" s="471"/>
      <c r="AU2" s="471"/>
      <c r="AV2" s="471"/>
      <c r="AW2" s="471"/>
      <c r="AX2" s="471"/>
      <c r="AY2" s="471"/>
      <c r="AZ2" s="471"/>
      <c r="BA2" s="471"/>
      <c r="BB2" s="471"/>
      <c r="BC2" s="471"/>
      <c r="BD2" s="471"/>
      <c r="BE2" s="471"/>
      <c r="BF2" s="471"/>
      <c r="BG2" s="471"/>
      <c r="BH2" s="471"/>
      <c r="BI2" s="471"/>
      <c r="BJ2" s="471"/>
      <c r="BK2" s="471"/>
      <c r="BL2" s="471"/>
      <c r="BM2" s="471"/>
      <c r="BN2" s="471"/>
      <c r="BO2" s="471"/>
    </row>
    <row r="3" spans="1:67" ht="15.75" thickBot="1">
      <c r="B3" s="1026"/>
      <c r="C3" s="1027"/>
      <c r="G3" s="1028"/>
      <c r="H3" s="1029"/>
      <c r="I3" s="471"/>
      <c r="J3" s="1279"/>
      <c r="K3" s="471"/>
      <c r="L3" s="471"/>
      <c r="M3" s="471"/>
      <c r="N3" s="471"/>
      <c r="O3" s="471"/>
      <c r="P3" s="471"/>
      <c r="Q3" s="471"/>
      <c r="R3" s="1032"/>
      <c r="S3" s="582"/>
      <c r="T3" s="582"/>
      <c r="U3" s="582"/>
      <c r="V3" s="582"/>
      <c r="W3" s="582"/>
      <c r="X3" s="582"/>
      <c r="Y3" s="582"/>
      <c r="Z3" s="582"/>
      <c r="AA3" s="582"/>
      <c r="AB3" s="582"/>
      <c r="AC3" s="582"/>
      <c r="AD3" s="582"/>
      <c r="AE3" s="582"/>
      <c r="AF3" s="582"/>
      <c r="AG3" s="582"/>
      <c r="AH3" s="582"/>
      <c r="AI3" s="582"/>
      <c r="AJ3" s="582"/>
      <c r="AK3" s="582"/>
      <c r="AL3" s="582"/>
      <c r="AM3" s="582"/>
      <c r="AN3" s="582"/>
      <c r="AO3" s="582"/>
      <c r="AP3" s="582"/>
      <c r="AQ3" s="582"/>
      <c r="AR3" s="582"/>
      <c r="AS3" s="582"/>
      <c r="AT3" s="582"/>
      <c r="AU3" s="582"/>
      <c r="AV3" s="582"/>
      <c r="AW3" s="582"/>
      <c r="AX3" s="582"/>
      <c r="AY3" s="582"/>
      <c r="AZ3" s="582"/>
      <c r="BA3" s="582"/>
      <c r="BB3" s="582"/>
      <c r="BC3" s="582"/>
      <c r="BD3" s="582"/>
      <c r="BE3" s="582"/>
      <c r="BF3" s="582"/>
      <c r="BG3" s="582"/>
      <c r="BH3" s="582"/>
      <c r="BI3" s="582"/>
      <c r="BJ3" s="582"/>
      <c r="BK3" s="582"/>
      <c r="BL3" s="582"/>
      <c r="BM3" s="582"/>
      <c r="BN3" s="582"/>
      <c r="BO3" s="582"/>
    </row>
    <row r="4" spans="1:67" ht="13.5" thickBot="1">
      <c r="B4" s="2141" t="s">
        <v>331</v>
      </c>
      <c r="C4" s="2142"/>
      <c r="D4" s="96"/>
      <c r="E4" s="916" t="s">
        <v>1211</v>
      </c>
      <c r="F4" s="1236" t="s">
        <v>890</v>
      </c>
      <c r="G4" s="1033"/>
      <c r="H4" s="1029"/>
      <c r="I4" s="1304" t="s">
        <v>1252</v>
      </c>
      <c r="J4" s="1305"/>
      <c r="K4" s="471"/>
      <c r="L4" s="471"/>
      <c r="Q4" s="471"/>
      <c r="R4" s="1032"/>
      <c r="S4" s="582"/>
      <c r="T4" s="582"/>
      <c r="U4" s="582"/>
      <c r="V4" s="582"/>
      <c r="W4" s="582"/>
      <c r="X4" s="582"/>
      <c r="Y4" s="582"/>
      <c r="Z4" s="582"/>
      <c r="AA4" s="582"/>
      <c r="AB4" s="582"/>
      <c r="AC4" s="582"/>
      <c r="AD4" s="582"/>
      <c r="AE4" s="582"/>
      <c r="AF4" s="582"/>
      <c r="AG4" s="582"/>
      <c r="AH4" s="582"/>
      <c r="AI4" s="582"/>
      <c r="AJ4" s="582"/>
      <c r="AK4" s="582"/>
      <c r="AL4" s="582"/>
      <c r="AM4" s="582"/>
      <c r="AN4" s="582"/>
      <c r="AO4" s="582"/>
      <c r="AP4" s="582"/>
      <c r="AQ4" s="582"/>
      <c r="AR4" s="582"/>
      <c r="AS4" s="582"/>
      <c r="AT4" s="582"/>
      <c r="AU4" s="582"/>
      <c r="AV4" s="582"/>
      <c r="AW4" s="582"/>
      <c r="AX4" s="582"/>
      <c r="AY4" s="582"/>
      <c r="AZ4" s="582"/>
      <c r="BA4" s="582"/>
      <c r="BB4" s="582"/>
      <c r="BC4" s="582"/>
      <c r="BD4" s="582"/>
      <c r="BE4" s="582"/>
      <c r="BF4" s="582"/>
      <c r="BG4" s="582"/>
      <c r="BH4" s="582"/>
      <c r="BI4" s="582"/>
      <c r="BJ4" s="582"/>
      <c r="BK4" s="582"/>
      <c r="BL4" s="582"/>
      <c r="BM4" s="582"/>
      <c r="BN4" s="582"/>
      <c r="BO4" s="582"/>
    </row>
    <row r="5" spans="1:67">
      <c r="B5" s="484" t="s">
        <v>375</v>
      </c>
      <c r="C5" s="587" t="str">
        <f>Community_Name</f>
        <v>Manley Hot Springs</v>
      </c>
      <c r="D5" s="582"/>
      <c r="E5" s="47" t="s">
        <v>1209</v>
      </c>
      <c r="F5" s="1237" t="s">
        <v>890</v>
      </c>
      <c r="G5" s="1033"/>
      <c r="H5" s="1029"/>
      <c r="I5" s="944" t="s">
        <v>1253</v>
      </c>
      <c r="J5" s="1273"/>
      <c r="K5" s="1054"/>
      <c r="L5" s="1054"/>
      <c r="M5" s="1972" t="s">
        <v>1286</v>
      </c>
      <c r="N5" s="1973"/>
      <c r="O5" s="1973"/>
      <c r="P5" s="1289"/>
      <c r="Q5" s="1286"/>
      <c r="R5" s="2143"/>
      <c r="U5" s="1027"/>
      <c r="V5" s="1027"/>
      <c r="W5" s="582"/>
      <c r="X5" s="582"/>
      <c r="Y5" s="582"/>
      <c r="Z5" s="582"/>
      <c r="AA5" s="582"/>
      <c r="AB5" s="582"/>
      <c r="AC5" s="582"/>
      <c r="AD5" s="582"/>
      <c r="AE5" s="582"/>
      <c r="AF5" s="582"/>
      <c r="AG5" s="582"/>
      <c r="AH5" s="582"/>
      <c r="AI5" s="582"/>
      <c r="AJ5" s="582"/>
      <c r="AK5" s="582"/>
      <c r="AL5" s="582"/>
      <c r="AM5" s="582"/>
      <c r="AN5" s="582"/>
      <c r="AO5" s="582"/>
      <c r="AP5" s="582"/>
      <c r="AQ5" s="582"/>
      <c r="AR5" s="582"/>
      <c r="AS5" s="582"/>
      <c r="AT5" s="582"/>
      <c r="AU5" s="582"/>
      <c r="AV5" s="582"/>
      <c r="AW5" s="582"/>
      <c r="AX5" s="582"/>
      <c r="AY5" s="582"/>
      <c r="AZ5" s="582"/>
      <c r="BA5" s="582"/>
      <c r="BB5" s="582"/>
      <c r="BC5" s="582"/>
      <c r="BD5" s="582"/>
      <c r="BE5" s="582"/>
      <c r="BF5" s="582"/>
      <c r="BG5" s="582"/>
      <c r="BH5" s="582"/>
      <c r="BI5" s="582"/>
      <c r="BJ5" s="582"/>
      <c r="BK5" s="582"/>
      <c r="BL5" s="582"/>
      <c r="BM5" s="582"/>
      <c r="BN5" s="582"/>
      <c r="BO5" s="582"/>
    </row>
    <row r="6" spans="1:67" ht="15.75" thickBot="1">
      <c r="B6" s="484" t="s">
        <v>376</v>
      </c>
      <c r="C6" s="587" t="str">
        <f>IF('Community data'!B7="Yes",'Community data'!B8,Community_Name)</f>
        <v>Manley Hot Springs</v>
      </c>
      <c r="D6" s="582"/>
      <c r="E6" s="417" t="s">
        <v>1210</v>
      </c>
      <c r="F6" s="1212" t="b">
        <f>IF(OR(C9="Construction",C9="Design"),"High", IF(C9="Feasibility", "Medium", IF(C9="Recon", "Low")))</f>
        <v>0</v>
      </c>
      <c r="G6" s="1033"/>
      <c r="H6" s="1029"/>
      <c r="I6" s="1297" t="s">
        <v>1258</v>
      </c>
      <c r="J6" s="1306"/>
      <c r="K6" s="1042"/>
      <c r="L6" s="1054"/>
      <c r="M6" s="2065" t="s">
        <v>1276</v>
      </c>
      <c r="N6" s="1988"/>
      <c r="O6" s="471"/>
      <c r="P6" s="1290"/>
      <c r="Q6" s="1286"/>
      <c r="R6" s="2143"/>
      <c r="U6" s="1027"/>
      <c r="V6" s="1027"/>
      <c r="W6" s="582"/>
      <c r="X6" s="582"/>
      <c r="Y6" s="582"/>
      <c r="Z6" s="582"/>
      <c r="AA6" s="582"/>
      <c r="AB6" s="582"/>
      <c r="AC6" s="582"/>
      <c r="AD6" s="582"/>
      <c r="AE6" s="582"/>
      <c r="AF6" s="582"/>
      <c r="AG6" s="582"/>
      <c r="AH6" s="582"/>
      <c r="AI6" s="582"/>
      <c r="AJ6" s="582"/>
      <c r="AK6" s="582"/>
      <c r="AL6" s="582"/>
      <c r="AM6" s="582"/>
      <c r="AN6" s="582"/>
      <c r="AO6" s="582"/>
      <c r="AP6" s="582"/>
      <c r="AQ6" s="582"/>
      <c r="AR6" s="582"/>
      <c r="AS6" s="582"/>
      <c r="AT6" s="582"/>
      <c r="AU6" s="582"/>
      <c r="AV6" s="582"/>
      <c r="AW6" s="582"/>
      <c r="AX6" s="582"/>
      <c r="AY6" s="582"/>
      <c r="AZ6" s="582"/>
      <c r="BA6" s="582"/>
      <c r="BB6" s="582"/>
      <c r="BC6" s="582"/>
      <c r="BD6" s="582"/>
      <c r="BE6" s="582"/>
      <c r="BF6" s="582"/>
      <c r="BG6" s="582"/>
      <c r="BH6" s="582"/>
      <c r="BI6" s="582"/>
      <c r="BJ6" s="582"/>
      <c r="BK6" s="582"/>
      <c r="BL6" s="582"/>
      <c r="BM6" s="582"/>
      <c r="BN6" s="582"/>
      <c r="BO6" s="582"/>
    </row>
    <row r="7" spans="1:67" ht="15.75" thickBot="1">
      <c r="B7" s="484" t="s">
        <v>332</v>
      </c>
      <c r="C7" s="1038" t="s">
        <v>291</v>
      </c>
      <c r="D7" s="582"/>
      <c r="E7" s="467"/>
      <c r="G7" s="1033"/>
      <c r="H7" s="1029"/>
      <c r="I7" s="39"/>
      <c r="J7" s="39" t="s">
        <v>1283</v>
      </c>
      <c r="K7" s="1054"/>
      <c r="L7" s="1054"/>
      <c r="M7" s="944" t="s">
        <v>1277</v>
      </c>
      <c r="N7" s="1286"/>
      <c r="O7" s="1286"/>
      <c r="P7" s="1291"/>
      <c r="Q7" s="703"/>
      <c r="R7" s="1047"/>
      <c r="S7" s="2135"/>
      <c r="T7" s="2135"/>
      <c r="U7" s="2135"/>
      <c r="V7" s="1027"/>
      <c r="W7" s="582"/>
      <c r="X7" s="582"/>
      <c r="Y7" s="582"/>
      <c r="Z7" s="582"/>
      <c r="AA7" s="582"/>
      <c r="AB7" s="582"/>
      <c r="AC7" s="582"/>
      <c r="AD7" s="582"/>
      <c r="AE7" s="582"/>
      <c r="AF7" s="582"/>
      <c r="AG7" s="582"/>
      <c r="AH7" s="582"/>
      <c r="AI7" s="582"/>
      <c r="AJ7" s="582"/>
      <c r="AK7" s="582"/>
      <c r="AL7" s="582"/>
      <c r="AM7" s="582"/>
      <c r="AN7" s="582"/>
      <c r="AO7" s="582"/>
      <c r="AP7" s="582"/>
      <c r="AQ7" s="582"/>
      <c r="AR7" s="582"/>
      <c r="AS7" s="582"/>
      <c r="AT7" s="582"/>
      <c r="AU7" s="582"/>
      <c r="AV7" s="582"/>
      <c r="AW7" s="582"/>
      <c r="AX7" s="582"/>
      <c r="AY7" s="582"/>
      <c r="AZ7" s="582"/>
      <c r="BA7" s="582"/>
      <c r="BB7" s="582"/>
      <c r="BC7" s="582"/>
      <c r="BD7" s="582"/>
      <c r="BE7" s="582"/>
      <c r="BF7" s="582"/>
      <c r="BG7" s="582"/>
      <c r="BH7" s="582"/>
      <c r="BI7" s="582"/>
      <c r="BJ7" s="582"/>
      <c r="BK7" s="582"/>
      <c r="BL7" s="582"/>
      <c r="BM7" s="582"/>
      <c r="BN7" s="582"/>
      <c r="BO7" s="582"/>
    </row>
    <row r="8" spans="1:67">
      <c r="B8" s="484" t="s">
        <v>569</v>
      </c>
      <c r="C8" s="1038" t="s">
        <v>691</v>
      </c>
      <c r="D8" s="582"/>
      <c r="E8" s="96"/>
      <c r="G8" s="1033"/>
      <c r="H8" s="1029"/>
      <c r="I8" s="1301" t="s">
        <v>288</v>
      </c>
      <c r="J8" s="1302"/>
      <c r="K8" s="1274"/>
      <c r="L8" s="1054"/>
      <c r="M8" s="416"/>
      <c r="N8" s="1286"/>
      <c r="O8" s="1286"/>
      <c r="P8" s="1291"/>
      <c r="Q8" s="1102"/>
      <c r="R8" s="1047"/>
      <c r="S8" s="1027"/>
      <c r="T8" s="1027"/>
      <c r="U8" s="1027"/>
      <c r="V8" s="1027"/>
      <c r="W8" s="582"/>
      <c r="X8" s="582"/>
      <c r="Y8" s="582"/>
      <c r="Z8" s="582"/>
      <c r="AA8" s="582"/>
      <c r="AB8" s="582"/>
      <c r="AC8" s="582"/>
      <c r="AD8" s="582"/>
      <c r="AE8" s="582"/>
      <c r="AF8" s="582"/>
      <c r="AG8" s="582"/>
      <c r="AH8" s="582"/>
      <c r="AI8" s="582"/>
      <c r="AJ8" s="582"/>
      <c r="AK8" s="582"/>
      <c r="AL8" s="582"/>
      <c r="AM8" s="582"/>
      <c r="AN8" s="582"/>
      <c r="AO8" s="582"/>
      <c r="AP8" s="582"/>
      <c r="AQ8" s="582"/>
      <c r="AR8" s="582"/>
      <c r="AS8" s="582"/>
      <c r="AT8" s="582"/>
      <c r="AU8" s="582"/>
      <c r="AV8" s="582"/>
      <c r="AW8" s="582"/>
      <c r="AX8" s="582"/>
      <c r="AY8" s="582"/>
      <c r="AZ8" s="582"/>
      <c r="BA8" s="582"/>
      <c r="BB8" s="582"/>
      <c r="BC8" s="582"/>
      <c r="BD8" s="582"/>
      <c r="BE8" s="582"/>
      <c r="BF8" s="582"/>
      <c r="BG8" s="582"/>
      <c r="BH8" s="582"/>
      <c r="BI8" s="582"/>
      <c r="BJ8" s="582"/>
      <c r="BK8" s="582"/>
      <c r="BL8" s="582"/>
      <c r="BM8" s="582"/>
      <c r="BN8" s="582"/>
      <c r="BO8" s="582"/>
    </row>
    <row r="9" spans="1:67">
      <c r="B9" s="484" t="s">
        <v>570</v>
      </c>
      <c r="C9" s="1052"/>
      <c r="D9" s="582"/>
      <c r="E9" s="96"/>
      <c r="G9" s="1033"/>
      <c r="H9" s="1029"/>
      <c r="I9" s="1303" t="s">
        <v>1254</v>
      </c>
      <c r="J9" s="1276"/>
      <c r="K9" s="1054"/>
      <c r="L9" s="1054"/>
      <c r="M9" s="2065" t="s">
        <v>1262</v>
      </c>
      <c r="N9" s="1988"/>
      <c r="O9" s="703"/>
      <c r="P9" s="1292"/>
      <c r="Q9" s="703"/>
      <c r="R9" s="1047"/>
      <c r="S9" s="1057"/>
      <c r="T9" s="1027"/>
      <c r="U9" s="1027"/>
      <c r="V9" s="1027"/>
      <c r="W9" s="582"/>
      <c r="X9" s="582"/>
      <c r="Y9" s="582"/>
      <c r="Z9" s="582"/>
      <c r="AA9" s="582"/>
      <c r="AB9" s="582"/>
      <c r="AC9" s="582"/>
      <c r="AD9" s="582"/>
      <c r="AE9" s="582"/>
      <c r="AF9" s="582"/>
      <c r="AG9" s="582"/>
      <c r="AH9" s="582"/>
      <c r="AI9" s="582"/>
      <c r="AJ9" s="582"/>
      <c r="AK9" s="582"/>
      <c r="AL9" s="582"/>
      <c r="AM9" s="582"/>
      <c r="AN9" s="582"/>
      <c r="AO9" s="582"/>
      <c r="AP9" s="582"/>
      <c r="AQ9" s="582"/>
      <c r="AR9" s="582"/>
      <c r="AS9" s="582"/>
      <c r="AT9" s="582"/>
      <c r="AU9" s="582"/>
      <c r="AV9" s="582"/>
      <c r="AW9" s="582"/>
      <c r="AX9" s="582"/>
      <c r="AY9" s="582"/>
      <c r="AZ9" s="582"/>
      <c r="BA9" s="582"/>
      <c r="BB9" s="582"/>
      <c r="BC9" s="582"/>
      <c r="BD9" s="582"/>
      <c r="BE9" s="582"/>
      <c r="BF9" s="582"/>
      <c r="BG9" s="582"/>
      <c r="BH9" s="582"/>
      <c r="BI9" s="582"/>
      <c r="BJ9" s="582"/>
      <c r="BK9" s="582"/>
      <c r="BL9" s="582"/>
      <c r="BM9" s="582"/>
      <c r="BN9" s="582"/>
      <c r="BO9" s="582"/>
    </row>
    <row r="10" spans="1:67" ht="26.25">
      <c r="B10" s="484"/>
      <c r="C10" s="1038"/>
      <c r="D10" s="582"/>
      <c r="E10" s="96"/>
      <c r="G10" s="1033"/>
      <c r="H10" s="1029"/>
      <c r="I10" s="944" t="s">
        <v>1255</v>
      </c>
      <c r="J10" s="1060"/>
      <c r="K10" s="96"/>
      <c r="L10" s="1054"/>
      <c r="M10" s="1029" t="s">
        <v>1263</v>
      </c>
      <c r="N10" s="703"/>
      <c r="O10" s="703" t="s">
        <v>1285</v>
      </c>
      <c r="P10" s="1293" t="s">
        <v>1274</v>
      </c>
      <c r="Q10" s="96"/>
      <c r="R10" s="1047"/>
      <c r="S10" s="1057"/>
      <c r="T10" s="1027"/>
      <c r="U10" s="1027"/>
      <c r="V10" s="1027"/>
      <c r="W10" s="582"/>
      <c r="X10" s="582"/>
      <c r="Y10" s="582"/>
      <c r="Z10" s="582"/>
      <c r="AA10" s="582"/>
      <c r="AB10" s="582"/>
      <c r="AC10" s="582"/>
      <c r="AD10" s="582"/>
      <c r="AE10" s="582"/>
      <c r="AF10" s="582"/>
      <c r="AG10" s="582"/>
      <c r="AH10" s="582"/>
      <c r="AI10" s="582"/>
      <c r="AJ10" s="582"/>
      <c r="AK10" s="582"/>
      <c r="AL10" s="582"/>
      <c r="AM10" s="582"/>
      <c r="AN10" s="582"/>
      <c r="AO10" s="582"/>
      <c r="AP10" s="582"/>
      <c r="AQ10" s="582"/>
      <c r="AR10" s="582"/>
      <c r="AS10" s="582"/>
      <c r="AT10" s="582"/>
      <c r="AU10" s="582"/>
      <c r="AV10" s="582"/>
      <c r="AW10" s="582"/>
      <c r="AX10" s="582"/>
      <c r="AY10" s="582"/>
      <c r="AZ10" s="582"/>
      <c r="BA10" s="582"/>
      <c r="BB10" s="582"/>
      <c r="BC10" s="582"/>
      <c r="BD10" s="582"/>
      <c r="BE10" s="582"/>
      <c r="BF10" s="582"/>
      <c r="BG10" s="582"/>
      <c r="BH10" s="582"/>
      <c r="BI10" s="582"/>
      <c r="BJ10" s="582"/>
      <c r="BK10" s="582"/>
      <c r="BL10" s="582"/>
      <c r="BM10" s="582"/>
      <c r="BN10" s="582"/>
      <c r="BO10" s="582"/>
    </row>
    <row r="11" spans="1:67" ht="15.75" thickBot="1">
      <c r="B11" s="653"/>
      <c r="C11" s="1061"/>
      <c r="D11" s="582"/>
      <c r="E11" s="96"/>
      <c r="F11" s="1062"/>
      <c r="G11" s="1033"/>
      <c r="H11" s="1029"/>
      <c r="I11" s="1309" t="s">
        <v>1259</v>
      </c>
      <c r="J11" s="1275"/>
      <c r="K11" s="1054"/>
      <c r="L11" s="96"/>
      <c r="M11" s="1029"/>
      <c r="N11" s="703"/>
      <c r="O11" s="703"/>
      <c r="P11" s="1294"/>
      <c r="Q11" s="703"/>
      <c r="R11" s="1047"/>
      <c r="S11" s="1057"/>
      <c r="T11" s="1027"/>
      <c r="U11" s="1027"/>
      <c r="W11" s="582"/>
      <c r="X11" s="582"/>
      <c r="Y11" s="582"/>
      <c r="Z11" s="582"/>
      <c r="AA11" s="582"/>
      <c r="AB11" s="582"/>
      <c r="AC11" s="582"/>
      <c r="AD11" s="582"/>
      <c r="AE11" s="582"/>
      <c r="AF11" s="582"/>
      <c r="AG11" s="582"/>
      <c r="AH11" s="582"/>
      <c r="AI11" s="582"/>
      <c r="AJ11" s="582"/>
      <c r="AK11" s="582"/>
      <c r="AL11" s="582"/>
      <c r="AM11" s="582"/>
      <c r="AN11" s="582"/>
      <c r="AO11" s="582"/>
      <c r="AP11" s="582"/>
      <c r="AQ11" s="582"/>
      <c r="AR11" s="582"/>
      <c r="AS11" s="582"/>
      <c r="AT11" s="582"/>
      <c r="AU11" s="582"/>
      <c r="AV11" s="582"/>
      <c r="AW11" s="582"/>
      <c r="AX11" s="582"/>
      <c r="AY11" s="582"/>
      <c r="AZ11" s="582"/>
      <c r="BA11" s="582"/>
      <c r="BB11" s="582"/>
      <c r="BC11" s="582"/>
      <c r="BD11" s="582"/>
      <c r="BE11" s="582"/>
      <c r="BF11" s="582"/>
      <c r="BG11" s="582"/>
      <c r="BH11" s="582"/>
      <c r="BI11" s="582"/>
      <c r="BJ11" s="582"/>
      <c r="BK11" s="582"/>
      <c r="BL11" s="582"/>
      <c r="BM11" s="582"/>
      <c r="BN11" s="582"/>
      <c r="BO11" s="582"/>
    </row>
    <row r="12" spans="1:67" ht="15.75" thickBot="1">
      <c r="B12" s="1066" t="s">
        <v>360</v>
      </c>
      <c r="C12" s="1067" t="s">
        <v>384</v>
      </c>
      <c r="D12" s="1068"/>
      <c r="E12" s="1068"/>
      <c r="F12" s="39"/>
      <c r="G12" s="1033"/>
      <c r="H12" s="1029"/>
      <c r="I12" s="1297" t="s">
        <v>1260</v>
      </c>
      <c r="J12" s="1310"/>
      <c r="K12" s="96"/>
      <c r="L12" s="96"/>
      <c r="M12" s="2065" t="s">
        <v>1264</v>
      </c>
      <c r="N12" s="1988"/>
      <c r="O12" s="471"/>
      <c r="P12" s="1295"/>
      <c r="Q12" s="1282"/>
      <c r="R12" s="1047"/>
      <c r="S12" s="1057"/>
      <c r="T12" s="1027"/>
      <c r="U12" s="1027"/>
      <c r="W12" s="582"/>
      <c r="X12" s="582"/>
      <c r="Y12" s="582"/>
      <c r="Z12" s="582"/>
      <c r="AA12" s="582"/>
      <c r="AB12" s="582"/>
      <c r="AC12" s="582"/>
      <c r="AD12" s="582"/>
      <c r="AE12" s="582"/>
      <c r="AF12" s="582"/>
      <c r="AG12" s="582"/>
      <c r="AH12" s="582"/>
      <c r="AI12" s="582"/>
      <c r="AJ12" s="582"/>
      <c r="AK12" s="582"/>
      <c r="AL12" s="582"/>
      <c r="AM12" s="582"/>
      <c r="AN12" s="582"/>
      <c r="AO12" s="582"/>
      <c r="AP12" s="582"/>
      <c r="AQ12" s="582"/>
      <c r="AR12" s="582"/>
      <c r="AS12" s="582"/>
      <c r="AT12" s="582"/>
      <c r="AU12" s="582"/>
      <c r="AV12" s="582"/>
      <c r="AW12" s="582"/>
      <c r="AX12" s="582"/>
      <c r="AY12" s="582"/>
      <c r="AZ12" s="582"/>
      <c r="BA12" s="582"/>
      <c r="BB12" s="582"/>
      <c r="BC12" s="582"/>
      <c r="BD12" s="582"/>
      <c r="BE12" s="582"/>
      <c r="BF12" s="582"/>
      <c r="BG12" s="582"/>
      <c r="BH12" s="582"/>
      <c r="BI12" s="582"/>
      <c r="BJ12" s="582"/>
      <c r="BK12" s="582"/>
      <c r="BL12" s="582"/>
      <c r="BM12" s="582"/>
      <c r="BN12" s="582"/>
      <c r="BO12" s="582"/>
    </row>
    <row r="13" spans="1:67" ht="13.5" thickBot="1">
      <c r="B13" s="484" t="s">
        <v>262</v>
      </c>
      <c r="C13" s="1073" t="e">
        <f>BI59</f>
        <v>#REF!</v>
      </c>
      <c r="D13" s="467"/>
      <c r="E13" s="467"/>
      <c r="F13" s="39"/>
      <c r="G13" s="1033"/>
      <c r="H13" s="1029"/>
      <c r="K13" s="96"/>
      <c r="L13" s="96"/>
      <c r="M13" s="944" t="s">
        <v>1278</v>
      </c>
      <c r="N13" s="471"/>
      <c r="O13" s="471" t="s">
        <v>1281</v>
      </c>
      <c r="P13" s="1296"/>
      <c r="Q13" s="703"/>
      <c r="R13" s="1047"/>
      <c r="S13" s="1057"/>
      <c r="T13" s="1027"/>
      <c r="U13" s="1027"/>
      <c r="W13" s="582"/>
      <c r="X13" s="582"/>
      <c r="Y13" s="582"/>
      <c r="Z13" s="582"/>
      <c r="AA13" s="582"/>
      <c r="AB13" s="582"/>
      <c r="AC13" s="582"/>
      <c r="AD13" s="582"/>
      <c r="AE13" s="582"/>
      <c r="AF13" s="582"/>
      <c r="AG13" s="582"/>
      <c r="AH13" s="582"/>
      <c r="AI13" s="582"/>
      <c r="AJ13" s="582"/>
      <c r="AK13" s="582"/>
      <c r="AL13" s="582"/>
      <c r="AM13" s="582"/>
      <c r="AN13" s="582"/>
      <c r="AO13" s="582"/>
      <c r="AP13" s="582"/>
      <c r="AQ13" s="582"/>
      <c r="AR13" s="582"/>
      <c r="AS13" s="582"/>
      <c r="AT13" s="582"/>
      <c r="AU13" s="582"/>
      <c r="AV13" s="582"/>
      <c r="AW13" s="582"/>
      <c r="AX13" s="582"/>
      <c r="AY13" s="582"/>
      <c r="AZ13" s="582"/>
      <c r="BA13" s="582"/>
      <c r="BB13" s="582"/>
      <c r="BC13" s="582"/>
      <c r="BD13" s="582"/>
      <c r="BE13" s="582"/>
      <c r="BF13" s="582"/>
      <c r="BG13" s="582"/>
      <c r="BH13" s="582"/>
      <c r="BI13" s="582"/>
      <c r="BJ13" s="582"/>
      <c r="BK13" s="582"/>
      <c r="BL13" s="582"/>
      <c r="BM13" s="582"/>
      <c r="BN13" s="582"/>
      <c r="BO13" s="582"/>
    </row>
    <row r="14" spans="1:67" thickBot="1">
      <c r="B14" s="484" t="s">
        <v>278</v>
      </c>
      <c r="C14" s="1074" t="e">
        <f>BI55</f>
        <v>#REF!</v>
      </c>
      <c r="D14" s="467"/>
      <c r="E14" s="467"/>
      <c r="F14" s="39"/>
      <c r="G14" s="1033"/>
      <c r="H14" s="1029"/>
      <c r="I14" s="1307" t="s">
        <v>1256</v>
      </c>
      <c r="J14" s="1308"/>
      <c r="K14" s="96"/>
      <c r="L14" s="96"/>
      <c r="M14" s="1297" t="s">
        <v>1279</v>
      </c>
      <c r="N14" s="1298"/>
      <c r="O14" s="1298" t="s">
        <v>1282</v>
      </c>
      <c r="P14" s="1299"/>
      <c r="Q14" s="1282"/>
      <c r="R14" s="1047"/>
      <c r="S14" s="1057"/>
      <c r="T14" s="1027"/>
      <c r="U14" s="1027"/>
      <c r="W14" s="582"/>
      <c r="X14" s="582"/>
      <c r="Y14" s="582"/>
      <c r="Z14" s="582"/>
      <c r="AA14" s="582"/>
      <c r="AB14" s="582"/>
      <c r="AC14" s="582"/>
      <c r="AD14" s="582"/>
      <c r="AE14" s="582"/>
      <c r="AF14" s="582"/>
      <c r="AG14" s="582"/>
      <c r="AH14" s="582"/>
      <c r="AI14" s="582"/>
      <c r="AJ14" s="582"/>
      <c r="AK14" s="582"/>
      <c r="AL14" s="582"/>
      <c r="AM14" s="582"/>
      <c r="AN14" s="582"/>
      <c r="AO14" s="582"/>
      <c r="AP14" s="582"/>
      <c r="AQ14" s="582"/>
      <c r="AR14" s="582"/>
      <c r="AS14" s="582"/>
      <c r="AT14" s="582"/>
      <c r="AU14" s="582"/>
      <c r="AV14" s="582"/>
      <c r="AW14" s="582"/>
      <c r="AX14" s="582"/>
      <c r="AY14" s="582"/>
      <c r="AZ14" s="582"/>
      <c r="BA14" s="582"/>
      <c r="BB14" s="582"/>
      <c r="BC14" s="582"/>
      <c r="BD14" s="582"/>
      <c r="BE14" s="582"/>
      <c r="BF14" s="582"/>
      <c r="BG14" s="582"/>
      <c r="BH14" s="582"/>
      <c r="BI14" s="582"/>
      <c r="BJ14" s="582"/>
      <c r="BK14" s="582"/>
      <c r="BL14" s="582"/>
      <c r="BM14" s="582"/>
      <c r="BN14" s="582"/>
      <c r="BO14" s="582"/>
    </row>
    <row r="15" spans="1:67" ht="13.5" thickBot="1">
      <c r="B15" s="484" t="s">
        <v>759</v>
      </c>
      <c r="C15" s="1076" t="e">
        <f>IF(C14&lt;&gt;0,C13/C14, 0)</f>
        <v>#REF!</v>
      </c>
      <c r="D15" s="467"/>
      <c r="E15" s="467"/>
      <c r="F15" s="39"/>
      <c r="G15" s="1033"/>
      <c r="H15" s="1029"/>
      <c r="I15" s="944" t="s">
        <v>1257</v>
      </c>
      <c r="J15" s="1273"/>
      <c r="K15" s="96"/>
      <c r="L15" s="96"/>
      <c r="N15" s="471"/>
      <c r="O15" s="471" t="s">
        <v>814</v>
      </c>
      <c r="P15" s="480"/>
      <c r="Q15" s="703"/>
      <c r="R15" s="1047"/>
      <c r="S15" s="2134"/>
      <c r="T15" s="2134"/>
      <c r="U15" s="1027"/>
      <c r="W15" s="582"/>
      <c r="X15" s="582"/>
      <c r="Y15" s="582"/>
      <c r="Z15" s="582"/>
      <c r="AA15" s="582"/>
      <c r="AB15" s="582"/>
      <c r="AC15" s="582"/>
      <c r="AD15" s="582"/>
      <c r="AE15" s="582"/>
      <c r="AF15" s="582"/>
      <c r="AG15" s="582"/>
      <c r="AH15" s="582"/>
      <c r="AI15" s="582"/>
      <c r="AJ15" s="582"/>
      <c r="AK15" s="582"/>
      <c r="AL15" s="582"/>
      <c r="AM15" s="582"/>
      <c r="AN15" s="582"/>
      <c r="AO15" s="582"/>
      <c r="AP15" s="582"/>
      <c r="AQ15" s="582"/>
      <c r="AR15" s="582"/>
      <c r="AS15" s="582"/>
      <c r="AT15" s="582"/>
      <c r="AU15" s="582"/>
      <c r="AV15" s="582"/>
      <c r="AW15" s="582"/>
      <c r="AX15" s="582"/>
      <c r="AY15" s="582"/>
      <c r="AZ15" s="582"/>
      <c r="BA15" s="582"/>
      <c r="BB15" s="582"/>
      <c r="BC15" s="582"/>
      <c r="BD15" s="582"/>
      <c r="BE15" s="582"/>
      <c r="BF15" s="582"/>
      <c r="BG15" s="582"/>
      <c r="BH15" s="582"/>
      <c r="BI15" s="582"/>
      <c r="BJ15" s="582"/>
      <c r="BK15" s="582"/>
      <c r="BL15" s="582"/>
      <c r="BM15" s="582"/>
      <c r="BN15" s="582"/>
      <c r="BO15" s="582"/>
    </row>
    <row r="16" spans="1:67" ht="15.75" thickBot="1">
      <c r="A16" s="96"/>
      <c r="B16" s="1078" t="s">
        <v>290</v>
      </c>
      <c r="C16" s="1079" t="e">
        <f>BI62</f>
        <v>#REF!</v>
      </c>
      <c r="D16" s="467"/>
      <c r="E16" s="467"/>
      <c r="F16" s="39"/>
      <c r="G16" s="1033"/>
      <c r="H16" s="1029"/>
      <c r="I16" s="1297" t="s">
        <v>1284</v>
      </c>
      <c r="J16" s="1306"/>
      <c r="K16" s="96"/>
      <c r="L16" s="96"/>
      <c r="P16" s="1277"/>
      <c r="Q16" s="1282"/>
      <c r="R16" s="1081"/>
      <c r="S16" s="1027"/>
      <c r="T16" s="1027"/>
      <c r="U16" s="1027"/>
      <c r="W16" s="582"/>
      <c r="X16" s="582"/>
      <c r="Y16" s="582"/>
      <c r="Z16" s="582"/>
      <c r="AA16" s="582"/>
      <c r="AB16" s="582"/>
      <c r="AC16" s="582"/>
      <c r="AD16" s="582"/>
      <c r="AE16" s="582"/>
      <c r="AF16" s="582"/>
      <c r="AG16" s="582"/>
      <c r="AH16" s="582"/>
      <c r="AI16" s="582"/>
      <c r="AJ16" s="582"/>
      <c r="AK16" s="582"/>
      <c r="AL16" s="582"/>
      <c r="AM16" s="582"/>
      <c r="AN16" s="582"/>
      <c r="AO16" s="582"/>
      <c r="AP16" s="582"/>
      <c r="AQ16" s="582"/>
      <c r="AR16" s="582"/>
      <c r="AS16" s="582"/>
      <c r="AT16" s="582"/>
      <c r="AU16" s="582"/>
      <c r="AV16" s="582"/>
      <c r="AW16" s="582"/>
      <c r="AX16" s="582"/>
      <c r="AY16" s="582"/>
      <c r="AZ16" s="582"/>
      <c r="BA16" s="582"/>
      <c r="BB16" s="582"/>
      <c r="BC16" s="582"/>
      <c r="BD16" s="582"/>
      <c r="BE16" s="582"/>
      <c r="BF16" s="582"/>
      <c r="BG16" s="582"/>
      <c r="BH16" s="582"/>
      <c r="BI16" s="582"/>
      <c r="BJ16" s="582"/>
      <c r="BK16" s="582"/>
      <c r="BL16" s="582"/>
      <c r="BM16" s="582"/>
      <c r="BN16" s="582"/>
      <c r="BO16" s="582"/>
    </row>
    <row r="17" spans="1:67" ht="12.75">
      <c r="A17" s="96"/>
      <c r="B17" s="706"/>
      <c r="C17" s="1082"/>
      <c r="D17" s="467"/>
      <c r="E17" s="467"/>
      <c r="F17" s="39"/>
      <c r="G17" s="1033"/>
      <c r="H17" s="1029"/>
      <c r="K17" s="471"/>
      <c r="L17" s="471"/>
      <c r="P17" s="1278"/>
      <c r="Q17" s="703"/>
      <c r="R17" s="1047"/>
      <c r="S17" s="1084"/>
      <c r="T17" s="1084"/>
      <c r="U17" s="1027"/>
      <c r="V17" s="1027"/>
      <c r="W17" s="582"/>
      <c r="X17" s="582"/>
      <c r="Y17" s="582"/>
      <c r="Z17" s="582"/>
      <c r="AA17" s="582"/>
      <c r="AB17" s="582"/>
      <c r="AC17" s="582"/>
      <c r="AD17" s="582"/>
      <c r="AE17" s="582"/>
      <c r="AF17" s="582"/>
      <c r="AG17" s="582"/>
      <c r="AH17" s="582"/>
      <c r="AI17" s="582"/>
      <c r="AJ17" s="582"/>
      <c r="AK17" s="582"/>
      <c r="AL17" s="582"/>
      <c r="AM17" s="582"/>
      <c r="AN17" s="582"/>
      <c r="AO17" s="582"/>
      <c r="AP17" s="582"/>
      <c r="AQ17" s="582"/>
      <c r="AR17" s="582"/>
      <c r="AS17" s="582"/>
      <c r="AT17" s="582"/>
      <c r="AU17" s="582"/>
      <c r="AV17" s="582"/>
      <c r="AW17" s="582"/>
      <c r="AX17" s="582"/>
      <c r="AY17" s="582"/>
      <c r="AZ17" s="582"/>
      <c r="BA17" s="582"/>
      <c r="BB17" s="582"/>
      <c r="BC17" s="582"/>
      <c r="BD17" s="582"/>
      <c r="BE17" s="582"/>
      <c r="BF17" s="582"/>
      <c r="BG17" s="582"/>
      <c r="BH17" s="582"/>
      <c r="BI17" s="582"/>
      <c r="BJ17" s="582"/>
      <c r="BK17" s="582"/>
      <c r="BL17" s="582"/>
      <c r="BM17" s="582"/>
      <c r="BN17" s="582"/>
      <c r="BO17" s="582"/>
    </row>
    <row r="18" spans="1:67" ht="13.5" thickBot="1">
      <c r="B18" s="703"/>
      <c r="C18" s="1085"/>
      <c r="D18" s="467"/>
      <c r="E18" s="467"/>
      <c r="F18" s="39"/>
      <c r="G18" s="1033"/>
      <c r="H18" s="1029"/>
      <c r="I18" s="1267"/>
      <c r="J18" s="1281"/>
      <c r="K18" s="96"/>
      <c r="L18" s="96"/>
      <c r="P18" s="1118"/>
      <c r="Q18" s="96"/>
      <c r="R18" s="1047"/>
      <c r="S18" s="1027"/>
      <c r="T18" s="1027"/>
      <c r="U18" s="1027"/>
      <c r="V18" s="1027"/>
      <c r="W18" s="582"/>
      <c r="X18" s="582"/>
      <c r="Y18" s="582"/>
      <c r="Z18" s="582"/>
      <c r="AA18" s="582"/>
      <c r="AB18" s="582"/>
      <c r="AC18" s="582"/>
      <c r="AD18" s="582"/>
      <c r="AE18" s="582"/>
      <c r="AF18" s="582"/>
      <c r="AG18" s="582"/>
      <c r="AH18" s="582"/>
      <c r="AI18" s="582"/>
      <c r="AJ18" s="582"/>
      <c r="AK18" s="582"/>
      <c r="AL18" s="582"/>
      <c r="AM18" s="582"/>
      <c r="AN18" s="582"/>
      <c r="AO18" s="582"/>
      <c r="AP18" s="582"/>
      <c r="AQ18" s="582"/>
      <c r="AR18" s="582"/>
      <c r="AS18" s="582"/>
      <c r="AT18" s="582"/>
      <c r="AU18" s="582"/>
      <c r="AV18" s="582"/>
      <c r="AW18" s="582"/>
      <c r="AX18" s="582"/>
      <c r="AY18" s="582"/>
      <c r="AZ18" s="582"/>
      <c r="BA18" s="582"/>
      <c r="BB18" s="582"/>
      <c r="BC18" s="582"/>
      <c r="BD18" s="582"/>
      <c r="BE18" s="582"/>
      <c r="BF18" s="582"/>
      <c r="BG18" s="582"/>
      <c r="BH18" s="582"/>
      <c r="BI18" s="582"/>
      <c r="BJ18" s="582"/>
      <c r="BK18" s="582"/>
      <c r="BL18" s="582"/>
      <c r="BM18" s="582"/>
      <c r="BN18" s="582"/>
      <c r="BO18" s="582"/>
    </row>
    <row r="19" spans="1:67" ht="15.75" thickBot="1">
      <c r="B19" s="1066" t="s">
        <v>361</v>
      </c>
      <c r="C19" s="1086" t="s">
        <v>271</v>
      </c>
      <c r="D19" s="1087" t="s">
        <v>384</v>
      </c>
      <c r="E19" s="1264"/>
      <c r="F19" s="1068"/>
      <c r="G19" s="1033"/>
      <c r="H19" s="1029"/>
      <c r="I19" s="1311" t="s">
        <v>1269</v>
      </c>
      <c r="J19" s="1053"/>
      <c r="K19" s="96"/>
      <c r="L19" s="96"/>
      <c r="M19" s="471"/>
      <c r="N19" s="1287"/>
      <c r="O19" s="1287"/>
      <c r="P19" s="1284"/>
      <c r="Q19" s="1285"/>
      <c r="R19" s="1081"/>
      <c r="S19" s="1027"/>
      <c r="T19" s="1027"/>
      <c r="U19" s="1027"/>
      <c r="V19" s="1027"/>
      <c r="W19" s="582"/>
      <c r="X19" s="582"/>
      <c r="Y19" s="582"/>
      <c r="Z19" s="582"/>
      <c r="AA19" s="582"/>
      <c r="AB19" s="582"/>
      <c r="AC19" s="582"/>
      <c r="AD19" s="582"/>
      <c r="AE19" s="582"/>
      <c r="AF19" s="582"/>
      <c r="AG19" s="582"/>
      <c r="AH19" s="582"/>
      <c r="AI19" s="582"/>
      <c r="AJ19" s="582"/>
      <c r="AK19" s="582"/>
      <c r="AL19" s="582"/>
      <c r="AM19" s="582"/>
      <c r="AN19" s="582"/>
      <c r="AO19" s="582"/>
      <c r="AP19" s="582"/>
      <c r="AQ19" s="582"/>
      <c r="AR19" s="582"/>
      <c r="AS19" s="582"/>
      <c r="AT19" s="582"/>
      <c r="AU19" s="582"/>
      <c r="AV19" s="582"/>
      <c r="AW19" s="582"/>
      <c r="AX19" s="582"/>
      <c r="AY19" s="582"/>
      <c r="AZ19" s="582"/>
      <c r="BA19" s="582"/>
      <c r="BB19" s="582"/>
      <c r="BC19" s="582"/>
      <c r="BD19" s="582"/>
      <c r="BE19" s="582"/>
      <c r="BF19" s="582"/>
      <c r="BG19" s="582"/>
      <c r="BH19" s="582"/>
      <c r="BI19" s="582"/>
      <c r="BJ19" s="582"/>
      <c r="BK19" s="582"/>
      <c r="BL19" s="582"/>
      <c r="BM19" s="582"/>
      <c r="BN19" s="582"/>
      <c r="BO19" s="582"/>
    </row>
    <row r="20" spans="1:67">
      <c r="B20" s="1090" t="s">
        <v>362</v>
      </c>
      <c r="C20" s="1091" t="s">
        <v>266</v>
      </c>
      <c r="D20" s="1092" t="e">
        <f>IF(SUM(F67:BH67)&gt;0,SUM(F67:BH67)/COUNTIF(F67:BH67,"&gt;0"),0)</f>
        <v>#REF!</v>
      </c>
      <c r="E20" s="96"/>
      <c r="F20" s="467"/>
      <c r="G20" s="1033"/>
      <c r="H20" s="1029"/>
      <c r="I20" s="944" t="s">
        <v>1268</v>
      </c>
      <c r="J20" s="1060"/>
      <c r="K20" s="1268"/>
      <c r="L20" s="96"/>
      <c r="M20" s="2146" t="s">
        <v>1287</v>
      </c>
      <c r="N20" s="2147"/>
      <c r="O20" s="2148"/>
      <c r="P20" s="1095"/>
      <c r="Q20" s="1096"/>
      <c r="R20" s="1081"/>
      <c r="S20" s="1084"/>
      <c r="T20" s="1084"/>
      <c r="U20" s="1027"/>
      <c r="V20" s="1027"/>
      <c r="W20" s="582"/>
      <c r="X20" s="582"/>
      <c r="Y20" s="582"/>
      <c r="Z20" s="582"/>
      <c r="AA20" s="582"/>
      <c r="AB20" s="582"/>
      <c r="AC20" s="582"/>
      <c r="AD20" s="582"/>
      <c r="AE20" s="582"/>
      <c r="AF20" s="582"/>
      <c r="AG20" s="582"/>
      <c r="AH20" s="582"/>
      <c r="AI20" s="582"/>
      <c r="AJ20" s="582"/>
      <c r="AK20" s="582"/>
      <c r="AL20" s="582"/>
      <c r="AM20" s="582"/>
      <c r="AN20" s="582"/>
      <c r="AO20" s="582"/>
      <c r="AP20" s="582"/>
      <c r="AQ20" s="582"/>
      <c r="AR20" s="582"/>
      <c r="AS20" s="582"/>
      <c r="AT20" s="582"/>
      <c r="AU20" s="582"/>
      <c r="AV20" s="582"/>
      <c r="AW20" s="582"/>
      <c r="AX20" s="582"/>
      <c r="AY20" s="582"/>
      <c r="AZ20" s="582"/>
      <c r="BA20" s="582"/>
      <c r="BB20" s="582"/>
      <c r="BC20" s="582"/>
      <c r="BD20" s="582"/>
      <c r="BE20" s="582"/>
      <c r="BF20" s="582"/>
      <c r="BG20" s="582"/>
      <c r="BH20" s="582"/>
      <c r="BI20" s="582"/>
      <c r="BJ20" s="582"/>
      <c r="BK20" s="582"/>
      <c r="BL20" s="582"/>
      <c r="BM20" s="582"/>
      <c r="BN20" s="582"/>
      <c r="BO20" s="582"/>
    </row>
    <row r="21" spans="1:67" ht="12.75">
      <c r="B21" s="1090" t="s">
        <v>362</v>
      </c>
      <c r="C21" s="1097" t="s">
        <v>363</v>
      </c>
      <c r="D21" s="1098" t="e">
        <f>SUM(F67:BH67)</f>
        <v>#REF!</v>
      </c>
      <c r="E21" s="96"/>
      <c r="F21" s="467"/>
      <c r="G21" s="1033"/>
      <c r="H21" s="1029"/>
      <c r="I21" s="1035" t="s">
        <v>1275</v>
      </c>
      <c r="J21" s="1275"/>
      <c r="K21" s="96"/>
      <c r="L21" s="96"/>
      <c r="M21" s="2065" t="s">
        <v>288</v>
      </c>
      <c r="N21" s="1988"/>
      <c r="O21" s="1290"/>
      <c r="P21" s="1099"/>
      <c r="Q21" s="703"/>
      <c r="R21" s="1047"/>
      <c r="S21" s="1027"/>
      <c r="T21" s="1027"/>
      <c r="U21" s="1100"/>
      <c r="V21" s="1027"/>
      <c r="W21" s="582"/>
      <c r="X21" s="582"/>
      <c r="Y21" s="582"/>
      <c r="Z21" s="582"/>
      <c r="AA21" s="582"/>
      <c r="AB21" s="582"/>
      <c r="AC21" s="582"/>
      <c r="AD21" s="582"/>
      <c r="AE21" s="582"/>
      <c r="AF21" s="582"/>
      <c r="AG21" s="582"/>
      <c r="AH21" s="582"/>
      <c r="AI21" s="582"/>
      <c r="AJ21" s="582"/>
      <c r="AK21" s="582"/>
      <c r="AL21" s="582"/>
      <c r="AM21" s="582"/>
      <c r="AN21" s="582"/>
      <c r="AO21" s="582"/>
      <c r="AP21" s="582"/>
      <c r="AQ21" s="582"/>
      <c r="AR21" s="582"/>
      <c r="AS21" s="582"/>
      <c r="AT21" s="582"/>
      <c r="AU21" s="582"/>
      <c r="AV21" s="582"/>
      <c r="AW21" s="582"/>
      <c r="AX21" s="582"/>
      <c r="AY21" s="582"/>
      <c r="AZ21" s="582"/>
      <c r="BA21" s="582"/>
      <c r="BB21" s="582"/>
      <c r="BC21" s="582"/>
      <c r="BD21" s="582"/>
      <c r="BE21" s="582"/>
      <c r="BF21" s="582"/>
      <c r="BG21" s="582"/>
      <c r="BH21" s="582"/>
      <c r="BI21" s="582"/>
      <c r="BJ21" s="582"/>
      <c r="BK21" s="582"/>
      <c r="BL21" s="582"/>
      <c r="BM21" s="582"/>
      <c r="BN21" s="582"/>
      <c r="BO21" s="582"/>
    </row>
    <row r="22" spans="1:67" ht="13.5" thickBot="1">
      <c r="B22" s="1090" t="s">
        <v>364</v>
      </c>
      <c r="C22" s="1097" t="s">
        <v>268</v>
      </c>
      <c r="D22" s="1092" t="e">
        <f>G74+G93</f>
        <v>#REF!</v>
      </c>
      <c r="E22" s="96"/>
      <c r="F22" s="467"/>
      <c r="G22" s="1033"/>
      <c r="H22" s="1029"/>
      <c r="I22" s="1297" t="s">
        <v>1267</v>
      </c>
      <c r="J22" s="1310"/>
      <c r="K22" s="96"/>
      <c r="L22" s="96"/>
      <c r="M22" s="944" t="s">
        <v>1265</v>
      </c>
      <c r="N22" s="467"/>
      <c r="O22" s="1290" t="s">
        <v>1280</v>
      </c>
      <c r="P22" s="1101"/>
      <c r="Q22" s="1102"/>
      <c r="R22" s="1047"/>
      <c r="S22" s="1027"/>
      <c r="T22" s="1027"/>
      <c r="U22" s="1027"/>
      <c r="V22" s="1027"/>
      <c r="W22" s="582"/>
      <c r="X22" s="582"/>
      <c r="Y22" s="582"/>
      <c r="Z22" s="582"/>
      <c r="AA22" s="582"/>
      <c r="AB22" s="582"/>
      <c r="AC22" s="582"/>
      <c r="AD22" s="582"/>
      <c r="AE22" s="582"/>
      <c r="AF22" s="582"/>
      <c r="AG22" s="582"/>
      <c r="AH22" s="582"/>
      <c r="AI22" s="582"/>
      <c r="AJ22" s="582"/>
      <c r="AK22" s="582"/>
      <c r="AL22" s="582"/>
      <c r="AM22" s="582"/>
      <c r="AN22" s="582"/>
      <c r="AO22" s="582"/>
      <c r="AP22" s="582"/>
      <c r="AQ22" s="582"/>
      <c r="AR22" s="582"/>
      <c r="AS22" s="582"/>
      <c r="AT22" s="582"/>
      <c r="AU22" s="582"/>
      <c r="AV22" s="582"/>
      <c r="AW22" s="582"/>
      <c r="AX22" s="582"/>
      <c r="AY22" s="582"/>
      <c r="AZ22" s="582"/>
      <c r="BA22" s="582"/>
      <c r="BB22" s="582"/>
      <c r="BC22" s="582"/>
      <c r="BD22" s="582"/>
      <c r="BE22" s="582"/>
      <c r="BF22" s="582"/>
      <c r="BG22" s="582"/>
      <c r="BH22" s="582"/>
      <c r="BI22" s="582"/>
      <c r="BJ22" s="582"/>
      <c r="BK22" s="582"/>
      <c r="BL22" s="582"/>
      <c r="BM22" s="582"/>
      <c r="BN22" s="582"/>
      <c r="BO22" s="582"/>
    </row>
    <row r="23" spans="1:67" ht="13.5" thickBot="1">
      <c r="B23" s="1090" t="s">
        <v>364</v>
      </c>
      <c r="C23" s="1097" t="s">
        <v>365</v>
      </c>
      <c r="D23" s="1103" t="e">
        <f>SUM(G74:T74)+SUM(G93:BH93)</f>
        <v>#REF!</v>
      </c>
      <c r="E23" s="96"/>
      <c r="F23" s="467"/>
      <c r="G23" s="1033"/>
      <c r="H23" s="1029"/>
      <c r="I23" s="1267"/>
      <c r="J23" s="1281"/>
      <c r="K23" s="96"/>
      <c r="L23" s="96"/>
      <c r="M23" s="1297" t="s">
        <v>1266</v>
      </c>
      <c r="N23" s="495"/>
      <c r="O23" s="1300" t="s">
        <v>1280</v>
      </c>
      <c r="P23" s="1104"/>
      <c r="Q23" s="1105"/>
      <c r="R23" s="1106"/>
      <c r="S23" s="1027"/>
      <c r="T23" s="1027"/>
      <c r="U23" s="1265"/>
      <c r="V23" s="1027"/>
      <c r="W23" s="582"/>
      <c r="X23" s="582"/>
      <c r="Y23" s="582"/>
      <c r="Z23" s="582"/>
      <c r="AA23" s="582"/>
      <c r="AB23" s="582"/>
      <c r="AC23" s="582"/>
      <c r="AD23" s="582"/>
      <c r="AE23" s="582"/>
      <c r="AF23" s="582"/>
      <c r="AG23" s="582"/>
      <c r="AH23" s="582"/>
      <c r="AI23" s="582"/>
      <c r="AJ23" s="582"/>
      <c r="AK23" s="582"/>
      <c r="AL23" s="582"/>
      <c r="AM23" s="582"/>
      <c r="AN23" s="582"/>
      <c r="AO23" s="582"/>
      <c r="AP23" s="582"/>
      <c r="AQ23" s="582"/>
      <c r="AR23" s="582"/>
      <c r="AS23" s="582"/>
      <c r="AT23" s="582"/>
      <c r="AU23" s="582"/>
      <c r="AV23" s="582"/>
      <c r="AW23" s="582"/>
      <c r="AX23" s="582"/>
      <c r="AY23" s="582"/>
      <c r="AZ23" s="582"/>
      <c r="BA23" s="582"/>
      <c r="BB23" s="582"/>
      <c r="BC23" s="582"/>
      <c r="BD23" s="582"/>
      <c r="BE23" s="582"/>
      <c r="BF23" s="582"/>
      <c r="BG23" s="582"/>
      <c r="BH23" s="582"/>
      <c r="BI23" s="582"/>
      <c r="BJ23" s="582"/>
      <c r="BK23" s="582"/>
      <c r="BL23" s="582"/>
      <c r="BM23" s="582"/>
      <c r="BN23" s="582"/>
      <c r="BO23" s="582"/>
    </row>
    <row r="24" spans="1:67" ht="15.75" thickBot="1">
      <c r="B24" s="484"/>
      <c r="D24" s="1384"/>
      <c r="E24" s="471"/>
      <c r="F24" s="582"/>
      <c r="G24" s="1085"/>
      <c r="H24" s="1029"/>
      <c r="I24" s="471"/>
      <c r="J24" s="480"/>
      <c r="K24" s="480"/>
      <c r="L24" s="96"/>
      <c r="M24" s="471"/>
      <c r="N24" s="706"/>
      <c r="O24" s="706"/>
      <c r="P24" s="1109"/>
      <c r="Q24" s="1110"/>
      <c r="R24" s="1106"/>
      <c r="S24" s="1100"/>
      <c r="T24" s="1100"/>
      <c r="U24" s="1265"/>
      <c r="V24" s="1027"/>
      <c r="W24" s="582"/>
      <c r="X24" s="582"/>
      <c r="Y24" s="582"/>
      <c r="Z24" s="582"/>
      <c r="AA24" s="582"/>
      <c r="AB24" s="582"/>
      <c r="AC24" s="582"/>
      <c r="AD24" s="582"/>
      <c r="AE24" s="582"/>
      <c r="AF24" s="582"/>
      <c r="AG24" s="582"/>
      <c r="AH24" s="582"/>
      <c r="AI24" s="582"/>
      <c r="AJ24" s="582"/>
      <c r="AK24" s="582"/>
      <c r="AL24" s="582"/>
      <c r="AM24" s="582"/>
      <c r="AN24" s="582"/>
      <c r="AO24" s="582"/>
      <c r="AP24" s="582"/>
      <c r="AQ24" s="582"/>
      <c r="AR24" s="582"/>
      <c r="AS24" s="582"/>
      <c r="AT24" s="582"/>
      <c r="AU24" s="582"/>
      <c r="AV24" s="582"/>
      <c r="AW24" s="582"/>
      <c r="AX24" s="582"/>
      <c r="AY24" s="582"/>
      <c r="AZ24" s="582"/>
      <c r="BA24" s="582"/>
      <c r="BB24" s="582"/>
      <c r="BC24" s="582"/>
      <c r="BD24" s="582"/>
      <c r="BE24" s="582"/>
      <c r="BF24" s="582"/>
      <c r="BG24" s="582"/>
      <c r="BH24" s="582"/>
      <c r="BI24" s="582"/>
      <c r="BJ24" s="582"/>
      <c r="BK24" s="582"/>
      <c r="BL24" s="582"/>
      <c r="BM24" s="582"/>
      <c r="BN24" s="582"/>
      <c r="BO24" s="582"/>
    </row>
    <row r="25" spans="1:67">
      <c r="B25" s="484"/>
      <c r="C25" s="1085"/>
      <c r="D25" s="1108"/>
      <c r="E25" s="96"/>
      <c r="F25" s="467"/>
      <c r="G25" s="1033"/>
      <c r="H25" s="1029"/>
      <c r="I25" s="1304" t="s">
        <v>1270</v>
      </c>
      <c r="J25" s="1124"/>
      <c r="K25" s="1053"/>
      <c r="L25" s="96"/>
      <c r="M25" s="471"/>
      <c r="N25" s="1094"/>
      <c r="O25" s="1094"/>
      <c r="P25" s="1095"/>
      <c r="Q25" s="1096"/>
      <c r="R25" s="1081"/>
      <c r="S25" s="1084"/>
      <c r="T25" s="1084"/>
      <c r="U25" s="1084"/>
      <c r="V25" s="1027"/>
      <c r="W25" s="582"/>
      <c r="X25" s="582"/>
      <c r="Y25" s="582"/>
      <c r="Z25" s="582"/>
      <c r="AA25" s="582"/>
      <c r="AB25" s="582"/>
      <c r="AC25" s="582"/>
      <c r="AD25" s="582"/>
      <c r="AE25" s="582"/>
      <c r="AF25" s="582"/>
      <c r="AG25" s="582"/>
      <c r="AH25" s="582"/>
      <c r="AI25" s="582"/>
      <c r="AJ25" s="582"/>
      <c r="AK25" s="582"/>
      <c r="AL25" s="582"/>
      <c r="AM25" s="582"/>
      <c r="AN25" s="582"/>
      <c r="AO25" s="582"/>
      <c r="AP25" s="582"/>
      <c r="AQ25" s="582"/>
      <c r="AR25" s="582"/>
      <c r="AS25" s="582"/>
      <c r="AT25" s="582"/>
      <c r="AU25" s="582"/>
      <c r="AV25" s="582"/>
      <c r="AW25" s="582"/>
      <c r="AX25" s="582"/>
      <c r="AY25" s="582"/>
      <c r="AZ25" s="582"/>
      <c r="BA25" s="582"/>
      <c r="BB25" s="582"/>
      <c r="BC25" s="582"/>
      <c r="BD25" s="582"/>
      <c r="BE25" s="582"/>
      <c r="BF25" s="582"/>
      <c r="BG25" s="582"/>
      <c r="BH25" s="582"/>
      <c r="BI25" s="582"/>
      <c r="BJ25" s="582"/>
      <c r="BK25" s="582"/>
      <c r="BL25" s="582"/>
      <c r="BM25" s="582"/>
      <c r="BN25" s="582"/>
      <c r="BO25" s="582"/>
    </row>
    <row r="26" spans="1:67">
      <c r="B26" s="1090"/>
      <c r="C26" s="1097"/>
      <c r="D26" s="1092"/>
      <c r="E26" s="96"/>
      <c r="F26" s="467"/>
      <c r="G26" s="1033"/>
      <c r="H26" s="1029"/>
      <c r="I26" s="944" t="s">
        <v>1271</v>
      </c>
      <c r="J26" s="1280">
        <v>4.5</v>
      </c>
      <c r="K26" s="1312" t="s">
        <v>1274</v>
      </c>
      <c r="L26" s="96"/>
      <c r="M26" s="471"/>
      <c r="N26" s="96"/>
      <c r="O26" s="96"/>
      <c r="P26" s="96"/>
      <c r="Q26" s="96"/>
      <c r="R26" s="1081"/>
      <c r="S26" s="1266"/>
      <c r="T26" s="1266"/>
      <c r="U26" s="1112"/>
      <c r="V26" s="1112"/>
      <c r="W26" s="582"/>
      <c r="X26" s="582"/>
      <c r="Y26" s="582"/>
      <c r="Z26" s="582"/>
      <c r="AA26" s="582"/>
      <c r="AB26" s="582"/>
      <c r="AC26" s="582"/>
      <c r="AD26" s="582"/>
      <c r="AE26" s="582"/>
      <c r="AF26" s="582"/>
      <c r="AG26" s="582"/>
      <c r="AH26" s="582"/>
      <c r="AI26" s="582"/>
      <c r="AJ26" s="582"/>
      <c r="AK26" s="582"/>
      <c r="AL26" s="582"/>
      <c r="AM26" s="582"/>
      <c r="AN26" s="582"/>
      <c r="AO26" s="582"/>
      <c r="AP26" s="582"/>
      <c r="AQ26" s="582"/>
      <c r="AR26" s="582"/>
      <c r="AS26" s="582"/>
      <c r="AT26" s="582"/>
      <c r="AU26" s="582"/>
      <c r="AV26" s="582"/>
      <c r="AW26" s="582"/>
      <c r="AX26" s="582"/>
      <c r="AY26" s="582"/>
      <c r="AZ26" s="582"/>
      <c r="BA26" s="582"/>
      <c r="BB26" s="582"/>
      <c r="BC26" s="582"/>
      <c r="BD26" s="582"/>
      <c r="BE26" s="582"/>
      <c r="BF26" s="582"/>
      <c r="BG26" s="582"/>
      <c r="BH26" s="582"/>
      <c r="BI26" s="582"/>
      <c r="BJ26" s="582"/>
      <c r="BK26" s="582"/>
      <c r="BL26" s="582"/>
      <c r="BM26" s="582"/>
      <c r="BN26" s="582"/>
      <c r="BO26" s="582"/>
    </row>
    <row r="27" spans="1:67" ht="15.75" thickBot="1">
      <c r="B27" s="1113"/>
      <c r="C27" s="1114"/>
      <c r="D27" s="1115"/>
      <c r="E27" s="96"/>
      <c r="F27" s="467"/>
      <c r="G27" s="1033"/>
      <c r="H27" s="1029"/>
      <c r="I27" s="944" t="s">
        <v>1272</v>
      </c>
      <c r="J27" s="1283">
        <v>4.5</v>
      </c>
      <c r="K27" s="1312" t="s">
        <v>1274</v>
      </c>
      <c r="L27" s="96"/>
      <c r="M27" s="471"/>
      <c r="N27" s="1094"/>
      <c r="O27" s="1094"/>
      <c r="P27" s="1095"/>
      <c r="Q27" s="1096"/>
      <c r="R27" s="1081"/>
      <c r="S27" s="1112"/>
      <c r="T27" s="1112"/>
      <c r="U27" s="1027"/>
      <c r="V27" s="1027"/>
      <c r="W27" s="582"/>
      <c r="X27" s="582"/>
      <c r="Y27" s="582"/>
      <c r="Z27" s="582"/>
      <c r="AA27" s="582"/>
      <c r="AB27" s="582"/>
      <c r="AC27" s="582"/>
      <c r="AD27" s="582"/>
      <c r="AE27" s="582"/>
      <c r="AF27" s="582"/>
      <c r="AG27" s="582"/>
      <c r="AH27" s="582"/>
      <c r="AI27" s="582"/>
      <c r="AJ27" s="582"/>
      <c r="AK27" s="582"/>
      <c r="AL27" s="582"/>
      <c r="AM27" s="582"/>
      <c r="AN27" s="582"/>
      <c r="AO27" s="582"/>
      <c r="AP27" s="582"/>
      <c r="AQ27" s="582"/>
      <c r="AR27" s="582"/>
      <c r="AS27" s="582"/>
      <c r="AT27" s="582"/>
      <c r="AU27" s="582"/>
      <c r="AV27" s="582"/>
      <c r="AW27" s="582"/>
      <c r="AX27" s="582"/>
      <c r="AY27" s="582"/>
      <c r="AZ27" s="582"/>
      <c r="BA27" s="582"/>
      <c r="BB27" s="582"/>
      <c r="BC27" s="582"/>
      <c r="BD27" s="582"/>
      <c r="BE27" s="582"/>
      <c r="BF27" s="582"/>
      <c r="BG27" s="582"/>
      <c r="BH27" s="582"/>
      <c r="BI27" s="582"/>
      <c r="BJ27" s="582"/>
      <c r="BK27" s="582"/>
      <c r="BL27" s="582"/>
      <c r="BM27" s="582"/>
      <c r="BN27" s="582"/>
      <c r="BO27" s="582"/>
    </row>
    <row r="28" spans="1:67" ht="13.5" thickBot="1">
      <c r="B28" s="1116"/>
      <c r="C28" s="1116"/>
      <c r="D28" s="1117"/>
      <c r="E28" s="96"/>
      <c r="F28" s="467"/>
      <c r="G28" s="1033"/>
      <c r="H28" s="1029"/>
      <c r="I28" s="1297" t="s">
        <v>1273</v>
      </c>
      <c r="J28" s="1313">
        <v>0.5</v>
      </c>
      <c r="K28" s="1314" t="s">
        <v>1274</v>
      </c>
      <c r="L28" s="96"/>
      <c r="M28" s="471"/>
      <c r="N28" s="706"/>
      <c r="O28" s="706"/>
      <c r="P28" s="1118"/>
      <c r="Q28" s="1119"/>
      <c r="R28" s="1047"/>
      <c r="S28" s="1027"/>
      <c r="T28" s="1027"/>
      <c r="U28" s="1027"/>
      <c r="W28" s="582"/>
      <c r="X28" s="582"/>
      <c r="Y28" s="582"/>
      <c r="Z28" s="582"/>
      <c r="AA28" s="582"/>
      <c r="AB28" s="582"/>
      <c r="AC28" s="582"/>
      <c r="AD28" s="582"/>
      <c r="AE28" s="582"/>
      <c r="AF28" s="582"/>
      <c r="AG28" s="582"/>
      <c r="AH28" s="582"/>
      <c r="AI28" s="582"/>
      <c r="AJ28" s="582"/>
      <c r="AK28" s="582"/>
      <c r="AL28" s="582"/>
      <c r="AM28" s="582"/>
      <c r="AN28" s="582"/>
      <c r="AO28" s="582"/>
      <c r="AP28" s="582"/>
      <c r="AQ28" s="582"/>
      <c r="AR28" s="582"/>
      <c r="AS28" s="582"/>
      <c r="AT28" s="582"/>
      <c r="AU28" s="582"/>
      <c r="AV28" s="582"/>
      <c r="AW28" s="582"/>
      <c r="AX28" s="582"/>
      <c r="AY28" s="582"/>
      <c r="AZ28" s="582"/>
      <c r="BA28" s="582"/>
      <c r="BB28" s="582"/>
      <c r="BC28" s="582"/>
      <c r="BD28" s="582"/>
      <c r="BE28" s="582"/>
      <c r="BF28" s="582"/>
      <c r="BG28" s="582"/>
      <c r="BH28" s="582"/>
      <c r="BI28" s="582"/>
      <c r="BJ28" s="582"/>
      <c r="BK28" s="582"/>
      <c r="BL28" s="582"/>
      <c r="BM28" s="582"/>
      <c r="BN28" s="582"/>
      <c r="BO28" s="582"/>
    </row>
    <row r="29" spans="1:67" ht="12.75">
      <c r="B29" s="1120" t="s">
        <v>366</v>
      </c>
      <c r="C29" s="1121" t="s">
        <v>271</v>
      </c>
      <c r="D29" s="1263" t="s">
        <v>384</v>
      </c>
      <c r="E29" s="1264"/>
      <c r="F29" s="1068"/>
      <c r="G29" s="1033"/>
      <c r="H29" s="1029"/>
      <c r="L29" s="96"/>
      <c r="M29" s="471"/>
      <c r="N29" s="706"/>
      <c r="O29" s="706"/>
      <c r="P29" s="1118"/>
      <c r="Q29" s="703"/>
      <c r="R29" s="1047"/>
      <c r="S29" s="1027"/>
      <c r="T29" s="1027"/>
      <c r="U29" s="1027"/>
      <c r="W29" s="582"/>
      <c r="X29" s="582"/>
      <c r="Y29" s="582"/>
      <c r="Z29" s="582"/>
      <c r="AA29" s="582"/>
      <c r="AB29" s="582"/>
      <c r="AC29" s="582"/>
      <c r="AD29" s="582"/>
      <c r="AE29" s="582"/>
      <c r="AF29" s="582"/>
      <c r="AG29" s="582"/>
      <c r="AH29" s="582"/>
      <c r="AI29" s="582"/>
      <c r="AJ29" s="582"/>
      <c r="AK29" s="582"/>
      <c r="AL29" s="582"/>
      <c r="AM29" s="582"/>
      <c r="AN29" s="582"/>
      <c r="AO29" s="582"/>
      <c r="AP29" s="582"/>
      <c r="AQ29" s="582"/>
      <c r="AR29" s="582"/>
      <c r="AS29" s="582"/>
      <c r="AT29" s="582"/>
      <c r="AU29" s="582"/>
      <c r="AV29" s="582"/>
      <c r="AW29" s="582"/>
      <c r="AX29" s="582"/>
      <c r="AY29" s="582"/>
      <c r="AZ29" s="582"/>
      <c r="BA29" s="582"/>
      <c r="BB29" s="582"/>
      <c r="BC29" s="582"/>
      <c r="BD29" s="582"/>
      <c r="BE29" s="582"/>
      <c r="BF29" s="582"/>
      <c r="BG29" s="582"/>
      <c r="BH29" s="582"/>
      <c r="BI29" s="582"/>
      <c r="BJ29" s="582"/>
      <c r="BK29" s="582"/>
      <c r="BL29" s="582"/>
      <c r="BM29" s="582"/>
      <c r="BN29" s="582"/>
      <c r="BO29" s="582"/>
    </row>
    <row r="30" spans="1:67">
      <c r="B30" s="484" t="s">
        <v>6</v>
      </c>
      <c r="C30" s="703" t="s">
        <v>287</v>
      </c>
      <c r="D30" s="1122">
        <f>P11</f>
        <v>0</v>
      </c>
      <c r="E30" s="39"/>
      <c r="G30" s="1033"/>
      <c r="H30" s="1029"/>
      <c r="I30" s="1096"/>
      <c r="J30" s="96"/>
      <c r="K30" s="96"/>
      <c r="L30" s="96"/>
      <c r="M30" s="471"/>
      <c r="N30" s="96"/>
      <c r="O30" s="96"/>
      <c r="P30" s="96"/>
      <c r="Q30" s="96"/>
      <c r="R30" s="1047"/>
      <c r="S30" s="1027"/>
      <c r="T30" s="1027"/>
      <c r="U30" s="1027"/>
      <c r="W30" s="582"/>
      <c r="X30" s="582"/>
      <c r="Y30" s="582"/>
      <c r="Z30" s="582"/>
      <c r="AA30" s="582"/>
      <c r="AB30" s="582"/>
      <c r="AC30" s="582"/>
      <c r="AD30" s="582"/>
      <c r="AE30" s="582"/>
      <c r="AF30" s="582"/>
      <c r="AG30" s="582"/>
      <c r="AH30" s="582"/>
      <c r="AI30" s="582"/>
      <c r="AJ30" s="582"/>
      <c r="AK30" s="582"/>
      <c r="AL30" s="582"/>
      <c r="AM30" s="582"/>
      <c r="AN30" s="582"/>
      <c r="AO30" s="582"/>
      <c r="AP30" s="582"/>
      <c r="AQ30" s="582"/>
      <c r="AR30" s="582"/>
      <c r="AS30" s="582"/>
      <c r="AT30" s="582"/>
      <c r="AU30" s="582"/>
      <c r="AV30" s="582"/>
      <c r="AW30" s="582"/>
      <c r="AX30" s="582"/>
      <c r="AY30" s="582"/>
      <c r="AZ30" s="582"/>
      <c r="BA30" s="582"/>
      <c r="BB30" s="582"/>
      <c r="BC30" s="582"/>
      <c r="BD30" s="582"/>
      <c r="BE30" s="582"/>
      <c r="BF30" s="582"/>
      <c r="BG30" s="582"/>
      <c r="BH30" s="582"/>
      <c r="BI30" s="582"/>
      <c r="BJ30" s="582"/>
      <c r="BK30" s="582"/>
      <c r="BL30" s="582"/>
      <c r="BM30" s="582"/>
      <c r="BN30" s="582"/>
      <c r="BO30" s="582"/>
    </row>
    <row r="31" spans="1:67" ht="12.75">
      <c r="B31" s="484" t="s">
        <v>286</v>
      </c>
      <c r="C31" s="703" t="s">
        <v>333</v>
      </c>
      <c r="D31" s="1126">
        <v>2015</v>
      </c>
      <c r="E31" s="39"/>
      <c r="G31" s="1033"/>
      <c r="H31" s="1029"/>
      <c r="I31" s="96"/>
      <c r="J31" s="1288"/>
      <c r="K31" s="1288"/>
      <c r="L31" s="471"/>
      <c r="M31" s="471"/>
      <c r="N31" s="96"/>
      <c r="O31" s="96"/>
      <c r="P31" s="96"/>
      <c r="Q31" s="96"/>
      <c r="R31" s="1047"/>
      <c r="S31" s="1027"/>
      <c r="T31" s="1027"/>
      <c r="W31" s="582"/>
      <c r="X31" s="582"/>
      <c r="Y31" s="582"/>
      <c r="Z31" s="582"/>
      <c r="AA31" s="582"/>
      <c r="AB31" s="582"/>
      <c r="AC31" s="582"/>
      <c r="AD31" s="582"/>
      <c r="AE31" s="582"/>
      <c r="AF31" s="582"/>
      <c r="AG31" s="582"/>
      <c r="AH31" s="582"/>
      <c r="AI31" s="582"/>
      <c r="AJ31" s="582"/>
      <c r="AK31" s="582"/>
      <c r="AL31" s="582"/>
      <c r="AM31" s="582"/>
      <c r="AN31" s="582"/>
      <c r="AO31" s="582"/>
      <c r="AP31" s="582"/>
      <c r="AQ31" s="582"/>
      <c r="AR31" s="582"/>
      <c r="AS31" s="582"/>
      <c r="AT31" s="582"/>
      <c r="AU31" s="582"/>
      <c r="AV31" s="582"/>
      <c r="AW31" s="582"/>
      <c r="AX31" s="582"/>
      <c r="AY31" s="582"/>
      <c r="AZ31" s="582"/>
      <c r="BA31" s="582"/>
      <c r="BB31" s="582"/>
      <c r="BC31" s="582"/>
      <c r="BD31" s="582"/>
      <c r="BE31" s="582"/>
      <c r="BF31" s="582"/>
      <c r="BG31" s="582"/>
      <c r="BH31" s="582"/>
      <c r="BI31" s="582"/>
      <c r="BJ31" s="582"/>
      <c r="BK31" s="582"/>
      <c r="BL31" s="582"/>
      <c r="BM31" s="582"/>
      <c r="BN31" s="582"/>
      <c r="BO31" s="582"/>
    </row>
    <row r="32" spans="1:67" ht="12.75">
      <c r="B32" s="484" t="s">
        <v>279</v>
      </c>
      <c r="C32" s="703" t="s">
        <v>280</v>
      </c>
      <c r="D32" s="1127">
        <f>J8</f>
        <v>0</v>
      </c>
      <c r="E32" s="39"/>
      <c r="G32" s="1033"/>
      <c r="H32" s="1029"/>
      <c r="I32" s="96"/>
      <c r="J32" s="920"/>
      <c r="K32" s="920"/>
      <c r="L32" s="920"/>
      <c r="M32" s="920"/>
      <c r="N32" s="96"/>
      <c r="O32" s="96"/>
      <c r="P32" s="96"/>
      <c r="Q32" s="96"/>
      <c r="R32" s="51"/>
      <c r="S32" s="1027"/>
      <c r="T32" s="1027"/>
      <c r="U32" s="650"/>
      <c r="W32" s="582"/>
      <c r="X32" s="582"/>
      <c r="Y32" s="582"/>
      <c r="Z32" s="582"/>
      <c r="AA32" s="582"/>
      <c r="AB32" s="582"/>
      <c r="AC32" s="582"/>
      <c r="AD32" s="582"/>
      <c r="AE32" s="582"/>
      <c r="AF32" s="582"/>
      <c r="AG32" s="582"/>
      <c r="AH32" s="582"/>
      <c r="AI32" s="582"/>
      <c r="AJ32" s="582"/>
      <c r="AK32" s="582"/>
      <c r="AL32" s="582"/>
      <c r="AM32" s="582"/>
      <c r="AN32" s="582"/>
      <c r="AO32" s="582"/>
      <c r="AP32" s="582"/>
      <c r="AQ32" s="582"/>
      <c r="AR32" s="582"/>
      <c r="AS32" s="582"/>
      <c r="AT32" s="582"/>
      <c r="AU32" s="582"/>
      <c r="AV32" s="582"/>
      <c r="AW32" s="582"/>
      <c r="AX32" s="582"/>
      <c r="AY32" s="582"/>
      <c r="AZ32" s="582"/>
      <c r="BA32" s="582"/>
      <c r="BB32" s="582"/>
      <c r="BC32" s="582"/>
      <c r="BD32" s="582"/>
      <c r="BE32" s="582"/>
      <c r="BF32" s="582"/>
      <c r="BG32" s="582"/>
      <c r="BH32" s="582"/>
      <c r="BI32" s="582"/>
      <c r="BJ32" s="582"/>
      <c r="BK32" s="582"/>
      <c r="BL32" s="582"/>
      <c r="BM32" s="582"/>
      <c r="BN32" s="582"/>
      <c r="BO32" s="582"/>
    </row>
    <row r="33" spans="2:67" ht="12.75">
      <c r="B33" s="484" t="s">
        <v>367</v>
      </c>
      <c r="C33" s="1128" t="s">
        <v>266</v>
      </c>
      <c r="D33" s="1129"/>
      <c r="E33" s="39"/>
      <c r="G33" s="1033"/>
      <c r="H33" s="1029"/>
      <c r="I33" s="96"/>
      <c r="J33" s="106"/>
      <c r="K33" s="106"/>
      <c r="L33" s="106"/>
      <c r="M33" s="106"/>
      <c r="N33" s="471"/>
      <c r="O33" s="471"/>
      <c r="P33" s="471"/>
      <c r="Q33" s="471"/>
      <c r="R33" s="1032"/>
      <c r="S33" s="1027"/>
      <c r="T33" s="1027"/>
      <c r="U33" s="1027"/>
      <c r="W33" s="582"/>
      <c r="X33" s="582"/>
      <c r="Y33" s="582"/>
      <c r="Z33" s="582"/>
      <c r="AA33" s="582"/>
      <c r="AB33" s="582"/>
      <c r="AC33" s="582"/>
      <c r="AD33" s="582"/>
      <c r="AE33" s="582"/>
      <c r="AF33" s="582"/>
      <c r="AG33" s="582"/>
      <c r="AH33" s="582"/>
      <c r="AI33" s="582"/>
      <c r="AJ33" s="582"/>
      <c r="AK33" s="582"/>
      <c r="AL33" s="582"/>
      <c r="AM33" s="582"/>
      <c r="AN33" s="582"/>
      <c r="AO33" s="582"/>
      <c r="AP33" s="582"/>
      <c r="AQ33" s="582"/>
      <c r="AR33" s="582"/>
      <c r="AS33" s="582"/>
      <c r="AT33" s="582"/>
      <c r="AU33" s="582"/>
      <c r="AV33" s="582"/>
      <c r="AW33" s="582"/>
      <c r="AX33" s="582"/>
      <c r="AY33" s="582"/>
      <c r="AZ33" s="582"/>
      <c r="BA33" s="582"/>
      <c r="BB33" s="582"/>
      <c r="BC33" s="582"/>
      <c r="BD33" s="582"/>
      <c r="BE33" s="582"/>
      <c r="BF33" s="582"/>
      <c r="BG33" s="582"/>
      <c r="BH33" s="582"/>
      <c r="BI33" s="582"/>
      <c r="BJ33" s="582"/>
      <c r="BK33" s="582"/>
      <c r="BL33" s="582"/>
      <c r="BM33" s="582"/>
      <c r="BN33" s="582"/>
      <c r="BO33" s="582"/>
    </row>
    <row r="34" spans="2:67" ht="12.75">
      <c r="B34" s="484" t="s">
        <v>368</v>
      </c>
      <c r="C34" s="703" t="str">
        <f>IF(C7="Railbelt South of Alaska Range","mmBtu displaced per year", "gallons displaced per year")</f>
        <v>gallons displaced per year</v>
      </c>
      <c r="D34" s="1131"/>
      <c r="E34" s="39"/>
      <c r="G34" s="1033"/>
      <c r="H34" s="1029"/>
      <c r="I34" s="96"/>
      <c r="J34" s="106"/>
      <c r="K34" s="106"/>
      <c r="L34" s="106"/>
      <c r="M34" s="106"/>
      <c r="N34" s="471"/>
      <c r="O34" s="471"/>
      <c r="P34" s="471"/>
      <c r="Q34" s="471"/>
      <c r="R34" s="1032"/>
      <c r="S34" s="582"/>
      <c r="T34" s="582"/>
      <c r="U34" s="582"/>
      <c r="V34" s="582"/>
      <c r="W34" s="582"/>
      <c r="X34" s="582"/>
      <c r="Y34" s="582"/>
      <c r="Z34" s="582"/>
      <c r="AA34" s="582"/>
      <c r="AB34" s="582"/>
      <c r="AC34" s="582"/>
      <c r="AD34" s="582"/>
      <c r="AE34" s="582"/>
      <c r="AF34" s="582"/>
      <c r="AG34" s="582"/>
      <c r="AH34" s="582"/>
      <c r="AI34" s="582"/>
      <c r="AJ34" s="582"/>
      <c r="AK34" s="582"/>
      <c r="AL34" s="582"/>
      <c r="AM34" s="582"/>
      <c r="AN34" s="582"/>
      <c r="AO34" s="582"/>
      <c r="AP34" s="582"/>
      <c r="AQ34" s="582"/>
      <c r="AR34" s="582"/>
      <c r="AS34" s="582"/>
      <c r="AT34" s="582"/>
      <c r="AU34" s="582"/>
      <c r="AV34" s="582"/>
      <c r="AW34" s="582"/>
      <c r="AX34" s="582"/>
      <c r="AY34" s="582"/>
      <c r="AZ34" s="582"/>
      <c r="BA34" s="582"/>
      <c r="BB34" s="582"/>
      <c r="BC34" s="582"/>
      <c r="BD34" s="582"/>
      <c r="BE34" s="582"/>
      <c r="BF34" s="582"/>
      <c r="BG34" s="582"/>
      <c r="BH34" s="582"/>
      <c r="BI34" s="582"/>
      <c r="BJ34" s="582"/>
      <c r="BK34" s="582"/>
      <c r="BL34" s="582"/>
      <c r="BM34" s="582"/>
      <c r="BN34" s="582"/>
      <c r="BO34" s="582"/>
    </row>
    <row r="35" spans="2:67" ht="12.75">
      <c r="B35" s="484" t="s">
        <v>369</v>
      </c>
      <c r="C35" s="703" t="s">
        <v>315</v>
      </c>
      <c r="D35" s="1132"/>
      <c r="E35" s="39"/>
      <c r="G35" s="1033"/>
      <c r="H35" s="1029"/>
      <c r="I35" s="96"/>
      <c r="J35" s="106"/>
      <c r="K35" s="106"/>
      <c r="L35" s="106"/>
      <c r="M35" s="106"/>
      <c r="N35" s="471"/>
      <c r="O35" s="471"/>
      <c r="P35" s="471"/>
      <c r="Q35" s="471"/>
      <c r="R35" s="1032"/>
      <c r="S35" s="582"/>
      <c r="T35" s="582"/>
      <c r="U35" s="582"/>
      <c r="V35" s="582"/>
      <c r="W35" s="582"/>
      <c r="X35" s="582"/>
      <c r="Y35" s="582"/>
      <c r="Z35" s="582"/>
      <c r="AA35" s="582"/>
      <c r="AB35" s="582"/>
      <c r="AC35" s="582"/>
      <c r="AD35" s="582"/>
      <c r="AE35" s="582"/>
      <c r="AF35" s="582"/>
      <c r="AG35" s="582"/>
      <c r="AH35" s="582"/>
      <c r="AI35" s="582"/>
      <c r="AJ35" s="582"/>
      <c r="AK35" s="582"/>
      <c r="AL35" s="582"/>
      <c r="AM35" s="582"/>
      <c r="AN35" s="582"/>
      <c r="AO35" s="582"/>
      <c r="AP35" s="582"/>
      <c r="AQ35" s="582"/>
      <c r="AR35" s="582"/>
      <c r="AS35" s="582"/>
      <c r="AT35" s="582"/>
      <c r="AU35" s="582"/>
      <c r="AV35" s="582"/>
      <c r="AW35" s="582"/>
      <c r="AX35" s="582"/>
      <c r="AY35" s="582"/>
      <c r="AZ35" s="582"/>
      <c r="BA35" s="582"/>
      <c r="BB35" s="582"/>
      <c r="BC35" s="582"/>
      <c r="BD35" s="582"/>
      <c r="BE35" s="582"/>
      <c r="BF35" s="582"/>
      <c r="BG35" s="582"/>
      <c r="BH35" s="582"/>
      <c r="BI35" s="582"/>
      <c r="BJ35" s="582"/>
      <c r="BK35" s="582"/>
      <c r="BL35" s="582"/>
      <c r="BM35" s="582"/>
      <c r="BN35" s="582"/>
      <c r="BO35" s="582"/>
    </row>
    <row r="36" spans="2:67" ht="25.5">
      <c r="B36" s="484" t="s">
        <v>321</v>
      </c>
      <c r="C36" s="1133" t="s">
        <v>265</v>
      </c>
      <c r="D36" s="1134"/>
      <c r="E36" s="39"/>
      <c r="G36" s="1033"/>
      <c r="H36" s="1029"/>
      <c r="I36" s="96"/>
      <c r="J36" s="106"/>
      <c r="K36" s="106"/>
      <c r="L36" s="106"/>
      <c r="M36" s="106"/>
      <c r="N36" s="471"/>
      <c r="O36" s="471"/>
      <c r="P36" s="471"/>
      <c r="Q36" s="471"/>
      <c r="R36" s="1032"/>
      <c r="S36" s="582"/>
      <c r="T36" s="582"/>
      <c r="U36" s="582"/>
      <c r="V36" s="582"/>
      <c r="W36" s="582"/>
      <c r="X36" s="582"/>
      <c r="Y36" s="582"/>
      <c r="Z36" s="582"/>
      <c r="AA36" s="582"/>
      <c r="AB36" s="582"/>
      <c r="AC36" s="582"/>
      <c r="AD36" s="582"/>
      <c r="AE36" s="582"/>
      <c r="AF36" s="582"/>
      <c r="AG36" s="582"/>
      <c r="AH36" s="582"/>
      <c r="AI36" s="582"/>
      <c r="AJ36" s="582"/>
      <c r="AK36" s="582"/>
      <c r="AL36" s="582"/>
      <c r="AM36" s="582"/>
      <c r="AN36" s="582"/>
      <c r="AO36" s="582"/>
      <c r="AP36" s="582"/>
      <c r="AQ36" s="582"/>
      <c r="AR36" s="582"/>
      <c r="AS36" s="582"/>
      <c r="AT36" s="582"/>
      <c r="AU36" s="582"/>
      <c r="AV36" s="582"/>
      <c r="AW36" s="582"/>
      <c r="AX36" s="582"/>
      <c r="AY36" s="582"/>
      <c r="AZ36" s="582"/>
      <c r="BA36" s="582"/>
      <c r="BB36" s="582"/>
      <c r="BC36" s="582"/>
      <c r="BD36" s="582"/>
      <c r="BE36" s="582"/>
      <c r="BF36" s="582"/>
      <c r="BG36" s="582"/>
      <c r="BH36" s="582"/>
      <c r="BI36" s="582"/>
      <c r="BJ36" s="582"/>
      <c r="BK36" s="582"/>
      <c r="BL36" s="582"/>
      <c r="BM36" s="582"/>
      <c r="BN36" s="582"/>
      <c r="BO36" s="582"/>
    </row>
    <row r="37" spans="2:67" ht="12.75">
      <c r="B37" s="484" t="s">
        <v>387</v>
      </c>
      <c r="C37" s="703" t="s">
        <v>388</v>
      </c>
      <c r="D37" s="1135"/>
      <c r="E37" s="39"/>
      <c r="G37" s="1033"/>
      <c r="H37" s="1029"/>
      <c r="I37" s="96"/>
      <c r="J37" s="106"/>
      <c r="K37" s="106"/>
      <c r="L37" s="106"/>
      <c r="M37" s="106"/>
      <c r="N37" s="471"/>
      <c r="O37" s="471"/>
      <c r="P37" s="471"/>
      <c r="Q37" s="471"/>
      <c r="R37" s="1032"/>
      <c r="S37" s="582"/>
      <c r="T37" s="582"/>
      <c r="U37" s="582"/>
      <c r="V37" s="582"/>
      <c r="W37" s="582"/>
      <c r="X37" s="582"/>
      <c r="Y37" s="582"/>
      <c r="Z37" s="582"/>
      <c r="AA37" s="582"/>
      <c r="AB37" s="582"/>
      <c r="AC37" s="582"/>
      <c r="AD37" s="582"/>
      <c r="AE37" s="582"/>
      <c r="AF37" s="582"/>
      <c r="AG37" s="582"/>
      <c r="AH37" s="582"/>
      <c r="AI37" s="582"/>
      <c r="AJ37" s="582"/>
      <c r="AK37" s="582"/>
      <c r="AL37" s="582"/>
      <c r="AM37" s="582"/>
      <c r="AN37" s="582"/>
      <c r="AO37" s="582"/>
      <c r="AP37" s="582"/>
      <c r="AQ37" s="582"/>
      <c r="AR37" s="582"/>
      <c r="AS37" s="582"/>
      <c r="AT37" s="582"/>
      <c r="AU37" s="582"/>
      <c r="AV37" s="582"/>
      <c r="AW37" s="582"/>
      <c r="AX37" s="582"/>
      <c r="AY37" s="582"/>
      <c r="AZ37" s="582"/>
      <c r="BA37" s="582"/>
      <c r="BB37" s="582"/>
      <c r="BC37" s="582"/>
      <c r="BD37" s="582"/>
      <c r="BE37" s="582"/>
      <c r="BF37" s="582"/>
      <c r="BG37" s="582"/>
      <c r="BH37" s="582"/>
      <c r="BI37" s="582"/>
      <c r="BJ37" s="582"/>
      <c r="BK37" s="582"/>
      <c r="BL37" s="582"/>
      <c r="BM37" s="582"/>
      <c r="BN37" s="582"/>
      <c r="BO37" s="582"/>
    </row>
    <row r="38" spans="2:67" ht="12.75">
      <c r="B38" s="484" t="s">
        <v>389</v>
      </c>
      <c r="C38" s="703" t="s">
        <v>352</v>
      </c>
      <c r="D38" s="1136"/>
      <c r="E38" s="39"/>
      <c r="G38" s="1033"/>
      <c r="H38" s="1029"/>
      <c r="I38" s="96"/>
      <c r="J38" s="106"/>
      <c r="K38" s="106"/>
      <c r="L38" s="106"/>
      <c r="M38" s="106"/>
      <c r="N38" s="471"/>
      <c r="O38" s="471"/>
      <c r="P38" s="471"/>
      <c r="Q38" s="471"/>
      <c r="R38" s="1032"/>
      <c r="S38" s="582"/>
      <c r="T38" s="582"/>
      <c r="U38" s="582"/>
      <c r="V38" s="582"/>
      <c r="W38" s="582"/>
      <c r="X38" s="582"/>
      <c r="Y38" s="582"/>
      <c r="Z38" s="582"/>
      <c r="AA38" s="582"/>
      <c r="AB38" s="582"/>
      <c r="AC38" s="582"/>
      <c r="AD38" s="582"/>
      <c r="AE38" s="582"/>
      <c r="AF38" s="582"/>
      <c r="AG38" s="582"/>
      <c r="AH38" s="582"/>
      <c r="AI38" s="582"/>
      <c r="AJ38" s="582"/>
      <c r="AK38" s="582"/>
      <c r="AL38" s="582"/>
      <c r="AM38" s="582"/>
      <c r="AN38" s="582"/>
      <c r="AO38" s="582"/>
      <c r="AP38" s="582"/>
      <c r="AQ38" s="582"/>
      <c r="AR38" s="582"/>
      <c r="AS38" s="582"/>
      <c r="AT38" s="582"/>
      <c r="AU38" s="582"/>
      <c r="AV38" s="582"/>
      <c r="AW38" s="582"/>
      <c r="AX38" s="582"/>
      <c r="AY38" s="582"/>
      <c r="AZ38" s="582"/>
      <c r="BA38" s="582"/>
      <c r="BB38" s="582"/>
      <c r="BC38" s="582"/>
      <c r="BD38" s="582"/>
      <c r="BE38" s="582"/>
      <c r="BF38" s="582"/>
      <c r="BG38" s="582"/>
      <c r="BH38" s="582"/>
      <c r="BI38" s="582"/>
      <c r="BJ38" s="582"/>
      <c r="BK38" s="582"/>
      <c r="BL38" s="582"/>
      <c r="BM38" s="582"/>
      <c r="BN38" s="582"/>
      <c r="BO38" s="582"/>
    </row>
    <row r="39" spans="2:67" ht="12.75">
      <c r="B39" s="484" t="s">
        <v>390</v>
      </c>
      <c r="C39" s="703" t="s">
        <v>392</v>
      </c>
      <c r="D39" s="1137"/>
      <c r="E39" s="39"/>
      <c r="G39" s="1033"/>
      <c r="H39" s="1029"/>
      <c r="I39" s="96"/>
      <c r="J39" s="106"/>
      <c r="K39" s="106"/>
      <c r="L39" s="106"/>
      <c r="M39" s="106"/>
      <c r="N39" s="471"/>
      <c r="O39" s="471"/>
      <c r="P39" s="471"/>
      <c r="Q39" s="471"/>
      <c r="R39" s="1032"/>
      <c r="S39" s="582"/>
      <c r="T39" s="582"/>
      <c r="U39" s="582"/>
      <c r="V39" s="582"/>
      <c r="W39" s="582"/>
      <c r="X39" s="582"/>
      <c r="Y39" s="582"/>
      <c r="Z39" s="582"/>
      <c r="AA39" s="582"/>
      <c r="AB39" s="582"/>
      <c r="AC39" s="582"/>
      <c r="AD39" s="582"/>
      <c r="AE39" s="582"/>
      <c r="AF39" s="582"/>
      <c r="AG39" s="582"/>
      <c r="AH39" s="582"/>
      <c r="AI39" s="582"/>
      <c r="AJ39" s="582"/>
      <c r="AK39" s="582"/>
      <c r="AL39" s="582"/>
      <c r="AM39" s="582"/>
      <c r="AN39" s="582"/>
      <c r="AO39" s="582"/>
      <c r="AP39" s="582"/>
      <c r="AQ39" s="582"/>
      <c r="AR39" s="582"/>
      <c r="AS39" s="582"/>
      <c r="AT39" s="582"/>
      <c r="AU39" s="582"/>
      <c r="AV39" s="582"/>
      <c r="AW39" s="582"/>
      <c r="AX39" s="582"/>
      <c r="AY39" s="582"/>
      <c r="AZ39" s="582"/>
      <c r="BA39" s="582"/>
      <c r="BB39" s="582"/>
      <c r="BC39" s="582"/>
      <c r="BD39" s="582"/>
      <c r="BE39" s="582"/>
      <c r="BF39" s="582"/>
      <c r="BG39" s="582"/>
      <c r="BH39" s="582"/>
      <c r="BI39" s="582"/>
      <c r="BJ39" s="582"/>
      <c r="BK39" s="582"/>
      <c r="BL39" s="582"/>
      <c r="BM39" s="582"/>
      <c r="BN39" s="582"/>
      <c r="BO39" s="582"/>
    </row>
    <row r="40" spans="2:67" ht="13.5" thickBot="1">
      <c r="B40" s="653" t="s">
        <v>391</v>
      </c>
      <c r="C40" s="1138" t="s">
        <v>352</v>
      </c>
      <c r="D40" s="1139"/>
      <c r="E40" s="39"/>
      <c r="G40" s="1033"/>
      <c r="H40" s="1029"/>
      <c r="I40" s="96"/>
      <c r="J40" s="106"/>
      <c r="K40" s="106"/>
      <c r="L40" s="106"/>
      <c r="M40" s="106"/>
      <c r="N40" s="471"/>
      <c r="O40" s="471"/>
      <c r="P40" s="471"/>
      <c r="Q40" s="471"/>
      <c r="R40" s="1032"/>
      <c r="S40" s="582"/>
      <c r="T40" s="582"/>
      <c r="U40" s="582"/>
      <c r="V40" s="582"/>
      <c r="W40" s="582"/>
      <c r="X40" s="582"/>
      <c r="Y40" s="582"/>
      <c r="Z40" s="582"/>
      <c r="AA40" s="582"/>
      <c r="AB40" s="582"/>
      <c r="AC40" s="582"/>
      <c r="AD40" s="582"/>
      <c r="AE40" s="582"/>
      <c r="AF40" s="582"/>
      <c r="AG40" s="582"/>
      <c r="AH40" s="582"/>
      <c r="AI40" s="582"/>
      <c r="AJ40" s="582"/>
      <c r="AK40" s="582"/>
      <c r="AL40" s="582"/>
      <c r="AM40" s="582"/>
      <c r="AN40" s="582"/>
      <c r="AO40" s="582"/>
      <c r="AP40" s="582"/>
      <c r="AQ40" s="582"/>
      <c r="AR40" s="582"/>
      <c r="AS40" s="582"/>
      <c r="AT40" s="582"/>
      <c r="AU40" s="582"/>
      <c r="AV40" s="582"/>
      <c r="AW40" s="582"/>
      <c r="AX40" s="582"/>
      <c r="AY40" s="582"/>
      <c r="AZ40" s="582"/>
      <c r="BA40" s="582"/>
      <c r="BB40" s="582"/>
      <c r="BC40" s="582"/>
      <c r="BD40" s="582"/>
      <c r="BE40" s="582"/>
      <c r="BF40" s="582"/>
      <c r="BG40" s="582"/>
      <c r="BH40" s="582"/>
      <c r="BI40" s="582"/>
      <c r="BJ40" s="582"/>
      <c r="BK40" s="582"/>
      <c r="BL40" s="582"/>
      <c r="BM40" s="582"/>
      <c r="BN40" s="582"/>
      <c r="BO40" s="582"/>
    </row>
    <row r="41" spans="2:67" ht="13.5" thickBot="1">
      <c r="B41" s="1140"/>
      <c r="C41" s="1141"/>
      <c r="D41" s="1142"/>
      <c r="E41" s="39"/>
      <c r="F41" s="467"/>
      <c r="G41" s="1033"/>
      <c r="H41" s="1029"/>
      <c r="I41" s="96"/>
      <c r="J41" s="106"/>
      <c r="K41" s="106"/>
      <c r="L41" s="106"/>
      <c r="M41" s="106"/>
      <c r="N41" s="471"/>
      <c r="O41" s="471"/>
      <c r="P41" s="471"/>
      <c r="Q41" s="471"/>
      <c r="R41" s="1032"/>
      <c r="S41" s="582"/>
      <c r="T41" s="582"/>
      <c r="U41" s="582"/>
      <c r="V41" s="582"/>
      <c r="W41" s="582"/>
      <c r="X41" s="582"/>
      <c r="Y41" s="582"/>
      <c r="Z41" s="582"/>
      <c r="AA41" s="582"/>
      <c r="AB41" s="582"/>
      <c r="AC41" s="582"/>
      <c r="AD41" s="582"/>
      <c r="AE41" s="582"/>
      <c r="AF41" s="582"/>
      <c r="AG41" s="582"/>
      <c r="AH41" s="582"/>
      <c r="AI41" s="582"/>
      <c r="AJ41" s="582"/>
      <c r="AK41" s="582"/>
      <c r="AL41" s="582"/>
      <c r="AM41" s="582"/>
      <c r="AN41" s="582"/>
      <c r="AO41" s="582"/>
      <c r="AP41" s="582"/>
      <c r="AQ41" s="582"/>
      <c r="AR41" s="582"/>
      <c r="AS41" s="582"/>
      <c r="AT41" s="582"/>
      <c r="AU41" s="582"/>
      <c r="AV41" s="582"/>
      <c r="AW41" s="582"/>
      <c r="AX41" s="582"/>
      <c r="AY41" s="582"/>
      <c r="AZ41" s="582"/>
      <c r="BA41" s="582"/>
      <c r="BB41" s="582"/>
      <c r="BC41" s="582"/>
      <c r="BD41" s="582"/>
      <c r="BE41" s="582"/>
      <c r="BF41" s="582"/>
      <c r="BG41" s="582"/>
      <c r="BH41" s="582"/>
      <c r="BI41" s="582"/>
      <c r="BJ41" s="582"/>
      <c r="BK41" s="582"/>
      <c r="BL41" s="582"/>
      <c r="BM41" s="582"/>
      <c r="BN41" s="582"/>
      <c r="BO41" s="582"/>
    </row>
    <row r="42" spans="2:67" ht="12.75">
      <c r="B42" s="1143" t="s">
        <v>327</v>
      </c>
      <c r="C42" s="1144" t="s">
        <v>271</v>
      </c>
      <c r="D42" s="1145" t="s">
        <v>272</v>
      </c>
      <c r="E42" s="39"/>
      <c r="G42" s="1033"/>
      <c r="H42" s="1029"/>
      <c r="I42" s="582"/>
      <c r="J42" s="467"/>
      <c r="K42" s="467"/>
      <c r="L42" s="582"/>
      <c r="M42" s="582"/>
      <c r="N42" s="582"/>
      <c r="O42" s="582"/>
      <c r="P42" s="582"/>
      <c r="Q42" s="582"/>
      <c r="R42" s="1032"/>
      <c r="S42" s="582"/>
      <c r="T42" s="582"/>
      <c r="U42" s="582"/>
      <c r="V42" s="582"/>
      <c r="W42" s="582"/>
      <c r="X42" s="582"/>
      <c r="Y42" s="582"/>
      <c r="Z42" s="582"/>
      <c r="AA42" s="582"/>
      <c r="AB42" s="582"/>
      <c r="AC42" s="582"/>
      <c r="AD42" s="582"/>
      <c r="AE42" s="582"/>
      <c r="AF42" s="582"/>
      <c r="AG42" s="582"/>
      <c r="AH42" s="582"/>
      <c r="AI42" s="582"/>
      <c r="AJ42" s="582"/>
      <c r="AK42" s="582"/>
      <c r="AL42" s="582"/>
      <c r="AM42" s="582"/>
      <c r="AN42" s="582"/>
      <c r="AO42" s="582"/>
      <c r="AP42" s="582"/>
      <c r="AQ42" s="582"/>
      <c r="AR42" s="582"/>
      <c r="AS42" s="582"/>
      <c r="AT42" s="582"/>
      <c r="AU42" s="582"/>
      <c r="AV42" s="582"/>
      <c r="AW42" s="582"/>
      <c r="AX42" s="582"/>
      <c r="AY42" s="582"/>
      <c r="AZ42" s="582"/>
      <c r="BA42" s="582"/>
      <c r="BB42" s="582"/>
      <c r="BC42" s="582"/>
      <c r="BD42" s="582"/>
      <c r="BE42" s="582"/>
      <c r="BF42" s="582"/>
      <c r="BG42" s="582"/>
      <c r="BH42" s="582"/>
      <c r="BI42" s="582"/>
      <c r="BJ42" s="582"/>
      <c r="BK42" s="582"/>
      <c r="BL42" s="582"/>
      <c r="BM42" s="582"/>
      <c r="BN42" s="582"/>
      <c r="BO42" s="582"/>
    </row>
    <row r="43" spans="2:67" ht="12.75">
      <c r="B43" s="1146" t="s">
        <v>276</v>
      </c>
      <c r="C43" s="703" t="s">
        <v>265</v>
      </c>
      <c r="D43" s="1147">
        <v>0.02</v>
      </c>
      <c r="E43" s="39"/>
      <c r="F43" s="1148"/>
      <c r="G43" s="1033"/>
      <c r="H43" s="1029"/>
      <c r="I43" s="582"/>
      <c r="J43" s="582"/>
      <c r="K43" s="582"/>
      <c r="L43" s="582"/>
      <c r="M43" s="582"/>
      <c r="N43" s="582"/>
      <c r="O43" s="582"/>
      <c r="P43" s="582"/>
      <c r="Q43" s="582"/>
      <c r="R43" s="1032"/>
      <c r="S43" s="582"/>
      <c r="T43" s="582"/>
      <c r="U43" s="582"/>
      <c r="V43" s="582"/>
      <c r="W43" s="582"/>
      <c r="X43" s="582"/>
      <c r="Y43" s="582"/>
      <c r="Z43" s="582"/>
      <c r="AA43" s="582"/>
      <c r="AB43" s="582"/>
      <c r="AC43" s="582"/>
      <c r="AD43" s="582"/>
      <c r="AE43" s="582"/>
      <c r="AF43" s="582"/>
      <c r="AG43" s="582"/>
      <c r="AH43" s="582"/>
      <c r="AI43" s="582"/>
      <c r="AJ43" s="582"/>
      <c r="AK43" s="582"/>
      <c r="AL43" s="582"/>
      <c r="AM43" s="582"/>
      <c r="AN43" s="582"/>
      <c r="AO43" s="582"/>
      <c r="AP43" s="582"/>
      <c r="AQ43" s="582"/>
      <c r="AR43" s="582"/>
      <c r="AS43" s="582"/>
      <c r="AT43" s="582"/>
      <c r="AU43" s="582"/>
      <c r="AV43" s="582"/>
      <c r="AW43" s="582"/>
      <c r="AX43" s="582"/>
      <c r="AY43" s="582"/>
      <c r="AZ43" s="582"/>
      <c r="BA43" s="582"/>
      <c r="BB43" s="582"/>
      <c r="BC43" s="582"/>
      <c r="BD43" s="582"/>
      <c r="BE43" s="582"/>
      <c r="BF43" s="582"/>
      <c r="BG43" s="582"/>
      <c r="BH43" s="582"/>
      <c r="BI43" s="582"/>
      <c r="BJ43" s="582"/>
      <c r="BK43" s="582"/>
      <c r="BL43" s="582"/>
      <c r="BM43" s="582"/>
      <c r="BN43" s="582"/>
      <c r="BO43" s="582"/>
    </row>
    <row r="44" spans="2:67" ht="26.25" thickBot="1">
      <c r="B44" s="1149" t="s">
        <v>328</v>
      </c>
      <c r="C44" s="1116" t="s">
        <v>281</v>
      </c>
      <c r="D44" s="1150">
        <f>'Community data'!B21</f>
        <v>10.802351555020987</v>
      </c>
      <c r="E44" s="39"/>
      <c r="F44" s="1148"/>
      <c r="G44" s="1033"/>
      <c r="H44" s="1029"/>
      <c r="I44" s="582"/>
      <c r="J44" s="582"/>
      <c r="K44" s="582"/>
      <c r="L44" s="582"/>
      <c r="M44" s="582"/>
      <c r="N44" s="582"/>
      <c r="O44" s="582"/>
      <c r="P44" s="582"/>
      <c r="Q44" s="582"/>
      <c r="R44" s="1032"/>
      <c r="S44" s="582"/>
      <c r="T44" s="582"/>
      <c r="U44" s="582"/>
      <c r="V44" s="582"/>
      <c r="W44" s="582"/>
      <c r="X44" s="582"/>
      <c r="Y44" s="582"/>
      <c r="Z44" s="582"/>
      <c r="AA44" s="582"/>
      <c r="AB44" s="582"/>
      <c r="AC44" s="582"/>
      <c r="AD44" s="582"/>
      <c r="AE44" s="582"/>
      <c r="AF44" s="582"/>
      <c r="AG44" s="582"/>
      <c r="AH44" s="582"/>
      <c r="AI44" s="582"/>
      <c r="AJ44" s="582"/>
      <c r="AK44" s="582"/>
      <c r="AL44" s="582"/>
      <c r="AM44" s="582"/>
      <c r="AN44" s="582"/>
      <c r="AO44" s="582"/>
      <c r="AP44" s="582"/>
      <c r="AQ44" s="582"/>
      <c r="AR44" s="582"/>
      <c r="AS44" s="582"/>
      <c r="AT44" s="582"/>
      <c r="AU44" s="582"/>
      <c r="AV44" s="582"/>
      <c r="AW44" s="582"/>
      <c r="AX44" s="582"/>
      <c r="AY44" s="582"/>
      <c r="AZ44" s="582"/>
      <c r="BA44" s="582"/>
      <c r="BB44" s="582"/>
      <c r="BC44" s="582"/>
      <c r="BD44" s="582"/>
      <c r="BE44" s="582"/>
      <c r="BF44" s="582"/>
      <c r="BG44" s="582"/>
      <c r="BH44" s="582"/>
      <c r="BI44" s="582"/>
      <c r="BJ44" s="582"/>
      <c r="BK44" s="582"/>
      <c r="BL44" s="582"/>
      <c r="BM44" s="582"/>
      <c r="BN44" s="582"/>
      <c r="BO44" s="582"/>
    </row>
    <row r="45" spans="2:67" ht="13.5" thickBot="1">
      <c r="B45" s="1151"/>
      <c r="C45" s="1152"/>
      <c r="D45" s="1124"/>
      <c r="E45" s="39"/>
      <c r="F45" s="467"/>
      <c r="G45" s="1033"/>
      <c r="H45" s="1029"/>
      <c r="I45" s="582"/>
      <c r="J45" s="582"/>
      <c r="K45" s="582"/>
      <c r="L45" s="582"/>
      <c r="M45" s="582"/>
      <c r="N45" s="582"/>
      <c r="O45" s="582"/>
      <c r="P45" s="582"/>
      <c r="Q45" s="582"/>
      <c r="R45" s="1032"/>
      <c r="S45" s="582"/>
      <c r="T45" s="582"/>
      <c r="U45" s="582"/>
      <c r="V45" s="582"/>
      <c r="W45" s="582"/>
      <c r="X45" s="582"/>
      <c r="Y45" s="582"/>
      <c r="Z45" s="582"/>
      <c r="AA45" s="582"/>
      <c r="AB45" s="582"/>
      <c r="AC45" s="582"/>
      <c r="AD45" s="582"/>
      <c r="AE45" s="582"/>
      <c r="AF45" s="582"/>
      <c r="AG45" s="582"/>
      <c r="AH45" s="582"/>
      <c r="AI45" s="582"/>
      <c r="AJ45" s="582"/>
      <c r="AK45" s="582"/>
      <c r="AL45" s="582"/>
      <c r="AM45" s="582"/>
      <c r="AN45" s="582"/>
      <c r="AO45" s="582"/>
      <c r="AP45" s="582"/>
      <c r="AQ45" s="582"/>
      <c r="AR45" s="582"/>
      <c r="AS45" s="582"/>
      <c r="AT45" s="582"/>
      <c r="AU45" s="582"/>
      <c r="AV45" s="582"/>
      <c r="AW45" s="582"/>
      <c r="AX45" s="582"/>
      <c r="AY45" s="582"/>
      <c r="AZ45" s="582"/>
      <c r="BA45" s="582"/>
      <c r="BB45" s="582"/>
      <c r="BC45" s="582"/>
      <c r="BD45" s="582"/>
      <c r="BE45" s="582"/>
      <c r="BF45" s="582"/>
      <c r="BG45" s="582"/>
      <c r="BH45" s="582"/>
      <c r="BI45" s="582"/>
      <c r="BJ45" s="582"/>
      <c r="BK45" s="582"/>
      <c r="BL45" s="582"/>
      <c r="BM45" s="582"/>
      <c r="BN45" s="582"/>
      <c r="BO45" s="582"/>
    </row>
    <row r="46" spans="2:67" ht="12.75">
      <c r="B46" s="1153" t="s">
        <v>275</v>
      </c>
      <c r="C46" s="1121" t="s">
        <v>271</v>
      </c>
      <c r="D46" s="1154" t="s">
        <v>272</v>
      </c>
      <c r="E46" s="39"/>
      <c r="F46" s="1148"/>
      <c r="G46" s="1033"/>
      <c r="H46" s="1029"/>
      <c r="I46" s="582"/>
      <c r="J46" s="582"/>
      <c r="K46" s="582"/>
      <c r="L46" s="582"/>
      <c r="M46" s="582"/>
      <c r="N46" s="582"/>
      <c r="O46" s="582"/>
      <c r="P46" s="582"/>
      <c r="Q46" s="582"/>
      <c r="R46" s="1032"/>
      <c r="S46" s="582"/>
      <c r="T46" s="582"/>
      <c r="U46" s="582"/>
      <c r="V46" s="582"/>
      <c r="W46" s="582"/>
      <c r="X46" s="582"/>
      <c r="Y46" s="582"/>
      <c r="Z46" s="582"/>
      <c r="AA46" s="582"/>
      <c r="AB46" s="582"/>
      <c r="AC46" s="582"/>
      <c r="AD46" s="582"/>
      <c r="AE46" s="582"/>
      <c r="AF46" s="582"/>
      <c r="AG46" s="582"/>
      <c r="AH46" s="582"/>
      <c r="AI46" s="582"/>
      <c r="AJ46" s="582"/>
      <c r="AK46" s="582"/>
      <c r="AL46" s="582"/>
      <c r="AM46" s="582"/>
      <c r="AN46" s="582"/>
      <c r="AO46" s="582"/>
      <c r="AP46" s="582"/>
      <c r="AQ46" s="582"/>
      <c r="AR46" s="582"/>
      <c r="AS46" s="582"/>
      <c r="AT46" s="582"/>
      <c r="AU46" s="582"/>
      <c r="AV46" s="582"/>
      <c r="AW46" s="582"/>
      <c r="AX46" s="582"/>
      <c r="AY46" s="582"/>
      <c r="AZ46" s="582"/>
      <c r="BA46" s="582"/>
      <c r="BB46" s="582"/>
      <c r="BC46" s="582"/>
      <c r="BD46" s="582"/>
      <c r="BE46" s="582"/>
      <c r="BF46" s="582"/>
      <c r="BG46" s="582"/>
      <c r="BH46" s="582"/>
      <c r="BI46" s="582"/>
      <c r="BJ46" s="582"/>
      <c r="BK46" s="582"/>
      <c r="BL46" s="582"/>
      <c r="BM46" s="582"/>
      <c r="BN46" s="582"/>
      <c r="BO46" s="582"/>
    </row>
    <row r="47" spans="2:67" ht="12.75">
      <c r="B47" s="1146" t="s">
        <v>282</v>
      </c>
      <c r="C47" s="703" t="s">
        <v>269</v>
      </c>
      <c r="D47" s="601">
        <f>VLOOKUP(Energy_Region,Assumptions!$A$28:$B$38,2,FALSE)</f>
        <v>1.5507921943016665</v>
      </c>
      <c r="E47" s="39"/>
      <c r="F47" s="467"/>
      <c r="G47" s="1033"/>
      <c r="H47" s="1029"/>
      <c r="I47" s="582"/>
      <c r="J47" s="582"/>
      <c r="K47" s="582"/>
      <c r="L47" s="582" t="s">
        <v>814</v>
      </c>
      <c r="M47" s="582"/>
      <c r="N47" s="582"/>
      <c r="O47" s="582"/>
      <c r="P47" s="582"/>
      <c r="Q47" s="582"/>
      <c r="R47" s="1032"/>
      <c r="S47" s="582"/>
      <c r="T47" s="582"/>
      <c r="U47" s="582"/>
      <c r="V47" s="582"/>
      <c r="W47" s="582"/>
      <c r="X47" s="582"/>
      <c r="Y47" s="582"/>
      <c r="Z47" s="582"/>
      <c r="AA47" s="582"/>
      <c r="AB47" s="582"/>
      <c r="AC47" s="582"/>
      <c r="AD47" s="582"/>
      <c r="AE47" s="582"/>
      <c r="AF47" s="582"/>
      <c r="AG47" s="582"/>
      <c r="AH47" s="582"/>
      <c r="AI47" s="582"/>
      <c r="AJ47" s="582"/>
      <c r="AK47" s="582"/>
      <c r="AL47" s="582"/>
      <c r="AM47" s="582"/>
      <c r="AN47" s="582"/>
      <c r="AO47" s="582"/>
      <c r="AP47" s="582"/>
      <c r="AQ47" s="582"/>
      <c r="AR47" s="582"/>
      <c r="AS47" s="582"/>
      <c r="AT47" s="582"/>
      <c r="AU47" s="582"/>
      <c r="AV47" s="582"/>
      <c r="AW47" s="582"/>
      <c r="AX47" s="582"/>
      <c r="AY47" s="582"/>
      <c r="AZ47" s="582"/>
      <c r="BA47" s="582"/>
      <c r="BB47" s="582"/>
      <c r="BC47" s="582"/>
      <c r="BD47" s="582"/>
      <c r="BE47" s="582"/>
      <c r="BF47" s="582"/>
      <c r="BG47" s="582"/>
      <c r="BH47" s="582"/>
      <c r="BI47" s="582"/>
      <c r="BJ47" s="582"/>
      <c r="BK47" s="582"/>
      <c r="BL47" s="582"/>
      <c r="BM47" s="582"/>
      <c r="BN47" s="582"/>
      <c r="BO47" s="582"/>
    </row>
    <row r="48" spans="2:67" ht="26.25" thickBot="1">
      <c r="B48" s="484" t="s">
        <v>370</v>
      </c>
      <c r="C48" s="703" t="s">
        <v>269</v>
      </c>
      <c r="D48" s="1155">
        <f>Assumptions!B26</f>
        <v>0</v>
      </c>
      <c r="E48" s="39"/>
      <c r="F48" s="1148"/>
      <c r="G48" s="1033"/>
      <c r="H48" s="1156"/>
      <c r="I48" s="1157"/>
      <c r="J48" s="1157"/>
      <c r="K48" s="1157"/>
      <c r="L48" s="1157"/>
      <c r="M48" s="1157"/>
      <c r="N48" s="1157"/>
      <c r="O48" s="1157"/>
      <c r="P48" s="1157"/>
      <c r="Q48" s="1157"/>
      <c r="R48" s="1158"/>
      <c r="S48" s="582"/>
      <c r="T48" s="582"/>
      <c r="U48" s="582"/>
      <c r="V48" s="582"/>
      <c r="W48" s="582"/>
      <c r="X48" s="582"/>
      <c r="Y48" s="582"/>
      <c r="Z48" s="582"/>
      <c r="AA48" s="582"/>
      <c r="AB48" s="582"/>
      <c r="AC48" s="582"/>
      <c r="AD48" s="582"/>
      <c r="AE48" s="582"/>
      <c r="AF48" s="582"/>
      <c r="AG48" s="582"/>
      <c r="AH48" s="582"/>
      <c r="AI48" s="582"/>
      <c r="AJ48" s="582"/>
      <c r="AK48" s="582"/>
      <c r="AL48" s="582"/>
      <c r="AM48" s="582"/>
      <c r="AN48" s="582"/>
      <c r="AO48" s="582"/>
      <c r="AP48" s="582"/>
      <c r="AQ48" s="582"/>
      <c r="AR48" s="582"/>
      <c r="AS48" s="582"/>
      <c r="AT48" s="582"/>
      <c r="AU48" s="582"/>
      <c r="AV48" s="582"/>
      <c r="AW48" s="582"/>
      <c r="AX48" s="582"/>
      <c r="AY48" s="582"/>
      <c r="AZ48" s="582"/>
      <c r="BA48" s="582"/>
      <c r="BB48" s="582"/>
      <c r="BC48" s="582"/>
      <c r="BD48" s="582"/>
      <c r="BE48" s="582"/>
      <c r="BF48" s="582"/>
      <c r="BG48" s="582"/>
      <c r="BH48" s="582"/>
      <c r="BI48" s="582"/>
      <c r="BJ48" s="582"/>
      <c r="BK48" s="582"/>
      <c r="BL48" s="582"/>
      <c r="BM48" s="582"/>
      <c r="BN48" s="582"/>
      <c r="BO48" s="582"/>
    </row>
    <row r="49" spans="2:67" ht="12.75">
      <c r="B49" s="484" t="s">
        <v>1</v>
      </c>
      <c r="C49" s="703" t="s">
        <v>273</v>
      </c>
      <c r="D49" s="1159">
        <v>0.03</v>
      </c>
      <c r="E49" s="39"/>
      <c r="F49" s="467"/>
      <c r="G49" s="1033"/>
      <c r="H49" s="471"/>
      <c r="I49" s="582"/>
      <c r="J49" s="582"/>
      <c r="K49" s="582"/>
      <c r="L49" s="582"/>
      <c r="M49" s="582"/>
      <c r="N49" s="582"/>
      <c r="O49" s="582"/>
      <c r="P49" s="582"/>
      <c r="Q49" s="582"/>
      <c r="R49" s="582"/>
      <c r="S49" s="582"/>
      <c r="T49" s="582"/>
      <c r="U49" s="582"/>
      <c r="V49" s="582"/>
      <c r="W49" s="582"/>
      <c r="X49" s="582"/>
      <c r="Y49" s="582"/>
      <c r="Z49" s="582"/>
      <c r="AA49" s="582"/>
      <c r="AB49" s="582"/>
      <c r="AC49" s="582"/>
      <c r="AD49" s="582"/>
      <c r="AE49" s="582"/>
      <c r="AF49" s="582"/>
      <c r="AG49" s="582"/>
      <c r="AH49" s="582"/>
      <c r="AI49" s="582"/>
      <c r="AJ49" s="582"/>
      <c r="AK49" s="582"/>
      <c r="AL49" s="582"/>
      <c r="AM49" s="582"/>
      <c r="AN49" s="582"/>
      <c r="AO49" s="582"/>
      <c r="AP49" s="582"/>
      <c r="AQ49" s="582"/>
      <c r="AR49" s="582"/>
      <c r="AS49" s="582"/>
      <c r="AT49" s="582"/>
      <c r="AU49" s="582"/>
      <c r="AV49" s="582"/>
      <c r="AW49" s="582"/>
      <c r="AX49" s="582"/>
      <c r="AY49" s="582"/>
      <c r="AZ49" s="582"/>
      <c r="BA49" s="582"/>
      <c r="BB49" s="582"/>
      <c r="BC49" s="582"/>
      <c r="BD49" s="582"/>
      <c r="BE49" s="582"/>
      <c r="BF49" s="582"/>
      <c r="BG49" s="582"/>
      <c r="BH49" s="582"/>
      <c r="BI49" s="582"/>
      <c r="BJ49" s="582"/>
      <c r="BK49" s="582"/>
      <c r="BL49" s="582"/>
      <c r="BM49" s="582"/>
      <c r="BN49" s="582"/>
      <c r="BO49" s="582"/>
    </row>
    <row r="50" spans="2:67" ht="12.75">
      <c r="B50" s="484" t="s">
        <v>317</v>
      </c>
      <c r="C50" s="1128" t="s">
        <v>319</v>
      </c>
      <c r="D50" s="1160" t="s">
        <v>355</v>
      </c>
      <c r="E50" s="39"/>
      <c r="F50" s="1148"/>
      <c r="G50" s="1161"/>
      <c r="H50" s="471"/>
      <c r="I50" s="582"/>
      <c r="J50" s="582"/>
      <c r="K50" s="582"/>
      <c r="L50" s="582"/>
      <c r="M50" s="582"/>
      <c r="N50" s="582"/>
      <c r="O50" s="582"/>
      <c r="P50" s="582"/>
      <c r="Q50" s="582"/>
      <c r="R50" s="582"/>
      <c r="S50" s="582"/>
      <c r="T50" s="582"/>
      <c r="U50" s="582"/>
      <c r="V50" s="582"/>
      <c r="W50" s="582"/>
      <c r="X50" s="582"/>
      <c r="Y50" s="582"/>
      <c r="Z50" s="582"/>
      <c r="AA50" s="582"/>
      <c r="AB50" s="582"/>
      <c r="AC50" s="582"/>
      <c r="AD50" s="582"/>
      <c r="AE50" s="582"/>
      <c r="AF50" s="582"/>
      <c r="AG50" s="582"/>
      <c r="AH50" s="582"/>
      <c r="AI50" s="582"/>
      <c r="AJ50" s="582"/>
      <c r="AK50" s="582"/>
      <c r="AL50" s="582"/>
      <c r="AM50" s="582"/>
      <c r="AN50" s="582"/>
      <c r="AO50" s="582"/>
      <c r="AP50" s="582"/>
      <c r="AQ50" s="582"/>
      <c r="AR50" s="582"/>
      <c r="AS50" s="582"/>
      <c r="AT50" s="582"/>
      <c r="AU50" s="582"/>
      <c r="AV50" s="582"/>
      <c r="AW50" s="582"/>
      <c r="AX50" s="582"/>
      <c r="AY50" s="582"/>
      <c r="AZ50" s="582"/>
      <c r="BA50" s="582"/>
      <c r="BB50" s="582"/>
      <c r="BC50" s="582"/>
      <c r="BD50" s="582"/>
      <c r="BE50" s="582"/>
      <c r="BF50" s="582"/>
      <c r="BG50" s="582"/>
      <c r="BH50" s="582"/>
      <c r="BI50" s="582"/>
      <c r="BJ50" s="582"/>
      <c r="BK50" s="582"/>
      <c r="BL50" s="582"/>
      <c r="BM50" s="582"/>
      <c r="BN50" s="582"/>
      <c r="BO50" s="582"/>
    </row>
    <row r="51" spans="2:67" ht="13.5" thickBot="1">
      <c r="B51" s="653"/>
      <c r="C51" s="1162"/>
      <c r="D51" s="1160"/>
      <c r="E51" s="39"/>
      <c r="F51" s="467"/>
      <c r="G51" s="1161"/>
      <c r="H51" s="471"/>
      <c r="I51" s="582"/>
      <c r="J51" s="582"/>
      <c r="K51" s="582"/>
      <c r="L51" s="582"/>
      <c r="M51" s="582"/>
      <c r="N51" s="582"/>
      <c r="O51" s="582"/>
      <c r="P51" s="582"/>
      <c r="Q51" s="582"/>
      <c r="R51" s="582"/>
      <c r="S51" s="582"/>
      <c r="T51" s="582"/>
      <c r="U51" s="582"/>
      <c r="V51" s="582"/>
      <c r="W51" s="582"/>
      <c r="X51" s="582"/>
      <c r="Y51" s="582"/>
      <c r="Z51" s="582"/>
      <c r="AA51" s="582"/>
      <c r="AB51" s="582"/>
      <c r="AC51" s="582"/>
      <c r="AD51" s="582"/>
      <c r="AE51" s="582"/>
      <c r="AF51" s="582"/>
      <c r="AG51" s="582"/>
      <c r="AH51" s="582"/>
      <c r="AI51" s="582"/>
      <c r="AJ51" s="582"/>
      <c r="AK51" s="582"/>
      <c r="AL51" s="582"/>
      <c r="AM51" s="582"/>
      <c r="AN51" s="582"/>
      <c r="AO51" s="582"/>
      <c r="AP51" s="582"/>
      <c r="AQ51" s="582"/>
      <c r="AR51" s="582"/>
      <c r="AS51" s="582"/>
      <c r="AT51" s="582"/>
      <c r="AU51" s="582"/>
      <c r="AV51" s="582"/>
      <c r="AW51" s="582"/>
      <c r="AX51" s="582"/>
      <c r="AY51" s="582"/>
      <c r="AZ51" s="582"/>
      <c r="BA51" s="582"/>
      <c r="BB51" s="582"/>
      <c r="BC51" s="582"/>
      <c r="BD51" s="582"/>
      <c r="BE51" s="582"/>
      <c r="BF51" s="582"/>
      <c r="BG51" s="582"/>
      <c r="BH51" s="582"/>
      <c r="BI51" s="582"/>
      <c r="BJ51" s="582"/>
      <c r="BK51" s="582"/>
      <c r="BL51" s="582"/>
      <c r="BM51" s="582"/>
      <c r="BN51" s="582"/>
      <c r="BO51" s="582"/>
    </row>
    <row r="52" spans="2:67" ht="12.75">
      <c r="C52" s="1164"/>
      <c r="D52" s="96"/>
      <c r="E52" s="96"/>
      <c r="F52" s="96"/>
      <c r="O52" s="96"/>
      <c r="P52" s="96"/>
      <c r="Q52" s="96"/>
      <c r="R52" s="96"/>
      <c r="S52" s="96"/>
      <c r="T52" s="96"/>
      <c r="U52" s="96"/>
      <c r="V52" s="96"/>
      <c r="W52" s="96"/>
      <c r="X52" s="96"/>
      <c r="Y52" s="96"/>
      <c r="Z52" s="96"/>
      <c r="AA52" s="96"/>
      <c r="AB52" s="96"/>
      <c r="AC52" s="96"/>
      <c r="AD52" s="96"/>
      <c r="AE52" s="96"/>
      <c r="AF52" s="96"/>
      <c r="AG52" s="96"/>
      <c r="BO52" s="467"/>
    </row>
    <row r="53" spans="2:67" ht="12.75">
      <c r="C53" s="1164"/>
      <c r="D53" s="96"/>
      <c r="E53" s="39"/>
      <c r="F53" s="97">
        <v>7</v>
      </c>
      <c r="G53" s="97">
        <v>8</v>
      </c>
      <c r="H53" s="97">
        <v>9</v>
      </c>
      <c r="I53" s="97">
        <v>10</v>
      </c>
      <c r="J53" s="97">
        <v>11</v>
      </c>
      <c r="K53" s="97">
        <v>12</v>
      </c>
      <c r="L53" s="97">
        <v>13</v>
      </c>
      <c r="M53" s="97">
        <v>14</v>
      </c>
      <c r="N53" s="97">
        <v>15</v>
      </c>
      <c r="O53" s="97">
        <v>16</v>
      </c>
      <c r="P53" s="97">
        <v>17</v>
      </c>
      <c r="Q53" s="97">
        <v>18</v>
      </c>
      <c r="R53" s="97">
        <v>19</v>
      </c>
      <c r="S53" s="1068">
        <v>20</v>
      </c>
      <c r="T53" s="1068">
        <v>21</v>
      </c>
      <c r="U53" s="1068">
        <v>22</v>
      </c>
      <c r="V53" s="1068">
        <v>23</v>
      </c>
      <c r="W53" s="1068">
        <v>24</v>
      </c>
      <c r="X53" s="1068">
        <v>25</v>
      </c>
      <c r="Y53" s="1068">
        <v>26</v>
      </c>
      <c r="Z53" s="1068">
        <v>27</v>
      </c>
      <c r="AA53" s="1068">
        <v>28</v>
      </c>
      <c r="AB53" s="1068">
        <v>29</v>
      </c>
      <c r="AC53" s="1068">
        <v>30</v>
      </c>
      <c r="AD53" s="1068">
        <v>31</v>
      </c>
      <c r="AE53" s="1068">
        <v>32</v>
      </c>
      <c r="AF53" s="1068">
        <v>33</v>
      </c>
      <c r="AG53" s="1068">
        <v>34</v>
      </c>
      <c r="AH53" s="1068">
        <v>35</v>
      </c>
      <c r="AI53" s="1068">
        <v>36</v>
      </c>
      <c r="AJ53" s="1068">
        <v>37</v>
      </c>
      <c r="AK53" s="1068">
        <v>38</v>
      </c>
      <c r="AL53" s="1068">
        <v>39</v>
      </c>
      <c r="AM53" s="1068">
        <v>40</v>
      </c>
      <c r="AN53" s="1068">
        <v>41</v>
      </c>
      <c r="AO53" s="1068">
        <v>42</v>
      </c>
      <c r="AP53" s="1068">
        <v>43</v>
      </c>
      <c r="AQ53" s="1068">
        <v>44</v>
      </c>
      <c r="AR53" s="1068">
        <v>45</v>
      </c>
      <c r="AS53" s="1068">
        <v>46</v>
      </c>
      <c r="AT53" s="1068">
        <v>47</v>
      </c>
      <c r="AU53" s="1068">
        <v>48</v>
      </c>
      <c r="AV53" s="1068">
        <v>49</v>
      </c>
      <c r="AW53" s="1068">
        <v>50</v>
      </c>
      <c r="AX53" s="1068">
        <v>51</v>
      </c>
      <c r="AY53" s="1068">
        <v>52</v>
      </c>
      <c r="AZ53" s="1068">
        <v>53</v>
      </c>
      <c r="BA53" s="1068">
        <v>54</v>
      </c>
      <c r="BB53" s="1068">
        <v>55</v>
      </c>
      <c r="BC53" s="1068">
        <v>56</v>
      </c>
      <c r="BD53" s="1068">
        <v>57</v>
      </c>
      <c r="BE53" s="1068">
        <v>58</v>
      </c>
      <c r="BF53" s="1068">
        <v>59</v>
      </c>
      <c r="BG53" s="1068">
        <v>60</v>
      </c>
      <c r="BH53" s="1068">
        <v>61</v>
      </c>
      <c r="BI53" s="1068"/>
      <c r="BJ53" s="96"/>
      <c r="BK53" s="96"/>
      <c r="BL53" s="96"/>
      <c r="BM53" s="96"/>
      <c r="BN53" s="96"/>
      <c r="BO53" s="96"/>
    </row>
    <row r="54" spans="2:67" ht="12.75">
      <c r="C54" s="1165" t="s">
        <v>1212</v>
      </c>
      <c r="D54" s="1166"/>
      <c r="E54" s="1167" t="s">
        <v>263</v>
      </c>
      <c r="F54" s="1168">
        <v>2014</v>
      </c>
      <c r="G54" s="1168">
        <f t="shared" ref="G54:BH54" si="0">F54+1</f>
        <v>2015</v>
      </c>
      <c r="H54" s="1168">
        <f t="shared" si="0"/>
        <v>2016</v>
      </c>
      <c r="I54" s="1168">
        <f t="shared" si="0"/>
        <v>2017</v>
      </c>
      <c r="J54" s="1168">
        <f t="shared" si="0"/>
        <v>2018</v>
      </c>
      <c r="K54" s="1168">
        <f t="shared" si="0"/>
        <v>2019</v>
      </c>
      <c r="L54" s="1168">
        <f t="shared" si="0"/>
        <v>2020</v>
      </c>
      <c r="M54" s="1168">
        <f t="shared" si="0"/>
        <v>2021</v>
      </c>
      <c r="N54" s="1168">
        <f>M54+1</f>
        <v>2022</v>
      </c>
      <c r="O54" s="1168">
        <f t="shared" si="0"/>
        <v>2023</v>
      </c>
      <c r="P54" s="1168">
        <f t="shared" si="0"/>
        <v>2024</v>
      </c>
      <c r="Q54" s="1168">
        <f t="shared" si="0"/>
        <v>2025</v>
      </c>
      <c r="R54" s="1168">
        <f t="shared" si="0"/>
        <v>2026</v>
      </c>
      <c r="S54" s="1068">
        <f>R54+1</f>
        <v>2027</v>
      </c>
      <c r="T54" s="1068">
        <f t="shared" si="0"/>
        <v>2028</v>
      </c>
      <c r="U54" s="1068">
        <f t="shared" si="0"/>
        <v>2029</v>
      </c>
      <c r="V54" s="1068">
        <f t="shared" si="0"/>
        <v>2030</v>
      </c>
      <c r="W54" s="1068">
        <f t="shared" si="0"/>
        <v>2031</v>
      </c>
      <c r="X54" s="1068">
        <f t="shared" si="0"/>
        <v>2032</v>
      </c>
      <c r="Y54" s="1068">
        <f t="shared" si="0"/>
        <v>2033</v>
      </c>
      <c r="Z54" s="1068">
        <f t="shared" si="0"/>
        <v>2034</v>
      </c>
      <c r="AA54" s="1068">
        <f t="shared" si="0"/>
        <v>2035</v>
      </c>
      <c r="AB54" s="1068">
        <f t="shared" si="0"/>
        <v>2036</v>
      </c>
      <c r="AC54" s="1068">
        <f t="shared" si="0"/>
        <v>2037</v>
      </c>
      <c r="AD54" s="1068">
        <f t="shared" si="0"/>
        <v>2038</v>
      </c>
      <c r="AE54" s="1068">
        <f t="shared" si="0"/>
        <v>2039</v>
      </c>
      <c r="AF54" s="1068">
        <f t="shared" si="0"/>
        <v>2040</v>
      </c>
      <c r="AG54" s="1068">
        <f t="shared" si="0"/>
        <v>2041</v>
      </c>
      <c r="AH54" s="1068">
        <f t="shared" si="0"/>
        <v>2042</v>
      </c>
      <c r="AI54" s="1068">
        <f t="shared" si="0"/>
        <v>2043</v>
      </c>
      <c r="AJ54" s="1068">
        <f t="shared" si="0"/>
        <v>2044</v>
      </c>
      <c r="AK54" s="1068">
        <f t="shared" si="0"/>
        <v>2045</v>
      </c>
      <c r="AL54" s="1068">
        <f t="shared" si="0"/>
        <v>2046</v>
      </c>
      <c r="AM54" s="1068">
        <f t="shared" si="0"/>
        <v>2047</v>
      </c>
      <c r="AN54" s="1068">
        <f t="shared" si="0"/>
        <v>2048</v>
      </c>
      <c r="AO54" s="1068">
        <f t="shared" si="0"/>
        <v>2049</v>
      </c>
      <c r="AP54" s="1068">
        <f t="shared" si="0"/>
        <v>2050</v>
      </c>
      <c r="AQ54" s="1068">
        <f t="shared" si="0"/>
        <v>2051</v>
      </c>
      <c r="AR54" s="1068">
        <f t="shared" si="0"/>
        <v>2052</v>
      </c>
      <c r="AS54" s="1068">
        <f t="shared" si="0"/>
        <v>2053</v>
      </c>
      <c r="AT54" s="1068">
        <f t="shared" si="0"/>
        <v>2054</v>
      </c>
      <c r="AU54" s="1068">
        <f t="shared" si="0"/>
        <v>2055</v>
      </c>
      <c r="AV54" s="1068">
        <f t="shared" si="0"/>
        <v>2056</v>
      </c>
      <c r="AW54" s="1068">
        <f t="shared" si="0"/>
        <v>2057</v>
      </c>
      <c r="AX54" s="1068">
        <f t="shared" si="0"/>
        <v>2058</v>
      </c>
      <c r="AY54" s="1068">
        <f t="shared" si="0"/>
        <v>2059</v>
      </c>
      <c r="AZ54" s="1068">
        <f t="shared" si="0"/>
        <v>2060</v>
      </c>
      <c r="BA54" s="1068">
        <f t="shared" si="0"/>
        <v>2061</v>
      </c>
      <c r="BB54" s="1068">
        <f t="shared" si="0"/>
        <v>2062</v>
      </c>
      <c r="BC54" s="1068">
        <f t="shared" si="0"/>
        <v>2063</v>
      </c>
      <c r="BD54" s="1068">
        <f t="shared" si="0"/>
        <v>2064</v>
      </c>
      <c r="BE54" s="1068">
        <f t="shared" si="0"/>
        <v>2065</v>
      </c>
      <c r="BF54" s="1068">
        <f t="shared" si="0"/>
        <v>2066</v>
      </c>
      <c r="BG54" s="1068">
        <f t="shared" si="0"/>
        <v>2067</v>
      </c>
      <c r="BH54" s="1068">
        <f t="shared" si="0"/>
        <v>2068</v>
      </c>
      <c r="BI54" s="1169" t="s">
        <v>4</v>
      </c>
      <c r="BJ54" s="96"/>
      <c r="BK54" s="96"/>
      <c r="BL54" s="96"/>
      <c r="BM54" s="96"/>
      <c r="BN54" s="96"/>
      <c r="BO54" s="96"/>
    </row>
    <row r="55" spans="2:67" ht="12.75">
      <c r="C55" s="1170" t="s">
        <v>277</v>
      </c>
      <c r="D55" s="1028" t="s">
        <v>274</v>
      </c>
      <c r="E55" s="96" t="s">
        <v>264</v>
      </c>
      <c r="F55" s="1171">
        <v>0</v>
      </c>
      <c r="G55" s="1171" t="e">
        <f>IF(AND(G54&gt;=BF_Project_STart,G54&lt;=(BF_Project_STart+BF_Project_Life)),-PMT(0.05,#REF!,#REF!),0)</f>
        <v>#REF!</v>
      </c>
      <c r="H55" s="1171" t="e">
        <f>IF(AND(H54&gt;=BF_Project_STart,H54&lt;=(BF_Project_STart+BF_Project_Life)),-PMT(0.05,#REF!,#REF!),0)</f>
        <v>#REF!</v>
      </c>
      <c r="I55" s="1171" t="e">
        <f>IF(AND(I54&gt;=BF_Project_STart,I54&lt;=(BF_Project_STart+BF_Project_Life)),-PMT(0.05,#REF!,#REF!),0)</f>
        <v>#REF!</v>
      </c>
      <c r="J55" s="1171" t="e">
        <f>IF(AND(J54&gt;=BF_Project_STart,J54&lt;=(BF_Project_STart+BF_Project_Life)),-PMT(0.05,#REF!,#REF!),0)</f>
        <v>#REF!</v>
      </c>
      <c r="K55" s="1171" t="e">
        <f>IF(AND(K54&gt;=BF_Project_STart,K54&lt;=(BF_Project_STart+BF_Project_Life)),-PMT(0.05,#REF!,#REF!),0)</f>
        <v>#REF!</v>
      </c>
      <c r="L55" s="1171" t="e">
        <f>IF(AND(L54&gt;=BF_Project_STart,L54&lt;=(BF_Project_STart+BF_Project_Life)),-PMT(0.05,#REF!,#REF!),0)</f>
        <v>#REF!</v>
      </c>
      <c r="M55" s="1171" t="e">
        <f>IF(AND(M54&gt;=BF_Project_STart,M54&lt;=(BF_Project_STart+BF_Project_Life)),-PMT(0.05,#REF!,#REF!),0)</f>
        <v>#REF!</v>
      </c>
      <c r="N55" s="1171" t="e">
        <f>IF(AND(N54&gt;=BF_Project_STart,N54&lt;=(BF_Project_STart+BF_Project_Life)),-PMT(0.05,#REF!,#REF!),0)</f>
        <v>#REF!</v>
      </c>
      <c r="O55" s="1171" t="e">
        <f>IF(AND(O54&gt;=BF_Project_STart,O54&lt;=(BF_Project_STart+BF_Project_Life)),-PMT(0.05,#REF!,#REF!),0)</f>
        <v>#REF!</v>
      </c>
      <c r="P55" s="1171" t="e">
        <f>IF(AND(P54&gt;=BF_Project_STart,P54&lt;=(BF_Project_STart+BF_Project_Life)),-PMT(0.05,#REF!,#REF!),0)</f>
        <v>#REF!</v>
      </c>
      <c r="Q55" s="1171" t="e">
        <f>IF(AND(Q54&gt;=BF_Project_STart,Q54&lt;=(BF_Project_STart+BF_Project_Life)),-PMT(0.05,#REF!,#REF!),0)</f>
        <v>#REF!</v>
      </c>
      <c r="R55" s="1171" t="e">
        <f>IF(AND(R54&gt;=BF_Project_STart,R54&lt;=(BF_Project_STart+BF_Project_Life)),-PMT(0.05,#REF!,#REF!),0)</f>
        <v>#REF!</v>
      </c>
      <c r="S55" s="1171" t="e">
        <f>IF(AND(S54&gt;=BF_Project_STart,S54&lt;=(BF_Project_STart+BF_Project_Life)),-PMT(0.05,#REF!,#REF!),0)</f>
        <v>#REF!</v>
      </c>
      <c r="T55" s="1171" t="e">
        <f>IF(AND(T54&gt;=BF_Project_STart,T54&lt;=(BF_Project_STart+BF_Project_Life)),-PMT(0.05,#REF!,#REF!),0)</f>
        <v>#REF!</v>
      </c>
      <c r="U55" s="1171" t="e">
        <f>IF(AND(U54&gt;=BF_Project_STart,U54&lt;=(BF_Project_STart+BF_Project_Life)),-PMT(0.05,#REF!,#REF!),0)</f>
        <v>#REF!</v>
      </c>
      <c r="V55" s="1171" t="e">
        <f>IF(AND(V54&gt;=BF_Project_STart,V54&lt;=(BF_Project_STart+BF_Project_Life)),-PMT(0.05,#REF!,#REF!),0)</f>
        <v>#REF!</v>
      </c>
      <c r="W55" s="1171" t="e">
        <f>IF(AND(W54&gt;=BF_Project_STart,W54&lt;=(BF_Project_STart+BF_Project_Life)),-PMT(0.05,#REF!,#REF!),0)</f>
        <v>#REF!</v>
      </c>
      <c r="X55" s="1171" t="e">
        <f>IF(AND(X54&gt;=BF_Project_STart,X54&lt;=(BF_Project_STart+BF_Project_Life)),-PMT(0.05,#REF!,#REF!),0)</f>
        <v>#REF!</v>
      </c>
      <c r="Y55" s="1171" t="e">
        <f>IF(AND(Y54&gt;=BF_Project_STart,Y54&lt;=(BF_Project_STart+BF_Project_Life)),-PMT(0.05,#REF!,#REF!),0)</f>
        <v>#REF!</v>
      </c>
      <c r="Z55" s="1171" t="e">
        <f>IF(AND(Z54&gt;=BF_Project_STart,Z54&lt;=(BF_Project_STart+BF_Project_Life)),-PMT(0.05,#REF!,#REF!),0)</f>
        <v>#REF!</v>
      </c>
      <c r="AA55" s="1171" t="e">
        <f>IF(AND(AA54&gt;=BF_Project_STart,AA54&lt;=(BF_Project_STart+BF_Project_Life)),-PMT(0.05,#REF!,#REF!),0)</f>
        <v>#REF!</v>
      </c>
      <c r="AB55" s="1171" t="e">
        <f>IF(AND(AB54&gt;=BF_Project_STart,AB54&lt;=(BF_Project_STart+BF_Project_Life)),-PMT(0.05,#REF!,#REF!),0)</f>
        <v>#REF!</v>
      </c>
      <c r="AC55" s="1171" t="e">
        <f>IF(AND(AC54&gt;=BF_Project_STart,AC54&lt;=(BF_Project_STart+BF_Project_Life)),-PMT(0.05,#REF!,#REF!),0)</f>
        <v>#REF!</v>
      </c>
      <c r="AD55" s="1171" t="e">
        <f>IF(AND(AD54&gt;=BF_Project_STart,AD54&lt;=(BF_Project_STart+BF_Project_Life)),-PMT(0.05,#REF!,#REF!),0)</f>
        <v>#REF!</v>
      </c>
      <c r="AE55" s="1171" t="e">
        <f>IF(AND(AE54&gt;=BF_Project_STart,AE54&lt;=(BF_Project_STart+BF_Project_Life)),-PMT(0.05,#REF!,#REF!),0)</f>
        <v>#REF!</v>
      </c>
      <c r="AF55" s="1171" t="e">
        <f>IF(AND(AF54&gt;=BF_Project_STart,AF54&lt;=(BF_Project_STart+BF_Project_Life)),-PMT(0.05,#REF!,#REF!),0)</f>
        <v>#REF!</v>
      </c>
      <c r="AG55" s="1171" t="e">
        <f>IF(AND(AG54&gt;=BF_Project_STart,AG54&lt;=(BF_Project_STart+BF_Project_Life)),-PMT(0.05,#REF!,#REF!),0)</f>
        <v>#REF!</v>
      </c>
      <c r="AH55" s="1171" t="e">
        <f>IF(AND(AH54&gt;=BF_Project_STart,AH54&lt;=(BF_Project_STart+BF_Project_Life)),-PMT(0.05,#REF!,#REF!),0)</f>
        <v>#REF!</v>
      </c>
      <c r="AI55" s="1171" t="e">
        <f>IF(AND(AI54&gt;=BF_Project_STart,AI54&lt;=(BF_Project_STart+BF_Project_Life)),-PMT(0.05,#REF!,#REF!),0)</f>
        <v>#REF!</v>
      </c>
      <c r="AJ55" s="1171" t="e">
        <f>IF(AND(AJ54&gt;=BF_Project_STart,AJ54&lt;=(BF_Project_STart+BF_Project_Life)),-PMT(0.05,#REF!,#REF!),0)</f>
        <v>#REF!</v>
      </c>
      <c r="AK55" s="1171" t="e">
        <f>IF(AND(AK54&gt;=BF_Project_STart,AK54&lt;=(BF_Project_STart+BF_Project_Life)),-PMT(0.05,#REF!,#REF!),0)</f>
        <v>#REF!</v>
      </c>
      <c r="AL55" s="1171" t="e">
        <f>IF(AND(AL54&gt;=BF_Project_STart,AL54&lt;=(BF_Project_STart+BF_Project_Life)),-PMT(0.05,#REF!,#REF!),0)</f>
        <v>#REF!</v>
      </c>
      <c r="AM55" s="1171" t="e">
        <f>IF(AND(AM54&gt;=BF_Project_STart,AM54&lt;=(BF_Project_STart+BF_Project_Life)),-PMT(0.05,#REF!,#REF!),0)</f>
        <v>#REF!</v>
      </c>
      <c r="AN55" s="1171" t="e">
        <f>IF(AND(AN54&gt;=BF_Project_STart,AN54&lt;=(BF_Project_STart+BF_Project_Life)),-PMT(0.05,#REF!,#REF!),0)</f>
        <v>#REF!</v>
      </c>
      <c r="AO55" s="1171" t="e">
        <f>IF(AND(AO54&gt;=BF_Project_STart,AO54&lt;=(BF_Project_STart+BF_Project_Life)),-PMT(0.05,#REF!,#REF!),0)</f>
        <v>#REF!</v>
      </c>
      <c r="AP55" s="1171" t="e">
        <f>IF(AND(AP54&gt;=BF_Project_STart,AP54&lt;=(BF_Project_STart+BF_Project_Life)),-PMT(0.05,#REF!,#REF!),0)</f>
        <v>#REF!</v>
      </c>
      <c r="AQ55" s="1171" t="e">
        <f>IF(AND(AQ54&gt;=BF_Project_STart,AQ54&lt;=(BF_Project_STart+BF_Project_Life)),-PMT(0.05,#REF!,#REF!),0)</f>
        <v>#REF!</v>
      </c>
      <c r="AR55" s="1171" t="e">
        <f>IF(AND(AR54&gt;=BF_Project_STart,AR54&lt;=(BF_Project_STart+BF_Project_Life)),-PMT(0.05,#REF!,#REF!),0)</f>
        <v>#REF!</v>
      </c>
      <c r="AS55" s="1171" t="e">
        <f>IF(AND(AS54&gt;=BF_Project_STart,AS54&lt;=(BF_Project_STart+BF_Project_Life)),-PMT(0.05,#REF!,#REF!),0)</f>
        <v>#REF!</v>
      </c>
      <c r="AT55" s="1171" t="e">
        <f>IF(AND(AT54&gt;=BF_Project_STart,AT54&lt;=(BF_Project_STart+BF_Project_Life)),-PMT(0.05,#REF!,#REF!),0)</f>
        <v>#REF!</v>
      </c>
      <c r="AU55" s="1171" t="e">
        <f>IF(AND(AU54&gt;=BF_Project_STart,AU54&lt;=(BF_Project_STart+BF_Project_Life)),-PMT(0.05,#REF!,#REF!),0)</f>
        <v>#REF!</v>
      </c>
      <c r="AV55" s="1171" t="e">
        <f>IF(AND(AV54&gt;=BF_Project_STart,AV54&lt;=(BF_Project_STart+BF_Project_Life)),-PMT(0.05,#REF!,#REF!),0)</f>
        <v>#REF!</v>
      </c>
      <c r="AW55" s="1171" t="e">
        <f>IF(AND(AW54&gt;=BF_Project_STart,AW54&lt;=(BF_Project_STart+BF_Project_Life)),-PMT(0.05,#REF!,#REF!),0)</f>
        <v>#REF!</v>
      </c>
      <c r="AX55" s="1171" t="e">
        <f>IF(AND(AX54&gt;=BF_Project_STart,AX54&lt;=(BF_Project_STart+BF_Project_Life)),-PMT(0.05,#REF!,#REF!),0)</f>
        <v>#REF!</v>
      </c>
      <c r="AY55" s="1171" t="e">
        <f>IF(AND(AY54&gt;=BF_Project_STart,AY54&lt;=(BF_Project_STart+BF_Project_Life)),-PMT(0.05,#REF!,#REF!),0)</f>
        <v>#REF!</v>
      </c>
      <c r="AZ55" s="1171" t="e">
        <f>IF(AND(AZ54&gt;=BF_Project_STart,AZ54&lt;=(BF_Project_STart+BF_Project_Life)),-PMT(0.05,#REF!,#REF!),0)</f>
        <v>#REF!</v>
      </c>
      <c r="BA55" s="1171" t="e">
        <f>IF(AND(BA54&gt;=BF_Project_STart,BA54&lt;=(BF_Project_STart+BF_Project_Life)),-PMT(0.05,#REF!,#REF!),0)</f>
        <v>#REF!</v>
      </c>
      <c r="BB55" s="1171" t="e">
        <f>IF(AND(BB54&gt;=BF_Project_STart,BB54&lt;=(BF_Project_STart+BF_Project_Life)),-PMT(0.05,#REF!,#REF!),0)</f>
        <v>#REF!</v>
      </c>
      <c r="BC55" s="1171" t="e">
        <f>IF(AND(BC54&gt;=BF_Project_STart,BC54&lt;=(BF_Project_STart+BF_Project_Life)),-PMT(0.05,#REF!,#REF!),0)</f>
        <v>#REF!</v>
      </c>
      <c r="BD55" s="1171" t="e">
        <f>IF(AND(BD54&gt;=BF_Project_STart,BD54&lt;=(BF_Project_STart+BF_Project_Life)),-PMT(0.05,#REF!,#REF!),0)</f>
        <v>#REF!</v>
      </c>
      <c r="BE55" s="1171" t="e">
        <f>IF(AND(BE54&gt;=BF_Project_STart,BE54&lt;=(BF_Project_STart+BF_Project_Life)),-PMT(0.05,#REF!,#REF!),0)</f>
        <v>#REF!</v>
      </c>
      <c r="BF55" s="1171" t="e">
        <f>IF(AND(BF54&gt;=BF_Project_STart,BF54&lt;=(BF_Project_STart+BF_Project_Life)),-PMT(0.05,#REF!,#REF!),0)</f>
        <v>#REF!</v>
      </c>
      <c r="BG55" s="1171" t="e">
        <f>IF(AND(BG54&gt;=BF_Project_STart,BG54&lt;=(BF_Project_STart+BF_Project_Life)),-PMT(0.05,#REF!,#REF!),0)</f>
        <v>#REF!</v>
      </c>
      <c r="BH55" s="1171" t="e">
        <f>IF(AND(BH54&gt;=BF_Project_STart,BH54&lt;=(BF_Project_STart+BF_Project_Life)),-PMT(0.05,#REF!,#REF!),0)</f>
        <v>#REF!</v>
      </c>
      <c r="BI55" s="1172" t="e">
        <f>NPV($D$49,F55:BH55)</f>
        <v>#REF!</v>
      </c>
      <c r="BJ55" s="96"/>
      <c r="BK55" s="1171"/>
      <c r="BL55" s="1171"/>
      <c r="BM55" s="96"/>
      <c r="BN55" s="96"/>
      <c r="BO55" s="96"/>
    </row>
    <row r="56" spans="2:67" ht="12.75">
      <c r="C56" s="1170"/>
      <c r="D56" s="1028"/>
      <c r="E56" s="96"/>
      <c r="F56" s="1173"/>
      <c r="G56" s="1173"/>
      <c r="H56" s="1173"/>
      <c r="I56" s="1173"/>
      <c r="J56" s="1173"/>
      <c r="K56" s="1173"/>
      <c r="L56" s="1173"/>
      <c r="M56" s="1173"/>
      <c r="N56" s="1173"/>
      <c r="O56" s="1173"/>
      <c r="P56" s="1173"/>
      <c r="Q56" s="1173"/>
      <c r="R56" s="1173"/>
      <c r="S56" s="1173"/>
      <c r="T56" s="1173"/>
      <c r="U56" s="1173"/>
      <c r="V56" s="1173"/>
      <c r="W56" s="1173"/>
      <c r="X56" s="1173"/>
      <c r="Y56" s="1173"/>
      <c r="Z56" s="1173"/>
      <c r="AA56" s="1173"/>
      <c r="AB56" s="1173"/>
      <c r="AC56" s="1173"/>
      <c r="AD56" s="1173"/>
      <c r="AE56" s="1173"/>
      <c r="AF56" s="1173"/>
      <c r="AG56" s="1173"/>
      <c r="AH56" s="1173"/>
      <c r="AI56" s="1173"/>
      <c r="AJ56" s="1173"/>
      <c r="AK56" s="1173"/>
      <c r="AL56" s="1173"/>
      <c r="AM56" s="1173"/>
      <c r="AN56" s="1173"/>
      <c r="AO56" s="1173"/>
      <c r="AP56" s="1173"/>
      <c r="AQ56" s="1173"/>
      <c r="AR56" s="1173"/>
      <c r="AS56" s="1173"/>
      <c r="AT56" s="1173"/>
      <c r="AU56" s="1173"/>
      <c r="AV56" s="1173"/>
      <c r="AW56" s="1173"/>
      <c r="AX56" s="1173"/>
      <c r="AY56" s="1173"/>
      <c r="AZ56" s="1173"/>
      <c r="BA56" s="1173"/>
      <c r="BB56" s="1173"/>
      <c r="BC56" s="1173"/>
      <c r="BD56" s="1173"/>
      <c r="BE56" s="1173"/>
      <c r="BF56" s="1173"/>
      <c r="BG56" s="1173"/>
      <c r="BH56" s="1173"/>
      <c r="BI56" s="1172"/>
      <c r="BJ56" s="96"/>
      <c r="BK56" s="96"/>
      <c r="BL56" s="96"/>
      <c r="BM56" s="96"/>
      <c r="BN56" s="96"/>
      <c r="BO56" s="96"/>
    </row>
    <row r="57" spans="2:67" ht="12.75">
      <c r="C57" s="1174"/>
      <c r="D57" s="467" t="s">
        <v>1213</v>
      </c>
      <c r="E57" s="96" t="s">
        <v>264</v>
      </c>
      <c r="F57" s="1175" t="e">
        <f>F81-F71</f>
        <v>#REF!</v>
      </c>
      <c r="G57" s="1176" t="e">
        <f t="shared" ref="G57:BH57" si="1">IF(AND(G54&gt;=BF_Project_STart,G54&lt;=(BF_Project_STart+BF_Project_Life)),$P$19,0)</f>
        <v>#REF!</v>
      </c>
      <c r="H57" s="1176" t="e">
        <f t="shared" si="1"/>
        <v>#REF!</v>
      </c>
      <c r="I57" s="1176" t="e">
        <f t="shared" si="1"/>
        <v>#REF!</v>
      </c>
      <c r="J57" s="1176" t="e">
        <f t="shared" si="1"/>
        <v>#REF!</v>
      </c>
      <c r="K57" s="1176" t="e">
        <f t="shared" si="1"/>
        <v>#REF!</v>
      </c>
      <c r="L57" s="1176" t="e">
        <f t="shared" si="1"/>
        <v>#REF!</v>
      </c>
      <c r="M57" s="1176" t="e">
        <f t="shared" si="1"/>
        <v>#REF!</v>
      </c>
      <c r="N57" s="1176" t="e">
        <f t="shared" si="1"/>
        <v>#REF!</v>
      </c>
      <c r="O57" s="1176" t="e">
        <f t="shared" si="1"/>
        <v>#REF!</v>
      </c>
      <c r="P57" s="1176" t="e">
        <f t="shared" si="1"/>
        <v>#REF!</v>
      </c>
      <c r="Q57" s="1176" t="e">
        <f t="shared" si="1"/>
        <v>#REF!</v>
      </c>
      <c r="R57" s="1176" t="e">
        <f t="shared" si="1"/>
        <v>#REF!</v>
      </c>
      <c r="S57" s="1176" t="e">
        <f t="shared" si="1"/>
        <v>#REF!</v>
      </c>
      <c r="T57" s="1176" t="e">
        <f t="shared" si="1"/>
        <v>#REF!</v>
      </c>
      <c r="U57" s="1176" t="e">
        <f t="shared" si="1"/>
        <v>#REF!</v>
      </c>
      <c r="V57" s="1176" t="e">
        <f t="shared" si="1"/>
        <v>#REF!</v>
      </c>
      <c r="W57" s="1176" t="e">
        <f t="shared" si="1"/>
        <v>#REF!</v>
      </c>
      <c r="X57" s="1176" t="e">
        <f t="shared" si="1"/>
        <v>#REF!</v>
      </c>
      <c r="Y57" s="1176" t="e">
        <f t="shared" si="1"/>
        <v>#REF!</v>
      </c>
      <c r="Z57" s="1176" t="e">
        <f t="shared" si="1"/>
        <v>#REF!</v>
      </c>
      <c r="AA57" s="1176" t="e">
        <f t="shared" si="1"/>
        <v>#REF!</v>
      </c>
      <c r="AB57" s="1176" t="e">
        <f t="shared" si="1"/>
        <v>#REF!</v>
      </c>
      <c r="AC57" s="1176" t="e">
        <f t="shared" si="1"/>
        <v>#REF!</v>
      </c>
      <c r="AD57" s="1176" t="e">
        <f t="shared" si="1"/>
        <v>#REF!</v>
      </c>
      <c r="AE57" s="1176" t="e">
        <f t="shared" si="1"/>
        <v>#REF!</v>
      </c>
      <c r="AF57" s="1176" t="e">
        <f t="shared" si="1"/>
        <v>#REF!</v>
      </c>
      <c r="AG57" s="1176" t="e">
        <f t="shared" si="1"/>
        <v>#REF!</v>
      </c>
      <c r="AH57" s="1176" t="e">
        <f t="shared" si="1"/>
        <v>#REF!</v>
      </c>
      <c r="AI57" s="1176" t="e">
        <f t="shared" si="1"/>
        <v>#REF!</v>
      </c>
      <c r="AJ57" s="1176" t="e">
        <f t="shared" si="1"/>
        <v>#REF!</v>
      </c>
      <c r="AK57" s="1176" t="e">
        <f t="shared" si="1"/>
        <v>#REF!</v>
      </c>
      <c r="AL57" s="1176" t="e">
        <f t="shared" si="1"/>
        <v>#REF!</v>
      </c>
      <c r="AM57" s="1176" t="e">
        <f t="shared" si="1"/>
        <v>#REF!</v>
      </c>
      <c r="AN57" s="1176" t="e">
        <f t="shared" si="1"/>
        <v>#REF!</v>
      </c>
      <c r="AO57" s="1176" t="e">
        <f t="shared" si="1"/>
        <v>#REF!</v>
      </c>
      <c r="AP57" s="1176" t="e">
        <f t="shared" si="1"/>
        <v>#REF!</v>
      </c>
      <c r="AQ57" s="1176" t="e">
        <f t="shared" si="1"/>
        <v>#REF!</v>
      </c>
      <c r="AR57" s="1176" t="e">
        <f t="shared" si="1"/>
        <v>#REF!</v>
      </c>
      <c r="AS57" s="1176" t="e">
        <f t="shared" si="1"/>
        <v>#REF!</v>
      </c>
      <c r="AT57" s="1176" t="e">
        <f t="shared" si="1"/>
        <v>#REF!</v>
      </c>
      <c r="AU57" s="1176" t="e">
        <f t="shared" si="1"/>
        <v>#REF!</v>
      </c>
      <c r="AV57" s="1176" t="e">
        <f t="shared" si="1"/>
        <v>#REF!</v>
      </c>
      <c r="AW57" s="1176" t="e">
        <f t="shared" si="1"/>
        <v>#REF!</v>
      </c>
      <c r="AX57" s="1176" t="e">
        <f t="shared" si="1"/>
        <v>#REF!</v>
      </c>
      <c r="AY57" s="1176" t="e">
        <f t="shared" si="1"/>
        <v>#REF!</v>
      </c>
      <c r="AZ57" s="1176" t="e">
        <f t="shared" si="1"/>
        <v>#REF!</v>
      </c>
      <c r="BA57" s="1176" t="e">
        <f t="shared" si="1"/>
        <v>#REF!</v>
      </c>
      <c r="BB57" s="1176" t="e">
        <f t="shared" si="1"/>
        <v>#REF!</v>
      </c>
      <c r="BC57" s="1176" t="e">
        <f t="shared" si="1"/>
        <v>#REF!</v>
      </c>
      <c r="BD57" s="1176" t="e">
        <f t="shared" si="1"/>
        <v>#REF!</v>
      </c>
      <c r="BE57" s="1176" t="e">
        <f t="shared" si="1"/>
        <v>#REF!</v>
      </c>
      <c r="BF57" s="1176" t="e">
        <f t="shared" si="1"/>
        <v>#REF!</v>
      </c>
      <c r="BG57" s="1176" t="e">
        <f t="shared" si="1"/>
        <v>#REF!</v>
      </c>
      <c r="BH57" s="1176" t="e">
        <f t="shared" si="1"/>
        <v>#REF!</v>
      </c>
      <c r="BI57" s="1172" t="e">
        <f>NPV($D$49,F57:BH57)</f>
        <v>#REF!</v>
      </c>
      <c r="BJ57" s="96"/>
      <c r="BK57" s="96"/>
      <c r="BL57" s="96"/>
      <c r="BM57" s="96"/>
      <c r="BN57" s="96"/>
      <c r="BO57" s="96"/>
    </row>
    <row r="58" spans="2:67" ht="12.75">
      <c r="C58" s="1174"/>
      <c r="D58" s="467"/>
      <c r="E58" s="96"/>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t="e">
        <f t="shared" ref="AB58:BH58" si="2">AB98-AB90</f>
        <v>#REF!</v>
      </c>
      <c r="AC58" s="1175" t="e">
        <f t="shared" si="2"/>
        <v>#REF!</v>
      </c>
      <c r="AD58" s="1175" t="e">
        <f t="shared" si="2"/>
        <v>#REF!</v>
      </c>
      <c r="AE58" s="1175" t="e">
        <f t="shared" si="2"/>
        <v>#REF!</v>
      </c>
      <c r="AF58" s="1175" t="e">
        <f t="shared" si="2"/>
        <v>#REF!</v>
      </c>
      <c r="AG58" s="1175" t="e">
        <f t="shared" si="2"/>
        <v>#REF!</v>
      </c>
      <c r="AH58" s="1175" t="e">
        <f t="shared" si="2"/>
        <v>#REF!</v>
      </c>
      <c r="AI58" s="1175" t="e">
        <f t="shared" si="2"/>
        <v>#REF!</v>
      </c>
      <c r="AJ58" s="1175" t="e">
        <f t="shared" si="2"/>
        <v>#REF!</v>
      </c>
      <c r="AK58" s="1175" t="e">
        <f t="shared" si="2"/>
        <v>#REF!</v>
      </c>
      <c r="AL58" s="1175" t="e">
        <f t="shared" si="2"/>
        <v>#REF!</v>
      </c>
      <c r="AM58" s="1175" t="e">
        <f t="shared" si="2"/>
        <v>#REF!</v>
      </c>
      <c r="AN58" s="1175" t="e">
        <f t="shared" si="2"/>
        <v>#REF!</v>
      </c>
      <c r="AO58" s="1175" t="e">
        <f t="shared" si="2"/>
        <v>#REF!</v>
      </c>
      <c r="AP58" s="1175" t="e">
        <f t="shared" si="2"/>
        <v>#REF!</v>
      </c>
      <c r="AQ58" s="1175" t="e">
        <f t="shared" si="2"/>
        <v>#REF!</v>
      </c>
      <c r="AR58" s="1175" t="e">
        <f t="shared" si="2"/>
        <v>#REF!</v>
      </c>
      <c r="AS58" s="1175" t="e">
        <f t="shared" si="2"/>
        <v>#REF!</v>
      </c>
      <c r="AT58" s="1175" t="e">
        <f t="shared" si="2"/>
        <v>#REF!</v>
      </c>
      <c r="AU58" s="1175" t="e">
        <f t="shared" si="2"/>
        <v>#REF!</v>
      </c>
      <c r="AV58" s="1175" t="e">
        <f t="shared" si="2"/>
        <v>#REF!</v>
      </c>
      <c r="AW58" s="1175" t="e">
        <f t="shared" si="2"/>
        <v>#REF!</v>
      </c>
      <c r="AX58" s="1175" t="e">
        <f t="shared" si="2"/>
        <v>#REF!</v>
      </c>
      <c r="AY58" s="1175" t="e">
        <f t="shared" si="2"/>
        <v>#REF!</v>
      </c>
      <c r="AZ58" s="1175" t="e">
        <f t="shared" si="2"/>
        <v>#REF!</v>
      </c>
      <c r="BA58" s="1175" t="e">
        <f t="shared" si="2"/>
        <v>#REF!</v>
      </c>
      <c r="BB58" s="1175" t="e">
        <f t="shared" si="2"/>
        <v>#REF!</v>
      </c>
      <c r="BC58" s="1175" t="e">
        <f t="shared" si="2"/>
        <v>#REF!</v>
      </c>
      <c r="BD58" s="1175" t="e">
        <f t="shared" si="2"/>
        <v>#REF!</v>
      </c>
      <c r="BE58" s="1175" t="e">
        <f t="shared" si="2"/>
        <v>#REF!</v>
      </c>
      <c r="BF58" s="1175" t="e">
        <f t="shared" si="2"/>
        <v>#REF!</v>
      </c>
      <c r="BG58" s="1175" t="e">
        <f t="shared" si="2"/>
        <v>#REF!</v>
      </c>
      <c r="BH58" s="1175" t="e">
        <f t="shared" si="2"/>
        <v>#REF!</v>
      </c>
      <c r="BI58" s="1172" t="e">
        <f>NPV($D$49,F58:BH58)</f>
        <v>#REF!</v>
      </c>
      <c r="BJ58" s="96"/>
      <c r="BK58" s="96"/>
      <c r="BL58" s="96"/>
      <c r="BM58" s="96"/>
      <c r="BN58" s="96"/>
      <c r="BO58" s="96"/>
    </row>
    <row r="59" spans="2:67" ht="12.75">
      <c r="C59" s="1174"/>
      <c r="D59" s="1177" t="s">
        <v>1214</v>
      </c>
      <c r="E59" s="12" t="s">
        <v>264</v>
      </c>
      <c r="F59" s="1175" t="e">
        <f t="shared" ref="F59:BH59" si="3">F57+F58</f>
        <v>#REF!</v>
      </c>
      <c r="G59" s="1175" t="e">
        <f t="shared" si="3"/>
        <v>#REF!</v>
      </c>
      <c r="H59" s="1175" t="e">
        <f t="shared" si="3"/>
        <v>#REF!</v>
      </c>
      <c r="I59" s="1175" t="e">
        <f t="shared" si="3"/>
        <v>#REF!</v>
      </c>
      <c r="J59" s="1175" t="e">
        <f t="shared" si="3"/>
        <v>#REF!</v>
      </c>
      <c r="K59" s="1175" t="e">
        <f t="shared" si="3"/>
        <v>#REF!</v>
      </c>
      <c r="L59" s="1175" t="e">
        <f t="shared" si="3"/>
        <v>#REF!</v>
      </c>
      <c r="M59" s="1175" t="e">
        <f t="shared" si="3"/>
        <v>#REF!</v>
      </c>
      <c r="N59" s="1175" t="e">
        <f t="shared" si="3"/>
        <v>#REF!</v>
      </c>
      <c r="O59" s="1175" t="e">
        <f t="shared" si="3"/>
        <v>#REF!</v>
      </c>
      <c r="P59" s="1175" t="e">
        <f t="shared" si="3"/>
        <v>#REF!</v>
      </c>
      <c r="Q59" s="1175" t="e">
        <f t="shared" si="3"/>
        <v>#REF!</v>
      </c>
      <c r="R59" s="1175" t="e">
        <f t="shared" si="3"/>
        <v>#REF!</v>
      </c>
      <c r="S59" s="1175" t="e">
        <f t="shared" si="3"/>
        <v>#REF!</v>
      </c>
      <c r="T59" s="1175" t="e">
        <f t="shared" si="3"/>
        <v>#REF!</v>
      </c>
      <c r="U59" s="1175" t="e">
        <f t="shared" si="3"/>
        <v>#REF!</v>
      </c>
      <c r="V59" s="1175" t="e">
        <f t="shared" si="3"/>
        <v>#REF!</v>
      </c>
      <c r="W59" s="1175" t="e">
        <f t="shared" si="3"/>
        <v>#REF!</v>
      </c>
      <c r="X59" s="1175" t="e">
        <f t="shared" si="3"/>
        <v>#REF!</v>
      </c>
      <c r="Y59" s="1175" t="e">
        <f t="shared" si="3"/>
        <v>#REF!</v>
      </c>
      <c r="Z59" s="1175" t="e">
        <f t="shared" si="3"/>
        <v>#REF!</v>
      </c>
      <c r="AA59" s="1175" t="e">
        <f t="shared" si="3"/>
        <v>#REF!</v>
      </c>
      <c r="AB59" s="1175" t="e">
        <f t="shared" si="3"/>
        <v>#REF!</v>
      </c>
      <c r="AC59" s="1175" t="e">
        <f t="shared" si="3"/>
        <v>#REF!</v>
      </c>
      <c r="AD59" s="1175" t="e">
        <f t="shared" si="3"/>
        <v>#REF!</v>
      </c>
      <c r="AE59" s="1175" t="e">
        <f t="shared" si="3"/>
        <v>#REF!</v>
      </c>
      <c r="AF59" s="1175" t="e">
        <f t="shared" si="3"/>
        <v>#REF!</v>
      </c>
      <c r="AG59" s="1175" t="e">
        <f t="shared" si="3"/>
        <v>#REF!</v>
      </c>
      <c r="AH59" s="1175" t="e">
        <f t="shared" si="3"/>
        <v>#REF!</v>
      </c>
      <c r="AI59" s="1175" t="e">
        <f t="shared" si="3"/>
        <v>#REF!</v>
      </c>
      <c r="AJ59" s="1175" t="e">
        <f t="shared" si="3"/>
        <v>#REF!</v>
      </c>
      <c r="AK59" s="1175" t="e">
        <f t="shared" si="3"/>
        <v>#REF!</v>
      </c>
      <c r="AL59" s="1175" t="e">
        <f t="shared" si="3"/>
        <v>#REF!</v>
      </c>
      <c r="AM59" s="1175" t="e">
        <f t="shared" si="3"/>
        <v>#REF!</v>
      </c>
      <c r="AN59" s="1175" t="e">
        <f t="shared" si="3"/>
        <v>#REF!</v>
      </c>
      <c r="AO59" s="1175" t="e">
        <f t="shared" si="3"/>
        <v>#REF!</v>
      </c>
      <c r="AP59" s="1175" t="e">
        <f t="shared" si="3"/>
        <v>#REF!</v>
      </c>
      <c r="AQ59" s="1175" t="e">
        <f t="shared" si="3"/>
        <v>#REF!</v>
      </c>
      <c r="AR59" s="1175" t="e">
        <f t="shared" si="3"/>
        <v>#REF!</v>
      </c>
      <c r="AS59" s="1175" t="e">
        <f t="shared" si="3"/>
        <v>#REF!</v>
      </c>
      <c r="AT59" s="1175" t="e">
        <f t="shared" si="3"/>
        <v>#REF!</v>
      </c>
      <c r="AU59" s="1175" t="e">
        <f t="shared" si="3"/>
        <v>#REF!</v>
      </c>
      <c r="AV59" s="1175" t="e">
        <f t="shared" si="3"/>
        <v>#REF!</v>
      </c>
      <c r="AW59" s="1175" t="e">
        <f t="shared" si="3"/>
        <v>#REF!</v>
      </c>
      <c r="AX59" s="1175" t="e">
        <f t="shared" si="3"/>
        <v>#REF!</v>
      </c>
      <c r="AY59" s="1175" t="e">
        <f t="shared" si="3"/>
        <v>#REF!</v>
      </c>
      <c r="AZ59" s="1175" t="e">
        <f t="shared" si="3"/>
        <v>#REF!</v>
      </c>
      <c r="BA59" s="1175" t="e">
        <f t="shared" si="3"/>
        <v>#REF!</v>
      </c>
      <c r="BB59" s="1175" t="e">
        <f t="shared" si="3"/>
        <v>#REF!</v>
      </c>
      <c r="BC59" s="1175" t="e">
        <f t="shared" si="3"/>
        <v>#REF!</v>
      </c>
      <c r="BD59" s="1175" t="e">
        <f t="shared" si="3"/>
        <v>#REF!</v>
      </c>
      <c r="BE59" s="1175" t="e">
        <f t="shared" si="3"/>
        <v>#REF!</v>
      </c>
      <c r="BF59" s="1175" t="e">
        <f t="shared" si="3"/>
        <v>#REF!</v>
      </c>
      <c r="BG59" s="1175" t="e">
        <f t="shared" si="3"/>
        <v>#REF!</v>
      </c>
      <c r="BH59" s="1175" t="e">
        <f t="shared" si="3"/>
        <v>#REF!</v>
      </c>
      <c r="BI59" s="1172" t="e">
        <f>NPV($D$49,F59:BH59)</f>
        <v>#REF!</v>
      </c>
      <c r="BJ59" s="96"/>
      <c r="BK59" s="96"/>
      <c r="BL59" s="96"/>
      <c r="BM59" s="96"/>
      <c r="BN59" s="96"/>
      <c r="BO59" s="96"/>
    </row>
    <row r="60" spans="2:67" ht="12.75">
      <c r="C60" s="1174"/>
      <c r="D60" s="467"/>
      <c r="E60" s="467"/>
      <c r="F60" s="1016"/>
      <c r="G60" s="467"/>
      <c r="H60" s="467"/>
      <c r="I60" s="467"/>
      <c r="J60" s="467"/>
      <c r="K60" s="467"/>
      <c r="L60" s="467"/>
      <c r="M60" s="467"/>
      <c r="N60" s="467"/>
      <c r="O60" s="467"/>
      <c r="P60" s="467"/>
      <c r="Q60" s="467"/>
      <c r="R60" s="467"/>
      <c r="BJ60" s="96"/>
      <c r="BK60" s="96"/>
      <c r="BL60" s="96"/>
      <c r="BM60" s="96"/>
      <c r="BN60" s="96"/>
      <c r="BO60" s="96"/>
    </row>
    <row r="61" spans="2:67" ht="12.75">
      <c r="C61" s="1174"/>
      <c r="D61" s="467"/>
      <c r="E61" s="467"/>
      <c r="F61" s="1016"/>
      <c r="G61" s="467"/>
      <c r="H61" s="467"/>
      <c r="I61" s="467"/>
      <c r="J61" s="467"/>
      <c r="K61" s="467"/>
      <c r="L61" s="467"/>
      <c r="M61" s="467"/>
      <c r="N61" s="467"/>
      <c r="O61" s="467"/>
      <c r="P61" s="467"/>
      <c r="Q61" s="467"/>
      <c r="R61" s="467"/>
      <c r="BJ61" s="96"/>
      <c r="BK61" s="96"/>
      <c r="BL61" s="96"/>
      <c r="BM61" s="96"/>
      <c r="BN61" s="96"/>
      <c r="BO61" s="96"/>
    </row>
    <row r="62" spans="2:67" ht="12.75">
      <c r="C62" s="1178"/>
      <c r="D62" s="1179" t="s">
        <v>289</v>
      </c>
      <c r="E62" s="1180" t="s">
        <v>264</v>
      </c>
      <c r="F62" s="1181" t="e">
        <f t="shared" ref="F62:BH62" si="4">F59-F55</f>
        <v>#REF!</v>
      </c>
      <c r="G62" s="1181" t="e">
        <f t="shared" si="4"/>
        <v>#REF!</v>
      </c>
      <c r="H62" s="1181" t="e">
        <f t="shared" si="4"/>
        <v>#REF!</v>
      </c>
      <c r="I62" s="1181" t="e">
        <f t="shared" si="4"/>
        <v>#REF!</v>
      </c>
      <c r="J62" s="1181" t="e">
        <f t="shared" si="4"/>
        <v>#REF!</v>
      </c>
      <c r="K62" s="1181" t="e">
        <f t="shared" si="4"/>
        <v>#REF!</v>
      </c>
      <c r="L62" s="1181" t="e">
        <f t="shared" si="4"/>
        <v>#REF!</v>
      </c>
      <c r="M62" s="1181" t="e">
        <f t="shared" si="4"/>
        <v>#REF!</v>
      </c>
      <c r="N62" s="1181" t="e">
        <f t="shared" si="4"/>
        <v>#REF!</v>
      </c>
      <c r="O62" s="1181" t="e">
        <f t="shared" si="4"/>
        <v>#REF!</v>
      </c>
      <c r="P62" s="1181" t="e">
        <f t="shared" si="4"/>
        <v>#REF!</v>
      </c>
      <c r="Q62" s="1181" t="e">
        <f t="shared" si="4"/>
        <v>#REF!</v>
      </c>
      <c r="R62" s="1181" t="e">
        <f t="shared" si="4"/>
        <v>#REF!</v>
      </c>
      <c r="S62" s="1182" t="e">
        <f t="shared" si="4"/>
        <v>#REF!</v>
      </c>
      <c r="T62" s="1182" t="e">
        <f t="shared" si="4"/>
        <v>#REF!</v>
      </c>
      <c r="U62" s="1182" t="e">
        <f t="shared" si="4"/>
        <v>#REF!</v>
      </c>
      <c r="V62" s="1182" t="e">
        <f t="shared" si="4"/>
        <v>#REF!</v>
      </c>
      <c r="W62" s="1182" t="e">
        <f t="shared" si="4"/>
        <v>#REF!</v>
      </c>
      <c r="X62" s="1182" t="e">
        <f t="shared" si="4"/>
        <v>#REF!</v>
      </c>
      <c r="Y62" s="1182" t="e">
        <f t="shared" si="4"/>
        <v>#REF!</v>
      </c>
      <c r="Z62" s="1182" t="e">
        <f t="shared" si="4"/>
        <v>#REF!</v>
      </c>
      <c r="AA62" s="1182" t="e">
        <f t="shared" si="4"/>
        <v>#REF!</v>
      </c>
      <c r="AB62" s="1182" t="e">
        <f t="shared" si="4"/>
        <v>#REF!</v>
      </c>
      <c r="AC62" s="1182" t="e">
        <f t="shared" si="4"/>
        <v>#REF!</v>
      </c>
      <c r="AD62" s="1182" t="e">
        <f t="shared" si="4"/>
        <v>#REF!</v>
      </c>
      <c r="AE62" s="1182" t="e">
        <f t="shared" si="4"/>
        <v>#REF!</v>
      </c>
      <c r="AF62" s="1182" t="e">
        <f t="shared" si="4"/>
        <v>#REF!</v>
      </c>
      <c r="AG62" s="1182" t="e">
        <f t="shared" si="4"/>
        <v>#REF!</v>
      </c>
      <c r="AH62" s="1182" t="e">
        <f t="shared" si="4"/>
        <v>#REF!</v>
      </c>
      <c r="AI62" s="1182" t="e">
        <f t="shared" si="4"/>
        <v>#REF!</v>
      </c>
      <c r="AJ62" s="1182" t="e">
        <f t="shared" si="4"/>
        <v>#REF!</v>
      </c>
      <c r="AK62" s="1182" t="e">
        <f t="shared" si="4"/>
        <v>#REF!</v>
      </c>
      <c r="AL62" s="1182" t="e">
        <f t="shared" si="4"/>
        <v>#REF!</v>
      </c>
      <c r="AM62" s="1182" t="e">
        <f t="shared" si="4"/>
        <v>#REF!</v>
      </c>
      <c r="AN62" s="1182" t="e">
        <f t="shared" si="4"/>
        <v>#REF!</v>
      </c>
      <c r="AO62" s="1182" t="e">
        <f t="shared" si="4"/>
        <v>#REF!</v>
      </c>
      <c r="AP62" s="1182" t="e">
        <f t="shared" si="4"/>
        <v>#REF!</v>
      </c>
      <c r="AQ62" s="1182" t="e">
        <f t="shared" si="4"/>
        <v>#REF!</v>
      </c>
      <c r="AR62" s="1182" t="e">
        <f t="shared" si="4"/>
        <v>#REF!</v>
      </c>
      <c r="AS62" s="1182" t="e">
        <f t="shared" si="4"/>
        <v>#REF!</v>
      </c>
      <c r="AT62" s="1182" t="e">
        <f t="shared" si="4"/>
        <v>#REF!</v>
      </c>
      <c r="AU62" s="1182" t="e">
        <f t="shared" si="4"/>
        <v>#REF!</v>
      </c>
      <c r="AV62" s="1182" t="e">
        <f t="shared" si="4"/>
        <v>#REF!</v>
      </c>
      <c r="AW62" s="1182" t="e">
        <f t="shared" si="4"/>
        <v>#REF!</v>
      </c>
      <c r="AX62" s="1182" t="e">
        <f t="shared" si="4"/>
        <v>#REF!</v>
      </c>
      <c r="AY62" s="1182" t="e">
        <f t="shared" si="4"/>
        <v>#REF!</v>
      </c>
      <c r="AZ62" s="1182" t="e">
        <f t="shared" si="4"/>
        <v>#REF!</v>
      </c>
      <c r="BA62" s="1182" t="e">
        <f t="shared" si="4"/>
        <v>#REF!</v>
      </c>
      <c r="BB62" s="1182" t="e">
        <f t="shared" si="4"/>
        <v>#REF!</v>
      </c>
      <c r="BC62" s="1182" t="e">
        <f t="shared" si="4"/>
        <v>#REF!</v>
      </c>
      <c r="BD62" s="1182" t="e">
        <f t="shared" si="4"/>
        <v>#REF!</v>
      </c>
      <c r="BE62" s="1182" t="e">
        <f t="shared" si="4"/>
        <v>#REF!</v>
      </c>
      <c r="BF62" s="1182" t="e">
        <f t="shared" si="4"/>
        <v>#REF!</v>
      </c>
      <c r="BG62" s="1182" t="e">
        <f t="shared" si="4"/>
        <v>#REF!</v>
      </c>
      <c r="BH62" s="1182" t="e">
        <f t="shared" si="4"/>
        <v>#REF!</v>
      </c>
      <c r="BI62" s="1172" t="e">
        <f>NPV($D$49,F62:BH62)</f>
        <v>#REF!</v>
      </c>
      <c r="BJ62" s="96"/>
      <c r="BK62" s="96"/>
      <c r="BL62" s="96"/>
      <c r="BM62" s="96"/>
      <c r="BN62" s="96"/>
      <c r="BO62" s="96"/>
    </row>
    <row r="63" spans="2:67" ht="12.75">
      <c r="C63" s="1183"/>
      <c r="D63" s="467"/>
      <c r="E63" s="467"/>
      <c r="F63" s="467"/>
      <c r="G63" s="467"/>
      <c r="H63" s="467"/>
      <c r="I63" s="467"/>
      <c r="J63" s="467"/>
      <c r="K63" s="467"/>
      <c r="L63" s="467"/>
      <c r="M63" s="467"/>
      <c r="N63" s="467"/>
      <c r="O63" s="467"/>
      <c r="P63" s="467"/>
      <c r="Q63" s="467"/>
      <c r="R63" s="467"/>
      <c r="BJ63" s="96"/>
      <c r="BK63" s="96"/>
      <c r="BL63" s="96"/>
      <c r="BM63" s="96"/>
      <c r="BN63" s="96"/>
      <c r="BO63" s="96"/>
    </row>
    <row r="64" spans="2:67" ht="12.75">
      <c r="C64" s="1164"/>
      <c r="D64" s="96"/>
      <c r="E64" s="96"/>
      <c r="F64" s="1184"/>
      <c r="G64" s="1184"/>
      <c r="H64" s="1184"/>
      <c r="I64" s="1184"/>
      <c r="J64" s="1184"/>
      <c r="K64" s="1184"/>
      <c r="L64" s="1184"/>
      <c r="M64" s="1184"/>
      <c r="N64" s="1184"/>
      <c r="O64" s="1184"/>
      <c r="P64" s="1184"/>
      <c r="Q64" s="1184"/>
      <c r="R64" s="1184"/>
      <c r="S64" s="1184"/>
      <c r="T64" s="1184"/>
      <c r="U64" s="1184"/>
      <c r="V64" s="1184"/>
      <c r="W64" s="1184"/>
      <c r="X64" s="1184"/>
      <c r="Y64" s="1184"/>
      <c r="Z64" s="1184"/>
      <c r="AA64" s="1184"/>
      <c r="AB64" s="1184"/>
      <c r="AC64" s="1184"/>
      <c r="AD64" s="1184"/>
      <c r="AE64" s="1184"/>
      <c r="AF64" s="1184"/>
      <c r="AG64" s="1184"/>
      <c r="AH64" s="1184"/>
      <c r="AI64" s="1184"/>
      <c r="AJ64" s="1184"/>
      <c r="AK64" s="1184"/>
      <c r="AL64" s="1184"/>
      <c r="AM64" s="1184"/>
      <c r="AN64" s="1184"/>
      <c r="AO64" s="1184"/>
      <c r="AP64" s="1184"/>
      <c r="AQ64" s="1184"/>
      <c r="AR64" s="1184"/>
      <c r="AS64" s="1184"/>
      <c r="AT64" s="1184"/>
      <c r="AU64" s="1184"/>
      <c r="AV64" s="1184"/>
      <c r="AW64" s="1184"/>
      <c r="AX64" s="1184"/>
      <c r="AY64" s="1184"/>
      <c r="AZ64" s="1184"/>
      <c r="BA64" s="1184"/>
      <c r="BB64" s="1184"/>
      <c r="BC64" s="1184"/>
      <c r="BD64" s="1184"/>
      <c r="BE64" s="1184"/>
      <c r="BF64" s="1184"/>
      <c r="BG64" s="1184"/>
      <c r="BH64" s="1184"/>
      <c r="BI64" s="1172"/>
      <c r="BJ64" s="96"/>
      <c r="BK64" s="96"/>
      <c r="BL64" s="96"/>
      <c r="BM64" s="96"/>
      <c r="BN64" s="96"/>
      <c r="BO64" s="96"/>
    </row>
    <row r="65" spans="2:67" ht="12.75">
      <c r="C65" s="1165" t="s">
        <v>283</v>
      </c>
      <c r="D65" s="1166"/>
      <c r="E65" s="1167" t="s">
        <v>263</v>
      </c>
      <c r="F65" s="1168">
        <v>2014</v>
      </c>
      <c r="G65" s="1168">
        <f t="shared" ref="G65:BH65" si="5">F65+1</f>
        <v>2015</v>
      </c>
      <c r="H65" s="1168">
        <f t="shared" si="5"/>
        <v>2016</v>
      </c>
      <c r="I65" s="1168">
        <f t="shared" si="5"/>
        <v>2017</v>
      </c>
      <c r="J65" s="1168">
        <f t="shared" si="5"/>
        <v>2018</v>
      </c>
      <c r="K65" s="1168">
        <f t="shared" si="5"/>
        <v>2019</v>
      </c>
      <c r="L65" s="1168">
        <f t="shared" si="5"/>
        <v>2020</v>
      </c>
      <c r="M65" s="1168">
        <f t="shared" si="5"/>
        <v>2021</v>
      </c>
      <c r="N65" s="1168">
        <f>M65+1</f>
        <v>2022</v>
      </c>
      <c r="O65" s="1168">
        <f t="shared" si="5"/>
        <v>2023</v>
      </c>
      <c r="P65" s="1168">
        <f t="shared" si="5"/>
        <v>2024</v>
      </c>
      <c r="Q65" s="1168">
        <f t="shared" si="5"/>
        <v>2025</v>
      </c>
      <c r="R65" s="1168">
        <f t="shared" si="5"/>
        <v>2026</v>
      </c>
      <c r="S65" s="1068">
        <f>R65+1</f>
        <v>2027</v>
      </c>
      <c r="T65" s="1068">
        <f t="shared" si="5"/>
        <v>2028</v>
      </c>
      <c r="U65" s="1068">
        <f t="shared" si="5"/>
        <v>2029</v>
      </c>
      <c r="V65" s="1068">
        <f t="shared" si="5"/>
        <v>2030</v>
      </c>
      <c r="W65" s="1068">
        <f t="shared" si="5"/>
        <v>2031</v>
      </c>
      <c r="X65" s="1068">
        <f t="shared" si="5"/>
        <v>2032</v>
      </c>
      <c r="Y65" s="1068">
        <f t="shared" si="5"/>
        <v>2033</v>
      </c>
      <c r="Z65" s="1068">
        <f t="shared" si="5"/>
        <v>2034</v>
      </c>
      <c r="AA65" s="1068">
        <f t="shared" si="5"/>
        <v>2035</v>
      </c>
      <c r="AB65" s="1068">
        <f t="shared" si="5"/>
        <v>2036</v>
      </c>
      <c r="AC65" s="1068">
        <f t="shared" si="5"/>
        <v>2037</v>
      </c>
      <c r="AD65" s="1068">
        <f t="shared" si="5"/>
        <v>2038</v>
      </c>
      <c r="AE65" s="1068">
        <f t="shared" si="5"/>
        <v>2039</v>
      </c>
      <c r="AF65" s="1068">
        <f t="shared" si="5"/>
        <v>2040</v>
      </c>
      <c r="AG65" s="1068">
        <f t="shared" si="5"/>
        <v>2041</v>
      </c>
      <c r="AH65" s="1068">
        <f t="shared" si="5"/>
        <v>2042</v>
      </c>
      <c r="AI65" s="1068">
        <f t="shared" si="5"/>
        <v>2043</v>
      </c>
      <c r="AJ65" s="1068">
        <f t="shared" si="5"/>
        <v>2044</v>
      </c>
      <c r="AK65" s="1068">
        <f t="shared" si="5"/>
        <v>2045</v>
      </c>
      <c r="AL65" s="1068">
        <f t="shared" si="5"/>
        <v>2046</v>
      </c>
      <c r="AM65" s="1068">
        <f t="shared" si="5"/>
        <v>2047</v>
      </c>
      <c r="AN65" s="1068">
        <f t="shared" si="5"/>
        <v>2048</v>
      </c>
      <c r="AO65" s="1068">
        <f t="shared" si="5"/>
        <v>2049</v>
      </c>
      <c r="AP65" s="1068">
        <f t="shared" si="5"/>
        <v>2050</v>
      </c>
      <c r="AQ65" s="1068">
        <f t="shared" si="5"/>
        <v>2051</v>
      </c>
      <c r="AR65" s="1068">
        <f t="shared" si="5"/>
        <v>2052</v>
      </c>
      <c r="AS65" s="1068">
        <f t="shared" si="5"/>
        <v>2053</v>
      </c>
      <c r="AT65" s="1068">
        <f t="shared" si="5"/>
        <v>2054</v>
      </c>
      <c r="AU65" s="1068">
        <f t="shared" si="5"/>
        <v>2055</v>
      </c>
      <c r="AV65" s="1068">
        <f t="shared" si="5"/>
        <v>2056</v>
      </c>
      <c r="AW65" s="1068">
        <f t="shared" si="5"/>
        <v>2057</v>
      </c>
      <c r="AX65" s="1068">
        <f t="shared" si="5"/>
        <v>2058</v>
      </c>
      <c r="AY65" s="1068">
        <f t="shared" si="5"/>
        <v>2059</v>
      </c>
      <c r="AZ65" s="1068">
        <f t="shared" si="5"/>
        <v>2060</v>
      </c>
      <c r="BA65" s="1068">
        <f t="shared" si="5"/>
        <v>2061</v>
      </c>
      <c r="BB65" s="1068">
        <f t="shared" si="5"/>
        <v>2062</v>
      </c>
      <c r="BC65" s="1068">
        <f t="shared" si="5"/>
        <v>2063</v>
      </c>
      <c r="BD65" s="1068">
        <f t="shared" si="5"/>
        <v>2064</v>
      </c>
      <c r="BE65" s="1068">
        <f t="shared" si="5"/>
        <v>2065</v>
      </c>
      <c r="BF65" s="1068">
        <f t="shared" si="5"/>
        <v>2066</v>
      </c>
      <c r="BG65" s="1068">
        <f t="shared" si="5"/>
        <v>2067</v>
      </c>
      <c r="BH65" s="1068">
        <f t="shared" si="5"/>
        <v>2068</v>
      </c>
      <c r="BI65" s="1169" t="s">
        <v>4</v>
      </c>
      <c r="BJ65" s="96"/>
      <c r="BK65" s="96"/>
      <c r="BL65" s="96"/>
      <c r="BM65" s="96"/>
      <c r="BN65" s="96"/>
      <c r="BO65" s="96"/>
    </row>
    <row r="66" spans="2:67" ht="12.75">
      <c r="C66" s="2144" t="s">
        <v>284</v>
      </c>
      <c r="D66" s="2149"/>
      <c r="E66" s="2149"/>
      <c r="F66" s="467"/>
      <c r="G66" s="467"/>
      <c r="H66" s="467"/>
      <c r="I66" s="467"/>
      <c r="J66" s="467"/>
      <c r="K66" s="467"/>
      <c r="L66" s="467"/>
      <c r="M66" s="467"/>
      <c r="N66" s="467"/>
      <c r="O66" s="467"/>
      <c r="P66" s="467"/>
      <c r="Q66" s="467"/>
      <c r="R66" s="467"/>
      <c r="BI66" s="1185"/>
      <c r="BJ66" s="96"/>
      <c r="BK66" s="96"/>
      <c r="BL66" s="96"/>
      <c r="BM66" s="96"/>
      <c r="BN66" s="96"/>
      <c r="BO66" s="96"/>
    </row>
    <row r="67" spans="2:67" ht="12.75">
      <c r="C67" s="1170"/>
      <c r="D67" s="1028" t="s">
        <v>566</v>
      </c>
      <c r="E67" s="96" t="s">
        <v>266</v>
      </c>
      <c r="F67" s="1186" t="e">
        <f>IF(AND(F65+1&gt;#REF!,F65&lt;#REF!+#REF!),#REF!,0)</f>
        <v>#REF!</v>
      </c>
      <c r="G67" s="1186"/>
      <c r="H67" s="1186"/>
      <c r="I67" s="1186"/>
      <c r="J67" s="1186"/>
      <c r="K67" s="1186"/>
      <c r="L67" s="1186"/>
      <c r="M67" s="1186"/>
      <c r="N67" s="1186"/>
      <c r="O67" s="1186"/>
      <c r="P67" s="1186"/>
      <c r="Q67" s="1186"/>
      <c r="R67" s="1186"/>
      <c r="S67" s="1186"/>
      <c r="T67" s="1186"/>
      <c r="U67" s="1186"/>
      <c r="V67" s="1186"/>
      <c r="W67" s="1186"/>
      <c r="X67" s="1186"/>
      <c r="Y67" s="1186"/>
      <c r="Z67" s="1186"/>
      <c r="AA67" s="1186"/>
      <c r="AB67" s="1186" t="e">
        <f>IF(AND(AB65+1&gt;#REF!,AB65&lt;#REF!+#REF!),#REF!,0)</f>
        <v>#REF!</v>
      </c>
      <c r="AC67" s="1186" t="e">
        <f>IF(AND(AC65+1&gt;#REF!,AC65&lt;#REF!+#REF!),#REF!,0)</f>
        <v>#REF!</v>
      </c>
      <c r="AD67" s="1186" t="e">
        <f>IF(AND(AD65+1&gt;#REF!,AD65&lt;#REF!+#REF!),#REF!,0)</f>
        <v>#REF!</v>
      </c>
      <c r="AE67" s="1186" t="e">
        <f>IF(AND(AE65+1&gt;#REF!,AE65&lt;#REF!+#REF!),#REF!,0)</f>
        <v>#REF!</v>
      </c>
      <c r="AF67" s="1186" t="e">
        <f>IF(AND(AF65+1&gt;#REF!,AF65&lt;#REF!+#REF!),#REF!,0)</f>
        <v>#REF!</v>
      </c>
      <c r="AG67" s="1186" t="e">
        <f>IF(AND(AG65+1&gt;#REF!,AG65&lt;#REF!+#REF!),#REF!,0)</f>
        <v>#REF!</v>
      </c>
      <c r="AH67" s="1186" t="e">
        <f>IF(AND(AH65+1&gt;#REF!,AH65&lt;#REF!+#REF!),#REF!,0)</f>
        <v>#REF!</v>
      </c>
      <c r="AI67" s="1186" t="e">
        <f>IF(AND(AI65+1&gt;#REF!,AI65&lt;#REF!+#REF!),#REF!,0)</f>
        <v>#REF!</v>
      </c>
      <c r="AJ67" s="1186" t="e">
        <f>IF(AND(AJ65+1&gt;#REF!,AJ65&lt;#REF!+#REF!),#REF!,0)</f>
        <v>#REF!</v>
      </c>
      <c r="AK67" s="1186" t="e">
        <f>IF(AND(AK65+1&gt;#REF!,AK65&lt;#REF!+#REF!),#REF!,0)</f>
        <v>#REF!</v>
      </c>
      <c r="AL67" s="1186" t="e">
        <f>IF(AND(AL65+1&gt;#REF!,AL65&lt;#REF!+#REF!),#REF!,0)</f>
        <v>#REF!</v>
      </c>
      <c r="AM67" s="1186" t="e">
        <f>IF(AND(AM65+1&gt;#REF!,AM65&lt;#REF!+#REF!),#REF!,0)</f>
        <v>#REF!</v>
      </c>
      <c r="AN67" s="1186" t="e">
        <f>IF(AND(AN65+1&gt;#REF!,AN65&lt;#REF!+#REF!),#REF!,0)</f>
        <v>#REF!</v>
      </c>
      <c r="AO67" s="1186" t="e">
        <f>IF(AND(AO65+1&gt;#REF!,AO65&lt;#REF!+#REF!),#REF!,0)</f>
        <v>#REF!</v>
      </c>
      <c r="AP67" s="1186" t="e">
        <f>IF(AND(AP65+1&gt;#REF!,AP65&lt;#REF!+#REF!),#REF!,0)</f>
        <v>#REF!</v>
      </c>
      <c r="AQ67" s="1186" t="e">
        <f>IF(AND(AQ65+1&gt;#REF!,AQ65&lt;#REF!+#REF!),#REF!,0)</f>
        <v>#REF!</v>
      </c>
      <c r="AR67" s="1186" t="e">
        <f>IF(AND(AR65+1&gt;#REF!,AR65&lt;#REF!+#REF!),#REF!,0)</f>
        <v>#REF!</v>
      </c>
      <c r="AS67" s="1186" t="e">
        <f>IF(AND(AS65+1&gt;#REF!,AS65&lt;#REF!+#REF!),#REF!,0)</f>
        <v>#REF!</v>
      </c>
      <c r="AT67" s="1186" t="e">
        <f>IF(AND(AT65+1&gt;#REF!,AT65&lt;#REF!+#REF!),#REF!,0)</f>
        <v>#REF!</v>
      </c>
      <c r="AU67" s="1186" t="e">
        <f>IF(AND(AU65+1&gt;#REF!,AU65&lt;#REF!+#REF!),#REF!,0)</f>
        <v>#REF!</v>
      </c>
      <c r="AV67" s="1186" t="e">
        <f>IF(AND(AV65+1&gt;#REF!,AV65&lt;#REF!+#REF!),#REF!,0)</f>
        <v>#REF!</v>
      </c>
      <c r="AW67" s="1186" t="e">
        <f>IF(AND(AW65+1&gt;#REF!,AW65&lt;#REF!+#REF!),#REF!,0)</f>
        <v>#REF!</v>
      </c>
      <c r="AX67" s="1186" t="e">
        <f>IF(AND(AX65+1&gt;#REF!,AX65&lt;#REF!+#REF!),#REF!,0)</f>
        <v>#REF!</v>
      </c>
      <c r="AY67" s="1186" t="e">
        <f>IF(AND(AY65+1&gt;#REF!,AY65&lt;#REF!+#REF!),#REF!,0)</f>
        <v>#REF!</v>
      </c>
      <c r="AZ67" s="1186" t="e">
        <f>IF(AND(AZ65+1&gt;#REF!,AZ65&lt;#REF!+#REF!),#REF!,0)</f>
        <v>#REF!</v>
      </c>
      <c r="BA67" s="1186" t="e">
        <f>IF(AND(BA65+1&gt;#REF!,BA65&lt;#REF!+#REF!),#REF!,0)</f>
        <v>#REF!</v>
      </c>
      <c r="BB67" s="1186" t="e">
        <f>IF(AND(BB65+1&gt;#REF!,BB65&lt;#REF!+#REF!),#REF!,0)</f>
        <v>#REF!</v>
      </c>
      <c r="BC67" s="1186" t="e">
        <f>IF(AND(BC65+1&gt;#REF!,BC65&lt;#REF!+#REF!),#REF!,0)</f>
        <v>#REF!</v>
      </c>
      <c r="BD67" s="1186" t="e">
        <f>IF(AND(BD65+1&gt;#REF!,BD65&lt;#REF!+#REF!),#REF!,0)</f>
        <v>#REF!</v>
      </c>
      <c r="BE67" s="1186" t="e">
        <f>IF(AND(BE65+1&gt;#REF!,BE65&lt;#REF!+#REF!),#REF!,0)</f>
        <v>#REF!</v>
      </c>
      <c r="BF67" s="1186" t="e">
        <f>IF(AND(BF65+1&gt;#REF!,BF65&lt;#REF!+#REF!),#REF!,0)</f>
        <v>#REF!</v>
      </c>
      <c r="BG67" s="1186" t="e">
        <f>IF(AND(BG65+1&gt;#REF!,BG65&lt;#REF!+#REF!),#REF!,0)</f>
        <v>#REF!</v>
      </c>
      <c r="BH67" s="1186" t="e">
        <f>IF(AND(BH65+1&gt;#REF!,BH65&lt;#REF!+#REF!),#REF!,0)</f>
        <v>#REF!</v>
      </c>
      <c r="BI67" s="1185"/>
      <c r="BJ67" s="96"/>
      <c r="BK67" s="96"/>
      <c r="BL67" s="96"/>
      <c r="BM67" s="96"/>
      <c r="BN67" s="96"/>
      <c r="BO67" s="96"/>
    </row>
    <row r="68" spans="2:67" ht="12.75">
      <c r="C68" s="1170" t="s">
        <v>277</v>
      </c>
      <c r="D68" s="96" t="s">
        <v>564</v>
      </c>
      <c r="E68" s="96" t="s">
        <v>264</v>
      </c>
      <c r="F68" s="1173">
        <v>0</v>
      </c>
      <c r="G68" s="1173">
        <f t="shared" ref="G68:AA68" si="6">$P$29</f>
        <v>0</v>
      </c>
      <c r="H68" s="1173">
        <f t="shared" si="6"/>
        <v>0</v>
      </c>
      <c r="I68" s="1173">
        <f t="shared" si="6"/>
        <v>0</v>
      </c>
      <c r="J68" s="1173">
        <f t="shared" si="6"/>
        <v>0</v>
      </c>
      <c r="K68" s="1173">
        <f t="shared" si="6"/>
        <v>0</v>
      </c>
      <c r="L68" s="1173">
        <f t="shared" si="6"/>
        <v>0</v>
      </c>
      <c r="M68" s="1173">
        <f t="shared" si="6"/>
        <v>0</v>
      </c>
      <c r="N68" s="1173">
        <f t="shared" si="6"/>
        <v>0</v>
      </c>
      <c r="O68" s="1173">
        <f t="shared" si="6"/>
        <v>0</v>
      </c>
      <c r="P68" s="1173">
        <f t="shared" si="6"/>
        <v>0</v>
      </c>
      <c r="Q68" s="1173">
        <f t="shared" si="6"/>
        <v>0</v>
      </c>
      <c r="R68" s="1173">
        <f t="shared" si="6"/>
        <v>0</v>
      </c>
      <c r="S68" s="1173">
        <f t="shared" si="6"/>
        <v>0</v>
      </c>
      <c r="T68" s="1173">
        <f t="shared" si="6"/>
        <v>0</v>
      </c>
      <c r="U68" s="1173">
        <f t="shared" si="6"/>
        <v>0</v>
      </c>
      <c r="V68" s="1173">
        <f t="shared" si="6"/>
        <v>0</v>
      </c>
      <c r="W68" s="1173">
        <f t="shared" si="6"/>
        <v>0</v>
      </c>
      <c r="X68" s="1173">
        <f t="shared" si="6"/>
        <v>0</v>
      </c>
      <c r="Y68" s="1173">
        <f t="shared" si="6"/>
        <v>0</v>
      </c>
      <c r="Z68" s="1173">
        <f t="shared" si="6"/>
        <v>0</v>
      </c>
      <c r="AA68" s="1173">
        <f t="shared" si="6"/>
        <v>0</v>
      </c>
      <c r="AB68" s="1173">
        <v>0</v>
      </c>
      <c r="AC68" s="1173">
        <v>0</v>
      </c>
      <c r="AD68" s="1173">
        <v>0</v>
      </c>
      <c r="AE68" s="1173">
        <v>0</v>
      </c>
      <c r="AF68" s="1173">
        <v>0</v>
      </c>
      <c r="AG68" s="1173">
        <v>0</v>
      </c>
      <c r="AH68" s="1173">
        <v>0</v>
      </c>
      <c r="AI68" s="1173">
        <v>0</v>
      </c>
      <c r="AJ68" s="1173">
        <v>0</v>
      </c>
      <c r="AK68" s="1173">
        <v>0</v>
      </c>
      <c r="AL68" s="1173">
        <v>0</v>
      </c>
      <c r="AM68" s="1173">
        <v>0</v>
      </c>
      <c r="AN68" s="1173">
        <v>0</v>
      </c>
      <c r="AO68" s="1173">
        <v>0</v>
      </c>
      <c r="AP68" s="1173">
        <v>0</v>
      </c>
      <c r="AQ68" s="1173">
        <v>0</v>
      </c>
      <c r="AR68" s="1173">
        <v>0</v>
      </c>
      <c r="AS68" s="1173">
        <v>0</v>
      </c>
      <c r="AT68" s="1173">
        <v>0</v>
      </c>
      <c r="AU68" s="1173">
        <v>0</v>
      </c>
      <c r="AV68" s="1173">
        <v>0</v>
      </c>
      <c r="AW68" s="1173">
        <v>0</v>
      </c>
      <c r="AX68" s="1173">
        <v>0</v>
      </c>
      <c r="AY68" s="1173">
        <v>0</v>
      </c>
      <c r="AZ68" s="1173">
        <v>0</v>
      </c>
      <c r="BA68" s="1173">
        <v>0</v>
      </c>
      <c r="BB68" s="1173">
        <v>0</v>
      </c>
      <c r="BC68" s="1173">
        <v>0</v>
      </c>
      <c r="BD68" s="1173">
        <v>0</v>
      </c>
      <c r="BE68" s="1173">
        <v>0</v>
      </c>
      <c r="BF68" s="1173">
        <v>0</v>
      </c>
      <c r="BG68" s="1173">
        <v>0</v>
      </c>
      <c r="BH68" s="1173">
        <v>0</v>
      </c>
      <c r="BI68" s="1172">
        <f>NPV($D$49,F68:BH68)</f>
        <v>0</v>
      </c>
      <c r="BJ68" s="96"/>
      <c r="BK68" s="96"/>
      <c r="BL68" s="96"/>
      <c r="BM68" s="96"/>
      <c r="BN68" s="96"/>
      <c r="BO68" s="96"/>
    </row>
    <row r="69" spans="2:67" ht="12.75">
      <c r="C69" s="1170"/>
      <c r="D69" s="96" t="s">
        <v>777</v>
      </c>
      <c r="E69" s="96" t="s">
        <v>672</v>
      </c>
      <c r="F69" s="1173"/>
      <c r="G69" s="1187">
        <f t="shared" ref="G69:AA69" si="7">$J$9</f>
        <v>0</v>
      </c>
      <c r="H69" s="1187">
        <f t="shared" si="7"/>
        <v>0</v>
      </c>
      <c r="I69" s="1187">
        <f t="shared" si="7"/>
        <v>0</v>
      </c>
      <c r="J69" s="1187">
        <f t="shared" si="7"/>
        <v>0</v>
      </c>
      <c r="K69" s="1187">
        <f t="shared" si="7"/>
        <v>0</v>
      </c>
      <c r="L69" s="1187">
        <f t="shared" si="7"/>
        <v>0</v>
      </c>
      <c r="M69" s="1187">
        <f t="shared" si="7"/>
        <v>0</v>
      </c>
      <c r="N69" s="1187">
        <f t="shared" si="7"/>
        <v>0</v>
      </c>
      <c r="O69" s="1187">
        <f t="shared" si="7"/>
        <v>0</v>
      </c>
      <c r="P69" s="1187">
        <f t="shared" si="7"/>
        <v>0</v>
      </c>
      <c r="Q69" s="1187">
        <f t="shared" si="7"/>
        <v>0</v>
      </c>
      <c r="R69" s="1187">
        <f t="shared" si="7"/>
        <v>0</v>
      </c>
      <c r="S69" s="1187">
        <f t="shared" si="7"/>
        <v>0</v>
      </c>
      <c r="T69" s="1187">
        <f t="shared" si="7"/>
        <v>0</v>
      </c>
      <c r="U69" s="1187">
        <f t="shared" si="7"/>
        <v>0</v>
      </c>
      <c r="V69" s="1187">
        <f t="shared" si="7"/>
        <v>0</v>
      </c>
      <c r="W69" s="1187">
        <f t="shared" si="7"/>
        <v>0</v>
      </c>
      <c r="X69" s="1187">
        <f t="shared" si="7"/>
        <v>0</v>
      </c>
      <c r="Y69" s="1187">
        <f t="shared" si="7"/>
        <v>0</v>
      </c>
      <c r="Z69" s="1187">
        <f t="shared" si="7"/>
        <v>0</v>
      </c>
      <c r="AA69" s="1187">
        <f t="shared" si="7"/>
        <v>0</v>
      </c>
      <c r="AB69" s="1173"/>
      <c r="AC69" s="1173"/>
      <c r="AD69" s="1173"/>
      <c r="AE69" s="1173"/>
      <c r="AF69" s="1173"/>
      <c r="AG69" s="1173"/>
      <c r="AH69" s="1173"/>
      <c r="AI69" s="1173"/>
      <c r="AJ69" s="1173"/>
      <c r="AK69" s="1173"/>
      <c r="AL69" s="1173"/>
      <c r="AM69" s="1173"/>
      <c r="AN69" s="1173"/>
      <c r="AO69" s="1173"/>
      <c r="AP69" s="1173"/>
      <c r="AQ69" s="1173"/>
      <c r="AR69" s="1173"/>
      <c r="AS69" s="1173"/>
      <c r="AT69" s="1173"/>
      <c r="AU69" s="1173"/>
      <c r="AV69" s="1173"/>
      <c r="AW69" s="1173"/>
      <c r="AX69" s="1173"/>
      <c r="AY69" s="1173"/>
      <c r="AZ69" s="1173"/>
      <c r="BA69" s="1173"/>
      <c r="BB69" s="1173"/>
      <c r="BC69" s="1173"/>
      <c r="BD69" s="1173"/>
      <c r="BE69" s="1173"/>
      <c r="BF69" s="1173"/>
      <c r="BG69" s="1173"/>
      <c r="BH69" s="1173"/>
      <c r="BI69" s="1172"/>
      <c r="BJ69" s="96"/>
      <c r="BK69" s="96"/>
      <c r="BL69" s="96"/>
      <c r="BM69" s="96"/>
      <c r="BN69" s="96"/>
      <c r="BO69" s="96"/>
    </row>
    <row r="70" spans="2:67" ht="12.75">
      <c r="C70" s="1188"/>
      <c r="D70" s="96" t="s">
        <v>565</v>
      </c>
      <c r="E70" s="96" t="s">
        <v>264</v>
      </c>
      <c r="F70" s="1189" t="e">
        <f>F67*#REF!</f>
        <v>#REF!</v>
      </c>
      <c r="G70" s="1189" t="e">
        <f>G67*#REF!</f>
        <v>#REF!</v>
      </c>
      <c r="H70" s="1189" t="e">
        <f>H67*#REF!</f>
        <v>#REF!</v>
      </c>
      <c r="I70" s="1189" t="e">
        <f>I67*#REF!</f>
        <v>#REF!</v>
      </c>
      <c r="J70" s="1189" t="e">
        <f>J67*#REF!</f>
        <v>#REF!</v>
      </c>
      <c r="K70" s="1189" t="e">
        <f>K67*#REF!</f>
        <v>#REF!</v>
      </c>
      <c r="L70" s="1189" t="e">
        <f>L67*#REF!</f>
        <v>#REF!</v>
      </c>
      <c r="M70" s="1189" t="e">
        <f>M67*#REF!</f>
        <v>#REF!</v>
      </c>
      <c r="N70" s="1189" t="e">
        <f>N67*#REF!</f>
        <v>#REF!</v>
      </c>
      <c r="O70" s="1189" t="e">
        <f>O67*#REF!</f>
        <v>#REF!</v>
      </c>
      <c r="P70" s="1189" t="e">
        <f>P67*#REF!</f>
        <v>#REF!</v>
      </c>
      <c r="Q70" s="1189" t="e">
        <f>Q67*#REF!</f>
        <v>#REF!</v>
      </c>
      <c r="R70" s="1189" t="e">
        <f>R67*#REF!</f>
        <v>#REF!</v>
      </c>
      <c r="S70" s="1189" t="e">
        <f>S67*#REF!</f>
        <v>#REF!</v>
      </c>
      <c r="T70" s="1189" t="e">
        <f>T67*#REF!</f>
        <v>#REF!</v>
      </c>
      <c r="U70" s="1189" t="e">
        <f>U67*#REF!</f>
        <v>#REF!</v>
      </c>
      <c r="V70" s="1189" t="e">
        <f>V67*#REF!</f>
        <v>#REF!</v>
      </c>
      <c r="W70" s="1189" t="e">
        <f>W67*#REF!</f>
        <v>#REF!</v>
      </c>
      <c r="X70" s="1189" t="e">
        <f>X67*#REF!</f>
        <v>#REF!</v>
      </c>
      <c r="Y70" s="1189" t="e">
        <f>Y67*#REF!</f>
        <v>#REF!</v>
      </c>
      <c r="Z70" s="1189" t="e">
        <f>Z67*#REF!</f>
        <v>#REF!</v>
      </c>
      <c r="AA70" s="1189" t="e">
        <f>AA67*#REF!</f>
        <v>#REF!</v>
      </c>
      <c r="AB70" s="1189" t="e">
        <f>AB67*#REF!</f>
        <v>#REF!</v>
      </c>
      <c r="AC70" s="1189" t="e">
        <f>AC67*#REF!</f>
        <v>#REF!</v>
      </c>
      <c r="AD70" s="1189" t="e">
        <f>AD67*#REF!</f>
        <v>#REF!</v>
      </c>
      <c r="AE70" s="1189" t="e">
        <f>AE67*#REF!</f>
        <v>#REF!</v>
      </c>
      <c r="AF70" s="1189" t="e">
        <f>AF67*#REF!</f>
        <v>#REF!</v>
      </c>
      <c r="AG70" s="1189" t="e">
        <f>AG67*#REF!</f>
        <v>#REF!</v>
      </c>
      <c r="AH70" s="1189" t="e">
        <f>AH67*#REF!</f>
        <v>#REF!</v>
      </c>
      <c r="AI70" s="1189" t="e">
        <f>AI67*#REF!</f>
        <v>#REF!</v>
      </c>
      <c r="AJ70" s="1189" t="e">
        <f>AJ67*#REF!</f>
        <v>#REF!</v>
      </c>
      <c r="AK70" s="1189" t="e">
        <f>AK67*#REF!</f>
        <v>#REF!</v>
      </c>
      <c r="AL70" s="1189" t="e">
        <f>AL67*#REF!</f>
        <v>#REF!</v>
      </c>
      <c r="AM70" s="1189" t="e">
        <f>AM67*#REF!</f>
        <v>#REF!</v>
      </c>
      <c r="AN70" s="1189" t="e">
        <f>AN67*#REF!</f>
        <v>#REF!</v>
      </c>
      <c r="AO70" s="1189" t="e">
        <f>AO67*#REF!</f>
        <v>#REF!</v>
      </c>
      <c r="AP70" s="1189" t="e">
        <f>AP67*#REF!</f>
        <v>#REF!</v>
      </c>
      <c r="AQ70" s="1189" t="e">
        <f>AQ67*#REF!</f>
        <v>#REF!</v>
      </c>
      <c r="AR70" s="1189" t="e">
        <f>AR67*#REF!</f>
        <v>#REF!</v>
      </c>
      <c r="AS70" s="1189" t="e">
        <f>AS67*#REF!</f>
        <v>#REF!</v>
      </c>
      <c r="AT70" s="1189" t="e">
        <f>AT67*#REF!</f>
        <v>#REF!</v>
      </c>
      <c r="AU70" s="1189" t="e">
        <f>AU67*#REF!</f>
        <v>#REF!</v>
      </c>
      <c r="AV70" s="1189" t="e">
        <f>AV67*#REF!</f>
        <v>#REF!</v>
      </c>
      <c r="AW70" s="1189" t="e">
        <f>AW67*#REF!</f>
        <v>#REF!</v>
      </c>
      <c r="AX70" s="1189" t="e">
        <f>AX67*#REF!</f>
        <v>#REF!</v>
      </c>
      <c r="AY70" s="1189" t="e">
        <f>AY67*#REF!</f>
        <v>#REF!</v>
      </c>
      <c r="AZ70" s="1189" t="e">
        <f>AZ67*#REF!</f>
        <v>#REF!</v>
      </c>
      <c r="BA70" s="1189" t="e">
        <f>BA67*#REF!</f>
        <v>#REF!</v>
      </c>
      <c r="BB70" s="1189" t="e">
        <f>BB67*#REF!</f>
        <v>#REF!</v>
      </c>
      <c r="BC70" s="1189" t="e">
        <f>BC67*#REF!</f>
        <v>#REF!</v>
      </c>
      <c r="BD70" s="1189" t="e">
        <f>BD67*#REF!</f>
        <v>#REF!</v>
      </c>
      <c r="BE70" s="1189" t="e">
        <f>BE67*#REF!</f>
        <v>#REF!</v>
      </c>
      <c r="BF70" s="1189" t="e">
        <f>BF67*#REF!</f>
        <v>#REF!</v>
      </c>
      <c r="BG70" s="1189" t="e">
        <f>BG67*#REF!</f>
        <v>#REF!</v>
      </c>
      <c r="BH70" s="1189" t="e">
        <f>BH67*#REF!</f>
        <v>#REF!</v>
      </c>
      <c r="BI70" s="1172" t="e">
        <f>NPV($D$49,F70:BH70)</f>
        <v>#REF!</v>
      </c>
      <c r="BJ70" s="96"/>
      <c r="BK70" s="96"/>
      <c r="BL70" s="96"/>
      <c r="BM70" s="96"/>
      <c r="BN70" s="96"/>
      <c r="BO70" s="96"/>
    </row>
    <row r="71" spans="2:67" s="13" customFormat="1" ht="12.75">
      <c r="B71" s="1190"/>
      <c r="C71" s="1174"/>
      <c r="D71" s="12" t="s">
        <v>371</v>
      </c>
      <c r="E71" s="12" t="s">
        <v>264</v>
      </c>
      <c r="F71" s="1191" t="e">
        <f>F68+F70</f>
        <v>#REF!</v>
      </c>
      <c r="G71" s="1191" t="e">
        <f t="shared" ref="G71:BH71" si="8">G68+G70</f>
        <v>#REF!</v>
      </c>
      <c r="H71" s="1191" t="e">
        <f t="shared" si="8"/>
        <v>#REF!</v>
      </c>
      <c r="I71" s="1191" t="e">
        <f t="shared" si="8"/>
        <v>#REF!</v>
      </c>
      <c r="J71" s="1191" t="e">
        <f t="shared" si="8"/>
        <v>#REF!</v>
      </c>
      <c r="K71" s="1191" t="e">
        <f t="shared" si="8"/>
        <v>#REF!</v>
      </c>
      <c r="L71" s="1191" t="e">
        <f t="shared" si="8"/>
        <v>#REF!</v>
      </c>
      <c r="M71" s="1191" t="e">
        <f t="shared" si="8"/>
        <v>#REF!</v>
      </c>
      <c r="N71" s="1191" t="e">
        <f t="shared" si="8"/>
        <v>#REF!</v>
      </c>
      <c r="O71" s="1191" t="e">
        <f t="shared" si="8"/>
        <v>#REF!</v>
      </c>
      <c r="P71" s="1191" t="e">
        <f t="shared" si="8"/>
        <v>#REF!</v>
      </c>
      <c r="Q71" s="1191" t="e">
        <f t="shared" si="8"/>
        <v>#REF!</v>
      </c>
      <c r="R71" s="1191" t="e">
        <f t="shared" si="8"/>
        <v>#REF!</v>
      </c>
      <c r="S71" s="1191" t="e">
        <f t="shared" si="8"/>
        <v>#REF!</v>
      </c>
      <c r="T71" s="1191" t="e">
        <f t="shared" si="8"/>
        <v>#REF!</v>
      </c>
      <c r="U71" s="1191" t="e">
        <f t="shared" si="8"/>
        <v>#REF!</v>
      </c>
      <c r="V71" s="1191" t="e">
        <f t="shared" si="8"/>
        <v>#REF!</v>
      </c>
      <c r="W71" s="1191" t="e">
        <f t="shared" si="8"/>
        <v>#REF!</v>
      </c>
      <c r="X71" s="1191" t="e">
        <f t="shared" si="8"/>
        <v>#REF!</v>
      </c>
      <c r="Y71" s="1191" t="e">
        <f t="shared" si="8"/>
        <v>#REF!</v>
      </c>
      <c r="Z71" s="1191" t="e">
        <f t="shared" si="8"/>
        <v>#REF!</v>
      </c>
      <c r="AA71" s="1191" t="e">
        <f t="shared" si="8"/>
        <v>#REF!</v>
      </c>
      <c r="AB71" s="1191" t="e">
        <f t="shared" si="8"/>
        <v>#REF!</v>
      </c>
      <c r="AC71" s="1191" t="e">
        <f t="shared" si="8"/>
        <v>#REF!</v>
      </c>
      <c r="AD71" s="1191" t="e">
        <f t="shared" si="8"/>
        <v>#REF!</v>
      </c>
      <c r="AE71" s="1191" t="e">
        <f t="shared" si="8"/>
        <v>#REF!</v>
      </c>
      <c r="AF71" s="1191" t="e">
        <f t="shared" si="8"/>
        <v>#REF!</v>
      </c>
      <c r="AG71" s="1191" t="e">
        <f t="shared" si="8"/>
        <v>#REF!</v>
      </c>
      <c r="AH71" s="1191" t="e">
        <f t="shared" si="8"/>
        <v>#REF!</v>
      </c>
      <c r="AI71" s="1191" t="e">
        <f t="shared" si="8"/>
        <v>#REF!</v>
      </c>
      <c r="AJ71" s="1191" t="e">
        <f t="shared" si="8"/>
        <v>#REF!</v>
      </c>
      <c r="AK71" s="1191" t="e">
        <f t="shared" si="8"/>
        <v>#REF!</v>
      </c>
      <c r="AL71" s="1191" t="e">
        <f t="shared" si="8"/>
        <v>#REF!</v>
      </c>
      <c r="AM71" s="1191" t="e">
        <f t="shared" si="8"/>
        <v>#REF!</v>
      </c>
      <c r="AN71" s="1191" t="e">
        <f t="shared" si="8"/>
        <v>#REF!</v>
      </c>
      <c r="AO71" s="1191" t="e">
        <f t="shared" si="8"/>
        <v>#REF!</v>
      </c>
      <c r="AP71" s="1191" t="e">
        <f t="shared" si="8"/>
        <v>#REF!</v>
      </c>
      <c r="AQ71" s="1191" t="e">
        <f t="shared" si="8"/>
        <v>#REF!</v>
      </c>
      <c r="AR71" s="1191" t="e">
        <f t="shared" si="8"/>
        <v>#REF!</v>
      </c>
      <c r="AS71" s="1191" t="e">
        <f t="shared" si="8"/>
        <v>#REF!</v>
      </c>
      <c r="AT71" s="1191" t="e">
        <f t="shared" si="8"/>
        <v>#REF!</v>
      </c>
      <c r="AU71" s="1191" t="e">
        <f t="shared" si="8"/>
        <v>#REF!</v>
      </c>
      <c r="AV71" s="1191" t="e">
        <f t="shared" si="8"/>
        <v>#REF!</v>
      </c>
      <c r="AW71" s="1191" t="e">
        <f t="shared" si="8"/>
        <v>#REF!</v>
      </c>
      <c r="AX71" s="1191" t="e">
        <f t="shared" si="8"/>
        <v>#REF!</v>
      </c>
      <c r="AY71" s="1191" t="e">
        <f t="shared" si="8"/>
        <v>#REF!</v>
      </c>
      <c r="AZ71" s="1191" t="e">
        <f t="shared" si="8"/>
        <v>#REF!</v>
      </c>
      <c r="BA71" s="1191" t="e">
        <f t="shared" si="8"/>
        <v>#REF!</v>
      </c>
      <c r="BB71" s="1191" t="e">
        <f t="shared" si="8"/>
        <v>#REF!</v>
      </c>
      <c r="BC71" s="1191" t="e">
        <f t="shared" si="8"/>
        <v>#REF!</v>
      </c>
      <c r="BD71" s="1191" t="e">
        <f t="shared" si="8"/>
        <v>#REF!</v>
      </c>
      <c r="BE71" s="1191" t="e">
        <f t="shared" si="8"/>
        <v>#REF!</v>
      </c>
      <c r="BF71" s="1191" t="e">
        <f t="shared" si="8"/>
        <v>#REF!</v>
      </c>
      <c r="BG71" s="1191" t="e">
        <f t="shared" si="8"/>
        <v>#REF!</v>
      </c>
      <c r="BH71" s="1191" t="e">
        <f t="shared" si="8"/>
        <v>#REF!</v>
      </c>
      <c r="BI71" s="1172" t="e">
        <f>NPV($D$49,F71:BH71)</f>
        <v>#REF!</v>
      </c>
      <c r="BJ71" s="12"/>
      <c r="BK71" s="12"/>
      <c r="BL71" s="12"/>
      <c r="BM71" s="12"/>
      <c r="BN71" s="12"/>
      <c r="BO71" s="12"/>
    </row>
    <row r="72" spans="2:67" s="96" customFormat="1" ht="12.75">
      <c r="B72" s="703"/>
      <c r="C72" s="1174"/>
      <c r="F72" s="1192"/>
      <c r="G72" s="1192"/>
      <c r="H72" s="1192"/>
      <c r="I72" s="1192"/>
      <c r="J72" s="1192"/>
      <c r="K72" s="1192"/>
      <c r="L72" s="1192"/>
      <c r="M72" s="1192"/>
      <c r="N72" s="1192"/>
      <c r="O72" s="1192"/>
      <c r="P72" s="1192"/>
      <c r="Q72" s="1192"/>
      <c r="R72" s="1192"/>
      <c r="S72" s="1192"/>
      <c r="T72" s="1192"/>
      <c r="U72" s="1192"/>
      <c r="V72" s="1192"/>
      <c r="W72" s="1192"/>
      <c r="X72" s="1192"/>
      <c r="Y72" s="1192"/>
      <c r="Z72" s="1192"/>
      <c r="AA72" s="1192"/>
      <c r="AB72" s="1192"/>
      <c r="AC72" s="1192"/>
      <c r="AD72" s="1192"/>
      <c r="AE72" s="1192"/>
      <c r="AF72" s="1192"/>
      <c r="AG72" s="1192"/>
      <c r="AH72" s="1192"/>
      <c r="AI72" s="1192"/>
      <c r="AJ72" s="1192"/>
      <c r="AK72" s="1192"/>
      <c r="AL72" s="1192"/>
      <c r="AM72" s="1192"/>
      <c r="AN72" s="1192"/>
      <c r="AO72" s="1192"/>
      <c r="AP72" s="1192"/>
      <c r="AQ72" s="1192"/>
      <c r="AR72" s="1192"/>
      <c r="AS72" s="1192"/>
      <c r="AT72" s="1192"/>
      <c r="AU72" s="1192"/>
      <c r="AV72" s="1192"/>
      <c r="AW72" s="1192"/>
      <c r="AX72" s="1192"/>
      <c r="AY72" s="1192"/>
      <c r="AZ72" s="1192"/>
      <c r="BA72" s="1192"/>
      <c r="BB72" s="1192"/>
      <c r="BC72" s="1192"/>
      <c r="BD72" s="1192"/>
      <c r="BE72" s="1192"/>
      <c r="BF72" s="1192"/>
      <c r="BG72" s="1192"/>
      <c r="BH72" s="1192"/>
      <c r="BI72" s="1172"/>
    </row>
    <row r="73" spans="2:67" ht="12.75">
      <c r="C73" s="2144" t="s">
        <v>285</v>
      </c>
      <c r="D73" s="2149"/>
      <c r="E73" s="2149"/>
      <c r="F73" s="467"/>
      <c r="G73" s="467"/>
      <c r="H73" s="467"/>
      <c r="I73" s="467"/>
      <c r="J73" s="467"/>
      <c r="K73" s="467"/>
      <c r="L73" s="467"/>
      <c r="M73" s="467"/>
      <c r="N73" s="467"/>
      <c r="O73" s="467"/>
      <c r="P73" s="467"/>
      <c r="Q73" s="467"/>
      <c r="R73" s="467"/>
      <c r="BI73" s="1185"/>
      <c r="BJ73" s="96"/>
      <c r="BK73" s="96"/>
      <c r="BL73" s="96"/>
      <c r="BM73" s="96"/>
      <c r="BN73" s="96"/>
      <c r="BO73" s="96"/>
    </row>
    <row r="74" spans="2:67" ht="12.75">
      <c r="C74" s="1170"/>
      <c r="D74" s="1028" t="s">
        <v>623</v>
      </c>
      <c r="E74" s="96" t="s">
        <v>266</v>
      </c>
      <c r="F74" s="1186" t="e">
        <f>IF(AND(F65+1&gt;#REF!,F65&lt;#REF!+#REF!),#REF!,0)</f>
        <v>#REF!</v>
      </c>
      <c r="G74" s="1186"/>
      <c r="H74" s="1186"/>
      <c r="I74" s="1186"/>
      <c r="J74" s="1186"/>
      <c r="K74" s="1186"/>
      <c r="L74" s="1186"/>
      <c r="M74" s="1186"/>
      <c r="N74" s="1186"/>
      <c r="O74" s="1186"/>
      <c r="P74" s="1186"/>
      <c r="Q74" s="1186"/>
      <c r="R74" s="1186"/>
      <c r="S74" s="1186"/>
      <c r="T74" s="1186"/>
      <c r="U74" s="1186"/>
      <c r="V74" s="1186"/>
      <c r="W74" s="1186"/>
      <c r="X74" s="1186"/>
      <c r="Y74" s="1186"/>
      <c r="Z74" s="1186"/>
      <c r="AA74" s="1186"/>
      <c r="AB74" s="1186" t="e">
        <f>IF(AND(AB65+1&gt;#REF!,AB65&lt;#REF!+#REF!),#REF!,0)</f>
        <v>#REF!</v>
      </c>
      <c r="AC74" s="1186" t="e">
        <f>IF(AND(AC65+1&gt;#REF!,AC65&lt;#REF!+#REF!),#REF!,0)</f>
        <v>#REF!</v>
      </c>
      <c r="AD74" s="1186" t="e">
        <f>IF(AND(AD65+1&gt;#REF!,AD65&lt;#REF!+#REF!),#REF!,0)</f>
        <v>#REF!</v>
      </c>
      <c r="AE74" s="1186" t="e">
        <f>IF(AND(AE65+1&gt;#REF!,AE65&lt;#REF!+#REF!),#REF!,0)</f>
        <v>#REF!</v>
      </c>
      <c r="AF74" s="1186" t="e">
        <f>IF(AND(AF65+1&gt;#REF!,AF65&lt;#REF!+#REF!),#REF!,0)</f>
        <v>#REF!</v>
      </c>
      <c r="AG74" s="1186" t="e">
        <f>IF(AND(AG65+1&gt;#REF!,AG65&lt;#REF!+#REF!),#REF!,0)</f>
        <v>#REF!</v>
      </c>
      <c r="AH74" s="1186" t="e">
        <f>IF(AND(AH65+1&gt;#REF!,AH65&lt;#REF!+#REF!),#REF!,0)</f>
        <v>#REF!</v>
      </c>
      <c r="AI74" s="1186" t="e">
        <f>IF(AND(AI65+1&gt;#REF!,AI65&lt;#REF!+#REF!),#REF!,0)</f>
        <v>#REF!</v>
      </c>
      <c r="AJ74" s="1186" t="e">
        <f>IF(AND(AJ65+1&gt;#REF!,AJ65&lt;#REF!+#REF!),#REF!,0)</f>
        <v>#REF!</v>
      </c>
      <c r="AK74" s="1186" t="e">
        <f>IF(AND(AK65+1&gt;#REF!,AK65&lt;#REF!+#REF!),#REF!,0)</f>
        <v>#REF!</v>
      </c>
      <c r="AL74" s="1186" t="e">
        <f>IF(AND(AL65+1&gt;#REF!,AL65&lt;#REF!+#REF!),#REF!,0)</f>
        <v>#REF!</v>
      </c>
      <c r="AM74" s="1186" t="e">
        <f>IF(AND(AM65+1&gt;#REF!,AM65&lt;#REF!+#REF!),#REF!,0)</f>
        <v>#REF!</v>
      </c>
      <c r="AN74" s="1186" t="e">
        <f>IF(AND(AN65+1&gt;#REF!,AN65&lt;#REF!+#REF!),#REF!,0)</f>
        <v>#REF!</v>
      </c>
      <c r="AO74" s="1186" t="e">
        <f>IF(AND(AO65+1&gt;#REF!,AO65&lt;#REF!+#REF!),#REF!,0)</f>
        <v>#REF!</v>
      </c>
      <c r="AP74" s="1186" t="e">
        <f>IF(AND(AP65+1&gt;#REF!,AP65&lt;#REF!+#REF!),#REF!,0)</f>
        <v>#REF!</v>
      </c>
      <c r="AQ74" s="1186" t="e">
        <f>IF(AND(AQ65+1&gt;#REF!,AQ65&lt;#REF!+#REF!),#REF!,0)</f>
        <v>#REF!</v>
      </c>
      <c r="AR74" s="1186" t="e">
        <f>IF(AND(AR65+1&gt;#REF!,AR65&lt;#REF!+#REF!),#REF!,0)</f>
        <v>#REF!</v>
      </c>
      <c r="AS74" s="1186" t="e">
        <f>IF(AND(AS65+1&gt;#REF!,AS65&lt;#REF!+#REF!),#REF!,0)</f>
        <v>#REF!</v>
      </c>
      <c r="AT74" s="1186" t="e">
        <f>IF(AND(AT65+1&gt;#REF!,AT65&lt;#REF!+#REF!),#REF!,0)</f>
        <v>#REF!</v>
      </c>
      <c r="AU74" s="1186" t="e">
        <f>IF(AND(AU65+1&gt;#REF!,AU65&lt;#REF!+#REF!),#REF!,0)</f>
        <v>#REF!</v>
      </c>
      <c r="AV74" s="1186" t="e">
        <f>IF(AND(AV65+1&gt;#REF!,AV65&lt;#REF!+#REF!),#REF!,0)</f>
        <v>#REF!</v>
      </c>
      <c r="AW74" s="1186" t="e">
        <f>IF(AND(AW65+1&gt;#REF!,AW65&lt;#REF!+#REF!),#REF!,0)</f>
        <v>#REF!</v>
      </c>
      <c r="AX74" s="1186" t="e">
        <f>IF(AND(AX65+1&gt;#REF!,AX65&lt;#REF!+#REF!),#REF!,0)</f>
        <v>#REF!</v>
      </c>
      <c r="AY74" s="1186" t="e">
        <f>IF(AND(AY65+1&gt;#REF!,AY65&lt;#REF!+#REF!),#REF!,0)</f>
        <v>#REF!</v>
      </c>
      <c r="AZ74" s="1186" t="e">
        <f>IF(AND(AZ65+1&gt;#REF!,AZ65&lt;#REF!+#REF!),#REF!,0)</f>
        <v>#REF!</v>
      </c>
      <c r="BA74" s="1186" t="e">
        <f>IF(AND(BA65+1&gt;#REF!,BA65&lt;#REF!+#REF!),#REF!,0)</f>
        <v>#REF!</v>
      </c>
      <c r="BB74" s="1186" t="e">
        <f>IF(AND(BB65+1&gt;#REF!,BB65&lt;#REF!+#REF!),#REF!,0)</f>
        <v>#REF!</v>
      </c>
      <c r="BC74" s="1186" t="e">
        <f>IF(AND(BC65+1&gt;#REF!,BC65&lt;#REF!+#REF!),#REF!,0)</f>
        <v>#REF!</v>
      </c>
      <c r="BD74" s="1186" t="e">
        <f>IF(AND(BD65+1&gt;#REF!,BD65&lt;#REF!+#REF!),#REF!,0)</f>
        <v>#REF!</v>
      </c>
      <c r="BE74" s="1186" t="e">
        <f>IF(AND(BE65+1&gt;#REF!,BE65&lt;#REF!+#REF!),#REF!,0)</f>
        <v>#REF!</v>
      </c>
      <c r="BF74" s="1186" t="e">
        <f>IF(AND(BF65+1&gt;#REF!,BF65&lt;#REF!+#REF!),#REF!,0)</f>
        <v>#REF!</v>
      </c>
      <c r="BG74" s="1186" t="e">
        <f>IF(AND(BG65+1&gt;#REF!,BG65&lt;#REF!+#REF!),#REF!,0)</f>
        <v>#REF!</v>
      </c>
      <c r="BH74" s="1186" t="e">
        <f>IF(AND(BH65+1&gt;#REF!,BH65&lt;#REF!+#REF!),#REF!,0)</f>
        <v>#REF!</v>
      </c>
      <c r="BI74" s="1185"/>
      <c r="BJ74" s="96"/>
      <c r="BK74" s="96"/>
      <c r="BL74" s="96"/>
      <c r="BM74" s="96"/>
      <c r="BN74" s="96"/>
      <c r="BO74" s="96"/>
    </row>
    <row r="75" spans="2:67" s="96" customFormat="1" ht="12.75">
      <c r="B75" s="703"/>
      <c r="C75" s="1174"/>
      <c r="D75" s="96" t="str">
        <f>IF(C7="rural","Fuel Cost","Avoided Geneartion Cost")</f>
        <v>Fuel Cost</v>
      </c>
      <c r="E75" s="96" t="str">
        <f>IF(C7="Rural","$ per gallon","$ per kWh")</f>
        <v>$ per gallon</v>
      </c>
      <c r="F75" s="1184"/>
      <c r="G75" s="1184" t="e">
        <f>VLOOKUP($C$6,'Diesel Fuel Prices'!$E$16:$BV$196,3+G53,0)</f>
        <v>#N/A</v>
      </c>
      <c r="H75" s="1184" t="e">
        <f>VLOOKUP($C$6,'Diesel Fuel Prices'!$E$16:$BV$196,3+H53,0)</f>
        <v>#N/A</v>
      </c>
      <c r="I75" s="1184" t="e">
        <f>VLOOKUP($C$6,'Diesel Fuel Prices'!$E$16:$BV$196,3+I53,0)</f>
        <v>#N/A</v>
      </c>
      <c r="J75" s="1184" t="e">
        <f>VLOOKUP($C$6,'Diesel Fuel Prices'!$E$16:$BV$196,3+J53,0)</f>
        <v>#N/A</v>
      </c>
      <c r="K75" s="1184" t="e">
        <f>VLOOKUP($C$6,'Diesel Fuel Prices'!$E$16:$BV$196,3+K53,0)</f>
        <v>#N/A</v>
      </c>
      <c r="L75" s="1184" t="e">
        <f>VLOOKUP($C$6,'Diesel Fuel Prices'!$E$16:$BV$196,3+L53,0)</f>
        <v>#N/A</v>
      </c>
      <c r="M75" s="1184" t="e">
        <f>VLOOKUP($C$6,'Diesel Fuel Prices'!$E$16:$BV$196,3+M53,0)</f>
        <v>#N/A</v>
      </c>
      <c r="N75" s="1184" t="e">
        <f>VLOOKUP($C$6,'Diesel Fuel Prices'!$E$16:$BV$196,3+N53,0)</f>
        <v>#N/A</v>
      </c>
      <c r="O75" s="1184" t="e">
        <f>VLOOKUP($C$6,'Diesel Fuel Prices'!$E$16:$BV$196,3+O53,0)</f>
        <v>#N/A</v>
      </c>
      <c r="P75" s="1184" t="e">
        <f>VLOOKUP($C$6,'Diesel Fuel Prices'!$E$16:$BV$196,3+P53,0)</f>
        <v>#N/A</v>
      </c>
      <c r="Q75" s="1184" t="e">
        <f>VLOOKUP($C$6,'Diesel Fuel Prices'!$E$16:$BV$196,3+Q53,0)</f>
        <v>#N/A</v>
      </c>
      <c r="R75" s="1184" t="e">
        <f>VLOOKUP($C$6,'Diesel Fuel Prices'!$E$16:$BV$196,3+R53,0)</f>
        <v>#N/A</v>
      </c>
      <c r="S75" s="1184" t="e">
        <f>VLOOKUP($C$6,'Diesel Fuel Prices'!$E$16:$BV$196,3+S53,0)</f>
        <v>#N/A</v>
      </c>
      <c r="T75" s="1184" t="e">
        <f>VLOOKUP($C$6,'Diesel Fuel Prices'!$E$16:$BV$196,3+T53,0)</f>
        <v>#N/A</v>
      </c>
      <c r="U75" s="1184" t="e">
        <f>VLOOKUP($C$6,'Diesel Fuel Prices'!$E$16:$BV$196,3+U53,0)</f>
        <v>#N/A</v>
      </c>
      <c r="V75" s="1184" t="e">
        <f>VLOOKUP($C$6,'Diesel Fuel Prices'!$E$16:$BV$196,3+V53,0)</f>
        <v>#N/A</v>
      </c>
      <c r="W75" s="1184" t="e">
        <f>VLOOKUP($C$6,'Diesel Fuel Prices'!$E$16:$BV$196,3+W53,0)</f>
        <v>#N/A</v>
      </c>
      <c r="X75" s="1184" t="e">
        <f>VLOOKUP($C$6,'Diesel Fuel Prices'!$E$16:$BV$196,3+X53,0)</f>
        <v>#N/A</v>
      </c>
      <c r="Y75" s="1184" t="e">
        <f>VLOOKUP($C$6,'Diesel Fuel Prices'!$E$16:$BV$196,3+Y53,0)</f>
        <v>#N/A</v>
      </c>
      <c r="Z75" s="1184" t="e">
        <f>VLOOKUP($C$6,'Diesel Fuel Prices'!$E$16:$BV$196,3+Z53,0)</f>
        <v>#N/A</v>
      </c>
      <c r="AA75" s="1184" t="e">
        <f>VLOOKUP($C$6,'Diesel Fuel Prices'!$E$16:$BV$196,3+AA53,0)</f>
        <v>#N/A</v>
      </c>
      <c r="AB75" s="1184" t="e">
        <f>VLOOKUP($C$6,'Diesel Fuel Prices'!$E$16:$BV$196,3+AB53,0)</f>
        <v>#N/A</v>
      </c>
      <c r="AC75" s="1184" t="e">
        <f>VLOOKUP($C$6,'Diesel Fuel Prices'!$E$16:$BV$196,3+AC53,0)</f>
        <v>#N/A</v>
      </c>
      <c r="AD75" s="1184" t="e">
        <f>VLOOKUP($C$6,'Diesel Fuel Prices'!$E$16:$BV$196,3+AD53,0)</f>
        <v>#N/A</v>
      </c>
      <c r="AE75" s="1184" t="e">
        <f>VLOOKUP($C$6,'Diesel Fuel Prices'!$E$16:$BV$196,3+AE53,0)</f>
        <v>#N/A</v>
      </c>
      <c r="AF75" s="1184" t="e">
        <f>VLOOKUP($C$6,'Diesel Fuel Prices'!$E$16:$BV$196,3+AF53,0)</f>
        <v>#N/A</v>
      </c>
      <c r="AG75" s="1184" t="e">
        <f>VLOOKUP($C$6,'Diesel Fuel Prices'!$E$16:$BV$196,3+AG53,0)</f>
        <v>#N/A</v>
      </c>
      <c r="AH75" s="1184" t="e">
        <f>VLOOKUP($C$6,'Diesel Fuel Prices'!$E$16:$BV$196,3+AH53,0)</f>
        <v>#N/A</v>
      </c>
      <c r="AI75" s="1184" t="e">
        <f>VLOOKUP($C$6,'Diesel Fuel Prices'!$E$16:$BV$196,3+AI53,0)</f>
        <v>#N/A</v>
      </c>
      <c r="AJ75" s="1184" t="e">
        <f>VLOOKUP($C$6,'Diesel Fuel Prices'!$E$16:$BV$196,3+AJ53,0)</f>
        <v>#N/A</v>
      </c>
      <c r="AK75" s="1184" t="e">
        <f>VLOOKUP($C$6,'Diesel Fuel Prices'!$E$16:$BV$196,3+AK53,0)</f>
        <v>#N/A</v>
      </c>
      <c r="AL75" s="1184" t="e">
        <f>VLOOKUP($C$6,'Diesel Fuel Prices'!$E$16:$BV$196,3+AL53,0)</f>
        <v>#N/A</v>
      </c>
      <c r="AM75" s="1184" t="e">
        <f>VLOOKUP($C$6,'Diesel Fuel Prices'!$E$16:$BV$196,3+AM53,0)</f>
        <v>#N/A</v>
      </c>
      <c r="AN75" s="1184" t="e">
        <f>VLOOKUP($C$6,'Diesel Fuel Prices'!$E$16:$BV$196,3+AN53,0)</f>
        <v>#N/A</v>
      </c>
      <c r="AO75" s="1184" t="e">
        <f>VLOOKUP($C$6,'Diesel Fuel Prices'!$E$16:$BV$196,3+AO53,0)</f>
        <v>#N/A</v>
      </c>
      <c r="AP75" s="1184" t="e">
        <f>VLOOKUP($C$6,'Diesel Fuel Prices'!$E$16:$BV$196,3+AP53,0)</f>
        <v>#N/A</v>
      </c>
      <c r="AQ75" s="1184" t="e">
        <f>VLOOKUP($C$6,'Diesel Fuel Prices'!$E$16:$BV$196,3+AQ53,0)</f>
        <v>#N/A</v>
      </c>
      <c r="AR75" s="1184" t="e">
        <f>VLOOKUP($C$6,'Diesel Fuel Prices'!$E$16:$BV$196,3+AR53,0)</f>
        <v>#N/A</v>
      </c>
      <c r="AS75" s="1184" t="e">
        <f>VLOOKUP($C$6,'Diesel Fuel Prices'!$E$16:$BV$196,3+AS53,0)</f>
        <v>#N/A</v>
      </c>
      <c r="AT75" s="1184" t="e">
        <f>VLOOKUP($C$6,'Diesel Fuel Prices'!$E$16:$BV$196,3+AT53,0)</f>
        <v>#N/A</v>
      </c>
      <c r="AU75" s="1184" t="e">
        <f>VLOOKUP($C$6,'Diesel Fuel Prices'!$E$16:$BV$196,3+AU53,0)</f>
        <v>#N/A</v>
      </c>
      <c r="AV75" s="1184" t="e">
        <f>VLOOKUP($C$6,'Diesel Fuel Prices'!$E$16:$BV$196,3+AV53,0)</f>
        <v>#N/A</v>
      </c>
      <c r="AW75" s="1184" t="e">
        <f>VLOOKUP($C$6,'Diesel Fuel Prices'!$E$16:$BV$196,3+AW53,0)</f>
        <v>#N/A</v>
      </c>
      <c r="AX75" s="1184" t="e">
        <f>VLOOKUP($C$6,'Diesel Fuel Prices'!$E$16:$BV$196,3+AX53,0)</f>
        <v>#N/A</v>
      </c>
      <c r="AY75" s="1184" t="e">
        <f>VLOOKUP($C$6,'Diesel Fuel Prices'!$E$16:$BV$196,3+AY53,0)</f>
        <v>#N/A</v>
      </c>
      <c r="AZ75" s="1184" t="e">
        <f>VLOOKUP($C$6,'Diesel Fuel Prices'!$E$16:$BV$196,3+AZ53,0)</f>
        <v>#N/A</v>
      </c>
      <c r="BA75" s="1184" t="e">
        <f>VLOOKUP($C$6,'Diesel Fuel Prices'!$E$16:$BV$196,3+BA53,0)</f>
        <v>#N/A</v>
      </c>
      <c r="BB75" s="1184" t="e">
        <f>VLOOKUP($C$6,'Diesel Fuel Prices'!$E$16:$BV$196,3+BB53,0)</f>
        <v>#N/A</v>
      </c>
      <c r="BC75" s="1184" t="e">
        <f>VLOOKUP($C$6,'Diesel Fuel Prices'!$E$16:$BV$196,3+BC53,0)</f>
        <v>#N/A</v>
      </c>
      <c r="BD75" s="1184" t="e">
        <f>VLOOKUP($C$6,'Diesel Fuel Prices'!$E$16:$BV$196,3+BD53,0)</f>
        <v>#N/A</v>
      </c>
      <c r="BE75" s="1184" t="e">
        <f>VLOOKUP($C$6,'Diesel Fuel Prices'!$E$16:$BV$196,3+BE53,0)</f>
        <v>#N/A</v>
      </c>
      <c r="BF75" s="1184" t="e">
        <f>VLOOKUP($C$6,'Diesel Fuel Prices'!$E$16:$BV$196,3+BF53,0)</f>
        <v>#N/A</v>
      </c>
      <c r="BG75" s="1184" t="e">
        <f>VLOOKUP($C$6,'Diesel Fuel Prices'!$E$16:$BV$196,3+BG53,0)</f>
        <v>#N/A</v>
      </c>
      <c r="BH75" s="1184" t="e">
        <f>VLOOKUP($C$6,'Diesel Fuel Prices'!$E$16:$BV$196,3+BH53,0)</f>
        <v>#N/A</v>
      </c>
      <c r="BI75" s="1172"/>
    </row>
    <row r="76" spans="2:67" ht="12.75">
      <c r="C76" s="1170" t="s">
        <v>277</v>
      </c>
      <c r="D76" s="96" t="s">
        <v>381</v>
      </c>
      <c r="E76" s="96" t="s">
        <v>264</v>
      </c>
      <c r="F76" s="1173">
        <v>0</v>
      </c>
      <c r="G76" s="1173"/>
      <c r="H76" s="1173"/>
      <c r="I76" s="1173"/>
      <c r="J76" s="1173"/>
      <c r="K76" s="1173"/>
      <c r="L76" s="1173"/>
      <c r="M76" s="1173"/>
      <c r="N76" s="1173"/>
      <c r="O76" s="1173"/>
      <c r="P76" s="1173"/>
      <c r="Q76" s="1173"/>
      <c r="R76" s="1173"/>
      <c r="S76" s="1173"/>
      <c r="T76" s="1173"/>
      <c r="U76" s="1173"/>
      <c r="V76" s="1173"/>
      <c r="W76" s="1173"/>
      <c r="X76" s="1173"/>
      <c r="Y76" s="1173"/>
      <c r="Z76" s="1173"/>
      <c r="AA76" s="1173"/>
      <c r="AB76" s="1173">
        <v>0</v>
      </c>
      <c r="AC76" s="1173">
        <v>0</v>
      </c>
      <c r="AD76" s="1173">
        <v>0</v>
      </c>
      <c r="AE76" s="1173">
        <v>0</v>
      </c>
      <c r="AF76" s="1173">
        <v>0</v>
      </c>
      <c r="AG76" s="1173">
        <v>0</v>
      </c>
      <c r="AH76" s="1173">
        <v>0</v>
      </c>
      <c r="AI76" s="1173">
        <v>0</v>
      </c>
      <c r="AJ76" s="1173">
        <v>0</v>
      </c>
      <c r="AK76" s="1173">
        <v>0</v>
      </c>
      <c r="AL76" s="1173">
        <v>0</v>
      </c>
      <c r="AM76" s="1173">
        <v>0</v>
      </c>
      <c r="AN76" s="1173">
        <v>0</v>
      </c>
      <c r="AO76" s="1173">
        <v>0</v>
      </c>
      <c r="AP76" s="1173">
        <v>0</v>
      </c>
      <c r="AQ76" s="1173">
        <v>0</v>
      </c>
      <c r="AR76" s="1173">
        <v>0</v>
      </c>
      <c r="AS76" s="1173">
        <v>0</v>
      </c>
      <c r="AT76" s="1173">
        <v>0</v>
      </c>
      <c r="AU76" s="1173">
        <v>0</v>
      </c>
      <c r="AV76" s="1173">
        <v>0</v>
      </c>
      <c r="AW76" s="1173">
        <v>0</v>
      </c>
      <c r="AX76" s="1173">
        <v>0</v>
      </c>
      <c r="AY76" s="1173">
        <v>0</v>
      </c>
      <c r="AZ76" s="1173">
        <v>0</v>
      </c>
      <c r="BA76" s="1173">
        <v>0</v>
      </c>
      <c r="BB76" s="1173">
        <v>0</v>
      </c>
      <c r="BC76" s="1173">
        <v>0</v>
      </c>
      <c r="BD76" s="1173">
        <v>0</v>
      </c>
      <c r="BE76" s="1173">
        <v>0</v>
      </c>
      <c r="BF76" s="1173">
        <v>0</v>
      </c>
      <c r="BG76" s="1173">
        <v>0</v>
      </c>
      <c r="BH76" s="1173">
        <v>0</v>
      </c>
      <c r="BI76" s="1172">
        <f>NPV($D$49,F76:BH76)</f>
        <v>0</v>
      </c>
      <c r="BJ76" s="96"/>
      <c r="BK76" s="96"/>
      <c r="BL76" s="96"/>
      <c r="BM76" s="96"/>
      <c r="BN76" s="96"/>
      <c r="BO76" s="96"/>
    </row>
    <row r="77" spans="2:67" ht="12.75">
      <c r="C77" s="1170"/>
      <c r="D77" s="96" t="s">
        <v>267</v>
      </c>
      <c r="E77" s="96" t="str">
        <f>IF(C7="Railbelt South of Alaska Range","mmBtu per year","gallons per year")</f>
        <v>gallons per year</v>
      </c>
      <c r="F77" s="1193" t="e">
        <f>IF($C$7="rural",F74/#REF!,IF($C$7="railbelt North of alaska range",F74*'Railbelt Worksheet'!J29,F74*'Railbelt Worksheet'!J19))</f>
        <v>#REF!</v>
      </c>
      <c r="G77" s="1193"/>
      <c r="H77" s="1193"/>
      <c r="I77" s="1193"/>
      <c r="J77" s="1193"/>
      <c r="K77" s="1193"/>
      <c r="L77" s="1193"/>
      <c r="M77" s="1193"/>
      <c r="N77" s="1193"/>
      <c r="O77" s="1193"/>
      <c r="P77" s="1193"/>
      <c r="Q77" s="1193"/>
      <c r="R77" s="1193"/>
      <c r="S77" s="1193"/>
      <c r="T77" s="1193"/>
      <c r="U77" s="1193"/>
      <c r="V77" s="1193"/>
      <c r="W77" s="1193"/>
      <c r="X77" s="1193"/>
      <c r="Y77" s="1193"/>
      <c r="Z77" s="1193"/>
      <c r="AA77" s="1193"/>
      <c r="AB77" s="1193" t="e">
        <f>IF($C$7="rural",AB74/#REF!,IF($C$7="railbelt North of alaska range",AB74*'Railbelt Worksheet'!AF29,AB74*'Railbelt Worksheet'!AF19))</f>
        <v>#REF!</v>
      </c>
      <c r="AC77" s="1193" t="e">
        <f>IF($C$7="rural",AC74/#REF!,IF($C$7="railbelt North of alaska range",AC74*'Railbelt Worksheet'!AG29,AC74*'Railbelt Worksheet'!AG19))</f>
        <v>#REF!</v>
      </c>
      <c r="AD77" s="1193" t="e">
        <f>IF($C$7="rural",AD74/#REF!,IF($C$7="railbelt North of alaska range",AD74*'Railbelt Worksheet'!AH29,AD74*'Railbelt Worksheet'!AH19))</f>
        <v>#REF!</v>
      </c>
      <c r="AE77" s="1193" t="e">
        <f>IF($C$7="rural",AE74/#REF!,IF($C$7="railbelt North of alaska range",AE74*'Railbelt Worksheet'!AI29,AE74*'Railbelt Worksheet'!AI19))</f>
        <v>#REF!</v>
      </c>
      <c r="AF77" s="1193" t="e">
        <f>IF($C$7="rural",AF74/#REF!,IF($C$7="railbelt North of alaska range",AF74*'Railbelt Worksheet'!AJ29,AF74*'Railbelt Worksheet'!AJ19))</f>
        <v>#REF!</v>
      </c>
      <c r="AG77" s="1193" t="e">
        <f>IF($C$7="rural",AG74/#REF!,IF($C$7="railbelt North of alaska range",AG74*'Railbelt Worksheet'!AK29,AG74*'Railbelt Worksheet'!AK19))</f>
        <v>#REF!</v>
      </c>
      <c r="AH77" s="1193" t="e">
        <f>IF($C$7="rural",AH74/#REF!,IF($C$7="railbelt North of alaska range",AH74*'Railbelt Worksheet'!AL29,AH74*'Railbelt Worksheet'!AL19))</f>
        <v>#REF!</v>
      </c>
      <c r="AI77" s="1193" t="e">
        <f>IF($C$7="rural",AI74/#REF!,IF($C$7="railbelt North of alaska range",AI74*'Railbelt Worksheet'!AM29,AI74*'Railbelt Worksheet'!AM19))</f>
        <v>#REF!</v>
      </c>
      <c r="AJ77" s="1193" t="e">
        <f>IF($C$7="rural",AJ74/#REF!,IF($C$7="railbelt North of alaska range",AJ74*'Railbelt Worksheet'!AN29,AJ74*'Railbelt Worksheet'!AN19))</f>
        <v>#REF!</v>
      </c>
      <c r="AK77" s="1193" t="e">
        <f>IF($C$7="rural",AK74/#REF!,IF($C$7="railbelt North of alaska range",AK74*'Railbelt Worksheet'!AO29,AK74*'Railbelt Worksheet'!AO19))</f>
        <v>#REF!</v>
      </c>
      <c r="AL77" s="1193" t="e">
        <f>IF($C$7="rural",AL74/#REF!,IF($C$7="railbelt North of alaska range",AL74*'Railbelt Worksheet'!AP29,AL74*'Railbelt Worksheet'!AP19))</f>
        <v>#REF!</v>
      </c>
      <c r="AM77" s="1193" t="e">
        <f>IF($C$7="rural",AM74/#REF!,IF($C$7="railbelt North of alaska range",AM74*'Railbelt Worksheet'!AQ29,AM74*'Railbelt Worksheet'!AQ19))</f>
        <v>#REF!</v>
      </c>
      <c r="AN77" s="1193" t="e">
        <f>IF($C$7="rural",AN74/#REF!,IF($C$7="railbelt North of alaska range",AN74*'Railbelt Worksheet'!AR29,AN74*'Railbelt Worksheet'!AR19))</f>
        <v>#REF!</v>
      </c>
      <c r="AO77" s="1193" t="e">
        <f>IF($C$7="rural",AO74/#REF!,IF($C$7="railbelt North of alaska range",AO74*'Railbelt Worksheet'!AS29,AO74*'Railbelt Worksheet'!AS19))</f>
        <v>#REF!</v>
      </c>
      <c r="AP77" s="1193" t="e">
        <f>IF($C$7="rural",AP74/#REF!,IF($C$7="railbelt North of alaska range",AP74*'Railbelt Worksheet'!AT29,AP74*'Railbelt Worksheet'!AT19))</f>
        <v>#REF!</v>
      </c>
      <c r="AQ77" s="1193" t="e">
        <f>IF($C$7="rural",AQ74/#REF!,IF($C$7="railbelt North of alaska range",AQ74*'Railbelt Worksheet'!AU29,AQ74*'Railbelt Worksheet'!AU19))</f>
        <v>#REF!</v>
      </c>
      <c r="AR77" s="1193" t="e">
        <f>IF($C$7="rural",AR74/#REF!,IF($C$7="railbelt North of alaska range",AR74*'Railbelt Worksheet'!AV29,AR74*'Railbelt Worksheet'!AV19))</f>
        <v>#REF!</v>
      </c>
      <c r="AS77" s="1193" t="e">
        <f>IF($C$7="rural",AS74/#REF!,IF($C$7="railbelt North of alaska range",AS74*'Railbelt Worksheet'!AW29,AS74*'Railbelt Worksheet'!AW19))</f>
        <v>#REF!</v>
      </c>
      <c r="AT77" s="1193" t="e">
        <f>IF($C$7="rural",AT74/#REF!,IF($C$7="railbelt North of alaska range",AT74*'Railbelt Worksheet'!AX29,AT74*'Railbelt Worksheet'!AX19))</f>
        <v>#REF!</v>
      </c>
      <c r="AU77" s="1193" t="e">
        <f>IF($C$7="rural",AU74/#REF!,IF($C$7="railbelt North of alaska range",AU74*'Railbelt Worksheet'!AY29,AU74*'Railbelt Worksheet'!AY19))</f>
        <v>#REF!</v>
      </c>
      <c r="AV77" s="1193" t="e">
        <f>IF($C$7="rural",AV74/#REF!,IF($C$7="railbelt North of alaska range",AV74*'Railbelt Worksheet'!AZ29,AV74*'Railbelt Worksheet'!AZ19))</f>
        <v>#REF!</v>
      </c>
      <c r="AW77" s="1193" t="e">
        <f>IF($C$7="rural",AW74/#REF!,IF($C$7="railbelt North of alaska range",AW74*'Railbelt Worksheet'!BA29,AW74*'Railbelt Worksheet'!BA19))</f>
        <v>#REF!</v>
      </c>
      <c r="AX77" s="1193" t="e">
        <f>IF($C$7="rural",AX74/#REF!,IF($C$7="railbelt North of alaska range",AX74*'Railbelt Worksheet'!BB29,AX74*'Railbelt Worksheet'!BB19))</f>
        <v>#REF!</v>
      </c>
      <c r="AY77" s="1193" t="e">
        <f>IF($C$7="rural",AY74/#REF!,IF($C$7="railbelt North of alaska range",AY74*'Railbelt Worksheet'!BC29,AY74*'Railbelt Worksheet'!BC19))</f>
        <v>#REF!</v>
      </c>
      <c r="AZ77" s="1193" t="e">
        <f>IF($C$7="rural",AZ74/#REF!,IF($C$7="railbelt North of alaska range",AZ74*'Railbelt Worksheet'!BD29,AZ74*'Railbelt Worksheet'!BD19))</f>
        <v>#REF!</v>
      </c>
      <c r="BA77" s="1193" t="e">
        <f>IF($C$7="rural",BA74/#REF!,IF($C$7="railbelt North of alaska range",BA74*'Railbelt Worksheet'!BE29,BA74*'Railbelt Worksheet'!BE19))</f>
        <v>#REF!</v>
      </c>
      <c r="BB77" s="1193" t="e">
        <f>IF($C$7="rural",BB74/#REF!,IF($C$7="railbelt North of alaska range",BB74*'Railbelt Worksheet'!BF29,BB74*'Railbelt Worksheet'!BF19))</f>
        <v>#REF!</v>
      </c>
      <c r="BC77" s="1193" t="e">
        <f>IF($C$7="rural",BC74/#REF!,IF($C$7="railbelt North of alaska range",BC74*'Railbelt Worksheet'!BG29,BC74*'Railbelt Worksheet'!BG19))</f>
        <v>#REF!</v>
      </c>
      <c r="BD77" s="1193" t="e">
        <f>IF($C$7="rural",BD74/#REF!,IF($C$7="railbelt North of alaska range",BD74*'Railbelt Worksheet'!BH29,BD74*'Railbelt Worksheet'!BH19))</f>
        <v>#REF!</v>
      </c>
      <c r="BE77" s="1193" t="e">
        <f>IF($C$7="rural",BE74/#REF!,IF($C$7="railbelt North of alaska range",BE74*'Railbelt Worksheet'!BI29,BE74*'Railbelt Worksheet'!BI19))</f>
        <v>#REF!</v>
      </c>
      <c r="BF77" s="1193" t="e">
        <f>IF($C$7="rural",BF74/#REF!,IF($C$7="railbelt North of alaska range",BF74*'Railbelt Worksheet'!BJ29,BF74*'Railbelt Worksheet'!BJ19))</f>
        <v>#REF!</v>
      </c>
      <c r="BG77" s="1193" t="e">
        <f>IF($C$7="rural",BG74/#REF!,IF($C$7="railbelt North of alaska range",BG74*'Railbelt Worksheet'!BK29,BG74*'Railbelt Worksheet'!BK19))</f>
        <v>#REF!</v>
      </c>
      <c r="BH77" s="1193" t="e">
        <f>IF($C$7="rural",BH74/#REF!,IF($C$7="railbelt North of alaska range",BH74*'Railbelt Worksheet'!BL29,BH74*'Railbelt Worksheet'!BL19))</f>
        <v>#REF!</v>
      </c>
      <c r="BI77" s="1172"/>
      <c r="BJ77" s="96"/>
      <c r="BK77" s="96"/>
      <c r="BL77" s="96"/>
      <c r="BM77" s="96"/>
      <c r="BN77" s="96"/>
      <c r="BO77" s="96"/>
    </row>
    <row r="78" spans="2:67" ht="12.75">
      <c r="C78" s="1188"/>
      <c r="D78" s="96" t="s">
        <v>5</v>
      </c>
      <c r="E78" s="96" t="str">
        <f>IF(C7="rural","$ per year","")</f>
        <v>$ per year</v>
      </c>
      <c r="F78" s="1189" t="e">
        <f>IF($C$7="rural",F74*#REF!,"")</f>
        <v>#REF!</v>
      </c>
      <c r="G78" s="1189"/>
      <c r="H78" s="1189"/>
      <c r="I78" s="1189"/>
      <c r="J78" s="1189"/>
      <c r="K78" s="1189"/>
      <c r="L78" s="1189"/>
      <c r="M78" s="1189"/>
      <c r="N78" s="1189"/>
      <c r="O78" s="1189"/>
      <c r="P78" s="1189"/>
      <c r="Q78" s="1189"/>
      <c r="R78" s="1189"/>
      <c r="S78" s="1189"/>
      <c r="T78" s="1189"/>
      <c r="U78" s="1189"/>
      <c r="V78" s="1189"/>
      <c r="W78" s="1189"/>
      <c r="X78" s="1189"/>
      <c r="Y78" s="1189"/>
      <c r="Z78" s="1189"/>
      <c r="AA78" s="1189"/>
      <c r="AB78" s="1189" t="e">
        <f>IF($C$7="rural",AB74*#REF!,"")</f>
        <v>#REF!</v>
      </c>
      <c r="AC78" s="1189" t="e">
        <f>IF($C$7="rural",AC74*#REF!,"")</f>
        <v>#REF!</v>
      </c>
      <c r="AD78" s="1189" t="e">
        <f>IF($C$7="rural",AD74*#REF!,"")</f>
        <v>#REF!</v>
      </c>
      <c r="AE78" s="1189" t="e">
        <f>IF($C$7="rural",AE74*#REF!,"")</f>
        <v>#REF!</v>
      </c>
      <c r="AF78" s="1189" t="e">
        <f>IF($C$7="rural",AF74*#REF!,"")</f>
        <v>#REF!</v>
      </c>
      <c r="AG78" s="1189" t="e">
        <f>IF($C$7="rural",AG74*#REF!,"")</f>
        <v>#REF!</v>
      </c>
      <c r="AH78" s="1189" t="e">
        <f>IF($C$7="rural",AH74*#REF!,"")</f>
        <v>#REF!</v>
      </c>
      <c r="AI78" s="1189" t="e">
        <f>IF($C$7="rural",AI74*#REF!,"")</f>
        <v>#REF!</v>
      </c>
      <c r="AJ78" s="1189" t="e">
        <f>IF($C$7="rural",AJ74*#REF!,"")</f>
        <v>#REF!</v>
      </c>
      <c r="AK78" s="1189" t="e">
        <f>IF($C$7="rural",AK74*#REF!,"")</f>
        <v>#REF!</v>
      </c>
      <c r="AL78" s="1189" t="e">
        <f>IF($C$7="rural",AL74*#REF!,"")</f>
        <v>#REF!</v>
      </c>
      <c r="AM78" s="1189" t="e">
        <f>IF($C$7="rural",AM74*#REF!,"")</f>
        <v>#REF!</v>
      </c>
      <c r="AN78" s="1189" t="e">
        <f>IF($C$7="rural",AN74*#REF!,"")</f>
        <v>#REF!</v>
      </c>
      <c r="AO78" s="1189" t="e">
        <f>IF($C$7="rural",AO74*#REF!,"")</f>
        <v>#REF!</v>
      </c>
      <c r="AP78" s="1189" t="e">
        <f>IF($C$7="rural",AP74*#REF!,"")</f>
        <v>#REF!</v>
      </c>
      <c r="AQ78" s="1189" t="e">
        <f>IF($C$7="rural",AQ74*#REF!,"")</f>
        <v>#REF!</v>
      </c>
      <c r="AR78" s="1189" t="e">
        <f>IF($C$7="rural",AR74*#REF!,"")</f>
        <v>#REF!</v>
      </c>
      <c r="AS78" s="1189" t="e">
        <f>IF($C$7="rural",AS74*#REF!,"")</f>
        <v>#REF!</v>
      </c>
      <c r="AT78" s="1189" t="e">
        <f>IF($C$7="rural",AT74*#REF!,"")</f>
        <v>#REF!</v>
      </c>
      <c r="AU78" s="1189" t="e">
        <f>IF($C$7="rural",AU74*#REF!,"")</f>
        <v>#REF!</v>
      </c>
      <c r="AV78" s="1189" t="e">
        <f>IF($C$7="rural",AV74*#REF!,"")</f>
        <v>#REF!</v>
      </c>
      <c r="AW78" s="1189" t="e">
        <f>IF($C$7="rural",AW74*#REF!,"")</f>
        <v>#REF!</v>
      </c>
      <c r="AX78" s="1189" t="e">
        <f>IF($C$7="rural",AX74*#REF!,"")</f>
        <v>#REF!</v>
      </c>
      <c r="AY78" s="1189" t="e">
        <f>IF($C$7="rural",AY74*#REF!,"")</f>
        <v>#REF!</v>
      </c>
      <c r="AZ78" s="1189" t="e">
        <f>IF($C$7="rural",AZ74*#REF!,"")</f>
        <v>#REF!</v>
      </c>
      <c r="BA78" s="1189" t="e">
        <f>IF($C$7="rural",BA74*#REF!,"")</f>
        <v>#REF!</v>
      </c>
      <c r="BB78" s="1189" t="e">
        <f>IF($C$7="rural",BB74*#REF!,"")</f>
        <v>#REF!</v>
      </c>
      <c r="BC78" s="1189" t="e">
        <f>IF($C$7="rural",BC74*#REF!,"")</f>
        <v>#REF!</v>
      </c>
      <c r="BD78" s="1189" t="e">
        <f>IF($C$7="rural",BD74*#REF!,"")</f>
        <v>#REF!</v>
      </c>
      <c r="BE78" s="1189" t="e">
        <f>IF($C$7="rural",BE74*#REF!,"")</f>
        <v>#REF!</v>
      </c>
      <c r="BF78" s="1189" t="e">
        <f>IF($C$7="rural",BF74*#REF!,"")</f>
        <v>#REF!</v>
      </c>
      <c r="BG78" s="1189" t="e">
        <f>IF($C$7="rural",BG74*#REF!,"")</f>
        <v>#REF!</v>
      </c>
      <c r="BH78" s="1189" t="e">
        <f>IF($C$7="rural",BH74*#REF!,"")</f>
        <v>#REF!</v>
      </c>
      <c r="BI78" s="1172" t="e">
        <f>NPV($D$49,F78:BH78)</f>
        <v>#REF!</v>
      </c>
      <c r="BJ78" s="96"/>
      <c r="BK78" s="96"/>
      <c r="BL78" s="96"/>
      <c r="BM78" s="96"/>
      <c r="BN78" s="96"/>
      <c r="BO78" s="96"/>
    </row>
    <row r="79" spans="2:67" ht="12.75">
      <c r="C79" s="1174"/>
      <c r="D79" s="96" t="str">
        <f>IF(C7="rural","Fuel Cost","N/A")</f>
        <v>Fuel Cost</v>
      </c>
      <c r="E79" s="96" t="str">
        <f>IF(C7="rural","$ per year","")</f>
        <v>$ per year</v>
      </c>
      <c r="F79" s="1189" t="e">
        <f t="shared" ref="F79:BH79" si="9">IF($C$7="rural",F77*F75,"")</f>
        <v>#REF!</v>
      </c>
      <c r="G79" s="1189" t="e">
        <f t="shared" si="9"/>
        <v>#N/A</v>
      </c>
      <c r="H79" s="1189" t="e">
        <f t="shared" si="9"/>
        <v>#N/A</v>
      </c>
      <c r="I79" s="1189" t="e">
        <f t="shared" si="9"/>
        <v>#N/A</v>
      </c>
      <c r="J79" s="1189" t="e">
        <f t="shared" si="9"/>
        <v>#N/A</v>
      </c>
      <c r="K79" s="1189" t="e">
        <f t="shared" si="9"/>
        <v>#N/A</v>
      </c>
      <c r="L79" s="1189" t="e">
        <f t="shared" si="9"/>
        <v>#N/A</v>
      </c>
      <c r="M79" s="1189" t="e">
        <f t="shared" si="9"/>
        <v>#N/A</v>
      </c>
      <c r="N79" s="1189" t="e">
        <f t="shared" si="9"/>
        <v>#N/A</v>
      </c>
      <c r="O79" s="1189" t="e">
        <f t="shared" si="9"/>
        <v>#N/A</v>
      </c>
      <c r="P79" s="1189" t="e">
        <f t="shared" si="9"/>
        <v>#N/A</v>
      </c>
      <c r="Q79" s="1189" t="e">
        <f t="shared" si="9"/>
        <v>#N/A</v>
      </c>
      <c r="R79" s="1189" t="e">
        <f t="shared" si="9"/>
        <v>#N/A</v>
      </c>
      <c r="S79" s="1189" t="e">
        <f t="shared" si="9"/>
        <v>#N/A</v>
      </c>
      <c r="T79" s="1189" t="e">
        <f t="shared" si="9"/>
        <v>#N/A</v>
      </c>
      <c r="U79" s="1189" t="e">
        <f t="shared" si="9"/>
        <v>#N/A</v>
      </c>
      <c r="V79" s="1189" t="e">
        <f t="shared" si="9"/>
        <v>#N/A</v>
      </c>
      <c r="W79" s="1189" t="e">
        <f t="shared" si="9"/>
        <v>#N/A</v>
      </c>
      <c r="X79" s="1189" t="e">
        <f t="shared" si="9"/>
        <v>#N/A</v>
      </c>
      <c r="Y79" s="1189" t="e">
        <f t="shared" si="9"/>
        <v>#N/A</v>
      </c>
      <c r="Z79" s="1189" t="e">
        <f t="shared" si="9"/>
        <v>#N/A</v>
      </c>
      <c r="AA79" s="1189" t="e">
        <f t="shared" si="9"/>
        <v>#N/A</v>
      </c>
      <c r="AB79" s="1189" t="e">
        <f t="shared" si="9"/>
        <v>#REF!</v>
      </c>
      <c r="AC79" s="1189" t="e">
        <f t="shared" si="9"/>
        <v>#REF!</v>
      </c>
      <c r="AD79" s="1189" t="e">
        <f t="shared" si="9"/>
        <v>#REF!</v>
      </c>
      <c r="AE79" s="1189" t="e">
        <f t="shared" si="9"/>
        <v>#REF!</v>
      </c>
      <c r="AF79" s="1189" t="e">
        <f t="shared" si="9"/>
        <v>#REF!</v>
      </c>
      <c r="AG79" s="1189" t="e">
        <f t="shared" si="9"/>
        <v>#REF!</v>
      </c>
      <c r="AH79" s="1189" t="e">
        <f t="shared" si="9"/>
        <v>#REF!</v>
      </c>
      <c r="AI79" s="1189" t="e">
        <f t="shared" si="9"/>
        <v>#REF!</v>
      </c>
      <c r="AJ79" s="1189" t="e">
        <f t="shared" si="9"/>
        <v>#REF!</v>
      </c>
      <c r="AK79" s="1189" t="e">
        <f t="shared" si="9"/>
        <v>#REF!</v>
      </c>
      <c r="AL79" s="1189" t="e">
        <f t="shared" si="9"/>
        <v>#REF!</v>
      </c>
      <c r="AM79" s="1189" t="e">
        <f t="shared" si="9"/>
        <v>#REF!</v>
      </c>
      <c r="AN79" s="1189" t="e">
        <f t="shared" si="9"/>
        <v>#REF!</v>
      </c>
      <c r="AO79" s="1189" t="e">
        <f t="shared" si="9"/>
        <v>#REF!</v>
      </c>
      <c r="AP79" s="1189" t="e">
        <f t="shared" si="9"/>
        <v>#REF!</v>
      </c>
      <c r="AQ79" s="1189" t="e">
        <f t="shared" si="9"/>
        <v>#REF!</v>
      </c>
      <c r="AR79" s="1189" t="e">
        <f t="shared" si="9"/>
        <v>#REF!</v>
      </c>
      <c r="AS79" s="1189" t="e">
        <f t="shared" si="9"/>
        <v>#REF!</v>
      </c>
      <c r="AT79" s="1189" t="e">
        <f t="shared" si="9"/>
        <v>#REF!</v>
      </c>
      <c r="AU79" s="1189" t="e">
        <f t="shared" si="9"/>
        <v>#REF!</v>
      </c>
      <c r="AV79" s="1189" t="e">
        <f t="shared" si="9"/>
        <v>#REF!</v>
      </c>
      <c r="AW79" s="1189" t="e">
        <f t="shared" si="9"/>
        <v>#REF!</v>
      </c>
      <c r="AX79" s="1189" t="e">
        <f t="shared" si="9"/>
        <v>#REF!</v>
      </c>
      <c r="AY79" s="1189" t="e">
        <f t="shared" si="9"/>
        <v>#REF!</v>
      </c>
      <c r="AZ79" s="1189" t="e">
        <f t="shared" si="9"/>
        <v>#REF!</v>
      </c>
      <c r="BA79" s="1189" t="e">
        <f t="shared" si="9"/>
        <v>#REF!</v>
      </c>
      <c r="BB79" s="1189" t="e">
        <f t="shared" si="9"/>
        <v>#REF!</v>
      </c>
      <c r="BC79" s="1189" t="e">
        <f t="shared" si="9"/>
        <v>#REF!</v>
      </c>
      <c r="BD79" s="1189" t="e">
        <f t="shared" si="9"/>
        <v>#REF!</v>
      </c>
      <c r="BE79" s="1189" t="e">
        <f t="shared" si="9"/>
        <v>#REF!</v>
      </c>
      <c r="BF79" s="1189" t="e">
        <f t="shared" si="9"/>
        <v>#REF!</v>
      </c>
      <c r="BG79" s="1189" t="e">
        <f t="shared" si="9"/>
        <v>#REF!</v>
      </c>
      <c r="BH79" s="1189" t="e">
        <f t="shared" si="9"/>
        <v>#REF!</v>
      </c>
      <c r="BI79" s="1172" t="e">
        <f>NPV($D$49,F79:BH79)</f>
        <v>#REF!</v>
      </c>
      <c r="BJ79" s="96"/>
      <c r="BK79" s="96"/>
      <c r="BL79" s="96"/>
      <c r="BM79" s="96"/>
      <c r="BN79" s="96"/>
      <c r="BO79" s="96"/>
    </row>
    <row r="80" spans="2:67" ht="12.75">
      <c r="C80" s="1174"/>
      <c r="D80" s="96" t="s">
        <v>776</v>
      </c>
      <c r="E80" s="96" t="s">
        <v>265</v>
      </c>
      <c r="F80" s="1189"/>
      <c r="G80" s="1189"/>
      <c r="H80" s="1189"/>
      <c r="I80" s="1189"/>
      <c r="J80" s="1189"/>
      <c r="K80" s="1189"/>
      <c r="L80" s="1189"/>
      <c r="M80" s="1189"/>
      <c r="N80" s="1189"/>
      <c r="O80" s="1189"/>
      <c r="P80" s="1189"/>
      <c r="Q80" s="1189"/>
      <c r="R80" s="1189"/>
      <c r="S80" s="1189"/>
      <c r="T80" s="1189"/>
      <c r="U80" s="1189"/>
      <c r="V80" s="1189"/>
      <c r="W80" s="1189"/>
      <c r="X80" s="1189"/>
      <c r="Y80" s="1189"/>
      <c r="Z80" s="1189"/>
      <c r="AA80" s="1189"/>
      <c r="AB80" s="1189"/>
      <c r="AC80" s="1189"/>
      <c r="AD80" s="1189"/>
      <c r="AE80" s="1189"/>
      <c r="AF80" s="1189"/>
      <c r="AG80" s="1189"/>
      <c r="AH80" s="1189"/>
      <c r="AI80" s="1189"/>
      <c r="AJ80" s="1189"/>
      <c r="AK80" s="1189"/>
      <c r="AL80" s="1189"/>
      <c r="AM80" s="1189"/>
      <c r="AN80" s="1189"/>
      <c r="AO80" s="1189"/>
      <c r="AP80" s="1189"/>
      <c r="AQ80" s="1189"/>
      <c r="AR80" s="1189"/>
      <c r="AS80" s="1189"/>
      <c r="AT80" s="1189"/>
      <c r="AU80" s="1189"/>
      <c r="AV80" s="1189"/>
      <c r="AW80" s="1189"/>
      <c r="AX80" s="1189"/>
      <c r="AY80" s="1189"/>
      <c r="AZ80" s="1189"/>
      <c r="BA80" s="1189"/>
      <c r="BB80" s="1189"/>
      <c r="BC80" s="1189"/>
      <c r="BD80" s="1189"/>
      <c r="BE80" s="1189"/>
      <c r="BF80" s="1189"/>
      <c r="BG80" s="1189"/>
      <c r="BH80" s="1189"/>
      <c r="BI80" s="1172"/>
      <c r="BJ80" s="96"/>
      <c r="BK80" s="96"/>
      <c r="BL80" s="96"/>
      <c r="BM80" s="96"/>
      <c r="BN80" s="96"/>
      <c r="BO80" s="96"/>
    </row>
    <row r="81" spans="2:67" s="13" customFormat="1" ht="12.75">
      <c r="B81" s="1190"/>
      <c r="C81" s="1178"/>
      <c r="D81" s="1180" t="s">
        <v>372</v>
      </c>
      <c r="E81" s="1180" t="s">
        <v>264</v>
      </c>
      <c r="F81" s="1194" t="e">
        <f t="shared" ref="F81:BH81" si="10">IF($C$7="Rural",F79+F78+F76,F75*F74)</f>
        <v>#REF!</v>
      </c>
      <c r="G81" s="1194" t="e">
        <f>G80+G79</f>
        <v>#N/A</v>
      </c>
      <c r="H81" s="1194" t="e">
        <f t="shared" si="10"/>
        <v>#N/A</v>
      </c>
      <c r="I81" s="1194" t="e">
        <f t="shared" si="10"/>
        <v>#N/A</v>
      </c>
      <c r="J81" s="1194" t="e">
        <f t="shared" si="10"/>
        <v>#N/A</v>
      </c>
      <c r="K81" s="1194" t="e">
        <f t="shared" si="10"/>
        <v>#N/A</v>
      </c>
      <c r="L81" s="1194" t="e">
        <f t="shared" si="10"/>
        <v>#N/A</v>
      </c>
      <c r="M81" s="1194" t="e">
        <f t="shared" si="10"/>
        <v>#N/A</v>
      </c>
      <c r="N81" s="1194" t="e">
        <f t="shared" si="10"/>
        <v>#N/A</v>
      </c>
      <c r="O81" s="1194" t="e">
        <f t="shared" si="10"/>
        <v>#N/A</v>
      </c>
      <c r="P81" s="1194" t="e">
        <f t="shared" si="10"/>
        <v>#N/A</v>
      </c>
      <c r="Q81" s="1194" t="e">
        <f t="shared" si="10"/>
        <v>#N/A</v>
      </c>
      <c r="R81" s="1194" t="e">
        <f t="shared" si="10"/>
        <v>#N/A</v>
      </c>
      <c r="S81" s="1191" t="e">
        <f t="shared" si="10"/>
        <v>#N/A</v>
      </c>
      <c r="T81" s="1191" t="e">
        <f t="shared" si="10"/>
        <v>#N/A</v>
      </c>
      <c r="U81" s="1191" t="e">
        <f t="shared" si="10"/>
        <v>#N/A</v>
      </c>
      <c r="V81" s="1191" t="e">
        <f t="shared" si="10"/>
        <v>#N/A</v>
      </c>
      <c r="W81" s="1191" t="e">
        <f t="shared" si="10"/>
        <v>#N/A</v>
      </c>
      <c r="X81" s="1191" t="e">
        <f t="shared" si="10"/>
        <v>#N/A</v>
      </c>
      <c r="Y81" s="1191" t="e">
        <f t="shared" si="10"/>
        <v>#N/A</v>
      </c>
      <c r="Z81" s="1191" t="e">
        <f t="shared" si="10"/>
        <v>#N/A</v>
      </c>
      <c r="AA81" s="1191" t="e">
        <f t="shared" si="10"/>
        <v>#N/A</v>
      </c>
      <c r="AB81" s="1191" t="e">
        <f t="shared" si="10"/>
        <v>#REF!</v>
      </c>
      <c r="AC81" s="1191" t="e">
        <f t="shared" si="10"/>
        <v>#REF!</v>
      </c>
      <c r="AD81" s="1191" t="e">
        <f t="shared" si="10"/>
        <v>#REF!</v>
      </c>
      <c r="AE81" s="1191" t="e">
        <f t="shared" si="10"/>
        <v>#REF!</v>
      </c>
      <c r="AF81" s="1191" t="e">
        <f t="shared" si="10"/>
        <v>#REF!</v>
      </c>
      <c r="AG81" s="1191" t="e">
        <f t="shared" si="10"/>
        <v>#REF!</v>
      </c>
      <c r="AH81" s="1191" t="e">
        <f t="shared" si="10"/>
        <v>#REF!</v>
      </c>
      <c r="AI81" s="1191" t="e">
        <f t="shared" si="10"/>
        <v>#REF!</v>
      </c>
      <c r="AJ81" s="1191" t="e">
        <f t="shared" si="10"/>
        <v>#REF!</v>
      </c>
      <c r="AK81" s="1191" t="e">
        <f t="shared" si="10"/>
        <v>#REF!</v>
      </c>
      <c r="AL81" s="1191" t="e">
        <f t="shared" si="10"/>
        <v>#REF!</v>
      </c>
      <c r="AM81" s="1191" t="e">
        <f t="shared" si="10"/>
        <v>#REF!</v>
      </c>
      <c r="AN81" s="1191" t="e">
        <f t="shared" si="10"/>
        <v>#REF!</v>
      </c>
      <c r="AO81" s="1191" t="e">
        <f t="shared" si="10"/>
        <v>#REF!</v>
      </c>
      <c r="AP81" s="1191" t="e">
        <f t="shared" si="10"/>
        <v>#REF!</v>
      </c>
      <c r="AQ81" s="1191" t="e">
        <f t="shared" si="10"/>
        <v>#REF!</v>
      </c>
      <c r="AR81" s="1191" t="e">
        <f t="shared" si="10"/>
        <v>#REF!</v>
      </c>
      <c r="AS81" s="1191" t="e">
        <f t="shared" si="10"/>
        <v>#REF!</v>
      </c>
      <c r="AT81" s="1191" t="e">
        <f t="shared" si="10"/>
        <v>#REF!</v>
      </c>
      <c r="AU81" s="1191" t="e">
        <f t="shared" si="10"/>
        <v>#REF!</v>
      </c>
      <c r="AV81" s="1191" t="e">
        <f t="shared" si="10"/>
        <v>#REF!</v>
      </c>
      <c r="AW81" s="1191" t="e">
        <f t="shared" si="10"/>
        <v>#REF!</v>
      </c>
      <c r="AX81" s="1191" t="e">
        <f t="shared" si="10"/>
        <v>#REF!</v>
      </c>
      <c r="AY81" s="1191" t="e">
        <f t="shared" si="10"/>
        <v>#REF!</v>
      </c>
      <c r="AZ81" s="1191" t="e">
        <f t="shared" si="10"/>
        <v>#REF!</v>
      </c>
      <c r="BA81" s="1191" t="e">
        <f t="shared" si="10"/>
        <v>#REF!</v>
      </c>
      <c r="BB81" s="1191" t="e">
        <f t="shared" si="10"/>
        <v>#REF!</v>
      </c>
      <c r="BC81" s="1191" t="e">
        <f t="shared" si="10"/>
        <v>#REF!</v>
      </c>
      <c r="BD81" s="1191" t="e">
        <f t="shared" si="10"/>
        <v>#REF!</v>
      </c>
      <c r="BE81" s="1191" t="e">
        <f t="shared" si="10"/>
        <v>#REF!</v>
      </c>
      <c r="BF81" s="1191" t="e">
        <f t="shared" si="10"/>
        <v>#REF!</v>
      </c>
      <c r="BG81" s="1191" t="e">
        <f t="shared" si="10"/>
        <v>#REF!</v>
      </c>
      <c r="BH81" s="1191" t="e">
        <f t="shared" si="10"/>
        <v>#REF!</v>
      </c>
      <c r="BI81" s="1172" t="e">
        <f>NPV($D$49,F81:BH81)</f>
        <v>#REF!</v>
      </c>
      <c r="BJ81" s="12"/>
      <c r="BK81" s="12"/>
      <c r="BL81" s="12"/>
      <c r="BM81" s="12"/>
      <c r="BN81" s="12"/>
      <c r="BO81" s="12"/>
    </row>
    <row r="82" spans="2:67" ht="12.75">
      <c r="C82" s="1183"/>
      <c r="D82" s="96"/>
      <c r="E82" s="96"/>
      <c r="F82" s="1192"/>
      <c r="G82" s="1192"/>
      <c r="H82" s="1192"/>
      <c r="I82" s="1192"/>
      <c r="J82" s="1192"/>
      <c r="K82" s="1192"/>
      <c r="L82" s="1192"/>
      <c r="M82" s="1192"/>
      <c r="N82" s="1192"/>
      <c r="O82" s="1192"/>
      <c r="P82" s="1192"/>
      <c r="Q82" s="1192"/>
      <c r="R82" s="1192"/>
      <c r="S82" s="1192"/>
      <c r="T82" s="1192"/>
      <c r="U82" s="1192"/>
      <c r="V82" s="1192"/>
      <c r="W82" s="1192"/>
      <c r="X82" s="1192"/>
      <c r="Y82" s="1192"/>
      <c r="Z82" s="1192"/>
      <c r="AA82" s="1192"/>
      <c r="AB82" s="1192"/>
      <c r="AC82" s="1192"/>
      <c r="AD82" s="1192"/>
      <c r="AE82" s="1192"/>
      <c r="AF82" s="1192"/>
      <c r="AG82" s="1192"/>
      <c r="AH82" s="1192"/>
      <c r="AI82" s="1192"/>
      <c r="AJ82" s="1192"/>
      <c r="AK82" s="1192"/>
      <c r="AL82" s="1192"/>
      <c r="AM82" s="1192"/>
      <c r="AN82" s="1192"/>
      <c r="AO82" s="1192"/>
      <c r="AP82" s="1192"/>
      <c r="AQ82" s="1192"/>
      <c r="AR82" s="1192"/>
      <c r="AS82" s="1192"/>
      <c r="AT82" s="1192"/>
      <c r="AU82" s="1192"/>
      <c r="AV82" s="1192"/>
      <c r="AW82" s="1192"/>
      <c r="AX82" s="1192"/>
      <c r="AY82" s="1192"/>
      <c r="AZ82" s="1192"/>
      <c r="BA82" s="1192"/>
      <c r="BB82" s="1192"/>
      <c r="BC82" s="1192"/>
      <c r="BD82" s="1192"/>
      <c r="BE82" s="1192"/>
      <c r="BF82" s="1192"/>
      <c r="BG82" s="1192"/>
      <c r="BH82" s="1192"/>
      <c r="BI82" s="1172"/>
      <c r="BJ82" s="96"/>
      <c r="BK82" s="96"/>
      <c r="BL82" s="96"/>
      <c r="BM82" s="96"/>
      <c r="BN82" s="96"/>
      <c r="BO82" s="96"/>
    </row>
    <row r="83" spans="2:67" ht="12.75">
      <c r="C83" s="1183"/>
      <c r="D83" s="467"/>
      <c r="E83" s="467"/>
      <c r="F83" s="467"/>
      <c r="G83" s="467"/>
      <c r="H83" s="467"/>
      <c r="I83" s="467"/>
      <c r="J83" s="467"/>
      <c r="K83" s="467"/>
      <c r="L83" s="467"/>
      <c r="M83" s="467"/>
      <c r="N83" s="467"/>
      <c r="O83" s="467"/>
      <c r="P83" s="467"/>
      <c r="Q83" s="467"/>
      <c r="R83" s="467"/>
      <c r="BJ83" s="96"/>
      <c r="BK83" s="96"/>
      <c r="BL83" s="96"/>
      <c r="BM83" s="96"/>
      <c r="BN83" s="96"/>
      <c r="BO83" s="96"/>
    </row>
    <row r="84" spans="2:67" ht="12.75">
      <c r="C84" s="1183"/>
      <c r="D84" s="467"/>
      <c r="E84" s="467"/>
      <c r="F84" s="467"/>
      <c r="G84" s="467"/>
      <c r="H84" s="467"/>
      <c r="I84" s="467"/>
      <c r="J84" s="467"/>
      <c r="K84" s="467"/>
      <c r="L84" s="467"/>
      <c r="M84" s="467"/>
      <c r="N84" s="467"/>
      <c r="O84" s="467"/>
      <c r="P84" s="467"/>
      <c r="Q84" s="467"/>
      <c r="R84" s="467"/>
      <c r="BJ84" s="96"/>
      <c r="BK84" s="96"/>
      <c r="BL84" s="96"/>
      <c r="BM84" s="96"/>
      <c r="BN84" s="96"/>
      <c r="BO84" s="96"/>
    </row>
    <row r="85" spans="2:67" ht="12.75">
      <c r="C85" s="1165" t="s">
        <v>340</v>
      </c>
      <c r="D85" s="1195"/>
      <c r="E85" s="1167" t="s">
        <v>263</v>
      </c>
      <c r="F85" s="1196">
        <v>2014</v>
      </c>
      <c r="G85" s="1196">
        <f t="shared" ref="G85:BH85" si="11">F85+1</f>
        <v>2015</v>
      </c>
      <c r="H85" s="1196">
        <f t="shared" si="11"/>
        <v>2016</v>
      </c>
      <c r="I85" s="1196">
        <f t="shared" si="11"/>
        <v>2017</v>
      </c>
      <c r="J85" s="1196">
        <f t="shared" si="11"/>
        <v>2018</v>
      </c>
      <c r="K85" s="1196">
        <f t="shared" si="11"/>
        <v>2019</v>
      </c>
      <c r="L85" s="1196">
        <f t="shared" si="11"/>
        <v>2020</v>
      </c>
      <c r="M85" s="1196">
        <f t="shared" si="11"/>
        <v>2021</v>
      </c>
      <c r="N85" s="1196">
        <f>M85+1</f>
        <v>2022</v>
      </c>
      <c r="O85" s="1196">
        <f t="shared" si="11"/>
        <v>2023</v>
      </c>
      <c r="P85" s="1196">
        <f t="shared" si="11"/>
        <v>2024</v>
      </c>
      <c r="Q85" s="1196">
        <f t="shared" si="11"/>
        <v>2025</v>
      </c>
      <c r="R85" s="1196">
        <f t="shared" si="11"/>
        <v>2026</v>
      </c>
      <c r="S85" s="1264">
        <f>R85+1</f>
        <v>2027</v>
      </c>
      <c r="T85" s="1264">
        <f t="shared" si="11"/>
        <v>2028</v>
      </c>
      <c r="U85" s="1264">
        <f t="shared" si="11"/>
        <v>2029</v>
      </c>
      <c r="V85" s="1264">
        <f t="shared" si="11"/>
        <v>2030</v>
      </c>
      <c r="W85" s="1264">
        <f t="shared" si="11"/>
        <v>2031</v>
      </c>
      <c r="X85" s="1264">
        <f t="shared" si="11"/>
        <v>2032</v>
      </c>
      <c r="Y85" s="1264">
        <f t="shared" si="11"/>
        <v>2033</v>
      </c>
      <c r="Z85" s="1264">
        <f t="shared" si="11"/>
        <v>2034</v>
      </c>
      <c r="AA85" s="1264">
        <f t="shared" si="11"/>
        <v>2035</v>
      </c>
      <c r="AB85" s="1264">
        <f t="shared" si="11"/>
        <v>2036</v>
      </c>
      <c r="AC85" s="1264">
        <f t="shared" si="11"/>
        <v>2037</v>
      </c>
      <c r="AD85" s="1264">
        <f t="shared" si="11"/>
        <v>2038</v>
      </c>
      <c r="AE85" s="1264">
        <f t="shared" si="11"/>
        <v>2039</v>
      </c>
      <c r="AF85" s="1264">
        <f t="shared" si="11"/>
        <v>2040</v>
      </c>
      <c r="AG85" s="1264">
        <f t="shared" si="11"/>
        <v>2041</v>
      </c>
      <c r="AH85" s="1264">
        <f t="shared" si="11"/>
        <v>2042</v>
      </c>
      <c r="AI85" s="1264">
        <f t="shared" si="11"/>
        <v>2043</v>
      </c>
      <c r="AJ85" s="1264">
        <f t="shared" si="11"/>
        <v>2044</v>
      </c>
      <c r="AK85" s="1264">
        <f t="shared" si="11"/>
        <v>2045</v>
      </c>
      <c r="AL85" s="1264">
        <f t="shared" si="11"/>
        <v>2046</v>
      </c>
      <c r="AM85" s="1264">
        <f t="shared" si="11"/>
        <v>2047</v>
      </c>
      <c r="AN85" s="1264">
        <f t="shared" si="11"/>
        <v>2048</v>
      </c>
      <c r="AO85" s="1264">
        <f t="shared" si="11"/>
        <v>2049</v>
      </c>
      <c r="AP85" s="1264">
        <f t="shared" si="11"/>
        <v>2050</v>
      </c>
      <c r="AQ85" s="1264">
        <f t="shared" si="11"/>
        <v>2051</v>
      </c>
      <c r="AR85" s="1264">
        <f t="shared" si="11"/>
        <v>2052</v>
      </c>
      <c r="AS85" s="1264">
        <f t="shared" si="11"/>
        <v>2053</v>
      </c>
      <c r="AT85" s="1264">
        <f t="shared" si="11"/>
        <v>2054</v>
      </c>
      <c r="AU85" s="1264">
        <f t="shared" si="11"/>
        <v>2055</v>
      </c>
      <c r="AV85" s="1264">
        <f t="shared" si="11"/>
        <v>2056</v>
      </c>
      <c r="AW85" s="1264">
        <f t="shared" si="11"/>
        <v>2057</v>
      </c>
      <c r="AX85" s="1264">
        <f t="shared" si="11"/>
        <v>2058</v>
      </c>
      <c r="AY85" s="1264">
        <f t="shared" si="11"/>
        <v>2059</v>
      </c>
      <c r="AZ85" s="1264">
        <f t="shared" si="11"/>
        <v>2060</v>
      </c>
      <c r="BA85" s="1264">
        <f t="shared" si="11"/>
        <v>2061</v>
      </c>
      <c r="BB85" s="1264">
        <f t="shared" si="11"/>
        <v>2062</v>
      </c>
      <c r="BC85" s="1264">
        <f t="shared" si="11"/>
        <v>2063</v>
      </c>
      <c r="BD85" s="1264">
        <f t="shared" si="11"/>
        <v>2064</v>
      </c>
      <c r="BE85" s="1264">
        <f t="shared" si="11"/>
        <v>2065</v>
      </c>
      <c r="BF85" s="1264">
        <f t="shared" si="11"/>
        <v>2066</v>
      </c>
      <c r="BG85" s="1264">
        <f t="shared" si="11"/>
        <v>2067</v>
      </c>
      <c r="BH85" s="1264">
        <f t="shared" si="11"/>
        <v>2068</v>
      </c>
      <c r="BI85" s="1197" t="s">
        <v>4</v>
      </c>
      <c r="BJ85" s="96"/>
      <c r="BK85" s="96"/>
      <c r="BL85" s="96"/>
      <c r="BM85" s="96"/>
      <c r="BN85" s="96"/>
      <c r="BO85" s="96"/>
    </row>
    <row r="86" spans="2:67" ht="12.75">
      <c r="C86" s="2144" t="s">
        <v>284</v>
      </c>
      <c r="D86" s="2145"/>
      <c r="E86" s="2145"/>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c r="AE86" s="96"/>
      <c r="AF86" s="96"/>
      <c r="AG86" s="96"/>
      <c r="AH86" s="96"/>
      <c r="AI86" s="96"/>
      <c r="AJ86" s="96"/>
      <c r="AK86" s="96"/>
      <c r="AL86" s="96"/>
      <c r="AM86" s="96"/>
      <c r="AN86" s="96"/>
      <c r="AO86" s="96"/>
      <c r="AP86" s="96"/>
      <c r="AQ86" s="96"/>
      <c r="AR86" s="96"/>
      <c r="AS86" s="96"/>
      <c r="AT86" s="96"/>
      <c r="AU86" s="96"/>
      <c r="AV86" s="96"/>
      <c r="AW86" s="96"/>
      <c r="AX86" s="96"/>
      <c r="AY86" s="96"/>
      <c r="AZ86" s="96"/>
      <c r="BA86" s="96"/>
      <c r="BB86" s="96"/>
      <c r="BC86" s="96"/>
      <c r="BD86" s="96"/>
      <c r="BE86" s="96"/>
      <c r="BF86" s="96"/>
      <c r="BG86" s="96"/>
      <c r="BH86" s="96"/>
      <c r="BI86" s="1198"/>
      <c r="BJ86" s="96"/>
      <c r="BK86" s="96"/>
      <c r="BL86" s="96"/>
      <c r="BM86" s="96"/>
      <c r="BN86" s="96"/>
      <c r="BO86" s="96"/>
    </row>
    <row r="87" spans="2:67" ht="12.75">
      <c r="C87" s="1199"/>
      <c r="D87" s="96" t="s">
        <v>616</v>
      </c>
      <c r="E87" s="96" t="str">
        <f>IF(C7="Railbelt South of Alaska Range", "mmBtu per year", "gallons displaced per year")</f>
        <v>gallons displaced per year</v>
      </c>
      <c r="F87" s="1193" t="e">
        <f>IF(AND(F65+1&gt;#REF!,F65&lt;#REF!+#REF!),#REF!,0)</f>
        <v>#REF!</v>
      </c>
      <c r="G87" s="1193">
        <f t="shared" ref="G87:AA87" si="12">$P$24</f>
        <v>0</v>
      </c>
      <c r="H87" s="1193">
        <f t="shared" si="12"/>
        <v>0</v>
      </c>
      <c r="I87" s="1193">
        <f t="shared" si="12"/>
        <v>0</v>
      </c>
      <c r="J87" s="1193">
        <f t="shared" si="12"/>
        <v>0</v>
      </c>
      <c r="K87" s="1193">
        <f t="shared" si="12"/>
        <v>0</v>
      </c>
      <c r="L87" s="1193">
        <f t="shared" si="12"/>
        <v>0</v>
      </c>
      <c r="M87" s="1193">
        <f t="shared" si="12"/>
        <v>0</v>
      </c>
      <c r="N87" s="1193">
        <f t="shared" si="12"/>
        <v>0</v>
      </c>
      <c r="O87" s="1193">
        <f t="shared" si="12"/>
        <v>0</v>
      </c>
      <c r="P87" s="1193">
        <f t="shared" si="12"/>
        <v>0</v>
      </c>
      <c r="Q87" s="1193">
        <f t="shared" si="12"/>
        <v>0</v>
      </c>
      <c r="R87" s="1193">
        <f t="shared" si="12"/>
        <v>0</v>
      </c>
      <c r="S87" s="1193">
        <f t="shared" si="12"/>
        <v>0</v>
      </c>
      <c r="T87" s="1193">
        <f t="shared" si="12"/>
        <v>0</v>
      </c>
      <c r="U87" s="1193">
        <f t="shared" si="12"/>
        <v>0</v>
      </c>
      <c r="V87" s="1193">
        <f t="shared" si="12"/>
        <v>0</v>
      </c>
      <c r="W87" s="1193">
        <f t="shared" si="12"/>
        <v>0</v>
      </c>
      <c r="X87" s="1193">
        <f t="shared" si="12"/>
        <v>0</v>
      </c>
      <c r="Y87" s="1193">
        <f t="shared" si="12"/>
        <v>0</v>
      </c>
      <c r="Z87" s="1193">
        <f t="shared" si="12"/>
        <v>0</v>
      </c>
      <c r="AA87" s="1193">
        <f t="shared" si="12"/>
        <v>0</v>
      </c>
      <c r="AB87" s="1193" t="e">
        <f>IF(AND(AB65+1&gt;#REF!,AB65&lt;#REF!+#REF!),#REF!,0)</f>
        <v>#REF!</v>
      </c>
      <c r="AC87" s="1193" t="e">
        <f>IF(AND(AC65+1&gt;#REF!,AC65&lt;#REF!+#REF!),#REF!,0)</f>
        <v>#REF!</v>
      </c>
      <c r="AD87" s="1193" t="e">
        <f>IF(AND(AD65+1&gt;#REF!,AD65&lt;#REF!+#REF!),#REF!,0)</f>
        <v>#REF!</v>
      </c>
      <c r="AE87" s="1193" t="e">
        <f>IF(AND(AE65+1&gt;#REF!,AE65&lt;#REF!+#REF!),#REF!,0)</f>
        <v>#REF!</v>
      </c>
      <c r="AF87" s="1193" t="e">
        <f>IF(AND(AF65+1&gt;#REF!,AF65&lt;#REF!+#REF!),#REF!,0)</f>
        <v>#REF!</v>
      </c>
      <c r="AG87" s="1193" t="e">
        <f>IF(AND(AG65+1&gt;#REF!,AG65&lt;#REF!+#REF!),#REF!,0)</f>
        <v>#REF!</v>
      </c>
      <c r="AH87" s="1193" t="e">
        <f>IF(AND(AH65+1&gt;#REF!,AH65&lt;#REF!+#REF!),#REF!,0)</f>
        <v>#REF!</v>
      </c>
      <c r="AI87" s="1193" t="e">
        <f>IF(AND(AI65+1&gt;#REF!,AI65&lt;#REF!+#REF!),#REF!,0)</f>
        <v>#REF!</v>
      </c>
      <c r="AJ87" s="1193" t="e">
        <f>IF(AND(AJ65+1&gt;#REF!,AJ65&lt;#REF!+#REF!),#REF!,0)</f>
        <v>#REF!</v>
      </c>
      <c r="AK87" s="1193" t="e">
        <f>IF(AND(AK65+1&gt;#REF!,AK65&lt;#REF!+#REF!),#REF!,0)</f>
        <v>#REF!</v>
      </c>
      <c r="AL87" s="1193" t="e">
        <f>IF(AND(AL65+1&gt;#REF!,AL65&lt;#REF!+#REF!),#REF!,0)</f>
        <v>#REF!</v>
      </c>
      <c r="AM87" s="1193" t="e">
        <f>IF(AND(AM65+1&gt;#REF!,AM65&lt;#REF!+#REF!),#REF!,0)</f>
        <v>#REF!</v>
      </c>
      <c r="AN87" s="1193" t="e">
        <f>IF(AND(AN65+1&gt;#REF!,AN65&lt;#REF!+#REF!),#REF!,0)</f>
        <v>#REF!</v>
      </c>
      <c r="AO87" s="1193" t="e">
        <f>IF(AND(AO65+1&gt;#REF!,AO65&lt;#REF!+#REF!),#REF!,0)</f>
        <v>#REF!</v>
      </c>
      <c r="AP87" s="1193" t="e">
        <f>IF(AND(AP65+1&gt;#REF!,AP65&lt;#REF!+#REF!),#REF!,0)</f>
        <v>#REF!</v>
      </c>
      <c r="AQ87" s="1193" t="e">
        <f>IF(AND(AQ65+1&gt;#REF!,AQ65&lt;#REF!+#REF!),#REF!,0)</f>
        <v>#REF!</v>
      </c>
      <c r="AR87" s="1193" t="e">
        <f>IF(AND(AR65+1&gt;#REF!,AR65&lt;#REF!+#REF!),#REF!,0)</f>
        <v>#REF!</v>
      </c>
      <c r="AS87" s="1193" t="e">
        <f>IF(AND(AS65+1&gt;#REF!,AS65&lt;#REF!+#REF!),#REF!,0)</f>
        <v>#REF!</v>
      </c>
      <c r="AT87" s="1193" t="e">
        <f>IF(AND(AT65+1&gt;#REF!,AT65&lt;#REF!+#REF!),#REF!,0)</f>
        <v>#REF!</v>
      </c>
      <c r="AU87" s="1193" t="e">
        <f>IF(AND(AU65+1&gt;#REF!,AU65&lt;#REF!+#REF!),#REF!,0)</f>
        <v>#REF!</v>
      </c>
      <c r="AV87" s="1193" t="e">
        <f>IF(AND(AV65+1&gt;#REF!,AV65&lt;#REF!+#REF!),#REF!,0)</f>
        <v>#REF!</v>
      </c>
      <c r="AW87" s="1193" t="e">
        <f>IF(AND(AW65+1&gt;#REF!,AW65&lt;#REF!+#REF!),#REF!,0)</f>
        <v>#REF!</v>
      </c>
      <c r="AX87" s="1193" t="e">
        <f>IF(AND(AX65+1&gt;#REF!,AX65&lt;#REF!+#REF!),#REF!,0)</f>
        <v>#REF!</v>
      </c>
      <c r="AY87" s="1193" t="e">
        <f>IF(AND(AY65+1&gt;#REF!,AY65&lt;#REF!+#REF!),#REF!,0)</f>
        <v>#REF!</v>
      </c>
      <c r="AZ87" s="1193" t="e">
        <f>IF(AND(AZ65+1&gt;#REF!,AZ65&lt;#REF!+#REF!),#REF!,0)</f>
        <v>#REF!</v>
      </c>
      <c r="BA87" s="1193" t="e">
        <f>IF(AND(BA65+1&gt;#REF!,BA65&lt;#REF!+#REF!),#REF!,0)</f>
        <v>#REF!</v>
      </c>
      <c r="BB87" s="1193" t="e">
        <f>IF(AND(BB65+1&gt;#REF!,BB65&lt;#REF!+#REF!),#REF!,0)</f>
        <v>#REF!</v>
      </c>
      <c r="BC87" s="1193" t="e">
        <f>IF(AND(BC65+1&gt;#REF!,BC65&lt;#REF!+#REF!),#REF!,0)</f>
        <v>#REF!</v>
      </c>
      <c r="BD87" s="1193" t="e">
        <f>IF(AND(BD65+1&gt;#REF!,BD65&lt;#REF!+#REF!),#REF!,0)</f>
        <v>#REF!</v>
      </c>
      <c r="BE87" s="1193" t="e">
        <f>IF(AND(BE65+1&gt;#REF!,BE65&lt;#REF!+#REF!),#REF!,0)</f>
        <v>#REF!</v>
      </c>
      <c r="BF87" s="1193" t="e">
        <f>IF(AND(BF65+1&gt;#REF!,BF65&lt;#REF!+#REF!),#REF!,0)</f>
        <v>#REF!</v>
      </c>
      <c r="BG87" s="1193" t="e">
        <f>IF(AND(BG65+1&gt;#REF!,BG65&lt;#REF!+#REF!),#REF!,0)</f>
        <v>#REF!</v>
      </c>
      <c r="BH87" s="1193" t="e">
        <f>IF(AND(BH65+1&gt;#REF!,BH65&lt;#REF!+#REF!),#REF!,0)</f>
        <v>#REF!</v>
      </c>
      <c r="BI87" s="1172"/>
      <c r="BJ87" s="96"/>
      <c r="BK87" s="96"/>
      <c r="BL87" s="96"/>
      <c r="BM87" s="96"/>
      <c r="BN87" s="96"/>
      <c r="BO87" s="96"/>
    </row>
    <row r="88" spans="2:67" ht="12.75">
      <c r="C88" s="1199" t="s">
        <v>277</v>
      </c>
      <c r="D88" s="96" t="s">
        <v>568</v>
      </c>
      <c r="E88" s="96" t="s">
        <v>264</v>
      </c>
      <c r="F88" s="1173">
        <v>0</v>
      </c>
      <c r="G88" s="1173">
        <v>0</v>
      </c>
      <c r="H88" s="1173">
        <v>0</v>
      </c>
      <c r="I88" s="1173">
        <v>0</v>
      </c>
      <c r="J88" s="1173">
        <v>0</v>
      </c>
      <c r="K88" s="1173">
        <v>0</v>
      </c>
      <c r="L88" s="1173">
        <v>0</v>
      </c>
      <c r="M88" s="1173">
        <v>0</v>
      </c>
      <c r="N88" s="1173">
        <v>0</v>
      </c>
      <c r="O88" s="1173">
        <v>0</v>
      </c>
      <c r="P88" s="1173">
        <v>0</v>
      </c>
      <c r="Q88" s="1173">
        <v>0</v>
      </c>
      <c r="R88" s="1173">
        <v>0</v>
      </c>
      <c r="S88" s="1173">
        <v>0</v>
      </c>
      <c r="T88" s="1173">
        <v>0</v>
      </c>
      <c r="U88" s="1173">
        <v>0</v>
      </c>
      <c r="V88" s="1173">
        <v>0</v>
      </c>
      <c r="W88" s="1173">
        <v>0</v>
      </c>
      <c r="X88" s="1173">
        <v>0</v>
      </c>
      <c r="Y88" s="1173">
        <v>0</v>
      </c>
      <c r="Z88" s="1173">
        <v>0</v>
      </c>
      <c r="AA88" s="1173">
        <v>0</v>
      </c>
      <c r="AB88" s="1173">
        <v>0</v>
      </c>
      <c r="AC88" s="1173">
        <v>0</v>
      </c>
      <c r="AD88" s="1173">
        <v>0</v>
      </c>
      <c r="AE88" s="1173">
        <v>0</v>
      </c>
      <c r="AF88" s="1173">
        <v>0</v>
      </c>
      <c r="AG88" s="1173">
        <v>0</v>
      </c>
      <c r="AH88" s="1173">
        <v>0</v>
      </c>
      <c r="AI88" s="1173">
        <v>0</v>
      </c>
      <c r="AJ88" s="1173">
        <v>0</v>
      </c>
      <c r="AK88" s="1173">
        <v>0</v>
      </c>
      <c r="AL88" s="1173">
        <v>0</v>
      </c>
      <c r="AM88" s="1173">
        <v>0</v>
      </c>
      <c r="AN88" s="1173">
        <v>0</v>
      </c>
      <c r="AO88" s="1173">
        <v>0</v>
      </c>
      <c r="AP88" s="1173">
        <v>0</v>
      </c>
      <c r="AQ88" s="1173">
        <v>0</v>
      </c>
      <c r="AR88" s="1173">
        <v>0</v>
      </c>
      <c r="AS88" s="1173">
        <v>0</v>
      </c>
      <c r="AT88" s="1173">
        <v>0</v>
      </c>
      <c r="AU88" s="1173">
        <v>0</v>
      </c>
      <c r="AV88" s="1173">
        <v>0</v>
      </c>
      <c r="AW88" s="1173">
        <v>0</v>
      </c>
      <c r="AX88" s="1173">
        <v>0</v>
      </c>
      <c r="AY88" s="1173">
        <v>0</v>
      </c>
      <c r="AZ88" s="1173">
        <v>0</v>
      </c>
      <c r="BA88" s="1173">
        <v>0</v>
      </c>
      <c r="BB88" s="1173">
        <v>0</v>
      </c>
      <c r="BC88" s="1173">
        <v>0</v>
      </c>
      <c r="BD88" s="1173">
        <v>0</v>
      </c>
      <c r="BE88" s="1173">
        <v>0</v>
      </c>
      <c r="BF88" s="1173">
        <v>0</v>
      </c>
      <c r="BG88" s="1173">
        <v>0</v>
      </c>
      <c r="BH88" s="1173">
        <v>0</v>
      </c>
      <c r="BI88" s="1172">
        <f>NPV($D$49,F88:BH88)</f>
        <v>0</v>
      </c>
      <c r="BJ88" s="96"/>
      <c r="BK88" s="96"/>
      <c r="BL88" s="96"/>
      <c r="BM88" s="96"/>
      <c r="BN88" s="96"/>
      <c r="BO88" s="96"/>
    </row>
    <row r="89" spans="2:67" ht="12.75">
      <c r="C89" s="1199" t="s">
        <v>277</v>
      </c>
      <c r="D89" s="96" t="s">
        <v>567</v>
      </c>
      <c r="E89" s="96" t="s">
        <v>264</v>
      </c>
      <c r="F89" s="1173">
        <v>0</v>
      </c>
      <c r="G89" s="1173">
        <v>0</v>
      </c>
      <c r="H89" s="1173">
        <v>0</v>
      </c>
      <c r="I89" s="1173">
        <v>0</v>
      </c>
      <c r="J89" s="1173">
        <v>0</v>
      </c>
      <c r="K89" s="1173">
        <v>0</v>
      </c>
      <c r="L89" s="1173">
        <v>0</v>
      </c>
      <c r="M89" s="1173">
        <v>0</v>
      </c>
      <c r="N89" s="1173">
        <v>0</v>
      </c>
      <c r="O89" s="1173">
        <v>0</v>
      </c>
      <c r="P89" s="1173">
        <v>0</v>
      </c>
      <c r="Q89" s="1173">
        <v>0</v>
      </c>
      <c r="R89" s="1173">
        <v>0</v>
      </c>
      <c r="S89" s="1173">
        <v>0</v>
      </c>
      <c r="T89" s="1173">
        <v>0</v>
      </c>
      <c r="U89" s="1173">
        <v>0</v>
      </c>
      <c r="V89" s="1173">
        <v>0</v>
      </c>
      <c r="W89" s="1173">
        <v>0</v>
      </c>
      <c r="X89" s="1173">
        <v>0</v>
      </c>
      <c r="Y89" s="1173">
        <v>0</v>
      </c>
      <c r="Z89" s="1173">
        <v>0</v>
      </c>
      <c r="AA89" s="1173">
        <v>0</v>
      </c>
      <c r="AB89" s="1173">
        <v>0</v>
      </c>
      <c r="AC89" s="1173">
        <v>0</v>
      </c>
      <c r="AD89" s="1173">
        <v>0</v>
      </c>
      <c r="AE89" s="1173">
        <v>0</v>
      </c>
      <c r="AF89" s="1173">
        <v>0</v>
      </c>
      <c r="AG89" s="1173">
        <v>0</v>
      </c>
      <c r="AH89" s="1173">
        <v>0</v>
      </c>
      <c r="AI89" s="1173">
        <v>0</v>
      </c>
      <c r="AJ89" s="1173">
        <v>0</v>
      </c>
      <c r="AK89" s="1173">
        <v>0</v>
      </c>
      <c r="AL89" s="1173">
        <v>0</v>
      </c>
      <c r="AM89" s="1173">
        <v>0</v>
      </c>
      <c r="AN89" s="1173">
        <v>0</v>
      </c>
      <c r="AO89" s="1173">
        <v>0</v>
      </c>
      <c r="AP89" s="1173">
        <v>0</v>
      </c>
      <c r="AQ89" s="1173">
        <v>0</v>
      </c>
      <c r="AR89" s="1173">
        <v>0</v>
      </c>
      <c r="AS89" s="1173">
        <v>0</v>
      </c>
      <c r="AT89" s="1173">
        <v>0</v>
      </c>
      <c r="AU89" s="1173">
        <v>0</v>
      </c>
      <c r="AV89" s="1173">
        <v>0</v>
      </c>
      <c r="AW89" s="1173">
        <v>0</v>
      </c>
      <c r="AX89" s="1173">
        <v>0</v>
      </c>
      <c r="AY89" s="1173">
        <v>0</v>
      </c>
      <c r="AZ89" s="1173">
        <v>0</v>
      </c>
      <c r="BA89" s="1173">
        <v>0</v>
      </c>
      <c r="BB89" s="1173">
        <v>0</v>
      </c>
      <c r="BC89" s="1173">
        <v>0</v>
      </c>
      <c r="BD89" s="1173">
        <v>0</v>
      </c>
      <c r="BE89" s="1173">
        <v>0</v>
      </c>
      <c r="BF89" s="1173">
        <v>0</v>
      </c>
      <c r="BG89" s="1173">
        <v>0</v>
      </c>
      <c r="BH89" s="1173">
        <v>0</v>
      </c>
      <c r="BI89" s="1172">
        <f>NPV($D$49,F89:BH89)</f>
        <v>0</v>
      </c>
      <c r="BJ89" s="96"/>
      <c r="BK89" s="96"/>
      <c r="BL89" s="96"/>
      <c r="BM89" s="96"/>
      <c r="BN89" s="96"/>
      <c r="BO89" s="96"/>
    </row>
    <row r="90" spans="2:67" s="13" customFormat="1" ht="12.75">
      <c r="B90" s="1190"/>
      <c r="C90" s="1188"/>
      <c r="D90" s="12" t="s">
        <v>373</v>
      </c>
      <c r="E90" s="12" t="s">
        <v>264</v>
      </c>
      <c r="F90" s="1191">
        <f t="shared" ref="F90:BH90" si="13">F88+F89</f>
        <v>0</v>
      </c>
      <c r="G90" s="1191">
        <f t="shared" si="13"/>
        <v>0</v>
      </c>
      <c r="H90" s="1191">
        <f t="shared" si="13"/>
        <v>0</v>
      </c>
      <c r="I90" s="1191">
        <f t="shared" si="13"/>
        <v>0</v>
      </c>
      <c r="J90" s="1191">
        <f t="shared" si="13"/>
        <v>0</v>
      </c>
      <c r="K90" s="1191">
        <f t="shared" si="13"/>
        <v>0</v>
      </c>
      <c r="L90" s="1191">
        <f t="shared" si="13"/>
        <v>0</v>
      </c>
      <c r="M90" s="1191">
        <f t="shared" si="13"/>
        <v>0</v>
      </c>
      <c r="N90" s="1191">
        <f t="shared" si="13"/>
        <v>0</v>
      </c>
      <c r="O90" s="1191">
        <f t="shared" si="13"/>
        <v>0</v>
      </c>
      <c r="P90" s="1191">
        <f t="shared" si="13"/>
        <v>0</v>
      </c>
      <c r="Q90" s="1191">
        <f t="shared" si="13"/>
        <v>0</v>
      </c>
      <c r="R90" s="1191">
        <f t="shared" si="13"/>
        <v>0</v>
      </c>
      <c r="S90" s="1191">
        <f t="shared" si="13"/>
        <v>0</v>
      </c>
      <c r="T90" s="1191">
        <f t="shared" si="13"/>
        <v>0</v>
      </c>
      <c r="U90" s="1191">
        <f t="shared" si="13"/>
        <v>0</v>
      </c>
      <c r="V90" s="1191">
        <f t="shared" si="13"/>
        <v>0</v>
      </c>
      <c r="W90" s="1191">
        <f t="shared" si="13"/>
        <v>0</v>
      </c>
      <c r="X90" s="1191">
        <f t="shared" si="13"/>
        <v>0</v>
      </c>
      <c r="Y90" s="1191">
        <f t="shared" si="13"/>
        <v>0</v>
      </c>
      <c r="Z90" s="1191">
        <f t="shared" si="13"/>
        <v>0</v>
      </c>
      <c r="AA90" s="1191">
        <f t="shared" si="13"/>
        <v>0</v>
      </c>
      <c r="AB90" s="1191">
        <f t="shared" si="13"/>
        <v>0</v>
      </c>
      <c r="AC90" s="1191">
        <f t="shared" si="13"/>
        <v>0</v>
      </c>
      <c r="AD90" s="1191">
        <f t="shared" si="13"/>
        <v>0</v>
      </c>
      <c r="AE90" s="1191">
        <f t="shared" si="13"/>
        <v>0</v>
      </c>
      <c r="AF90" s="1191">
        <f t="shared" si="13"/>
        <v>0</v>
      </c>
      <c r="AG90" s="1191">
        <f t="shared" si="13"/>
        <v>0</v>
      </c>
      <c r="AH90" s="1191">
        <f t="shared" si="13"/>
        <v>0</v>
      </c>
      <c r="AI90" s="1191">
        <f t="shared" si="13"/>
        <v>0</v>
      </c>
      <c r="AJ90" s="1191">
        <f t="shared" si="13"/>
        <v>0</v>
      </c>
      <c r="AK90" s="1191">
        <f t="shared" si="13"/>
        <v>0</v>
      </c>
      <c r="AL90" s="1191">
        <f t="shared" si="13"/>
        <v>0</v>
      </c>
      <c r="AM90" s="1191">
        <f t="shared" si="13"/>
        <v>0</v>
      </c>
      <c r="AN90" s="1191">
        <f t="shared" si="13"/>
        <v>0</v>
      </c>
      <c r="AO90" s="1191">
        <f t="shared" si="13"/>
        <v>0</v>
      </c>
      <c r="AP90" s="1191">
        <f t="shared" si="13"/>
        <v>0</v>
      </c>
      <c r="AQ90" s="1191">
        <f t="shared" si="13"/>
        <v>0</v>
      </c>
      <c r="AR90" s="1191">
        <f t="shared" si="13"/>
        <v>0</v>
      </c>
      <c r="AS90" s="1191">
        <f t="shared" si="13"/>
        <v>0</v>
      </c>
      <c r="AT90" s="1191">
        <f t="shared" si="13"/>
        <v>0</v>
      </c>
      <c r="AU90" s="1191">
        <f t="shared" si="13"/>
        <v>0</v>
      </c>
      <c r="AV90" s="1191">
        <f t="shared" si="13"/>
        <v>0</v>
      </c>
      <c r="AW90" s="1191">
        <f t="shared" si="13"/>
        <v>0</v>
      </c>
      <c r="AX90" s="1191">
        <f t="shared" si="13"/>
        <v>0</v>
      </c>
      <c r="AY90" s="1191">
        <f t="shared" si="13"/>
        <v>0</v>
      </c>
      <c r="AZ90" s="1191">
        <f t="shared" si="13"/>
        <v>0</v>
      </c>
      <c r="BA90" s="1191">
        <f t="shared" si="13"/>
        <v>0</v>
      </c>
      <c r="BB90" s="1191">
        <f t="shared" si="13"/>
        <v>0</v>
      </c>
      <c r="BC90" s="1191">
        <f t="shared" si="13"/>
        <v>0</v>
      </c>
      <c r="BD90" s="1191">
        <f t="shared" si="13"/>
        <v>0</v>
      </c>
      <c r="BE90" s="1191">
        <f t="shared" si="13"/>
        <v>0</v>
      </c>
      <c r="BF90" s="1191">
        <f t="shared" si="13"/>
        <v>0</v>
      </c>
      <c r="BG90" s="1191">
        <f t="shared" si="13"/>
        <v>0</v>
      </c>
      <c r="BH90" s="1191">
        <f t="shared" si="13"/>
        <v>0</v>
      </c>
      <c r="BI90" s="1172">
        <f>NPV($D$49,F90:BH90)</f>
        <v>0</v>
      </c>
      <c r="BJ90" s="12"/>
      <c r="BK90" s="12"/>
      <c r="BL90" s="12"/>
      <c r="BM90" s="12"/>
      <c r="BN90" s="12"/>
      <c r="BO90" s="12"/>
    </row>
    <row r="91" spans="2:67" ht="12.75">
      <c r="C91" s="1188"/>
      <c r="D91" s="96"/>
      <c r="E91" s="96"/>
      <c r="F91" s="1192"/>
      <c r="G91" s="1192"/>
      <c r="H91" s="1192"/>
      <c r="I91" s="1192"/>
      <c r="J91" s="1192"/>
      <c r="K91" s="1192"/>
      <c r="L91" s="1192"/>
      <c r="M91" s="1192"/>
      <c r="N91" s="1192"/>
      <c r="O91" s="1192"/>
      <c r="P91" s="1192"/>
      <c r="Q91" s="1192"/>
      <c r="R91" s="1192"/>
      <c r="S91" s="1192"/>
      <c r="T91" s="1192"/>
      <c r="U91" s="1192"/>
      <c r="V91" s="1192"/>
      <c r="W91" s="1192"/>
      <c r="X91" s="1192"/>
      <c r="Y91" s="1192"/>
      <c r="Z91" s="1192"/>
      <c r="AA91" s="1192"/>
      <c r="AB91" s="1192"/>
      <c r="AC91" s="1192"/>
      <c r="AD91" s="1192"/>
      <c r="AE91" s="1192"/>
      <c r="AF91" s="1192"/>
      <c r="AG91" s="1192"/>
      <c r="AH91" s="1192"/>
      <c r="AI91" s="1192"/>
      <c r="AJ91" s="1192"/>
      <c r="AK91" s="1192"/>
      <c r="AL91" s="1192"/>
      <c r="AM91" s="1192"/>
      <c r="AN91" s="1192"/>
      <c r="AO91" s="1192"/>
      <c r="AP91" s="1192"/>
      <c r="AQ91" s="1192"/>
      <c r="AR91" s="1192"/>
      <c r="AS91" s="1192"/>
      <c r="AT91" s="1192"/>
      <c r="AU91" s="1192"/>
      <c r="AV91" s="1192"/>
      <c r="AW91" s="1192"/>
      <c r="AX91" s="1192"/>
      <c r="AY91" s="1192"/>
      <c r="AZ91" s="1192"/>
      <c r="BA91" s="1192"/>
      <c r="BB91" s="1192"/>
      <c r="BC91" s="1192"/>
      <c r="BD91" s="1192"/>
      <c r="BE91" s="1192"/>
      <c r="BF91" s="1192"/>
      <c r="BG91" s="1192"/>
      <c r="BH91" s="1192"/>
      <c r="BI91" s="1172"/>
      <c r="BJ91" s="96"/>
      <c r="BK91" s="96"/>
      <c r="BL91" s="96"/>
      <c r="BM91" s="96"/>
      <c r="BN91" s="96"/>
      <c r="BO91" s="96"/>
    </row>
    <row r="92" spans="2:67" ht="12.75">
      <c r="C92" s="2144" t="s">
        <v>285</v>
      </c>
      <c r="D92" s="2145"/>
      <c r="E92" s="2145"/>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c r="AE92" s="96"/>
      <c r="AF92" s="96"/>
      <c r="AG92" s="96"/>
      <c r="AH92" s="96"/>
      <c r="AI92" s="96"/>
      <c r="AJ92" s="96"/>
      <c r="AK92" s="96"/>
      <c r="AL92" s="96"/>
      <c r="AM92" s="96"/>
      <c r="AN92" s="96"/>
      <c r="AO92" s="96"/>
      <c r="AP92" s="96"/>
      <c r="AQ92" s="96"/>
      <c r="AR92" s="96"/>
      <c r="AS92" s="96"/>
      <c r="AT92" s="96"/>
      <c r="AU92" s="96"/>
      <c r="AV92" s="96"/>
      <c r="AW92" s="96"/>
      <c r="AX92" s="96"/>
      <c r="AY92" s="96"/>
      <c r="AZ92" s="96"/>
      <c r="BA92" s="96"/>
      <c r="BB92" s="96"/>
      <c r="BC92" s="96"/>
      <c r="BD92" s="96"/>
      <c r="BE92" s="96"/>
      <c r="BF92" s="96"/>
      <c r="BG92" s="96"/>
      <c r="BH92" s="96"/>
      <c r="BI92" s="1198"/>
      <c r="BJ92" s="96"/>
      <c r="BK92" s="96"/>
      <c r="BL92" s="96"/>
      <c r="BM92" s="96"/>
      <c r="BN92" s="96"/>
      <c r="BO92" s="96"/>
    </row>
    <row r="93" spans="2:67" ht="12.75">
      <c r="C93" s="1199"/>
      <c r="D93" s="96" t="s">
        <v>617</v>
      </c>
      <c r="E93" s="96" t="str">
        <f>IF(C7="railbelt south of Alaska Range","mmBtu per year","gallons per year")</f>
        <v>gallons per year</v>
      </c>
      <c r="F93" s="1193" t="e">
        <f>IF(AND(F65+1&gt;#REF!,F65&lt;#REF!+#REF!),#REF!,0)</f>
        <v>#REF!</v>
      </c>
      <c r="G93" s="1193" t="e">
        <f>IF(AND(G65+1&gt;#REF!,G65&lt;#REF!+#REF!),#REF!,0)</f>
        <v>#REF!</v>
      </c>
      <c r="H93" s="1193" t="e">
        <f>IF(AND(H65+1&gt;#REF!,H65&lt;#REF!+#REF!),#REF!,0)</f>
        <v>#REF!</v>
      </c>
      <c r="I93" s="1193" t="e">
        <f>IF(AND(I65+1&gt;#REF!,I65&lt;#REF!+#REF!),#REF!,0)</f>
        <v>#REF!</v>
      </c>
      <c r="J93" s="1193" t="e">
        <f>IF(AND(J65+1&gt;#REF!,J65&lt;#REF!+#REF!),#REF!,0)</f>
        <v>#REF!</v>
      </c>
      <c r="K93" s="1193" t="e">
        <f>IF(AND(K65+1&gt;#REF!,K65&lt;#REF!+#REF!),#REF!,0)</f>
        <v>#REF!</v>
      </c>
      <c r="L93" s="1193" t="e">
        <f>IF(AND(L65+1&gt;#REF!,L65&lt;#REF!+#REF!),#REF!,0)</f>
        <v>#REF!</v>
      </c>
      <c r="M93" s="1193" t="e">
        <f>IF(AND(M65+1&gt;#REF!,M65&lt;#REF!+#REF!),#REF!,0)</f>
        <v>#REF!</v>
      </c>
      <c r="N93" s="1193" t="e">
        <f>IF(AND(N65+1&gt;#REF!,N65&lt;#REF!+#REF!),#REF!,0)</f>
        <v>#REF!</v>
      </c>
      <c r="O93" s="1193" t="e">
        <f>IF(AND(O65+1&gt;#REF!,O65&lt;#REF!+#REF!),#REF!,0)</f>
        <v>#REF!</v>
      </c>
      <c r="P93" s="1193" t="e">
        <f>IF(AND(P65+1&gt;#REF!,P65&lt;#REF!+#REF!),#REF!,0)</f>
        <v>#REF!</v>
      </c>
      <c r="Q93" s="1193" t="e">
        <f>IF(AND(Q65+1&gt;#REF!,Q65&lt;#REF!+#REF!),#REF!,0)</f>
        <v>#REF!</v>
      </c>
      <c r="R93" s="1193" t="e">
        <f>IF(AND(R65+1&gt;#REF!,R65&lt;#REF!+#REF!),#REF!,0)</f>
        <v>#REF!</v>
      </c>
      <c r="S93" s="1193" t="e">
        <f>IF(AND(S65+1&gt;#REF!,S65&lt;#REF!+#REF!),#REF!,0)</f>
        <v>#REF!</v>
      </c>
      <c r="T93" s="1193" t="e">
        <f>IF(AND(T65+1&gt;#REF!,T65&lt;#REF!+#REF!),#REF!,0)</f>
        <v>#REF!</v>
      </c>
      <c r="U93" s="1193" t="e">
        <f>IF(AND(U65+1&gt;#REF!,U65&lt;#REF!+#REF!),#REF!,0)</f>
        <v>#REF!</v>
      </c>
      <c r="V93" s="1193" t="e">
        <f>IF(AND(V65+1&gt;#REF!,V65&lt;#REF!+#REF!),#REF!,0)</f>
        <v>#REF!</v>
      </c>
      <c r="W93" s="1193" t="e">
        <f>IF(AND(W65+1&gt;#REF!,W65&lt;#REF!+#REF!),#REF!,0)</f>
        <v>#REF!</v>
      </c>
      <c r="X93" s="1193" t="e">
        <f>IF(AND(X65+1&gt;#REF!,X65&lt;#REF!+#REF!),#REF!,0)</f>
        <v>#REF!</v>
      </c>
      <c r="Y93" s="1193" t="e">
        <f>IF(AND(Y65+1&gt;#REF!,Y65&lt;#REF!+#REF!),#REF!,0)</f>
        <v>#REF!</v>
      </c>
      <c r="Z93" s="1193" t="e">
        <f>IF(AND(Z65+1&gt;#REF!,Z65&lt;#REF!+#REF!),#REF!,0)</f>
        <v>#REF!</v>
      </c>
      <c r="AA93" s="1193" t="e">
        <f>IF(AND(AA65+1&gt;#REF!,AA65&lt;#REF!+#REF!),#REF!,0)</f>
        <v>#REF!</v>
      </c>
      <c r="AB93" s="1193" t="e">
        <f>IF(AND(AB65+1&gt;#REF!,AB65&lt;#REF!+#REF!),#REF!,0)</f>
        <v>#REF!</v>
      </c>
      <c r="AC93" s="1193" t="e">
        <f>IF(AND(AC65+1&gt;#REF!,AC65&lt;#REF!+#REF!),#REF!,0)</f>
        <v>#REF!</v>
      </c>
      <c r="AD93" s="1193" t="e">
        <f>IF(AND(AD65+1&gt;#REF!,AD65&lt;#REF!+#REF!),#REF!,0)</f>
        <v>#REF!</v>
      </c>
      <c r="AE93" s="1193" t="e">
        <f>IF(AND(AE65+1&gt;#REF!,AE65&lt;#REF!+#REF!),#REF!,0)</f>
        <v>#REF!</v>
      </c>
      <c r="AF93" s="1193" t="e">
        <f>IF(AND(AF65+1&gt;#REF!,AF65&lt;#REF!+#REF!),#REF!,0)</f>
        <v>#REF!</v>
      </c>
      <c r="AG93" s="1193" t="e">
        <f>IF(AND(AG65+1&gt;#REF!,AG65&lt;#REF!+#REF!),#REF!,0)</f>
        <v>#REF!</v>
      </c>
      <c r="AH93" s="1193" t="e">
        <f>IF(AND(AH65+1&gt;#REF!,AH65&lt;#REF!+#REF!),#REF!,0)</f>
        <v>#REF!</v>
      </c>
      <c r="AI93" s="1193" t="e">
        <f>IF(AND(AI65+1&gt;#REF!,AI65&lt;#REF!+#REF!),#REF!,0)</f>
        <v>#REF!</v>
      </c>
      <c r="AJ93" s="1193" t="e">
        <f>IF(AND(AJ65+1&gt;#REF!,AJ65&lt;#REF!+#REF!),#REF!,0)</f>
        <v>#REF!</v>
      </c>
      <c r="AK93" s="1193" t="e">
        <f>IF(AND(AK65+1&gt;#REF!,AK65&lt;#REF!+#REF!),#REF!,0)</f>
        <v>#REF!</v>
      </c>
      <c r="AL93" s="1193" t="e">
        <f>IF(AND(AL65+1&gt;#REF!,AL65&lt;#REF!+#REF!),#REF!,0)</f>
        <v>#REF!</v>
      </c>
      <c r="AM93" s="1193" t="e">
        <f>IF(AND(AM65+1&gt;#REF!,AM65&lt;#REF!+#REF!),#REF!,0)</f>
        <v>#REF!</v>
      </c>
      <c r="AN93" s="1193" t="e">
        <f>IF(AND(AN65+1&gt;#REF!,AN65&lt;#REF!+#REF!),#REF!,0)</f>
        <v>#REF!</v>
      </c>
      <c r="AO93" s="1193" t="e">
        <f>IF(AND(AO65+1&gt;#REF!,AO65&lt;#REF!+#REF!),#REF!,0)</f>
        <v>#REF!</v>
      </c>
      <c r="AP93" s="1193" t="e">
        <f>IF(AND(AP65+1&gt;#REF!,AP65&lt;#REF!+#REF!),#REF!,0)</f>
        <v>#REF!</v>
      </c>
      <c r="AQ93" s="1193" t="e">
        <f>IF(AND(AQ65+1&gt;#REF!,AQ65&lt;#REF!+#REF!),#REF!,0)</f>
        <v>#REF!</v>
      </c>
      <c r="AR93" s="1193" t="e">
        <f>IF(AND(AR65+1&gt;#REF!,AR65&lt;#REF!+#REF!),#REF!,0)</f>
        <v>#REF!</v>
      </c>
      <c r="AS93" s="1193" t="e">
        <f>IF(AND(AS65+1&gt;#REF!,AS65&lt;#REF!+#REF!),#REF!,0)</f>
        <v>#REF!</v>
      </c>
      <c r="AT93" s="1193" t="e">
        <f>IF(AND(AT65+1&gt;#REF!,AT65&lt;#REF!+#REF!),#REF!,0)</f>
        <v>#REF!</v>
      </c>
      <c r="AU93" s="1193" t="e">
        <f>IF(AND(AU65+1&gt;#REF!,AU65&lt;#REF!+#REF!),#REF!,0)</f>
        <v>#REF!</v>
      </c>
      <c r="AV93" s="1193" t="e">
        <f>IF(AND(AV65+1&gt;#REF!,AV65&lt;#REF!+#REF!),#REF!,0)</f>
        <v>#REF!</v>
      </c>
      <c r="AW93" s="1193" t="e">
        <f>IF(AND(AW65+1&gt;#REF!,AW65&lt;#REF!+#REF!),#REF!,0)</f>
        <v>#REF!</v>
      </c>
      <c r="AX93" s="1193" t="e">
        <f>IF(AND(AX65+1&gt;#REF!,AX65&lt;#REF!+#REF!),#REF!,0)</f>
        <v>#REF!</v>
      </c>
      <c r="AY93" s="1193" t="e">
        <f>IF(AND(AY65+1&gt;#REF!,AY65&lt;#REF!+#REF!),#REF!,0)</f>
        <v>#REF!</v>
      </c>
      <c r="AZ93" s="1193" t="e">
        <f>IF(AND(AZ65+1&gt;#REF!,AZ65&lt;#REF!+#REF!),#REF!,0)</f>
        <v>#REF!</v>
      </c>
      <c r="BA93" s="1193" t="e">
        <f>IF(AND(BA65+1&gt;#REF!,BA65&lt;#REF!+#REF!),#REF!,0)</f>
        <v>#REF!</v>
      </c>
      <c r="BB93" s="1193" t="e">
        <f>IF(AND(BB65+1&gt;#REF!,BB65&lt;#REF!+#REF!),#REF!,0)</f>
        <v>#REF!</v>
      </c>
      <c r="BC93" s="1193" t="e">
        <f>IF(AND(BC65+1&gt;#REF!,BC65&lt;#REF!+#REF!),#REF!,0)</f>
        <v>#REF!</v>
      </c>
      <c r="BD93" s="1193" t="e">
        <f>IF(AND(BD65+1&gt;#REF!,BD65&lt;#REF!+#REF!),#REF!,0)</f>
        <v>#REF!</v>
      </c>
      <c r="BE93" s="1193" t="e">
        <f>IF(AND(BE65+1&gt;#REF!,BE65&lt;#REF!+#REF!),#REF!,0)</f>
        <v>#REF!</v>
      </c>
      <c r="BF93" s="1193" t="e">
        <f>IF(AND(BF65+1&gt;#REF!,BF65&lt;#REF!+#REF!),#REF!,0)</f>
        <v>#REF!</v>
      </c>
      <c r="BG93" s="1193" t="e">
        <f>IF(AND(BG65+1&gt;#REF!,BG65&lt;#REF!+#REF!),#REF!,0)</f>
        <v>#REF!</v>
      </c>
      <c r="BH93" s="1193" t="e">
        <f>IF(AND(BH65+1&gt;#REF!,BH65&lt;#REF!+#REF!),#REF!,0)</f>
        <v>#REF!</v>
      </c>
      <c r="BI93" s="1172"/>
      <c r="BJ93" s="96"/>
      <c r="BK93" s="96"/>
      <c r="BL93" s="96"/>
      <c r="BM93" s="96"/>
      <c r="BN93" s="96"/>
      <c r="BO93" s="96"/>
    </row>
    <row r="94" spans="2:67" ht="12.75">
      <c r="C94" s="1199"/>
      <c r="D94" s="96" t="s">
        <v>270</v>
      </c>
      <c r="E94" s="96" t="str">
        <f>IF(C7="railbelt south of alaska range","$ per mmBtu","$ per gallon")</f>
        <v>$ per gallon</v>
      </c>
      <c r="F94" s="1184"/>
      <c r="G94" s="1184" t="e">
        <f>VLOOKUP($C$6,'Diesel Fuel Prices'!$E$16:$BV$196,3+G53,0)+$D$47</f>
        <v>#N/A</v>
      </c>
      <c r="H94" s="1184" t="e">
        <f>VLOOKUP($C$6,'Diesel Fuel Prices'!$E$16:$BV$196,3+H53,0)+$D$47</f>
        <v>#N/A</v>
      </c>
      <c r="I94" s="1184" t="e">
        <f>VLOOKUP($C$6,'Diesel Fuel Prices'!$E$16:$BV$196,3+I53,0)+$D$47</f>
        <v>#N/A</v>
      </c>
      <c r="J94" s="1184" t="e">
        <f>VLOOKUP($C$6,'Diesel Fuel Prices'!$E$16:$BV$196,3+J53,0)+$D$47</f>
        <v>#N/A</v>
      </c>
      <c r="K94" s="1184" t="e">
        <f>VLOOKUP($C$6,'Diesel Fuel Prices'!$E$16:$BV$196,3+K53,0)+$D$47</f>
        <v>#N/A</v>
      </c>
      <c r="L94" s="1184" t="e">
        <f>VLOOKUP($C$6,'Diesel Fuel Prices'!$E$16:$BV$196,3+L53,0)+$D$47</f>
        <v>#N/A</v>
      </c>
      <c r="M94" s="1184" t="e">
        <f>VLOOKUP($C$6,'Diesel Fuel Prices'!$E$16:$BV$196,3+M53,0)+$D$47</f>
        <v>#N/A</v>
      </c>
      <c r="N94" s="1184" t="e">
        <f>VLOOKUP($C$6,'Diesel Fuel Prices'!$E$16:$BV$196,3+N53,0)+$D$47</f>
        <v>#N/A</v>
      </c>
      <c r="O94" s="1184" t="e">
        <f>VLOOKUP($C$6,'Diesel Fuel Prices'!$E$16:$BV$196,3+O53,0)+$D$47</f>
        <v>#N/A</v>
      </c>
      <c r="P94" s="1184" t="e">
        <f>VLOOKUP($C$6,'Diesel Fuel Prices'!$E$16:$BV$196,3+P53,0)+$D$47</f>
        <v>#N/A</v>
      </c>
      <c r="Q94" s="1184" t="e">
        <f>VLOOKUP($C$6,'Diesel Fuel Prices'!$E$16:$BV$196,3+Q53,0)+$D$47</f>
        <v>#N/A</v>
      </c>
      <c r="R94" s="1184" t="e">
        <f>VLOOKUP($C$6,'Diesel Fuel Prices'!$E$16:$BV$196,3+R53,0)+$D$47</f>
        <v>#N/A</v>
      </c>
      <c r="S94" s="1184" t="e">
        <f>VLOOKUP($C$6,'Diesel Fuel Prices'!$E$16:$BV$196,3+S53,0)+$D$47</f>
        <v>#N/A</v>
      </c>
      <c r="T94" s="1184" t="e">
        <f>VLOOKUP($C$6,'Diesel Fuel Prices'!$E$16:$BV$196,3+T53,0)+$D$47</f>
        <v>#N/A</v>
      </c>
      <c r="U94" s="1184" t="e">
        <f>VLOOKUP($C$6,'Diesel Fuel Prices'!$E$16:$BV$196,3+U53,0)+$D$47</f>
        <v>#N/A</v>
      </c>
      <c r="V94" s="1184" t="e">
        <f>VLOOKUP($C$6,'Diesel Fuel Prices'!$E$16:$BV$196,3+V53,0)+$D$47</f>
        <v>#N/A</v>
      </c>
      <c r="W94" s="1184" t="e">
        <f>VLOOKUP($C$6,'Diesel Fuel Prices'!$E$16:$BV$196,3+W53,0)+$D$47</f>
        <v>#N/A</v>
      </c>
      <c r="X94" s="1184" t="e">
        <f>VLOOKUP($C$6,'Diesel Fuel Prices'!$E$16:$BV$196,3+X53,0)+$D$47</f>
        <v>#N/A</v>
      </c>
      <c r="Y94" s="1184" t="e">
        <f>VLOOKUP($C$6,'Diesel Fuel Prices'!$E$16:$BV$196,3+Y53,0)+$D$47</f>
        <v>#N/A</v>
      </c>
      <c r="Z94" s="1184" t="e">
        <f>VLOOKUP($C$6,'Diesel Fuel Prices'!$E$16:$BV$196,3+Z53,0)+$D$47</f>
        <v>#N/A</v>
      </c>
      <c r="AA94" s="1184" t="e">
        <f>VLOOKUP($C$6,'Diesel Fuel Prices'!$E$16:$BV$196,3+AA53,0)+$D$47</f>
        <v>#N/A</v>
      </c>
      <c r="AB94" s="1184" t="e">
        <f>VLOOKUP($C$6,'Diesel Fuel Prices'!$E$16:$BV$196,3+AB53,0)+$D$47</f>
        <v>#N/A</v>
      </c>
      <c r="AC94" s="1184" t="e">
        <f>VLOOKUP($C$6,'Diesel Fuel Prices'!$E$16:$BV$196,3+AC53,0)+$D$47</f>
        <v>#N/A</v>
      </c>
      <c r="AD94" s="1184" t="e">
        <f>VLOOKUP($C$6,'Diesel Fuel Prices'!$E$16:$BV$196,3+AD53,0)+$D$47</f>
        <v>#N/A</v>
      </c>
      <c r="AE94" s="1184" t="e">
        <f>VLOOKUP($C$6,'Diesel Fuel Prices'!$E$16:$BV$196,3+AE53,0)+$D$47</f>
        <v>#N/A</v>
      </c>
      <c r="AF94" s="1184" t="e">
        <f>VLOOKUP($C$6,'Diesel Fuel Prices'!$E$16:$BV$196,3+AF53,0)+$D$47</f>
        <v>#N/A</v>
      </c>
      <c r="AG94" s="1184" t="e">
        <f>VLOOKUP($C$6,'Diesel Fuel Prices'!$E$16:$BV$196,3+AG53,0)+$D$47</f>
        <v>#N/A</v>
      </c>
      <c r="AH94" s="1184" t="e">
        <f>VLOOKUP($C$6,'Diesel Fuel Prices'!$E$16:$BV$196,3+AH53,0)+$D$47</f>
        <v>#N/A</v>
      </c>
      <c r="AI94" s="1184" t="e">
        <f>VLOOKUP($C$6,'Diesel Fuel Prices'!$E$16:$BV$196,3+AI53,0)+$D$47</f>
        <v>#N/A</v>
      </c>
      <c r="AJ94" s="1184" t="e">
        <f>VLOOKUP($C$6,'Diesel Fuel Prices'!$E$16:$BV$196,3+AJ53,0)+$D$47</f>
        <v>#N/A</v>
      </c>
      <c r="AK94" s="1184" t="e">
        <f>VLOOKUP($C$6,'Diesel Fuel Prices'!$E$16:$BV$196,3+AK53,0)+$D$47</f>
        <v>#N/A</v>
      </c>
      <c r="AL94" s="1184" t="e">
        <f>VLOOKUP($C$6,'Diesel Fuel Prices'!$E$16:$BV$196,3+AL53,0)+$D$47</f>
        <v>#N/A</v>
      </c>
      <c r="AM94" s="1184" t="e">
        <f>VLOOKUP($C$6,'Diesel Fuel Prices'!$E$16:$BV$196,3+AM53,0)+$D$47</f>
        <v>#N/A</v>
      </c>
      <c r="AN94" s="1184" t="e">
        <f>VLOOKUP($C$6,'Diesel Fuel Prices'!$E$16:$BV$196,3+AN53,0)+$D$47</f>
        <v>#N/A</v>
      </c>
      <c r="AO94" s="1184" t="e">
        <f>VLOOKUP($C$6,'Diesel Fuel Prices'!$E$16:$BV$196,3+AO53,0)+$D$47</f>
        <v>#N/A</v>
      </c>
      <c r="AP94" s="1184" t="e">
        <f>VLOOKUP($C$6,'Diesel Fuel Prices'!$E$16:$BV$196,3+AP53,0)+$D$47</f>
        <v>#N/A</v>
      </c>
      <c r="AQ94" s="1184" t="e">
        <f>VLOOKUP($C$6,'Diesel Fuel Prices'!$E$16:$BV$196,3+AQ53,0)+$D$47</f>
        <v>#N/A</v>
      </c>
      <c r="AR94" s="1184" t="e">
        <f>VLOOKUP($C$6,'Diesel Fuel Prices'!$E$16:$BV$196,3+AR53,0)+$D$47</f>
        <v>#N/A</v>
      </c>
      <c r="AS94" s="1184" t="e">
        <f>VLOOKUP($C$6,'Diesel Fuel Prices'!$E$16:$BV$196,3+AS53,0)+$D$47</f>
        <v>#N/A</v>
      </c>
      <c r="AT94" s="1184" t="e">
        <f>VLOOKUP($C$6,'Diesel Fuel Prices'!$E$16:$BV$196,3+AT53,0)+$D$47</f>
        <v>#N/A</v>
      </c>
      <c r="AU94" s="1184" t="e">
        <f>VLOOKUP($C$6,'Diesel Fuel Prices'!$E$16:$BV$196,3+AU53,0)+$D$47</f>
        <v>#N/A</v>
      </c>
      <c r="AV94" s="1184" t="e">
        <f>VLOOKUP($C$6,'Diesel Fuel Prices'!$E$16:$BV$196,3+AV53,0)+$D$47</f>
        <v>#N/A</v>
      </c>
      <c r="AW94" s="1184" t="e">
        <f>VLOOKUP($C$6,'Diesel Fuel Prices'!$E$16:$BV$196,3+AW53,0)+$D$47</f>
        <v>#N/A</v>
      </c>
      <c r="AX94" s="1184" t="e">
        <f>VLOOKUP($C$6,'Diesel Fuel Prices'!$E$16:$BV$196,3+AX53,0)+$D$47</f>
        <v>#N/A</v>
      </c>
      <c r="AY94" s="1184" t="e">
        <f>VLOOKUP($C$6,'Diesel Fuel Prices'!$E$16:$BV$196,3+AY53,0)+$D$47</f>
        <v>#N/A</v>
      </c>
      <c r="AZ94" s="1184" t="e">
        <f>VLOOKUP($C$6,'Diesel Fuel Prices'!$E$16:$BV$196,3+AZ53,0)+$D$47</f>
        <v>#N/A</v>
      </c>
      <c r="BA94" s="1184" t="e">
        <f>VLOOKUP($C$6,'Diesel Fuel Prices'!$E$16:$BV$196,3+BA53,0)+$D$47</f>
        <v>#N/A</v>
      </c>
      <c r="BB94" s="1184" t="e">
        <f>VLOOKUP($C$6,'Diesel Fuel Prices'!$E$16:$BV$196,3+BB53,0)+$D$47</f>
        <v>#N/A</v>
      </c>
      <c r="BC94" s="1184" t="e">
        <f>VLOOKUP($C$6,'Diesel Fuel Prices'!$E$16:$BV$196,3+BC53,0)+$D$47</f>
        <v>#N/A</v>
      </c>
      <c r="BD94" s="1184" t="e">
        <f>VLOOKUP($C$6,'Diesel Fuel Prices'!$E$16:$BV$196,3+BD53,0)+$D$47</f>
        <v>#N/A</v>
      </c>
      <c r="BE94" s="1184" t="e">
        <f>VLOOKUP($C$6,'Diesel Fuel Prices'!$E$16:$BV$196,3+BE53,0)+$D$47</f>
        <v>#N/A</v>
      </c>
      <c r="BF94" s="1184" t="e">
        <f>VLOOKUP($C$6,'Diesel Fuel Prices'!$E$16:$BV$196,3+BF53,0)+$D$47</f>
        <v>#N/A</v>
      </c>
      <c r="BG94" s="1184" t="e">
        <f>VLOOKUP($C$6,'Diesel Fuel Prices'!$E$16:$BV$196,3+BG53,0)+$D$47</f>
        <v>#N/A</v>
      </c>
      <c r="BH94" s="1184" t="e">
        <f>VLOOKUP($C$6,'Diesel Fuel Prices'!$E$16:$BV$196,3+BH53,0)+$D$47</f>
        <v>#N/A</v>
      </c>
      <c r="BI94" s="1172"/>
      <c r="BJ94" s="96"/>
      <c r="BK94" s="96"/>
      <c r="BL94" s="96"/>
      <c r="BM94" s="96"/>
      <c r="BN94" s="96"/>
      <c r="BO94" s="96"/>
    </row>
    <row r="95" spans="2:67" ht="12.75">
      <c r="C95" s="1199" t="s">
        <v>277</v>
      </c>
      <c r="D95" s="96" t="s">
        <v>382</v>
      </c>
      <c r="E95" s="96" t="s">
        <v>264</v>
      </c>
      <c r="F95" s="1173">
        <v>0</v>
      </c>
      <c r="G95" s="1173">
        <v>0</v>
      </c>
      <c r="H95" s="1173">
        <v>0</v>
      </c>
      <c r="I95" s="1173">
        <v>0</v>
      </c>
      <c r="J95" s="1173">
        <v>0</v>
      </c>
      <c r="K95" s="1173">
        <v>0</v>
      </c>
      <c r="L95" s="1173">
        <v>0</v>
      </c>
      <c r="M95" s="1173">
        <v>0</v>
      </c>
      <c r="N95" s="1173">
        <v>0</v>
      </c>
      <c r="O95" s="1173">
        <v>0</v>
      </c>
      <c r="P95" s="1173">
        <v>0</v>
      </c>
      <c r="Q95" s="1173">
        <v>0</v>
      </c>
      <c r="R95" s="1173">
        <v>0</v>
      </c>
      <c r="S95" s="1173">
        <v>0</v>
      </c>
      <c r="T95" s="1173">
        <v>0</v>
      </c>
      <c r="U95" s="1173">
        <v>0</v>
      </c>
      <c r="V95" s="1173">
        <v>0</v>
      </c>
      <c r="W95" s="1173">
        <v>0</v>
      </c>
      <c r="X95" s="1173">
        <v>0</v>
      </c>
      <c r="Y95" s="1173">
        <v>0</v>
      </c>
      <c r="Z95" s="1173">
        <v>0</v>
      </c>
      <c r="AA95" s="1173">
        <v>0</v>
      </c>
      <c r="AB95" s="1173">
        <v>0</v>
      </c>
      <c r="AC95" s="1173">
        <v>0</v>
      </c>
      <c r="AD95" s="1173">
        <v>0</v>
      </c>
      <c r="AE95" s="1173">
        <v>0</v>
      </c>
      <c r="AF95" s="1173">
        <v>0</v>
      </c>
      <c r="AG95" s="1173">
        <v>0</v>
      </c>
      <c r="AH95" s="1173">
        <v>0</v>
      </c>
      <c r="AI95" s="1173">
        <v>0</v>
      </c>
      <c r="AJ95" s="1173">
        <v>0</v>
      </c>
      <c r="AK95" s="1173">
        <v>0</v>
      </c>
      <c r="AL95" s="1173">
        <v>0</v>
      </c>
      <c r="AM95" s="1173">
        <v>0</v>
      </c>
      <c r="AN95" s="1173">
        <v>0</v>
      </c>
      <c r="AO95" s="1173">
        <v>0</v>
      </c>
      <c r="AP95" s="1173">
        <v>0</v>
      </c>
      <c r="AQ95" s="1173">
        <v>0</v>
      </c>
      <c r="AR95" s="1173">
        <v>0</v>
      </c>
      <c r="AS95" s="1173">
        <v>0</v>
      </c>
      <c r="AT95" s="1173">
        <v>0</v>
      </c>
      <c r="AU95" s="1173">
        <v>0</v>
      </c>
      <c r="AV95" s="1173">
        <v>0</v>
      </c>
      <c r="AW95" s="1173">
        <v>0</v>
      </c>
      <c r="AX95" s="1173">
        <v>0</v>
      </c>
      <c r="AY95" s="1173">
        <v>0</v>
      </c>
      <c r="AZ95" s="1173">
        <v>0</v>
      </c>
      <c r="BA95" s="1173">
        <v>0</v>
      </c>
      <c r="BB95" s="1173">
        <v>0</v>
      </c>
      <c r="BC95" s="1173">
        <v>0</v>
      </c>
      <c r="BD95" s="1173">
        <v>0</v>
      </c>
      <c r="BE95" s="1173">
        <v>0</v>
      </c>
      <c r="BF95" s="1173">
        <v>0</v>
      </c>
      <c r="BG95" s="1173">
        <v>0</v>
      </c>
      <c r="BH95" s="1173">
        <v>0</v>
      </c>
      <c r="BI95" s="1172">
        <f>NPV($D$49,F95:BH95)</f>
        <v>0</v>
      </c>
      <c r="BJ95" s="96"/>
      <c r="BK95" s="96"/>
      <c r="BL95" s="96"/>
      <c r="BM95" s="96"/>
      <c r="BN95" s="96"/>
      <c r="BO95" s="96"/>
    </row>
    <row r="96" spans="2:67" ht="12.75">
      <c r="C96" s="1199" t="s">
        <v>277</v>
      </c>
      <c r="D96" s="96" t="s">
        <v>316</v>
      </c>
      <c r="E96" s="96" t="s">
        <v>264</v>
      </c>
      <c r="F96" s="1173">
        <v>0</v>
      </c>
      <c r="G96" s="1173">
        <v>0</v>
      </c>
      <c r="H96" s="1173">
        <v>0</v>
      </c>
      <c r="I96" s="1173">
        <v>0</v>
      </c>
      <c r="J96" s="1173">
        <v>0</v>
      </c>
      <c r="K96" s="1173">
        <v>0</v>
      </c>
      <c r="L96" s="1173">
        <v>0</v>
      </c>
      <c r="M96" s="1173">
        <v>0</v>
      </c>
      <c r="N96" s="1173">
        <v>0</v>
      </c>
      <c r="O96" s="1173">
        <v>0</v>
      </c>
      <c r="P96" s="1173">
        <v>0</v>
      </c>
      <c r="Q96" s="1173">
        <v>0</v>
      </c>
      <c r="R96" s="1173">
        <v>0</v>
      </c>
      <c r="S96" s="1173">
        <v>0</v>
      </c>
      <c r="T96" s="1173">
        <v>0</v>
      </c>
      <c r="U96" s="1173">
        <v>0</v>
      </c>
      <c r="V96" s="1173">
        <v>0</v>
      </c>
      <c r="W96" s="1173">
        <v>0</v>
      </c>
      <c r="X96" s="1173">
        <v>0</v>
      </c>
      <c r="Y96" s="1173">
        <v>0</v>
      </c>
      <c r="Z96" s="1173">
        <v>0</v>
      </c>
      <c r="AA96" s="1173">
        <v>0</v>
      </c>
      <c r="AB96" s="1173">
        <v>0</v>
      </c>
      <c r="AC96" s="1173">
        <v>0</v>
      </c>
      <c r="AD96" s="1173">
        <v>0</v>
      </c>
      <c r="AE96" s="1173">
        <v>0</v>
      </c>
      <c r="AF96" s="1173">
        <v>0</v>
      </c>
      <c r="AG96" s="1173">
        <v>0</v>
      </c>
      <c r="AH96" s="1173">
        <v>0</v>
      </c>
      <c r="AI96" s="1173">
        <v>0</v>
      </c>
      <c r="AJ96" s="1173">
        <v>0</v>
      </c>
      <c r="AK96" s="1173">
        <v>0</v>
      </c>
      <c r="AL96" s="1173">
        <v>0</v>
      </c>
      <c r="AM96" s="1173">
        <v>0</v>
      </c>
      <c r="AN96" s="1173">
        <v>0</v>
      </c>
      <c r="AO96" s="1173">
        <v>0</v>
      </c>
      <c r="AP96" s="1173">
        <v>0</v>
      </c>
      <c r="AQ96" s="1173">
        <v>0</v>
      </c>
      <c r="AR96" s="1173">
        <v>0</v>
      </c>
      <c r="AS96" s="1173">
        <v>0</v>
      </c>
      <c r="AT96" s="1173">
        <v>0</v>
      </c>
      <c r="AU96" s="1173">
        <v>0</v>
      </c>
      <c r="AV96" s="1173">
        <v>0</v>
      </c>
      <c r="AW96" s="1173">
        <v>0</v>
      </c>
      <c r="AX96" s="1173">
        <v>0</v>
      </c>
      <c r="AY96" s="1173">
        <v>0</v>
      </c>
      <c r="AZ96" s="1173">
        <v>0</v>
      </c>
      <c r="BA96" s="1173">
        <v>0</v>
      </c>
      <c r="BB96" s="1173">
        <v>0</v>
      </c>
      <c r="BC96" s="1173">
        <v>0</v>
      </c>
      <c r="BD96" s="1173">
        <v>0</v>
      </c>
      <c r="BE96" s="1173">
        <v>0</v>
      </c>
      <c r="BF96" s="1173">
        <v>0</v>
      </c>
      <c r="BG96" s="1173">
        <v>0</v>
      </c>
      <c r="BH96" s="1173">
        <v>0</v>
      </c>
      <c r="BI96" s="1172">
        <f>NPV($D$49,F96:BH96)</f>
        <v>0</v>
      </c>
      <c r="BJ96" s="96"/>
      <c r="BK96" s="96"/>
      <c r="BL96" s="96"/>
      <c r="BM96" s="96"/>
      <c r="BN96" s="96"/>
      <c r="BO96" s="96"/>
    </row>
    <row r="97" spans="2:70" ht="12.75">
      <c r="C97" s="1188"/>
      <c r="D97" s="96" t="s">
        <v>270</v>
      </c>
      <c r="E97" s="96" t="s">
        <v>264</v>
      </c>
      <c r="F97" s="1189" t="e">
        <f t="shared" ref="F97:BH97" si="14">F93*F94</f>
        <v>#REF!</v>
      </c>
      <c r="G97" s="1189" t="e">
        <f t="shared" si="14"/>
        <v>#REF!</v>
      </c>
      <c r="H97" s="1189" t="e">
        <f t="shared" si="14"/>
        <v>#REF!</v>
      </c>
      <c r="I97" s="1189" t="e">
        <f t="shared" si="14"/>
        <v>#REF!</v>
      </c>
      <c r="J97" s="1189" t="e">
        <f t="shared" si="14"/>
        <v>#REF!</v>
      </c>
      <c r="K97" s="1189" t="e">
        <f t="shared" si="14"/>
        <v>#REF!</v>
      </c>
      <c r="L97" s="1189" t="e">
        <f t="shared" si="14"/>
        <v>#REF!</v>
      </c>
      <c r="M97" s="1189" t="e">
        <f t="shared" si="14"/>
        <v>#REF!</v>
      </c>
      <c r="N97" s="1189" t="e">
        <f t="shared" si="14"/>
        <v>#REF!</v>
      </c>
      <c r="O97" s="1189" t="e">
        <f t="shared" si="14"/>
        <v>#REF!</v>
      </c>
      <c r="P97" s="1189" t="e">
        <f t="shared" si="14"/>
        <v>#REF!</v>
      </c>
      <c r="Q97" s="1189" t="e">
        <f t="shared" si="14"/>
        <v>#REF!</v>
      </c>
      <c r="R97" s="1189" t="e">
        <f t="shared" si="14"/>
        <v>#REF!</v>
      </c>
      <c r="S97" s="1189" t="e">
        <f t="shared" si="14"/>
        <v>#REF!</v>
      </c>
      <c r="T97" s="1189" t="e">
        <f t="shared" si="14"/>
        <v>#REF!</v>
      </c>
      <c r="U97" s="1189" t="e">
        <f t="shared" si="14"/>
        <v>#REF!</v>
      </c>
      <c r="V97" s="1189" t="e">
        <f t="shared" si="14"/>
        <v>#REF!</v>
      </c>
      <c r="W97" s="1189" t="e">
        <f t="shared" si="14"/>
        <v>#REF!</v>
      </c>
      <c r="X97" s="1189" t="e">
        <f t="shared" si="14"/>
        <v>#REF!</v>
      </c>
      <c r="Y97" s="1189" t="e">
        <f t="shared" si="14"/>
        <v>#REF!</v>
      </c>
      <c r="Z97" s="1189" t="e">
        <f t="shared" si="14"/>
        <v>#REF!</v>
      </c>
      <c r="AA97" s="1189" t="e">
        <f t="shared" si="14"/>
        <v>#REF!</v>
      </c>
      <c r="AB97" s="1189" t="e">
        <f t="shared" si="14"/>
        <v>#REF!</v>
      </c>
      <c r="AC97" s="1189" t="e">
        <f t="shared" si="14"/>
        <v>#REF!</v>
      </c>
      <c r="AD97" s="1189" t="e">
        <f t="shared" si="14"/>
        <v>#REF!</v>
      </c>
      <c r="AE97" s="1189" t="e">
        <f t="shared" si="14"/>
        <v>#REF!</v>
      </c>
      <c r="AF97" s="1189" t="e">
        <f t="shared" si="14"/>
        <v>#REF!</v>
      </c>
      <c r="AG97" s="1189" t="e">
        <f t="shared" si="14"/>
        <v>#REF!</v>
      </c>
      <c r="AH97" s="1189" t="e">
        <f t="shared" si="14"/>
        <v>#REF!</v>
      </c>
      <c r="AI97" s="1189" t="e">
        <f t="shared" si="14"/>
        <v>#REF!</v>
      </c>
      <c r="AJ97" s="1189" t="e">
        <f t="shared" si="14"/>
        <v>#REF!</v>
      </c>
      <c r="AK97" s="1189" t="e">
        <f t="shared" si="14"/>
        <v>#REF!</v>
      </c>
      <c r="AL97" s="1189" t="e">
        <f t="shared" si="14"/>
        <v>#REF!</v>
      </c>
      <c r="AM97" s="1189" t="e">
        <f t="shared" si="14"/>
        <v>#REF!</v>
      </c>
      <c r="AN97" s="1189" t="e">
        <f t="shared" si="14"/>
        <v>#REF!</v>
      </c>
      <c r="AO97" s="1189" t="e">
        <f t="shared" si="14"/>
        <v>#REF!</v>
      </c>
      <c r="AP97" s="1189" t="e">
        <f t="shared" si="14"/>
        <v>#REF!</v>
      </c>
      <c r="AQ97" s="1189" t="e">
        <f t="shared" si="14"/>
        <v>#REF!</v>
      </c>
      <c r="AR97" s="1189" t="e">
        <f t="shared" si="14"/>
        <v>#REF!</v>
      </c>
      <c r="AS97" s="1189" t="e">
        <f t="shared" si="14"/>
        <v>#REF!</v>
      </c>
      <c r="AT97" s="1189" t="e">
        <f t="shared" si="14"/>
        <v>#REF!</v>
      </c>
      <c r="AU97" s="1189" t="e">
        <f t="shared" si="14"/>
        <v>#REF!</v>
      </c>
      <c r="AV97" s="1189" t="e">
        <f t="shared" si="14"/>
        <v>#REF!</v>
      </c>
      <c r="AW97" s="1189" t="e">
        <f t="shared" si="14"/>
        <v>#REF!</v>
      </c>
      <c r="AX97" s="1189" t="e">
        <f t="shared" si="14"/>
        <v>#REF!</v>
      </c>
      <c r="AY97" s="1189" t="e">
        <f t="shared" si="14"/>
        <v>#REF!</v>
      </c>
      <c r="AZ97" s="1189" t="e">
        <f t="shared" si="14"/>
        <v>#REF!</v>
      </c>
      <c r="BA97" s="1189" t="e">
        <f t="shared" si="14"/>
        <v>#REF!</v>
      </c>
      <c r="BB97" s="1189" t="e">
        <f t="shared" si="14"/>
        <v>#REF!</v>
      </c>
      <c r="BC97" s="1189" t="e">
        <f t="shared" si="14"/>
        <v>#REF!</v>
      </c>
      <c r="BD97" s="1189" t="e">
        <f t="shared" si="14"/>
        <v>#REF!</v>
      </c>
      <c r="BE97" s="1189" t="e">
        <f t="shared" si="14"/>
        <v>#REF!</v>
      </c>
      <c r="BF97" s="1189" t="e">
        <f t="shared" si="14"/>
        <v>#REF!</v>
      </c>
      <c r="BG97" s="1189" t="e">
        <f t="shared" si="14"/>
        <v>#REF!</v>
      </c>
      <c r="BH97" s="1189" t="e">
        <f t="shared" si="14"/>
        <v>#REF!</v>
      </c>
      <c r="BI97" s="1172" t="e">
        <f>NPV($D$49,F97:BH97)</f>
        <v>#REF!</v>
      </c>
      <c r="BJ97" s="96"/>
      <c r="BK97" s="96"/>
      <c r="BL97" s="96"/>
      <c r="BM97" s="96"/>
      <c r="BN97" s="96"/>
      <c r="BO97" s="96"/>
    </row>
    <row r="98" spans="2:70" s="13" customFormat="1" ht="12.75">
      <c r="B98" s="1190"/>
      <c r="C98" s="1200"/>
      <c r="D98" s="1180" t="s">
        <v>374</v>
      </c>
      <c r="E98" s="1180" t="s">
        <v>264</v>
      </c>
      <c r="F98" s="1194" t="e">
        <f t="shared" ref="F98:BH98" si="15">F97+F96+F95</f>
        <v>#REF!</v>
      </c>
      <c r="G98" s="1194" t="e">
        <f t="shared" si="15"/>
        <v>#REF!</v>
      </c>
      <c r="H98" s="1194" t="e">
        <f t="shared" si="15"/>
        <v>#REF!</v>
      </c>
      <c r="I98" s="1194" t="e">
        <f t="shared" si="15"/>
        <v>#REF!</v>
      </c>
      <c r="J98" s="1194" t="e">
        <f t="shared" si="15"/>
        <v>#REF!</v>
      </c>
      <c r="K98" s="1194" t="e">
        <f t="shared" si="15"/>
        <v>#REF!</v>
      </c>
      <c r="L98" s="1194" t="e">
        <f t="shared" si="15"/>
        <v>#REF!</v>
      </c>
      <c r="M98" s="1194" t="e">
        <f t="shared" si="15"/>
        <v>#REF!</v>
      </c>
      <c r="N98" s="1194" t="e">
        <f t="shared" si="15"/>
        <v>#REF!</v>
      </c>
      <c r="O98" s="1194" t="e">
        <f t="shared" si="15"/>
        <v>#REF!</v>
      </c>
      <c r="P98" s="1194" t="e">
        <f t="shared" si="15"/>
        <v>#REF!</v>
      </c>
      <c r="Q98" s="1194" t="e">
        <f t="shared" si="15"/>
        <v>#REF!</v>
      </c>
      <c r="R98" s="1194" t="e">
        <f t="shared" si="15"/>
        <v>#REF!</v>
      </c>
      <c r="S98" s="1191" t="e">
        <f t="shared" si="15"/>
        <v>#REF!</v>
      </c>
      <c r="T98" s="1191" t="e">
        <f t="shared" si="15"/>
        <v>#REF!</v>
      </c>
      <c r="U98" s="1191" t="e">
        <f t="shared" si="15"/>
        <v>#REF!</v>
      </c>
      <c r="V98" s="1191" t="e">
        <f t="shared" si="15"/>
        <v>#REF!</v>
      </c>
      <c r="W98" s="1191" t="e">
        <f t="shared" si="15"/>
        <v>#REF!</v>
      </c>
      <c r="X98" s="1191" t="e">
        <f t="shared" si="15"/>
        <v>#REF!</v>
      </c>
      <c r="Y98" s="1191" t="e">
        <f t="shared" si="15"/>
        <v>#REF!</v>
      </c>
      <c r="Z98" s="1191" t="e">
        <f t="shared" si="15"/>
        <v>#REF!</v>
      </c>
      <c r="AA98" s="1191" t="e">
        <f t="shared" si="15"/>
        <v>#REF!</v>
      </c>
      <c r="AB98" s="1191" t="e">
        <f t="shared" si="15"/>
        <v>#REF!</v>
      </c>
      <c r="AC98" s="1191" t="e">
        <f t="shared" si="15"/>
        <v>#REF!</v>
      </c>
      <c r="AD98" s="1191" t="e">
        <f t="shared" si="15"/>
        <v>#REF!</v>
      </c>
      <c r="AE98" s="1191" t="e">
        <f t="shared" si="15"/>
        <v>#REF!</v>
      </c>
      <c r="AF98" s="1191" t="e">
        <f t="shared" si="15"/>
        <v>#REF!</v>
      </c>
      <c r="AG98" s="1191" t="e">
        <f t="shared" si="15"/>
        <v>#REF!</v>
      </c>
      <c r="AH98" s="1191" t="e">
        <f t="shared" si="15"/>
        <v>#REF!</v>
      </c>
      <c r="AI98" s="1191" t="e">
        <f t="shared" si="15"/>
        <v>#REF!</v>
      </c>
      <c r="AJ98" s="1191" t="e">
        <f t="shared" si="15"/>
        <v>#REF!</v>
      </c>
      <c r="AK98" s="1191" t="e">
        <f t="shared" si="15"/>
        <v>#REF!</v>
      </c>
      <c r="AL98" s="1191" t="e">
        <f t="shared" si="15"/>
        <v>#REF!</v>
      </c>
      <c r="AM98" s="1191" t="e">
        <f t="shared" si="15"/>
        <v>#REF!</v>
      </c>
      <c r="AN98" s="1191" t="e">
        <f t="shared" si="15"/>
        <v>#REF!</v>
      </c>
      <c r="AO98" s="1191" t="e">
        <f t="shared" si="15"/>
        <v>#REF!</v>
      </c>
      <c r="AP98" s="1191" t="e">
        <f t="shared" si="15"/>
        <v>#REF!</v>
      </c>
      <c r="AQ98" s="1191" t="e">
        <f t="shared" si="15"/>
        <v>#REF!</v>
      </c>
      <c r="AR98" s="1191" t="e">
        <f t="shared" si="15"/>
        <v>#REF!</v>
      </c>
      <c r="AS98" s="1191" t="e">
        <f t="shared" si="15"/>
        <v>#REF!</v>
      </c>
      <c r="AT98" s="1191" t="e">
        <f t="shared" si="15"/>
        <v>#REF!</v>
      </c>
      <c r="AU98" s="1191" t="e">
        <f t="shared" si="15"/>
        <v>#REF!</v>
      </c>
      <c r="AV98" s="1191" t="e">
        <f t="shared" si="15"/>
        <v>#REF!</v>
      </c>
      <c r="AW98" s="1191" t="e">
        <f t="shared" si="15"/>
        <v>#REF!</v>
      </c>
      <c r="AX98" s="1191" t="e">
        <f t="shared" si="15"/>
        <v>#REF!</v>
      </c>
      <c r="AY98" s="1191" t="e">
        <f t="shared" si="15"/>
        <v>#REF!</v>
      </c>
      <c r="AZ98" s="1191" t="e">
        <f t="shared" si="15"/>
        <v>#REF!</v>
      </c>
      <c r="BA98" s="1191" t="e">
        <f t="shared" si="15"/>
        <v>#REF!</v>
      </c>
      <c r="BB98" s="1191" t="e">
        <f t="shared" si="15"/>
        <v>#REF!</v>
      </c>
      <c r="BC98" s="1191" t="e">
        <f t="shared" si="15"/>
        <v>#REF!</v>
      </c>
      <c r="BD98" s="1191" t="e">
        <f t="shared" si="15"/>
        <v>#REF!</v>
      </c>
      <c r="BE98" s="1191" t="e">
        <f t="shared" si="15"/>
        <v>#REF!</v>
      </c>
      <c r="BF98" s="1191" t="e">
        <f t="shared" si="15"/>
        <v>#REF!</v>
      </c>
      <c r="BG98" s="1191" t="e">
        <f t="shared" si="15"/>
        <v>#REF!</v>
      </c>
      <c r="BH98" s="1191" t="e">
        <f t="shared" si="15"/>
        <v>#REF!</v>
      </c>
      <c r="BI98" s="1172" t="e">
        <f>NPV($D$49,F98:BH98)</f>
        <v>#REF!</v>
      </c>
      <c r="BJ98" s="12"/>
      <c r="BK98" s="12"/>
      <c r="BL98" s="12"/>
      <c r="BM98" s="12"/>
      <c r="BN98" s="12"/>
      <c r="BO98" s="12"/>
    </row>
    <row r="99" spans="2:70" ht="12.75">
      <c r="C99" s="1183"/>
      <c r="D99" s="96"/>
      <c r="E99" s="96"/>
      <c r="F99" s="1192"/>
      <c r="G99" s="1192"/>
      <c r="H99" s="1192"/>
      <c r="I99" s="1192"/>
      <c r="J99" s="1192"/>
      <c r="K99" s="1192"/>
      <c r="L99" s="1192"/>
      <c r="M99" s="1192"/>
      <c r="N99" s="1192"/>
      <c r="O99" s="1192"/>
      <c r="P99" s="1192"/>
      <c r="Q99" s="1192"/>
      <c r="R99" s="1192"/>
      <c r="S99" s="1192"/>
      <c r="T99" s="1192"/>
      <c r="U99" s="1192"/>
      <c r="V99" s="1192"/>
      <c r="W99" s="1192"/>
      <c r="X99" s="1192"/>
      <c r="Y99" s="1192"/>
      <c r="Z99" s="1192"/>
      <c r="AA99" s="1192"/>
      <c r="AB99" s="1192"/>
      <c r="AC99" s="1192"/>
      <c r="AD99" s="1192"/>
      <c r="AE99" s="1192"/>
      <c r="AF99" s="1192"/>
      <c r="AG99" s="1192"/>
      <c r="AH99" s="1192"/>
      <c r="AI99" s="1192"/>
      <c r="AJ99" s="1192"/>
      <c r="AK99" s="1192"/>
      <c r="AL99" s="1192"/>
      <c r="AM99" s="1192"/>
      <c r="AN99" s="1192"/>
      <c r="AO99" s="1192"/>
      <c r="AP99" s="1192"/>
      <c r="AQ99" s="1192"/>
      <c r="AR99" s="1192"/>
      <c r="AS99" s="1192"/>
      <c r="AT99" s="1192"/>
      <c r="AU99" s="1192"/>
      <c r="AV99" s="1192"/>
      <c r="AW99" s="1192"/>
      <c r="AX99" s="1192"/>
      <c r="AY99" s="1192"/>
      <c r="AZ99" s="1192"/>
      <c r="BA99" s="1192"/>
      <c r="BB99" s="1192"/>
      <c r="BC99" s="1192"/>
      <c r="BD99" s="1192"/>
      <c r="BE99" s="1192"/>
      <c r="BF99" s="1192"/>
      <c r="BG99" s="1192"/>
      <c r="BH99" s="1192"/>
      <c r="BI99" s="1192"/>
      <c r="BJ99" s="1192"/>
      <c r="BK99" s="1192"/>
      <c r="BL99" s="1192"/>
      <c r="BM99" s="1192"/>
      <c r="BN99" s="1192"/>
      <c r="BO99" s="1172"/>
      <c r="BP99" s="96"/>
      <c r="BQ99" s="96"/>
      <c r="BR99" s="96"/>
    </row>
    <row r="100" spans="2:70" ht="12.75">
      <c r="C100" s="1183"/>
      <c r="D100" s="467"/>
      <c r="E100" s="467"/>
      <c r="F100" s="467"/>
      <c r="G100" s="467"/>
      <c r="H100" s="467"/>
      <c r="I100" s="467"/>
      <c r="J100" s="467"/>
      <c r="K100" s="467"/>
      <c r="L100" s="467"/>
      <c r="M100" s="467"/>
      <c r="N100" s="467"/>
      <c r="O100" s="467"/>
      <c r="P100" s="467"/>
      <c r="Q100" s="467"/>
      <c r="R100" s="467"/>
      <c r="BO100" s="467"/>
      <c r="BP100" s="96"/>
      <c r="BQ100" s="96"/>
      <c r="BR100" s="96"/>
    </row>
    <row r="101" spans="2:70" ht="12.75">
      <c r="C101" s="1183"/>
      <c r="D101" s="467"/>
      <c r="E101" s="467"/>
      <c r="F101" s="467"/>
      <c r="G101" s="467"/>
      <c r="H101" s="467"/>
      <c r="I101" s="467"/>
      <c r="J101" s="467"/>
      <c r="K101" s="467"/>
      <c r="L101" s="467"/>
      <c r="M101" s="467"/>
      <c r="N101" s="467"/>
      <c r="O101" s="467"/>
      <c r="P101" s="467"/>
      <c r="Q101" s="467"/>
      <c r="R101" s="467"/>
      <c r="BO101" s="467"/>
      <c r="BP101" s="96"/>
      <c r="BQ101" s="96"/>
      <c r="BR101" s="96"/>
    </row>
    <row r="102" spans="2:70" ht="12.75">
      <c r="C102" s="1183"/>
      <c r="D102" s="467"/>
      <c r="E102" s="467"/>
      <c r="F102" s="467"/>
      <c r="G102" s="467"/>
      <c r="H102" s="467"/>
      <c r="I102" s="467"/>
      <c r="J102" s="467"/>
      <c r="K102" s="467"/>
      <c r="L102" s="467"/>
      <c r="M102" s="467"/>
      <c r="N102" s="467"/>
      <c r="O102" s="467"/>
      <c r="P102" s="467"/>
      <c r="Q102" s="467"/>
      <c r="R102" s="467"/>
      <c r="BO102" s="467"/>
      <c r="BP102" s="96"/>
      <c r="BQ102" s="96"/>
      <c r="BR102" s="96"/>
    </row>
    <row r="103" spans="2:70" ht="12.75">
      <c r="C103" s="1183"/>
      <c r="D103" s="467"/>
      <c r="E103" s="467"/>
      <c r="F103" s="467"/>
      <c r="G103" s="467"/>
      <c r="H103" s="467"/>
      <c r="I103" s="467"/>
      <c r="J103" s="467"/>
      <c r="K103" s="467"/>
      <c r="L103" s="467"/>
      <c r="M103" s="467"/>
      <c r="N103" s="467"/>
      <c r="O103" s="467"/>
      <c r="P103" s="467"/>
      <c r="Q103" s="467"/>
      <c r="R103" s="467"/>
      <c r="BO103" s="467"/>
      <c r="BP103" s="96"/>
      <c r="BQ103" s="96"/>
      <c r="BR103" s="96"/>
    </row>
    <row r="104" spans="2:70" ht="12.75">
      <c r="C104" s="1183"/>
      <c r="D104" s="467"/>
      <c r="E104" s="467"/>
      <c r="F104" s="467"/>
      <c r="G104" s="467"/>
      <c r="H104" s="467"/>
      <c r="I104" s="467"/>
      <c r="J104" s="467"/>
      <c r="K104" s="467"/>
      <c r="L104" s="467"/>
      <c r="M104" s="467"/>
      <c r="N104" s="467"/>
      <c r="O104" s="467"/>
      <c r="P104" s="467"/>
      <c r="Q104" s="467"/>
      <c r="R104" s="467"/>
      <c r="BO104" s="467"/>
      <c r="BP104" s="96"/>
      <c r="BQ104" s="96"/>
      <c r="BR104" s="96"/>
    </row>
    <row r="105" spans="2:70" ht="12.75">
      <c r="C105" s="1183"/>
      <c r="D105" s="467"/>
      <c r="E105" s="467"/>
      <c r="F105" s="467"/>
      <c r="G105" s="467"/>
      <c r="H105" s="467"/>
      <c r="I105" s="467"/>
      <c r="J105" s="467"/>
      <c r="K105" s="467"/>
      <c r="L105" s="467"/>
      <c r="M105" s="467"/>
      <c r="N105" s="467"/>
      <c r="O105" s="467"/>
      <c r="P105" s="467"/>
      <c r="Q105" s="467"/>
      <c r="R105" s="467"/>
      <c r="BO105" s="467"/>
      <c r="BP105" s="96"/>
      <c r="BQ105" s="96"/>
      <c r="BR105" s="96"/>
    </row>
    <row r="106" spans="2:70" ht="12.75">
      <c r="C106" s="1183"/>
      <c r="D106" s="467"/>
      <c r="E106" s="467"/>
      <c r="F106" s="467"/>
      <c r="G106" s="467"/>
      <c r="H106" s="467"/>
      <c r="I106" s="467"/>
      <c r="J106" s="467"/>
      <c r="K106" s="467"/>
      <c r="L106" s="467"/>
      <c r="M106" s="467"/>
      <c r="N106" s="467"/>
      <c r="O106" s="467"/>
      <c r="P106" s="467"/>
      <c r="Q106" s="467"/>
      <c r="R106" s="467"/>
      <c r="BO106" s="467"/>
      <c r="BP106" s="96"/>
      <c r="BQ106" s="96"/>
      <c r="BR106" s="96"/>
    </row>
    <row r="107" spans="2:70">
      <c r="F107" s="467"/>
      <c r="K107" s="467"/>
      <c r="L107" s="467"/>
      <c r="M107" s="467"/>
      <c r="N107" s="467"/>
      <c r="O107" s="467"/>
      <c r="P107" s="467"/>
      <c r="Q107" s="467"/>
      <c r="R107" s="467"/>
      <c r="BO107" s="467"/>
      <c r="BP107" s="96"/>
      <c r="BQ107" s="96"/>
      <c r="BR107" s="96"/>
    </row>
    <row r="108" spans="2:70">
      <c r="F108" s="467"/>
      <c r="K108" s="467"/>
      <c r="L108" s="467"/>
      <c r="M108" s="467"/>
      <c r="N108" s="467"/>
      <c r="O108" s="467"/>
      <c r="P108" s="467"/>
      <c r="Q108" s="467"/>
      <c r="R108" s="467"/>
      <c r="BO108" s="467"/>
      <c r="BP108" s="96"/>
      <c r="BQ108" s="96"/>
      <c r="BR108" s="96"/>
    </row>
    <row r="109" spans="2:70">
      <c r="F109" s="467"/>
      <c r="K109" s="467"/>
      <c r="L109" s="467"/>
      <c r="M109" s="467"/>
      <c r="N109" s="467"/>
      <c r="O109" s="467"/>
      <c r="P109" s="467"/>
      <c r="Q109" s="467"/>
      <c r="R109" s="467"/>
      <c r="BO109" s="467"/>
      <c r="BP109" s="96"/>
      <c r="BQ109" s="96"/>
      <c r="BR109" s="96"/>
    </row>
    <row r="110" spans="2:70">
      <c r="F110" s="467"/>
      <c r="K110" s="467"/>
      <c r="L110" s="467"/>
      <c r="M110" s="467"/>
      <c r="N110" s="467"/>
      <c r="O110" s="467"/>
      <c r="P110" s="467"/>
      <c r="Q110" s="467"/>
      <c r="R110" s="467"/>
      <c r="BO110" s="467"/>
      <c r="BP110" s="96"/>
      <c r="BQ110" s="96"/>
      <c r="BR110" s="96"/>
    </row>
    <row r="111" spans="2:70">
      <c r="F111" s="467"/>
      <c r="K111" s="467"/>
      <c r="L111" s="467"/>
      <c r="M111" s="467"/>
      <c r="N111" s="467"/>
      <c r="O111" s="467"/>
      <c r="P111" s="467"/>
      <c r="Q111" s="467"/>
      <c r="R111" s="467"/>
      <c r="BO111" s="467"/>
      <c r="BP111" s="96"/>
      <c r="BQ111" s="96"/>
      <c r="BR111" s="96"/>
    </row>
    <row r="112" spans="2:70">
      <c r="F112" s="467"/>
      <c r="K112" s="467"/>
      <c r="L112" s="467"/>
      <c r="M112" s="467"/>
      <c r="N112" s="467"/>
      <c r="O112" s="467"/>
      <c r="P112" s="467"/>
      <c r="Q112" s="467"/>
      <c r="R112" s="467"/>
      <c r="BO112" s="467"/>
      <c r="BP112" s="96"/>
      <c r="BQ112" s="96"/>
      <c r="BR112" s="96"/>
    </row>
    <row r="113" spans="3:70">
      <c r="F113" s="467"/>
      <c r="K113" s="467"/>
      <c r="L113" s="467"/>
      <c r="M113" s="467"/>
      <c r="N113" s="467"/>
      <c r="O113" s="467"/>
      <c r="P113" s="467"/>
      <c r="Q113" s="467"/>
      <c r="R113" s="467"/>
      <c r="BO113" s="467"/>
      <c r="BP113" s="96"/>
      <c r="BQ113" s="96"/>
      <c r="BR113" s="96"/>
    </row>
    <row r="114" spans="3:70">
      <c r="F114" s="467"/>
      <c r="K114" s="467"/>
      <c r="L114" s="467"/>
      <c r="M114" s="467"/>
      <c r="N114" s="467"/>
      <c r="O114" s="467"/>
      <c r="P114" s="467"/>
      <c r="Q114" s="467"/>
      <c r="R114" s="467"/>
      <c r="BO114" s="467"/>
      <c r="BP114" s="96"/>
      <c r="BQ114" s="96"/>
      <c r="BR114" s="96"/>
    </row>
    <row r="115" spans="3:70" ht="12.75">
      <c r="C115" s="1183"/>
      <c r="D115" s="467"/>
      <c r="E115" s="467"/>
      <c r="F115" s="467"/>
      <c r="K115" s="467"/>
      <c r="L115" s="467"/>
      <c r="M115" s="467"/>
      <c r="N115" s="467"/>
      <c r="O115" s="467"/>
      <c r="P115" s="467"/>
      <c r="Q115" s="467"/>
      <c r="R115" s="467"/>
      <c r="BO115" s="467"/>
      <c r="BP115" s="96"/>
      <c r="BQ115" s="96"/>
      <c r="BR115" s="96"/>
    </row>
    <row r="116" spans="3:70" ht="12.75">
      <c r="C116" s="1183"/>
      <c r="D116" s="467"/>
      <c r="E116" s="467"/>
      <c r="F116" s="467"/>
      <c r="K116" s="467"/>
      <c r="L116" s="467"/>
      <c r="M116" s="467"/>
      <c r="N116" s="467"/>
      <c r="O116" s="467"/>
      <c r="P116" s="467"/>
      <c r="Q116" s="467"/>
      <c r="R116" s="467"/>
      <c r="BO116" s="467"/>
      <c r="BP116" s="96"/>
      <c r="BQ116" s="96"/>
      <c r="BR116" s="96"/>
    </row>
    <row r="117" spans="3:70">
      <c r="F117" s="467"/>
      <c r="K117" s="467"/>
      <c r="L117" s="467"/>
      <c r="M117" s="467"/>
      <c r="N117" s="467"/>
      <c r="O117" s="467"/>
      <c r="P117" s="467"/>
      <c r="Q117" s="467"/>
      <c r="R117" s="467"/>
      <c r="BO117" s="467"/>
      <c r="BP117" s="96"/>
      <c r="BQ117" s="96"/>
      <c r="BR117" s="96"/>
    </row>
    <row r="118" spans="3:70">
      <c r="F118" s="467"/>
      <c r="K118" s="467"/>
      <c r="L118" s="467"/>
      <c r="M118" s="467"/>
      <c r="N118" s="467"/>
      <c r="O118" s="467"/>
      <c r="P118" s="467"/>
      <c r="Q118" s="467"/>
      <c r="R118" s="467"/>
      <c r="BO118" s="467"/>
      <c r="BP118" s="96"/>
      <c r="BQ118" s="96"/>
      <c r="BR118" s="96"/>
    </row>
    <row r="119" spans="3:70">
      <c r="F119" s="467"/>
      <c r="K119" s="467"/>
      <c r="L119" s="467"/>
      <c r="M119" s="467"/>
      <c r="N119" s="467"/>
      <c r="O119" s="467"/>
      <c r="P119" s="467"/>
      <c r="Q119" s="467"/>
      <c r="R119" s="467"/>
      <c r="BO119" s="467"/>
      <c r="BP119" s="96"/>
      <c r="BQ119" s="96"/>
      <c r="BR119" s="96"/>
    </row>
    <row r="120" spans="3:70">
      <c r="F120" s="467"/>
      <c r="K120" s="467"/>
      <c r="L120" s="467"/>
      <c r="M120" s="467"/>
      <c r="N120" s="467"/>
      <c r="O120" s="467"/>
      <c r="P120" s="467"/>
      <c r="Q120" s="467"/>
      <c r="R120" s="467"/>
      <c r="BO120" s="467"/>
      <c r="BP120" s="96"/>
      <c r="BQ120" s="96"/>
      <c r="BR120" s="96"/>
    </row>
    <row r="121" spans="3:70">
      <c r="F121" s="467"/>
      <c r="K121" s="467"/>
      <c r="L121" s="467"/>
      <c r="M121" s="467"/>
      <c r="N121" s="467"/>
      <c r="O121" s="467"/>
      <c r="P121" s="467"/>
      <c r="Q121" s="467"/>
      <c r="R121" s="467"/>
      <c r="BP121" s="96"/>
      <c r="BQ121" s="96"/>
      <c r="BR121" s="96"/>
    </row>
  </sheetData>
  <mergeCells count="17">
    <mergeCell ref="C86:E86"/>
    <mergeCell ref="C92:E92"/>
    <mergeCell ref="M6:N6"/>
    <mergeCell ref="M9:N9"/>
    <mergeCell ref="M21:N21"/>
    <mergeCell ref="M12:N12"/>
    <mergeCell ref="M20:O20"/>
    <mergeCell ref="C66:E66"/>
    <mergeCell ref="C73:E73"/>
    <mergeCell ref="S15:T15"/>
    <mergeCell ref="S7:U7"/>
    <mergeCell ref="A1:R1"/>
    <mergeCell ref="B2:E2"/>
    <mergeCell ref="H2:R2"/>
    <mergeCell ref="B4:C4"/>
    <mergeCell ref="R5:R6"/>
    <mergeCell ref="M5:O5"/>
  </mergeCells>
  <dataValidations count="4">
    <dataValidation type="list" allowBlank="1" showInputMessage="1" showErrorMessage="1" sqref="J25">
      <formula1>$G$43:$G$46</formula1>
    </dataValidation>
    <dataValidation type="list" allowBlank="1" showInputMessage="1" showErrorMessage="1" sqref="C8">
      <formula1>RE_Technology</formula1>
    </dataValidation>
    <dataValidation type="list" allowBlank="1" showInputMessage="1" showErrorMessage="1" sqref="C7">
      <formula1>Region</formula1>
    </dataValidation>
    <dataValidation type="list" allowBlank="1" showInputMessage="1" showErrorMessage="1" sqref="J5:J6 J11 J15:J16">
      <formula1>"Yes, No"</formula1>
    </dataValidation>
  </dataValidations>
  <pageMargins left="0.7" right="0.7" top="0.75" bottom="0.75" header="0.3" footer="0.3"/>
  <pageSetup paperSize="5" scale="37"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J3</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79998168889431442"/>
    <pageSetUpPr fitToPage="1"/>
  </sheetPr>
  <dimension ref="A1:BR86"/>
  <sheetViews>
    <sheetView workbookViewId="0">
      <selection activeCell="I3" sqref="I3:J3"/>
    </sheetView>
  </sheetViews>
  <sheetFormatPr defaultColWidth="9.140625" defaultRowHeight="15"/>
  <cols>
    <col min="1" max="1" width="2.42578125" style="39" bestFit="1" customWidth="1"/>
    <col min="2" max="2" width="24" style="1163" customWidth="1"/>
    <col min="3" max="3" width="26.85546875" style="1201" bestFit="1" customWidth="1"/>
    <col min="4" max="4" width="37.28515625" style="93" customWidth="1"/>
    <col min="5" max="5" width="24.28515625" style="93" bestFit="1" customWidth="1"/>
    <col min="6" max="6" width="17.140625" style="93" customWidth="1"/>
    <col min="7" max="7" width="18" style="93" customWidth="1"/>
    <col min="8" max="8" width="17.42578125" style="93" customWidth="1"/>
    <col min="9" max="9" width="27.28515625" style="93" customWidth="1"/>
    <col min="10" max="10" width="17.28515625" style="93" customWidth="1"/>
    <col min="11" max="11" width="16.5703125" style="93" customWidth="1"/>
    <col min="12" max="13" width="12.85546875" style="93" bestFit="1" customWidth="1"/>
    <col min="14" max="14" width="16" style="93" customWidth="1"/>
    <col min="15" max="15" width="18.85546875" style="93" customWidth="1"/>
    <col min="16" max="16" width="15" style="93" bestFit="1" customWidth="1"/>
    <col min="17" max="17" width="13.85546875" style="93" customWidth="1"/>
    <col min="18" max="18" width="15.140625" style="93" customWidth="1"/>
    <col min="19" max="19" width="14.42578125" style="467" customWidth="1"/>
    <col min="20" max="20" width="13.28515625" style="467" customWidth="1"/>
    <col min="21" max="22" width="12.140625" style="467" customWidth="1"/>
    <col min="23" max="23" width="12" style="467" customWidth="1"/>
    <col min="24" max="26" width="12.140625" style="467" customWidth="1"/>
    <col min="27" max="27" width="12" style="467" customWidth="1"/>
    <col min="28" max="29" width="12.140625" style="467" customWidth="1"/>
    <col min="30" max="33" width="7.5703125" style="467" customWidth="1"/>
    <col min="34" max="35" width="7.140625" style="467" customWidth="1"/>
    <col min="36" max="42" width="7.5703125" style="467" customWidth="1"/>
    <col min="43" max="43" width="8" style="467" customWidth="1"/>
    <col min="44" max="44" width="8.28515625" style="467" customWidth="1"/>
    <col min="45" max="45" width="8" style="467" customWidth="1"/>
    <col min="46" max="52" width="8.28515625" style="467" customWidth="1"/>
    <col min="53" max="53" width="8" style="467" customWidth="1"/>
    <col min="54" max="58" width="8.28515625" style="467" customWidth="1"/>
    <col min="59" max="59" width="10.28515625" style="467" customWidth="1"/>
    <col min="60" max="60" width="7.5703125" style="467" customWidth="1"/>
    <col min="61" max="61" width="19.140625" style="467" customWidth="1"/>
    <col min="62" max="62" width="18" style="467" customWidth="1"/>
    <col min="63" max="66" width="8.28515625" style="467" customWidth="1"/>
    <col min="67" max="67" width="17.5703125" style="1202" customWidth="1"/>
    <col min="68" max="74" width="14.140625" style="39" customWidth="1"/>
    <col min="75" max="16384" width="9.140625" style="39"/>
  </cols>
  <sheetData>
    <row r="1" spans="1:67" ht="23.25" customHeight="1" thickBot="1">
      <c r="A1" s="2136" t="s">
        <v>662</v>
      </c>
      <c r="B1" s="2136"/>
      <c r="C1" s="2136"/>
      <c r="D1" s="2136"/>
      <c r="E1" s="2136"/>
      <c r="F1" s="2136"/>
      <c r="G1" s="2136"/>
      <c r="H1" s="2136"/>
      <c r="I1" s="2136"/>
      <c r="J1" s="2136"/>
      <c r="K1" s="2136"/>
      <c r="L1" s="2136"/>
      <c r="M1" s="2136"/>
      <c r="N1" s="2136"/>
      <c r="O1" s="2136"/>
      <c r="P1" s="2136"/>
      <c r="Q1" s="2136"/>
      <c r="R1" s="213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row>
    <row r="2" spans="1:67" ht="21" thickBot="1">
      <c r="B2" s="2137" t="s">
        <v>334</v>
      </c>
      <c r="C2" s="2137"/>
      <c r="D2" s="2137"/>
      <c r="E2" s="2137"/>
      <c r="G2" s="1025"/>
      <c r="H2" s="2138" t="s">
        <v>618</v>
      </c>
      <c r="I2" s="2139"/>
      <c r="J2" s="2139"/>
      <c r="K2" s="2139"/>
      <c r="L2" s="2139"/>
      <c r="M2" s="2139"/>
      <c r="N2" s="2139"/>
      <c r="O2" s="2139"/>
      <c r="P2" s="2139"/>
      <c r="Q2" s="2139"/>
      <c r="R2" s="2140"/>
      <c r="S2" s="471"/>
      <c r="T2" s="471"/>
      <c r="U2" s="471"/>
      <c r="V2" s="471"/>
      <c r="W2" s="471"/>
      <c r="X2" s="471"/>
      <c r="Y2" s="471"/>
      <c r="Z2" s="471"/>
      <c r="AA2" s="471"/>
      <c r="AB2" s="471"/>
      <c r="AC2" s="471"/>
      <c r="AD2" s="471"/>
      <c r="AE2" s="471"/>
      <c r="AF2" s="471"/>
      <c r="AG2" s="471"/>
      <c r="AH2" s="471"/>
      <c r="AI2" s="471"/>
      <c r="AJ2" s="471"/>
      <c r="AK2" s="471"/>
      <c r="AL2" s="471"/>
      <c r="AM2" s="471"/>
      <c r="AN2" s="471"/>
      <c r="AO2" s="471"/>
      <c r="AP2" s="471"/>
      <c r="AQ2" s="471"/>
      <c r="AR2" s="471"/>
      <c r="AS2" s="471"/>
      <c r="AT2" s="471"/>
      <c r="AU2" s="471"/>
      <c r="AV2" s="471"/>
      <c r="AW2" s="471"/>
      <c r="AX2" s="471"/>
      <c r="AY2" s="471"/>
      <c r="AZ2" s="471"/>
      <c r="BA2" s="471"/>
      <c r="BB2" s="471"/>
      <c r="BC2" s="471"/>
      <c r="BD2" s="471"/>
      <c r="BE2" s="471"/>
      <c r="BF2" s="471"/>
      <c r="BG2" s="471"/>
      <c r="BH2" s="471"/>
      <c r="BI2" s="471"/>
      <c r="BJ2" s="471"/>
      <c r="BK2" s="471"/>
      <c r="BL2" s="471"/>
      <c r="BM2" s="471"/>
      <c r="BN2" s="471"/>
      <c r="BO2" s="471"/>
    </row>
    <row r="3" spans="1:67" ht="15.75" thickBot="1">
      <c r="B3" s="1026"/>
      <c r="C3" s="1027"/>
      <c r="G3" s="1028"/>
      <c r="H3" s="1029"/>
      <c r="I3" s="1030" t="s">
        <v>839</v>
      </c>
      <c r="J3" s="1031" t="s">
        <v>597</v>
      </c>
      <c r="K3" s="582"/>
      <c r="L3" s="582"/>
      <c r="M3" s="582"/>
      <c r="N3" s="582"/>
      <c r="O3" s="582"/>
      <c r="P3" s="582"/>
      <c r="Q3" s="582"/>
      <c r="R3" s="1032"/>
      <c r="S3" s="582"/>
      <c r="T3" s="582"/>
      <c r="U3" s="582"/>
      <c r="V3" s="582"/>
      <c r="W3" s="582"/>
      <c r="X3" s="582"/>
      <c r="Y3" s="582"/>
      <c r="Z3" s="582"/>
      <c r="AA3" s="582"/>
      <c r="AB3" s="582"/>
      <c r="AC3" s="582"/>
      <c r="AD3" s="582"/>
      <c r="AE3" s="582"/>
      <c r="AF3" s="582"/>
      <c r="AG3" s="582"/>
      <c r="AH3" s="582"/>
      <c r="AI3" s="582"/>
      <c r="AJ3" s="582"/>
      <c r="AK3" s="582"/>
      <c r="AL3" s="582"/>
      <c r="AM3" s="582"/>
      <c r="AN3" s="582"/>
      <c r="AO3" s="582"/>
      <c r="AP3" s="582"/>
      <c r="AQ3" s="582"/>
      <c r="AR3" s="582"/>
      <c r="AS3" s="582"/>
      <c r="AT3" s="582"/>
      <c r="AU3" s="582"/>
      <c r="AV3" s="582"/>
      <c r="AW3" s="582"/>
      <c r="AX3" s="582"/>
      <c r="AY3" s="582"/>
      <c r="AZ3" s="582"/>
      <c r="BA3" s="582"/>
      <c r="BB3" s="582"/>
      <c r="BC3" s="582"/>
      <c r="BD3" s="582"/>
      <c r="BE3" s="582"/>
      <c r="BF3" s="582"/>
      <c r="BG3" s="582"/>
      <c r="BH3" s="582"/>
      <c r="BI3" s="582"/>
      <c r="BJ3" s="582"/>
      <c r="BK3" s="582"/>
      <c r="BL3" s="582"/>
      <c r="BM3" s="582"/>
      <c r="BN3" s="582"/>
      <c r="BO3" s="582"/>
    </row>
    <row r="4" spans="1:67" ht="13.5" thickBot="1">
      <c r="B4" s="2141" t="s">
        <v>331</v>
      </c>
      <c r="C4" s="2142"/>
      <c r="D4" s="96"/>
      <c r="E4" s="916" t="s">
        <v>1211</v>
      </c>
      <c r="F4" s="1236" t="s">
        <v>890</v>
      </c>
      <c r="G4" s="1033"/>
      <c r="H4" s="1029"/>
      <c r="I4" s="416" t="s">
        <v>960</v>
      </c>
      <c r="J4" s="1034" t="s">
        <v>597</v>
      </c>
      <c r="K4" s="582"/>
      <c r="L4" s="582"/>
      <c r="M4" s="582"/>
      <c r="N4" s="582"/>
      <c r="O4" s="582"/>
      <c r="P4" s="582"/>
      <c r="Q4" s="582"/>
      <c r="R4" s="1032"/>
      <c r="S4" s="582"/>
      <c r="T4" s="582"/>
      <c r="U4" s="582"/>
      <c r="V4" s="582"/>
      <c r="W4" s="582"/>
      <c r="X4" s="582"/>
      <c r="Y4" s="582"/>
      <c r="Z4" s="582"/>
      <c r="AA4" s="582"/>
      <c r="AB4" s="582"/>
      <c r="AC4" s="582"/>
      <c r="AD4" s="582"/>
      <c r="AE4" s="582"/>
      <c r="AF4" s="582"/>
      <c r="AG4" s="582"/>
      <c r="AH4" s="582"/>
      <c r="AI4" s="582"/>
      <c r="AJ4" s="582"/>
      <c r="AK4" s="582"/>
      <c r="AL4" s="582"/>
      <c r="AM4" s="582"/>
      <c r="AN4" s="582"/>
      <c r="AO4" s="582"/>
      <c r="AP4" s="582"/>
      <c r="AQ4" s="582"/>
      <c r="AR4" s="582"/>
      <c r="AS4" s="582"/>
      <c r="AT4" s="582"/>
      <c r="AU4" s="582"/>
      <c r="AV4" s="582"/>
      <c r="AW4" s="582"/>
      <c r="AX4" s="582"/>
      <c r="AY4" s="582"/>
      <c r="AZ4" s="582"/>
      <c r="BA4" s="582"/>
      <c r="BB4" s="582"/>
      <c r="BC4" s="582"/>
      <c r="BD4" s="582"/>
      <c r="BE4" s="582"/>
      <c r="BF4" s="582"/>
      <c r="BG4" s="582"/>
      <c r="BH4" s="582"/>
      <c r="BI4" s="582"/>
      <c r="BJ4" s="582"/>
      <c r="BK4" s="582"/>
      <c r="BL4" s="582"/>
      <c r="BM4" s="582"/>
      <c r="BN4" s="582"/>
      <c r="BO4" s="582"/>
    </row>
    <row r="5" spans="1:67">
      <c r="B5" s="484" t="s">
        <v>375</v>
      </c>
      <c r="C5" s="587" t="str">
        <f>Community_Name</f>
        <v>Manley Hot Springs</v>
      </c>
      <c r="D5" s="582"/>
      <c r="E5" s="47" t="s">
        <v>1209</v>
      </c>
      <c r="F5" s="1237" t="s">
        <v>890</v>
      </c>
      <c r="G5" s="1033"/>
      <c r="H5" s="1029"/>
      <c r="I5" s="1035" t="s">
        <v>961</v>
      </c>
      <c r="J5" s="1036"/>
      <c r="K5" s="1037"/>
      <c r="L5" s="1037"/>
      <c r="M5" s="471"/>
      <c r="N5" s="2162" t="s">
        <v>579</v>
      </c>
      <c r="O5" s="2163"/>
      <c r="P5" s="2163"/>
      <c r="Q5" s="2164"/>
      <c r="R5" s="2143"/>
      <c r="U5" s="1027"/>
      <c r="V5" s="1027"/>
      <c r="W5" s="582"/>
      <c r="X5" s="582"/>
      <c r="Y5" s="582"/>
      <c r="Z5" s="582"/>
      <c r="AA5" s="582"/>
      <c r="AB5" s="582"/>
      <c r="AC5" s="582"/>
      <c r="AD5" s="582"/>
      <c r="AE5" s="582"/>
      <c r="AF5" s="582"/>
      <c r="AG5" s="582"/>
      <c r="AH5" s="582"/>
      <c r="AI5" s="582"/>
      <c r="AJ5" s="582"/>
      <c r="AK5" s="582"/>
      <c r="AL5" s="582"/>
      <c r="AM5" s="582"/>
      <c r="AN5" s="582"/>
      <c r="AO5" s="582"/>
      <c r="AP5" s="582"/>
      <c r="AQ5" s="582"/>
      <c r="AR5" s="582"/>
      <c r="AS5" s="582"/>
      <c r="AT5" s="582"/>
      <c r="AU5" s="582"/>
      <c r="AV5" s="582"/>
      <c r="AW5" s="582"/>
      <c r="AX5" s="582"/>
      <c r="AY5" s="582"/>
      <c r="AZ5" s="582"/>
      <c r="BA5" s="582"/>
      <c r="BB5" s="582"/>
      <c r="BC5" s="582"/>
      <c r="BD5" s="582"/>
      <c r="BE5" s="582"/>
      <c r="BF5" s="582"/>
      <c r="BG5" s="582"/>
      <c r="BH5" s="582"/>
      <c r="BI5" s="582"/>
      <c r="BJ5" s="582"/>
      <c r="BK5" s="582"/>
      <c r="BL5" s="582"/>
      <c r="BM5" s="582"/>
      <c r="BN5" s="582"/>
      <c r="BO5" s="582"/>
    </row>
    <row r="6" spans="1:67" ht="15.75" thickBot="1">
      <c r="B6" s="484" t="s">
        <v>376</v>
      </c>
      <c r="C6" s="587" t="str">
        <f>IF('Community data'!B7="Yes",'Community data'!B8,Community_Name)</f>
        <v>Manley Hot Springs</v>
      </c>
      <c r="D6" s="582"/>
      <c r="E6" s="417" t="s">
        <v>1210</v>
      </c>
      <c r="F6" s="1212" t="str">
        <f>IF(OR(C9="Construction",C9="Design"),"High", IF(C9="Feasibility", "Medium", IF(C9="Recon", "Low")))</f>
        <v>Low</v>
      </c>
      <c r="G6" s="1033"/>
      <c r="H6" s="1029"/>
      <c r="I6" s="1040" t="s">
        <v>570</v>
      </c>
      <c r="J6" s="1041" t="str">
        <f>C9</f>
        <v>Recon</v>
      </c>
      <c r="K6" s="1042"/>
      <c r="L6" s="1037"/>
      <c r="M6" s="471"/>
      <c r="N6" s="2165"/>
      <c r="O6" s="2166"/>
      <c r="P6" s="2166"/>
      <c r="Q6" s="2167"/>
      <c r="R6" s="2143"/>
      <c r="U6" s="1027"/>
      <c r="V6" s="1027"/>
      <c r="W6" s="582"/>
      <c r="X6" s="582"/>
      <c r="Y6" s="582"/>
      <c r="Z6" s="582"/>
      <c r="AA6" s="582"/>
      <c r="AB6" s="582"/>
      <c r="AC6" s="582"/>
      <c r="AD6" s="582"/>
      <c r="AE6" s="582"/>
      <c r="AF6" s="582"/>
      <c r="AG6" s="582"/>
      <c r="AH6" s="582"/>
      <c r="AI6" s="582"/>
      <c r="AJ6" s="582"/>
      <c r="AK6" s="582"/>
      <c r="AL6" s="582"/>
      <c r="AM6" s="582"/>
      <c r="AN6" s="582"/>
      <c r="AO6" s="582"/>
      <c r="AP6" s="582"/>
      <c r="AQ6" s="582"/>
      <c r="AR6" s="582"/>
      <c r="AS6" s="582"/>
      <c r="AT6" s="582"/>
      <c r="AU6" s="582"/>
      <c r="AV6" s="582"/>
      <c r="AW6" s="582"/>
      <c r="AX6" s="582"/>
      <c r="AY6" s="582"/>
      <c r="AZ6" s="582"/>
      <c r="BA6" s="582"/>
      <c r="BB6" s="582"/>
      <c r="BC6" s="582"/>
      <c r="BD6" s="582"/>
      <c r="BE6" s="582"/>
      <c r="BF6" s="582"/>
      <c r="BG6" s="582"/>
      <c r="BH6" s="582"/>
      <c r="BI6" s="582"/>
      <c r="BJ6" s="582"/>
      <c r="BK6" s="582"/>
      <c r="BL6" s="582"/>
      <c r="BM6" s="582"/>
      <c r="BN6" s="582"/>
      <c r="BO6" s="582"/>
    </row>
    <row r="7" spans="1:67" ht="15.75" thickBot="1">
      <c r="B7" s="484" t="s">
        <v>332</v>
      </c>
      <c r="C7" s="1038" t="s">
        <v>291</v>
      </c>
      <c r="D7" s="582"/>
      <c r="E7" s="467"/>
      <c r="G7" s="1033"/>
      <c r="H7" s="1029"/>
      <c r="I7" s="1043" t="s">
        <v>763</v>
      </c>
      <c r="J7" s="1044">
        <v>20</v>
      </c>
      <c r="K7" s="1037"/>
      <c r="L7" s="1037"/>
      <c r="M7" s="471"/>
      <c r="N7" s="2168" t="s">
        <v>840</v>
      </c>
      <c r="O7" s="2169"/>
      <c r="P7" s="1045">
        <f>J28+J23+J18+J12</f>
        <v>0</v>
      </c>
      <c r="Q7" s="1046" t="s">
        <v>629</v>
      </c>
      <c r="R7" s="1047"/>
      <c r="S7" s="2135"/>
      <c r="T7" s="2135"/>
      <c r="U7" s="2135"/>
      <c r="V7" s="1027"/>
      <c r="W7" s="582"/>
      <c r="X7" s="582"/>
      <c r="Y7" s="582"/>
      <c r="Z7" s="582"/>
      <c r="AA7" s="582"/>
      <c r="AB7" s="582"/>
      <c r="AC7" s="582"/>
      <c r="AD7" s="582"/>
      <c r="AE7" s="582"/>
      <c r="AF7" s="582"/>
      <c r="AG7" s="582"/>
      <c r="AH7" s="582"/>
      <c r="AI7" s="582"/>
      <c r="AJ7" s="582"/>
      <c r="AK7" s="582"/>
      <c r="AL7" s="582"/>
      <c r="AM7" s="582"/>
      <c r="AN7" s="582"/>
      <c r="AO7" s="582"/>
      <c r="AP7" s="582"/>
      <c r="AQ7" s="582"/>
      <c r="AR7" s="582"/>
      <c r="AS7" s="582"/>
      <c r="AT7" s="582"/>
      <c r="AU7" s="582"/>
      <c r="AV7" s="582"/>
      <c r="AW7" s="582"/>
      <c r="AX7" s="582"/>
      <c r="AY7" s="582"/>
      <c r="AZ7" s="582"/>
      <c r="BA7" s="582"/>
      <c r="BB7" s="582"/>
      <c r="BC7" s="582"/>
      <c r="BD7" s="582"/>
      <c r="BE7" s="582"/>
      <c r="BF7" s="582"/>
      <c r="BG7" s="582"/>
      <c r="BH7" s="582"/>
      <c r="BI7" s="582"/>
      <c r="BJ7" s="582"/>
      <c r="BK7" s="582"/>
      <c r="BL7" s="582"/>
      <c r="BM7" s="582"/>
      <c r="BN7" s="582"/>
      <c r="BO7" s="582"/>
    </row>
    <row r="8" spans="1:67" ht="15.75" thickBot="1">
      <c r="B8" s="484" t="s">
        <v>569</v>
      </c>
      <c r="C8" s="1038" t="s">
        <v>691</v>
      </c>
      <c r="D8" s="582"/>
      <c r="E8" s="96"/>
      <c r="G8" s="1033"/>
      <c r="H8" s="1029"/>
      <c r="I8" s="703"/>
      <c r="J8" s="1048"/>
      <c r="K8" s="1049"/>
      <c r="L8" s="1037"/>
      <c r="M8" s="471"/>
      <c r="N8" s="2159" t="s">
        <v>959</v>
      </c>
      <c r="O8" s="2160"/>
      <c r="P8" s="1050"/>
      <c r="Q8" s="1051"/>
      <c r="R8" s="1047"/>
      <c r="S8" s="1027"/>
      <c r="T8" s="1027"/>
      <c r="U8" s="1027"/>
      <c r="V8" s="1027"/>
      <c r="W8" s="582"/>
      <c r="X8" s="582"/>
      <c r="Y8" s="582"/>
      <c r="Z8" s="582"/>
      <c r="AA8" s="582"/>
      <c r="AB8" s="582"/>
      <c r="AC8" s="582"/>
      <c r="AD8" s="582"/>
      <c r="AE8" s="582"/>
      <c r="AF8" s="582"/>
      <c r="AG8" s="582"/>
      <c r="AH8" s="582"/>
      <c r="AI8" s="582"/>
      <c r="AJ8" s="582"/>
      <c r="AK8" s="582"/>
      <c r="AL8" s="582"/>
      <c r="AM8" s="582"/>
      <c r="AN8" s="582"/>
      <c r="AO8" s="582"/>
      <c r="AP8" s="582"/>
      <c r="AQ8" s="582"/>
      <c r="AR8" s="582"/>
      <c r="AS8" s="582"/>
      <c r="AT8" s="582"/>
      <c r="AU8" s="582"/>
      <c r="AV8" s="582"/>
      <c r="AW8" s="582"/>
      <c r="AX8" s="582"/>
      <c r="AY8" s="582"/>
      <c r="AZ8" s="582"/>
      <c r="BA8" s="582"/>
      <c r="BB8" s="582"/>
      <c r="BC8" s="582"/>
      <c r="BD8" s="582"/>
      <c r="BE8" s="582"/>
      <c r="BF8" s="582"/>
      <c r="BG8" s="582"/>
      <c r="BH8" s="582"/>
      <c r="BI8" s="582"/>
      <c r="BJ8" s="582"/>
      <c r="BK8" s="582"/>
      <c r="BL8" s="582"/>
      <c r="BM8" s="582"/>
      <c r="BN8" s="582"/>
      <c r="BO8" s="582"/>
    </row>
    <row r="9" spans="1:67">
      <c r="B9" s="484" t="s">
        <v>570</v>
      </c>
      <c r="C9" s="1052" t="s">
        <v>576</v>
      </c>
      <c r="D9" s="582"/>
      <c r="E9" s="96"/>
      <c r="G9" s="1033"/>
      <c r="H9" s="1029"/>
      <c r="I9" s="1024" t="s">
        <v>845</v>
      </c>
      <c r="J9" s="1053" t="s">
        <v>846</v>
      </c>
      <c r="K9" s="1054"/>
      <c r="L9" s="1037"/>
      <c r="M9" s="471"/>
      <c r="N9" s="2159" t="s">
        <v>842</v>
      </c>
      <c r="O9" s="2160"/>
      <c r="P9" s="1055">
        <f>IF(J4="Yes",J5,P8*P7)</f>
        <v>0</v>
      </c>
      <c r="Q9" s="1056"/>
      <c r="R9" s="1047"/>
      <c r="S9" s="1057"/>
      <c r="T9" s="1027"/>
      <c r="U9" s="1027"/>
      <c r="V9" s="1027"/>
      <c r="W9" s="582"/>
      <c r="X9" s="582"/>
      <c r="Y9" s="582"/>
      <c r="Z9" s="582"/>
      <c r="AA9" s="582"/>
      <c r="AB9" s="582"/>
      <c r="AC9" s="582"/>
      <c r="AD9" s="582"/>
      <c r="AE9" s="582"/>
      <c r="AF9" s="582"/>
      <c r="AG9" s="582"/>
      <c r="AH9" s="582"/>
      <c r="AI9" s="582"/>
      <c r="AJ9" s="582"/>
      <c r="AK9" s="582"/>
      <c r="AL9" s="582"/>
      <c r="AM9" s="582"/>
      <c r="AN9" s="582"/>
      <c r="AO9" s="582"/>
      <c r="AP9" s="582"/>
      <c r="AQ9" s="582"/>
      <c r="AR9" s="582"/>
      <c r="AS9" s="582"/>
      <c r="AT9" s="582"/>
      <c r="AU9" s="582"/>
      <c r="AV9" s="582"/>
      <c r="AW9" s="582"/>
      <c r="AX9" s="582"/>
      <c r="AY9" s="582"/>
      <c r="AZ9" s="582"/>
      <c r="BA9" s="582"/>
      <c r="BB9" s="582"/>
      <c r="BC9" s="582"/>
      <c r="BD9" s="582"/>
      <c r="BE9" s="582"/>
      <c r="BF9" s="582"/>
      <c r="BG9" s="582"/>
      <c r="BH9" s="582"/>
      <c r="BI9" s="582"/>
      <c r="BJ9" s="582"/>
      <c r="BK9" s="582"/>
      <c r="BL9" s="582"/>
      <c r="BM9" s="582"/>
      <c r="BN9" s="582"/>
      <c r="BO9" s="582"/>
    </row>
    <row r="10" spans="1:67">
      <c r="B10" s="484"/>
      <c r="C10" s="1038"/>
      <c r="D10" s="582"/>
      <c r="E10" s="96"/>
      <c r="G10" s="1033"/>
      <c r="H10" s="1029"/>
      <c r="I10" s="416" t="s">
        <v>841</v>
      </c>
      <c r="J10" s="1058">
        <f>'Community data'!L8</f>
        <v>4.4800000000000004</v>
      </c>
      <c r="K10" s="96"/>
      <c r="L10" s="1037"/>
      <c r="M10" s="471"/>
      <c r="N10" s="2153" t="s">
        <v>852</v>
      </c>
      <c r="O10" s="2154"/>
      <c r="P10" s="1059">
        <f>(J11-J10)</f>
        <v>-4.4800000000000004</v>
      </c>
      <c r="Q10" s="1060"/>
      <c r="R10" s="1047"/>
      <c r="S10" s="1057"/>
      <c r="T10" s="1027"/>
      <c r="U10" s="1027"/>
      <c r="V10" s="1027"/>
      <c r="W10" s="582"/>
      <c r="X10" s="582"/>
      <c r="Y10" s="582"/>
      <c r="Z10" s="582"/>
      <c r="AA10" s="582"/>
      <c r="AB10" s="582"/>
      <c r="AC10" s="582"/>
      <c r="AD10" s="582"/>
      <c r="AE10" s="582"/>
      <c r="AF10" s="582"/>
      <c r="AG10" s="582"/>
      <c r="AH10" s="582"/>
      <c r="AI10" s="582"/>
      <c r="AJ10" s="582"/>
      <c r="AK10" s="582"/>
      <c r="AL10" s="582"/>
      <c r="AM10" s="582"/>
      <c r="AN10" s="582"/>
      <c r="AO10" s="582"/>
      <c r="AP10" s="582"/>
      <c r="AQ10" s="582"/>
      <c r="AR10" s="582"/>
      <c r="AS10" s="582"/>
      <c r="AT10" s="582"/>
      <c r="AU10" s="582"/>
      <c r="AV10" s="582"/>
      <c r="AW10" s="582"/>
      <c r="AX10" s="582"/>
      <c r="AY10" s="582"/>
      <c r="AZ10" s="582"/>
      <c r="BA10" s="582"/>
      <c r="BB10" s="582"/>
      <c r="BC10" s="582"/>
      <c r="BD10" s="582"/>
      <c r="BE10" s="582"/>
      <c r="BF10" s="582"/>
      <c r="BG10" s="582"/>
      <c r="BH10" s="582"/>
      <c r="BI10" s="582"/>
      <c r="BJ10" s="582"/>
      <c r="BK10" s="582"/>
      <c r="BL10" s="582"/>
      <c r="BM10" s="582"/>
      <c r="BN10" s="582"/>
      <c r="BO10" s="582"/>
    </row>
    <row r="11" spans="1:67" ht="27" thickBot="1">
      <c r="B11" s="653"/>
      <c r="C11" s="1061"/>
      <c r="D11" s="582"/>
      <c r="E11" s="96"/>
      <c r="F11" s="1062"/>
      <c r="G11" s="1033"/>
      <c r="H11" s="1029"/>
      <c r="I11" s="981" t="s">
        <v>860</v>
      </c>
      <c r="J11" s="1063"/>
      <c r="K11" s="1054"/>
      <c r="L11" s="467"/>
      <c r="M11" s="471"/>
      <c r="N11" s="2155" t="s">
        <v>856</v>
      </c>
      <c r="O11" s="2156"/>
      <c r="P11" s="1064">
        <f>P10*J12</f>
        <v>0</v>
      </c>
      <c r="Q11" s="1065" t="s">
        <v>771</v>
      </c>
      <c r="R11" s="1047"/>
      <c r="S11" s="1057"/>
      <c r="T11" s="1027"/>
      <c r="U11" s="1027"/>
      <c r="W11" s="582"/>
      <c r="X11" s="582"/>
      <c r="Y11" s="582"/>
      <c r="Z11" s="582"/>
      <c r="AA11" s="582"/>
      <c r="AB11" s="582"/>
      <c r="AC11" s="582"/>
      <c r="AD11" s="582"/>
      <c r="AE11" s="582"/>
      <c r="AF11" s="582"/>
      <c r="AG11" s="582"/>
      <c r="AH11" s="582"/>
      <c r="AI11" s="582"/>
      <c r="AJ11" s="582"/>
      <c r="AK11" s="582"/>
      <c r="AL11" s="582"/>
      <c r="AM11" s="582"/>
      <c r="AN11" s="582"/>
      <c r="AO11" s="582"/>
      <c r="AP11" s="582"/>
      <c r="AQ11" s="582"/>
      <c r="AR11" s="582"/>
      <c r="AS11" s="582"/>
      <c r="AT11" s="582"/>
      <c r="AU11" s="582"/>
      <c r="AV11" s="582"/>
      <c r="AW11" s="582"/>
      <c r="AX11" s="582"/>
      <c r="AY11" s="582"/>
      <c r="AZ11" s="582"/>
      <c r="BA11" s="582"/>
      <c r="BB11" s="582"/>
      <c r="BC11" s="582"/>
      <c r="BD11" s="582"/>
      <c r="BE11" s="582"/>
      <c r="BF11" s="582"/>
      <c r="BG11" s="582"/>
      <c r="BH11" s="582"/>
      <c r="BI11" s="582"/>
      <c r="BJ11" s="582"/>
      <c r="BK11" s="582"/>
      <c r="BL11" s="582"/>
      <c r="BM11" s="582"/>
      <c r="BN11" s="582"/>
      <c r="BO11" s="582"/>
    </row>
    <row r="12" spans="1:67" ht="15.75" thickBot="1">
      <c r="B12" s="1066" t="s">
        <v>360</v>
      </c>
      <c r="C12" s="1067" t="s">
        <v>384</v>
      </c>
      <c r="D12" s="1068"/>
      <c r="E12" s="1068"/>
      <c r="F12" s="39"/>
      <c r="G12" s="1033"/>
      <c r="H12" s="1029"/>
      <c r="I12" s="1069" t="s">
        <v>843</v>
      </c>
      <c r="J12" s="1070"/>
      <c r="K12" s="96"/>
      <c r="L12" s="467"/>
      <c r="M12" s="471"/>
      <c r="N12" s="2153" t="s">
        <v>853</v>
      </c>
      <c r="O12" s="2161"/>
      <c r="P12" s="1071">
        <f>J17-J16</f>
        <v>-4.03</v>
      </c>
      <c r="Q12" s="1072" t="s">
        <v>857</v>
      </c>
      <c r="R12" s="1047"/>
      <c r="S12" s="1057"/>
      <c r="T12" s="1027"/>
      <c r="U12" s="1027"/>
      <c r="W12" s="582"/>
      <c r="X12" s="582"/>
      <c r="Y12" s="582"/>
      <c r="Z12" s="582"/>
      <c r="AA12" s="582"/>
      <c r="AB12" s="582"/>
      <c r="AC12" s="582"/>
      <c r="AD12" s="582"/>
      <c r="AE12" s="582"/>
      <c r="AF12" s="582"/>
      <c r="AG12" s="582"/>
      <c r="AH12" s="582"/>
      <c r="AI12" s="582"/>
      <c r="AJ12" s="582"/>
      <c r="AK12" s="582"/>
      <c r="AL12" s="582"/>
      <c r="AM12" s="582"/>
      <c r="AN12" s="582"/>
      <c r="AO12" s="582"/>
      <c r="AP12" s="582"/>
      <c r="AQ12" s="582"/>
      <c r="AR12" s="582"/>
      <c r="AS12" s="582"/>
      <c r="AT12" s="582"/>
      <c r="AU12" s="582"/>
      <c r="AV12" s="582"/>
      <c r="AW12" s="582"/>
      <c r="AX12" s="582"/>
      <c r="AY12" s="582"/>
      <c r="AZ12" s="582"/>
      <c r="BA12" s="582"/>
      <c r="BB12" s="582"/>
      <c r="BC12" s="582"/>
      <c r="BD12" s="582"/>
      <c r="BE12" s="582"/>
      <c r="BF12" s="582"/>
      <c r="BG12" s="582"/>
      <c r="BH12" s="582"/>
      <c r="BI12" s="582"/>
      <c r="BJ12" s="582"/>
      <c r="BK12" s="582"/>
      <c r="BL12" s="582"/>
      <c r="BM12" s="582"/>
      <c r="BN12" s="582"/>
      <c r="BO12" s="582"/>
    </row>
    <row r="13" spans="1:67" ht="12.75">
      <c r="B13" s="484" t="s">
        <v>262</v>
      </c>
      <c r="C13" s="1073">
        <f>BI59</f>
        <v>0</v>
      </c>
      <c r="D13" s="467"/>
      <c r="E13" s="467"/>
      <c r="F13" s="39"/>
      <c r="G13" s="1033"/>
      <c r="H13" s="1029"/>
      <c r="I13" s="467"/>
      <c r="J13" s="467"/>
      <c r="K13" s="96"/>
      <c r="L13" s="467"/>
      <c r="M13" s="471"/>
      <c r="N13" s="2155" t="s">
        <v>856</v>
      </c>
      <c r="O13" s="2156"/>
      <c r="P13" s="1064">
        <f>P12*J18</f>
        <v>0</v>
      </c>
      <c r="Q13" s="1065" t="s">
        <v>771</v>
      </c>
      <c r="R13" s="1047"/>
      <c r="S13" s="1057"/>
      <c r="T13" s="1027"/>
      <c r="U13" s="1027"/>
      <c r="W13" s="582"/>
      <c r="X13" s="582"/>
      <c r="Y13" s="582"/>
      <c r="Z13" s="582"/>
      <c r="AA13" s="582"/>
      <c r="AB13" s="582"/>
      <c r="AC13" s="582"/>
      <c r="AD13" s="582"/>
      <c r="AE13" s="582"/>
      <c r="AF13" s="582"/>
      <c r="AG13" s="582"/>
      <c r="AH13" s="582"/>
      <c r="AI13" s="582"/>
      <c r="AJ13" s="582"/>
      <c r="AK13" s="582"/>
      <c r="AL13" s="582"/>
      <c r="AM13" s="582"/>
      <c r="AN13" s="582"/>
      <c r="AO13" s="582"/>
      <c r="AP13" s="582"/>
      <c r="AQ13" s="582"/>
      <c r="AR13" s="582"/>
      <c r="AS13" s="582"/>
      <c r="AT13" s="582"/>
      <c r="AU13" s="582"/>
      <c r="AV13" s="582"/>
      <c r="AW13" s="582"/>
      <c r="AX13" s="582"/>
      <c r="AY13" s="582"/>
      <c r="AZ13" s="582"/>
      <c r="BA13" s="582"/>
      <c r="BB13" s="582"/>
      <c r="BC13" s="582"/>
      <c r="BD13" s="582"/>
      <c r="BE13" s="582"/>
      <c r="BF13" s="582"/>
      <c r="BG13" s="582"/>
      <c r="BH13" s="582"/>
      <c r="BI13" s="582"/>
      <c r="BJ13" s="582"/>
      <c r="BK13" s="582"/>
      <c r="BL13" s="582"/>
      <c r="BM13" s="582"/>
      <c r="BN13" s="582"/>
      <c r="BO13" s="582"/>
    </row>
    <row r="14" spans="1:67" thickBot="1">
      <c r="B14" s="484" t="s">
        <v>278</v>
      </c>
      <c r="C14" s="1074">
        <f>BI55</f>
        <v>0</v>
      </c>
      <c r="D14" s="467"/>
      <c r="E14" s="467"/>
      <c r="F14" s="39"/>
      <c r="G14" s="1033"/>
      <c r="H14" s="1029"/>
      <c r="I14" s="467"/>
      <c r="J14" s="467"/>
      <c r="K14" s="96"/>
      <c r="L14" s="467"/>
      <c r="M14" s="471"/>
      <c r="N14" s="2153" t="s">
        <v>854</v>
      </c>
      <c r="O14" s="2154"/>
      <c r="P14" s="1075">
        <f>J22-J21</f>
        <v>-5.3</v>
      </c>
      <c r="Q14" s="1072" t="s">
        <v>857</v>
      </c>
      <c r="R14" s="1047"/>
      <c r="S14" s="1057"/>
      <c r="T14" s="1027"/>
      <c r="U14" s="1027"/>
      <c r="W14" s="582"/>
      <c r="X14" s="582"/>
      <c r="Y14" s="582"/>
      <c r="Z14" s="582"/>
      <c r="AA14" s="582"/>
      <c r="AB14" s="582"/>
      <c r="AC14" s="582"/>
      <c r="AD14" s="582"/>
      <c r="AE14" s="582"/>
      <c r="AF14" s="582"/>
      <c r="AG14" s="582"/>
      <c r="AH14" s="582"/>
      <c r="AI14" s="582"/>
      <c r="AJ14" s="582"/>
      <c r="AK14" s="582"/>
      <c r="AL14" s="582"/>
      <c r="AM14" s="582"/>
      <c r="AN14" s="582"/>
      <c r="AO14" s="582"/>
      <c r="AP14" s="582"/>
      <c r="AQ14" s="582"/>
      <c r="AR14" s="582"/>
      <c r="AS14" s="582"/>
      <c r="AT14" s="582"/>
      <c r="AU14" s="582"/>
      <c r="AV14" s="582"/>
      <c r="AW14" s="582"/>
      <c r="AX14" s="582"/>
      <c r="AY14" s="582"/>
      <c r="AZ14" s="582"/>
      <c r="BA14" s="582"/>
      <c r="BB14" s="582"/>
      <c r="BC14" s="582"/>
      <c r="BD14" s="582"/>
      <c r="BE14" s="582"/>
      <c r="BF14" s="582"/>
      <c r="BG14" s="582"/>
      <c r="BH14" s="582"/>
      <c r="BI14" s="582"/>
      <c r="BJ14" s="582"/>
      <c r="BK14" s="582"/>
      <c r="BL14" s="582"/>
      <c r="BM14" s="582"/>
      <c r="BN14" s="582"/>
      <c r="BO14" s="582"/>
    </row>
    <row r="15" spans="1:67" ht="13.5" thickBot="1">
      <c r="B15" s="484" t="s">
        <v>759</v>
      </c>
      <c r="C15" s="1076">
        <f>IF(C14&lt;&gt;0,C13/C14, 0)</f>
        <v>0</v>
      </c>
      <c r="D15" s="467"/>
      <c r="E15" s="467"/>
      <c r="F15" s="39"/>
      <c r="G15" s="1033"/>
      <c r="H15" s="1029"/>
      <c r="I15" s="1024" t="s">
        <v>845</v>
      </c>
      <c r="J15" s="1053" t="s">
        <v>847</v>
      </c>
      <c r="K15" s="467"/>
      <c r="L15" s="467"/>
      <c r="M15" s="471"/>
      <c r="N15" s="2155" t="s">
        <v>856</v>
      </c>
      <c r="O15" s="2156"/>
      <c r="P15" s="1077">
        <f>P14*J23</f>
        <v>0</v>
      </c>
      <c r="Q15" s="1065" t="s">
        <v>771</v>
      </c>
      <c r="R15" s="1047"/>
      <c r="S15" s="2134"/>
      <c r="T15" s="2134"/>
      <c r="U15" s="1027"/>
      <c r="W15" s="582"/>
      <c r="X15" s="582"/>
      <c r="Y15" s="582"/>
      <c r="Z15" s="582"/>
      <c r="AA15" s="582"/>
      <c r="AB15" s="582"/>
      <c r="AC15" s="582"/>
      <c r="AD15" s="582"/>
      <c r="AE15" s="582"/>
      <c r="AF15" s="582"/>
      <c r="AG15" s="582"/>
      <c r="AH15" s="582"/>
      <c r="AI15" s="582"/>
      <c r="AJ15" s="582"/>
      <c r="AK15" s="582"/>
      <c r="AL15" s="582"/>
      <c r="AM15" s="582"/>
      <c r="AN15" s="582"/>
      <c r="AO15" s="582"/>
      <c r="AP15" s="582"/>
      <c r="AQ15" s="582"/>
      <c r="AR15" s="582"/>
      <c r="AS15" s="582"/>
      <c r="AT15" s="582"/>
      <c r="AU15" s="582"/>
      <c r="AV15" s="582"/>
      <c r="AW15" s="582"/>
      <c r="AX15" s="582"/>
      <c r="AY15" s="582"/>
      <c r="AZ15" s="582"/>
      <c r="BA15" s="582"/>
      <c r="BB15" s="582"/>
      <c r="BC15" s="582"/>
      <c r="BD15" s="582"/>
      <c r="BE15" s="582"/>
      <c r="BF15" s="582"/>
      <c r="BG15" s="582"/>
      <c r="BH15" s="582"/>
      <c r="BI15" s="582"/>
      <c r="BJ15" s="582"/>
      <c r="BK15" s="582"/>
      <c r="BL15" s="582"/>
      <c r="BM15" s="582"/>
      <c r="BN15" s="582"/>
      <c r="BO15" s="582"/>
    </row>
    <row r="16" spans="1:67" ht="15.75" thickBot="1">
      <c r="A16" s="96"/>
      <c r="B16" s="1078" t="s">
        <v>290</v>
      </c>
      <c r="C16" s="1079">
        <f>BI62</f>
        <v>0</v>
      </c>
      <c r="D16" s="467"/>
      <c r="E16" s="467"/>
      <c r="F16" s="39"/>
      <c r="G16" s="1033"/>
      <c r="H16" s="1029"/>
      <c r="I16" s="416" t="s">
        <v>844</v>
      </c>
      <c r="J16" s="1058">
        <f>'Community data'!L7</f>
        <v>4.03</v>
      </c>
      <c r="K16" s="467"/>
      <c r="L16" s="467"/>
      <c r="M16" s="471"/>
      <c r="N16" s="2153" t="s">
        <v>855</v>
      </c>
      <c r="O16" s="2154"/>
      <c r="P16" s="1080">
        <f>J27-J26</f>
        <v>-4.4800000000000004</v>
      </c>
      <c r="Q16" s="1072" t="s">
        <v>857</v>
      </c>
      <c r="R16" s="1081"/>
      <c r="S16" s="1027"/>
      <c r="T16" s="1027"/>
      <c r="U16" s="1027"/>
      <c r="W16" s="582"/>
      <c r="X16" s="582"/>
      <c r="Y16" s="582"/>
      <c r="Z16" s="582"/>
      <c r="AA16" s="582"/>
      <c r="AB16" s="582"/>
      <c r="AC16" s="582"/>
      <c r="AD16" s="582"/>
      <c r="AE16" s="582"/>
      <c r="AF16" s="582"/>
      <c r="AG16" s="582"/>
      <c r="AH16" s="582"/>
      <c r="AI16" s="582"/>
      <c r="AJ16" s="582"/>
      <c r="AK16" s="582"/>
      <c r="AL16" s="582"/>
      <c r="AM16" s="582"/>
      <c r="AN16" s="582"/>
      <c r="AO16" s="582"/>
      <c r="AP16" s="582"/>
      <c r="AQ16" s="582"/>
      <c r="AR16" s="582"/>
      <c r="AS16" s="582"/>
      <c r="AT16" s="582"/>
      <c r="AU16" s="582"/>
      <c r="AV16" s="582"/>
      <c r="AW16" s="582"/>
      <c r="AX16" s="582"/>
      <c r="AY16" s="582"/>
      <c r="AZ16" s="582"/>
      <c r="BA16" s="582"/>
      <c r="BB16" s="582"/>
      <c r="BC16" s="582"/>
      <c r="BD16" s="582"/>
      <c r="BE16" s="582"/>
      <c r="BF16" s="582"/>
      <c r="BG16" s="582"/>
      <c r="BH16" s="582"/>
      <c r="BI16" s="582"/>
      <c r="BJ16" s="582"/>
      <c r="BK16" s="582"/>
      <c r="BL16" s="582"/>
      <c r="BM16" s="582"/>
      <c r="BN16" s="582"/>
      <c r="BO16" s="582"/>
    </row>
    <row r="17" spans="1:67" ht="12.75">
      <c r="A17" s="96"/>
      <c r="B17" s="706"/>
      <c r="C17" s="1082"/>
      <c r="D17" s="467"/>
      <c r="E17" s="467"/>
      <c r="F17" s="39"/>
      <c r="G17" s="1033"/>
      <c r="H17" s="1029"/>
      <c r="I17" s="655" t="s">
        <v>861</v>
      </c>
      <c r="J17" s="1083"/>
      <c r="K17" s="471"/>
      <c r="L17" s="471"/>
      <c r="M17" s="471"/>
      <c r="N17" s="2155" t="s">
        <v>856</v>
      </c>
      <c r="O17" s="2156"/>
      <c r="P17" s="1064">
        <f>P16*J28</f>
        <v>0</v>
      </c>
      <c r="Q17" s="1065" t="s">
        <v>771</v>
      </c>
      <c r="R17" s="1047"/>
      <c r="S17" s="1084"/>
      <c r="T17" s="1084"/>
      <c r="U17" s="1027"/>
      <c r="V17" s="1027"/>
      <c r="W17" s="582"/>
      <c r="X17" s="582"/>
      <c r="Y17" s="582"/>
      <c r="Z17" s="582"/>
      <c r="AA17" s="582"/>
      <c r="AB17" s="582"/>
      <c r="AC17" s="582"/>
      <c r="AD17" s="582"/>
      <c r="AE17" s="582"/>
      <c r="AF17" s="582"/>
      <c r="AG17" s="582"/>
      <c r="AH17" s="582"/>
      <c r="AI17" s="582"/>
      <c r="AJ17" s="582"/>
      <c r="AK17" s="582"/>
      <c r="AL17" s="582"/>
      <c r="AM17" s="582"/>
      <c r="AN17" s="582"/>
      <c r="AO17" s="582"/>
      <c r="AP17" s="582"/>
      <c r="AQ17" s="582"/>
      <c r="AR17" s="582"/>
      <c r="AS17" s="582"/>
      <c r="AT17" s="582"/>
      <c r="AU17" s="582"/>
      <c r="AV17" s="582"/>
      <c r="AW17" s="582"/>
      <c r="AX17" s="582"/>
      <c r="AY17" s="582"/>
      <c r="AZ17" s="582"/>
      <c r="BA17" s="582"/>
      <c r="BB17" s="582"/>
      <c r="BC17" s="582"/>
      <c r="BD17" s="582"/>
      <c r="BE17" s="582"/>
      <c r="BF17" s="582"/>
      <c r="BG17" s="582"/>
      <c r="BH17" s="582"/>
      <c r="BI17" s="582"/>
      <c r="BJ17" s="582"/>
      <c r="BK17" s="582"/>
      <c r="BL17" s="582"/>
      <c r="BM17" s="582"/>
      <c r="BN17" s="582"/>
      <c r="BO17" s="582"/>
    </row>
    <row r="18" spans="1:67" ht="13.5" thickBot="1">
      <c r="B18" s="703"/>
      <c r="C18" s="1085"/>
      <c r="D18" s="467"/>
      <c r="E18" s="467"/>
      <c r="F18" s="39"/>
      <c r="G18" s="1033"/>
      <c r="H18" s="1029"/>
      <c r="I18" s="1069" t="s">
        <v>850</v>
      </c>
      <c r="J18" s="1070"/>
      <c r="K18" s="96"/>
      <c r="L18" s="96"/>
      <c r="M18" s="471"/>
      <c r="N18" s="416"/>
      <c r="O18" s="467"/>
      <c r="P18" s="467"/>
      <c r="Q18" s="1060"/>
      <c r="R18" s="1047"/>
      <c r="S18" s="1027"/>
      <c r="T18" s="1027"/>
      <c r="U18" s="1027"/>
      <c r="V18" s="1027"/>
      <c r="W18" s="582"/>
      <c r="X18" s="582"/>
      <c r="Y18" s="582"/>
      <c r="Z18" s="582"/>
      <c r="AA18" s="582"/>
      <c r="AB18" s="582"/>
      <c r="AC18" s="582"/>
      <c r="AD18" s="582"/>
      <c r="AE18" s="582"/>
      <c r="AF18" s="582"/>
      <c r="AG18" s="582"/>
      <c r="AH18" s="582"/>
      <c r="AI18" s="582"/>
      <c r="AJ18" s="582"/>
      <c r="AK18" s="582"/>
      <c r="AL18" s="582"/>
      <c r="AM18" s="582"/>
      <c r="AN18" s="582"/>
      <c r="AO18" s="582"/>
      <c r="AP18" s="582"/>
      <c r="AQ18" s="582"/>
      <c r="AR18" s="582"/>
      <c r="AS18" s="582"/>
      <c r="AT18" s="582"/>
      <c r="AU18" s="582"/>
      <c r="AV18" s="582"/>
      <c r="AW18" s="582"/>
      <c r="AX18" s="582"/>
      <c r="AY18" s="582"/>
      <c r="AZ18" s="582"/>
      <c r="BA18" s="582"/>
      <c r="BB18" s="582"/>
      <c r="BC18" s="582"/>
      <c r="BD18" s="582"/>
      <c r="BE18" s="582"/>
      <c r="BF18" s="582"/>
      <c r="BG18" s="582"/>
      <c r="BH18" s="582"/>
      <c r="BI18" s="582"/>
      <c r="BJ18" s="582"/>
      <c r="BK18" s="582"/>
      <c r="BL18" s="582"/>
      <c r="BM18" s="582"/>
      <c r="BN18" s="582"/>
      <c r="BO18" s="582"/>
    </row>
    <row r="19" spans="1:67" ht="15.75" thickBot="1">
      <c r="B19" s="1066" t="s">
        <v>361</v>
      </c>
      <c r="C19" s="1086" t="s">
        <v>271</v>
      </c>
      <c r="D19" s="1087" t="s">
        <v>384</v>
      </c>
      <c r="E19" s="1012"/>
      <c r="F19" s="1068"/>
      <c r="G19" s="1033"/>
      <c r="H19" s="1029"/>
      <c r="I19" s="467"/>
      <c r="J19" s="467"/>
      <c r="K19" s="96"/>
      <c r="L19" s="96"/>
      <c r="M19" s="471"/>
      <c r="N19" s="2157" t="s">
        <v>858</v>
      </c>
      <c r="O19" s="2158"/>
      <c r="P19" s="1088">
        <f>P17+P15+P13+P11</f>
        <v>0</v>
      </c>
      <c r="Q19" s="1089" t="s">
        <v>771</v>
      </c>
      <c r="R19" s="1081"/>
      <c r="S19" s="1027"/>
      <c r="T19" s="1027"/>
      <c r="U19" s="1027"/>
      <c r="V19" s="1027"/>
      <c r="W19" s="582"/>
      <c r="X19" s="582"/>
      <c r="Y19" s="582"/>
      <c r="Z19" s="582"/>
      <c r="AA19" s="582"/>
      <c r="AB19" s="582"/>
      <c r="AC19" s="582"/>
      <c r="AD19" s="582"/>
      <c r="AE19" s="582"/>
      <c r="AF19" s="582"/>
      <c r="AG19" s="582"/>
      <c r="AH19" s="582"/>
      <c r="AI19" s="582"/>
      <c r="AJ19" s="582"/>
      <c r="AK19" s="582"/>
      <c r="AL19" s="582"/>
      <c r="AM19" s="582"/>
      <c r="AN19" s="582"/>
      <c r="AO19" s="582"/>
      <c r="AP19" s="582"/>
      <c r="AQ19" s="582"/>
      <c r="AR19" s="582"/>
      <c r="AS19" s="582"/>
      <c r="AT19" s="582"/>
      <c r="AU19" s="582"/>
      <c r="AV19" s="582"/>
      <c r="AW19" s="582"/>
      <c r="AX19" s="582"/>
      <c r="AY19" s="582"/>
      <c r="AZ19" s="582"/>
      <c r="BA19" s="582"/>
      <c r="BB19" s="582"/>
      <c r="BC19" s="582"/>
      <c r="BD19" s="582"/>
      <c r="BE19" s="582"/>
      <c r="BF19" s="582"/>
      <c r="BG19" s="582"/>
      <c r="BH19" s="582"/>
      <c r="BI19" s="582"/>
      <c r="BJ19" s="582"/>
      <c r="BK19" s="582"/>
      <c r="BL19" s="582"/>
      <c r="BM19" s="582"/>
      <c r="BN19" s="582"/>
      <c r="BO19" s="582"/>
    </row>
    <row r="20" spans="1:67">
      <c r="B20" s="1090" t="s">
        <v>362</v>
      </c>
      <c r="C20" s="1091" t="s">
        <v>266</v>
      </c>
      <c r="D20" s="1092" t="e">
        <f>IF(SUM(#REF!)&gt;0,SUM(#REF!)/COUNTIF(#REF!,"&gt;0"),0)</f>
        <v>#REF!</v>
      </c>
      <c r="E20" s="96"/>
      <c r="F20" s="467"/>
      <c r="G20" s="1033"/>
      <c r="H20" s="1029"/>
      <c r="I20" s="1024" t="s">
        <v>845</v>
      </c>
      <c r="J20" s="1053" t="s">
        <v>648</v>
      </c>
      <c r="K20" s="1093"/>
      <c r="L20" s="96"/>
      <c r="M20" s="471"/>
      <c r="N20" s="1094"/>
      <c r="O20" s="1094"/>
      <c r="P20" s="1095"/>
      <c r="Q20" s="1096"/>
      <c r="R20" s="1081"/>
      <c r="S20" s="1084"/>
      <c r="T20" s="1084"/>
      <c r="U20" s="1027"/>
      <c r="V20" s="1027"/>
      <c r="W20" s="582"/>
      <c r="X20" s="582"/>
      <c r="Y20" s="582"/>
      <c r="Z20" s="582"/>
      <c r="AA20" s="582"/>
      <c r="AB20" s="582"/>
      <c r="AC20" s="582"/>
      <c r="AD20" s="582"/>
      <c r="AE20" s="582"/>
      <c r="AF20" s="582"/>
      <c r="AG20" s="582"/>
      <c r="AH20" s="582"/>
      <c r="AI20" s="582"/>
      <c r="AJ20" s="582"/>
      <c r="AK20" s="582"/>
      <c r="AL20" s="582"/>
      <c r="AM20" s="582"/>
      <c r="AN20" s="582"/>
      <c r="AO20" s="582"/>
      <c r="AP20" s="582"/>
      <c r="AQ20" s="582"/>
      <c r="AR20" s="582"/>
      <c r="AS20" s="582"/>
      <c r="AT20" s="582"/>
      <c r="AU20" s="582"/>
      <c r="AV20" s="582"/>
      <c r="AW20" s="582"/>
      <c r="AX20" s="582"/>
      <c r="AY20" s="582"/>
      <c r="AZ20" s="582"/>
      <c r="BA20" s="582"/>
      <c r="BB20" s="582"/>
      <c r="BC20" s="582"/>
      <c r="BD20" s="582"/>
      <c r="BE20" s="582"/>
      <c r="BF20" s="582"/>
      <c r="BG20" s="582"/>
      <c r="BH20" s="582"/>
      <c r="BI20" s="582"/>
      <c r="BJ20" s="582"/>
      <c r="BK20" s="582"/>
      <c r="BL20" s="582"/>
      <c r="BM20" s="582"/>
      <c r="BN20" s="582"/>
      <c r="BO20" s="582"/>
    </row>
    <row r="21" spans="1:67" ht="12.75">
      <c r="B21" s="1090" t="s">
        <v>362</v>
      </c>
      <c r="C21" s="1097" t="s">
        <v>363</v>
      </c>
      <c r="D21" s="1098" t="e">
        <f>SUM(#REF!)</f>
        <v>#REF!</v>
      </c>
      <c r="E21" s="96"/>
      <c r="F21" s="467"/>
      <c r="G21" s="1033"/>
      <c r="H21" s="1029"/>
      <c r="I21" s="416" t="s">
        <v>849</v>
      </c>
      <c r="J21" s="1058">
        <f>'Community data'!L12</f>
        <v>5.3</v>
      </c>
      <c r="K21" s="96"/>
      <c r="L21" s="96"/>
      <c r="M21" s="471"/>
      <c r="N21" s="703"/>
      <c r="O21" s="703"/>
      <c r="P21" s="1099"/>
      <c r="Q21" s="703"/>
      <c r="R21" s="1047"/>
      <c r="S21" s="1027"/>
      <c r="T21" s="1027"/>
      <c r="U21" s="1100"/>
      <c r="V21" s="1027"/>
      <c r="W21" s="582"/>
      <c r="X21" s="582"/>
      <c r="Y21" s="582"/>
      <c r="Z21" s="582"/>
      <c r="AA21" s="582"/>
      <c r="AB21" s="582"/>
      <c r="AC21" s="582"/>
      <c r="AD21" s="582"/>
      <c r="AE21" s="582"/>
      <c r="AF21" s="582"/>
      <c r="AG21" s="582"/>
      <c r="AH21" s="582"/>
      <c r="AI21" s="582"/>
      <c r="AJ21" s="582"/>
      <c r="AK21" s="582"/>
      <c r="AL21" s="582"/>
      <c r="AM21" s="582"/>
      <c r="AN21" s="582"/>
      <c r="AO21" s="582"/>
      <c r="AP21" s="582"/>
      <c r="AQ21" s="582"/>
      <c r="AR21" s="582"/>
      <c r="AS21" s="582"/>
      <c r="AT21" s="582"/>
      <c r="AU21" s="582"/>
      <c r="AV21" s="582"/>
      <c r="AW21" s="582"/>
      <c r="AX21" s="582"/>
      <c r="AY21" s="582"/>
      <c r="AZ21" s="582"/>
      <c r="BA21" s="582"/>
      <c r="BB21" s="582"/>
      <c r="BC21" s="582"/>
      <c r="BD21" s="582"/>
      <c r="BE21" s="582"/>
      <c r="BF21" s="582"/>
      <c r="BG21" s="582"/>
      <c r="BH21" s="582"/>
      <c r="BI21" s="582"/>
      <c r="BJ21" s="582"/>
      <c r="BK21" s="582"/>
      <c r="BL21" s="582"/>
      <c r="BM21" s="582"/>
      <c r="BN21" s="582"/>
      <c r="BO21" s="582"/>
    </row>
    <row r="22" spans="1:67" ht="12.75">
      <c r="B22" s="1090" t="s">
        <v>364</v>
      </c>
      <c r="C22" s="1097" t="s">
        <v>268</v>
      </c>
      <c r="D22" s="1092" t="e">
        <f>#REF!+#REF!</f>
        <v>#REF!</v>
      </c>
      <c r="E22" s="96"/>
      <c r="F22" s="467"/>
      <c r="G22" s="1033"/>
      <c r="H22" s="1029"/>
      <c r="I22" s="655" t="s">
        <v>862</v>
      </c>
      <c r="J22" s="1083"/>
      <c r="K22" s="96"/>
      <c r="L22" s="96"/>
      <c r="M22" s="471" t="s">
        <v>814</v>
      </c>
      <c r="N22" s="703"/>
      <c r="O22" s="703"/>
      <c r="P22" s="1101"/>
      <c r="Q22" s="1102"/>
      <c r="R22" s="1047"/>
      <c r="S22" s="1027"/>
      <c r="T22" s="1027"/>
      <c r="U22" s="1027"/>
      <c r="V22" s="1027"/>
      <c r="W22" s="582"/>
      <c r="X22" s="582"/>
      <c r="Y22" s="582"/>
      <c r="Z22" s="582"/>
      <c r="AA22" s="582"/>
      <c r="AB22" s="582"/>
      <c r="AC22" s="582"/>
      <c r="AD22" s="582"/>
      <c r="AE22" s="582"/>
      <c r="AF22" s="582"/>
      <c r="AG22" s="582"/>
      <c r="AH22" s="582"/>
      <c r="AI22" s="582"/>
      <c r="AJ22" s="582"/>
      <c r="AK22" s="582"/>
      <c r="AL22" s="582"/>
      <c r="AM22" s="582"/>
      <c r="AN22" s="582"/>
      <c r="AO22" s="582"/>
      <c r="AP22" s="582"/>
      <c r="AQ22" s="582"/>
      <c r="AR22" s="582"/>
      <c r="AS22" s="582"/>
      <c r="AT22" s="582"/>
      <c r="AU22" s="582"/>
      <c r="AV22" s="582"/>
      <c r="AW22" s="582"/>
      <c r="AX22" s="582"/>
      <c r="AY22" s="582"/>
      <c r="AZ22" s="582"/>
      <c r="BA22" s="582"/>
      <c r="BB22" s="582"/>
      <c r="BC22" s="582"/>
      <c r="BD22" s="582"/>
      <c r="BE22" s="582"/>
      <c r="BF22" s="582"/>
      <c r="BG22" s="582"/>
      <c r="BH22" s="582"/>
      <c r="BI22" s="582"/>
      <c r="BJ22" s="582"/>
      <c r="BK22" s="582"/>
      <c r="BL22" s="582"/>
      <c r="BM22" s="582"/>
      <c r="BN22" s="582"/>
      <c r="BO22" s="582"/>
    </row>
    <row r="23" spans="1:67" ht="13.5" thickBot="1">
      <c r="B23" s="1090" t="s">
        <v>364</v>
      </c>
      <c r="C23" s="1097" t="s">
        <v>365</v>
      </c>
      <c r="D23" s="1103" t="e">
        <f>SUM(#REF!)+SUM(#REF!)</f>
        <v>#REF!</v>
      </c>
      <c r="E23" s="96"/>
      <c r="F23" s="467"/>
      <c r="G23" s="1033"/>
      <c r="H23" s="1029"/>
      <c r="I23" s="1069" t="s">
        <v>851</v>
      </c>
      <c r="J23" s="1070"/>
      <c r="K23" s="96"/>
      <c r="L23" s="96"/>
      <c r="M23" s="471"/>
      <c r="N23" s="703"/>
      <c r="O23" s="703"/>
      <c r="P23" s="1104"/>
      <c r="Q23" s="1105"/>
      <c r="R23" s="1106"/>
      <c r="S23" s="1027"/>
      <c r="T23" s="1027"/>
      <c r="U23" s="1107"/>
      <c r="V23" s="1027"/>
      <c r="W23" s="582"/>
      <c r="X23" s="582"/>
      <c r="Y23" s="582"/>
      <c r="Z23" s="582"/>
      <c r="AA23" s="582"/>
      <c r="AB23" s="582"/>
      <c r="AC23" s="582"/>
      <c r="AD23" s="582"/>
      <c r="AE23" s="582"/>
      <c r="AF23" s="582"/>
      <c r="AG23" s="582"/>
      <c r="AH23" s="582"/>
      <c r="AI23" s="582"/>
      <c r="AJ23" s="582"/>
      <c r="AK23" s="582"/>
      <c r="AL23" s="582"/>
      <c r="AM23" s="582"/>
      <c r="AN23" s="582"/>
      <c r="AO23" s="582"/>
      <c r="AP23" s="582"/>
      <c r="AQ23" s="582"/>
      <c r="AR23" s="582"/>
      <c r="AS23" s="582"/>
      <c r="AT23" s="582"/>
      <c r="AU23" s="582"/>
      <c r="AV23" s="582"/>
      <c r="AW23" s="582"/>
      <c r="AX23" s="582"/>
      <c r="AY23" s="582"/>
      <c r="AZ23" s="582"/>
      <c r="BA23" s="582"/>
      <c r="BB23" s="582"/>
      <c r="BC23" s="582"/>
      <c r="BD23" s="582"/>
      <c r="BE23" s="582"/>
      <c r="BF23" s="582"/>
      <c r="BG23" s="582"/>
      <c r="BH23" s="582"/>
      <c r="BI23" s="582"/>
      <c r="BJ23" s="582"/>
      <c r="BK23" s="582"/>
      <c r="BL23" s="582"/>
      <c r="BM23" s="582"/>
      <c r="BN23" s="582"/>
      <c r="BO23" s="582"/>
    </row>
    <row r="24" spans="1:67" ht="15.75" thickBot="1">
      <c r="B24" s="484"/>
      <c r="D24" s="1384"/>
      <c r="E24" s="471"/>
      <c r="F24" s="582"/>
      <c r="G24" s="1085"/>
      <c r="H24" s="1029"/>
      <c r="I24" s="471"/>
      <c r="J24" s="480"/>
      <c r="K24" s="480"/>
      <c r="L24" s="96"/>
      <c r="M24" s="471"/>
      <c r="N24" s="706"/>
      <c r="O24" s="706"/>
      <c r="P24" s="1109"/>
      <c r="Q24" s="1110"/>
      <c r="R24" s="1106"/>
      <c r="S24" s="1100"/>
      <c r="T24" s="1100"/>
      <c r="U24" s="1107"/>
      <c r="V24" s="1027"/>
      <c r="W24" s="582"/>
      <c r="X24" s="582"/>
      <c r="Y24" s="582"/>
      <c r="Z24" s="582"/>
      <c r="AA24" s="582"/>
      <c r="AB24" s="582"/>
      <c r="AC24" s="582"/>
      <c r="AD24" s="582"/>
      <c r="AE24" s="582"/>
      <c r="AF24" s="582"/>
      <c r="AG24" s="582"/>
      <c r="AH24" s="582"/>
      <c r="AI24" s="582"/>
      <c r="AJ24" s="582"/>
      <c r="AK24" s="582"/>
      <c r="AL24" s="582"/>
      <c r="AM24" s="582"/>
      <c r="AN24" s="582"/>
      <c r="AO24" s="582"/>
      <c r="AP24" s="582"/>
      <c r="AQ24" s="582"/>
      <c r="AR24" s="582"/>
      <c r="AS24" s="582"/>
      <c r="AT24" s="582"/>
      <c r="AU24" s="582"/>
      <c r="AV24" s="582"/>
      <c r="AW24" s="582"/>
      <c r="AX24" s="582"/>
      <c r="AY24" s="582"/>
      <c r="AZ24" s="582"/>
      <c r="BA24" s="582"/>
      <c r="BB24" s="582"/>
      <c r="BC24" s="582"/>
      <c r="BD24" s="582"/>
      <c r="BE24" s="582"/>
      <c r="BF24" s="582"/>
      <c r="BG24" s="582"/>
      <c r="BH24" s="582"/>
      <c r="BI24" s="582"/>
      <c r="BJ24" s="582"/>
      <c r="BK24" s="582"/>
      <c r="BL24" s="582"/>
      <c r="BM24" s="582"/>
      <c r="BN24" s="582"/>
      <c r="BO24" s="582"/>
    </row>
    <row r="25" spans="1:67">
      <c r="B25" s="484"/>
      <c r="C25" s="1085"/>
      <c r="D25" s="1108"/>
      <c r="E25" s="96"/>
      <c r="F25" s="467"/>
      <c r="G25" s="1033"/>
      <c r="H25" s="1029"/>
      <c r="I25" s="1024" t="s">
        <v>845</v>
      </c>
      <c r="J25" s="1053" t="s">
        <v>848</v>
      </c>
      <c r="K25" s="96"/>
      <c r="L25" s="96"/>
      <c r="M25" s="471"/>
      <c r="N25" s="1094"/>
      <c r="O25" s="1094"/>
      <c r="P25" s="1095"/>
      <c r="Q25" s="1096"/>
      <c r="R25" s="1081"/>
      <c r="S25" s="1084"/>
      <c r="T25" s="1084"/>
      <c r="U25" s="1084"/>
      <c r="V25" s="1027"/>
      <c r="W25" s="582"/>
      <c r="X25" s="582"/>
      <c r="Y25" s="582"/>
      <c r="Z25" s="582"/>
      <c r="AA25" s="582"/>
      <c r="AB25" s="582"/>
      <c r="AC25" s="582"/>
      <c r="AD25" s="582"/>
      <c r="AE25" s="582"/>
      <c r="AF25" s="582"/>
      <c r="AG25" s="582"/>
      <c r="AH25" s="582"/>
      <c r="AI25" s="582"/>
      <c r="AJ25" s="582"/>
      <c r="AK25" s="582"/>
      <c r="AL25" s="582"/>
      <c r="AM25" s="582"/>
      <c r="AN25" s="582"/>
      <c r="AO25" s="582"/>
      <c r="AP25" s="582"/>
      <c r="AQ25" s="582"/>
      <c r="AR25" s="582"/>
      <c r="AS25" s="582"/>
      <c r="AT25" s="582"/>
      <c r="AU25" s="582"/>
      <c r="AV25" s="582"/>
      <c r="AW25" s="582"/>
      <c r="AX25" s="582"/>
      <c r="AY25" s="582"/>
      <c r="AZ25" s="582"/>
      <c r="BA25" s="582"/>
      <c r="BB25" s="582"/>
      <c r="BC25" s="582"/>
      <c r="BD25" s="582"/>
      <c r="BE25" s="582"/>
      <c r="BF25" s="582"/>
      <c r="BG25" s="582"/>
      <c r="BH25" s="582"/>
      <c r="BI25" s="582"/>
      <c r="BJ25" s="582"/>
      <c r="BK25" s="582"/>
      <c r="BL25" s="582"/>
      <c r="BM25" s="582"/>
      <c r="BN25" s="582"/>
      <c r="BO25" s="582"/>
    </row>
    <row r="26" spans="1:67">
      <c r="B26" s="1090"/>
      <c r="C26" s="1097"/>
      <c r="D26" s="1092"/>
      <c r="E26" s="96"/>
      <c r="F26" s="467"/>
      <c r="G26" s="1033"/>
      <c r="H26" s="1029"/>
      <c r="I26" s="416" t="s">
        <v>844</v>
      </c>
      <c r="J26" s="1058">
        <f>'Community data'!L6</f>
        <v>4.4800000000000004</v>
      </c>
      <c r="K26" s="96"/>
      <c r="L26" s="96"/>
      <c r="M26" s="471"/>
      <c r="N26" s="96"/>
      <c r="O26" s="96"/>
      <c r="P26" s="96"/>
      <c r="Q26" s="96"/>
      <c r="R26" s="1081"/>
      <c r="S26" s="1111"/>
      <c r="T26" s="1111"/>
      <c r="U26" s="1112"/>
      <c r="V26" s="1112"/>
      <c r="W26" s="582"/>
      <c r="X26" s="582"/>
      <c r="Y26" s="582"/>
      <c r="Z26" s="582"/>
      <c r="AA26" s="582"/>
      <c r="AB26" s="582"/>
      <c r="AC26" s="582"/>
      <c r="AD26" s="582"/>
      <c r="AE26" s="582"/>
      <c r="AF26" s="582"/>
      <c r="AG26" s="582"/>
      <c r="AH26" s="582"/>
      <c r="AI26" s="582"/>
      <c r="AJ26" s="582"/>
      <c r="AK26" s="582"/>
      <c r="AL26" s="582"/>
      <c r="AM26" s="582"/>
      <c r="AN26" s="582"/>
      <c r="AO26" s="582"/>
      <c r="AP26" s="582"/>
      <c r="AQ26" s="582"/>
      <c r="AR26" s="582"/>
      <c r="AS26" s="582"/>
      <c r="AT26" s="582"/>
      <c r="AU26" s="582"/>
      <c r="AV26" s="582"/>
      <c r="AW26" s="582"/>
      <c r="AX26" s="582"/>
      <c r="AY26" s="582"/>
      <c r="AZ26" s="582"/>
      <c r="BA26" s="582"/>
      <c r="BB26" s="582"/>
      <c r="BC26" s="582"/>
      <c r="BD26" s="582"/>
      <c r="BE26" s="582"/>
      <c r="BF26" s="582"/>
      <c r="BG26" s="582"/>
      <c r="BH26" s="582"/>
      <c r="BI26" s="582"/>
      <c r="BJ26" s="582"/>
      <c r="BK26" s="582"/>
      <c r="BL26" s="582"/>
      <c r="BM26" s="582"/>
      <c r="BN26" s="582"/>
      <c r="BO26" s="582"/>
    </row>
    <row r="27" spans="1:67" ht="15.75" thickBot="1">
      <c r="B27" s="1113"/>
      <c r="C27" s="1114"/>
      <c r="D27" s="1115"/>
      <c r="E27" s="96"/>
      <c r="F27" s="467"/>
      <c r="G27" s="1033"/>
      <c r="H27" s="1029"/>
      <c r="I27" s="655" t="s">
        <v>861</v>
      </c>
      <c r="J27" s="1083"/>
      <c r="K27" s="480"/>
      <c r="L27" s="96"/>
      <c r="M27" s="471"/>
      <c r="N27" s="1094"/>
      <c r="O27" s="1094"/>
      <c r="P27" s="1095"/>
      <c r="Q27" s="1096"/>
      <c r="R27" s="1081"/>
      <c r="S27" s="1112"/>
      <c r="T27" s="1112"/>
      <c r="U27" s="1027"/>
      <c r="V27" s="1027"/>
      <c r="W27" s="582"/>
      <c r="X27" s="582"/>
      <c r="Y27" s="582"/>
      <c r="Z27" s="582"/>
      <c r="AA27" s="582"/>
      <c r="AB27" s="582"/>
      <c r="AC27" s="582"/>
      <c r="AD27" s="582"/>
      <c r="AE27" s="582"/>
      <c r="AF27" s="582"/>
      <c r="AG27" s="582"/>
      <c r="AH27" s="582"/>
      <c r="AI27" s="582"/>
      <c r="AJ27" s="582"/>
      <c r="AK27" s="582"/>
      <c r="AL27" s="582"/>
      <c r="AM27" s="582"/>
      <c r="AN27" s="582"/>
      <c r="AO27" s="582"/>
      <c r="AP27" s="582"/>
      <c r="AQ27" s="582"/>
      <c r="AR27" s="582"/>
      <c r="AS27" s="582"/>
      <c r="AT27" s="582"/>
      <c r="AU27" s="582"/>
      <c r="AV27" s="582"/>
      <c r="AW27" s="582"/>
      <c r="AX27" s="582"/>
      <c r="AY27" s="582"/>
      <c r="AZ27" s="582"/>
      <c r="BA27" s="582"/>
      <c r="BB27" s="582"/>
      <c r="BC27" s="582"/>
      <c r="BD27" s="582"/>
      <c r="BE27" s="582"/>
      <c r="BF27" s="582"/>
      <c r="BG27" s="582"/>
      <c r="BH27" s="582"/>
      <c r="BI27" s="582"/>
      <c r="BJ27" s="582"/>
      <c r="BK27" s="582"/>
      <c r="BL27" s="582"/>
      <c r="BM27" s="582"/>
      <c r="BN27" s="582"/>
      <c r="BO27" s="582"/>
    </row>
    <row r="28" spans="1:67" ht="13.5" thickBot="1">
      <c r="B28" s="1116"/>
      <c r="C28" s="1116"/>
      <c r="D28" s="1117"/>
      <c r="E28" s="96"/>
      <c r="F28" s="467"/>
      <c r="G28" s="1033"/>
      <c r="H28" s="1029"/>
      <c r="I28" s="1069" t="s">
        <v>850</v>
      </c>
      <c r="J28" s="1070"/>
      <c r="K28" s="96"/>
      <c r="L28" s="96"/>
      <c r="M28" s="471"/>
      <c r="N28" s="706"/>
      <c r="O28" s="706"/>
      <c r="P28" s="1118"/>
      <c r="Q28" s="1119"/>
      <c r="R28" s="1047"/>
      <c r="S28" s="1027"/>
      <c r="T28" s="1027"/>
      <c r="U28" s="1027"/>
      <c r="W28" s="582"/>
      <c r="X28" s="582"/>
      <c r="Y28" s="582"/>
      <c r="Z28" s="582"/>
      <c r="AA28" s="582"/>
      <c r="AB28" s="582"/>
      <c r="AC28" s="582"/>
      <c r="AD28" s="582"/>
      <c r="AE28" s="582"/>
      <c r="AF28" s="582"/>
      <c r="AG28" s="582"/>
      <c r="AH28" s="582"/>
      <c r="AI28" s="582"/>
      <c r="AJ28" s="582"/>
      <c r="AK28" s="582"/>
      <c r="AL28" s="582"/>
      <c r="AM28" s="582"/>
      <c r="AN28" s="582"/>
      <c r="AO28" s="582"/>
      <c r="AP28" s="582"/>
      <c r="AQ28" s="582"/>
      <c r="AR28" s="582"/>
      <c r="AS28" s="582"/>
      <c r="AT28" s="582"/>
      <c r="AU28" s="582"/>
      <c r="AV28" s="582"/>
      <c r="AW28" s="582"/>
      <c r="AX28" s="582"/>
      <c r="AY28" s="582"/>
      <c r="AZ28" s="582"/>
      <c r="BA28" s="582"/>
      <c r="BB28" s="582"/>
      <c r="BC28" s="582"/>
      <c r="BD28" s="582"/>
      <c r="BE28" s="582"/>
      <c r="BF28" s="582"/>
      <c r="BG28" s="582"/>
      <c r="BH28" s="582"/>
      <c r="BI28" s="582"/>
      <c r="BJ28" s="582"/>
      <c r="BK28" s="582"/>
      <c r="BL28" s="582"/>
      <c r="BM28" s="582"/>
      <c r="BN28" s="582"/>
      <c r="BO28" s="582"/>
    </row>
    <row r="29" spans="1:67" ht="13.5" thickBot="1">
      <c r="B29" s="1120" t="s">
        <v>366</v>
      </c>
      <c r="C29" s="1121" t="s">
        <v>271</v>
      </c>
      <c r="D29" s="1011" t="s">
        <v>384</v>
      </c>
      <c r="E29" s="1012"/>
      <c r="F29" s="1068"/>
      <c r="G29" s="1033"/>
      <c r="H29" s="1029"/>
      <c r="I29" s="467"/>
      <c r="J29" s="467"/>
      <c r="K29" s="467"/>
      <c r="L29" s="467"/>
      <c r="M29" s="471"/>
      <c r="N29" s="706"/>
      <c r="O29" s="706"/>
      <c r="P29" s="1118"/>
      <c r="Q29" s="703"/>
      <c r="R29" s="1047"/>
      <c r="S29" s="1027"/>
      <c r="T29" s="1027"/>
      <c r="U29" s="1027"/>
      <c r="W29" s="582"/>
      <c r="X29" s="582"/>
      <c r="Y29" s="582"/>
      <c r="Z29" s="582"/>
      <c r="AA29" s="582"/>
      <c r="AB29" s="582"/>
      <c r="AC29" s="582"/>
      <c r="AD29" s="582"/>
      <c r="AE29" s="582"/>
      <c r="AF29" s="582"/>
      <c r="AG29" s="582"/>
      <c r="AH29" s="582"/>
      <c r="AI29" s="582"/>
      <c r="AJ29" s="582"/>
      <c r="AK29" s="582"/>
      <c r="AL29" s="582"/>
      <c r="AM29" s="582"/>
      <c r="AN29" s="582"/>
      <c r="AO29" s="582"/>
      <c r="AP29" s="582"/>
      <c r="AQ29" s="582"/>
      <c r="AR29" s="582"/>
      <c r="AS29" s="582"/>
      <c r="AT29" s="582"/>
      <c r="AU29" s="582"/>
      <c r="AV29" s="582"/>
      <c r="AW29" s="582"/>
      <c r="AX29" s="582"/>
      <c r="AY29" s="582"/>
      <c r="AZ29" s="582"/>
      <c r="BA29" s="582"/>
      <c r="BB29" s="582"/>
      <c r="BC29" s="582"/>
      <c r="BD29" s="582"/>
      <c r="BE29" s="582"/>
      <c r="BF29" s="582"/>
      <c r="BG29" s="582"/>
      <c r="BH29" s="582"/>
      <c r="BI29" s="582"/>
      <c r="BJ29" s="582"/>
      <c r="BK29" s="582"/>
      <c r="BL29" s="582"/>
      <c r="BM29" s="582"/>
      <c r="BN29" s="582"/>
      <c r="BO29" s="582"/>
    </row>
    <row r="30" spans="1:67">
      <c r="B30" s="484" t="s">
        <v>6</v>
      </c>
      <c r="C30" s="703" t="s">
        <v>287</v>
      </c>
      <c r="D30" s="1122">
        <f>P9</f>
        <v>0</v>
      </c>
      <c r="E30" s="39"/>
      <c r="G30" s="1033"/>
      <c r="H30" s="1029"/>
      <c r="I30" s="1123"/>
      <c r="J30" s="1124"/>
      <c r="K30" s="1124"/>
      <c r="L30" s="1124" t="s">
        <v>875</v>
      </c>
      <c r="M30" s="1125">
        <v>1.07</v>
      </c>
      <c r="N30" s="96"/>
      <c r="O30" s="96"/>
      <c r="P30" s="96"/>
      <c r="Q30" s="96"/>
      <c r="R30" s="1047"/>
      <c r="S30" s="1027"/>
      <c r="T30" s="1027"/>
      <c r="U30" s="1027"/>
      <c r="W30" s="582"/>
      <c r="X30" s="582"/>
      <c r="Y30" s="582"/>
      <c r="Z30" s="582"/>
      <c r="AA30" s="582"/>
      <c r="AB30" s="582"/>
      <c r="AC30" s="582"/>
      <c r="AD30" s="582"/>
      <c r="AE30" s="582"/>
      <c r="AF30" s="582"/>
      <c r="AG30" s="582"/>
      <c r="AH30" s="582"/>
      <c r="AI30" s="582"/>
      <c r="AJ30" s="582"/>
      <c r="AK30" s="582"/>
      <c r="AL30" s="582"/>
      <c r="AM30" s="582"/>
      <c r="AN30" s="582"/>
      <c r="AO30" s="582"/>
      <c r="AP30" s="582"/>
      <c r="AQ30" s="582"/>
      <c r="AR30" s="582"/>
      <c r="AS30" s="582"/>
      <c r="AT30" s="582"/>
      <c r="AU30" s="582"/>
      <c r="AV30" s="582"/>
      <c r="AW30" s="582"/>
      <c r="AX30" s="582"/>
      <c r="AY30" s="582"/>
      <c r="AZ30" s="582"/>
      <c r="BA30" s="582"/>
      <c r="BB30" s="582"/>
      <c r="BC30" s="582"/>
      <c r="BD30" s="582"/>
      <c r="BE30" s="582"/>
      <c r="BF30" s="582"/>
      <c r="BG30" s="582"/>
      <c r="BH30" s="582"/>
      <c r="BI30" s="582"/>
      <c r="BJ30" s="582"/>
      <c r="BK30" s="582"/>
      <c r="BL30" s="582"/>
      <c r="BM30" s="582"/>
      <c r="BN30" s="582"/>
      <c r="BO30" s="582"/>
    </row>
    <row r="31" spans="1:67" ht="12.75">
      <c r="B31" s="484" t="s">
        <v>286</v>
      </c>
      <c r="C31" s="703" t="s">
        <v>333</v>
      </c>
      <c r="D31" s="1126"/>
      <c r="E31" s="39"/>
      <c r="G31" s="1033"/>
      <c r="H31" s="1029"/>
      <c r="I31" s="47"/>
      <c r="J31" s="2150" t="s">
        <v>872</v>
      </c>
      <c r="K31" s="2150"/>
      <c r="L31" s="2151" t="s">
        <v>876</v>
      </c>
      <c r="M31" s="2152"/>
      <c r="N31" s="96"/>
      <c r="O31" s="96"/>
      <c r="P31" s="96"/>
      <c r="Q31" s="96"/>
      <c r="R31" s="1047"/>
      <c r="S31" s="1027"/>
      <c r="T31" s="1027"/>
      <c r="W31" s="582"/>
      <c r="X31" s="582"/>
      <c r="Y31" s="582"/>
      <c r="Z31" s="582"/>
      <c r="AA31" s="582"/>
      <c r="AB31" s="582"/>
      <c r="AC31" s="582"/>
      <c r="AD31" s="582"/>
      <c r="AE31" s="582"/>
      <c r="AF31" s="582"/>
      <c r="AG31" s="582"/>
      <c r="AH31" s="582"/>
      <c r="AI31" s="582"/>
      <c r="AJ31" s="582"/>
      <c r="AK31" s="582"/>
      <c r="AL31" s="582"/>
      <c r="AM31" s="582"/>
      <c r="AN31" s="582"/>
      <c r="AO31" s="582"/>
      <c r="AP31" s="582"/>
      <c r="AQ31" s="582"/>
      <c r="AR31" s="582"/>
      <c r="AS31" s="582"/>
      <c r="AT31" s="582"/>
      <c r="AU31" s="582"/>
      <c r="AV31" s="582"/>
      <c r="AW31" s="582"/>
      <c r="AX31" s="582"/>
      <c r="AY31" s="582"/>
      <c r="AZ31" s="582"/>
      <c r="BA31" s="582"/>
      <c r="BB31" s="582"/>
      <c r="BC31" s="582"/>
      <c r="BD31" s="582"/>
      <c r="BE31" s="582"/>
      <c r="BF31" s="582"/>
      <c r="BG31" s="582"/>
      <c r="BH31" s="582"/>
      <c r="BI31" s="582"/>
      <c r="BJ31" s="582"/>
      <c r="BK31" s="582"/>
      <c r="BL31" s="582"/>
      <c r="BM31" s="582"/>
      <c r="BN31" s="582"/>
      <c r="BO31" s="582"/>
    </row>
    <row r="32" spans="1:67" ht="25.5">
      <c r="B32" s="484" t="s">
        <v>279</v>
      </c>
      <c r="C32" s="703" t="s">
        <v>280</v>
      </c>
      <c r="D32" s="1127">
        <f>J7</f>
        <v>20</v>
      </c>
      <c r="E32" s="39"/>
      <c r="G32" s="1033"/>
      <c r="H32" s="1029"/>
      <c r="I32" s="47"/>
      <c r="J32" s="650" t="s">
        <v>873</v>
      </c>
      <c r="K32" s="650" t="s">
        <v>874</v>
      </c>
      <c r="L32" s="650" t="s">
        <v>873</v>
      </c>
      <c r="M32" s="492" t="s">
        <v>874</v>
      </c>
      <c r="N32" s="467"/>
      <c r="O32" s="467"/>
      <c r="P32" s="467"/>
      <c r="Q32" s="467"/>
      <c r="R32" s="51"/>
      <c r="S32" s="1027"/>
      <c r="T32" s="1027"/>
      <c r="U32" s="650"/>
      <c r="W32" s="582"/>
      <c r="X32" s="582"/>
      <c r="Y32" s="582"/>
      <c r="Z32" s="582"/>
      <c r="AA32" s="582"/>
      <c r="AB32" s="582"/>
      <c r="AC32" s="582"/>
      <c r="AD32" s="582"/>
      <c r="AE32" s="582"/>
      <c r="AF32" s="582"/>
      <c r="AG32" s="582"/>
      <c r="AH32" s="582"/>
      <c r="AI32" s="582"/>
      <c r="AJ32" s="582"/>
      <c r="AK32" s="582"/>
      <c r="AL32" s="582"/>
      <c r="AM32" s="582"/>
      <c r="AN32" s="582"/>
      <c r="AO32" s="582"/>
      <c r="AP32" s="582"/>
      <c r="AQ32" s="582"/>
      <c r="AR32" s="582"/>
      <c r="AS32" s="582"/>
      <c r="AT32" s="582"/>
      <c r="AU32" s="582"/>
      <c r="AV32" s="582"/>
      <c r="AW32" s="582"/>
      <c r="AX32" s="582"/>
      <c r="AY32" s="582"/>
      <c r="AZ32" s="582"/>
      <c r="BA32" s="582"/>
      <c r="BB32" s="582"/>
      <c r="BC32" s="582"/>
      <c r="BD32" s="582"/>
      <c r="BE32" s="582"/>
      <c r="BF32" s="582"/>
      <c r="BG32" s="582"/>
      <c r="BH32" s="582"/>
      <c r="BI32" s="582"/>
      <c r="BJ32" s="582"/>
      <c r="BK32" s="582"/>
      <c r="BL32" s="582"/>
      <c r="BM32" s="582"/>
      <c r="BN32" s="582"/>
      <c r="BO32" s="582"/>
    </row>
    <row r="33" spans="2:67" ht="12.75">
      <c r="B33" s="484" t="s">
        <v>367</v>
      </c>
      <c r="C33" s="1128" t="s">
        <v>266</v>
      </c>
      <c r="D33" s="1129"/>
      <c r="E33" s="39"/>
      <c r="G33" s="1033"/>
      <c r="H33" s="1029"/>
      <c r="I33" s="416" t="s">
        <v>863</v>
      </c>
      <c r="J33" s="1130">
        <v>10.46</v>
      </c>
      <c r="K33" s="1130">
        <v>18.03</v>
      </c>
      <c r="L33" s="1130">
        <f t="shared" ref="L33:L41" si="0">J33*$M$30</f>
        <v>11.192200000000001</v>
      </c>
      <c r="M33" s="1130">
        <f t="shared" ref="M33:M41" si="1">K33*$M$30</f>
        <v>19.292100000000001</v>
      </c>
      <c r="N33" s="582"/>
      <c r="O33" s="582"/>
      <c r="P33" s="582"/>
      <c r="Q33" s="582"/>
      <c r="R33" s="1032"/>
      <c r="S33" s="1027"/>
      <c r="T33" s="1027"/>
      <c r="U33" s="1027"/>
      <c r="W33" s="582"/>
      <c r="X33" s="582"/>
      <c r="Y33" s="582"/>
      <c r="Z33" s="582"/>
      <c r="AA33" s="582"/>
      <c r="AB33" s="582"/>
      <c r="AC33" s="582"/>
      <c r="AD33" s="582"/>
      <c r="AE33" s="582"/>
      <c r="AF33" s="582"/>
      <c r="AG33" s="582"/>
      <c r="AH33" s="582"/>
      <c r="AI33" s="582"/>
      <c r="AJ33" s="582"/>
      <c r="AK33" s="582"/>
      <c r="AL33" s="582"/>
      <c r="AM33" s="582"/>
      <c r="AN33" s="582"/>
      <c r="AO33" s="582"/>
      <c r="AP33" s="582"/>
      <c r="AQ33" s="582"/>
      <c r="AR33" s="582"/>
      <c r="AS33" s="582"/>
      <c r="AT33" s="582"/>
      <c r="AU33" s="582"/>
      <c r="AV33" s="582"/>
      <c r="AW33" s="582"/>
      <c r="AX33" s="582"/>
      <c r="AY33" s="582"/>
      <c r="AZ33" s="582"/>
      <c r="BA33" s="582"/>
      <c r="BB33" s="582"/>
      <c r="BC33" s="582"/>
      <c r="BD33" s="582"/>
      <c r="BE33" s="582"/>
      <c r="BF33" s="582"/>
      <c r="BG33" s="582"/>
      <c r="BH33" s="582"/>
      <c r="BI33" s="582"/>
      <c r="BJ33" s="582"/>
      <c r="BK33" s="582"/>
      <c r="BL33" s="582"/>
      <c r="BM33" s="582"/>
      <c r="BN33" s="582"/>
      <c r="BO33" s="582"/>
    </row>
    <row r="34" spans="2:67" ht="12.75">
      <c r="B34" s="484" t="s">
        <v>368</v>
      </c>
      <c r="C34" s="703" t="str">
        <f>IF(C7="Railbelt South of Alaska Range","mmBtu displaced per year", "gallons displaced per year")</f>
        <v>gallons displaced per year</v>
      </c>
      <c r="D34" s="1131"/>
      <c r="E34" s="39"/>
      <c r="G34" s="1033"/>
      <c r="H34" s="1029"/>
      <c r="I34" s="416" t="s">
        <v>864</v>
      </c>
      <c r="J34" s="1130">
        <v>11.32</v>
      </c>
      <c r="K34" s="1130">
        <v>19.12</v>
      </c>
      <c r="L34" s="1130">
        <f t="shared" si="0"/>
        <v>12.112400000000001</v>
      </c>
      <c r="M34" s="1130">
        <f t="shared" si="1"/>
        <v>20.458400000000001</v>
      </c>
      <c r="N34" s="582"/>
      <c r="O34" s="582"/>
      <c r="P34" s="582"/>
      <c r="Q34" s="582"/>
      <c r="R34" s="1032"/>
      <c r="S34" s="582"/>
      <c r="T34" s="582"/>
      <c r="U34" s="582"/>
      <c r="V34" s="582"/>
      <c r="W34" s="582"/>
      <c r="X34" s="582"/>
      <c r="Y34" s="582"/>
      <c r="Z34" s="582"/>
      <c r="AA34" s="582"/>
      <c r="AB34" s="582"/>
      <c r="AC34" s="582"/>
      <c r="AD34" s="582"/>
      <c r="AE34" s="582"/>
      <c r="AF34" s="582"/>
      <c r="AG34" s="582"/>
      <c r="AH34" s="582"/>
      <c r="AI34" s="582"/>
      <c r="AJ34" s="582"/>
      <c r="AK34" s="582"/>
      <c r="AL34" s="582"/>
      <c r="AM34" s="582"/>
      <c r="AN34" s="582"/>
      <c r="AO34" s="582"/>
      <c r="AP34" s="582"/>
      <c r="AQ34" s="582"/>
      <c r="AR34" s="582"/>
      <c r="AS34" s="582"/>
      <c r="AT34" s="582"/>
      <c r="AU34" s="582"/>
      <c r="AV34" s="582"/>
      <c r="AW34" s="582"/>
      <c r="AX34" s="582"/>
      <c r="AY34" s="582"/>
      <c r="AZ34" s="582"/>
      <c r="BA34" s="582"/>
      <c r="BB34" s="582"/>
      <c r="BC34" s="582"/>
      <c r="BD34" s="582"/>
      <c r="BE34" s="582"/>
      <c r="BF34" s="582"/>
      <c r="BG34" s="582"/>
      <c r="BH34" s="582"/>
      <c r="BI34" s="582"/>
      <c r="BJ34" s="582"/>
      <c r="BK34" s="582"/>
      <c r="BL34" s="582"/>
      <c r="BM34" s="582"/>
      <c r="BN34" s="582"/>
      <c r="BO34" s="582"/>
    </row>
    <row r="35" spans="2:67" ht="12.75">
      <c r="B35" s="484" t="s">
        <v>369</v>
      </c>
      <c r="C35" s="703" t="s">
        <v>315</v>
      </c>
      <c r="D35" s="1132"/>
      <c r="E35" s="39"/>
      <c r="G35" s="1033"/>
      <c r="H35" s="1029"/>
      <c r="I35" s="416" t="s">
        <v>865</v>
      </c>
      <c r="J35" s="1130">
        <v>10.34</v>
      </c>
      <c r="K35" s="1130">
        <v>18.010000000000002</v>
      </c>
      <c r="L35" s="1130">
        <f t="shared" si="0"/>
        <v>11.063800000000001</v>
      </c>
      <c r="M35" s="1130">
        <f t="shared" si="1"/>
        <v>19.270700000000001</v>
      </c>
      <c r="N35" s="582"/>
      <c r="O35" s="582"/>
      <c r="P35" s="582"/>
      <c r="Q35" s="582"/>
      <c r="R35" s="1032"/>
      <c r="S35" s="582"/>
      <c r="T35" s="582"/>
      <c r="U35" s="582"/>
      <c r="V35" s="582"/>
      <c r="W35" s="582"/>
      <c r="X35" s="582"/>
      <c r="Y35" s="582"/>
      <c r="Z35" s="582"/>
      <c r="AA35" s="582"/>
      <c r="AB35" s="582"/>
      <c r="AC35" s="582"/>
      <c r="AD35" s="582"/>
      <c r="AE35" s="582"/>
      <c r="AF35" s="582"/>
      <c r="AG35" s="582"/>
      <c r="AH35" s="582"/>
      <c r="AI35" s="582"/>
      <c r="AJ35" s="582"/>
      <c r="AK35" s="582"/>
      <c r="AL35" s="582"/>
      <c r="AM35" s="582"/>
      <c r="AN35" s="582"/>
      <c r="AO35" s="582"/>
      <c r="AP35" s="582"/>
      <c r="AQ35" s="582"/>
      <c r="AR35" s="582"/>
      <c r="AS35" s="582"/>
      <c r="AT35" s="582"/>
      <c r="AU35" s="582"/>
      <c r="AV35" s="582"/>
      <c r="AW35" s="582"/>
      <c r="AX35" s="582"/>
      <c r="AY35" s="582"/>
      <c r="AZ35" s="582"/>
      <c r="BA35" s="582"/>
      <c r="BB35" s="582"/>
      <c r="BC35" s="582"/>
      <c r="BD35" s="582"/>
      <c r="BE35" s="582"/>
      <c r="BF35" s="582"/>
      <c r="BG35" s="582"/>
      <c r="BH35" s="582"/>
      <c r="BI35" s="582"/>
      <c r="BJ35" s="582"/>
      <c r="BK35" s="582"/>
      <c r="BL35" s="582"/>
      <c r="BM35" s="582"/>
      <c r="BN35" s="582"/>
      <c r="BO35" s="582"/>
    </row>
    <row r="36" spans="2:67" ht="25.5">
      <c r="B36" s="484" t="s">
        <v>321</v>
      </c>
      <c r="C36" s="1133" t="s">
        <v>265</v>
      </c>
      <c r="D36" s="1134"/>
      <c r="E36" s="39"/>
      <c r="G36" s="1033"/>
      <c r="H36" s="1029"/>
      <c r="I36" s="416" t="s">
        <v>866</v>
      </c>
      <c r="J36" s="1130">
        <v>11.46</v>
      </c>
      <c r="K36" s="1130">
        <v>19.170000000000002</v>
      </c>
      <c r="L36" s="1130">
        <f t="shared" si="0"/>
        <v>12.262200000000002</v>
      </c>
      <c r="M36" s="1130">
        <f t="shared" si="1"/>
        <v>20.511900000000004</v>
      </c>
      <c r="N36" s="582"/>
      <c r="O36" s="582"/>
      <c r="P36" s="582"/>
      <c r="Q36" s="582"/>
      <c r="R36" s="1032"/>
      <c r="S36" s="582"/>
      <c r="T36" s="582"/>
      <c r="U36" s="582"/>
      <c r="V36" s="582"/>
      <c r="W36" s="582"/>
      <c r="X36" s="582"/>
      <c r="Y36" s="582"/>
      <c r="Z36" s="582"/>
      <c r="AA36" s="582"/>
      <c r="AB36" s="582"/>
      <c r="AC36" s="582"/>
      <c r="AD36" s="582"/>
      <c r="AE36" s="582"/>
      <c r="AF36" s="582"/>
      <c r="AG36" s="582"/>
      <c r="AH36" s="582"/>
      <c r="AI36" s="582"/>
      <c r="AJ36" s="582"/>
      <c r="AK36" s="582"/>
      <c r="AL36" s="582"/>
      <c r="AM36" s="582"/>
      <c r="AN36" s="582"/>
      <c r="AO36" s="582"/>
      <c r="AP36" s="582"/>
      <c r="AQ36" s="582"/>
      <c r="AR36" s="582"/>
      <c r="AS36" s="582"/>
      <c r="AT36" s="582"/>
      <c r="AU36" s="582"/>
      <c r="AV36" s="582"/>
      <c r="AW36" s="582"/>
      <c r="AX36" s="582"/>
      <c r="AY36" s="582"/>
      <c r="AZ36" s="582"/>
      <c r="BA36" s="582"/>
      <c r="BB36" s="582"/>
      <c r="BC36" s="582"/>
      <c r="BD36" s="582"/>
      <c r="BE36" s="582"/>
      <c r="BF36" s="582"/>
      <c r="BG36" s="582"/>
      <c r="BH36" s="582"/>
      <c r="BI36" s="582"/>
      <c r="BJ36" s="582"/>
      <c r="BK36" s="582"/>
      <c r="BL36" s="582"/>
      <c r="BM36" s="582"/>
      <c r="BN36" s="582"/>
      <c r="BO36" s="582"/>
    </row>
    <row r="37" spans="2:67" ht="12.75">
      <c r="B37" s="484" t="s">
        <v>387</v>
      </c>
      <c r="C37" s="703" t="s">
        <v>388</v>
      </c>
      <c r="D37" s="1135"/>
      <c r="E37" s="39"/>
      <c r="G37" s="1033"/>
      <c r="H37" s="1029"/>
      <c r="I37" s="416" t="s">
        <v>867</v>
      </c>
      <c r="J37" s="1130">
        <v>9.7899999999999991</v>
      </c>
      <c r="K37" s="1130">
        <v>17.329999999999998</v>
      </c>
      <c r="L37" s="1130">
        <f t="shared" si="0"/>
        <v>10.475299999999999</v>
      </c>
      <c r="M37" s="1130">
        <f t="shared" si="1"/>
        <v>18.543099999999999</v>
      </c>
      <c r="N37" s="582"/>
      <c r="O37" s="582"/>
      <c r="P37" s="582"/>
      <c r="Q37" s="582"/>
      <c r="R37" s="1032"/>
      <c r="S37" s="582"/>
      <c r="T37" s="582"/>
      <c r="U37" s="582"/>
      <c r="V37" s="582"/>
      <c r="W37" s="582"/>
      <c r="X37" s="582"/>
      <c r="Y37" s="582"/>
      <c r="Z37" s="582"/>
      <c r="AA37" s="582"/>
      <c r="AB37" s="582"/>
      <c r="AC37" s="582"/>
      <c r="AD37" s="582"/>
      <c r="AE37" s="582"/>
      <c r="AF37" s="582"/>
      <c r="AG37" s="582"/>
      <c r="AH37" s="582"/>
      <c r="AI37" s="582"/>
      <c r="AJ37" s="582"/>
      <c r="AK37" s="582"/>
      <c r="AL37" s="582"/>
      <c r="AM37" s="582"/>
      <c r="AN37" s="582"/>
      <c r="AO37" s="582"/>
      <c r="AP37" s="582"/>
      <c r="AQ37" s="582"/>
      <c r="AR37" s="582"/>
      <c r="AS37" s="582"/>
      <c r="AT37" s="582"/>
      <c r="AU37" s="582"/>
      <c r="AV37" s="582"/>
      <c r="AW37" s="582"/>
      <c r="AX37" s="582"/>
      <c r="AY37" s="582"/>
      <c r="AZ37" s="582"/>
      <c r="BA37" s="582"/>
      <c r="BB37" s="582"/>
      <c r="BC37" s="582"/>
      <c r="BD37" s="582"/>
      <c r="BE37" s="582"/>
      <c r="BF37" s="582"/>
      <c r="BG37" s="582"/>
      <c r="BH37" s="582"/>
      <c r="BI37" s="582"/>
      <c r="BJ37" s="582"/>
      <c r="BK37" s="582"/>
      <c r="BL37" s="582"/>
      <c r="BM37" s="582"/>
      <c r="BN37" s="582"/>
      <c r="BO37" s="582"/>
    </row>
    <row r="38" spans="2:67" ht="12.75">
      <c r="B38" s="484" t="s">
        <v>389</v>
      </c>
      <c r="C38" s="703" t="s">
        <v>352</v>
      </c>
      <c r="D38" s="1136"/>
      <c r="E38" s="39"/>
      <c r="G38" s="1033"/>
      <c r="H38" s="1029"/>
      <c r="I38" s="416" t="s">
        <v>868</v>
      </c>
      <c r="J38" s="1130">
        <v>11.68</v>
      </c>
      <c r="K38" s="1130">
        <v>19.39</v>
      </c>
      <c r="L38" s="1130">
        <f t="shared" si="0"/>
        <v>12.4976</v>
      </c>
      <c r="M38" s="1130">
        <f t="shared" si="1"/>
        <v>20.747300000000003</v>
      </c>
      <c r="N38" s="582"/>
      <c r="O38" s="582"/>
      <c r="P38" s="582"/>
      <c r="Q38" s="582"/>
      <c r="R38" s="1032"/>
      <c r="S38" s="582"/>
      <c r="T38" s="582"/>
      <c r="U38" s="582"/>
      <c r="V38" s="582"/>
      <c r="W38" s="582"/>
      <c r="X38" s="582"/>
      <c r="Y38" s="582"/>
      <c r="Z38" s="582"/>
      <c r="AA38" s="582"/>
      <c r="AB38" s="582"/>
      <c r="AC38" s="582"/>
      <c r="AD38" s="582"/>
      <c r="AE38" s="582"/>
      <c r="AF38" s="582"/>
      <c r="AG38" s="582"/>
      <c r="AH38" s="582"/>
      <c r="AI38" s="582"/>
      <c r="AJ38" s="582"/>
      <c r="AK38" s="582"/>
      <c r="AL38" s="582"/>
      <c r="AM38" s="582"/>
      <c r="AN38" s="582"/>
      <c r="AO38" s="582"/>
      <c r="AP38" s="582"/>
      <c r="AQ38" s="582"/>
      <c r="AR38" s="582"/>
      <c r="AS38" s="582"/>
      <c r="AT38" s="582"/>
      <c r="AU38" s="582"/>
      <c r="AV38" s="582"/>
      <c r="AW38" s="582"/>
      <c r="AX38" s="582"/>
      <c r="AY38" s="582"/>
      <c r="AZ38" s="582"/>
      <c r="BA38" s="582"/>
      <c r="BB38" s="582"/>
      <c r="BC38" s="582"/>
      <c r="BD38" s="582"/>
      <c r="BE38" s="582"/>
      <c r="BF38" s="582"/>
      <c r="BG38" s="582"/>
      <c r="BH38" s="582"/>
      <c r="BI38" s="582"/>
      <c r="BJ38" s="582"/>
      <c r="BK38" s="582"/>
      <c r="BL38" s="582"/>
      <c r="BM38" s="582"/>
      <c r="BN38" s="582"/>
      <c r="BO38" s="582"/>
    </row>
    <row r="39" spans="2:67" ht="12.75">
      <c r="B39" s="484" t="s">
        <v>390</v>
      </c>
      <c r="C39" s="703" t="s">
        <v>392</v>
      </c>
      <c r="D39" s="1137"/>
      <c r="E39" s="39"/>
      <c r="G39" s="1033"/>
      <c r="H39" s="1029"/>
      <c r="I39" s="416" t="s">
        <v>869</v>
      </c>
      <c r="J39" s="1130">
        <v>9.8000000000000007</v>
      </c>
      <c r="K39" s="1130">
        <v>17.149999999999999</v>
      </c>
      <c r="L39" s="1130">
        <f t="shared" si="0"/>
        <v>10.486000000000001</v>
      </c>
      <c r="M39" s="1130">
        <f t="shared" si="1"/>
        <v>18.3505</v>
      </c>
      <c r="N39" s="582"/>
      <c r="O39" s="582"/>
      <c r="P39" s="582"/>
      <c r="Q39" s="582"/>
      <c r="R39" s="1032"/>
      <c r="S39" s="582"/>
      <c r="T39" s="582"/>
      <c r="U39" s="582"/>
      <c r="V39" s="582"/>
      <c r="W39" s="582"/>
      <c r="X39" s="582"/>
      <c r="Y39" s="582"/>
      <c r="Z39" s="582"/>
      <c r="AA39" s="582"/>
      <c r="AB39" s="582"/>
      <c r="AC39" s="582"/>
      <c r="AD39" s="582"/>
      <c r="AE39" s="582"/>
      <c r="AF39" s="582"/>
      <c r="AG39" s="582"/>
      <c r="AH39" s="582"/>
      <c r="AI39" s="582"/>
      <c r="AJ39" s="582"/>
      <c r="AK39" s="582"/>
      <c r="AL39" s="582"/>
      <c r="AM39" s="582"/>
      <c r="AN39" s="582"/>
      <c r="AO39" s="582"/>
      <c r="AP39" s="582"/>
      <c r="AQ39" s="582"/>
      <c r="AR39" s="582"/>
      <c r="AS39" s="582"/>
      <c r="AT39" s="582"/>
      <c r="AU39" s="582"/>
      <c r="AV39" s="582"/>
      <c r="AW39" s="582"/>
      <c r="AX39" s="582"/>
      <c r="AY39" s="582"/>
      <c r="AZ39" s="582"/>
      <c r="BA39" s="582"/>
      <c r="BB39" s="582"/>
      <c r="BC39" s="582"/>
      <c r="BD39" s="582"/>
      <c r="BE39" s="582"/>
      <c r="BF39" s="582"/>
      <c r="BG39" s="582"/>
      <c r="BH39" s="582"/>
      <c r="BI39" s="582"/>
      <c r="BJ39" s="582"/>
      <c r="BK39" s="582"/>
      <c r="BL39" s="582"/>
      <c r="BM39" s="582"/>
      <c r="BN39" s="582"/>
      <c r="BO39" s="582"/>
    </row>
    <row r="40" spans="2:67" ht="13.5" thickBot="1">
      <c r="B40" s="653" t="s">
        <v>391</v>
      </c>
      <c r="C40" s="1138" t="s">
        <v>352</v>
      </c>
      <c r="D40" s="1139"/>
      <c r="E40" s="39"/>
      <c r="G40" s="1033"/>
      <c r="H40" s="1029"/>
      <c r="I40" s="416" t="s">
        <v>870</v>
      </c>
      <c r="J40" s="1130">
        <v>10.1</v>
      </c>
      <c r="K40" s="1130">
        <v>17.61</v>
      </c>
      <c r="L40" s="1130">
        <f t="shared" si="0"/>
        <v>10.807</v>
      </c>
      <c r="M40" s="1130">
        <f t="shared" si="1"/>
        <v>18.842700000000001</v>
      </c>
      <c r="N40" s="582"/>
      <c r="O40" s="582"/>
      <c r="P40" s="582"/>
      <c r="Q40" s="582"/>
      <c r="R40" s="1032"/>
      <c r="S40" s="582"/>
      <c r="T40" s="582"/>
      <c r="U40" s="582"/>
      <c r="V40" s="582"/>
      <c r="W40" s="582"/>
      <c r="X40" s="582"/>
      <c r="Y40" s="582"/>
      <c r="Z40" s="582"/>
      <c r="AA40" s="582"/>
      <c r="AB40" s="582"/>
      <c r="AC40" s="582"/>
      <c r="AD40" s="582"/>
      <c r="AE40" s="582"/>
      <c r="AF40" s="582"/>
      <c r="AG40" s="582"/>
      <c r="AH40" s="582"/>
      <c r="AI40" s="582"/>
      <c r="AJ40" s="582"/>
      <c r="AK40" s="582"/>
      <c r="AL40" s="582"/>
      <c r="AM40" s="582"/>
      <c r="AN40" s="582"/>
      <c r="AO40" s="582"/>
      <c r="AP40" s="582"/>
      <c r="AQ40" s="582"/>
      <c r="AR40" s="582"/>
      <c r="AS40" s="582"/>
      <c r="AT40" s="582"/>
      <c r="AU40" s="582"/>
      <c r="AV40" s="582"/>
      <c r="AW40" s="582"/>
      <c r="AX40" s="582"/>
      <c r="AY40" s="582"/>
      <c r="AZ40" s="582"/>
      <c r="BA40" s="582"/>
      <c r="BB40" s="582"/>
      <c r="BC40" s="582"/>
      <c r="BD40" s="582"/>
      <c r="BE40" s="582"/>
      <c r="BF40" s="582"/>
      <c r="BG40" s="582"/>
      <c r="BH40" s="582"/>
      <c r="BI40" s="582"/>
      <c r="BJ40" s="582"/>
      <c r="BK40" s="582"/>
      <c r="BL40" s="582"/>
      <c r="BM40" s="582"/>
      <c r="BN40" s="582"/>
      <c r="BO40" s="582"/>
    </row>
    <row r="41" spans="2:67" ht="13.5" thickBot="1">
      <c r="B41" s="1140"/>
      <c r="C41" s="1141"/>
      <c r="D41" s="1142"/>
      <c r="E41" s="39"/>
      <c r="F41" s="467"/>
      <c r="G41" s="1033"/>
      <c r="H41" s="1029"/>
      <c r="I41" s="652" t="s">
        <v>871</v>
      </c>
      <c r="J41" s="1130">
        <v>10.81</v>
      </c>
      <c r="K41" s="1130">
        <v>18.34</v>
      </c>
      <c r="L41" s="1130">
        <f t="shared" si="0"/>
        <v>11.566700000000001</v>
      </c>
      <c r="M41" s="1130">
        <f t="shared" si="1"/>
        <v>19.623799999999999</v>
      </c>
      <c r="N41" s="582"/>
      <c r="O41" s="582"/>
      <c r="P41" s="582"/>
      <c r="Q41" s="582"/>
      <c r="R41" s="1032"/>
      <c r="S41" s="582"/>
      <c r="T41" s="582"/>
      <c r="U41" s="582"/>
      <c r="V41" s="582"/>
      <c r="W41" s="582"/>
      <c r="X41" s="582"/>
      <c r="Y41" s="582"/>
      <c r="Z41" s="582"/>
      <c r="AA41" s="582"/>
      <c r="AB41" s="582"/>
      <c r="AC41" s="582"/>
      <c r="AD41" s="582"/>
      <c r="AE41" s="582"/>
      <c r="AF41" s="582"/>
      <c r="AG41" s="582"/>
      <c r="AH41" s="582"/>
      <c r="AI41" s="582"/>
      <c r="AJ41" s="582"/>
      <c r="AK41" s="582"/>
      <c r="AL41" s="582"/>
      <c r="AM41" s="582"/>
      <c r="AN41" s="582"/>
      <c r="AO41" s="582"/>
      <c r="AP41" s="582"/>
      <c r="AQ41" s="582"/>
      <c r="AR41" s="582"/>
      <c r="AS41" s="582"/>
      <c r="AT41" s="582"/>
      <c r="AU41" s="582"/>
      <c r="AV41" s="582"/>
      <c r="AW41" s="582"/>
      <c r="AX41" s="582"/>
      <c r="AY41" s="582"/>
      <c r="AZ41" s="582"/>
      <c r="BA41" s="582"/>
      <c r="BB41" s="582"/>
      <c r="BC41" s="582"/>
      <c r="BD41" s="582"/>
      <c r="BE41" s="582"/>
      <c r="BF41" s="582"/>
      <c r="BG41" s="582"/>
      <c r="BH41" s="582"/>
      <c r="BI41" s="582"/>
      <c r="BJ41" s="582"/>
      <c r="BK41" s="582"/>
      <c r="BL41" s="582"/>
      <c r="BM41" s="582"/>
      <c r="BN41" s="582"/>
      <c r="BO41" s="582"/>
    </row>
    <row r="42" spans="2:67" ht="12.75">
      <c r="B42" s="1143" t="s">
        <v>327</v>
      </c>
      <c r="C42" s="1144" t="s">
        <v>271</v>
      </c>
      <c r="D42" s="1145" t="s">
        <v>272</v>
      </c>
      <c r="E42" s="39"/>
      <c r="G42" s="1033"/>
      <c r="H42" s="1029"/>
      <c r="I42" s="582"/>
      <c r="J42" s="467"/>
      <c r="K42" s="467"/>
      <c r="L42" s="582"/>
      <c r="M42" s="582"/>
      <c r="N42" s="582"/>
      <c r="O42" s="582"/>
      <c r="P42" s="582"/>
      <c r="Q42" s="582"/>
      <c r="R42" s="1032"/>
      <c r="S42" s="582"/>
      <c r="T42" s="582"/>
      <c r="U42" s="582"/>
      <c r="V42" s="582"/>
      <c r="W42" s="582"/>
      <c r="X42" s="582"/>
      <c r="Y42" s="582"/>
      <c r="Z42" s="582"/>
      <c r="AA42" s="582"/>
      <c r="AB42" s="582"/>
      <c r="AC42" s="582"/>
      <c r="AD42" s="582"/>
      <c r="AE42" s="582"/>
      <c r="AF42" s="582"/>
      <c r="AG42" s="582"/>
      <c r="AH42" s="582"/>
      <c r="AI42" s="582"/>
      <c r="AJ42" s="582"/>
      <c r="AK42" s="582"/>
      <c r="AL42" s="582"/>
      <c r="AM42" s="582"/>
      <c r="AN42" s="582"/>
      <c r="AO42" s="582"/>
      <c r="AP42" s="582"/>
      <c r="AQ42" s="582"/>
      <c r="AR42" s="582"/>
      <c r="AS42" s="582"/>
      <c r="AT42" s="582"/>
      <c r="AU42" s="582"/>
      <c r="AV42" s="582"/>
      <c r="AW42" s="582"/>
      <c r="AX42" s="582"/>
      <c r="AY42" s="582"/>
      <c r="AZ42" s="582"/>
      <c r="BA42" s="582"/>
      <c r="BB42" s="582"/>
      <c r="BC42" s="582"/>
      <c r="BD42" s="582"/>
      <c r="BE42" s="582"/>
      <c r="BF42" s="582"/>
      <c r="BG42" s="582"/>
      <c r="BH42" s="582"/>
      <c r="BI42" s="582"/>
      <c r="BJ42" s="582"/>
      <c r="BK42" s="582"/>
      <c r="BL42" s="582"/>
      <c r="BM42" s="582"/>
      <c r="BN42" s="582"/>
      <c r="BO42" s="582"/>
    </row>
    <row r="43" spans="2:67" ht="12.75">
      <c r="B43" s="1146" t="s">
        <v>276</v>
      </c>
      <c r="C43" s="703" t="s">
        <v>265</v>
      </c>
      <c r="D43" s="1147">
        <v>0.02</v>
      </c>
      <c r="E43" s="39"/>
      <c r="F43" s="1148"/>
      <c r="G43" s="1033"/>
      <c r="H43" s="1029"/>
      <c r="I43" s="582"/>
      <c r="J43" s="582"/>
      <c r="K43" s="582"/>
      <c r="L43" s="582"/>
      <c r="M43" s="582"/>
      <c r="N43" s="582"/>
      <c r="O43" s="582"/>
      <c r="P43" s="582"/>
      <c r="Q43" s="582"/>
      <c r="R43" s="1032"/>
      <c r="S43" s="582"/>
      <c r="T43" s="582"/>
      <c r="U43" s="582"/>
      <c r="V43" s="582"/>
      <c r="W43" s="582"/>
      <c r="X43" s="582"/>
      <c r="Y43" s="582"/>
      <c r="Z43" s="582"/>
      <c r="AA43" s="582"/>
      <c r="AB43" s="582"/>
      <c r="AC43" s="582"/>
      <c r="AD43" s="582"/>
      <c r="AE43" s="582"/>
      <c r="AF43" s="582"/>
      <c r="AG43" s="582"/>
      <c r="AH43" s="582"/>
      <c r="AI43" s="582"/>
      <c r="AJ43" s="582"/>
      <c r="AK43" s="582"/>
      <c r="AL43" s="582"/>
      <c r="AM43" s="582"/>
      <c r="AN43" s="582"/>
      <c r="AO43" s="582"/>
      <c r="AP43" s="582"/>
      <c r="AQ43" s="582"/>
      <c r="AR43" s="582"/>
      <c r="AS43" s="582"/>
      <c r="AT43" s="582"/>
      <c r="AU43" s="582"/>
      <c r="AV43" s="582"/>
      <c r="AW43" s="582"/>
      <c r="AX43" s="582"/>
      <c r="AY43" s="582"/>
      <c r="AZ43" s="582"/>
      <c r="BA43" s="582"/>
      <c r="BB43" s="582"/>
      <c r="BC43" s="582"/>
      <c r="BD43" s="582"/>
      <c r="BE43" s="582"/>
      <c r="BF43" s="582"/>
      <c r="BG43" s="582"/>
      <c r="BH43" s="582"/>
      <c r="BI43" s="582"/>
      <c r="BJ43" s="582"/>
      <c r="BK43" s="582"/>
      <c r="BL43" s="582"/>
      <c r="BM43" s="582"/>
      <c r="BN43" s="582"/>
      <c r="BO43" s="582"/>
    </row>
    <row r="44" spans="2:67" ht="26.25" thickBot="1">
      <c r="B44" s="1149" t="s">
        <v>328</v>
      </c>
      <c r="C44" s="1116" t="s">
        <v>281</v>
      </c>
      <c r="D44" s="1150">
        <f>'Community data'!B21</f>
        <v>10.802351555020987</v>
      </c>
      <c r="E44" s="39"/>
      <c r="F44" s="1148"/>
      <c r="G44" s="1033"/>
      <c r="H44" s="1029"/>
      <c r="I44" s="582"/>
      <c r="J44" s="582"/>
      <c r="K44" s="582"/>
      <c r="L44" s="582"/>
      <c r="M44" s="582"/>
      <c r="N44" s="582"/>
      <c r="O44" s="582"/>
      <c r="P44" s="582"/>
      <c r="Q44" s="582"/>
      <c r="R44" s="1032"/>
      <c r="S44" s="582"/>
      <c r="T44" s="582"/>
      <c r="U44" s="582"/>
      <c r="V44" s="582"/>
      <c r="W44" s="582"/>
      <c r="X44" s="582"/>
      <c r="Y44" s="582"/>
      <c r="Z44" s="582"/>
      <c r="AA44" s="582"/>
      <c r="AB44" s="582"/>
      <c r="AC44" s="582"/>
      <c r="AD44" s="582"/>
      <c r="AE44" s="582"/>
      <c r="AF44" s="582"/>
      <c r="AG44" s="582"/>
      <c r="AH44" s="582"/>
      <c r="AI44" s="582"/>
      <c r="AJ44" s="582"/>
      <c r="AK44" s="582"/>
      <c r="AL44" s="582"/>
      <c r="AM44" s="582"/>
      <c r="AN44" s="582"/>
      <c r="AO44" s="582"/>
      <c r="AP44" s="582"/>
      <c r="AQ44" s="582"/>
      <c r="AR44" s="582"/>
      <c r="AS44" s="582"/>
      <c r="AT44" s="582"/>
      <c r="AU44" s="582"/>
      <c r="AV44" s="582"/>
      <c r="AW44" s="582"/>
      <c r="AX44" s="582"/>
      <c r="AY44" s="582"/>
      <c r="AZ44" s="582"/>
      <c r="BA44" s="582"/>
      <c r="BB44" s="582"/>
      <c r="BC44" s="582"/>
      <c r="BD44" s="582"/>
      <c r="BE44" s="582"/>
      <c r="BF44" s="582"/>
      <c r="BG44" s="582"/>
      <c r="BH44" s="582"/>
      <c r="BI44" s="582"/>
      <c r="BJ44" s="582"/>
      <c r="BK44" s="582"/>
      <c r="BL44" s="582"/>
      <c r="BM44" s="582"/>
      <c r="BN44" s="582"/>
      <c r="BO44" s="582"/>
    </row>
    <row r="45" spans="2:67" ht="13.5" thickBot="1">
      <c r="B45" s="1151"/>
      <c r="C45" s="1152"/>
      <c r="D45" s="1124"/>
      <c r="E45" s="39"/>
      <c r="F45" s="467"/>
      <c r="G45" s="1033"/>
      <c r="H45" s="1029"/>
      <c r="I45" s="582"/>
      <c r="J45" s="582"/>
      <c r="K45" s="582"/>
      <c r="L45" s="582"/>
      <c r="M45" s="582"/>
      <c r="N45" s="582"/>
      <c r="O45" s="582"/>
      <c r="P45" s="582"/>
      <c r="Q45" s="582"/>
      <c r="R45" s="1032"/>
      <c r="S45" s="582"/>
      <c r="T45" s="582"/>
      <c r="U45" s="582"/>
      <c r="V45" s="582"/>
      <c r="W45" s="582"/>
      <c r="X45" s="582"/>
      <c r="Y45" s="582"/>
      <c r="Z45" s="582"/>
      <c r="AA45" s="582"/>
      <c r="AB45" s="582"/>
      <c r="AC45" s="582"/>
      <c r="AD45" s="582"/>
      <c r="AE45" s="582"/>
      <c r="AF45" s="582"/>
      <c r="AG45" s="582"/>
      <c r="AH45" s="582"/>
      <c r="AI45" s="582"/>
      <c r="AJ45" s="582"/>
      <c r="AK45" s="582"/>
      <c r="AL45" s="582"/>
      <c r="AM45" s="582"/>
      <c r="AN45" s="582"/>
      <c r="AO45" s="582"/>
      <c r="AP45" s="582"/>
      <c r="AQ45" s="582"/>
      <c r="AR45" s="582"/>
      <c r="AS45" s="582"/>
      <c r="AT45" s="582"/>
      <c r="AU45" s="582"/>
      <c r="AV45" s="582"/>
      <c r="AW45" s="582"/>
      <c r="AX45" s="582"/>
      <c r="AY45" s="582"/>
      <c r="AZ45" s="582"/>
      <c r="BA45" s="582"/>
      <c r="BB45" s="582"/>
      <c r="BC45" s="582"/>
      <c r="BD45" s="582"/>
      <c r="BE45" s="582"/>
      <c r="BF45" s="582"/>
      <c r="BG45" s="582"/>
      <c r="BH45" s="582"/>
      <c r="BI45" s="582"/>
      <c r="BJ45" s="582"/>
      <c r="BK45" s="582"/>
      <c r="BL45" s="582"/>
      <c r="BM45" s="582"/>
      <c r="BN45" s="582"/>
      <c r="BO45" s="582"/>
    </row>
    <row r="46" spans="2:67" ht="12.75">
      <c r="B46" s="1153" t="s">
        <v>275</v>
      </c>
      <c r="C46" s="1121" t="s">
        <v>271</v>
      </c>
      <c r="D46" s="1154" t="s">
        <v>272</v>
      </c>
      <c r="E46" s="39"/>
      <c r="F46" s="1148"/>
      <c r="G46" s="1033"/>
      <c r="H46" s="1029"/>
      <c r="I46" s="582"/>
      <c r="J46" s="582"/>
      <c r="K46" s="582"/>
      <c r="L46" s="582"/>
      <c r="M46" s="582"/>
      <c r="N46" s="582"/>
      <c r="O46" s="582"/>
      <c r="P46" s="582"/>
      <c r="Q46" s="582"/>
      <c r="R46" s="1032"/>
      <c r="S46" s="582"/>
      <c r="T46" s="582"/>
      <c r="U46" s="582"/>
      <c r="V46" s="582"/>
      <c r="W46" s="582"/>
      <c r="X46" s="582"/>
      <c r="Y46" s="582"/>
      <c r="Z46" s="582"/>
      <c r="AA46" s="582"/>
      <c r="AB46" s="582"/>
      <c r="AC46" s="582"/>
      <c r="AD46" s="582"/>
      <c r="AE46" s="582"/>
      <c r="AF46" s="582"/>
      <c r="AG46" s="582"/>
      <c r="AH46" s="582"/>
      <c r="AI46" s="582"/>
      <c r="AJ46" s="582"/>
      <c r="AK46" s="582"/>
      <c r="AL46" s="582"/>
      <c r="AM46" s="582"/>
      <c r="AN46" s="582"/>
      <c r="AO46" s="582"/>
      <c r="AP46" s="582"/>
      <c r="AQ46" s="582"/>
      <c r="AR46" s="582"/>
      <c r="AS46" s="582"/>
      <c r="AT46" s="582"/>
      <c r="AU46" s="582"/>
      <c r="AV46" s="582"/>
      <c r="AW46" s="582"/>
      <c r="AX46" s="582"/>
      <c r="AY46" s="582"/>
      <c r="AZ46" s="582"/>
      <c r="BA46" s="582"/>
      <c r="BB46" s="582"/>
      <c r="BC46" s="582"/>
      <c r="BD46" s="582"/>
      <c r="BE46" s="582"/>
      <c r="BF46" s="582"/>
      <c r="BG46" s="582"/>
      <c r="BH46" s="582"/>
      <c r="BI46" s="582"/>
      <c r="BJ46" s="582"/>
      <c r="BK46" s="582"/>
      <c r="BL46" s="582"/>
      <c r="BM46" s="582"/>
      <c r="BN46" s="582"/>
      <c r="BO46" s="582"/>
    </row>
    <row r="47" spans="2:67" ht="12.75">
      <c r="B47" s="1146" t="s">
        <v>282</v>
      </c>
      <c r="C47" s="703" t="s">
        <v>269</v>
      </c>
      <c r="D47" s="601">
        <f>Fuel_Oil_price-Diesel__utility_price</f>
        <v>0.45000000000000018</v>
      </c>
      <c r="E47" s="39"/>
      <c r="F47" s="467"/>
      <c r="G47" s="1033"/>
      <c r="H47" s="1029"/>
      <c r="I47" s="582"/>
      <c r="J47" s="582"/>
      <c r="K47" s="582"/>
      <c r="L47" s="582" t="s">
        <v>814</v>
      </c>
      <c r="M47" s="582"/>
      <c r="N47" s="582"/>
      <c r="O47" s="582"/>
      <c r="P47" s="582"/>
      <c r="Q47" s="582"/>
      <c r="R47" s="1032"/>
      <c r="S47" s="582"/>
      <c r="T47" s="582"/>
      <c r="U47" s="582"/>
      <c r="V47" s="582"/>
      <c r="W47" s="582"/>
      <c r="X47" s="582"/>
      <c r="Y47" s="582"/>
      <c r="Z47" s="582"/>
      <c r="AA47" s="582"/>
      <c r="AB47" s="582"/>
      <c r="AC47" s="582"/>
      <c r="AD47" s="582"/>
      <c r="AE47" s="582"/>
      <c r="AF47" s="582"/>
      <c r="AG47" s="582"/>
      <c r="AH47" s="582"/>
      <c r="AI47" s="582"/>
      <c r="AJ47" s="582"/>
      <c r="AK47" s="582"/>
      <c r="AL47" s="582"/>
      <c r="AM47" s="582"/>
      <c r="AN47" s="582"/>
      <c r="AO47" s="582"/>
      <c r="AP47" s="582"/>
      <c r="AQ47" s="582"/>
      <c r="AR47" s="582"/>
      <c r="AS47" s="582"/>
      <c r="AT47" s="582"/>
      <c r="AU47" s="582"/>
      <c r="AV47" s="582"/>
      <c r="AW47" s="582"/>
      <c r="AX47" s="582"/>
      <c r="AY47" s="582"/>
      <c r="AZ47" s="582"/>
      <c r="BA47" s="582"/>
      <c r="BB47" s="582"/>
      <c r="BC47" s="582"/>
      <c r="BD47" s="582"/>
      <c r="BE47" s="582"/>
      <c r="BF47" s="582"/>
      <c r="BG47" s="582"/>
      <c r="BH47" s="582"/>
      <c r="BI47" s="582"/>
      <c r="BJ47" s="582"/>
      <c r="BK47" s="582"/>
      <c r="BL47" s="582"/>
      <c r="BM47" s="582"/>
      <c r="BN47" s="582"/>
      <c r="BO47" s="582"/>
    </row>
    <row r="48" spans="2:67" ht="26.25" thickBot="1">
      <c r="B48" s="484" t="s">
        <v>370</v>
      </c>
      <c r="C48" s="703" t="s">
        <v>269</v>
      </c>
      <c r="D48" s="1155">
        <f>Assumptions!B26</f>
        <v>0</v>
      </c>
      <c r="E48" s="39"/>
      <c r="F48" s="1148"/>
      <c r="G48" s="1033"/>
      <c r="H48" s="1156"/>
      <c r="I48" s="1157"/>
      <c r="J48" s="1157"/>
      <c r="K48" s="1157"/>
      <c r="L48" s="1157"/>
      <c r="M48" s="1157"/>
      <c r="N48" s="1157"/>
      <c r="O48" s="1157"/>
      <c r="P48" s="1157"/>
      <c r="Q48" s="1157"/>
      <c r="R48" s="1158"/>
      <c r="S48" s="582"/>
      <c r="T48" s="582"/>
      <c r="U48" s="582"/>
      <c r="V48" s="582"/>
      <c r="W48" s="582"/>
      <c r="X48" s="582"/>
      <c r="Y48" s="582"/>
      <c r="Z48" s="582"/>
      <c r="AA48" s="582"/>
      <c r="AB48" s="582"/>
      <c r="AC48" s="582"/>
      <c r="AD48" s="582"/>
      <c r="AE48" s="582"/>
      <c r="AF48" s="582"/>
      <c r="AG48" s="582"/>
      <c r="AH48" s="582"/>
      <c r="AI48" s="582"/>
      <c r="AJ48" s="582"/>
      <c r="AK48" s="582"/>
      <c r="AL48" s="582"/>
      <c r="AM48" s="582"/>
      <c r="AN48" s="582"/>
      <c r="AO48" s="582"/>
      <c r="AP48" s="582"/>
      <c r="AQ48" s="582"/>
      <c r="AR48" s="582"/>
      <c r="AS48" s="582"/>
      <c r="AT48" s="582"/>
      <c r="AU48" s="582"/>
      <c r="AV48" s="582"/>
      <c r="AW48" s="582"/>
      <c r="AX48" s="582"/>
      <c r="AY48" s="582"/>
      <c r="AZ48" s="582"/>
      <c r="BA48" s="582"/>
      <c r="BB48" s="582"/>
      <c r="BC48" s="582"/>
      <c r="BD48" s="582"/>
      <c r="BE48" s="582"/>
      <c r="BF48" s="582"/>
      <c r="BG48" s="582"/>
      <c r="BH48" s="582"/>
      <c r="BI48" s="582"/>
      <c r="BJ48" s="582"/>
      <c r="BK48" s="582"/>
      <c r="BL48" s="582"/>
      <c r="BM48" s="582"/>
      <c r="BN48" s="582"/>
      <c r="BO48" s="582"/>
    </row>
    <row r="49" spans="2:67" ht="12.75">
      <c r="B49" s="484" t="s">
        <v>1</v>
      </c>
      <c r="C49" s="703" t="s">
        <v>273</v>
      </c>
      <c r="D49" s="1159">
        <v>0.03</v>
      </c>
      <c r="E49" s="39"/>
      <c r="F49" s="467"/>
      <c r="G49" s="1033"/>
      <c r="H49" s="471"/>
      <c r="I49" s="582"/>
      <c r="J49" s="582"/>
      <c r="K49" s="582"/>
      <c r="L49" s="582"/>
      <c r="M49" s="582"/>
      <c r="N49" s="582"/>
      <c r="O49" s="582"/>
      <c r="P49" s="582"/>
      <c r="Q49" s="582"/>
      <c r="R49" s="582"/>
      <c r="S49" s="582"/>
      <c r="T49" s="582"/>
      <c r="U49" s="582"/>
      <c r="V49" s="582"/>
      <c r="W49" s="582"/>
      <c r="X49" s="582"/>
      <c r="Y49" s="582"/>
      <c r="Z49" s="582"/>
      <c r="AA49" s="582"/>
      <c r="AB49" s="582"/>
      <c r="AC49" s="582"/>
      <c r="AD49" s="582"/>
      <c r="AE49" s="582"/>
      <c r="AF49" s="582"/>
      <c r="AG49" s="582"/>
      <c r="AH49" s="582"/>
      <c r="AI49" s="582"/>
      <c r="AJ49" s="582"/>
      <c r="AK49" s="582"/>
      <c r="AL49" s="582"/>
      <c r="AM49" s="582"/>
      <c r="AN49" s="582"/>
      <c r="AO49" s="582"/>
      <c r="AP49" s="582"/>
      <c r="AQ49" s="582"/>
      <c r="AR49" s="582"/>
      <c r="AS49" s="582"/>
      <c r="AT49" s="582"/>
      <c r="AU49" s="582"/>
      <c r="AV49" s="582"/>
      <c r="AW49" s="582"/>
      <c r="AX49" s="582"/>
      <c r="AY49" s="582"/>
      <c r="AZ49" s="582"/>
      <c r="BA49" s="582"/>
      <c r="BB49" s="582"/>
      <c r="BC49" s="582"/>
      <c r="BD49" s="582"/>
      <c r="BE49" s="582"/>
      <c r="BF49" s="582"/>
      <c r="BG49" s="582"/>
      <c r="BH49" s="582"/>
      <c r="BI49" s="582"/>
      <c r="BJ49" s="582"/>
      <c r="BK49" s="582"/>
      <c r="BL49" s="582"/>
      <c r="BM49" s="582"/>
      <c r="BN49" s="582"/>
      <c r="BO49" s="582"/>
    </row>
    <row r="50" spans="2:67" ht="12.75">
      <c r="B50" s="484" t="s">
        <v>317</v>
      </c>
      <c r="C50" s="1128" t="s">
        <v>319</v>
      </c>
      <c r="D50" s="1160" t="s">
        <v>355</v>
      </c>
      <c r="E50" s="39"/>
      <c r="F50" s="1148"/>
      <c r="G50" s="1161"/>
      <c r="H50" s="471"/>
      <c r="I50" s="582"/>
      <c r="J50" s="582"/>
      <c r="K50" s="582"/>
      <c r="L50" s="582"/>
      <c r="M50" s="582"/>
      <c r="N50" s="582"/>
      <c r="O50" s="582"/>
      <c r="P50" s="582"/>
      <c r="Q50" s="582"/>
      <c r="R50" s="582"/>
      <c r="S50" s="582"/>
      <c r="T50" s="582"/>
      <c r="U50" s="582"/>
      <c r="V50" s="582"/>
      <c r="W50" s="582"/>
      <c r="X50" s="582"/>
      <c r="Y50" s="582"/>
      <c r="Z50" s="582"/>
      <c r="AA50" s="582"/>
      <c r="AB50" s="582"/>
      <c r="AC50" s="582"/>
      <c r="AD50" s="582"/>
      <c r="AE50" s="582"/>
      <c r="AF50" s="582"/>
      <c r="AG50" s="582"/>
      <c r="AH50" s="582"/>
      <c r="AI50" s="582"/>
      <c r="AJ50" s="582"/>
      <c r="AK50" s="582"/>
      <c r="AL50" s="582"/>
      <c r="AM50" s="582"/>
      <c r="AN50" s="582"/>
      <c r="AO50" s="582"/>
      <c r="AP50" s="582"/>
      <c r="AQ50" s="582"/>
      <c r="AR50" s="582"/>
      <c r="AS50" s="582"/>
      <c r="AT50" s="582"/>
      <c r="AU50" s="582"/>
      <c r="AV50" s="582"/>
      <c r="AW50" s="582"/>
      <c r="AX50" s="582"/>
      <c r="AY50" s="582"/>
      <c r="AZ50" s="582"/>
      <c r="BA50" s="582"/>
      <c r="BB50" s="582"/>
      <c r="BC50" s="582"/>
      <c r="BD50" s="582"/>
      <c r="BE50" s="582"/>
      <c r="BF50" s="582"/>
      <c r="BG50" s="582"/>
      <c r="BH50" s="582"/>
      <c r="BI50" s="582"/>
      <c r="BJ50" s="582"/>
      <c r="BK50" s="582"/>
      <c r="BL50" s="582"/>
      <c r="BM50" s="582"/>
      <c r="BN50" s="582"/>
      <c r="BO50" s="582"/>
    </row>
    <row r="51" spans="2:67" ht="13.5" thickBot="1">
      <c r="B51" s="653"/>
      <c r="C51" s="1162"/>
      <c r="D51" s="1160"/>
      <c r="E51" s="39"/>
      <c r="F51" s="467"/>
      <c r="G51" s="1161"/>
      <c r="H51" s="471"/>
      <c r="I51" s="582"/>
      <c r="J51" s="582"/>
      <c r="K51" s="582"/>
      <c r="L51" s="582"/>
      <c r="M51" s="582"/>
      <c r="N51" s="582"/>
      <c r="O51" s="582"/>
      <c r="P51" s="582"/>
      <c r="Q51" s="582"/>
      <c r="R51" s="582"/>
      <c r="S51" s="582"/>
      <c r="T51" s="582"/>
      <c r="U51" s="582"/>
      <c r="V51" s="582"/>
      <c r="W51" s="582"/>
      <c r="X51" s="582"/>
      <c r="Y51" s="582"/>
      <c r="Z51" s="582"/>
      <c r="AA51" s="582"/>
      <c r="AB51" s="582"/>
      <c r="AC51" s="582"/>
      <c r="AD51" s="582"/>
      <c r="AE51" s="582"/>
      <c r="AF51" s="582"/>
      <c r="AG51" s="582"/>
      <c r="AH51" s="582"/>
      <c r="AI51" s="582"/>
      <c r="AJ51" s="582"/>
      <c r="AK51" s="582"/>
      <c r="AL51" s="582"/>
      <c r="AM51" s="582"/>
      <c r="AN51" s="582"/>
      <c r="AO51" s="582"/>
      <c r="AP51" s="582"/>
      <c r="AQ51" s="582"/>
      <c r="AR51" s="582"/>
      <c r="AS51" s="582"/>
      <c r="AT51" s="582"/>
      <c r="AU51" s="582"/>
      <c r="AV51" s="582"/>
      <c r="AW51" s="582"/>
      <c r="AX51" s="582"/>
      <c r="AY51" s="582"/>
      <c r="AZ51" s="582"/>
      <c r="BA51" s="582"/>
      <c r="BB51" s="582"/>
      <c r="BC51" s="582"/>
      <c r="BD51" s="582"/>
      <c r="BE51" s="582"/>
      <c r="BF51" s="582"/>
      <c r="BG51" s="582"/>
      <c r="BH51" s="582"/>
      <c r="BI51" s="582"/>
      <c r="BJ51" s="582"/>
      <c r="BK51" s="582"/>
      <c r="BL51" s="582"/>
      <c r="BM51" s="582"/>
      <c r="BN51" s="582"/>
      <c r="BO51" s="582"/>
    </row>
    <row r="52" spans="2:67" ht="12.75">
      <c r="C52" s="1164"/>
      <c r="D52" s="96"/>
      <c r="E52" s="96"/>
      <c r="F52" s="96"/>
      <c r="O52" s="96"/>
      <c r="P52" s="96"/>
      <c r="Q52" s="96"/>
      <c r="R52" s="96"/>
      <c r="S52" s="96"/>
      <c r="T52" s="96"/>
      <c r="U52" s="96"/>
      <c r="V52" s="96"/>
      <c r="W52" s="96"/>
      <c r="X52" s="96"/>
      <c r="Y52" s="96"/>
      <c r="Z52" s="96"/>
      <c r="AA52" s="96"/>
      <c r="AB52" s="96"/>
      <c r="AC52" s="96"/>
      <c r="AD52" s="96"/>
      <c r="AE52" s="96"/>
      <c r="AF52" s="96"/>
      <c r="AG52" s="96"/>
      <c r="BO52" s="467"/>
    </row>
    <row r="53" spans="2:67" ht="12.75">
      <c r="C53" s="1164"/>
      <c r="D53" s="96"/>
      <c r="E53" s="39"/>
      <c r="F53" s="97">
        <v>7</v>
      </c>
      <c r="G53" s="97">
        <v>8</v>
      </c>
      <c r="H53" s="97">
        <v>9</v>
      </c>
      <c r="I53" s="97">
        <v>10</v>
      </c>
      <c r="J53" s="97">
        <v>11</v>
      </c>
      <c r="K53" s="97">
        <v>12</v>
      </c>
      <c r="L53" s="97">
        <v>13</v>
      </c>
      <c r="M53" s="97">
        <v>14</v>
      </c>
      <c r="N53" s="97">
        <v>15</v>
      </c>
      <c r="O53" s="97">
        <v>16</v>
      </c>
      <c r="P53" s="97">
        <v>17</v>
      </c>
      <c r="Q53" s="97">
        <v>18</v>
      </c>
      <c r="R53" s="97">
        <v>19</v>
      </c>
      <c r="S53" s="1068">
        <v>20</v>
      </c>
      <c r="T53" s="1068">
        <v>21</v>
      </c>
      <c r="U53" s="1068">
        <v>22</v>
      </c>
      <c r="V53" s="1068">
        <v>23</v>
      </c>
      <c r="W53" s="1068">
        <v>24</v>
      </c>
      <c r="X53" s="1068">
        <v>25</v>
      </c>
      <c r="Y53" s="1068">
        <v>26</v>
      </c>
      <c r="Z53" s="1068">
        <v>27</v>
      </c>
      <c r="AA53" s="1068">
        <v>28</v>
      </c>
      <c r="AB53" s="1068">
        <v>29</v>
      </c>
      <c r="AC53" s="1068">
        <v>30</v>
      </c>
      <c r="AD53" s="1068">
        <v>31</v>
      </c>
      <c r="AE53" s="1068">
        <v>32</v>
      </c>
      <c r="AF53" s="1068">
        <v>33</v>
      </c>
      <c r="AG53" s="1068">
        <v>34</v>
      </c>
      <c r="AH53" s="1068">
        <v>35</v>
      </c>
      <c r="AI53" s="1068">
        <v>36</v>
      </c>
      <c r="AJ53" s="1068">
        <v>37</v>
      </c>
      <c r="AK53" s="1068">
        <v>38</v>
      </c>
      <c r="AL53" s="1068">
        <v>39</v>
      </c>
      <c r="AM53" s="1068">
        <v>40</v>
      </c>
      <c r="AN53" s="1068">
        <v>41</v>
      </c>
      <c r="AO53" s="1068">
        <v>42</v>
      </c>
      <c r="AP53" s="1068">
        <v>43</v>
      </c>
      <c r="AQ53" s="1068">
        <v>44</v>
      </c>
      <c r="AR53" s="1068">
        <v>45</v>
      </c>
      <c r="AS53" s="1068">
        <v>46</v>
      </c>
      <c r="AT53" s="1068">
        <v>47</v>
      </c>
      <c r="AU53" s="1068">
        <v>48</v>
      </c>
      <c r="AV53" s="1068">
        <v>49</v>
      </c>
      <c r="AW53" s="1068">
        <v>50</v>
      </c>
      <c r="AX53" s="1068">
        <v>51</v>
      </c>
      <c r="AY53" s="1068">
        <v>52</v>
      </c>
      <c r="AZ53" s="1068">
        <v>53</v>
      </c>
      <c r="BA53" s="1068">
        <v>54</v>
      </c>
      <c r="BB53" s="1068">
        <v>55</v>
      </c>
      <c r="BC53" s="1068">
        <v>56</v>
      </c>
      <c r="BD53" s="1068">
        <v>57</v>
      </c>
      <c r="BE53" s="1068">
        <v>58</v>
      </c>
      <c r="BF53" s="1068">
        <v>59</v>
      </c>
      <c r="BG53" s="1068">
        <v>60</v>
      </c>
      <c r="BH53" s="1068">
        <v>61</v>
      </c>
      <c r="BI53" s="1068"/>
      <c r="BJ53" s="96"/>
      <c r="BK53" s="96"/>
      <c r="BL53" s="96"/>
      <c r="BM53" s="96"/>
      <c r="BN53" s="96"/>
      <c r="BO53" s="96"/>
    </row>
    <row r="54" spans="2:67" ht="12.75">
      <c r="C54" s="1165" t="s">
        <v>1212</v>
      </c>
      <c r="D54" s="1166"/>
      <c r="E54" s="1167" t="s">
        <v>263</v>
      </c>
      <c r="F54" s="1168">
        <v>2014</v>
      </c>
      <c r="G54" s="1168">
        <f t="shared" ref="G54:BH54" si="2">F54+1</f>
        <v>2015</v>
      </c>
      <c r="H54" s="1168">
        <f t="shared" si="2"/>
        <v>2016</v>
      </c>
      <c r="I54" s="1168">
        <f t="shared" si="2"/>
        <v>2017</v>
      </c>
      <c r="J54" s="1168">
        <f t="shared" si="2"/>
        <v>2018</v>
      </c>
      <c r="K54" s="1168">
        <f t="shared" si="2"/>
        <v>2019</v>
      </c>
      <c r="L54" s="1168">
        <f t="shared" si="2"/>
        <v>2020</v>
      </c>
      <c r="M54" s="1168">
        <f t="shared" si="2"/>
        <v>2021</v>
      </c>
      <c r="N54" s="1168">
        <f>M54+1</f>
        <v>2022</v>
      </c>
      <c r="O54" s="1168">
        <f t="shared" si="2"/>
        <v>2023</v>
      </c>
      <c r="P54" s="1168">
        <f t="shared" si="2"/>
        <v>2024</v>
      </c>
      <c r="Q54" s="1168">
        <f t="shared" si="2"/>
        <v>2025</v>
      </c>
      <c r="R54" s="1168">
        <f t="shared" si="2"/>
        <v>2026</v>
      </c>
      <c r="S54" s="1068">
        <f>R54+1</f>
        <v>2027</v>
      </c>
      <c r="T54" s="1068">
        <f t="shared" si="2"/>
        <v>2028</v>
      </c>
      <c r="U54" s="1068">
        <f t="shared" si="2"/>
        <v>2029</v>
      </c>
      <c r="V54" s="1068">
        <f t="shared" si="2"/>
        <v>2030</v>
      </c>
      <c r="W54" s="1068">
        <f t="shared" si="2"/>
        <v>2031</v>
      </c>
      <c r="X54" s="1068">
        <f t="shared" si="2"/>
        <v>2032</v>
      </c>
      <c r="Y54" s="1068">
        <f t="shared" si="2"/>
        <v>2033</v>
      </c>
      <c r="Z54" s="1068">
        <f t="shared" si="2"/>
        <v>2034</v>
      </c>
      <c r="AA54" s="1068">
        <f t="shared" si="2"/>
        <v>2035</v>
      </c>
      <c r="AB54" s="1068">
        <f t="shared" si="2"/>
        <v>2036</v>
      </c>
      <c r="AC54" s="1068">
        <f t="shared" si="2"/>
        <v>2037</v>
      </c>
      <c r="AD54" s="1068">
        <f t="shared" si="2"/>
        <v>2038</v>
      </c>
      <c r="AE54" s="1068">
        <f t="shared" si="2"/>
        <v>2039</v>
      </c>
      <c r="AF54" s="1068">
        <f t="shared" si="2"/>
        <v>2040</v>
      </c>
      <c r="AG54" s="1068">
        <f t="shared" si="2"/>
        <v>2041</v>
      </c>
      <c r="AH54" s="1068">
        <f t="shared" si="2"/>
        <v>2042</v>
      </c>
      <c r="AI54" s="1068">
        <f t="shared" si="2"/>
        <v>2043</v>
      </c>
      <c r="AJ54" s="1068">
        <f t="shared" si="2"/>
        <v>2044</v>
      </c>
      <c r="AK54" s="1068">
        <f t="shared" si="2"/>
        <v>2045</v>
      </c>
      <c r="AL54" s="1068">
        <f t="shared" si="2"/>
        <v>2046</v>
      </c>
      <c r="AM54" s="1068">
        <f t="shared" si="2"/>
        <v>2047</v>
      </c>
      <c r="AN54" s="1068">
        <f t="shared" si="2"/>
        <v>2048</v>
      </c>
      <c r="AO54" s="1068">
        <f t="shared" si="2"/>
        <v>2049</v>
      </c>
      <c r="AP54" s="1068">
        <f t="shared" si="2"/>
        <v>2050</v>
      </c>
      <c r="AQ54" s="1068">
        <f t="shared" si="2"/>
        <v>2051</v>
      </c>
      <c r="AR54" s="1068">
        <f t="shared" si="2"/>
        <v>2052</v>
      </c>
      <c r="AS54" s="1068">
        <f t="shared" si="2"/>
        <v>2053</v>
      </c>
      <c r="AT54" s="1068">
        <f t="shared" si="2"/>
        <v>2054</v>
      </c>
      <c r="AU54" s="1068">
        <f t="shared" si="2"/>
        <v>2055</v>
      </c>
      <c r="AV54" s="1068">
        <f t="shared" si="2"/>
        <v>2056</v>
      </c>
      <c r="AW54" s="1068">
        <f t="shared" si="2"/>
        <v>2057</v>
      </c>
      <c r="AX54" s="1068">
        <f t="shared" si="2"/>
        <v>2058</v>
      </c>
      <c r="AY54" s="1068">
        <f t="shared" si="2"/>
        <v>2059</v>
      </c>
      <c r="AZ54" s="1068">
        <f t="shared" si="2"/>
        <v>2060</v>
      </c>
      <c r="BA54" s="1068">
        <f t="shared" si="2"/>
        <v>2061</v>
      </c>
      <c r="BB54" s="1068">
        <f t="shared" si="2"/>
        <v>2062</v>
      </c>
      <c r="BC54" s="1068">
        <f t="shared" si="2"/>
        <v>2063</v>
      </c>
      <c r="BD54" s="1068">
        <f t="shared" si="2"/>
        <v>2064</v>
      </c>
      <c r="BE54" s="1068">
        <f t="shared" si="2"/>
        <v>2065</v>
      </c>
      <c r="BF54" s="1068">
        <f t="shared" si="2"/>
        <v>2066</v>
      </c>
      <c r="BG54" s="1068">
        <f t="shared" si="2"/>
        <v>2067</v>
      </c>
      <c r="BH54" s="1068">
        <f t="shared" si="2"/>
        <v>2068</v>
      </c>
      <c r="BI54" s="1169" t="s">
        <v>4</v>
      </c>
      <c r="BJ54" s="96"/>
      <c r="BK54" s="96"/>
      <c r="BL54" s="96"/>
      <c r="BM54" s="96"/>
      <c r="BN54" s="96"/>
      <c r="BO54" s="96"/>
    </row>
    <row r="55" spans="2:67" ht="12.75">
      <c r="C55" s="1170" t="s">
        <v>277</v>
      </c>
      <c r="D55" s="1028" t="s">
        <v>274</v>
      </c>
      <c r="E55" s="96" t="s">
        <v>264</v>
      </c>
      <c r="F55" s="1171">
        <v>0</v>
      </c>
      <c r="G55" s="1171">
        <f>IF(AND(G54&gt;=$D$31,G54&lt;=($D$31+$D$32)),-PMT(0.05,$D$32,$D$30),0)</f>
        <v>0</v>
      </c>
      <c r="H55" s="1171">
        <f t="shared" ref="H55:BH55" si="3">IF(AND(H54&gt;=$D$31,H54&lt;=($D$31+$D$32)),-PMT(0.05,$D$32,$D$30),0)</f>
        <v>0</v>
      </c>
      <c r="I55" s="1171">
        <f t="shared" si="3"/>
        <v>0</v>
      </c>
      <c r="J55" s="1171">
        <f t="shared" si="3"/>
        <v>0</v>
      </c>
      <c r="K55" s="1171">
        <f t="shared" si="3"/>
        <v>0</v>
      </c>
      <c r="L55" s="1171">
        <f t="shared" si="3"/>
        <v>0</v>
      </c>
      <c r="M55" s="1171">
        <f t="shared" si="3"/>
        <v>0</v>
      </c>
      <c r="N55" s="1171">
        <f t="shared" si="3"/>
        <v>0</v>
      </c>
      <c r="O55" s="1171">
        <f t="shared" si="3"/>
        <v>0</v>
      </c>
      <c r="P55" s="1171">
        <f t="shared" si="3"/>
        <v>0</v>
      </c>
      <c r="Q55" s="1171">
        <f t="shared" si="3"/>
        <v>0</v>
      </c>
      <c r="R55" s="1171">
        <f t="shared" si="3"/>
        <v>0</v>
      </c>
      <c r="S55" s="1171">
        <f t="shared" si="3"/>
        <v>0</v>
      </c>
      <c r="T55" s="1171">
        <f t="shared" si="3"/>
        <v>0</v>
      </c>
      <c r="U55" s="1171">
        <f t="shared" si="3"/>
        <v>0</v>
      </c>
      <c r="V55" s="1171">
        <f t="shared" si="3"/>
        <v>0</v>
      </c>
      <c r="W55" s="1171">
        <f t="shared" si="3"/>
        <v>0</v>
      </c>
      <c r="X55" s="1171">
        <f t="shared" si="3"/>
        <v>0</v>
      </c>
      <c r="Y55" s="1171">
        <f t="shared" si="3"/>
        <v>0</v>
      </c>
      <c r="Z55" s="1171">
        <f t="shared" si="3"/>
        <v>0</v>
      </c>
      <c r="AA55" s="1171">
        <f t="shared" si="3"/>
        <v>0</v>
      </c>
      <c r="AB55" s="1171">
        <f t="shared" si="3"/>
        <v>0</v>
      </c>
      <c r="AC55" s="1171">
        <f t="shared" si="3"/>
        <v>0</v>
      </c>
      <c r="AD55" s="1171">
        <f t="shared" si="3"/>
        <v>0</v>
      </c>
      <c r="AE55" s="1171">
        <f t="shared" si="3"/>
        <v>0</v>
      </c>
      <c r="AF55" s="1171">
        <f t="shared" si="3"/>
        <v>0</v>
      </c>
      <c r="AG55" s="1171">
        <f t="shared" si="3"/>
        <v>0</v>
      </c>
      <c r="AH55" s="1171">
        <f t="shared" si="3"/>
        <v>0</v>
      </c>
      <c r="AI55" s="1171">
        <f t="shared" si="3"/>
        <v>0</v>
      </c>
      <c r="AJ55" s="1171">
        <f t="shared" si="3"/>
        <v>0</v>
      </c>
      <c r="AK55" s="1171">
        <f t="shared" si="3"/>
        <v>0</v>
      </c>
      <c r="AL55" s="1171">
        <f t="shared" si="3"/>
        <v>0</v>
      </c>
      <c r="AM55" s="1171">
        <f t="shared" si="3"/>
        <v>0</v>
      </c>
      <c r="AN55" s="1171">
        <f t="shared" si="3"/>
        <v>0</v>
      </c>
      <c r="AO55" s="1171">
        <f t="shared" si="3"/>
        <v>0</v>
      </c>
      <c r="AP55" s="1171">
        <f t="shared" si="3"/>
        <v>0</v>
      </c>
      <c r="AQ55" s="1171">
        <f t="shared" si="3"/>
        <v>0</v>
      </c>
      <c r="AR55" s="1171">
        <f t="shared" si="3"/>
        <v>0</v>
      </c>
      <c r="AS55" s="1171">
        <f t="shared" si="3"/>
        <v>0</v>
      </c>
      <c r="AT55" s="1171">
        <f t="shared" si="3"/>
        <v>0</v>
      </c>
      <c r="AU55" s="1171">
        <f t="shared" si="3"/>
        <v>0</v>
      </c>
      <c r="AV55" s="1171">
        <f t="shared" si="3"/>
        <v>0</v>
      </c>
      <c r="AW55" s="1171">
        <f t="shared" si="3"/>
        <v>0</v>
      </c>
      <c r="AX55" s="1171">
        <f t="shared" si="3"/>
        <v>0</v>
      </c>
      <c r="AY55" s="1171">
        <f t="shared" si="3"/>
        <v>0</v>
      </c>
      <c r="AZ55" s="1171">
        <f t="shared" si="3"/>
        <v>0</v>
      </c>
      <c r="BA55" s="1171">
        <f t="shared" si="3"/>
        <v>0</v>
      </c>
      <c r="BB55" s="1171">
        <f t="shared" si="3"/>
        <v>0</v>
      </c>
      <c r="BC55" s="1171">
        <f t="shared" si="3"/>
        <v>0</v>
      </c>
      <c r="BD55" s="1171">
        <f t="shared" si="3"/>
        <v>0</v>
      </c>
      <c r="BE55" s="1171">
        <f t="shared" si="3"/>
        <v>0</v>
      </c>
      <c r="BF55" s="1171">
        <f t="shared" si="3"/>
        <v>0</v>
      </c>
      <c r="BG55" s="1171">
        <f t="shared" si="3"/>
        <v>0</v>
      </c>
      <c r="BH55" s="1171">
        <f t="shared" si="3"/>
        <v>0</v>
      </c>
      <c r="BI55" s="1172">
        <f>NPV($D$49,F55:BH55)</f>
        <v>0</v>
      </c>
      <c r="BJ55" s="96"/>
      <c r="BK55" s="1171"/>
      <c r="BL55" s="1171"/>
      <c r="BM55" s="96"/>
      <c r="BN55" s="96"/>
      <c r="BO55" s="96"/>
    </row>
    <row r="56" spans="2:67" ht="12.75">
      <c r="C56" s="1170"/>
      <c r="D56" s="1028"/>
      <c r="E56" s="96"/>
      <c r="F56" s="1173"/>
      <c r="G56" s="1173"/>
      <c r="H56" s="1173"/>
      <c r="I56" s="1173"/>
      <c r="J56" s="1173"/>
      <c r="K56" s="1173"/>
      <c r="L56" s="1173"/>
      <c r="M56" s="1173"/>
      <c r="N56" s="1173"/>
      <c r="O56" s="1173"/>
      <c r="P56" s="1173"/>
      <c r="Q56" s="1173"/>
      <c r="R56" s="1173"/>
      <c r="S56" s="1173"/>
      <c r="T56" s="1173"/>
      <c r="U56" s="1173"/>
      <c r="V56" s="1173"/>
      <c r="W56" s="1173"/>
      <c r="X56" s="1173"/>
      <c r="Y56" s="1173"/>
      <c r="Z56" s="1173"/>
      <c r="AA56" s="1173"/>
      <c r="AB56" s="1173"/>
      <c r="AC56" s="1173"/>
      <c r="AD56" s="1173"/>
      <c r="AE56" s="1173"/>
      <c r="AF56" s="1173"/>
      <c r="AG56" s="1173"/>
      <c r="AH56" s="1173"/>
      <c r="AI56" s="1173"/>
      <c r="AJ56" s="1173"/>
      <c r="AK56" s="1173"/>
      <c r="AL56" s="1173"/>
      <c r="AM56" s="1173"/>
      <c r="AN56" s="1173"/>
      <c r="AO56" s="1173"/>
      <c r="AP56" s="1173"/>
      <c r="AQ56" s="1173"/>
      <c r="AR56" s="1173"/>
      <c r="AS56" s="1173"/>
      <c r="AT56" s="1173"/>
      <c r="AU56" s="1173"/>
      <c r="AV56" s="1173"/>
      <c r="AW56" s="1173"/>
      <c r="AX56" s="1173"/>
      <c r="AY56" s="1173"/>
      <c r="AZ56" s="1173"/>
      <c r="BA56" s="1173"/>
      <c r="BB56" s="1173"/>
      <c r="BC56" s="1173"/>
      <c r="BD56" s="1173"/>
      <c r="BE56" s="1173"/>
      <c r="BF56" s="1173"/>
      <c r="BG56" s="1173"/>
      <c r="BH56" s="1173"/>
      <c r="BI56" s="1172"/>
      <c r="BJ56" s="96"/>
      <c r="BK56" s="96"/>
      <c r="BL56" s="96"/>
      <c r="BM56" s="96"/>
      <c r="BN56" s="96"/>
      <c r="BO56" s="96"/>
    </row>
    <row r="57" spans="2:67" ht="12.75">
      <c r="C57" s="1174"/>
      <c r="D57" s="467" t="s">
        <v>1213</v>
      </c>
      <c r="E57" s="96" t="s">
        <v>264</v>
      </c>
      <c r="F57" s="1176">
        <f>IF(AND(F54&gt;=$D$31,F54&lt;=($D$31+$D$32)),$P$19,0)</f>
        <v>0</v>
      </c>
      <c r="G57" s="1176">
        <f>IF(AND(G54&gt;=$D$31,G54&lt;=($D$31+$D$32)),$P$19,0)</f>
        <v>0</v>
      </c>
      <c r="H57" s="1176">
        <f t="shared" ref="H57:AA57" si="4">IF(AND(H54&gt;=$D$31,H54&lt;=($D$31+$D$32)),$P$19,0)</f>
        <v>0</v>
      </c>
      <c r="I57" s="1176">
        <f t="shared" si="4"/>
        <v>0</v>
      </c>
      <c r="J57" s="1176">
        <f t="shared" si="4"/>
        <v>0</v>
      </c>
      <c r="K57" s="1176">
        <f t="shared" si="4"/>
        <v>0</v>
      </c>
      <c r="L57" s="1176">
        <f t="shared" si="4"/>
        <v>0</v>
      </c>
      <c r="M57" s="1176">
        <f t="shared" si="4"/>
        <v>0</v>
      </c>
      <c r="N57" s="1176">
        <f t="shared" si="4"/>
        <v>0</v>
      </c>
      <c r="O57" s="1176">
        <f t="shared" si="4"/>
        <v>0</v>
      </c>
      <c r="P57" s="1176">
        <f t="shared" si="4"/>
        <v>0</v>
      </c>
      <c r="Q57" s="1176">
        <f t="shared" si="4"/>
        <v>0</v>
      </c>
      <c r="R57" s="1176">
        <f t="shared" si="4"/>
        <v>0</v>
      </c>
      <c r="S57" s="1176">
        <f t="shared" si="4"/>
        <v>0</v>
      </c>
      <c r="T57" s="1176">
        <f t="shared" si="4"/>
        <v>0</v>
      </c>
      <c r="U57" s="1176">
        <f t="shared" si="4"/>
        <v>0</v>
      </c>
      <c r="V57" s="1176">
        <f t="shared" si="4"/>
        <v>0</v>
      </c>
      <c r="W57" s="1176">
        <f t="shared" si="4"/>
        <v>0</v>
      </c>
      <c r="X57" s="1176">
        <f t="shared" si="4"/>
        <v>0</v>
      </c>
      <c r="Y57" s="1176">
        <f t="shared" si="4"/>
        <v>0</v>
      </c>
      <c r="Z57" s="1176">
        <f t="shared" si="4"/>
        <v>0</v>
      </c>
      <c r="AA57" s="1176">
        <f t="shared" si="4"/>
        <v>0</v>
      </c>
      <c r="AB57" s="1176">
        <f t="shared" ref="AB57:BH57" si="5">IF(AND(AB54&gt;=$D$31,AB54&lt;=($D$31+$D$32)),$P$19,0)</f>
        <v>0</v>
      </c>
      <c r="AC57" s="1176">
        <f t="shared" si="5"/>
        <v>0</v>
      </c>
      <c r="AD57" s="1176">
        <f t="shared" si="5"/>
        <v>0</v>
      </c>
      <c r="AE57" s="1176">
        <f t="shared" si="5"/>
        <v>0</v>
      </c>
      <c r="AF57" s="1176">
        <f t="shared" si="5"/>
        <v>0</v>
      </c>
      <c r="AG57" s="1176">
        <f t="shared" si="5"/>
        <v>0</v>
      </c>
      <c r="AH57" s="1176">
        <f t="shared" si="5"/>
        <v>0</v>
      </c>
      <c r="AI57" s="1176">
        <f t="shared" si="5"/>
        <v>0</v>
      </c>
      <c r="AJ57" s="1176">
        <f t="shared" si="5"/>
        <v>0</v>
      </c>
      <c r="AK57" s="1176">
        <f t="shared" si="5"/>
        <v>0</v>
      </c>
      <c r="AL57" s="1176">
        <f t="shared" si="5"/>
        <v>0</v>
      </c>
      <c r="AM57" s="1176">
        <f t="shared" si="5"/>
        <v>0</v>
      </c>
      <c r="AN57" s="1176">
        <f t="shared" si="5"/>
        <v>0</v>
      </c>
      <c r="AO57" s="1176">
        <f t="shared" si="5"/>
        <v>0</v>
      </c>
      <c r="AP57" s="1176">
        <f t="shared" si="5"/>
        <v>0</v>
      </c>
      <c r="AQ57" s="1176">
        <f t="shared" si="5"/>
        <v>0</v>
      </c>
      <c r="AR57" s="1176">
        <f t="shared" si="5"/>
        <v>0</v>
      </c>
      <c r="AS57" s="1176">
        <f t="shared" si="5"/>
        <v>0</v>
      </c>
      <c r="AT57" s="1176">
        <f t="shared" si="5"/>
        <v>0</v>
      </c>
      <c r="AU57" s="1176">
        <f t="shared" si="5"/>
        <v>0</v>
      </c>
      <c r="AV57" s="1176">
        <f t="shared" si="5"/>
        <v>0</v>
      </c>
      <c r="AW57" s="1176">
        <f t="shared" si="5"/>
        <v>0</v>
      </c>
      <c r="AX57" s="1176">
        <f t="shared" si="5"/>
        <v>0</v>
      </c>
      <c r="AY57" s="1176">
        <f t="shared" si="5"/>
        <v>0</v>
      </c>
      <c r="AZ57" s="1176">
        <f t="shared" si="5"/>
        <v>0</v>
      </c>
      <c r="BA57" s="1176">
        <f t="shared" si="5"/>
        <v>0</v>
      </c>
      <c r="BB57" s="1176">
        <f t="shared" si="5"/>
        <v>0</v>
      </c>
      <c r="BC57" s="1176">
        <f t="shared" si="5"/>
        <v>0</v>
      </c>
      <c r="BD57" s="1176">
        <f t="shared" si="5"/>
        <v>0</v>
      </c>
      <c r="BE57" s="1176">
        <f t="shared" si="5"/>
        <v>0</v>
      </c>
      <c r="BF57" s="1176">
        <f t="shared" si="5"/>
        <v>0</v>
      </c>
      <c r="BG57" s="1176">
        <f t="shared" si="5"/>
        <v>0</v>
      </c>
      <c r="BH57" s="1176">
        <f t="shared" si="5"/>
        <v>0</v>
      </c>
      <c r="BI57" s="1172">
        <f>NPV($D$49,F57:BH57)</f>
        <v>0</v>
      </c>
      <c r="BJ57" s="96"/>
      <c r="BK57" s="96"/>
      <c r="BL57" s="96"/>
      <c r="BM57" s="96"/>
      <c r="BN57" s="96"/>
      <c r="BO57" s="96"/>
    </row>
    <row r="58" spans="2:67" ht="12.75">
      <c r="C58" s="1174"/>
      <c r="D58" s="467"/>
      <c r="E58" s="96"/>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2">
        <f>NPV($D$49,F58:BH58)</f>
        <v>0</v>
      </c>
      <c r="BJ58" s="96"/>
      <c r="BK58" s="96"/>
      <c r="BL58" s="96"/>
      <c r="BM58" s="96"/>
      <c r="BN58" s="96"/>
      <c r="BO58" s="96"/>
    </row>
    <row r="59" spans="2:67" ht="12.75">
      <c r="C59" s="1174"/>
      <c r="D59" s="1177" t="s">
        <v>1214</v>
      </c>
      <c r="E59" s="12" t="s">
        <v>264</v>
      </c>
      <c r="F59" s="1175">
        <f t="shared" ref="F59:AA59" si="6">F57+F58</f>
        <v>0</v>
      </c>
      <c r="G59" s="1175">
        <f t="shared" si="6"/>
        <v>0</v>
      </c>
      <c r="H59" s="1175">
        <f t="shared" si="6"/>
        <v>0</v>
      </c>
      <c r="I59" s="1175">
        <f t="shared" si="6"/>
        <v>0</v>
      </c>
      <c r="J59" s="1175">
        <f t="shared" si="6"/>
        <v>0</v>
      </c>
      <c r="K59" s="1175">
        <f t="shared" si="6"/>
        <v>0</v>
      </c>
      <c r="L59" s="1175">
        <f t="shared" si="6"/>
        <v>0</v>
      </c>
      <c r="M59" s="1175">
        <f t="shared" si="6"/>
        <v>0</v>
      </c>
      <c r="N59" s="1175">
        <f t="shared" si="6"/>
        <v>0</v>
      </c>
      <c r="O59" s="1175">
        <f t="shared" si="6"/>
        <v>0</v>
      </c>
      <c r="P59" s="1175">
        <f t="shared" si="6"/>
        <v>0</v>
      </c>
      <c r="Q59" s="1175">
        <f t="shared" si="6"/>
        <v>0</v>
      </c>
      <c r="R59" s="1175">
        <f t="shared" si="6"/>
        <v>0</v>
      </c>
      <c r="S59" s="1175">
        <f t="shared" si="6"/>
        <v>0</v>
      </c>
      <c r="T59" s="1175">
        <f t="shared" si="6"/>
        <v>0</v>
      </c>
      <c r="U59" s="1175">
        <f t="shared" si="6"/>
        <v>0</v>
      </c>
      <c r="V59" s="1175">
        <f t="shared" si="6"/>
        <v>0</v>
      </c>
      <c r="W59" s="1175">
        <f t="shared" si="6"/>
        <v>0</v>
      </c>
      <c r="X59" s="1175">
        <f t="shared" si="6"/>
        <v>0</v>
      </c>
      <c r="Y59" s="1175">
        <f t="shared" si="6"/>
        <v>0</v>
      </c>
      <c r="Z59" s="1175">
        <f t="shared" si="6"/>
        <v>0</v>
      </c>
      <c r="AA59" s="1175">
        <f t="shared" si="6"/>
        <v>0</v>
      </c>
      <c r="AB59" s="1175">
        <f t="shared" ref="AB59:BH59" si="7">AB57+AB58</f>
        <v>0</v>
      </c>
      <c r="AC59" s="1175">
        <f t="shared" si="7"/>
        <v>0</v>
      </c>
      <c r="AD59" s="1175">
        <f t="shared" si="7"/>
        <v>0</v>
      </c>
      <c r="AE59" s="1175">
        <f t="shared" si="7"/>
        <v>0</v>
      </c>
      <c r="AF59" s="1175">
        <f t="shared" si="7"/>
        <v>0</v>
      </c>
      <c r="AG59" s="1175">
        <f t="shared" si="7"/>
        <v>0</v>
      </c>
      <c r="AH59" s="1175">
        <f t="shared" si="7"/>
        <v>0</v>
      </c>
      <c r="AI59" s="1175">
        <f t="shared" si="7"/>
        <v>0</v>
      </c>
      <c r="AJ59" s="1175">
        <f t="shared" si="7"/>
        <v>0</v>
      </c>
      <c r="AK59" s="1175">
        <f t="shared" si="7"/>
        <v>0</v>
      </c>
      <c r="AL59" s="1175">
        <f t="shared" si="7"/>
        <v>0</v>
      </c>
      <c r="AM59" s="1175">
        <f t="shared" si="7"/>
        <v>0</v>
      </c>
      <c r="AN59" s="1175">
        <f t="shared" si="7"/>
        <v>0</v>
      </c>
      <c r="AO59" s="1175">
        <f t="shared" si="7"/>
        <v>0</v>
      </c>
      <c r="AP59" s="1175">
        <f t="shared" si="7"/>
        <v>0</v>
      </c>
      <c r="AQ59" s="1175">
        <f t="shared" si="7"/>
        <v>0</v>
      </c>
      <c r="AR59" s="1175">
        <f t="shared" si="7"/>
        <v>0</v>
      </c>
      <c r="AS59" s="1175">
        <f t="shared" si="7"/>
        <v>0</v>
      </c>
      <c r="AT59" s="1175">
        <f t="shared" si="7"/>
        <v>0</v>
      </c>
      <c r="AU59" s="1175">
        <f t="shared" si="7"/>
        <v>0</v>
      </c>
      <c r="AV59" s="1175">
        <f t="shared" si="7"/>
        <v>0</v>
      </c>
      <c r="AW59" s="1175">
        <f t="shared" si="7"/>
        <v>0</v>
      </c>
      <c r="AX59" s="1175">
        <f t="shared" si="7"/>
        <v>0</v>
      </c>
      <c r="AY59" s="1175">
        <f t="shared" si="7"/>
        <v>0</v>
      </c>
      <c r="AZ59" s="1175">
        <f t="shared" si="7"/>
        <v>0</v>
      </c>
      <c r="BA59" s="1175">
        <f t="shared" si="7"/>
        <v>0</v>
      </c>
      <c r="BB59" s="1175">
        <f t="shared" si="7"/>
        <v>0</v>
      </c>
      <c r="BC59" s="1175">
        <f t="shared" si="7"/>
        <v>0</v>
      </c>
      <c r="BD59" s="1175">
        <f t="shared" si="7"/>
        <v>0</v>
      </c>
      <c r="BE59" s="1175">
        <f t="shared" si="7"/>
        <v>0</v>
      </c>
      <c r="BF59" s="1175">
        <f t="shared" si="7"/>
        <v>0</v>
      </c>
      <c r="BG59" s="1175">
        <f t="shared" si="7"/>
        <v>0</v>
      </c>
      <c r="BH59" s="1175">
        <f t="shared" si="7"/>
        <v>0</v>
      </c>
      <c r="BI59" s="1172">
        <f>NPV($D$49,F59:BH59)</f>
        <v>0</v>
      </c>
      <c r="BJ59" s="96"/>
      <c r="BK59" s="96"/>
      <c r="BL59" s="96"/>
      <c r="BM59" s="96"/>
      <c r="BN59" s="96"/>
      <c r="BO59" s="96"/>
    </row>
    <row r="60" spans="2:67" ht="12.75">
      <c r="C60" s="1174"/>
      <c r="D60" s="467"/>
      <c r="E60" s="467"/>
      <c r="F60" s="1016"/>
      <c r="G60" s="467"/>
      <c r="H60" s="467"/>
      <c r="I60" s="467"/>
      <c r="J60" s="467"/>
      <c r="K60" s="467"/>
      <c r="L60" s="467"/>
      <c r="M60" s="467"/>
      <c r="N60" s="467"/>
      <c r="O60" s="467"/>
      <c r="P60" s="467"/>
      <c r="Q60" s="467"/>
      <c r="R60" s="467"/>
      <c r="BJ60" s="96"/>
      <c r="BK60" s="96"/>
      <c r="BL60" s="96"/>
      <c r="BM60" s="96"/>
      <c r="BN60" s="96"/>
      <c r="BO60" s="96"/>
    </row>
    <row r="61" spans="2:67" ht="12.75">
      <c r="C61" s="1174"/>
      <c r="D61" s="467"/>
      <c r="E61" s="467"/>
      <c r="F61" s="1016"/>
      <c r="G61" s="467"/>
      <c r="H61" s="467"/>
      <c r="I61" s="467"/>
      <c r="J61" s="467"/>
      <c r="K61" s="467"/>
      <c r="L61" s="467"/>
      <c r="M61" s="467"/>
      <c r="N61" s="467"/>
      <c r="O61" s="467"/>
      <c r="P61" s="467"/>
      <c r="Q61" s="467"/>
      <c r="R61" s="467"/>
      <c r="BJ61" s="96"/>
      <c r="BK61" s="96"/>
      <c r="BL61" s="96"/>
      <c r="BM61" s="96"/>
      <c r="BN61" s="96"/>
      <c r="BO61" s="96"/>
    </row>
    <row r="62" spans="2:67" ht="12.75">
      <c r="C62" s="1178"/>
      <c r="D62" s="1179" t="s">
        <v>289</v>
      </c>
      <c r="E62" s="1180" t="s">
        <v>264</v>
      </c>
      <c r="F62" s="1181">
        <f t="shared" ref="F62:BH62" si="8">F59-F55</f>
        <v>0</v>
      </c>
      <c r="G62" s="1181">
        <f t="shared" si="8"/>
        <v>0</v>
      </c>
      <c r="H62" s="1181">
        <f t="shared" si="8"/>
        <v>0</v>
      </c>
      <c r="I62" s="1181">
        <f t="shared" si="8"/>
        <v>0</v>
      </c>
      <c r="J62" s="1181">
        <f t="shared" si="8"/>
        <v>0</v>
      </c>
      <c r="K62" s="1181">
        <f t="shared" si="8"/>
        <v>0</v>
      </c>
      <c r="L62" s="1181">
        <f t="shared" si="8"/>
        <v>0</v>
      </c>
      <c r="M62" s="1181">
        <f t="shared" si="8"/>
        <v>0</v>
      </c>
      <c r="N62" s="1181">
        <f t="shared" si="8"/>
        <v>0</v>
      </c>
      <c r="O62" s="1181">
        <f t="shared" si="8"/>
        <v>0</v>
      </c>
      <c r="P62" s="1181">
        <f t="shared" si="8"/>
        <v>0</v>
      </c>
      <c r="Q62" s="1181">
        <f t="shared" si="8"/>
        <v>0</v>
      </c>
      <c r="R62" s="1181">
        <f t="shared" si="8"/>
        <v>0</v>
      </c>
      <c r="S62" s="1182">
        <f t="shared" si="8"/>
        <v>0</v>
      </c>
      <c r="T62" s="1182">
        <f t="shared" si="8"/>
        <v>0</v>
      </c>
      <c r="U62" s="1182">
        <f t="shared" si="8"/>
        <v>0</v>
      </c>
      <c r="V62" s="1182">
        <f t="shared" si="8"/>
        <v>0</v>
      </c>
      <c r="W62" s="1182">
        <f t="shared" si="8"/>
        <v>0</v>
      </c>
      <c r="X62" s="1182">
        <f t="shared" si="8"/>
        <v>0</v>
      </c>
      <c r="Y62" s="1182">
        <f t="shared" si="8"/>
        <v>0</v>
      </c>
      <c r="Z62" s="1182">
        <f t="shared" si="8"/>
        <v>0</v>
      </c>
      <c r="AA62" s="1182">
        <f t="shared" si="8"/>
        <v>0</v>
      </c>
      <c r="AB62" s="1182">
        <f t="shared" si="8"/>
        <v>0</v>
      </c>
      <c r="AC62" s="1182">
        <f t="shared" si="8"/>
        <v>0</v>
      </c>
      <c r="AD62" s="1182">
        <f t="shared" si="8"/>
        <v>0</v>
      </c>
      <c r="AE62" s="1182">
        <f t="shared" si="8"/>
        <v>0</v>
      </c>
      <c r="AF62" s="1182">
        <f t="shared" si="8"/>
        <v>0</v>
      </c>
      <c r="AG62" s="1182">
        <f t="shared" si="8"/>
        <v>0</v>
      </c>
      <c r="AH62" s="1182">
        <f t="shared" si="8"/>
        <v>0</v>
      </c>
      <c r="AI62" s="1182">
        <f t="shared" si="8"/>
        <v>0</v>
      </c>
      <c r="AJ62" s="1182">
        <f t="shared" si="8"/>
        <v>0</v>
      </c>
      <c r="AK62" s="1182">
        <f t="shared" si="8"/>
        <v>0</v>
      </c>
      <c r="AL62" s="1182">
        <f t="shared" si="8"/>
        <v>0</v>
      </c>
      <c r="AM62" s="1182">
        <f t="shared" si="8"/>
        <v>0</v>
      </c>
      <c r="AN62" s="1182">
        <f t="shared" si="8"/>
        <v>0</v>
      </c>
      <c r="AO62" s="1182">
        <f t="shared" si="8"/>
        <v>0</v>
      </c>
      <c r="AP62" s="1182">
        <f t="shared" si="8"/>
        <v>0</v>
      </c>
      <c r="AQ62" s="1182">
        <f t="shared" si="8"/>
        <v>0</v>
      </c>
      <c r="AR62" s="1182">
        <f t="shared" si="8"/>
        <v>0</v>
      </c>
      <c r="AS62" s="1182">
        <f t="shared" si="8"/>
        <v>0</v>
      </c>
      <c r="AT62" s="1182">
        <f t="shared" si="8"/>
        <v>0</v>
      </c>
      <c r="AU62" s="1182">
        <f t="shared" si="8"/>
        <v>0</v>
      </c>
      <c r="AV62" s="1182">
        <f t="shared" si="8"/>
        <v>0</v>
      </c>
      <c r="AW62" s="1182">
        <f t="shared" si="8"/>
        <v>0</v>
      </c>
      <c r="AX62" s="1182">
        <f t="shared" si="8"/>
        <v>0</v>
      </c>
      <c r="AY62" s="1182">
        <f t="shared" si="8"/>
        <v>0</v>
      </c>
      <c r="AZ62" s="1182">
        <f t="shared" si="8"/>
        <v>0</v>
      </c>
      <c r="BA62" s="1182">
        <f t="shared" si="8"/>
        <v>0</v>
      </c>
      <c r="BB62" s="1182">
        <f t="shared" si="8"/>
        <v>0</v>
      </c>
      <c r="BC62" s="1182">
        <f t="shared" si="8"/>
        <v>0</v>
      </c>
      <c r="BD62" s="1182">
        <f t="shared" si="8"/>
        <v>0</v>
      </c>
      <c r="BE62" s="1182">
        <f t="shared" si="8"/>
        <v>0</v>
      </c>
      <c r="BF62" s="1182">
        <f t="shared" si="8"/>
        <v>0</v>
      </c>
      <c r="BG62" s="1182">
        <f t="shared" si="8"/>
        <v>0</v>
      </c>
      <c r="BH62" s="1182">
        <f t="shared" si="8"/>
        <v>0</v>
      </c>
      <c r="BI62" s="1172">
        <f>NPV($D$49,F62:BH62)</f>
        <v>0</v>
      </c>
      <c r="BJ62" s="96"/>
      <c r="BK62" s="96"/>
      <c r="BL62" s="96"/>
      <c r="BM62" s="96"/>
      <c r="BN62" s="96"/>
      <c r="BO62" s="96"/>
    </row>
    <row r="63" spans="2:67" ht="12.75">
      <c r="C63" s="1183"/>
      <c r="D63" s="467"/>
      <c r="E63" s="467"/>
      <c r="F63" s="467"/>
      <c r="G63" s="467"/>
      <c r="H63" s="467"/>
      <c r="I63" s="467"/>
      <c r="J63" s="467"/>
      <c r="K63" s="467"/>
      <c r="L63" s="467"/>
      <c r="M63" s="467"/>
      <c r="N63" s="467"/>
      <c r="O63" s="467"/>
      <c r="P63" s="467"/>
      <c r="Q63" s="467"/>
      <c r="R63" s="467"/>
      <c r="BJ63" s="96"/>
      <c r="BK63" s="96"/>
      <c r="BL63" s="96"/>
      <c r="BM63" s="96"/>
      <c r="BN63" s="96"/>
      <c r="BO63" s="96"/>
    </row>
    <row r="64" spans="2:67" ht="12.75">
      <c r="C64" s="1164"/>
      <c r="D64" s="96"/>
      <c r="E64" s="96"/>
      <c r="F64" s="1184"/>
      <c r="G64" s="1184"/>
      <c r="H64" s="1184"/>
      <c r="I64" s="1184"/>
      <c r="J64" s="1184"/>
      <c r="K64" s="1184"/>
      <c r="L64" s="1184"/>
      <c r="M64" s="1184"/>
      <c r="N64" s="1184"/>
      <c r="O64" s="1184"/>
      <c r="P64" s="1184"/>
      <c r="Q64" s="1184"/>
      <c r="R64" s="1184"/>
      <c r="S64" s="1184"/>
      <c r="T64" s="1184"/>
      <c r="U64" s="1184"/>
      <c r="V64" s="1184"/>
      <c r="W64" s="1184"/>
      <c r="X64" s="1184"/>
      <c r="Y64" s="1184"/>
      <c r="Z64" s="1184"/>
      <c r="AA64" s="1184"/>
      <c r="AB64" s="1184"/>
      <c r="AC64" s="1184"/>
      <c r="AD64" s="1184"/>
      <c r="AE64" s="1184"/>
      <c r="AF64" s="1184"/>
      <c r="AG64" s="1184"/>
      <c r="AH64" s="1184"/>
      <c r="AI64" s="1184"/>
      <c r="AJ64" s="1184"/>
      <c r="AK64" s="1184"/>
      <c r="AL64" s="1184"/>
      <c r="AM64" s="1184"/>
      <c r="AN64" s="1184"/>
      <c r="AO64" s="1184"/>
      <c r="AP64" s="1184"/>
      <c r="AQ64" s="1184"/>
      <c r="AR64" s="1184"/>
      <c r="AS64" s="1184"/>
      <c r="AT64" s="1184"/>
      <c r="AU64" s="1184"/>
      <c r="AV64" s="1184"/>
      <c r="AW64" s="1184"/>
      <c r="AX64" s="1184"/>
      <c r="AY64" s="1184"/>
      <c r="AZ64" s="1184"/>
      <c r="BA64" s="1184"/>
      <c r="BB64" s="1184"/>
      <c r="BC64" s="1184"/>
      <c r="BD64" s="1184"/>
      <c r="BE64" s="1184"/>
      <c r="BF64" s="1184"/>
      <c r="BG64" s="1184"/>
      <c r="BH64" s="1184"/>
      <c r="BI64" s="1172"/>
      <c r="BJ64" s="96"/>
      <c r="BK64" s="96"/>
      <c r="BL64" s="96"/>
      <c r="BM64" s="96"/>
      <c r="BN64" s="96"/>
      <c r="BO64" s="96"/>
    </row>
    <row r="65" spans="3:70" ht="12.75">
      <c r="C65" s="1183"/>
      <c r="D65" s="467"/>
      <c r="E65" s="467"/>
      <c r="F65" s="467"/>
      <c r="G65" s="467"/>
      <c r="H65" s="467"/>
      <c r="I65" s="467"/>
      <c r="J65" s="467"/>
      <c r="K65" s="467"/>
      <c r="L65" s="467"/>
      <c r="M65" s="467"/>
      <c r="N65" s="467"/>
      <c r="O65" s="467"/>
      <c r="P65" s="467"/>
      <c r="Q65" s="467"/>
      <c r="R65" s="467"/>
      <c r="BO65" s="467"/>
      <c r="BP65" s="96"/>
      <c r="BQ65" s="96"/>
      <c r="BR65" s="96"/>
    </row>
    <row r="66" spans="3:70" ht="12.75">
      <c r="C66" s="1183"/>
      <c r="D66" s="467"/>
      <c r="E66" s="467"/>
      <c r="F66" s="467"/>
      <c r="G66" s="467"/>
      <c r="H66" s="467"/>
      <c r="I66" s="467"/>
      <c r="J66" s="467"/>
      <c r="K66" s="467"/>
      <c r="L66" s="467"/>
      <c r="M66" s="467"/>
      <c r="N66" s="467"/>
      <c r="O66" s="467"/>
      <c r="P66" s="467"/>
      <c r="Q66" s="467"/>
      <c r="R66" s="467"/>
      <c r="BO66" s="467"/>
      <c r="BP66" s="96"/>
      <c r="BQ66" s="96"/>
      <c r="BR66" s="96"/>
    </row>
    <row r="67" spans="3:70" ht="12.75">
      <c r="C67" s="1183"/>
      <c r="D67" s="467"/>
      <c r="E67" s="467"/>
      <c r="F67" s="467"/>
      <c r="G67" s="467"/>
      <c r="H67" s="467"/>
      <c r="I67" s="467"/>
      <c r="J67" s="467"/>
      <c r="K67" s="467"/>
      <c r="L67" s="467"/>
      <c r="M67" s="467"/>
      <c r="N67" s="467"/>
      <c r="O67" s="467"/>
      <c r="P67" s="467"/>
      <c r="Q67" s="467"/>
      <c r="R67" s="467"/>
      <c r="BO67" s="467"/>
      <c r="BP67" s="96"/>
      <c r="BQ67" s="96"/>
      <c r="BR67" s="96"/>
    </row>
    <row r="68" spans="3:70" ht="12.75">
      <c r="C68" s="1183"/>
      <c r="D68" s="467"/>
      <c r="E68" s="467"/>
      <c r="F68" s="467"/>
      <c r="G68" s="467"/>
      <c r="H68" s="467"/>
      <c r="I68" s="467"/>
      <c r="J68" s="467"/>
      <c r="K68" s="467"/>
      <c r="L68" s="467"/>
      <c r="M68" s="467"/>
      <c r="N68" s="467"/>
      <c r="O68" s="467"/>
      <c r="P68" s="467"/>
      <c r="Q68" s="467"/>
      <c r="R68" s="467"/>
      <c r="BO68" s="467"/>
      <c r="BP68" s="96"/>
      <c r="BQ68" s="96"/>
      <c r="BR68" s="96"/>
    </row>
    <row r="69" spans="3:70" ht="12.75">
      <c r="C69" s="1183"/>
      <c r="D69" s="467"/>
      <c r="E69" s="467"/>
      <c r="F69" s="467"/>
      <c r="G69" s="467"/>
      <c r="H69" s="467"/>
      <c r="I69" s="467"/>
      <c r="J69" s="467"/>
      <c r="K69" s="467"/>
      <c r="L69" s="467"/>
      <c r="M69" s="467"/>
      <c r="N69" s="467"/>
      <c r="O69" s="467"/>
      <c r="P69" s="467"/>
      <c r="Q69" s="467"/>
      <c r="R69" s="467"/>
      <c r="BO69" s="467"/>
      <c r="BP69" s="96"/>
      <c r="BQ69" s="96"/>
      <c r="BR69" s="96"/>
    </row>
    <row r="70" spans="3:70" ht="12.75">
      <c r="C70" s="1183"/>
      <c r="D70" s="467"/>
      <c r="E70" s="467"/>
      <c r="F70" s="467"/>
      <c r="G70" s="467"/>
      <c r="H70" s="467"/>
      <c r="I70" s="467"/>
      <c r="J70" s="467"/>
      <c r="K70" s="467"/>
      <c r="L70" s="467"/>
      <c r="M70" s="467"/>
      <c r="N70" s="467"/>
      <c r="O70" s="467"/>
      <c r="P70" s="467"/>
      <c r="Q70" s="467"/>
      <c r="R70" s="467"/>
      <c r="BO70" s="467"/>
      <c r="BP70" s="96"/>
      <c r="BQ70" s="96"/>
      <c r="BR70" s="96"/>
    </row>
    <row r="71" spans="3:70" ht="12.75">
      <c r="C71" s="1183"/>
      <c r="D71" s="467"/>
      <c r="E71" s="467"/>
      <c r="F71" s="467"/>
      <c r="G71" s="467"/>
      <c r="H71" s="467"/>
      <c r="I71" s="467"/>
      <c r="J71" s="467"/>
      <c r="K71" s="467"/>
      <c r="L71" s="467"/>
      <c r="M71" s="467"/>
      <c r="N71" s="467"/>
      <c r="O71" s="467"/>
      <c r="P71" s="467"/>
      <c r="Q71" s="467"/>
      <c r="R71" s="467"/>
      <c r="BO71" s="467"/>
      <c r="BP71" s="96"/>
      <c r="BQ71" s="96"/>
      <c r="BR71" s="96"/>
    </row>
    <row r="72" spans="3:70">
      <c r="F72" s="467"/>
      <c r="K72" s="467"/>
      <c r="L72" s="467"/>
      <c r="M72" s="467"/>
      <c r="N72" s="467"/>
      <c r="O72" s="467"/>
      <c r="P72" s="467"/>
      <c r="Q72" s="467"/>
      <c r="R72" s="467"/>
      <c r="BO72" s="467"/>
      <c r="BP72" s="96"/>
      <c r="BQ72" s="96"/>
      <c r="BR72" s="96"/>
    </row>
    <row r="73" spans="3:70">
      <c r="F73" s="467"/>
      <c r="K73" s="467"/>
      <c r="L73" s="467"/>
      <c r="M73" s="467"/>
      <c r="N73" s="467"/>
      <c r="O73" s="467"/>
      <c r="P73" s="467"/>
      <c r="Q73" s="467"/>
      <c r="R73" s="467"/>
      <c r="BO73" s="467"/>
      <c r="BP73" s="96"/>
      <c r="BQ73" s="96"/>
      <c r="BR73" s="96"/>
    </row>
    <row r="74" spans="3:70">
      <c r="F74" s="467"/>
      <c r="K74" s="467"/>
      <c r="L74" s="467"/>
      <c r="M74" s="467"/>
      <c r="N74" s="467"/>
      <c r="O74" s="467"/>
      <c r="P74" s="467"/>
      <c r="Q74" s="467"/>
      <c r="R74" s="467"/>
      <c r="BO74" s="467"/>
      <c r="BP74" s="96"/>
      <c r="BQ74" s="96"/>
      <c r="BR74" s="96"/>
    </row>
    <row r="75" spans="3:70">
      <c r="F75" s="467"/>
      <c r="K75" s="467"/>
      <c r="L75" s="467"/>
      <c r="M75" s="467"/>
      <c r="N75" s="467"/>
      <c r="O75" s="467"/>
      <c r="P75" s="467"/>
      <c r="Q75" s="467"/>
      <c r="R75" s="467"/>
      <c r="BO75" s="467"/>
      <c r="BP75" s="96"/>
      <c r="BQ75" s="96"/>
      <c r="BR75" s="96"/>
    </row>
    <row r="76" spans="3:70">
      <c r="F76" s="467"/>
      <c r="K76" s="467"/>
      <c r="L76" s="467"/>
      <c r="M76" s="467"/>
      <c r="N76" s="467"/>
      <c r="O76" s="467"/>
      <c r="P76" s="467"/>
      <c r="Q76" s="467"/>
      <c r="R76" s="467"/>
      <c r="BO76" s="467"/>
      <c r="BP76" s="96"/>
      <c r="BQ76" s="96"/>
      <c r="BR76" s="96"/>
    </row>
    <row r="77" spans="3:70">
      <c r="F77" s="467"/>
      <c r="K77" s="467"/>
      <c r="L77" s="467"/>
      <c r="M77" s="467"/>
      <c r="N77" s="467"/>
      <c r="O77" s="467"/>
      <c r="P77" s="467"/>
      <c r="Q77" s="467"/>
      <c r="R77" s="467"/>
      <c r="BO77" s="467"/>
      <c r="BP77" s="96"/>
      <c r="BQ77" s="96"/>
      <c r="BR77" s="96"/>
    </row>
    <row r="78" spans="3:70">
      <c r="F78" s="467"/>
      <c r="K78" s="467"/>
      <c r="L78" s="467"/>
      <c r="M78" s="467"/>
      <c r="N78" s="467"/>
      <c r="O78" s="467"/>
      <c r="P78" s="467"/>
      <c r="Q78" s="467"/>
      <c r="R78" s="467"/>
      <c r="BO78" s="467"/>
      <c r="BP78" s="96"/>
      <c r="BQ78" s="96"/>
      <c r="BR78" s="96"/>
    </row>
    <row r="79" spans="3:70">
      <c r="F79" s="467"/>
      <c r="K79" s="467"/>
      <c r="L79" s="467"/>
      <c r="M79" s="467"/>
      <c r="N79" s="467"/>
      <c r="O79" s="467"/>
      <c r="P79" s="467"/>
      <c r="Q79" s="467"/>
      <c r="R79" s="467"/>
      <c r="BO79" s="467"/>
      <c r="BP79" s="96"/>
      <c r="BQ79" s="96"/>
      <c r="BR79" s="96"/>
    </row>
    <row r="80" spans="3:70" ht="12.75">
      <c r="C80" s="1183"/>
      <c r="D80" s="467"/>
      <c r="E80" s="467"/>
      <c r="F80" s="467"/>
      <c r="K80" s="467"/>
      <c r="L80" s="467"/>
      <c r="M80" s="467"/>
      <c r="N80" s="467"/>
      <c r="O80" s="467"/>
      <c r="P80" s="467"/>
      <c r="Q80" s="467"/>
      <c r="R80" s="467"/>
      <c r="BO80" s="467"/>
      <c r="BP80" s="96"/>
      <c r="BQ80" s="96"/>
      <c r="BR80" s="96"/>
    </row>
    <row r="81" spans="3:70" ht="12.75">
      <c r="C81" s="1183"/>
      <c r="D81" s="467"/>
      <c r="E81" s="467"/>
      <c r="F81" s="467"/>
      <c r="K81" s="467"/>
      <c r="L81" s="467"/>
      <c r="M81" s="467"/>
      <c r="N81" s="467"/>
      <c r="O81" s="467"/>
      <c r="P81" s="467"/>
      <c r="Q81" s="467"/>
      <c r="R81" s="467"/>
      <c r="BO81" s="467"/>
      <c r="BP81" s="96"/>
      <c r="BQ81" s="96"/>
      <c r="BR81" s="96"/>
    </row>
    <row r="82" spans="3:70">
      <c r="F82" s="467"/>
      <c r="K82" s="467"/>
      <c r="L82" s="467"/>
      <c r="M82" s="467"/>
      <c r="N82" s="467"/>
      <c r="O82" s="467"/>
      <c r="P82" s="467"/>
      <c r="Q82" s="467"/>
      <c r="R82" s="467"/>
      <c r="BO82" s="467"/>
      <c r="BP82" s="96"/>
      <c r="BQ82" s="96"/>
      <c r="BR82" s="96"/>
    </row>
    <row r="83" spans="3:70">
      <c r="F83" s="467"/>
      <c r="K83" s="467"/>
      <c r="L83" s="467"/>
      <c r="M83" s="467"/>
      <c r="N83" s="467"/>
      <c r="O83" s="467"/>
      <c r="P83" s="467"/>
      <c r="Q83" s="467"/>
      <c r="R83" s="467"/>
      <c r="BO83" s="467"/>
      <c r="BP83" s="96"/>
      <c r="BQ83" s="96"/>
      <c r="BR83" s="96"/>
    </row>
    <row r="84" spans="3:70">
      <c r="F84" s="467"/>
      <c r="K84" s="467"/>
      <c r="L84" s="467"/>
      <c r="M84" s="467"/>
      <c r="N84" s="467"/>
      <c r="O84" s="467"/>
      <c r="P84" s="467"/>
      <c r="Q84" s="467"/>
      <c r="R84" s="467"/>
      <c r="BO84" s="467"/>
      <c r="BP84" s="96"/>
      <c r="BQ84" s="96"/>
      <c r="BR84" s="96"/>
    </row>
    <row r="85" spans="3:70">
      <c r="F85" s="467"/>
      <c r="K85" s="467"/>
      <c r="L85" s="467"/>
      <c r="M85" s="467"/>
      <c r="N85" s="467"/>
      <c r="O85" s="467"/>
      <c r="P85" s="467"/>
      <c r="Q85" s="467"/>
      <c r="R85" s="467"/>
      <c r="BO85" s="467"/>
      <c r="BP85" s="96"/>
      <c r="BQ85" s="96"/>
      <c r="BR85" s="96"/>
    </row>
    <row r="86" spans="3:70">
      <c r="F86" s="467"/>
      <c r="K86" s="467"/>
      <c r="L86" s="467"/>
      <c r="M86" s="467"/>
      <c r="N86" s="467"/>
      <c r="O86" s="467"/>
      <c r="P86" s="467"/>
      <c r="Q86" s="467"/>
      <c r="R86" s="467"/>
      <c r="BP86" s="96"/>
      <c r="BQ86" s="96"/>
      <c r="BR86" s="96"/>
    </row>
  </sheetData>
  <mergeCells count="22">
    <mergeCell ref="S7:U7"/>
    <mergeCell ref="B2:E2"/>
    <mergeCell ref="H2:R2"/>
    <mergeCell ref="N5:Q6"/>
    <mergeCell ref="R5:R6"/>
    <mergeCell ref="N7:O7"/>
    <mergeCell ref="B4:C4"/>
    <mergeCell ref="N8:O8"/>
    <mergeCell ref="N9:O9"/>
    <mergeCell ref="N10:O10"/>
    <mergeCell ref="N16:O16"/>
    <mergeCell ref="A1:R1"/>
    <mergeCell ref="N12:O12"/>
    <mergeCell ref="N11:O11"/>
    <mergeCell ref="N13:O13"/>
    <mergeCell ref="J31:K31"/>
    <mergeCell ref="L31:M31"/>
    <mergeCell ref="N14:O14"/>
    <mergeCell ref="N15:O15"/>
    <mergeCell ref="S15:T15"/>
    <mergeCell ref="N17:O17"/>
    <mergeCell ref="N19:O19"/>
  </mergeCells>
  <dataValidations count="3">
    <dataValidation type="list" allowBlank="1" showInputMessage="1" showErrorMessage="1" sqref="C7">
      <formula1>Region</formula1>
    </dataValidation>
    <dataValidation type="list" allowBlank="1" showInputMessage="1" showErrorMessage="1" sqref="C8">
      <formula1>RE_Technology</formula1>
    </dataValidation>
    <dataValidation type="list" allowBlank="1" showInputMessage="1" showErrorMessage="1" sqref="J15 J25 J20">
      <formula1>$G$43:$G$46</formula1>
    </dataValidation>
  </dataValidations>
  <pageMargins left="0.7" right="0.7" top="0.75" bottom="0.75" header="0.3" footer="0.3"/>
  <pageSetup paperSize="5" scale="37"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Assumptions!$A$50:$A$51</xm:f>
          </x14:formula1>
          <xm:sqref>J3:J4</xm:sqref>
        </x14:dataValidation>
        <x14:dataValidation type="list" allowBlank="1" showInputMessage="1" showErrorMessage="1">
          <x14:formula1>
            <xm:f>Assumptions!$A$43:$A$46</xm:f>
          </x14:formula1>
          <xm:sqref>C9</xm:sqref>
        </x14:dataValidation>
        <x14:dataValidation type="list" allowBlank="1" showInputMessage="1" showErrorMessage="1">
          <x14:formula1>
            <xm:f>Assumptions!$G$51:$G$54</xm:f>
          </x14:formula1>
          <xm:sqref>J9</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pageSetUpPr fitToPage="1"/>
  </sheetPr>
  <dimension ref="A1:N83"/>
  <sheetViews>
    <sheetView topLeftCell="A55" workbookViewId="0">
      <selection activeCell="A72" sqref="A72:K83"/>
    </sheetView>
  </sheetViews>
  <sheetFormatPr defaultRowHeight="12.75"/>
  <cols>
    <col min="1" max="1" width="35.28515625" bestFit="1" customWidth="1"/>
    <col min="2" max="7" width="18.85546875" customWidth="1"/>
    <col min="8" max="11" width="18.7109375" customWidth="1"/>
  </cols>
  <sheetData>
    <row r="1" spans="1:11">
      <c r="A1" s="896" t="s">
        <v>351</v>
      </c>
      <c r="B1" s="2173" t="s">
        <v>562</v>
      </c>
      <c r="C1" s="2174"/>
      <c r="D1" s="2174"/>
      <c r="E1" s="2174"/>
      <c r="F1" s="2174"/>
      <c r="G1" s="2175"/>
      <c r="H1" s="2170" t="s">
        <v>559</v>
      </c>
      <c r="I1" s="2171"/>
      <c r="J1" s="2171"/>
      <c r="K1" s="2172"/>
    </row>
    <row r="2" spans="1:11" ht="25.5">
      <c r="A2" s="897"/>
      <c r="B2" s="905" t="s">
        <v>342</v>
      </c>
      <c r="C2" s="884" t="s">
        <v>343</v>
      </c>
      <c r="D2" s="884" t="s">
        <v>344</v>
      </c>
      <c r="E2" s="884" t="s">
        <v>345</v>
      </c>
      <c r="F2" s="885" t="s">
        <v>279</v>
      </c>
      <c r="G2" s="898" t="s">
        <v>347</v>
      </c>
      <c r="H2" s="905" t="s">
        <v>342</v>
      </c>
      <c r="I2" s="884" t="s">
        <v>343</v>
      </c>
      <c r="J2" s="884" t="s">
        <v>344</v>
      </c>
      <c r="K2" s="898" t="s">
        <v>345</v>
      </c>
    </row>
    <row r="3" spans="1:11">
      <c r="A3" s="897"/>
      <c r="B3" s="911" t="s">
        <v>265</v>
      </c>
      <c r="C3" s="886" t="s">
        <v>265</v>
      </c>
      <c r="D3" s="886" t="s">
        <v>346</v>
      </c>
      <c r="E3" s="886" t="s">
        <v>346</v>
      </c>
      <c r="F3" s="887" t="s">
        <v>280</v>
      </c>
      <c r="G3" s="912" t="s">
        <v>352</v>
      </c>
      <c r="H3" s="906" t="s">
        <v>265</v>
      </c>
      <c r="I3" s="887" t="s">
        <v>265</v>
      </c>
      <c r="J3" s="887" t="s">
        <v>346</v>
      </c>
      <c r="K3" s="899" t="s">
        <v>346</v>
      </c>
    </row>
    <row r="4" spans="1:11" ht="15">
      <c r="A4" s="897" t="s">
        <v>2</v>
      </c>
      <c r="B4" s="913">
        <f>H4*$C$17</f>
        <v>4.9381620317716549E-2</v>
      </c>
      <c r="C4" s="888">
        <f>I4*$C$17</f>
        <v>1.8952434237076713E-2</v>
      </c>
      <c r="D4" s="889">
        <f>J4*$C$17</f>
        <v>10739.712734343471</v>
      </c>
      <c r="E4" s="889">
        <f>K4*$C$17</f>
        <v>3685.1955460982499</v>
      </c>
      <c r="F4" s="890">
        <v>20</v>
      </c>
      <c r="G4" s="914">
        <v>0.8</v>
      </c>
      <c r="H4" s="907">
        <f>0.0469</f>
        <v>4.6899999999999997E-2</v>
      </c>
      <c r="I4" s="891">
        <f>0.018</f>
        <v>1.7999999999999999E-2</v>
      </c>
      <c r="J4" s="892">
        <v>10200</v>
      </c>
      <c r="K4" s="900">
        <v>3500</v>
      </c>
    </row>
    <row r="5" spans="1:11">
      <c r="A5" s="897" t="s">
        <v>377</v>
      </c>
      <c r="B5" s="908"/>
      <c r="C5" s="893"/>
      <c r="D5" s="893" t="s">
        <v>417</v>
      </c>
      <c r="E5" s="893"/>
      <c r="F5" s="890">
        <v>50</v>
      </c>
      <c r="G5" s="914">
        <v>0.8</v>
      </c>
      <c r="H5" s="908"/>
      <c r="I5" s="893"/>
      <c r="J5" s="893" t="s">
        <v>417</v>
      </c>
      <c r="K5" s="901"/>
    </row>
    <row r="6" spans="1:11" ht="15">
      <c r="A6" s="897" t="s">
        <v>348</v>
      </c>
      <c r="B6" s="908"/>
      <c r="C6" s="893"/>
      <c r="D6" s="889">
        <f>J6*$C$17</f>
        <v>5717.3176615181419</v>
      </c>
      <c r="E6" s="893"/>
      <c r="F6" s="890">
        <v>50</v>
      </c>
      <c r="G6" s="914">
        <v>1</v>
      </c>
      <c r="H6" s="908"/>
      <c r="I6" s="893"/>
      <c r="J6" s="894">
        <v>5430</v>
      </c>
      <c r="K6" s="901"/>
    </row>
    <row r="7" spans="1:11" ht="15">
      <c r="A7" s="897" t="s">
        <v>3</v>
      </c>
      <c r="B7" s="908"/>
      <c r="C7" s="893"/>
      <c r="D7" s="895" t="s">
        <v>418</v>
      </c>
      <c r="E7" s="893"/>
      <c r="F7" s="890">
        <v>20</v>
      </c>
      <c r="G7" s="914" t="s">
        <v>341</v>
      </c>
      <c r="H7" s="908"/>
      <c r="I7" s="893"/>
      <c r="J7" s="895" t="s">
        <v>418</v>
      </c>
      <c r="K7" s="901"/>
    </row>
    <row r="8" spans="1:11">
      <c r="A8" s="897" t="s">
        <v>349</v>
      </c>
      <c r="B8" s="908"/>
      <c r="C8" s="893"/>
      <c r="D8" s="893"/>
      <c r="E8" s="893"/>
      <c r="F8" s="890">
        <v>30</v>
      </c>
      <c r="G8" s="914">
        <v>1</v>
      </c>
      <c r="H8" s="908"/>
      <c r="I8" s="893"/>
      <c r="J8" s="893"/>
      <c r="K8" s="901"/>
    </row>
    <row r="9" spans="1:11">
      <c r="A9" s="897" t="s">
        <v>338</v>
      </c>
      <c r="B9" s="908"/>
      <c r="C9" s="893"/>
      <c r="D9" s="893"/>
      <c r="E9" s="893"/>
      <c r="F9" s="890">
        <v>20</v>
      </c>
      <c r="G9" s="914">
        <v>1</v>
      </c>
      <c r="H9" s="908"/>
      <c r="I9" s="893"/>
      <c r="J9" s="893"/>
      <c r="K9" s="901"/>
    </row>
    <row r="10" spans="1:11">
      <c r="A10" s="897" t="s">
        <v>691</v>
      </c>
      <c r="B10" s="909"/>
      <c r="C10" s="893"/>
      <c r="D10" s="893"/>
      <c r="E10" s="893"/>
      <c r="F10" s="890">
        <v>50</v>
      </c>
      <c r="G10" s="914">
        <v>1</v>
      </c>
      <c r="H10" s="909"/>
      <c r="I10" s="893"/>
      <c r="J10" s="893"/>
      <c r="K10" s="901"/>
    </row>
    <row r="11" spans="1:11" s="90" customFormat="1">
      <c r="A11" s="897" t="s">
        <v>634</v>
      </c>
      <c r="B11" s="909"/>
      <c r="C11" s="893"/>
      <c r="D11" s="893"/>
      <c r="E11" s="893"/>
      <c r="F11" s="890"/>
      <c r="G11" s="914"/>
      <c r="H11" s="909"/>
      <c r="I11" s="893"/>
      <c r="J11" s="893"/>
      <c r="K11" s="901"/>
    </row>
    <row r="12" spans="1:11" s="90" customFormat="1">
      <c r="A12" s="897" t="s">
        <v>690</v>
      </c>
      <c r="B12" s="909"/>
      <c r="C12" s="893"/>
      <c r="D12" s="893"/>
      <c r="E12" s="893"/>
      <c r="F12" s="890"/>
      <c r="G12" s="914"/>
      <c r="H12" s="909"/>
      <c r="I12" s="893"/>
      <c r="J12" s="893"/>
      <c r="K12" s="901"/>
    </row>
    <row r="13" spans="1:11">
      <c r="A13" s="897" t="s">
        <v>340</v>
      </c>
      <c r="B13" s="908"/>
      <c r="C13" s="893"/>
      <c r="D13" s="893"/>
      <c r="E13" s="893"/>
      <c r="F13" s="890">
        <v>20</v>
      </c>
      <c r="G13" s="914">
        <v>1</v>
      </c>
      <c r="H13" s="908"/>
      <c r="I13" s="893"/>
      <c r="J13" s="893"/>
      <c r="K13" s="901"/>
    </row>
    <row r="14" spans="1:11" s="90" customFormat="1" ht="13.5" thickBot="1">
      <c r="A14" s="902" t="s">
        <v>886</v>
      </c>
      <c r="B14" s="910"/>
      <c r="C14" s="903"/>
      <c r="D14" s="903"/>
      <c r="E14" s="903"/>
      <c r="F14" s="903"/>
      <c r="G14" s="915"/>
      <c r="H14" s="910"/>
      <c r="I14" s="903"/>
      <c r="J14" s="903"/>
      <c r="K14" s="904"/>
    </row>
    <row r="15" spans="1:11" s="90" customFormat="1">
      <c r="A15" s="9"/>
      <c r="B15" s="36"/>
      <c r="C15" s="36"/>
      <c r="D15" s="36"/>
      <c r="E15" s="36"/>
      <c r="F15" s="36"/>
      <c r="G15" s="433"/>
      <c r="H15" s="36"/>
      <c r="I15" s="36"/>
      <c r="J15" s="36"/>
      <c r="K15" s="36"/>
    </row>
    <row r="16" spans="1:11" s="90" customFormat="1">
      <c r="A16" s="9"/>
      <c r="B16" s="36"/>
      <c r="C16" s="36"/>
      <c r="D16" s="36"/>
      <c r="E16" s="36"/>
      <c r="F16" s="36"/>
      <c r="G16" s="433"/>
      <c r="H16" s="36"/>
      <c r="I16" s="36"/>
      <c r="J16" s="36"/>
      <c r="K16" s="36"/>
    </row>
    <row r="17" spans="1:11">
      <c r="A17" s="93" t="s">
        <v>558</v>
      </c>
      <c r="B17" s="93"/>
      <c r="C17" s="89">
        <v>1.0529130131709286</v>
      </c>
    </row>
    <row r="18" spans="1:11" ht="13.5" thickBot="1">
      <c r="A18" s="93" t="s">
        <v>561</v>
      </c>
      <c r="C18">
        <v>1.0206999999999999</v>
      </c>
      <c r="E18" s="40" t="s">
        <v>547</v>
      </c>
    </row>
    <row r="19" spans="1:11" ht="67.5" customHeight="1">
      <c r="A19" s="866" t="s">
        <v>324</v>
      </c>
      <c r="B19" s="867" t="s">
        <v>560</v>
      </c>
      <c r="C19" s="868" t="s">
        <v>282</v>
      </c>
      <c r="E19" s="2176" t="s">
        <v>528</v>
      </c>
      <c r="F19" s="2176"/>
      <c r="G19" s="2176"/>
      <c r="H19" s="2176"/>
      <c r="I19" s="2176"/>
      <c r="J19" s="2176"/>
      <c r="K19" s="2176"/>
    </row>
    <row r="20" spans="1:11" ht="28.5" customHeight="1" thickBot="1">
      <c r="A20" s="34" t="s">
        <v>322</v>
      </c>
      <c r="B20" s="788">
        <f>C20*$C$18</f>
        <v>1.612706</v>
      </c>
      <c r="C20" s="869">
        <v>1.58</v>
      </c>
      <c r="E20" s="2177" t="s">
        <v>548</v>
      </c>
      <c r="F20" s="2177"/>
      <c r="G20" s="2177"/>
      <c r="H20" s="2177"/>
      <c r="I20" s="2177"/>
      <c r="J20" s="2177"/>
      <c r="K20" s="2177"/>
    </row>
    <row r="21" spans="1:11" ht="15.75" thickBot="1">
      <c r="A21" s="34" t="s">
        <v>325</v>
      </c>
      <c r="B21" s="788">
        <f>C21*$C$18</f>
        <v>1.0717349999999999</v>
      </c>
      <c r="C21" s="869">
        <v>1.05</v>
      </c>
      <c r="E21" s="81" t="s">
        <v>529</v>
      </c>
      <c r="F21" s="82" t="s">
        <v>530</v>
      </c>
      <c r="G21" s="82" t="s">
        <v>531</v>
      </c>
      <c r="H21" s="82" t="s">
        <v>532</v>
      </c>
    </row>
    <row r="22" spans="1:11" ht="15.75" thickBot="1">
      <c r="A22" s="34" t="s">
        <v>326</v>
      </c>
      <c r="B22" s="788">
        <f>C22*$C$18</f>
        <v>0.54097099999999998</v>
      </c>
      <c r="C22" s="869">
        <v>0.53</v>
      </c>
      <c r="E22" s="83">
        <v>1</v>
      </c>
      <c r="F22" s="84" t="s">
        <v>533</v>
      </c>
      <c r="G22" s="84" t="s">
        <v>534</v>
      </c>
      <c r="H22" s="84"/>
    </row>
    <row r="23" spans="1:11" ht="15.75" thickBot="1">
      <c r="A23" s="574" t="s">
        <v>323</v>
      </c>
      <c r="B23" s="870">
        <f>C23*$C$17</f>
        <v>0</v>
      </c>
      <c r="C23" s="871">
        <v>0</v>
      </c>
      <c r="E23" s="85">
        <v>2</v>
      </c>
      <c r="F23" s="86" t="s">
        <v>535</v>
      </c>
      <c r="G23" s="86" t="s">
        <v>536</v>
      </c>
      <c r="H23" s="87">
        <v>0.154</v>
      </c>
    </row>
    <row r="24" spans="1:11" ht="12.75" customHeight="1" thickBot="1">
      <c r="A24" s="8"/>
      <c r="B24" s="803"/>
      <c r="D24" s="1379"/>
      <c r="E24" s="1381">
        <v>3</v>
      </c>
      <c r="F24" s="1382" t="s">
        <v>537</v>
      </c>
      <c r="G24" s="1380"/>
      <c r="H24" s="1383">
        <v>0.19700000000000001</v>
      </c>
      <c r="I24" s="1379"/>
    </row>
    <row r="25" spans="1:11" ht="15.75" thickBot="1">
      <c r="A25" s="8"/>
      <c r="B25" s="803"/>
      <c r="C25" s="803"/>
      <c r="E25" s="85">
        <v>4</v>
      </c>
      <c r="F25" s="86" t="s">
        <v>539</v>
      </c>
      <c r="G25" s="86" t="s">
        <v>540</v>
      </c>
      <c r="H25" s="87">
        <v>0.24</v>
      </c>
    </row>
    <row r="26" spans="1:11" ht="15.75" thickBot="1">
      <c r="A26" s="8"/>
      <c r="B26" s="803"/>
      <c r="C26" s="803"/>
      <c r="E26" s="83">
        <v>5</v>
      </c>
      <c r="F26" s="84" t="s">
        <v>541</v>
      </c>
      <c r="G26" s="84" t="s">
        <v>542</v>
      </c>
      <c r="H26" s="88">
        <v>0.28000000000000003</v>
      </c>
    </row>
    <row r="27" spans="1:11" ht="37.5" customHeight="1" thickBot="1">
      <c r="A27" s="2185" t="s">
        <v>2100</v>
      </c>
      <c r="B27" s="2186"/>
      <c r="C27" s="8"/>
      <c r="E27" s="85">
        <v>6</v>
      </c>
      <c r="F27" s="86" t="s">
        <v>543</v>
      </c>
      <c r="G27" s="86" t="s">
        <v>544</v>
      </c>
      <c r="H27" s="87">
        <v>0.32400000000000001</v>
      </c>
    </row>
    <row r="28" spans="1:11" ht="15.75" thickBot="1">
      <c r="A28" s="34" t="s">
        <v>728</v>
      </c>
      <c r="B28" s="1675">
        <v>0.71946641950105539</v>
      </c>
      <c r="E28" s="83">
        <v>7</v>
      </c>
      <c r="F28" s="84" t="s">
        <v>545</v>
      </c>
      <c r="G28" s="84" t="s">
        <v>546</v>
      </c>
      <c r="H28" s="88">
        <v>0.36199999999999999</v>
      </c>
    </row>
    <row r="29" spans="1:11" s="90" customFormat="1" ht="15">
      <c r="A29" s="34" t="s">
        <v>729</v>
      </c>
      <c r="B29" s="1675">
        <v>2.459561134281</v>
      </c>
      <c r="E29" s="1673"/>
      <c r="F29" s="1673"/>
      <c r="G29" s="1673"/>
      <c r="H29" s="1674"/>
    </row>
    <row r="30" spans="1:11" s="90" customFormat="1" ht="15">
      <c r="A30" s="34" t="s">
        <v>730</v>
      </c>
      <c r="B30" s="1675">
        <v>1.2754531193962817</v>
      </c>
      <c r="E30" s="1673"/>
      <c r="F30" s="1673"/>
      <c r="G30" s="1673"/>
      <c r="H30" s="1674"/>
    </row>
    <row r="31" spans="1:11" s="90" customFormat="1" ht="15">
      <c r="A31" s="34" t="s">
        <v>731</v>
      </c>
      <c r="B31" s="1675">
        <v>0.95256041518750001</v>
      </c>
      <c r="E31" s="1673"/>
      <c r="F31" s="1673"/>
      <c r="G31" s="1673"/>
      <c r="H31" s="1674"/>
    </row>
    <row r="32" spans="1:11" s="90" customFormat="1" ht="15">
      <c r="A32" s="34" t="s">
        <v>549</v>
      </c>
      <c r="B32" s="1675">
        <v>1.17871244341</v>
      </c>
      <c r="E32" s="1673"/>
      <c r="F32" s="1673"/>
      <c r="G32" s="1673"/>
      <c r="H32" s="1674"/>
    </row>
    <row r="33" spans="1:14" s="90" customFormat="1" ht="15">
      <c r="A33" s="34" t="s">
        <v>732</v>
      </c>
      <c r="B33" s="1675">
        <v>2.2001520879616949</v>
      </c>
      <c r="E33" s="1673"/>
      <c r="F33" s="1673"/>
      <c r="G33" s="1673"/>
      <c r="H33" s="1674"/>
    </row>
    <row r="34" spans="1:14" s="90" customFormat="1" ht="15">
      <c r="A34" s="34" t="s">
        <v>733</v>
      </c>
      <c r="B34" s="1675">
        <v>-2.4964625263285711</v>
      </c>
      <c r="E34" s="1673"/>
      <c r="F34" s="1673"/>
      <c r="G34" s="1673"/>
      <c r="H34" s="1674"/>
    </row>
    <row r="35" spans="1:14" ht="15">
      <c r="A35" s="34" t="s">
        <v>734</v>
      </c>
      <c r="B35" s="1675">
        <v>2.734701691067619</v>
      </c>
      <c r="C35" s="8"/>
      <c r="D35" s="8"/>
      <c r="E35" s="80"/>
    </row>
    <row r="36" spans="1:14">
      <c r="A36" s="34" t="s">
        <v>735</v>
      </c>
      <c r="B36" s="1675">
        <v>1.30891054734</v>
      </c>
      <c r="C36" s="8"/>
      <c r="D36" s="8"/>
    </row>
    <row r="37" spans="1:14">
      <c r="A37" s="34" t="s">
        <v>476</v>
      </c>
      <c r="B37" s="1675">
        <v>0.44132321799707458</v>
      </c>
      <c r="C37" s="8"/>
      <c r="D37" s="8"/>
    </row>
    <row r="38" spans="1:14" ht="13.5" thickBot="1">
      <c r="A38" s="574" t="s">
        <v>736</v>
      </c>
      <c r="B38" s="1676">
        <v>1.5507921943016665</v>
      </c>
      <c r="C38" s="8"/>
      <c r="D38" s="8"/>
    </row>
    <row r="39" spans="1:14">
      <c r="A39" s="8"/>
      <c r="B39" s="8"/>
      <c r="C39" s="467" t="s">
        <v>814</v>
      </c>
      <c r="D39" s="8"/>
    </row>
    <row r="42" spans="1:14" ht="13.5" thickBot="1">
      <c r="A42" s="880" t="s">
        <v>1197</v>
      </c>
      <c r="B42" s="7" t="s">
        <v>2</v>
      </c>
      <c r="C42" s="7" t="s">
        <v>377</v>
      </c>
      <c r="D42" s="7" t="s">
        <v>348</v>
      </c>
      <c r="E42" s="7" t="s">
        <v>335</v>
      </c>
      <c r="F42" s="7" t="s">
        <v>336</v>
      </c>
      <c r="G42" s="7" t="s">
        <v>3</v>
      </c>
      <c r="H42" s="7" t="s">
        <v>304</v>
      </c>
      <c r="I42" s="7" t="s">
        <v>337</v>
      </c>
      <c r="J42" s="7" t="s">
        <v>349</v>
      </c>
      <c r="K42" s="7" t="s">
        <v>338</v>
      </c>
      <c r="L42" s="7" t="s">
        <v>339</v>
      </c>
      <c r="M42" s="7" t="s">
        <v>350</v>
      </c>
      <c r="N42" s="26" t="s">
        <v>340</v>
      </c>
    </row>
    <row r="43" spans="1:14">
      <c r="A43" s="881" t="s">
        <v>576</v>
      </c>
    </row>
    <row r="44" spans="1:14">
      <c r="A44" s="882" t="s">
        <v>577</v>
      </c>
    </row>
    <row r="45" spans="1:14">
      <c r="A45" s="882" t="s">
        <v>613</v>
      </c>
    </row>
    <row r="46" spans="1:14" ht="13.5" thickBot="1">
      <c r="A46" s="883" t="s">
        <v>578</v>
      </c>
    </row>
    <row r="48" spans="1:14" ht="13.5" thickBot="1"/>
    <row r="49" spans="1:8" ht="13.5" thickBot="1">
      <c r="A49" s="657" t="s">
        <v>964</v>
      </c>
    </row>
    <row r="50" spans="1:8" ht="13.5" thickBot="1">
      <c r="A50" s="658" t="s">
        <v>596</v>
      </c>
      <c r="C50" s="877" t="s">
        <v>529</v>
      </c>
    </row>
    <row r="51" spans="1:8" ht="13.5" thickBot="1">
      <c r="A51" s="659" t="s">
        <v>597</v>
      </c>
      <c r="C51" s="878">
        <v>1</v>
      </c>
      <c r="E51" s="660" t="s">
        <v>944</v>
      </c>
      <c r="G51" s="93" t="s">
        <v>846</v>
      </c>
      <c r="H51" s="93" t="s">
        <v>385</v>
      </c>
    </row>
    <row r="52" spans="1:8" ht="13.5" thickBot="1">
      <c r="A52" s="872" t="s">
        <v>1196</v>
      </c>
      <c r="C52" s="878">
        <v>2</v>
      </c>
      <c r="E52" s="661" t="s">
        <v>945</v>
      </c>
      <c r="G52" s="93" t="s">
        <v>847</v>
      </c>
      <c r="H52" s="93" t="s">
        <v>1208</v>
      </c>
    </row>
    <row r="53" spans="1:8">
      <c r="A53" s="873" t="s">
        <v>728</v>
      </c>
      <c r="C53" s="878">
        <v>3</v>
      </c>
      <c r="E53" s="661" t="s">
        <v>946</v>
      </c>
      <c r="G53" s="93" t="s">
        <v>648</v>
      </c>
      <c r="H53" s="93" t="s">
        <v>383</v>
      </c>
    </row>
    <row r="54" spans="1:8">
      <c r="A54" s="874" t="s">
        <v>729</v>
      </c>
      <c r="B54" t="s">
        <v>739</v>
      </c>
      <c r="C54" s="878">
        <v>4</v>
      </c>
      <c r="E54" s="661" t="s">
        <v>941</v>
      </c>
      <c r="G54" s="93" t="s">
        <v>848</v>
      </c>
    </row>
    <row r="55" spans="1:8">
      <c r="A55" s="874" t="s">
        <v>730</v>
      </c>
      <c r="B55" t="s">
        <v>738</v>
      </c>
      <c r="C55" s="878">
        <v>5</v>
      </c>
      <c r="E55" s="661" t="s">
        <v>942</v>
      </c>
    </row>
    <row r="56" spans="1:8">
      <c r="A56" s="874" t="s">
        <v>731</v>
      </c>
      <c r="C56" s="878">
        <v>6</v>
      </c>
      <c r="E56" s="661" t="s">
        <v>665</v>
      </c>
    </row>
    <row r="57" spans="1:8" ht="13.5" thickBot="1">
      <c r="A57" s="874" t="s">
        <v>549</v>
      </c>
      <c r="C57" s="879">
        <v>7</v>
      </c>
      <c r="E57" s="662" t="s">
        <v>643</v>
      </c>
    </row>
    <row r="58" spans="1:8">
      <c r="A58" s="874" t="s">
        <v>732</v>
      </c>
      <c r="E58" s="661" t="s">
        <v>943</v>
      </c>
    </row>
    <row r="59" spans="1:8">
      <c r="A59" s="874" t="s">
        <v>733</v>
      </c>
      <c r="E59" s="661" t="s">
        <v>947</v>
      </c>
    </row>
    <row r="60" spans="1:8">
      <c r="A60" s="874" t="s">
        <v>734</v>
      </c>
      <c r="E60" s="662" t="s">
        <v>948</v>
      </c>
    </row>
    <row r="61" spans="1:8">
      <c r="A61" s="874" t="s">
        <v>735</v>
      </c>
      <c r="E61" s="662" t="s">
        <v>949</v>
      </c>
    </row>
    <row r="62" spans="1:8">
      <c r="A62" s="874" t="s">
        <v>476</v>
      </c>
      <c r="E62" s="662" t="s">
        <v>950</v>
      </c>
    </row>
    <row r="63" spans="1:8" ht="13.5" thickBot="1">
      <c r="A63" s="875" t="s">
        <v>736</v>
      </c>
      <c r="E63" s="662" t="s">
        <v>951</v>
      </c>
    </row>
    <row r="64" spans="1:8" ht="13.5" thickBot="1">
      <c r="E64" s="663" t="s">
        <v>940</v>
      </c>
    </row>
    <row r="65" spans="1:11">
      <c r="A65" s="876" t="s">
        <v>740</v>
      </c>
    </row>
    <row r="66" spans="1:11">
      <c r="A66" s="874" t="s">
        <v>741</v>
      </c>
    </row>
    <row r="67" spans="1:11">
      <c r="A67" s="874" t="s">
        <v>742</v>
      </c>
    </row>
    <row r="68" spans="1:11">
      <c r="A68" s="874" t="s">
        <v>743</v>
      </c>
    </row>
    <row r="69" spans="1:11" ht="13.5" thickBot="1">
      <c r="A69" s="875" t="s">
        <v>744</v>
      </c>
    </row>
    <row r="71" spans="1:11" ht="13.5" thickBot="1"/>
    <row r="72" spans="1:11">
      <c r="A72" s="2181" t="s">
        <v>927</v>
      </c>
      <c r="B72" s="2182"/>
      <c r="C72" s="2182"/>
      <c r="D72" s="2182"/>
      <c r="E72" s="2182"/>
      <c r="F72" s="2182"/>
      <c r="G72" s="2182"/>
      <c r="H72" s="2182"/>
      <c r="I72" s="2182"/>
      <c r="J72" s="2182"/>
      <c r="K72" s="2183"/>
    </row>
    <row r="73" spans="1:11">
      <c r="A73" s="416" t="s">
        <v>930</v>
      </c>
      <c r="B73" s="467" t="s">
        <v>918</v>
      </c>
      <c r="C73" s="8"/>
      <c r="D73" s="8"/>
      <c r="E73" s="8"/>
      <c r="F73" s="8"/>
      <c r="G73" s="8"/>
      <c r="H73" s="8"/>
      <c r="I73" s="8"/>
      <c r="J73" s="8"/>
      <c r="K73" s="35"/>
    </row>
    <row r="74" spans="1:11">
      <c r="A74" s="34"/>
      <c r="B74" s="467" t="s">
        <v>931</v>
      </c>
      <c r="C74" s="8"/>
      <c r="D74" s="8"/>
      <c r="E74" s="8"/>
      <c r="F74" s="8"/>
      <c r="G74" s="8"/>
      <c r="H74" s="8"/>
      <c r="I74" s="8"/>
      <c r="J74" s="8"/>
      <c r="K74" s="35"/>
    </row>
    <row r="75" spans="1:11" s="90" customFormat="1">
      <c r="A75" s="34"/>
      <c r="B75" s="467" t="s">
        <v>920</v>
      </c>
      <c r="C75" s="8"/>
      <c r="D75" s="8"/>
      <c r="E75" s="8"/>
      <c r="F75" s="8"/>
      <c r="G75" s="8"/>
      <c r="H75" s="8"/>
      <c r="I75" s="8"/>
      <c r="J75" s="8"/>
      <c r="K75" s="35"/>
    </row>
    <row r="76" spans="1:11">
      <c r="A76" s="416"/>
      <c r="B76" s="467" t="s">
        <v>921</v>
      </c>
      <c r="C76" s="8"/>
      <c r="D76" s="8"/>
      <c r="E76" s="8"/>
      <c r="F76" s="8"/>
      <c r="G76" s="8"/>
      <c r="H76" s="8"/>
      <c r="I76" s="8"/>
      <c r="J76" s="8"/>
      <c r="K76" s="35"/>
    </row>
    <row r="77" spans="1:11">
      <c r="A77" s="34"/>
      <c r="B77" s="467" t="s">
        <v>932</v>
      </c>
      <c r="C77" s="8"/>
      <c r="D77" s="8"/>
      <c r="E77" s="8"/>
      <c r="F77" s="8"/>
      <c r="G77" s="8"/>
      <c r="H77" s="8"/>
      <c r="I77" s="8"/>
      <c r="J77" s="8"/>
      <c r="K77" s="35"/>
    </row>
    <row r="78" spans="1:11">
      <c r="A78" s="34"/>
      <c r="B78" s="467"/>
      <c r="C78" s="8"/>
      <c r="D78" s="8"/>
      <c r="E78" s="8"/>
      <c r="F78" s="8"/>
      <c r="G78" s="8"/>
      <c r="H78" s="8"/>
      <c r="I78" s="8"/>
      <c r="J78" s="8"/>
      <c r="K78" s="35"/>
    </row>
    <row r="79" spans="1:11">
      <c r="A79" s="34"/>
      <c r="B79" s="8"/>
      <c r="C79" s="8"/>
      <c r="D79" s="8"/>
      <c r="E79" s="8"/>
      <c r="F79" s="8"/>
      <c r="G79" s="8"/>
      <c r="H79" s="2184"/>
      <c r="I79" s="2045"/>
      <c r="J79" s="8"/>
      <c r="K79" s="35"/>
    </row>
    <row r="80" spans="1:11">
      <c r="A80" s="34"/>
      <c r="B80" s="2180" t="s">
        <v>918</v>
      </c>
      <c r="C80" s="2180"/>
      <c r="D80" s="2180" t="s">
        <v>919</v>
      </c>
      <c r="E80" s="2180"/>
      <c r="F80" s="2178" t="s">
        <v>920</v>
      </c>
      <c r="G80" s="2178"/>
      <c r="H80" s="2178" t="s">
        <v>921</v>
      </c>
      <c r="I80" s="2178"/>
      <c r="J80" s="2178" t="s">
        <v>922</v>
      </c>
      <c r="K80" s="2179"/>
    </row>
    <row r="81" spans="1:11">
      <c r="A81" s="34"/>
      <c r="B81" s="474" t="s">
        <v>583</v>
      </c>
      <c r="C81" s="475" t="s">
        <v>846</v>
      </c>
      <c r="D81" s="474" t="s">
        <v>923</v>
      </c>
      <c r="E81" s="8" t="s">
        <v>924</v>
      </c>
      <c r="F81" s="8" t="s">
        <v>583</v>
      </c>
      <c r="G81" s="8" t="s">
        <v>925</v>
      </c>
      <c r="H81" s="8" t="s">
        <v>583</v>
      </c>
      <c r="I81" s="8" t="s">
        <v>925</v>
      </c>
      <c r="J81" s="8" t="s">
        <v>583</v>
      </c>
      <c r="K81" s="35" t="s">
        <v>925</v>
      </c>
    </row>
    <row r="82" spans="1:11" ht="13.5" thickBot="1">
      <c r="A82" s="476" t="s">
        <v>926</v>
      </c>
      <c r="B82" s="1699">
        <v>8.211766785174694</v>
      </c>
      <c r="C82" s="1699">
        <v>0.62959940581587515</v>
      </c>
      <c r="D82" s="1699"/>
      <c r="E82" s="1699"/>
      <c r="F82" s="1699"/>
      <c r="G82" s="1699"/>
      <c r="H82" s="479">
        <v>6.2894718338794533</v>
      </c>
      <c r="I82" s="479">
        <v>0.59225706409648982</v>
      </c>
      <c r="J82" s="479">
        <v>1.4605992850240395</v>
      </c>
      <c r="K82" s="479">
        <v>0.65786639784717182</v>
      </c>
    </row>
    <row r="83" spans="1:11" ht="13.5" thickBot="1">
      <c r="A83" s="477" t="s">
        <v>644</v>
      </c>
      <c r="B83" s="442">
        <v>32.15037556486849</v>
      </c>
      <c r="C83" s="442">
        <v>1.3344420108096748</v>
      </c>
      <c r="D83" s="479">
        <v>422.89170240241526</v>
      </c>
      <c r="E83" s="479">
        <v>21.66175520996439</v>
      </c>
      <c r="F83" s="479">
        <v>84.236716875776594</v>
      </c>
      <c r="G83" s="479">
        <v>13.707769179619405</v>
      </c>
      <c r="H83" s="1700">
        <v>29.905043109656376</v>
      </c>
      <c r="I83" s="1700">
        <v>2.6991903913925612</v>
      </c>
      <c r="J83" s="1700">
        <v>51.759531672131715</v>
      </c>
      <c r="K83" s="1700">
        <v>-6.6587669295285421</v>
      </c>
    </row>
  </sheetData>
  <mergeCells count="12">
    <mergeCell ref="H1:K1"/>
    <mergeCell ref="B1:G1"/>
    <mergeCell ref="E19:K19"/>
    <mergeCell ref="E20:K20"/>
    <mergeCell ref="H80:I80"/>
    <mergeCell ref="J80:K80"/>
    <mergeCell ref="B80:C80"/>
    <mergeCell ref="D80:E80"/>
    <mergeCell ref="F80:G80"/>
    <mergeCell ref="A72:K72"/>
    <mergeCell ref="H79:I79"/>
    <mergeCell ref="A27:B27"/>
  </mergeCells>
  <phoneticPr fontId="31" type="noConversion"/>
  <pageMargins left="0.7" right="0.7" top="0.75" bottom="0.75" header="0.3" footer="0.3"/>
  <pageSetup paperSize="5" scale="47" orientation="landscape"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00FF"/>
  </sheetPr>
  <dimension ref="A1:B286"/>
  <sheetViews>
    <sheetView topLeftCell="A67" workbookViewId="0">
      <selection sqref="A1:B1048576"/>
    </sheetView>
  </sheetViews>
  <sheetFormatPr defaultRowHeight="12.75"/>
  <cols>
    <col min="1" max="1" width="10.42578125" bestFit="1" customWidth="1"/>
    <col min="2" max="2" width="12" customWidth="1"/>
  </cols>
  <sheetData>
    <row r="1" spans="1:2" ht="25.5">
      <c r="A1" s="719" t="s">
        <v>375</v>
      </c>
      <c r="B1" s="718" t="s">
        <v>968</v>
      </c>
    </row>
    <row r="2" spans="1:2">
      <c r="A2" s="654" t="s">
        <v>969</v>
      </c>
      <c r="B2" s="654">
        <v>9046</v>
      </c>
    </row>
    <row r="3" spans="1:2">
      <c r="A3" s="654" t="s">
        <v>970</v>
      </c>
      <c r="B3" s="654">
        <v>9102</v>
      </c>
    </row>
    <row r="4" spans="1:2">
      <c r="A4" s="654" t="s">
        <v>49</v>
      </c>
      <c r="B4" s="654">
        <v>13213</v>
      </c>
    </row>
    <row r="5" spans="1:2">
      <c r="A5" s="654" t="s">
        <v>51</v>
      </c>
      <c r="B5" s="654">
        <v>13105</v>
      </c>
    </row>
    <row r="6" spans="1:2">
      <c r="A6" s="654" t="s">
        <v>53</v>
      </c>
      <c r="B6" s="654">
        <v>8554</v>
      </c>
    </row>
    <row r="7" spans="1:2">
      <c r="A7" s="654" t="s">
        <v>70</v>
      </c>
      <c r="B7" s="654">
        <v>13339</v>
      </c>
    </row>
    <row r="8" spans="1:2">
      <c r="A8" s="654" t="s">
        <v>971</v>
      </c>
      <c r="B8" s="654">
        <v>16625</v>
      </c>
    </row>
    <row r="9" spans="1:2">
      <c r="A9" s="654" t="s">
        <v>972</v>
      </c>
      <c r="B9" s="654">
        <v>11751</v>
      </c>
    </row>
    <row r="10" spans="1:2">
      <c r="A10" s="654" t="s">
        <v>973</v>
      </c>
      <c r="B10" s="654">
        <v>16625</v>
      </c>
    </row>
    <row r="11" spans="1:2">
      <c r="A11" s="654" t="s">
        <v>30</v>
      </c>
      <c r="B11" s="654">
        <v>15675</v>
      </c>
    </row>
    <row r="12" spans="1:2" ht="25.5">
      <c r="A12" s="654" t="s">
        <v>206</v>
      </c>
      <c r="B12" s="654">
        <v>18873</v>
      </c>
    </row>
    <row r="13" spans="1:2" ht="25.5">
      <c r="A13" s="654" t="s">
        <v>974</v>
      </c>
      <c r="B13" s="654">
        <v>10115</v>
      </c>
    </row>
    <row r="14" spans="1:2">
      <c r="A14" s="654" t="s">
        <v>292</v>
      </c>
      <c r="B14" s="654">
        <v>10816</v>
      </c>
    </row>
    <row r="15" spans="1:2">
      <c r="A15" s="654" t="s">
        <v>975</v>
      </c>
      <c r="B15" s="654">
        <v>14274</v>
      </c>
    </row>
    <row r="16" spans="1:2">
      <c r="A16" s="654" t="s">
        <v>40</v>
      </c>
      <c r="B16" s="654">
        <v>8450</v>
      </c>
    </row>
    <row r="17" spans="1:2">
      <c r="A17" s="654" t="s">
        <v>115</v>
      </c>
      <c r="B17" s="654">
        <v>13356</v>
      </c>
    </row>
    <row r="18" spans="1:2">
      <c r="A18" s="654" t="s">
        <v>71</v>
      </c>
      <c r="B18" s="654">
        <v>13462</v>
      </c>
    </row>
    <row r="19" spans="1:2" ht="25.5">
      <c r="A19" s="654" t="s">
        <v>398</v>
      </c>
      <c r="B19" s="654">
        <v>17356</v>
      </c>
    </row>
    <row r="20" spans="1:2">
      <c r="A20" s="654" t="s">
        <v>24</v>
      </c>
      <c r="B20" s="654">
        <v>9054</v>
      </c>
    </row>
    <row r="21" spans="1:2">
      <c r="A21" s="654" t="s">
        <v>117</v>
      </c>
      <c r="B21" s="654">
        <v>13106</v>
      </c>
    </row>
    <row r="22" spans="1:2">
      <c r="A22" s="654" t="s">
        <v>207</v>
      </c>
      <c r="B22" s="654">
        <v>20370</v>
      </c>
    </row>
    <row r="23" spans="1:2">
      <c r="A23" s="654" t="s">
        <v>976</v>
      </c>
      <c r="B23" s="654">
        <v>9490</v>
      </c>
    </row>
    <row r="24" spans="1:2">
      <c r="A24" s="654" t="s">
        <v>977</v>
      </c>
      <c r="B24" s="654">
        <v>8461</v>
      </c>
    </row>
    <row r="25" spans="1:2">
      <c r="A25" s="654" t="s">
        <v>978</v>
      </c>
      <c r="B25" s="654">
        <v>20370</v>
      </c>
    </row>
    <row r="26" spans="1:2">
      <c r="A26" s="654" t="s">
        <v>119</v>
      </c>
      <c r="B26" s="654">
        <v>15788</v>
      </c>
    </row>
    <row r="27" spans="1:2">
      <c r="A27" s="654" t="s">
        <v>26</v>
      </c>
      <c r="B27" s="654">
        <v>13334</v>
      </c>
    </row>
    <row r="28" spans="1:2">
      <c r="A28" s="654" t="s">
        <v>979</v>
      </c>
      <c r="B28" s="654">
        <v>15959</v>
      </c>
    </row>
    <row r="29" spans="1:2">
      <c r="A29" s="654" t="s">
        <v>980</v>
      </c>
      <c r="B29" s="654">
        <v>11796</v>
      </c>
    </row>
    <row r="30" spans="1:2" ht="25.5">
      <c r="A30" s="654" t="s">
        <v>399</v>
      </c>
      <c r="B30" s="654">
        <v>16326</v>
      </c>
    </row>
    <row r="31" spans="1:2">
      <c r="A31" s="654" t="s">
        <v>981</v>
      </c>
      <c r="B31" s="654">
        <v>10816</v>
      </c>
    </row>
    <row r="32" spans="1:2">
      <c r="A32" s="654" t="s">
        <v>982</v>
      </c>
      <c r="B32" s="654">
        <v>15412</v>
      </c>
    </row>
    <row r="33" spans="1:2" ht="25.5">
      <c r="A33" s="654" t="s">
        <v>72</v>
      </c>
      <c r="B33" s="654">
        <v>14138</v>
      </c>
    </row>
    <row r="34" spans="1:2">
      <c r="A34" s="654" t="s">
        <v>41</v>
      </c>
      <c r="B34" s="654">
        <v>16462</v>
      </c>
    </row>
    <row r="35" spans="1:2">
      <c r="A35" s="654" t="s">
        <v>983</v>
      </c>
      <c r="B35" s="654">
        <v>16462</v>
      </c>
    </row>
    <row r="36" spans="1:2">
      <c r="A36" s="654" t="s">
        <v>984</v>
      </c>
      <c r="B36" s="654">
        <v>13893</v>
      </c>
    </row>
    <row r="37" spans="1:2">
      <c r="A37" s="654" t="s">
        <v>123</v>
      </c>
      <c r="B37" s="654">
        <v>16315</v>
      </c>
    </row>
    <row r="38" spans="1:2">
      <c r="A38" s="654" t="s">
        <v>985</v>
      </c>
      <c r="B38" s="654">
        <v>14274</v>
      </c>
    </row>
    <row r="39" spans="1:2" ht="25.5">
      <c r="A39" s="654" t="s">
        <v>986</v>
      </c>
      <c r="B39" s="654">
        <v>17241</v>
      </c>
    </row>
    <row r="40" spans="1:2">
      <c r="A40" s="654" t="s">
        <v>199</v>
      </c>
      <c r="B40" s="654">
        <v>12990</v>
      </c>
    </row>
    <row r="41" spans="1:2" ht="25.5">
      <c r="A41" s="654" t="s">
        <v>987</v>
      </c>
      <c r="B41" s="654">
        <v>15381</v>
      </c>
    </row>
    <row r="42" spans="1:2">
      <c r="A42" s="654" t="s">
        <v>125</v>
      </c>
      <c r="B42" s="654">
        <v>9350</v>
      </c>
    </row>
    <row r="43" spans="1:2">
      <c r="A43" s="654" t="s">
        <v>73</v>
      </c>
      <c r="B43" s="654">
        <v>13339</v>
      </c>
    </row>
    <row r="44" spans="1:2">
      <c r="A44" s="654" t="s">
        <v>988</v>
      </c>
      <c r="B44" s="654">
        <v>11790</v>
      </c>
    </row>
    <row r="45" spans="1:2">
      <c r="A45" s="654" t="s">
        <v>989</v>
      </c>
      <c r="B45" s="654">
        <v>14891</v>
      </c>
    </row>
    <row r="46" spans="1:2">
      <c r="A46" s="654" t="s">
        <v>990</v>
      </c>
      <c r="B46" s="654">
        <v>9612</v>
      </c>
    </row>
    <row r="47" spans="1:2" ht="25.5">
      <c r="A47" s="654" t="s">
        <v>255</v>
      </c>
      <c r="B47" s="654">
        <v>9612</v>
      </c>
    </row>
    <row r="48" spans="1:2">
      <c r="A48" s="654" t="s">
        <v>991</v>
      </c>
      <c r="B48" s="654">
        <v>8539</v>
      </c>
    </row>
    <row r="49" spans="1:2" ht="25.5">
      <c r="A49" s="654" t="s">
        <v>10</v>
      </c>
      <c r="B49" s="654">
        <v>13534</v>
      </c>
    </row>
    <row r="50" spans="1:2">
      <c r="A50" s="654" t="s">
        <v>992</v>
      </c>
      <c r="B50" s="654">
        <v>13200</v>
      </c>
    </row>
    <row r="51" spans="1:2" ht="25.5">
      <c r="A51" s="654" t="s">
        <v>188</v>
      </c>
      <c r="B51" s="654">
        <v>13356</v>
      </c>
    </row>
    <row r="52" spans="1:2">
      <c r="A52" s="654" t="s">
        <v>993</v>
      </c>
      <c r="B52" s="654">
        <v>10816</v>
      </c>
    </row>
    <row r="53" spans="1:2">
      <c r="A53" s="654" t="s">
        <v>132</v>
      </c>
      <c r="B53" s="654">
        <v>16349</v>
      </c>
    </row>
    <row r="54" spans="1:2" ht="25.5">
      <c r="A54" s="654" t="s">
        <v>994</v>
      </c>
      <c r="B54" s="654">
        <v>15763</v>
      </c>
    </row>
    <row r="55" spans="1:2" ht="25.5">
      <c r="A55" s="654" t="s">
        <v>995</v>
      </c>
      <c r="B55" s="654">
        <v>11375</v>
      </c>
    </row>
    <row r="56" spans="1:2" ht="25.5">
      <c r="A56" s="654" t="s">
        <v>996</v>
      </c>
      <c r="B56" s="654">
        <v>11306</v>
      </c>
    </row>
    <row r="57" spans="1:2">
      <c r="A57" s="654" t="s">
        <v>997</v>
      </c>
      <c r="B57" s="654">
        <v>14375</v>
      </c>
    </row>
    <row r="58" spans="1:2" ht="25.5">
      <c r="A58" s="654" t="s">
        <v>12</v>
      </c>
      <c r="B58" s="654">
        <v>8104</v>
      </c>
    </row>
    <row r="59" spans="1:2">
      <c r="A59" s="654" t="s">
        <v>145</v>
      </c>
      <c r="B59" s="654">
        <v>9877</v>
      </c>
    </row>
    <row r="60" spans="1:2">
      <c r="A60" s="654" t="s">
        <v>998</v>
      </c>
      <c r="B60" s="654">
        <v>16589</v>
      </c>
    </row>
    <row r="61" spans="1:2" ht="25.5">
      <c r="A61" s="654" t="s">
        <v>999</v>
      </c>
      <c r="B61" s="654">
        <v>10527</v>
      </c>
    </row>
    <row r="62" spans="1:2" ht="25.5">
      <c r="A62" s="654" t="s">
        <v>1000</v>
      </c>
      <c r="B62" s="654">
        <v>14101</v>
      </c>
    </row>
    <row r="63" spans="1:2">
      <c r="A63" s="654" t="s">
        <v>11</v>
      </c>
      <c r="B63" s="654">
        <v>9004</v>
      </c>
    </row>
    <row r="64" spans="1:2">
      <c r="A64" s="654" t="s">
        <v>57</v>
      </c>
      <c r="B64" s="654">
        <v>7487</v>
      </c>
    </row>
    <row r="65" spans="1:2" ht="25.5">
      <c r="A65" s="654" t="s">
        <v>189</v>
      </c>
      <c r="B65" s="654">
        <v>13552</v>
      </c>
    </row>
    <row r="66" spans="1:2">
      <c r="A66" s="654" t="s">
        <v>42</v>
      </c>
      <c r="B66" s="654">
        <v>16462</v>
      </c>
    </row>
    <row r="67" spans="1:2" ht="25.5">
      <c r="A67" s="654" t="s">
        <v>1001</v>
      </c>
      <c r="B67" s="654">
        <v>13549</v>
      </c>
    </row>
    <row r="68" spans="1:2" ht="25.5">
      <c r="A68" s="654" t="s">
        <v>1002</v>
      </c>
      <c r="B68" s="654">
        <v>14152</v>
      </c>
    </row>
    <row r="69" spans="1:2">
      <c r="A69" s="654" t="s">
        <v>23</v>
      </c>
      <c r="B69" s="654">
        <v>11306</v>
      </c>
    </row>
    <row r="70" spans="1:2">
      <c r="A70" s="654" t="s">
        <v>135</v>
      </c>
      <c r="B70" s="654">
        <v>15939</v>
      </c>
    </row>
    <row r="71" spans="1:2">
      <c r="A71" s="654" t="s">
        <v>58</v>
      </c>
      <c r="B71" s="654">
        <v>14829</v>
      </c>
    </row>
    <row r="72" spans="1:2">
      <c r="A72" s="654" t="s">
        <v>1003</v>
      </c>
      <c r="B72" s="654">
        <v>8075</v>
      </c>
    </row>
    <row r="73" spans="1:2">
      <c r="A73" s="654" t="s">
        <v>1004</v>
      </c>
      <c r="B73" s="654">
        <v>14829</v>
      </c>
    </row>
    <row r="74" spans="1:2" ht="25.5">
      <c r="A74" s="654" t="s">
        <v>1005</v>
      </c>
      <c r="B74" s="654">
        <v>9197</v>
      </c>
    </row>
    <row r="75" spans="1:2">
      <c r="A75" s="654" t="s">
        <v>1006</v>
      </c>
      <c r="B75" s="654">
        <v>14891</v>
      </c>
    </row>
    <row r="76" spans="1:2">
      <c r="A76" s="654" t="s">
        <v>1007</v>
      </c>
      <c r="B76" s="654">
        <v>10816</v>
      </c>
    </row>
    <row r="77" spans="1:2">
      <c r="A77" s="654" t="s">
        <v>74</v>
      </c>
      <c r="B77" s="654">
        <v>11548</v>
      </c>
    </row>
    <row r="78" spans="1:2">
      <c r="A78" s="654" t="s">
        <v>137</v>
      </c>
      <c r="B78" s="654">
        <v>11836</v>
      </c>
    </row>
    <row r="79" spans="1:2">
      <c r="A79" s="654" t="s">
        <v>139</v>
      </c>
      <c r="B79" s="654">
        <v>11306</v>
      </c>
    </row>
    <row r="80" spans="1:2">
      <c r="A80" s="654" t="s">
        <v>141</v>
      </c>
      <c r="B80" s="654">
        <v>8140</v>
      </c>
    </row>
    <row r="81" spans="1:2">
      <c r="A81" s="654" t="s">
        <v>75</v>
      </c>
      <c r="B81" s="654">
        <v>13943</v>
      </c>
    </row>
    <row r="82" spans="1:2">
      <c r="A82" s="654" t="s">
        <v>76</v>
      </c>
      <c r="B82" s="654">
        <v>13467</v>
      </c>
    </row>
    <row r="83" spans="1:2">
      <c r="A83" s="654" t="s">
        <v>1008</v>
      </c>
      <c r="B83" s="654">
        <v>10136</v>
      </c>
    </row>
    <row r="84" spans="1:2">
      <c r="A84" s="654" t="s">
        <v>1009</v>
      </c>
      <c r="B84" s="654">
        <v>14274</v>
      </c>
    </row>
    <row r="85" spans="1:2">
      <c r="A85" s="654" t="s">
        <v>1010</v>
      </c>
      <c r="B85" s="654">
        <v>15788</v>
      </c>
    </row>
    <row r="86" spans="1:2">
      <c r="A86" s="654" t="s">
        <v>1011</v>
      </c>
      <c r="B86" s="654">
        <v>9778</v>
      </c>
    </row>
    <row r="87" spans="1:2">
      <c r="A87" s="654" t="s">
        <v>293</v>
      </c>
      <c r="B87" s="654">
        <v>14274</v>
      </c>
    </row>
    <row r="88" spans="1:2">
      <c r="A88" s="654" t="s">
        <v>143</v>
      </c>
      <c r="B88" s="654">
        <v>9733</v>
      </c>
    </row>
    <row r="89" spans="1:2">
      <c r="A89" s="654" t="s">
        <v>17</v>
      </c>
      <c r="B89" s="654">
        <v>16326</v>
      </c>
    </row>
    <row r="90" spans="1:2">
      <c r="A90" s="654" t="s">
        <v>1012</v>
      </c>
      <c r="B90" s="654">
        <v>13534</v>
      </c>
    </row>
    <row r="91" spans="1:2">
      <c r="A91" s="654" t="s">
        <v>256</v>
      </c>
      <c r="B91" s="654">
        <v>14847</v>
      </c>
    </row>
    <row r="92" spans="1:2">
      <c r="A92" s="654" t="s">
        <v>77</v>
      </c>
      <c r="B92" s="654">
        <v>14572</v>
      </c>
    </row>
    <row r="93" spans="1:2">
      <c r="A93" s="654" t="s">
        <v>1013</v>
      </c>
      <c r="B93" s="654">
        <v>10336</v>
      </c>
    </row>
    <row r="94" spans="1:2">
      <c r="A94" s="654" t="s">
        <v>1014</v>
      </c>
      <c r="B94" s="654">
        <v>14067</v>
      </c>
    </row>
    <row r="95" spans="1:2">
      <c r="A95" s="654" t="s">
        <v>148</v>
      </c>
      <c r="B95" s="654">
        <v>13943</v>
      </c>
    </row>
    <row r="96" spans="1:2" ht="25.5">
      <c r="A96" s="654" t="s">
        <v>78</v>
      </c>
      <c r="B96" s="654">
        <v>12107</v>
      </c>
    </row>
    <row r="97" spans="1:2">
      <c r="A97" s="654" t="s">
        <v>79</v>
      </c>
      <c r="B97" s="654">
        <v>14574</v>
      </c>
    </row>
    <row r="98" spans="1:2">
      <c r="A98" s="654" t="s">
        <v>1015</v>
      </c>
      <c r="B98" s="654">
        <v>14004</v>
      </c>
    </row>
    <row r="99" spans="1:2">
      <c r="A99" s="654" t="s">
        <v>8</v>
      </c>
      <c r="B99" s="654">
        <v>8858</v>
      </c>
    </row>
    <row r="100" spans="1:2">
      <c r="A100" s="654" t="s">
        <v>18</v>
      </c>
      <c r="B100" s="654">
        <v>8505</v>
      </c>
    </row>
    <row r="101" spans="1:2" ht="25.5">
      <c r="A101" s="654" t="s">
        <v>1016</v>
      </c>
      <c r="B101" s="654">
        <v>10349</v>
      </c>
    </row>
    <row r="102" spans="1:2">
      <c r="A102" s="654" t="s">
        <v>1017</v>
      </c>
      <c r="B102" s="654">
        <v>12582</v>
      </c>
    </row>
    <row r="103" spans="1:2">
      <c r="A103" s="654" t="s">
        <v>61</v>
      </c>
      <c r="B103" s="654">
        <v>7802</v>
      </c>
    </row>
    <row r="104" spans="1:2">
      <c r="A104" s="654" t="s">
        <v>80</v>
      </c>
      <c r="B104" s="654">
        <v>13462</v>
      </c>
    </row>
    <row r="105" spans="1:2">
      <c r="A105" s="654" t="s">
        <v>1018</v>
      </c>
      <c r="B105" s="654">
        <v>10349</v>
      </c>
    </row>
    <row r="106" spans="1:2">
      <c r="A106" s="654" t="s">
        <v>14</v>
      </c>
      <c r="B106" s="654">
        <v>9105</v>
      </c>
    </row>
    <row r="107" spans="1:2" ht="25.5">
      <c r="A107" s="654" t="s">
        <v>19</v>
      </c>
      <c r="B107" s="654">
        <v>13334</v>
      </c>
    </row>
    <row r="108" spans="1:2">
      <c r="A108" s="654" t="s">
        <v>1019</v>
      </c>
      <c r="B108" s="654">
        <v>10100</v>
      </c>
    </row>
    <row r="109" spans="1:2">
      <c r="A109" s="654" t="s">
        <v>1020</v>
      </c>
      <c r="B109" s="654">
        <v>10810</v>
      </c>
    </row>
    <row r="110" spans="1:2">
      <c r="A110" s="654" t="s">
        <v>152</v>
      </c>
      <c r="B110" s="654">
        <v>14942</v>
      </c>
    </row>
    <row r="111" spans="1:2">
      <c r="A111" s="654" t="s">
        <v>81</v>
      </c>
      <c r="B111" s="654">
        <v>14942</v>
      </c>
    </row>
    <row r="112" spans="1:2">
      <c r="A112" s="654" t="s">
        <v>37</v>
      </c>
      <c r="B112" s="654">
        <v>7084</v>
      </c>
    </row>
    <row r="113" spans="1:2">
      <c r="A113" s="654" t="s">
        <v>1021</v>
      </c>
      <c r="B113" s="654">
        <v>7165</v>
      </c>
    </row>
    <row r="114" spans="1:2">
      <c r="A114" s="654" t="s">
        <v>154</v>
      </c>
      <c r="B114" s="654">
        <v>11306</v>
      </c>
    </row>
    <row r="115" spans="1:2">
      <c r="A115" s="654" t="s">
        <v>1022</v>
      </c>
      <c r="B115" s="654">
        <v>11130</v>
      </c>
    </row>
    <row r="116" spans="1:2">
      <c r="A116" s="654" t="s">
        <v>1023</v>
      </c>
      <c r="B116" s="654">
        <v>10604</v>
      </c>
    </row>
    <row r="117" spans="1:2">
      <c r="A117" s="654" t="s">
        <v>1024</v>
      </c>
      <c r="B117" s="654">
        <v>9612</v>
      </c>
    </row>
    <row r="118" spans="1:2" ht="25.5">
      <c r="A118" s="654" t="s">
        <v>1025</v>
      </c>
      <c r="B118" s="654">
        <v>10349</v>
      </c>
    </row>
    <row r="119" spans="1:2">
      <c r="A119" s="654" t="s">
        <v>294</v>
      </c>
      <c r="B119" s="654">
        <v>8897</v>
      </c>
    </row>
    <row r="120" spans="1:2" ht="25.5">
      <c r="A120" s="654" t="s">
        <v>1026</v>
      </c>
      <c r="B120" s="654">
        <v>8021</v>
      </c>
    </row>
    <row r="121" spans="1:2">
      <c r="A121" s="654" t="s">
        <v>15</v>
      </c>
      <c r="B121" s="654">
        <v>8527</v>
      </c>
    </row>
    <row r="122" spans="1:2">
      <c r="A122" s="654" t="s">
        <v>208</v>
      </c>
      <c r="B122" s="654">
        <v>20370</v>
      </c>
    </row>
    <row r="123" spans="1:2">
      <c r="A123" s="654" t="s">
        <v>1027</v>
      </c>
      <c r="B123" s="654">
        <v>11395</v>
      </c>
    </row>
    <row r="124" spans="1:2">
      <c r="A124" s="654" t="s">
        <v>82</v>
      </c>
      <c r="B124" s="654">
        <v>14371</v>
      </c>
    </row>
    <row r="125" spans="1:2">
      <c r="A125" s="654" t="s">
        <v>112</v>
      </c>
      <c r="B125" s="654">
        <v>8539</v>
      </c>
    </row>
    <row r="126" spans="1:2">
      <c r="A126" s="654" t="s">
        <v>1028</v>
      </c>
      <c r="B126" s="654">
        <v>7802</v>
      </c>
    </row>
    <row r="127" spans="1:2">
      <c r="A127" s="654" t="s">
        <v>83</v>
      </c>
      <c r="B127" s="654">
        <v>13106</v>
      </c>
    </row>
    <row r="128" spans="1:2">
      <c r="A128" s="654" t="s">
        <v>1029</v>
      </c>
      <c r="B128" s="654">
        <v>11337</v>
      </c>
    </row>
    <row r="129" spans="1:2">
      <c r="A129" s="654" t="s">
        <v>295</v>
      </c>
      <c r="B129" s="654">
        <v>11395</v>
      </c>
    </row>
    <row r="130" spans="1:2" ht="25.5">
      <c r="A130" s="654" t="s">
        <v>1030</v>
      </c>
      <c r="B130" s="654">
        <v>14036</v>
      </c>
    </row>
    <row r="131" spans="1:2">
      <c r="A131" s="654" t="s">
        <v>296</v>
      </c>
      <c r="B131" s="654">
        <v>7084</v>
      </c>
    </row>
    <row r="132" spans="1:2">
      <c r="A132" s="654" t="s">
        <v>46</v>
      </c>
      <c r="B132" s="654">
        <v>15675</v>
      </c>
    </row>
    <row r="133" spans="1:2">
      <c r="A133" s="654" t="s">
        <v>162</v>
      </c>
      <c r="B133" s="654">
        <v>9733</v>
      </c>
    </row>
    <row r="134" spans="1:2" ht="25.5">
      <c r="A134" s="654" t="s">
        <v>1031</v>
      </c>
      <c r="B134" s="654">
        <v>11716</v>
      </c>
    </row>
    <row r="135" spans="1:2">
      <c r="A135" s="654" t="s">
        <v>257</v>
      </c>
      <c r="B135" s="654">
        <v>12990</v>
      </c>
    </row>
    <row r="136" spans="1:2">
      <c r="A136" s="654" t="s">
        <v>84</v>
      </c>
      <c r="B136" s="654">
        <v>16758</v>
      </c>
    </row>
    <row r="137" spans="1:2">
      <c r="A137" s="654" t="s">
        <v>62</v>
      </c>
      <c r="B137" s="654">
        <v>7084</v>
      </c>
    </row>
    <row r="138" spans="1:2">
      <c r="A138" s="654" t="s">
        <v>159</v>
      </c>
      <c r="B138" s="654">
        <v>10476</v>
      </c>
    </row>
    <row r="139" spans="1:2">
      <c r="A139" s="654" t="s">
        <v>43</v>
      </c>
      <c r="B139" s="654">
        <v>15716</v>
      </c>
    </row>
    <row r="140" spans="1:2">
      <c r="A140" s="654" t="s">
        <v>549</v>
      </c>
      <c r="B140" s="654">
        <v>8837</v>
      </c>
    </row>
    <row r="141" spans="1:2">
      <c r="A141" s="654" t="s">
        <v>44</v>
      </c>
      <c r="B141" s="654">
        <v>11610</v>
      </c>
    </row>
    <row r="142" spans="1:2">
      <c r="A142" s="654" t="s">
        <v>167</v>
      </c>
      <c r="B142" s="654">
        <v>11306</v>
      </c>
    </row>
    <row r="143" spans="1:2" ht="25.5">
      <c r="A143" s="654" t="s">
        <v>38</v>
      </c>
      <c r="B143" s="654">
        <v>11306</v>
      </c>
    </row>
    <row r="144" spans="1:2">
      <c r="A144" s="654" t="s">
        <v>169</v>
      </c>
      <c r="B144" s="654">
        <v>13467</v>
      </c>
    </row>
    <row r="145" spans="1:2">
      <c r="A145" s="654" t="s">
        <v>33</v>
      </c>
      <c r="B145" s="654">
        <v>16032</v>
      </c>
    </row>
    <row r="146" spans="1:2">
      <c r="A146" s="654" t="s">
        <v>85</v>
      </c>
      <c r="B146" s="654">
        <v>13943</v>
      </c>
    </row>
    <row r="147" spans="1:2">
      <c r="A147" s="654" t="s">
        <v>258</v>
      </c>
      <c r="B147" s="654">
        <v>14371</v>
      </c>
    </row>
    <row r="148" spans="1:2">
      <c r="A148" s="654" t="s">
        <v>1032</v>
      </c>
      <c r="B148" s="654">
        <v>8134</v>
      </c>
    </row>
    <row r="149" spans="1:2">
      <c r="A149" s="654" t="s">
        <v>173</v>
      </c>
      <c r="B149" s="654">
        <v>13106</v>
      </c>
    </row>
    <row r="150" spans="1:2" ht="25.5">
      <c r="A150" s="654" t="s">
        <v>1033</v>
      </c>
      <c r="B150" s="654">
        <v>12990</v>
      </c>
    </row>
    <row r="151" spans="1:2">
      <c r="A151" s="654" t="s">
        <v>177</v>
      </c>
      <c r="B151" s="654">
        <v>9065</v>
      </c>
    </row>
    <row r="152" spans="1:2">
      <c r="A152" s="654" t="s">
        <v>179</v>
      </c>
      <c r="B152" s="654">
        <v>11306</v>
      </c>
    </row>
    <row r="153" spans="1:2" ht="25.5">
      <c r="A153" s="654" t="s">
        <v>181</v>
      </c>
      <c r="B153" s="654">
        <v>13339</v>
      </c>
    </row>
    <row r="154" spans="1:2" ht="25.5">
      <c r="A154" s="654" t="s">
        <v>86</v>
      </c>
      <c r="B154" s="654">
        <v>13382</v>
      </c>
    </row>
    <row r="155" spans="1:2" ht="25.5">
      <c r="A155" s="654" t="s">
        <v>1034</v>
      </c>
      <c r="B155" s="654">
        <v>14593</v>
      </c>
    </row>
    <row r="156" spans="1:2">
      <c r="A156" s="654" t="s">
        <v>185</v>
      </c>
      <c r="B156" s="654">
        <v>11306</v>
      </c>
    </row>
    <row r="157" spans="1:2">
      <c r="A157" s="654" t="s">
        <v>87</v>
      </c>
      <c r="B157" s="654">
        <v>12785</v>
      </c>
    </row>
    <row r="158" spans="1:2">
      <c r="A158" s="654" t="s">
        <v>1035</v>
      </c>
      <c r="B158" s="654">
        <v>13053</v>
      </c>
    </row>
    <row r="159" spans="1:2">
      <c r="A159" s="654" t="s">
        <v>16</v>
      </c>
      <c r="B159" s="654">
        <v>14574</v>
      </c>
    </row>
    <row r="160" spans="1:2">
      <c r="A160" s="654" t="s">
        <v>1036</v>
      </c>
      <c r="B160" s="654">
        <v>13575</v>
      </c>
    </row>
    <row r="161" spans="1:2" ht="25.5">
      <c r="A161" s="654" t="s">
        <v>1037</v>
      </c>
      <c r="B161" s="654">
        <v>15400</v>
      </c>
    </row>
    <row r="162" spans="1:2">
      <c r="A162" s="654" t="s">
        <v>867</v>
      </c>
      <c r="B162" s="654">
        <v>7000</v>
      </c>
    </row>
    <row r="163" spans="1:2" ht="25.5">
      <c r="A163" s="654" t="s">
        <v>1038</v>
      </c>
      <c r="B163" s="654">
        <v>7165</v>
      </c>
    </row>
    <row r="164" spans="1:2" ht="25.5">
      <c r="A164" s="654" t="s">
        <v>1039</v>
      </c>
      <c r="B164" s="654">
        <v>13858</v>
      </c>
    </row>
    <row r="165" spans="1:2">
      <c r="A165" s="654" t="s">
        <v>88</v>
      </c>
      <c r="B165" s="654">
        <v>15528</v>
      </c>
    </row>
    <row r="166" spans="1:2" ht="25.5">
      <c r="A166" s="654" t="s">
        <v>1040</v>
      </c>
      <c r="B166" s="654">
        <v>11126</v>
      </c>
    </row>
    <row r="167" spans="1:2" ht="25.5">
      <c r="A167" s="654" t="s">
        <v>89</v>
      </c>
      <c r="B167" s="654">
        <v>13448</v>
      </c>
    </row>
    <row r="168" spans="1:2">
      <c r="A168" s="654" t="s">
        <v>1041</v>
      </c>
      <c r="B168" s="654">
        <v>11716</v>
      </c>
    </row>
    <row r="169" spans="1:2">
      <c r="A169" s="654" t="s">
        <v>1042</v>
      </c>
      <c r="B169" s="654">
        <v>13356</v>
      </c>
    </row>
    <row r="170" spans="1:2">
      <c r="A170" s="654" t="s">
        <v>196</v>
      </c>
      <c r="B170" s="654">
        <v>13106</v>
      </c>
    </row>
    <row r="171" spans="1:2">
      <c r="A171" s="654" t="s">
        <v>39</v>
      </c>
      <c r="B171" s="654">
        <v>13106</v>
      </c>
    </row>
    <row r="172" spans="1:2">
      <c r="A172" s="654" t="s">
        <v>64</v>
      </c>
      <c r="B172" s="654">
        <v>7084</v>
      </c>
    </row>
    <row r="173" spans="1:2" ht="25.5">
      <c r="A173" s="654" t="s">
        <v>201</v>
      </c>
      <c r="B173" s="654">
        <v>8865</v>
      </c>
    </row>
    <row r="174" spans="1:2">
      <c r="A174" s="654" t="s">
        <v>1043</v>
      </c>
      <c r="B174" s="654">
        <v>14539</v>
      </c>
    </row>
    <row r="175" spans="1:2" ht="25.5">
      <c r="A175" s="654" t="s">
        <v>90</v>
      </c>
      <c r="B175" s="654">
        <v>11306</v>
      </c>
    </row>
    <row r="176" spans="1:2">
      <c r="A176" s="654" t="s">
        <v>1044</v>
      </c>
      <c r="B176" s="654">
        <v>11130</v>
      </c>
    </row>
    <row r="177" spans="1:2">
      <c r="A177" s="654" t="s">
        <v>250</v>
      </c>
      <c r="B177" s="654">
        <v>13048</v>
      </c>
    </row>
    <row r="178" spans="1:2">
      <c r="A178" s="654" t="s">
        <v>91</v>
      </c>
      <c r="B178" s="654">
        <v>13048</v>
      </c>
    </row>
    <row r="179" spans="1:2">
      <c r="A179" s="654" t="s">
        <v>1045</v>
      </c>
      <c r="B179" s="654">
        <v>10899</v>
      </c>
    </row>
    <row r="180" spans="1:2">
      <c r="A180" s="654" t="s">
        <v>1046</v>
      </c>
      <c r="B180" s="654">
        <v>11155</v>
      </c>
    </row>
    <row r="181" spans="1:2">
      <c r="A181" s="654" t="s">
        <v>203</v>
      </c>
      <c r="B181" s="654">
        <v>15214</v>
      </c>
    </row>
    <row r="182" spans="1:2">
      <c r="A182" s="654" t="s">
        <v>35</v>
      </c>
      <c r="B182" s="654">
        <v>9555</v>
      </c>
    </row>
    <row r="183" spans="1:2">
      <c r="A183" s="654" t="s">
        <v>1047</v>
      </c>
      <c r="B183" s="654">
        <v>11155</v>
      </c>
    </row>
    <row r="184" spans="1:2">
      <c r="A184" s="654" t="s">
        <v>31</v>
      </c>
      <c r="B184" s="654">
        <v>16758</v>
      </c>
    </row>
    <row r="185" spans="1:2">
      <c r="A185" s="654" t="s">
        <v>21</v>
      </c>
      <c r="B185" s="654">
        <v>14371</v>
      </c>
    </row>
    <row r="186" spans="1:2">
      <c r="A186" s="654" t="s">
        <v>1048</v>
      </c>
      <c r="B186" s="654">
        <v>11130</v>
      </c>
    </row>
    <row r="187" spans="1:2">
      <c r="A187" s="654" t="s">
        <v>92</v>
      </c>
      <c r="B187" s="654">
        <v>15675</v>
      </c>
    </row>
    <row r="188" spans="1:2">
      <c r="A188" s="654" t="s">
        <v>1049</v>
      </c>
      <c r="B188" s="654">
        <v>15403</v>
      </c>
    </row>
    <row r="189" spans="1:2">
      <c r="A189" s="654" t="s">
        <v>1050</v>
      </c>
      <c r="B189" s="654">
        <v>15763</v>
      </c>
    </row>
    <row r="190" spans="1:2">
      <c r="A190" s="654" t="s">
        <v>209</v>
      </c>
      <c r="B190" s="654">
        <v>20370</v>
      </c>
    </row>
    <row r="191" spans="1:2">
      <c r="A191" s="654" t="s">
        <v>93</v>
      </c>
      <c r="B191" s="654">
        <v>14371</v>
      </c>
    </row>
    <row r="192" spans="1:2" ht="25.5">
      <c r="A192" s="654" t="s">
        <v>94</v>
      </c>
      <c r="B192" s="654">
        <v>13106</v>
      </c>
    </row>
    <row r="193" spans="1:2" ht="25.5">
      <c r="A193" s="654" t="s">
        <v>1051</v>
      </c>
      <c r="B193" s="654">
        <v>13467</v>
      </c>
    </row>
    <row r="194" spans="1:2">
      <c r="A194" s="654" t="s">
        <v>29</v>
      </c>
      <c r="B194" s="654">
        <v>8614</v>
      </c>
    </row>
    <row r="195" spans="1:2">
      <c r="A195" s="654" t="s">
        <v>1052</v>
      </c>
      <c r="B195" s="654">
        <v>13106</v>
      </c>
    </row>
    <row r="196" spans="1:2">
      <c r="A196" s="654" t="s">
        <v>217</v>
      </c>
      <c r="B196" s="654">
        <v>8539</v>
      </c>
    </row>
    <row r="197" spans="1:2">
      <c r="A197" s="654" t="s">
        <v>297</v>
      </c>
      <c r="B197" s="654">
        <v>10868</v>
      </c>
    </row>
    <row r="198" spans="1:2">
      <c r="A198" s="654" t="s">
        <v>1053</v>
      </c>
      <c r="B198" s="654">
        <v>14182</v>
      </c>
    </row>
    <row r="199" spans="1:2">
      <c r="A199" s="654" t="s">
        <v>45</v>
      </c>
      <c r="B199" s="654">
        <v>11130</v>
      </c>
    </row>
    <row r="200" spans="1:2">
      <c r="A200" s="654" t="s">
        <v>1054</v>
      </c>
      <c r="B200" s="654">
        <v>8529</v>
      </c>
    </row>
    <row r="201" spans="1:2">
      <c r="A201" s="654" t="s">
        <v>1055</v>
      </c>
      <c r="B201" s="654">
        <v>9612</v>
      </c>
    </row>
    <row r="202" spans="1:2">
      <c r="A202" s="654" t="s">
        <v>550</v>
      </c>
      <c r="B202" s="654">
        <v>8134</v>
      </c>
    </row>
    <row r="203" spans="1:2">
      <c r="A203" s="654" t="s">
        <v>220</v>
      </c>
      <c r="B203" s="654">
        <v>10415</v>
      </c>
    </row>
    <row r="204" spans="1:2" ht="25.5">
      <c r="A204" s="654" t="s">
        <v>95</v>
      </c>
      <c r="B204" s="654">
        <v>13334</v>
      </c>
    </row>
    <row r="205" spans="1:2" ht="25.5">
      <c r="A205" s="654" t="s">
        <v>96</v>
      </c>
      <c r="B205" s="654">
        <v>12785</v>
      </c>
    </row>
    <row r="206" spans="1:2">
      <c r="A206" s="654" t="s">
        <v>259</v>
      </c>
      <c r="B206" s="654">
        <v>12107</v>
      </c>
    </row>
    <row r="207" spans="1:2" ht="25.5">
      <c r="A207" s="654" t="s">
        <v>1056</v>
      </c>
      <c r="B207" s="654">
        <v>7084</v>
      </c>
    </row>
    <row r="208" spans="1:2">
      <c r="A208" s="654" t="s">
        <v>210</v>
      </c>
      <c r="B208" s="654">
        <v>16501</v>
      </c>
    </row>
    <row r="209" spans="1:2">
      <c r="A209" s="654" t="s">
        <v>211</v>
      </c>
      <c r="B209" s="654">
        <v>19109</v>
      </c>
    </row>
    <row r="210" spans="1:2" ht="25.5">
      <c r="A210" s="654" t="s">
        <v>1057</v>
      </c>
      <c r="B210" s="654">
        <v>7513</v>
      </c>
    </row>
    <row r="211" spans="1:2" ht="25.5">
      <c r="A211" s="654" t="s">
        <v>233</v>
      </c>
      <c r="B211" s="654">
        <v>11206</v>
      </c>
    </row>
    <row r="212" spans="1:2" ht="25.5">
      <c r="A212" s="654" t="s">
        <v>1058</v>
      </c>
      <c r="B212" s="654">
        <v>10136</v>
      </c>
    </row>
    <row r="213" spans="1:2" ht="25.5">
      <c r="A213" s="654" t="s">
        <v>223</v>
      </c>
      <c r="B213" s="654">
        <v>10415</v>
      </c>
    </row>
    <row r="214" spans="1:2">
      <c r="A214" s="654" t="s">
        <v>1059</v>
      </c>
      <c r="B214" s="654">
        <v>8539</v>
      </c>
    </row>
    <row r="215" spans="1:2" ht="25.5">
      <c r="A215" s="654" t="s">
        <v>1060</v>
      </c>
      <c r="B215" s="654">
        <v>7084</v>
      </c>
    </row>
    <row r="216" spans="1:2">
      <c r="A216" s="654" t="s">
        <v>27</v>
      </c>
      <c r="B216" s="654">
        <v>12107</v>
      </c>
    </row>
    <row r="217" spans="1:2">
      <c r="A217" s="654" t="s">
        <v>409</v>
      </c>
      <c r="B217" s="654">
        <v>15528</v>
      </c>
    </row>
    <row r="218" spans="1:2">
      <c r="A218" s="654" t="s">
        <v>190</v>
      </c>
      <c r="B218" s="654">
        <v>13339</v>
      </c>
    </row>
    <row r="219" spans="1:2">
      <c r="A219" s="654" t="s">
        <v>34</v>
      </c>
      <c r="B219" s="654">
        <v>13858</v>
      </c>
    </row>
    <row r="220" spans="1:2" ht="25.5">
      <c r="A220" s="654" t="s">
        <v>97</v>
      </c>
      <c r="B220" s="654">
        <v>13382</v>
      </c>
    </row>
    <row r="221" spans="1:2" ht="25.5">
      <c r="A221" s="654" t="s">
        <v>1061</v>
      </c>
      <c r="B221" s="654">
        <v>10242</v>
      </c>
    </row>
    <row r="222" spans="1:2" ht="25.5">
      <c r="A222" s="654" t="s">
        <v>1062</v>
      </c>
      <c r="B222" s="654">
        <v>12785</v>
      </c>
    </row>
    <row r="223" spans="1:2" ht="25.5">
      <c r="A223" s="654" t="s">
        <v>1063</v>
      </c>
      <c r="B223" s="654">
        <v>14272</v>
      </c>
    </row>
    <row r="224" spans="1:2">
      <c r="A224" s="654" t="s">
        <v>1064</v>
      </c>
      <c r="B224" s="654">
        <v>11178</v>
      </c>
    </row>
    <row r="225" spans="1:2">
      <c r="A225" s="654" t="s">
        <v>1065</v>
      </c>
      <c r="B225" s="654">
        <v>14274</v>
      </c>
    </row>
    <row r="226" spans="1:2">
      <c r="A226" s="654" t="s">
        <v>227</v>
      </c>
      <c r="B226" s="654">
        <v>8865</v>
      </c>
    </row>
    <row r="227" spans="1:2">
      <c r="A227" s="654" t="s">
        <v>98</v>
      </c>
      <c r="B227" s="654">
        <v>14971</v>
      </c>
    </row>
    <row r="228" spans="1:2">
      <c r="A228" s="654" t="s">
        <v>1066</v>
      </c>
      <c r="B228" s="654">
        <v>7165</v>
      </c>
    </row>
    <row r="229" spans="1:2" ht="25.5">
      <c r="A229" s="654" t="s">
        <v>99</v>
      </c>
      <c r="B229" s="654">
        <v>13048</v>
      </c>
    </row>
    <row r="230" spans="1:2">
      <c r="A230" s="654" t="s">
        <v>100</v>
      </c>
      <c r="B230" s="654">
        <v>16827</v>
      </c>
    </row>
    <row r="231" spans="1:2">
      <c r="A231" s="654" t="s">
        <v>1067</v>
      </c>
      <c r="B231" s="654">
        <v>10136</v>
      </c>
    </row>
    <row r="232" spans="1:2">
      <c r="A232" s="654" t="s">
        <v>1068</v>
      </c>
      <c r="B232" s="654">
        <v>9188</v>
      </c>
    </row>
    <row r="233" spans="1:2">
      <c r="A233" s="654" t="s">
        <v>101</v>
      </c>
      <c r="B233" s="654">
        <v>13462</v>
      </c>
    </row>
    <row r="234" spans="1:2">
      <c r="A234" s="654" t="s">
        <v>102</v>
      </c>
      <c r="B234" s="654">
        <v>13919</v>
      </c>
    </row>
    <row r="235" spans="1:2">
      <c r="A235" s="654" t="s">
        <v>1069</v>
      </c>
      <c r="B235" s="654">
        <v>9555</v>
      </c>
    </row>
    <row r="236" spans="1:2">
      <c r="A236" s="654" t="s">
        <v>103</v>
      </c>
      <c r="B236" s="654">
        <v>15790</v>
      </c>
    </row>
    <row r="237" spans="1:2">
      <c r="A237" s="654" t="s">
        <v>32</v>
      </c>
      <c r="B237" s="654">
        <v>15586</v>
      </c>
    </row>
    <row r="238" spans="1:2">
      <c r="A238" s="654" t="s">
        <v>551</v>
      </c>
      <c r="B238" s="654">
        <v>8011</v>
      </c>
    </row>
    <row r="239" spans="1:2">
      <c r="A239" s="654" t="s">
        <v>20</v>
      </c>
      <c r="B239" s="654">
        <v>8666</v>
      </c>
    </row>
    <row r="240" spans="1:2">
      <c r="A240" s="654" t="s">
        <v>1070</v>
      </c>
      <c r="B240" s="654">
        <v>11873</v>
      </c>
    </row>
    <row r="241" spans="1:2">
      <c r="A241" s="654" t="s">
        <v>253</v>
      </c>
      <c r="B241" s="654">
        <v>14004</v>
      </c>
    </row>
    <row r="242" spans="1:2">
      <c r="A242" s="654" t="s">
        <v>191</v>
      </c>
      <c r="B242" s="654">
        <v>13339</v>
      </c>
    </row>
    <row r="243" spans="1:2">
      <c r="A243" s="654" t="s">
        <v>1071</v>
      </c>
      <c r="B243" s="654">
        <v>11775</v>
      </c>
    </row>
    <row r="244" spans="1:2" ht="25.5">
      <c r="A244" s="654" t="s">
        <v>1072</v>
      </c>
      <c r="B244" s="654">
        <v>11772</v>
      </c>
    </row>
    <row r="245" spans="1:2">
      <c r="A245" s="654" t="s">
        <v>106</v>
      </c>
      <c r="B245" s="654">
        <v>14272</v>
      </c>
    </row>
    <row r="246" spans="1:2">
      <c r="A246" s="654" t="s">
        <v>1073</v>
      </c>
      <c r="B246" s="654">
        <v>12006</v>
      </c>
    </row>
    <row r="247" spans="1:2" ht="25.5">
      <c r="A247" s="654" t="s">
        <v>411</v>
      </c>
      <c r="B247" s="654">
        <v>15528</v>
      </c>
    </row>
    <row r="248" spans="1:2">
      <c r="A248" s="654" t="s">
        <v>192</v>
      </c>
      <c r="B248" s="654">
        <v>12633</v>
      </c>
    </row>
    <row r="249" spans="1:2">
      <c r="A249" s="654" t="s">
        <v>1074</v>
      </c>
      <c r="B249" s="654">
        <v>10451</v>
      </c>
    </row>
    <row r="250" spans="1:2">
      <c r="A250" s="654" t="s">
        <v>231</v>
      </c>
      <c r="B250" s="654">
        <v>14424</v>
      </c>
    </row>
    <row r="251" spans="1:2">
      <c r="A251" s="654" t="s">
        <v>1075</v>
      </c>
      <c r="B251" s="654">
        <v>11804</v>
      </c>
    </row>
    <row r="252" spans="1:2">
      <c r="A252" s="654" t="s">
        <v>1076</v>
      </c>
      <c r="B252" s="654">
        <v>15479</v>
      </c>
    </row>
    <row r="253" spans="1:2">
      <c r="A253" s="654" t="s">
        <v>235</v>
      </c>
      <c r="B253" s="654">
        <v>15024</v>
      </c>
    </row>
    <row r="254" spans="1:2">
      <c r="A254" s="654" t="s">
        <v>237</v>
      </c>
      <c r="B254" s="654">
        <v>9778</v>
      </c>
    </row>
    <row r="255" spans="1:2">
      <c r="A255" s="654" t="s">
        <v>1077</v>
      </c>
      <c r="B255" s="654">
        <v>14067</v>
      </c>
    </row>
    <row r="256" spans="1:2">
      <c r="A256" s="654" t="s">
        <v>254</v>
      </c>
      <c r="B256" s="654">
        <v>15142</v>
      </c>
    </row>
    <row r="257" spans="1:2" ht="25.5">
      <c r="A257" s="654" t="s">
        <v>239</v>
      </c>
      <c r="B257" s="654">
        <v>8180</v>
      </c>
    </row>
    <row r="258" spans="1:2">
      <c r="A258" s="654" t="s">
        <v>66</v>
      </c>
      <c r="B258" s="654">
        <v>15400</v>
      </c>
    </row>
    <row r="259" spans="1:2">
      <c r="A259" s="654" t="s">
        <v>423</v>
      </c>
      <c r="B259" s="654">
        <v>7802</v>
      </c>
    </row>
    <row r="260" spans="1:2">
      <c r="A260" s="654" t="s">
        <v>107</v>
      </c>
      <c r="B260" s="654">
        <v>11306</v>
      </c>
    </row>
    <row r="261" spans="1:2">
      <c r="A261" s="654" t="s">
        <v>13</v>
      </c>
      <c r="B261" s="654">
        <v>15400</v>
      </c>
    </row>
    <row r="262" spans="1:2" ht="25.5">
      <c r="A262" s="654" t="s">
        <v>108</v>
      </c>
      <c r="B262" s="654">
        <v>12990</v>
      </c>
    </row>
    <row r="263" spans="1:2">
      <c r="A263" s="654" t="s">
        <v>1078</v>
      </c>
      <c r="B263" s="654">
        <v>13928</v>
      </c>
    </row>
    <row r="264" spans="1:2" ht="25.5">
      <c r="A264" s="654" t="s">
        <v>1079</v>
      </c>
      <c r="B264" s="654">
        <v>11863</v>
      </c>
    </row>
    <row r="265" spans="1:2">
      <c r="A265" s="654" t="s">
        <v>241</v>
      </c>
      <c r="B265" s="654">
        <v>13106</v>
      </c>
    </row>
    <row r="266" spans="1:2">
      <c r="A266" s="654" t="s">
        <v>243</v>
      </c>
      <c r="B266" s="654">
        <v>13106</v>
      </c>
    </row>
    <row r="267" spans="1:2">
      <c r="A267" s="654" t="s">
        <v>1080</v>
      </c>
      <c r="B267" s="654">
        <v>13106</v>
      </c>
    </row>
    <row r="268" spans="1:2">
      <c r="A268" s="654" t="s">
        <v>245</v>
      </c>
      <c r="B268" s="654">
        <v>11306</v>
      </c>
    </row>
    <row r="269" spans="1:2">
      <c r="A269" s="654" t="s">
        <v>1081</v>
      </c>
      <c r="B269" s="654">
        <v>9742</v>
      </c>
    </row>
    <row r="270" spans="1:2">
      <c r="A270" s="654" t="s">
        <v>1082</v>
      </c>
      <c r="B270" s="654">
        <v>10415</v>
      </c>
    </row>
    <row r="271" spans="1:2">
      <c r="A271" s="654" t="s">
        <v>22</v>
      </c>
      <c r="B271" s="654">
        <v>13919</v>
      </c>
    </row>
    <row r="272" spans="1:2">
      <c r="A272" s="654" t="s">
        <v>36</v>
      </c>
      <c r="B272" s="654">
        <v>9014</v>
      </c>
    </row>
    <row r="273" spans="1:2" ht="25.5">
      <c r="A273" s="654" t="s">
        <v>1083</v>
      </c>
      <c r="B273" s="654">
        <v>13356</v>
      </c>
    </row>
    <row r="274" spans="1:2">
      <c r="A274" s="654" t="s">
        <v>1084</v>
      </c>
      <c r="B274" s="654">
        <v>9711</v>
      </c>
    </row>
    <row r="275" spans="1:2">
      <c r="A275" s="654" t="s">
        <v>414</v>
      </c>
      <c r="B275" s="654">
        <v>16465</v>
      </c>
    </row>
    <row r="276" spans="1:2">
      <c r="A276" s="654" t="s">
        <v>212</v>
      </c>
      <c r="B276" s="654">
        <v>19824</v>
      </c>
    </row>
    <row r="277" spans="1:2">
      <c r="A277" s="654" t="s">
        <v>110</v>
      </c>
      <c r="B277" s="654">
        <v>15939</v>
      </c>
    </row>
    <row r="278" spans="1:2">
      <c r="A278" s="654" t="s">
        <v>1085</v>
      </c>
      <c r="B278" s="654">
        <v>7165</v>
      </c>
    </row>
    <row r="279" spans="1:2">
      <c r="A279" s="654" t="s">
        <v>298</v>
      </c>
      <c r="B279" s="654">
        <v>10810</v>
      </c>
    </row>
    <row r="280" spans="1:2" ht="25.5">
      <c r="A280" s="654" t="s">
        <v>68</v>
      </c>
      <c r="B280" s="654">
        <v>7084</v>
      </c>
    </row>
    <row r="281" spans="1:2" ht="25.5">
      <c r="A281" s="654" t="s">
        <v>261</v>
      </c>
      <c r="B281" s="654">
        <v>13578</v>
      </c>
    </row>
    <row r="282" spans="1:2">
      <c r="A282" s="654" t="s">
        <v>1086</v>
      </c>
      <c r="B282" s="654">
        <v>9348</v>
      </c>
    </row>
    <row r="283" spans="1:2">
      <c r="A283" s="654" t="s">
        <v>1087</v>
      </c>
      <c r="B283" s="654">
        <v>12332</v>
      </c>
    </row>
    <row r="284" spans="1:2">
      <c r="A284" s="654" t="s">
        <v>1088</v>
      </c>
      <c r="B284" s="654">
        <v>15959</v>
      </c>
    </row>
    <row r="285" spans="1:2">
      <c r="A285" s="654" t="s">
        <v>552</v>
      </c>
      <c r="B285" s="654">
        <v>7968</v>
      </c>
    </row>
    <row r="286" spans="1:2">
      <c r="A286" s="654" t="s">
        <v>25</v>
      </c>
      <c r="B286" s="654">
        <v>9605</v>
      </c>
    </row>
  </sheetData>
  <pageMargins left="0.7" right="0.7" top="0.75" bottom="0.75" header="0.3" footer="0.3"/>
  <pageSetup orientation="portrait" r:id="rId1"/>
  <legacy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1:BN186"/>
  <sheetViews>
    <sheetView workbookViewId="0">
      <selection activeCell="D101" sqref="D101"/>
    </sheetView>
  </sheetViews>
  <sheetFormatPr defaultRowHeight="12.75"/>
  <cols>
    <col min="1" max="2" width="10.140625" style="90" customWidth="1"/>
    <col min="3" max="3" width="29.7109375" style="90" bestFit="1" customWidth="1"/>
    <col min="4" max="4" width="26.42578125" style="90" bestFit="1" customWidth="1"/>
    <col min="5" max="9" width="11.140625" style="90" customWidth="1"/>
    <col min="10" max="19" width="12.140625" style="90" customWidth="1"/>
    <col min="20" max="20" width="12.140625" style="98" customWidth="1"/>
    <col min="21" max="65" width="12.140625" style="90" customWidth="1"/>
    <col min="66" max="66" width="12.140625" style="216" customWidth="1"/>
    <col min="67" max="16384" width="9.140625" style="90"/>
  </cols>
  <sheetData>
    <row r="1" spans="1:66">
      <c r="A1" s="1414" t="s">
        <v>1106</v>
      </c>
      <c r="B1" s="1415"/>
      <c r="C1" s="1415"/>
      <c r="D1" s="1416"/>
      <c r="E1" s="1416"/>
      <c r="F1" s="1416"/>
      <c r="G1" s="1416"/>
      <c r="H1" s="1416"/>
      <c r="I1" s="1416"/>
      <c r="J1" s="1416"/>
      <c r="K1" s="1416"/>
      <c r="L1" s="1416"/>
      <c r="M1" s="1416"/>
      <c r="N1" s="1416"/>
      <c r="O1" s="1416"/>
      <c r="P1" s="1416"/>
      <c r="Q1" s="1416"/>
      <c r="R1" s="1416"/>
      <c r="S1" s="1416"/>
      <c r="T1" s="1417"/>
      <c r="U1" s="1418"/>
      <c r="V1" s="1418"/>
      <c r="W1" s="1418"/>
      <c r="X1" s="1418"/>
      <c r="Y1" s="1418"/>
      <c r="Z1" s="1418"/>
      <c r="AA1" s="1418"/>
      <c r="AB1" s="1418"/>
      <c r="AC1" s="1418"/>
      <c r="AD1" s="1418"/>
      <c r="AE1" s="1418"/>
      <c r="AF1" s="1418"/>
      <c r="AG1" s="1418"/>
      <c r="AH1" s="1418"/>
      <c r="AI1" s="1418"/>
      <c r="AJ1" s="1418"/>
      <c r="AK1" s="1418"/>
      <c r="AL1" s="1418"/>
      <c r="AM1" s="1418"/>
      <c r="AN1" s="1418"/>
      <c r="AO1" s="1418"/>
      <c r="AP1" s="1418"/>
      <c r="AQ1" s="1418"/>
      <c r="AR1" s="1418"/>
      <c r="AS1" s="1418"/>
      <c r="AT1" s="1418"/>
      <c r="AU1" s="1418"/>
      <c r="AV1" s="1418"/>
      <c r="AW1" s="1418"/>
      <c r="AX1" s="1418"/>
      <c r="AY1" s="1418"/>
      <c r="AZ1" s="1418"/>
      <c r="BA1" s="1418"/>
      <c r="BB1" s="1418"/>
      <c r="BC1" s="1418"/>
      <c r="BD1" s="1418"/>
      <c r="BE1" s="1418"/>
      <c r="BF1" s="1418"/>
      <c r="BG1" s="1418"/>
      <c r="BH1" s="1418"/>
      <c r="BI1" s="1418"/>
      <c r="BJ1" s="1418"/>
      <c r="BK1" s="1418"/>
      <c r="BL1" s="1418"/>
      <c r="BM1" s="1418"/>
      <c r="BN1" s="1418"/>
    </row>
    <row r="4" spans="1:66">
      <c r="A4" s="1419"/>
      <c r="B4" s="1415"/>
      <c r="C4" s="1420" t="s">
        <v>0</v>
      </c>
      <c r="D4" s="1420" t="s">
        <v>1325</v>
      </c>
      <c r="E4" s="1421">
        <v>0.47318083710651815</v>
      </c>
      <c r="F4" s="1421">
        <v>0.48737626221971375</v>
      </c>
      <c r="G4" s="1421">
        <v>0.5019975500863052</v>
      </c>
      <c r="H4" s="1421">
        <v>0.51705747658889434</v>
      </c>
      <c r="I4" s="1421">
        <v>0.53256920088656123</v>
      </c>
      <c r="J4" s="1421">
        <v>0.54854627691315816</v>
      </c>
      <c r="K4" s="1421">
        <v>0.56500266522055287</v>
      </c>
      <c r="L4" s="1421">
        <v>0.58195274517716944</v>
      </c>
      <c r="M4" s="1421">
        <v>0.59941132753248449</v>
      </c>
      <c r="N4" s="1421">
        <v>0.61739366735845913</v>
      </c>
      <c r="O4" s="1421">
        <v>0.63591547737921283</v>
      </c>
      <c r="P4" s="1421">
        <v>0.6549929417005893</v>
      </c>
      <c r="Q4" s="1421">
        <v>0.67464272995160701</v>
      </c>
      <c r="R4" s="1421">
        <v>0.6948820118501553</v>
      </c>
      <c r="S4" s="1421">
        <v>0.71572847220565994</v>
      </c>
      <c r="T4" s="1421">
        <v>0.73720032637182975</v>
      </c>
      <c r="U4" s="1421">
        <v>0.75931633616298455</v>
      </c>
      <c r="V4" s="1421">
        <v>0.78209582624787422</v>
      </c>
      <c r="W4" s="1421">
        <v>0.80555870103531035</v>
      </c>
      <c r="X4" s="1421">
        <v>0.82972546206636977</v>
      </c>
      <c r="Y4" s="1421">
        <v>0.85461722592836087</v>
      </c>
      <c r="Z4" s="1421">
        <v>0.88025574270621176</v>
      </c>
      <c r="AA4" s="1421">
        <v>0.906663414987398</v>
      </c>
      <c r="AB4" s="1421">
        <v>0.93386331743702</v>
      </c>
      <c r="AC4" s="1421">
        <v>0.96187921696013068</v>
      </c>
      <c r="AD4" s="1421">
        <v>0.99073559346893469</v>
      </c>
      <c r="AE4" s="1421">
        <v>1.0204576612730027</v>
      </c>
      <c r="AF4" s="1421">
        <v>1.0510713911111929</v>
      </c>
      <c r="AG4" s="1421">
        <v>1.0826035328445287</v>
      </c>
      <c r="AH4" s="1421">
        <v>1.1150816388298646</v>
      </c>
      <c r="AI4" s="1421">
        <v>1.1485340879947608</v>
      </c>
      <c r="AJ4" s="1421">
        <v>1.1829901106346035</v>
      </c>
      <c r="AK4" s="1421">
        <v>1.2184798139536415</v>
      </c>
      <c r="AL4" s="1421">
        <v>1.2550342083722508</v>
      </c>
      <c r="AM4" s="1421">
        <v>1.2926852346234183</v>
      </c>
      <c r="AN4" s="1421">
        <v>1.3314657916621211</v>
      </c>
      <c r="AO4" s="1421">
        <v>1.3714097654119848</v>
      </c>
      <c r="AP4" s="1421">
        <v>1.4125520583743443</v>
      </c>
      <c r="AQ4" s="1421">
        <v>1.4549286201255749</v>
      </c>
      <c r="AR4" s="1421">
        <v>1.4985764787293419</v>
      </c>
      <c r="AS4" s="1421">
        <v>1.5435337730912222</v>
      </c>
      <c r="AT4" s="1421">
        <v>1.5898397862839588</v>
      </c>
      <c r="AU4" s="1421">
        <v>1.6375349798724776</v>
      </c>
      <c r="AV4" s="1421">
        <v>1.6866610292686519</v>
      </c>
      <c r="AW4" s="1421">
        <v>1.7372608601467114</v>
      </c>
      <c r="AX4" s="1421">
        <v>1.7893786859511129</v>
      </c>
      <c r="AY4" s="1421">
        <v>1.8430600465296465</v>
      </c>
      <c r="AZ4" s="1421">
        <v>1.8983518479255357</v>
      </c>
      <c r="BA4" s="1421">
        <v>1.955302403363302</v>
      </c>
      <c r="BB4" s="1421">
        <v>2.013961475464201</v>
      </c>
      <c r="BC4" s="1421">
        <v>2.0743803197281272</v>
      </c>
      <c r="BD4" s="1421">
        <v>2.1366117293199713</v>
      </c>
      <c r="BE4" s="1421">
        <v>2.2007100811995706</v>
      </c>
      <c r="BF4" s="1421">
        <v>2.2667313836355576</v>
      </c>
      <c r="BG4" s="1421">
        <v>2.3347333251446245</v>
      </c>
      <c r="BH4" s="1421">
        <v>2.4047753248989632</v>
      </c>
      <c r="BI4" s="1421">
        <v>2.4769185846459316</v>
      </c>
      <c r="BJ4" s="1421">
        <v>2.55122614218531</v>
      </c>
      <c r="BK4" s="1421">
        <v>2.6277629264508695</v>
      </c>
      <c r="BL4" s="1421">
        <v>2.706595814244396</v>
      </c>
      <c r="BM4" s="1421">
        <v>2.7877936886717274</v>
      </c>
      <c r="BN4" s="1422">
        <f>BM4</f>
        <v>2.7877936886717274</v>
      </c>
    </row>
    <row r="5" spans="1:66">
      <c r="A5" s="1423"/>
      <c r="D5" s="95"/>
      <c r="E5" s="98"/>
      <c r="F5" s="98"/>
      <c r="G5" s="98"/>
      <c r="H5" s="98"/>
      <c r="I5" s="98"/>
      <c r="J5" s="98"/>
      <c r="K5" s="98"/>
      <c r="L5" s="98"/>
      <c r="M5" s="98"/>
      <c r="N5" s="98"/>
      <c r="O5" s="98"/>
      <c r="P5" s="98"/>
      <c r="Q5" s="98"/>
      <c r="R5" s="98"/>
      <c r="S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c r="BD5" s="98"/>
      <c r="BE5" s="98"/>
      <c r="BF5" s="98"/>
      <c r="BG5" s="98"/>
      <c r="BH5" s="98"/>
      <c r="BI5" s="98"/>
      <c r="BJ5" s="98"/>
      <c r="BK5" s="98"/>
      <c r="BL5" s="98"/>
      <c r="BM5" s="98"/>
      <c r="BN5" s="98"/>
    </row>
    <row r="6" spans="1:66" s="92" customFormat="1" ht="24.75" customHeight="1">
      <c r="A6" s="1424" t="s">
        <v>7</v>
      </c>
      <c r="B6" s="1425" t="s">
        <v>1109</v>
      </c>
      <c r="C6" s="1424" t="s">
        <v>47</v>
      </c>
      <c r="D6" s="1426" t="s">
        <v>303</v>
      </c>
      <c r="E6" s="1427">
        <v>2015</v>
      </c>
      <c r="F6" s="1427">
        <f>E6+1</f>
        <v>2016</v>
      </c>
      <c r="G6" s="1427">
        <f t="shared" ref="G6:BN6" si="0">F6+1</f>
        <v>2017</v>
      </c>
      <c r="H6" s="1427">
        <f t="shared" si="0"/>
        <v>2018</v>
      </c>
      <c r="I6" s="1427">
        <f t="shared" si="0"/>
        <v>2019</v>
      </c>
      <c r="J6" s="1427">
        <f t="shared" si="0"/>
        <v>2020</v>
      </c>
      <c r="K6" s="1427">
        <f t="shared" si="0"/>
        <v>2021</v>
      </c>
      <c r="L6" s="1427">
        <f t="shared" si="0"/>
        <v>2022</v>
      </c>
      <c r="M6" s="1427">
        <f t="shared" si="0"/>
        <v>2023</v>
      </c>
      <c r="N6" s="1427">
        <f t="shared" si="0"/>
        <v>2024</v>
      </c>
      <c r="O6" s="1427">
        <f t="shared" si="0"/>
        <v>2025</v>
      </c>
      <c r="P6" s="1427">
        <f t="shared" si="0"/>
        <v>2026</v>
      </c>
      <c r="Q6" s="1427">
        <f t="shared" si="0"/>
        <v>2027</v>
      </c>
      <c r="R6" s="1427">
        <f t="shared" si="0"/>
        <v>2028</v>
      </c>
      <c r="S6" s="1427">
        <f t="shared" si="0"/>
        <v>2029</v>
      </c>
      <c r="T6" s="1427">
        <f t="shared" si="0"/>
        <v>2030</v>
      </c>
      <c r="U6" s="1427">
        <f t="shared" si="0"/>
        <v>2031</v>
      </c>
      <c r="V6" s="1427">
        <f t="shared" si="0"/>
        <v>2032</v>
      </c>
      <c r="W6" s="1427">
        <f t="shared" si="0"/>
        <v>2033</v>
      </c>
      <c r="X6" s="1427">
        <f t="shared" si="0"/>
        <v>2034</v>
      </c>
      <c r="Y6" s="1427">
        <f t="shared" si="0"/>
        <v>2035</v>
      </c>
      <c r="Z6" s="1427">
        <f t="shared" si="0"/>
        <v>2036</v>
      </c>
      <c r="AA6" s="1427">
        <f t="shared" si="0"/>
        <v>2037</v>
      </c>
      <c r="AB6" s="1427">
        <f t="shared" si="0"/>
        <v>2038</v>
      </c>
      <c r="AC6" s="1427">
        <f t="shared" si="0"/>
        <v>2039</v>
      </c>
      <c r="AD6" s="1427">
        <f t="shared" si="0"/>
        <v>2040</v>
      </c>
      <c r="AE6" s="1427">
        <f t="shared" si="0"/>
        <v>2041</v>
      </c>
      <c r="AF6" s="1427">
        <f t="shared" si="0"/>
        <v>2042</v>
      </c>
      <c r="AG6" s="1427">
        <f t="shared" si="0"/>
        <v>2043</v>
      </c>
      <c r="AH6" s="1427">
        <f t="shared" si="0"/>
        <v>2044</v>
      </c>
      <c r="AI6" s="1427">
        <f t="shared" si="0"/>
        <v>2045</v>
      </c>
      <c r="AJ6" s="1427">
        <f t="shared" si="0"/>
        <v>2046</v>
      </c>
      <c r="AK6" s="1427">
        <f t="shared" si="0"/>
        <v>2047</v>
      </c>
      <c r="AL6" s="1427">
        <f t="shared" si="0"/>
        <v>2048</v>
      </c>
      <c r="AM6" s="1427">
        <f t="shared" si="0"/>
        <v>2049</v>
      </c>
      <c r="AN6" s="1427">
        <f t="shared" si="0"/>
        <v>2050</v>
      </c>
      <c r="AO6" s="1427">
        <f t="shared" si="0"/>
        <v>2051</v>
      </c>
      <c r="AP6" s="1427">
        <f t="shared" si="0"/>
        <v>2052</v>
      </c>
      <c r="AQ6" s="1427">
        <f t="shared" si="0"/>
        <v>2053</v>
      </c>
      <c r="AR6" s="1427">
        <f t="shared" si="0"/>
        <v>2054</v>
      </c>
      <c r="AS6" s="1427">
        <f t="shared" si="0"/>
        <v>2055</v>
      </c>
      <c r="AT6" s="1427">
        <f t="shared" si="0"/>
        <v>2056</v>
      </c>
      <c r="AU6" s="1427">
        <f t="shared" si="0"/>
        <v>2057</v>
      </c>
      <c r="AV6" s="1427">
        <f t="shared" si="0"/>
        <v>2058</v>
      </c>
      <c r="AW6" s="1427">
        <f t="shared" si="0"/>
        <v>2059</v>
      </c>
      <c r="AX6" s="1427">
        <f t="shared" si="0"/>
        <v>2060</v>
      </c>
      <c r="AY6" s="1427">
        <f t="shared" si="0"/>
        <v>2061</v>
      </c>
      <c r="AZ6" s="1427">
        <f t="shared" si="0"/>
        <v>2062</v>
      </c>
      <c r="BA6" s="1427">
        <f t="shared" si="0"/>
        <v>2063</v>
      </c>
      <c r="BB6" s="1427">
        <f t="shared" si="0"/>
        <v>2064</v>
      </c>
      <c r="BC6" s="1427">
        <f t="shared" si="0"/>
        <v>2065</v>
      </c>
      <c r="BD6" s="1427">
        <f t="shared" si="0"/>
        <v>2066</v>
      </c>
      <c r="BE6" s="1427">
        <f t="shared" si="0"/>
        <v>2067</v>
      </c>
      <c r="BF6" s="1427">
        <f t="shared" si="0"/>
        <v>2068</v>
      </c>
      <c r="BG6" s="1427">
        <f t="shared" si="0"/>
        <v>2069</v>
      </c>
      <c r="BH6" s="1427">
        <f t="shared" si="0"/>
        <v>2070</v>
      </c>
      <c r="BI6" s="1427">
        <f t="shared" si="0"/>
        <v>2071</v>
      </c>
      <c r="BJ6" s="1427">
        <f t="shared" si="0"/>
        <v>2072</v>
      </c>
      <c r="BK6" s="1427">
        <f t="shared" si="0"/>
        <v>2073</v>
      </c>
      <c r="BL6" s="1427">
        <f t="shared" si="0"/>
        <v>2074</v>
      </c>
      <c r="BM6" s="1427">
        <f t="shared" si="0"/>
        <v>2075</v>
      </c>
      <c r="BN6" s="1428">
        <f t="shared" si="0"/>
        <v>2076</v>
      </c>
    </row>
    <row r="7" spans="1:66" s="39" customFormat="1" ht="12.75" customHeight="1">
      <c r="A7" s="1429">
        <v>80</v>
      </c>
      <c r="B7" s="1430">
        <v>0</v>
      </c>
      <c r="C7" s="1431" t="s">
        <v>48</v>
      </c>
      <c r="D7" s="1430" t="s">
        <v>49</v>
      </c>
      <c r="E7" s="1432">
        <v>3.303700939423651</v>
      </c>
      <c r="F7" s="1432">
        <v>3.8003032719658898</v>
      </c>
      <c r="G7" s="1432">
        <v>3.9711987582157375</v>
      </c>
      <c r="H7" s="1432">
        <v>3.9830996722306562</v>
      </c>
      <c r="I7" s="1432">
        <v>4.0406286490323744</v>
      </c>
      <c r="J7" s="1432">
        <v>4.098343864169534</v>
      </c>
      <c r="K7" s="1432">
        <v>4.1765559092938451</v>
      </c>
      <c r="L7" s="1432">
        <v>4.2601810248466405</v>
      </c>
      <c r="M7" s="1432">
        <v>4.3465430878672633</v>
      </c>
      <c r="N7" s="1432">
        <v>4.4344742485805844</v>
      </c>
      <c r="O7" s="1432">
        <v>4.5225549175511173</v>
      </c>
      <c r="P7" s="1432">
        <v>4.6161248322257569</v>
      </c>
      <c r="Q7" s="1432">
        <v>4.7116946132956947</v>
      </c>
      <c r="R7" s="1432">
        <v>4.8093090800439731</v>
      </c>
      <c r="S7" s="1432">
        <v>4.9090137692175979</v>
      </c>
      <c r="T7" s="1432">
        <v>5.0108550755164218</v>
      </c>
      <c r="U7" s="1432">
        <v>5.1148811041538389</v>
      </c>
      <c r="V7" s="1432">
        <v>5.2211404608931611</v>
      </c>
      <c r="W7" s="1432">
        <v>5.3295360812730106</v>
      </c>
      <c r="X7" s="1432">
        <v>5.4357878418976799</v>
      </c>
      <c r="Y7" s="1432">
        <v>5.5472491994831472</v>
      </c>
      <c r="Z7" s="1432">
        <v>5.6614573232316783</v>
      </c>
      <c r="AA7" s="1432">
        <v>5.7731855765673243</v>
      </c>
      <c r="AB7" s="1432">
        <v>5.8929419751371066</v>
      </c>
      <c r="AC7" s="1432">
        <v>6.0217114509408578</v>
      </c>
      <c r="AD7" s="1432">
        <v>6.1414911783561354</v>
      </c>
      <c r="AE7" s="1432">
        <v>6.1414911783561354</v>
      </c>
      <c r="AF7" s="1432">
        <v>6.1414911783561354</v>
      </c>
      <c r="AG7" s="1432">
        <v>6.1414911783561354</v>
      </c>
      <c r="AH7" s="1432">
        <v>6.1414911783561354</v>
      </c>
      <c r="AI7" s="1432">
        <v>6.1414911783561354</v>
      </c>
      <c r="AJ7" s="1432">
        <v>6.1414911783561354</v>
      </c>
      <c r="AK7" s="1432">
        <v>6.1414911783561354</v>
      </c>
      <c r="AL7" s="1432">
        <v>6.1414911783561354</v>
      </c>
      <c r="AM7" s="1432">
        <v>6.1414911783561354</v>
      </c>
      <c r="AN7" s="1432">
        <v>6.1414911783561354</v>
      </c>
      <c r="AO7" s="1432">
        <v>6.1414911783561354</v>
      </c>
      <c r="AP7" s="1432">
        <v>6.1414911783561354</v>
      </c>
      <c r="AQ7" s="1432">
        <v>6.1414911783561354</v>
      </c>
      <c r="AR7" s="1432">
        <v>6.1414911783561354</v>
      </c>
      <c r="AS7" s="1432">
        <v>6.1414911783561354</v>
      </c>
      <c r="AT7" s="1432">
        <v>6.1414911783561354</v>
      </c>
      <c r="AU7" s="1432">
        <v>6.1414911783561354</v>
      </c>
      <c r="AV7" s="1432">
        <v>6.1414911783561354</v>
      </c>
      <c r="AW7" s="1432">
        <v>6.1414911783561354</v>
      </c>
      <c r="AX7" s="1432">
        <v>6.1414911783561354</v>
      </c>
      <c r="AY7" s="1432">
        <v>6.1414911783561354</v>
      </c>
      <c r="AZ7" s="1432">
        <v>6.1414911783561354</v>
      </c>
      <c r="BA7" s="1432">
        <v>6.1414911783561354</v>
      </c>
      <c r="BB7" s="1432">
        <v>6.1414911783561354</v>
      </c>
      <c r="BC7" s="1432">
        <v>6.1414911783561354</v>
      </c>
      <c r="BD7" s="1432">
        <v>6.1414911783561354</v>
      </c>
      <c r="BE7" s="1432">
        <v>6.1414911783561354</v>
      </c>
      <c r="BF7" s="1432">
        <v>6.1414911783561354</v>
      </c>
      <c r="BG7" s="1432">
        <v>6.1414911783561354</v>
      </c>
      <c r="BH7" s="1432">
        <v>6.1414911783561354</v>
      </c>
      <c r="BI7" s="1432">
        <v>6.1414911783561354</v>
      </c>
      <c r="BJ7" s="1432">
        <v>6.1414911783561354</v>
      </c>
      <c r="BK7" s="1432">
        <v>6.1414911783561354</v>
      </c>
      <c r="BL7" s="1432">
        <v>6.1414911783561354</v>
      </c>
      <c r="BM7" s="1432">
        <v>6.1414911783561354</v>
      </c>
      <c r="BN7" s="1433">
        <v>6.1414911783561354</v>
      </c>
    </row>
    <row r="8" spans="1:66" s="39" customFormat="1" ht="12.75" customHeight="1">
      <c r="A8" s="1434">
        <v>81</v>
      </c>
      <c r="B8" s="1435">
        <v>0</v>
      </c>
      <c r="C8" s="1436" t="s">
        <v>50</v>
      </c>
      <c r="D8" s="1435" t="s">
        <v>51</v>
      </c>
      <c r="E8" s="1437">
        <v>3.108639352538094</v>
      </c>
      <c r="F8" s="1437">
        <v>3.5719972446643711</v>
      </c>
      <c r="G8" s="1437">
        <v>3.7321232991405489</v>
      </c>
      <c r="H8" s="1437">
        <v>3.7442419123649984</v>
      </c>
      <c r="I8" s="1437">
        <v>3.7988753252230794</v>
      </c>
      <c r="J8" s="1437">
        <v>3.8537142111506739</v>
      </c>
      <c r="K8" s="1437">
        <v>3.9276704460413789</v>
      </c>
      <c r="L8" s="1437">
        <v>4.0067007388128788</v>
      </c>
      <c r="M8" s="1437">
        <v>4.0883144086779426</v>
      </c>
      <c r="N8" s="1437">
        <v>4.171425137982955</v>
      </c>
      <c r="O8" s="1437">
        <v>4.2547122492615346</v>
      </c>
      <c r="P8" s="1437">
        <v>4.34314861425214</v>
      </c>
      <c r="Q8" s="1437">
        <v>4.4334864684180877</v>
      </c>
      <c r="R8" s="1437">
        <v>4.5257687256088381</v>
      </c>
      <c r="S8" s="1437">
        <v>4.6200390031915841</v>
      </c>
      <c r="T8" s="1437">
        <v>4.7163417539234347</v>
      </c>
      <c r="U8" s="1437">
        <v>4.8147230608558553</v>
      </c>
      <c r="V8" s="1437">
        <v>4.9152295118838643</v>
      </c>
      <c r="W8" s="1437">
        <v>5.0177721033026259</v>
      </c>
      <c r="X8" s="1437">
        <v>5.1183670836531956</v>
      </c>
      <c r="Y8" s="1437">
        <v>5.2238626110317279</v>
      </c>
      <c r="Z8" s="1437">
        <v>5.3319670762789872</v>
      </c>
      <c r="AA8" s="1437">
        <v>5.4378155734804663</v>
      </c>
      <c r="AB8" s="1437">
        <v>5.5511935623032249</v>
      </c>
      <c r="AC8" s="1437">
        <v>5.6730197373130311</v>
      </c>
      <c r="AD8" s="1437">
        <v>5.7865336010454289</v>
      </c>
      <c r="AE8" s="1437">
        <v>5.7865336010454289</v>
      </c>
      <c r="AF8" s="1437">
        <v>5.7865336010454289</v>
      </c>
      <c r="AG8" s="1437">
        <v>5.7865336010454289</v>
      </c>
      <c r="AH8" s="1437">
        <v>5.7865336010454289</v>
      </c>
      <c r="AI8" s="1437">
        <v>5.7865336010454289</v>
      </c>
      <c r="AJ8" s="1437">
        <v>5.7865336010454289</v>
      </c>
      <c r="AK8" s="1437">
        <v>5.7865336010454289</v>
      </c>
      <c r="AL8" s="1437">
        <v>5.7865336010454289</v>
      </c>
      <c r="AM8" s="1437">
        <v>5.7865336010454289</v>
      </c>
      <c r="AN8" s="1437">
        <v>5.7865336010454289</v>
      </c>
      <c r="AO8" s="1437">
        <v>5.7865336010454289</v>
      </c>
      <c r="AP8" s="1437">
        <v>5.7865336010454289</v>
      </c>
      <c r="AQ8" s="1437">
        <v>5.7865336010454289</v>
      </c>
      <c r="AR8" s="1437">
        <v>5.7865336010454289</v>
      </c>
      <c r="AS8" s="1437">
        <v>5.7865336010454289</v>
      </c>
      <c r="AT8" s="1437">
        <v>5.7865336010454289</v>
      </c>
      <c r="AU8" s="1437">
        <v>5.7865336010454289</v>
      </c>
      <c r="AV8" s="1437">
        <v>5.7865336010454289</v>
      </c>
      <c r="AW8" s="1437">
        <v>5.7865336010454289</v>
      </c>
      <c r="AX8" s="1437">
        <v>5.7865336010454289</v>
      </c>
      <c r="AY8" s="1437">
        <v>5.7865336010454289</v>
      </c>
      <c r="AZ8" s="1437">
        <v>5.7865336010454289</v>
      </c>
      <c r="BA8" s="1437">
        <v>5.7865336010454289</v>
      </c>
      <c r="BB8" s="1437">
        <v>5.7865336010454289</v>
      </c>
      <c r="BC8" s="1437">
        <v>5.7865336010454289</v>
      </c>
      <c r="BD8" s="1437">
        <v>5.7865336010454289</v>
      </c>
      <c r="BE8" s="1437">
        <v>5.7865336010454289</v>
      </c>
      <c r="BF8" s="1437">
        <v>5.7865336010454289</v>
      </c>
      <c r="BG8" s="1437">
        <v>5.7865336010454289</v>
      </c>
      <c r="BH8" s="1437">
        <v>5.7865336010454289</v>
      </c>
      <c r="BI8" s="1437">
        <v>5.7865336010454289</v>
      </c>
      <c r="BJ8" s="1437">
        <v>5.7865336010454289</v>
      </c>
      <c r="BK8" s="1437">
        <v>5.7865336010454289</v>
      </c>
      <c r="BL8" s="1437">
        <v>5.7865336010454289</v>
      </c>
      <c r="BM8" s="1437">
        <v>5.7865336010454289</v>
      </c>
      <c r="BN8" s="1438">
        <v>5.7865336010454289</v>
      </c>
    </row>
    <row r="9" spans="1:66" s="39" customFormat="1" ht="12.75" customHeight="1">
      <c r="A9" s="1439">
        <v>82</v>
      </c>
      <c r="B9" s="1440">
        <v>0</v>
      </c>
      <c r="C9" s="1441" t="s">
        <v>52</v>
      </c>
      <c r="D9" s="1440" t="s">
        <v>53</v>
      </c>
      <c r="E9" s="1442">
        <v>3.064973117152046</v>
      </c>
      <c r="F9" s="1442">
        <v>3.6176682966165958</v>
      </c>
      <c r="G9" s="1442">
        <v>3.8102389350472068</v>
      </c>
      <c r="H9" s="1442">
        <v>3.8216855826755194</v>
      </c>
      <c r="I9" s="1442">
        <v>3.8853102161222126</v>
      </c>
      <c r="J9" s="1442">
        <v>3.949194592559329</v>
      </c>
      <c r="K9" s="1442">
        <v>4.0367406580523628</v>
      </c>
      <c r="L9" s="1442">
        <v>4.1307160489620349</v>
      </c>
      <c r="M9" s="1442">
        <v>4.2280675734092785</v>
      </c>
      <c r="N9" s="1442">
        <v>4.3274553397080435</v>
      </c>
      <c r="O9" s="1442">
        <v>4.4272245203891973</v>
      </c>
      <c r="P9" s="1442">
        <v>4.5336342359006521</v>
      </c>
      <c r="Q9" s="1442">
        <v>4.642627723699615</v>
      </c>
      <c r="R9" s="1442">
        <v>4.7542688270097253</v>
      </c>
      <c r="S9" s="1442">
        <v>4.868622593995088</v>
      </c>
      <c r="T9" s="1442">
        <v>4.9857554477065156</v>
      </c>
      <c r="U9" s="1442">
        <v>5.1057362116920268</v>
      </c>
      <c r="V9" s="1442">
        <v>5.2286346800325845</v>
      </c>
      <c r="W9" s="1442">
        <v>5.3543453106210075</v>
      </c>
      <c r="X9" s="1442">
        <v>5.477696304058516</v>
      </c>
      <c r="Y9" s="1442">
        <v>5.6075738552903402</v>
      </c>
      <c r="Z9" s="1442">
        <v>5.7410243534857699</v>
      </c>
      <c r="AA9" s="1442">
        <v>5.8716667845501815</v>
      </c>
      <c r="AB9" s="1442">
        <v>6.0123544155576578</v>
      </c>
      <c r="AC9" s="1442">
        <v>6.1643900733739567</v>
      </c>
      <c r="AD9" s="1442">
        <v>6.3055900970406125</v>
      </c>
      <c r="AE9" s="1442">
        <v>6.3055900970406125</v>
      </c>
      <c r="AF9" s="1442">
        <v>6.3055900970406125</v>
      </c>
      <c r="AG9" s="1442">
        <v>6.3055900970406125</v>
      </c>
      <c r="AH9" s="1442">
        <v>6.3055900970406125</v>
      </c>
      <c r="AI9" s="1442">
        <v>6.3055900970406125</v>
      </c>
      <c r="AJ9" s="1442">
        <v>6.3055900970406125</v>
      </c>
      <c r="AK9" s="1442">
        <v>6.3055900970406125</v>
      </c>
      <c r="AL9" s="1442">
        <v>6.3055900970406125</v>
      </c>
      <c r="AM9" s="1442">
        <v>6.3055900970406125</v>
      </c>
      <c r="AN9" s="1442">
        <v>6.3055900970406125</v>
      </c>
      <c r="AO9" s="1442">
        <v>6.3055900970406125</v>
      </c>
      <c r="AP9" s="1442">
        <v>6.3055900970406125</v>
      </c>
      <c r="AQ9" s="1442">
        <v>6.3055900970406125</v>
      </c>
      <c r="AR9" s="1442">
        <v>6.3055900970406125</v>
      </c>
      <c r="AS9" s="1442">
        <v>6.3055900970406125</v>
      </c>
      <c r="AT9" s="1442">
        <v>6.3055900970406125</v>
      </c>
      <c r="AU9" s="1442">
        <v>6.3055900970406125</v>
      </c>
      <c r="AV9" s="1442">
        <v>6.3055900970406125</v>
      </c>
      <c r="AW9" s="1442">
        <v>6.3055900970406125</v>
      </c>
      <c r="AX9" s="1442">
        <v>6.3055900970406125</v>
      </c>
      <c r="AY9" s="1442">
        <v>6.3055900970406125</v>
      </c>
      <c r="AZ9" s="1442">
        <v>6.3055900970406125</v>
      </c>
      <c r="BA9" s="1442">
        <v>6.3055900970406125</v>
      </c>
      <c r="BB9" s="1442">
        <v>6.3055900970406125</v>
      </c>
      <c r="BC9" s="1442">
        <v>6.3055900970406125</v>
      </c>
      <c r="BD9" s="1442">
        <v>6.3055900970406125</v>
      </c>
      <c r="BE9" s="1442">
        <v>6.3055900970406125</v>
      </c>
      <c r="BF9" s="1442">
        <v>6.3055900970406125</v>
      </c>
      <c r="BG9" s="1442">
        <v>6.3055900970406125</v>
      </c>
      <c r="BH9" s="1442">
        <v>6.3055900970406125</v>
      </c>
      <c r="BI9" s="1442">
        <v>6.3055900970406125</v>
      </c>
      <c r="BJ9" s="1442">
        <v>6.3055900970406125</v>
      </c>
      <c r="BK9" s="1442">
        <v>6.3055900970406125</v>
      </c>
      <c r="BL9" s="1442">
        <v>6.3055900970406125</v>
      </c>
      <c r="BM9" s="1442">
        <v>6.3055900970406125</v>
      </c>
      <c r="BN9" s="1443">
        <v>6.3055900970406125</v>
      </c>
    </row>
    <row r="10" spans="1:66" s="39" customFormat="1" ht="12.75" customHeight="1">
      <c r="A10" s="1434">
        <v>1</v>
      </c>
      <c r="B10" s="1435">
        <v>0</v>
      </c>
      <c r="C10" s="1436" t="s">
        <v>69</v>
      </c>
      <c r="D10" s="1435" t="s">
        <v>70</v>
      </c>
      <c r="E10" s="1437">
        <v>2.8652756588668709</v>
      </c>
      <c r="F10" s="1437">
        <v>3.2871569592005878</v>
      </c>
      <c r="G10" s="1437">
        <v>3.4338468023907458</v>
      </c>
      <c r="H10" s="1437">
        <v>3.4462370225706533</v>
      </c>
      <c r="I10" s="1437">
        <v>3.4972578577406508</v>
      </c>
      <c r="J10" s="1437">
        <v>3.5485081637134184</v>
      </c>
      <c r="K10" s="1437">
        <v>3.6171547437686904</v>
      </c>
      <c r="L10" s="1437">
        <v>3.6904524212073895</v>
      </c>
      <c r="M10" s="1437">
        <v>3.7661418775161586</v>
      </c>
      <c r="N10" s="1437">
        <v>3.8432385165466814</v>
      </c>
      <c r="O10" s="1437">
        <v>3.9205450658685677</v>
      </c>
      <c r="P10" s="1437">
        <v>4.0025766864258969</v>
      </c>
      <c r="Q10" s="1437">
        <v>4.0863870582889348</v>
      </c>
      <c r="R10" s="1437">
        <v>4.1720167180407524</v>
      </c>
      <c r="S10" s="1437">
        <v>4.2595068883824876</v>
      </c>
      <c r="T10" s="1437">
        <v>4.3488995992551178</v>
      </c>
      <c r="U10" s="1437">
        <v>4.4402384108105268</v>
      </c>
      <c r="V10" s="1437">
        <v>4.5335673934009959</v>
      </c>
      <c r="W10" s="1437">
        <v>4.6288076001222995</v>
      </c>
      <c r="X10" s="1437">
        <v>4.7223450405247345</v>
      </c>
      <c r="Y10" s="1437">
        <v>4.8203974495622539</v>
      </c>
      <c r="Z10" s="1437">
        <v>4.9208868384559663</v>
      </c>
      <c r="AA10" s="1437">
        <v>5.0193996054732333</v>
      </c>
      <c r="AB10" s="1437">
        <v>5.1248197314457586</v>
      </c>
      <c r="AC10" s="1437">
        <v>5.2379832714669741</v>
      </c>
      <c r="AD10" s="1437">
        <v>5.3436796876216457</v>
      </c>
      <c r="AE10" s="1437">
        <v>5.3436796876216457</v>
      </c>
      <c r="AF10" s="1437">
        <v>5.3436796876216457</v>
      </c>
      <c r="AG10" s="1437">
        <v>5.3436796876216457</v>
      </c>
      <c r="AH10" s="1437">
        <v>5.3436796876216457</v>
      </c>
      <c r="AI10" s="1437">
        <v>5.3436796876216457</v>
      </c>
      <c r="AJ10" s="1437">
        <v>5.3436796876216457</v>
      </c>
      <c r="AK10" s="1437">
        <v>5.3436796876216457</v>
      </c>
      <c r="AL10" s="1437">
        <v>5.3436796876216457</v>
      </c>
      <c r="AM10" s="1437">
        <v>5.3436796876216457</v>
      </c>
      <c r="AN10" s="1437">
        <v>5.3436796876216457</v>
      </c>
      <c r="AO10" s="1437">
        <v>5.3436796876216457</v>
      </c>
      <c r="AP10" s="1437">
        <v>5.3436796876216457</v>
      </c>
      <c r="AQ10" s="1437">
        <v>5.3436796876216457</v>
      </c>
      <c r="AR10" s="1437">
        <v>5.3436796876216457</v>
      </c>
      <c r="AS10" s="1437">
        <v>5.3436796876216457</v>
      </c>
      <c r="AT10" s="1437">
        <v>5.3436796876216457</v>
      </c>
      <c r="AU10" s="1437">
        <v>5.3436796876216457</v>
      </c>
      <c r="AV10" s="1437">
        <v>5.3436796876216457</v>
      </c>
      <c r="AW10" s="1437">
        <v>5.3436796876216457</v>
      </c>
      <c r="AX10" s="1437">
        <v>5.3436796876216457</v>
      </c>
      <c r="AY10" s="1437">
        <v>5.3436796876216457</v>
      </c>
      <c r="AZ10" s="1437">
        <v>5.3436796876216457</v>
      </c>
      <c r="BA10" s="1437">
        <v>5.3436796876216457</v>
      </c>
      <c r="BB10" s="1437">
        <v>5.3436796876216457</v>
      </c>
      <c r="BC10" s="1437">
        <v>5.3436796876216457</v>
      </c>
      <c r="BD10" s="1437">
        <v>5.3436796876216457</v>
      </c>
      <c r="BE10" s="1437">
        <v>5.3436796876216457</v>
      </c>
      <c r="BF10" s="1437">
        <v>5.3436796876216457</v>
      </c>
      <c r="BG10" s="1437">
        <v>5.3436796876216457</v>
      </c>
      <c r="BH10" s="1437">
        <v>5.3436796876216457</v>
      </c>
      <c r="BI10" s="1437">
        <v>5.3436796876216457</v>
      </c>
      <c r="BJ10" s="1437">
        <v>5.3436796876216457</v>
      </c>
      <c r="BK10" s="1437">
        <v>5.3436796876216457</v>
      </c>
      <c r="BL10" s="1437">
        <v>5.3436796876216457</v>
      </c>
      <c r="BM10" s="1437">
        <v>5.3436796876216457</v>
      </c>
      <c r="BN10" s="1438">
        <v>5.3436796876216457</v>
      </c>
    </row>
    <row r="11" spans="1:66" s="39" customFormat="1" ht="12.75" customHeight="1">
      <c r="A11" s="1439">
        <v>85</v>
      </c>
      <c r="B11" s="1440">
        <v>0</v>
      </c>
      <c r="C11" s="1441" t="s">
        <v>54</v>
      </c>
      <c r="D11" s="1440" t="s">
        <v>55</v>
      </c>
      <c r="E11" s="1442">
        <v>4.4379111617564924</v>
      </c>
      <c r="F11" s="1442">
        <v>4.9405526611738635</v>
      </c>
      <c r="G11" s="1442">
        <v>5.109312847233161</v>
      </c>
      <c r="H11" s="1442">
        <v>5.1212751705397457</v>
      </c>
      <c r="I11" s="1442">
        <v>5.1779272279868085</v>
      </c>
      <c r="J11" s="1442">
        <v>5.2346438463578382</v>
      </c>
      <c r="K11" s="1442">
        <v>5.3111492583780278</v>
      </c>
      <c r="L11" s="1442">
        <v>5.3926308886516612</v>
      </c>
      <c r="M11" s="1442">
        <v>5.47645694468829</v>
      </c>
      <c r="N11" s="1442">
        <v>5.5614876859851972</v>
      </c>
      <c r="O11" s="1442">
        <v>5.6463659152540728</v>
      </c>
      <c r="P11" s="1442">
        <v>5.7361625191117369</v>
      </c>
      <c r="Q11" s="1442">
        <v>5.8275294103424953</v>
      </c>
      <c r="R11" s="1442">
        <v>5.9204981169863862</v>
      </c>
      <c r="S11" s="1442">
        <v>6.0151005751762856</v>
      </c>
      <c r="T11" s="1442">
        <v>6.1113692616577433</v>
      </c>
      <c r="U11" s="1442">
        <v>6.2093379807012292</v>
      </c>
      <c r="V11" s="1442">
        <v>6.3090407323093416</v>
      </c>
      <c r="W11" s="1442">
        <v>6.4103780294038311</v>
      </c>
      <c r="X11" s="1442">
        <v>6.5094452540075478</v>
      </c>
      <c r="Y11" s="1442">
        <v>6.612952033362089</v>
      </c>
      <c r="Z11" s="1442">
        <v>6.7186299284494746</v>
      </c>
      <c r="AA11" s="1442">
        <v>6.8217746317956722</v>
      </c>
      <c r="AB11" s="1442">
        <v>6.9318224454962536</v>
      </c>
      <c r="AC11" s="1442">
        <v>7.0495648321791018</v>
      </c>
      <c r="AD11" s="1442">
        <v>7.158992598201686</v>
      </c>
      <c r="AE11" s="1442">
        <v>7.158992598201686</v>
      </c>
      <c r="AF11" s="1442">
        <v>7.158992598201686</v>
      </c>
      <c r="AG11" s="1442">
        <v>7.158992598201686</v>
      </c>
      <c r="AH11" s="1442">
        <v>7.158992598201686</v>
      </c>
      <c r="AI11" s="1442">
        <v>7.158992598201686</v>
      </c>
      <c r="AJ11" s="1442">
        <v>7.158992598201686</v>
      </c>
      <c r="AK11" s="1442">
        <v>7.158992598201686</v>
      </c>
      <c r="AL11" s="1442">
        <v>7.158992598201686</v>
      </c>
      <c r="AM11" s="1442">
        <v>7.158992598201686</v>
      </c>
      <c r="AN11" s="1442">
        <v>7.158992598201686</v>
      </c>
      <c r="AO11" s="1442">
        <v>7.158992598201686</v>
      </c>
      <c r="AP11" s="1442">
        <v>7.158992598201686</v>
      </c>
      <c r="AQ11" s="1442">
        <v>7.158992598201686</v>
      </c>
      <c r="AR11" s="1442">
        <v>7.158992598201686</v>
      </c>
      <c r="AS11" s="1442">
        <v>7.158992598201686</v>
      </c>
      <c r="AT11" s="1442">
        <v>7.158992598201686</v>
      </c>
      <c r="AU11" s="1442">
        <v>7.158992598201686</v>
      </c>
      <c r="AV11" s="1442">
        <v>7.158992598201686</v>
      </c>
      <c r="AW11" s="1442">
        <v>7.158992598201686</v>
      </c>
      <c r="AX11" s="1442">
        <v>7.158992598201686</v>
      </c>
      <c r="AY11" s="1442">
        <v>7.158992598201686</v>
      </c>
      <c r="AZ11" s="1442">
        <v>7.158992598201686</v>
      </c>
      <c r="BA11" s="1442">
        <v>7.158992598201686</v>
      </c>
      <c r="BB11" s="1442">
        <v>7.158992598201686</v>
      </c>
      <c r="BC11" s="1442">
        <v>7.158992598201686</v>
      </c>
      <c r="BD11" s="1442">
        <v>7.158992598201686</v>
      </c>
      <c r="BE11" s="1442">
        <v>7.158992598201686</v>
      </c>
      <c r="BF11" s="1442">
        <v>7.158992598201686</v>
      </c>
      <c r="BG11" s="1442">
        <v>7.158992598201686</v>
      </c>
      <c r="BH11" s="1442">
        <v>7.158992598201686</v>
      </c>
      <c r="BI11" s="1442">
        <v>7.158992598201686</v>
      </c>
      <c r="BJ11" s="1442">
        <v>7.158992598201686</v>
      </c>
      <c r="BK11" s="1442">
        <v>7.158992598201686</v>
      </c>
      <c r="BL11" s="1442">
        <v>7.158992598201686</v>
      </c>
      <c r="BM11" s="1442">
        <v>7.158992598201686</v>
      </c>
      <c r="BN11" s="1443">
        <v>7.158992598201686</v>
      </c>
    </row>
    <row r="12" spans="1:66" s="39" customFormat="1" ht="12.75" customHeight="1">
      <c r="A12" s="1434">
        <v>2</v>
      </c>
      <c r="B12" s="1435">
        <v>0</v>
      </c>
      <c r="C12" s="1436" t="s">
        <v>69</v>
      </c>
      <c r="D12" s="1435" t="s">
        <v>30</v>
      </c>
      <c r="E12" s="1437">
        <v>5.5841678502149259</v>
      </c>
      <c r="F12" s="1437">
        <v>6.22802565787436</v>
      </c>
      <c r="G12" s="1437">
        <v>6.4413494658038548</v>
      </c>
      <c r="H12" s="1437">
        <v>6.4524162304996722</v>
      </c>
      <c r="I12" s="1437">
        <v>6.5209625097919659</v>
      </c>
      <c r="J12" s="1437">
        <v>6.5894574760134672</v>
      </c>
      <c r="K12" s="1437">
        <v>6.683323865812711</v>
      </c>
      <c r="L12" s="1437">
        <v>6.7834624323999151</v>
      </c>
      <c r="M12" s="1437">
        <v>6.8864762148073178</v>
      </c>
      <c r="N12" s="1437">
        <v>6.9908915478275686</v>
      </c>
      <c r="O12" s="1437">
        <v>7.0949543074823858</v>
      </c>
      <c r="P12" s="1437">
        <v>7.2051967626483995</v>
      </c>
      <c r="Q12" s="1437">
        <v>7.3172980297978141</v>
      </c>
      <c r="R12" s="1437">
        <v>7.4312937881540915</v>
      </c>
      <c r="S12" s="1437">
        <v>7.5472200940987735</v>
      </c>
      <c r="T12" s="1437">
        <v>7.6651135475369774</v>
      </c>
      <c r="U12" s="1437">
        <v>7.7850123017149091</v>
      </c>
      <c r="V12" s="1437">
        <v>7.9069545994709207</v>
      </c>
      <c r="W12" s="1437">
        <v>8.0308064360472802</v>
      </c>
      <c r="X12" s="1437">
        <v>8.1515283887935404</v>
      </c>
      <c r="Y12" s="1437">
        <v>8.2777638230483532</v>
      </c>
      <c r="Z12" s="1437">
        <v>8.4065821754215548</v>
      </c>
      <c r="AA12" s="1437">
        <v>8.5319125831935612</v>
      </c>
      <c r="AB12" s="1437">
        <v>8.6659128387048199</v>
      </c>
      <c r="AC12" s="1437">
        <v>8.8095963557085124</v>
      </c>
      <c r="AD12" s="1437">
        <v>8.9423183905882606</v>
      </c>
      <c r="AE12" s="1437">
        <v>8.9423183905882606</v>
      </c>
      <c r="AF12" s="1437">
        <v>8.9423183905882606</v>
      </c>
      <c r="AG12" s="1437">
        <v>8.9423183905882606</v>
      </c>
      <c r="AH12" s="1437">
        <v>8.9423183905882606</v>
      </c>
      <c r="AI12" s="1437">
        <v>8.9423183905882606</v>
      </c>
      <c r="AJ12" s="1437">
        <v>8.9423183905882606</v>
      </c>
      <c r="AK12" s="1437">
        <v>8.9423183905882606</v>
      </c>
      <c r="AL12" s="1437">
        <v>8.9423183905882606</v>
      </c>
      <c r="AM12" s="1437">
        <v>8.9423183905882606</v>
      </c>
      <c r="AN12" s="1437">
        <v>8.9423183905882606</v>
      </c>
      <c r="AO12" s="1437">
        <v>8.9423183905882606</v>
      </c>
      <c r="AP12" s="1437">
        <v>8.9423183905882606</v>
      </c>
      <c r="AQ12" s="1437">
        <v>8.9423183905882606</v>
      </c>
      <c r="AR12" s="1437">
        <v>8.9423183905882606</v>
      </c>
      <c r="AS12" s="1437">
        <v>8.9423183905882606</v>
      </c>
      <c r="AT12" s="1437">
        <v>8.9423183905882606</v>
      </c>
      <c r="AU12" s="1437">
        <v>8.9423183905882606</v>
      </c>
      <c r="AV12" s="1437">
        <v>8.9423183905882606</v>
      </c>
      <c r="AW12" s="1437">
        <v>8.9423183905882606</v>
      </c>
      <c r="AX12" s="1437">
        <v>8.9423183905882606</v>
      </c>
      <c r="AY12" s="1437">
        <v>8.9423183905882606</v>
      </c>
      <c r="AZ12" s="1437">
        <v>8.9423183905882606</v>
      </c>
      <c r="BA12" s="1437">
        <v>8.9423183905882606</v>
      </c>
      <c r="BB12" s="1437">
        <v>8.9423183905882606</v>
      </c>
      <c r="BC12" s="1437">
        <v>8.9423183905882606</v>
      </c>
      <c r="BD12" s="1437">
        <v>8.9423183905882606</v>
      </c>
      <c r="BE12" s="1437">
        <v>8.9423183905882606</v>
      </c>
      <c r="BF12" s="1437">
        <v>8.9423183905882606</v>
      </c>
      <c r="BG12" s="1437">
        <v>8.9423183905882606</v>
      </c>
      <c r="BH12" s="1437">
        <v>8.9423183905882606</v>
      </c>
      <c r="BI12" s="1437">
        <v>8.9423183905882606</v>
      </c>
      <c r="BJ12" s="1437">
        <v>8.9423183905882606</v>
      </c>
      <c r="BK12" s="1437">
        <v>8.9423183905882606</v>
      </c>
      <c r="BL12" s="1437">
        <v>8.9423183905882606</v>
      </c>
      <c r="BM12" s="1437">
        <v>8.9423183905882606</v>
      </c>
      <c r="BN12" s="1438">
        <v>8.9423183905882606</v>
      </c>
    </row>
    <row r="13" spans="1:66" s="39" customFormat="1" ht="12.75" customHeight="1">
      <c r="A13" s="1439">
        <v>3</v>
      </c>
      <c r="B13" s="1440">
        <v>0</v>
      </c>
      <c r="C13" s="1441" t="s">
        <v>205</v>
      </c>
      <c r="D13" s="1440" t="s">
        <v>206</v>
      </c>
      <c r="E13" s="1442">
        <v>2.5596808371065181</v>
      </c>
      <c r="F13" s="1442">
        <v>2.5738762622197138</v>
      </c>
      <c r="G13" s="1442">
        <v>2.5884975500863052</v>
      </c>
      <c r="H13" s="1442">
        <v>2.6035574765888945</v>
      </c>
      <c r="I13" s="1442">
        <v>2.6190692008865613</v>
      </c>
      <c r="J13" s="1442">
        <v>2.6350462769131582</v>
      </c>
      <c r="K13" s="1442">
        <v>2.6515026652205531</v>
      </c>
      <c r="L13" s="1442">
        <v>2.6684527451771696</v>
      </c>
      <c r="M13" s="1442">
        <v>2.6859113275324846</v>
      </c>
      <c r="N13" s="1442">
        <v>2.703893667358459</v>
      </c>
      <c r="O13" s="1442">
        <v>2.7224154773792129</v>
      </c>
      <c r="P13" s="1442">
        <v>2.7414929417005895</v>
      </c>
      <c r="Q13" s="1442">
        <v>2.7611427299516071</v>
      </c>
      <c r="R13" s="1442">
        <v>2.7813820118501553</v>
      </c>
      <c r="S13" s="1442">
        <v>2.8022284722056598</v>
      </c>
      <c r="T13" s="1442">
        <v>2.8237003263718297</v>
      </c>
      <c r="U13" s="1442">
        <v>2.8458163361629847</v>
      </c>
      <c r="V13" s="1442">
        <v>2.8685958262478741</v>
      </c>
      <c r="W13" s="1442">
        <v>2.8920587010353103</v>
      </c>
      <c r="X13" s="1442">
        <v>2.9162254620663699</v>
      </c>
      <c r="Y13" s="1442">
        <v>2.9411172259283607</v>
      </c>
      <c r="Z13" s="1442">
        <v>2.9667557427062117</v>
      </c>
      <c r="AA13" s="1442">
        <v>2.9931634149873982</v>
      </c>
      <c r="AB13" s="1442">
        <v>3.0203633174370199</v>
      </c>
      <c r="AC13" s="1442">
        <v>3.0483792169601305</v>
      </c>
      <c r="AD13" s="1442">
        <v>3.0772355934689348</v>
      </c>
      <c r="AE13" s="1442">
        <f>AD13</f>
        <v>3.0772355934689348</v>
      </c>
      <c r="AF13" s="1442">
        <f t="shared" ref="AF13:BN13" si="1">AE13</f>
        <v>3.0772355934689348</v>
      </c>
      <c r="AG13" s="1442">
        <f t="shared" si="1"/>
        <v>3.0772355934689348</v>
      </c>
      <c r="AH13" s="1442">
        <f t="shared" si="1"/>
        <v>3.0772355934689348</v>
      </c>
      <c r="AI13" s="1442">
        <f t="shared" si="1"/>
        <v>3.0772355934689348</v>
      </c>
      <c r="AJ13" s="1442">
        <f t="shared" si="1"/>
        <v>3.0772355934689348</v>
      </c>
      <c r="AK13" s="1442">
        <f t="shared" si="1"/>
        <v>3.0772355934689348</v>
      </c>
      <c r="AL13" s="1442">
        <f t="shared" si="1"/>
        <v>3.0772355934689348</v>
      </c>
      <c r="AM13" s="1442">
        <f t="shared" si="1"/>
        <v>3.0772355934689348</v>
      </c>
      <c r="AN13" s="1442">
        <f t="shared" si="1"/>
        <v>3.0772355934689348</v>
      </c>
      <c r="AO13" s="1442">
        <f t="shared" si="1"/>
        <v>3.0772355934689348</v>
      </c>
      <c r="AP13" s="1442">
        <f t="shared" si="1"/>
        <v>3.0772355934689348</v>
      </c>
      <c r="AQ13" s="1442">
        <f t="shared" si="1"/>
        <v>3.0772355934689348</v>
      </c>
      <c r="AR13" s="1442">
        <f t="shared" si="1"/>
        <v>3.0772355934689348</v>
      </c>
      <c r="AS13" s="1442">
        <f t="shared" si="1"/>
        <v>3.0772355934689348</v>
      </c>
      <c r="AT13" s="1442">
        <f t="shared" si="1"/>
        <v>3.0772355934689348</v>
      </c>
      <c r="AU13" s="1442">
        <f t="shared" si="1"/>
        <v>3.0772355934689348</v>
      </c>
      <c r="AV13" s="1442">
        <f t="shared" si="1"/>
        <v>3.0772355934689348</v>
      </c>
      <c r="AW13" s="1442">
        <f t="shared" si="1"/>
        <v>3.0772355934689348</v>
      </c>
      <c r="AX13" s="1442">
        <f t="shared" si="1"/>
        <v>3.0772355934689348</v>
      </c>
      <c r="AY13" s="1442">
        <f t="shared" si="1"/>
        <v>3.0772355934689348</v>
      </c>
      <c r="AZ13" s="1442">
        <f t="shared" si="1"/>
        <v>3.0772355934689348</v>
      </c>
      <c r="BA13" s="1442">
        <f t="shared" si="1"/>
        <v>3.0772355934689348</v>
      </c>
      <c r="BB13" s="1442">
        <f t="shared" si="1"/>
        <v>3.0772355934689348</v>
      </c>
      <c r="BC13" s="1442">
        <f t="shared" si="1"/>
        <v>3.0772355934689348</v>
      </c>
      <c r="BD13" s="1442">
        <f t="shared" si="1"/>
        <v>3.0772355934689348</v>
      </c>
      <c r="BE13" s="1442">
        <f t="shared" si="1"/>
        <v>3.0772355934689348</v>
      </c>
      <c r="BF13" s="1442">
        <f t="shared" si="1"/>
        <v>3.0772355934689348</v>
      </c>
      <c r="BG13" s="1442">
        <f t="shared" si="1"/>
        <v>3.0772355934689348</v>
      </c>
      <c r="BH13" s="1442">
        <f t="shared" si="1"/>
        <v>3.0772355934689348</v>
      </c>
      <c r="BI13" s="1442">
        <f t="shared" si="1"/>
        <v>3.0772355934689348</v>
      </c>
      <c r="BJ13" s="1442">
        <f t="shared" si="1"/>
        <v>3.0772355934689348</v>
      </c>
      <c r="BK13" s="1442">
        <f t="shared" si="1"/>
        <v>3.0772355934689348</v>
      </c>
      <c r="BL13" s="1442">
        <f t="shared" si="1"/>
        <v>3.0772355934689348</v>
      </c>
      <c r="BM13" s="1442">
        <f t="shared" si="1"/>
        <v>3.0772355934689348</v>
      </c>
      <c r="BN13" s="1442">
        <f t="shared" si="1"/>
        <v>3.0772355934689348</v>
      </c>
    </row>
    <row r="14" spans="1:66" s="91" customFormat="1">
      <c r="A14" s="1434">
        <v>4</v>
      </c>
      <c r="B14" s="1435">
        <v>0</v>
      </c>
      <c r="C14" s="1436" t="s">
        <v>157</v>
      </c>
      <c r="D14" s="1435" t="s">
        <v>40</v>
      </c>
      <c r="E14" s="1437">
        <v>2.973955260046762</v>
      </c>
      <c r="F14" s="1437">
        <v>3.5077395514474254</v>
      </c>
      <c r="G14" s="1437">
        <v>3.694061012933453</v>
      </c>
      <c r="H14" s="1437">
        <v>3.7056345507075501</v>
      </c>
      <c r="I14" s="1437">
        <v>3.7675695680829389</v>
      </c>
      <c r="J14" s="1437">
        <v>3.8297715489605677</v>
      </c>
      <c r="K14" s="1437">
        <v>3.9148211064851344</v>
      </c>
      <c r="L14" s="1437">
        <v>4.0060915434523974</v>
      </c>
      <c r="M14" s="1437">
        <v>4.1006374092660263</v>
      </c>
      <c r="N14" s="1437">
        <v>4.1971664019156298</v>
      </c>
      <c r="O14" s="1437">
        <v>4.2940823595086979</v>
      </c>
      <c r="P14" s="1437">
        <v>4.3974251647508771</v>
      </c>
      <c r="Q14" s="1437">
        <v>4.5032811047836399</v>
      </c>
      <c r="R14" s="1437">
        <v>4.6117123837631322</v>
      </c>
      <c r="S14" s="1437">
        <v>4.7227823865600369</v>
      </c>
      <c r="T14" s="1437">
        <v>4.8365558432803564</v>
      </c>
      <c r="U14" s="1437">
        <v>4.9530998194177487</v>
      </c>
      <c r="V14" s="1437">
        <v>5.0724823366820733</v>
      </c>
      <c r="W14" s="1437">
        <v>5.19460225836281</v>
      </c>
      <c r="X14" s="1437">
        <v>5.3144701268748493</v>
      </c>
      <c r="Y14" s="1437">
        <v>5.4406608157502721</v>
      </c>
      <c r="Z14" s="1437">
        <v>5.5703252020746028</v>
      </c>
      <c r="AA14" s="1437">
        <v>5.6973071452004618</v>
      </c>
      <c r="AB14" s="1437">
        <v>5.8340093449908599</v>
      </c>
      <c r="AC14" s="1437">
        <v>5.9816897106313656</v>
      </c>
      <c r="AD14" s="1437">
        <v>6.1189444806207014</v>
      </c>
      <c r="AE14" s="1437">
        <v>6.1189444806207014</v>
      </c>
      <c r="AF14" s="1437">
        <v>6.1189444806207014</v>
      </c>
      <c r="AG14" s="1437">
        <v>6.1189444806207014</v>
      </c>
      <c r="AH14" s="1437">
        <v>6.1189444806207014</v>
      </c>
      <c r="AI14" s="1437">
        <v>6.1189444806207014</v>
      </c>
      <c r="AJ14" s="1437">
        <v>6.1189444806207014</v>
      </c>
      <c r="AK14" s="1437">
        <v>6.1189444806207014</v>
      </c>
      <c r="AL14" s="1437">
        <v>6.1189444806207014</v>
      </c>
      <c r="AM14" s="1437">
        <v>6.1189444806207014</v>
      </c>
      <c r="AN14" s="1437">
        <v>6.1189444806207014</v>
      </c>
      <c r="AO14" s="1437">
        <v>6.1189444806207014</v>
      </c>
      <c r="AP14" s="1437">
        <v>6.1189444806207014</v>
      </c>
      <c r="AQ14" s="1437">
        <v>6.1189444806207014</v>
      </c>
      <c r="AR14" s="1437">
        <v>6.1189444806207014</v>
      </c>
      <c r="AS14" s="1437">
        <v>6.1189444806207014</v>
      </c>
      <c r="AT14" s="1437">
        <v>6.1189444806207014</v>
      </c>
      <c r="AU14" s="1437">
        <v>6.1189444806207014</v>
      </c>
      <c r="AV14" s="1437">
        <v>6.1189444806207014</v>
      </c>
      <c r="AW14" s="1437">
        <v>6.1189444806207014</v>
      </c>
      <c r="AX14" s="1437">
        <v>6.1189444806207014</v>
      </c>
      <c r="AY14" s="1437">
        <v>6.1189444806207014</v>
      </c>
      <c r="AZ14" s="1437">
        <v>6.1189444806207014</v>
      </c>
      <c r="BA14" s="1437">
        <v>6.1189444806207014</v>
      </c>
      <c r="BB14" s="1437">
        <v>6.1189444806207014</v>
      </c>
      <c r="BC14" s="1437">
        <v>6.1189444806207014</v>
      </c>
      <c r="BD14" s="1437">
        <v>6.1189444806207014</v>
      </c>
      <c r="BE14" s="1437">
        <v>6.1189444806207014</v>
      </c>
      <c r="BF14" s="1437">
        <v>6.1189444806207014</v>
      </c>
      <c r="BG14" s="1437">
        <v>6.1189444806207014</v>
      </c>
      <c r="BH14" s="1437">
        <v>6.1189444806207014</v>
      </c>
      <c r="BI14" s="1437">
        <v>6.1189444806207014</v>
      </c>
      <c r="BJ14" s="1437">
        <v>6.1189444806207014</v>
      </c>
      <c r="BK14" s="1437">
        <v>6.1189444806207014</v>
      </c>
      <c r="BL14" s="1437">
        <v>6.1189444806207014</v>
      </c>
      <c r="BM14" s="1437">
        <v>6.1189444806207014</v>
      </c>
      <c r="BN14" s="1438">
        <v>6.1189444806207014</v>
      </c>
    </row>
    <row r="15" spans="1:66" s="91" customFormat="1">
      <c r="A15" s="1439">
        <v>88</v>
      </c>
      <c r="B15" s="1440">
        <v>0</v>
      </c>
      <c r="C15" s="1441" t="s">
        <v>114</v>
      </c>
      <c r="D15" s="1440" t="s">
        <v>115</v>
      </c>
      <c r="E15" s="1442">
        <v>3.2100870867411992</v>
      </c>
      <c r="F15" s="1442">
        <v>3.6907347651800841</v>
      </c>
      <c r="G15" s="1442">
        <v>3.8564617914802777</v>
      </c>
      <c r="H15" s="1442">
        <v>3.8684671835836579</v>
      </c>
      <c r="I15" s="1442">
        <v>3.9246065228827791</v>
      </c>
      <c r="J15" s="1442">
        <v>3.9809413316406532</v>
      </c>
      <c r="K15" s="1442">
        <v>4.0571109305887871</v>
      </c>
      <c r="L15" s="1442">
        <v>4.1385309012444358</v>
      </c>
      <c r="M15" s="1442">
        <v>4.2226141179558478</v>
      </c>
      <c r="N15" s="1442">
        <v>4.3082318598001432</v>
      </c>
      <c r="O15" s="1442">
        <v>4.3940120071212618</v>
      </c>
      <c r="P15" s="1442">
        <v>4.4851182313710849</v>
      </c>
      <c r="Q15" s="1442">
        <v>4.5781771088733061</v>
      </c>
      <c r="R15" s="1442">
        <v>4.6732325444562983</v>
      </c>
      <c r="S15" s="1442">
        <v>4.7703291537193317</v>
      </c>
      <c r="T15" s="1442">
        <v>4.8695123993861333</v>
      </c>
      <c r="U15" s="1442">
        <v>4.9708294161952251</v>
      </c>
      <c r="V15" s="1442">
        <v>5.0743278414956423</v>
      </c>
      <c r="W15" s="1442">
        <v>5.1799144793399874</v>
      </c>
      <c r="X15" s="1442">
        <v>5.2834514409942823</v>
      </c>
      <c r="Y15" s="1442">
        <v>5.3920496805305342</v>
      </c>
      <c r="Z15" s="1442">
        <v>5.5033285397483853</v>
      </c>
      <c r="AA15" s="1442">
        <v>5.6122349836578858</v>
      </c>
      <c r="AB15" s="1442">
        <v>5.7289302592257485</v>
      </c>
      <c r="AC15" s="1442">
        <v>5.8543675098177994</v>
      </c>
      <c r="AD15" s="1442">
        <v>5.9711401272782014</v>
      </c>
      <c r="AE15" s="1442">
        <v>5.9711401272782014</v>
      </c>
      <c r="AF15" s="1442">
        <v>5.9711401272782014</v>
      </c>
      <c r="AG15" s="1442">
        <v>5.9711401272782014</v>
      </c>
      <c r="AH15" s="1442">
        <v>5.9711401272782014</v>
      </c>
      <c r="AI15" s="1442">
        <v>5.9711401272782014</v>
      </c>
      <c r="AJ15" s="1442">
        <v>5.9711401272782014</v>
      </c>
      <c r="AK15" s="1442">
        <v>5.9711401272782014</v>
      </c>
      <c r="AL15" s="1442">
        <v>5.9711401272782014</v>
      </c>
      <c r="AM15" s="1442">
        <v>5.9711401272782014</v>
      </c>
      <c r="AN15" s="1442">
        <v>5.9711401272782014</v>
      </c>
      <c r="AO15" s="1442">
        <v>5.9711401272782014</v>
      </c>
      <c r="AP15" s="1442">
        <v>5.9711401272782014</v>
      </c>
      <c r="AQ15" s="1442">
        <v>5.9711401272782014</v>
      </c>
      <c r="AR15" s="1442">
        <v>5.9711401272782014</v>
      </c>
      <c r="AS15" s="1442">
        <v>5.9711401272782014</v>
      </c>
      <c r="AT15" s="1442">
        <v>5.9711401272782014</v>
      </c>
      <c r="AU15" s="1442">
        <v>5.9711401272782014</v>
      </c>
      <c r="AV15" s="1442">
        <v>5.9711401272782014</v>
      </c>
      <c r="AW15" s="1442">
        <v>5.9711401272782014</v>
      </c>
      <c r="AX15" s="1442">
        <v>5.9711401272782014</v>
      </c>
      <c r="AY15" s="1442">
        <v>5.9711401272782014</v>
      </c>
      <c r="AZ15" s="1442">
        <v>5.9711401272782014</v>
      </c>
      <c r="BA15" s="1442">
        <v>5.9711401272782014</v>
      </c>
      <c r="BB15" s="1442">
        <v>5.9711401272782014</v>
      </c>
      <c r="BC15" s="1442">
        <v>5.9711401272782014</v>
      </c>
      <c r="BD15" s="1442">
        <v>5.9711401272782014</v>
      </c>
      <c r="BE15" s="1442">
        <v>5.9711401272782014</v>
      </c>
      <c r="BF15" s="1442">
        <v>5.9711401272782014</v>
      </c>
      <c r="BG15" s="1442">
        <v>5.9711401272782014</v>
      </c>
      <c r="BH15" s="1442">
        <v>5.9711401272782014</v>
      </c>
      <c r="BI15" s="1442">
        <v>5.9711401272782014</v>
      </c>
      <c r="BJ15" s="1442">
        <v>5.9711401272782014</v>
      </c>
      <c r="BK15" s="1442">
        <v>5.9711401272782014</v>
      </c>
      <c r="BL15" s="1442">
        <v>5.9711401272782014</v>
      </c>
      <c r="BM15" s="1442">
        <v>5.9711401272782014</v>
      </c>
      <c r="BN15" s="1443">
        <v>5.9711401272782014</v>
      </c>
    </row>
    <row r="16" spans="1:66" s="91" customFormat="1">
      <c r="A16" s="1434">
        <v>5</v>
      </c>
      <c r="B16" s="1435">
        <v>0</v>
      </c>
      <c r="C16" s="1436" t="s">
        <v>69</v>
      </c>
      <c r="D16" s="1435" t="s">
        <v>71</v>
      </c>
      <c r="E16" s="1437">
        <v>3.6938561965019301</v>
      </c>
      <c r="F16" s="1437">
        <v>4.2569528778496197</v>
      </c>
      <c r="G16" s="1437">
        <v>4.4493889989796109</v>
      </c>
      <c r="H16" s="1437">
        <v>4.4608544787687734</v>
      </c>
      <c r="I16" s="1437">
        <v>4.5241750597138513</v>
      </c>
      <c r="J16" s="1437">
        <v>4.5876434063625382</v>
      </c>
      <c r="K16" s="1437">
        <v>4.6743677719405055</v>
      </c>
      <c r="L16" s="1437">
        <v>4.7671832888023875</v>
      </c>
      <c r="M16" s="1437">
        <v>4.863042919139545</v>
      </c>
      <c r="N16" s="1437">
        <v>4.9606157355235974</v>
      </c>
      <c r="O16" s="1437">
        <v>5.0582843083120217</v>
      </c>
      <c r="P16" s="1437">
        <v>5.1621221667098567</v>
      </c>
      <c r="Q16" s="1437">
        <v>5.2681566621237765</v>
      </c>
      <c r="R16" s="1437">
        <v>5.3764364250173866</v>
      </c>
      <c r="S16" s="1437">
        <v>5.4870108312130119</v>
      </c>
      <c r="T16" s="1437">
        <v>5.5999301596154005</v>
      </c>
      <c r="U16" s="1437">
        <v>5.7152465600944069</v>
      </c>
      <c r="V16" s="1437">
        <v>5.8330126744818225</v>
      </c>
      <c r="W16" s="1437">
        <v>5.9531153154773691</v>
      </c>
      <c r="X16" s="1437">
        <v>6.0706815670652006</v>
      </c>
      <c r="Y16" s="1437">
        <v>6.1940755663113629</v>
      </c>
      <c r="Z16" s="1437">
        <v>6.3204920109789651</v>
      </c>
      <c r="AA16" s="1437">
        <v>6.4439807436724923</v>
      </c>
      <c r="AB16" s="1437">
        <v>6.5764950108433364</v>
      </c>
      <c r="AC16" s="1437">
        <v>6.719152230254049</v>
      </c>
      <c r="AD16" s="1437">
        <v>6.851464715630768</v>
      </c>
      <c r="AE16" s="1437">
        <v>6.851464715630768</v>
      </c>
      <c r="AF16" s="1437">
        <v>6.851464715630768</v>
      </c>
      <c r="AG16" s="1437">
        <v>6.851464715630768</v>
      </c>
      <c r="AH16" s="1437">
        <v>6.851464715630768</v>
      </c>
      <c r="AI16" s="1437">
        <v>6.851464715630768</v>
      </c>
      <c r="AJ16" s="1437">
        <v>6.851464715630768</v>
      </c>
      <c r="AK16" s="1437">
        <v>6.851464715630768</v>
      </c>
      <c r="AL16" s="1437">
        <v>6.851464715630768</v>
      </c>
      <c r="AM16" s="1437">
        <v>6.851464715630768</v>
      </c>
      <c r="AN16" s="1437">
        <v>6.851464715630768</v>
      </c>
      <c r="AO16" s="1437">
        <v>6.851464715630768</v>
      </c>
      <c r="AP16" s="1437">
        <v>6.851464715630768</v>
      </c>
      <c r="AQ16" s="1437">
        <v>6.851464715630768</v>
      </c>
      <c r="AR16" s="1437">
        <v>6.851464715630768</v>
      </c>
      <c r="AS16" s="1437">
        <v>6.851464715630768</v>
      </c>
      <c r="AT16" s="1437">
        <v>6.851464715630768</v>
      </c>
      <c r="AU16" s="1437">
        <v>6.851464715630768</v>
      </c>
      <c r="AV16" s="1437">
        <v>6.851464715630768</v>
      </c>
      <c r="AW16" s="1437">
        <v>6.851464715630768</v>
      </c>
      <c r="AX16" s="1437">
        <v>6.851464715630768</v>
      </c>
      <c r="AY16" s="1437">
        <v>6.851464715630768</v>
      </c>
      <c r="AZ16" s="1437">
        <v>6.851464715630768</v>
      </c>
      <c r="BA16" s="1437">
        <v>6.851464715630768</v>
      </c>
      <c r="BB16" s="1437">
        <v>6.851464715630768</v>
      </c>
      <c r="BC16" s="1437">
        <v>6.851464715630768</v>
      </c>
      <c r="BD16" s="1437">
        <v>6.851464715630768</v>
      </c>
      <c r="BE16" s="1437">
        <v>6.851464715630768</v>
      </c>
      <c r="BF16" s="1437">
        <v>6.851464715630768</v>
      </c>
      <c r="BG16" s="1437">
        <v>6.851464715630768</v>
      </c>
      <c r="BH16" s="1437">
        <v>6.851464715630768</v>
      </c>
      <c r="BI16" s="1437">
        <v>6.851464715630768</v>
      </c>
      <c r="BJ16" s="1437">
        <v>6.851464715630768</v>
      </c>
      <c r="BK16" s="1437">
        <v>6.851464715630768</v>
      </c>
      <c r="BL16" s="1437">
        <v>6.851464715630768</v>
      </c>
      <c r="BM16" s="1437">
        <v>6.851464715630768</v>
      </c>
      <c r="BN16" s="1438">
        <v>6.851464715630768</v>
      </c>
    </row>
    <row r="17" spans="1:66" s="91" customFormat="1">
      <c r="A17" s="1439">
        <v>87</v>
      </c>
      <c r="B17" s="1440">
        <v>0</v>
      </c>
      <c r="C17" s="1441" t="s">
        <v>113</v>
      </c>
      <c r="D17" s="1440" t="s">
        <v>24</v>
      </c>
      <c r="E17" s="1442">
        <v>3.9677071594303399</v>
      </c>
      <c r="F17" s="1442">
        <v>4.707964460965461</v>
      </c>
      <c r="G17" s="1442">
        <v>4.96251573642175</v>
      </c>
      <c r="H17" s="1442">
        <v>4.9727038611857228</v>
      </c>
      <c r="I17" s="1442">
        <v>5.0530864583381758</v>
      </c>
      <c r="J17" s="1442">
        <v>5.1336571839426988</v>
      </c>
      <c r="K17" s="1442">
        <v>5.2459641348446988</v>
      </c>
      <c r="L17" s="1442">
        <v>5.366767821698355</v>
      </c>
      <c r="M17" s="1442">
        <v>5.4919464521677233</v>
      </c>
      <c r="N17" s="1442">
        <v>5.6196881302629533</v>
      </c>
      <c r="O17" s="1442">
        <v>5.7477561711210718</v>
      </c>
      <c r="P17" s="1442">
        <v>5.8845841407283759</v>
      </c>
      <c r="Q17" s="1442">
        <v>6.0246964800132288</v>
      </c>
      <c r="R17" s="1442">
        <v>6.16817328881167</v>
      </c>
      <c r="S17" s="1442">
        <v>6.3150961121779874</v>
      </c>
      <c r="T17" s="1442">
        <v>6.465548164141814</v>
      </c>
      <c r="U17" s="1442">
        <v>6.619615705000081</v>
      </c>
      <c r="V17" s="1442">
        <v>6.7773861075791038</v>
      </c>
      <c r="W17" s="1442">
        <v>6.9387101361310739</v>
      </c>
      <c r="X17" s="1442">
        <v>7.0966074872145626</v>
      </c>
      <c r="Y17" s="1442">
        <v>7.2630521063182281</v>
      </c>
      <c r="Z17" s="1442">
        <v>7.4340540497202978</v>
      </c>
      <c r="AA17" s="1442">
        <v>7.6010019616933224</v>
      </c>
      <c r="AB17" s="1442">
        <v>7.7812179286476191</v>
      </c>
      <c r="AC17" s="1442">
        <v>7.9764502803457358</v>
      </c>
      <c r="AD17" s="1442">
        <v>8.1567801507612661</v>
      </c>
      <c r="AE17" s="1442">
        <v>8.1567801507612661</v>
      </c>
      <c r="AF17" s="1442">
        <v>8.1567801507612661</v>
      </c>
      <c r="AG17" s="1442">
        <v>8.1567801507612661</v>
      </c>
      <c r="AH17" s="1442">
        <v>8.1567801507612661</v>
      </c>
      <c r="AI17" s="1442">
        <v>8.1567801507612661</v>
      </c>
      <c r="AJ17" s="1442">
        <v>8.1567801507612661</v>
      </c>
      <c r="AK17" s="1442">
        <v>8.1567801507612661</v>
      </c>
      <c r="AL17" s="1442">
        <v>8.1567801507612661</v>
      </c>
      <c r="AM17" s="1442">
        <v>8.1567801507612661</v>
      </c>
      <c r="AN17" s="1442">
        <v>8.1567801507612661</v>
      </c>
      <c r="AO17" s="1442">
        <v>8.1567801507612661</v>
      </c>
      <c r="AP17" s="1442">
        <v>8.1567801507612661</v>
      </c>
      <c r="AQ17" s="1442">
        <v>8.1567801507612661</v>
      </c>
      <c r="AR17" s="1442">
        <v>8.1567801507612661</v>
      </c>
      <c r="AS17" s="1442">
        <v>8.1567801507612661</v>
      </c>
      <c r="AT17" s="1442">
        <v>8.1567801507612661</v>
      </c>
      <c r="AU17" s="1442">
        <v>8.1567801507612661</v>
      </c>
      <c r="AV17" s="1442">
        <v>8.1567801507612661</v>
      </c>
      <c r="AW17" s="1442">
        <v>8.1567801507612661</v>
      </c>
      <c r="AX17" s="1442">
        <v>8.1567801507612661</v>
      </c>
      <c r="AY17" s="1442">
        <v>8.1567801507612661</v>
      </c>
      <c r="AZ17" s="1442">
        <v>8.1567801507612661</v>
      </c>
      <c r="BA17" s="1442">
        <v>8.1567801507612661</v>
      </c>
      <c r="BB17" s="1442">
        <v>8.1567801507612661</v>
      </c>
      <c r="BC17" s="1442">
        <v>8.1567801507612661</v>
      </c>
      <c r="BD17" s="1442">
        <v>8.1567801507612661</v>
      </c>
      <c r="BE17" s="1442">
        <v>8.1567801507612661</v>
      </c>
      <c r="BF17" s="1442">
        <v>8.1567801507612661</v>
      </c>
      <c r="BG17" s="1442">
        <v>8.1567801507612661</v>
      </c>
      <c r="BH17" s="1442">
        <v>8.1567801507612661</v>
      </c>
      <c r="BI17" s="1442">
        <v>8.1567801507612661</v>
      </c>
      <c r="BJ17" s="1442">
        <v>8.1567801507612661</v>
      </c>
      <c r="BK17" s="1442">
        <v>8.1567801507612661</v>
      </c>
      <c r="BL17" s="1442">
        <v>8.1567801507612661</v>
      </c>
      <c r="BM17" s="1442">
        <v>8.1567801507612661</v>
      </c>
      <c r="BN17" s="1443">
        <v>8.1567801507612661</v>
      </c>
    </row>
    <row r="18" spans="1:66" s="91" customFormat="1">
      <c r="A18" s="1434">
        <v>90</v>
      </c>
      <c r="B18" s="1435">
        <v>0</v>
      </c>
      <c r="C18" s="1436" t="s">
        <v>116</v>
      </c>
      <c r="D18" s="1435" t="s">
        <v>117</v>
      </c>
      <c r="E18" s="1437">
        <v>3.2950214637281463</v>
      </c>
      <c r="F18" s="1437">
        <v>3.7901445490377133</v>
      </c>
      <c r="G18" s="1437">
        <v>3.9605608378052355</v>
      </c>
      <c r="H18" s="1437">
        <v>3.9724714385812856</v>
      </c>
      <c r="I18" s="1437">
        <v>4.0298715741422715</v>
      </c>
      <c r="J18" s="1437">
        <v>4.0874588039089375</v>
      </c>
      <c r="K18" s="1437">
        <v>4.1654814821667259</v>
      </c>
      <c r="L18" s="1437">
        <v>4.2489021461240428</v>
      </c>
      <c r="M18" s="1437">
        <v>4.335052924269748</v>
      </c>
      <c r="N18" s="1437">
        <v>4.4227695946883969</v>
      </c>
      <c r="O18" s="1437">
        <v>4.5106369691392523</v>
      </c>
      <c r="P18" s="1437">
        <v>4.6039784609838224</v>
      </c>
      <c r="Q18" s="1437">
        <v>4.6993154418231828</v>
      </c>
      <c r="R18" s="1437">
        <v>4.7966926461560524</v>
      </c>
      <c r="S18" s="1437">
        <v>4.8961555253245628</v>
      </c>
      <c r="T18" s="1437">
        <v>4.9977503876197291</v>
      </c>
      <c r="U18" s="1437">
        <v>5.1015252482766718</v>
      </c>
      <c r="V18" s="1437">
        <v>5.2075286232714735</v>
      </c>
      <c r="W18" s="1437">
        <v>5.3156638068148139</v>
      </c>
      <c r="X18" s="1437">
        <v>5.4216638628999698</v>
      </c>
      <c r="Y18" s="1437">
        <v>5.5328597644358304</v>
      </c>
      <c r="Z18" s="1437">
        <v>5.6467962993161418</v>
      </c>
      <c r="AA18" s="1437">
        <v>5.7582629265608851</v>
      </c>
      <c r="AB18" s="1437">
        <v>5.8777355109094307</v>
      </c>
      <c r="AC18" s="1437">
        <v>6.0061960370555383</v>
      </c>
      <c r="AD18" s="1437">
        <v>6.1256969581080911</v>
      </c>
      <c r="AE18" s="1437">
        <v>6.1256969581080911</v>
      </c>
      <c r="AF18" s="1437">
        <v>6.1256969581080911</v>
      </c>
      <c r="AG18" s="1437">
        <v>6.1256969581080911</v>
      </c>
      <c r="AH18" s="1437">
        <v>6.1256969581080911</v>
      </c>
      <c r="AI18" s="1437">
        <v>6.1256969581080911</v>
      </c>
      <c r="AJ18" s="1437">
        <v>6.1256969581080911</v>
      </c>
      <c r="AK18" s="1437">
        <v>6.1256969581080911</v>
      </c>
      <c r="AL18" s="1437">
        <v>6.1256969581080911</v>
      </c>
      <c r="AM18" s="1437">
        <v>6.1256969581080911</v>
      </c>
      <c r="AN18" s="1437">
        <v>6.1256969581080911</v>
      </c>
      <c r="AO18" s="1437">
        <v>6.1256969581080911</v>
      </c>
      <c r="AP18" s="1437">
        <v>6.1256969581080911</v>
      </c>
      <c r="AQ18" s="1437">
        <v>6.1256969581080911</v>
      </c>
      <c r="AR18" s="1437">
        <v>6.1256969581080911</v>
      </c>
      <c r="AS18" s="1437">
        <v>6.1256969581080911</v>
      </c>
      <c r="AT18" s="1437">
        <v>6.1256969581080911</v>
      </c>
      <c r="AU18" s="1437">
        <v>6.1256969581080911</v>
      </c>
      <c r="AV18" s="1437">
        <v>6.1256969581080911</v>
      </c>
      <c r="AW18" s="1437">
        <v>6.1256969581080911</v>
      </c>
      <c r="AX18" s="1437">
        <v>6.1256969581080911</v>
      </c>
      <c r="AY18" s="1437">
        <v>6.1256969581080911</v>
      </c>
      <c r="AZ18" s="1437">
        <v>6.1256969581080911</v>
      </c>
      <c r="BA18" s="1437">
        <v>6.1256969581080911</v>
      </c>
      <c r="BB18" s="1437">
        <v>6.1256969581080911</v>
      </c>
      <c r="BC18" s="1437">
        <v>6.1256969581080911</v>
      </c>
      <c r="BD18" s="1437">
        <v>6.1256969581080911</v>
      </c>
      <c r="BE18" s="1437">
        <v>6.1256969581080911</v>
      </c>
      <c r="BF18" s="1437">
        <v>6.1256969581080911</v>
      </c>
      <c r="BG18" s="1437">
        <v>6.1256969581080911</v>
      </c>
      <c r="BH18" s="1437">
        <v>6.1256969581080911</v>
      </c>
      <c r="BI18" s="1437">
        <v>6.1256969581080911</v>
      </c>
      <c r="BJ18" s="1437">
        <v>6.1256969581080911</v>
      </c>
      <c r="BK18" s="1437">
        <v>6.1256969581080911</v>
      </c>
      <c r="BL18" s="1437">
        <v>6.1256969581080911</v>
      </c>
      <c r="BM18" s="1437">
        <v>6.1256969581080911</v>
      </c>
      <c r="BN18" s="1438">
        <v>6.1256969581080911</v>
      </c>
    </row>
    <row r="19" spans="1:66" s="91" customFormat="1">
      <c r="A19" s="1439">
        <v>6</v>
      </c>
      <c r="B19" s="1440">
        <v>0</v>
      </c>
      <c r="C19" s="1441" t="s">
        <v>205</v>
      </c>
      <c r="D19" s="1440" t="s">
        <v>207</v>
      </c>
      <c r="E19" s="1442">
        <v>2.405180837106518</v>
      </c>
      <c r="F19" s="1442">
        <v>2.4193762622197137</v>
      </c>
      <c r="G19" s="1442">
        <v>2.4339975500863051</v>
      </c>
      <c r="H19" s="1442">
        <v>2.4490574765888944</v>
      </c>
      <c r="I19" s="1442">
        <v>2.4645692008865612</v>
      </c>
      <c r="J19" s="1442">
        <v>2.4805462769131581</v>
      </c>
      <c r="K19" s="1442">
        <v>2.4970026652205526</v>
      </c>
      <c r="L19" s="1442">
        <v>2.5139527451771695</v>
      </c>
      <c r="M19" s="1442">
        <v>2.5314113275324845</v>
      </c>
      <c r="N19" s="1442">
        <v>2.549393667358459</v>
      </c>
      <c r="O19" s="1442">
        <v>2.5679154773792128</v>
      </c>
      <c r="P19" s="1442">
        <v>2.586992941700589</v>
      </c>
      <c r="Q19" s="1442">
        <v>2.6066427299516071</v>
      </c>
      <c r="R19" s="1442">
        <v>2.6268820118501552</v>
      </c>
      <c r="S19" s="1442">
        <v>2.6477284722056598</v>
      </c>
      <c r="T19" s="1442">
        <v>2.6692003263718296</v>
      </c>
      <c r="U19" s="1442">
        <v>2.6913163361629846</v>
      </c>
      <c r="V19" s="1442">
        <v>2.714095826247874</v>
      </c>
      <c r="W19" s="1442">
        <v>2.7375587010353102</v>
      </c>
      <c r="X19" s="1442">
        <v>2.7617254620663698</v>
      </c>
      <c r="Y19" s="1442">
        <v>2.786617225928361</v>
      </c>
      <c r="Z19" s="1442">
        <v>2.8122557427062116</v>
      </c>
      <c r="AA19" s="1442">
        <v>2.8386634149873977</v>
      </c>
      <c r="AB19" s="1442">
        <v>2.8658633174370198</v>
      </c>
      <c r="AC19" s="1442">
        <v>2.8938792169601308</v>
      </c>
      <c r="AD19" s="1442">
        <v>2.9227355934689347</v>
      </c>
      <c r="AE19" s="1442">
        <f>$AD$19+AE4</f>
        <v>3.9431932547419377</v>
      </c>
      <c r="AF19" s="1442">
        <f t="shared" ref="AF19:BN19" si="2">$AD$19+AF4</f>
        <v>3.9738069845801274</v>
      </c>
      <c r="AG19" s="1442">
        <f t="shared" si="2"/>
        <v>4.0053391263134639</v>
      </c>
      <c r="AH19" s="1442">
        <f t="shared" si="2"/>
        <v>4.0378172322987993</v>
      </c>
      <c r="AI19" s="1442">
        <f t="shared" si="2"/>
        <v>4.0712696814636953</v>
      </c>
      <c r="AJ19" s="1442">
        <f t="shared" si="2"/>
        <v>4.1057257041035378</v>
      </c>
      <c r="AK19" s="1442">
        <f t="shared" si="2"/>
        <v>4.1412154074225764</v>
      </c>
      <c r="AL19" s="1442">
        <f t="shared" si="2"/>
        <v>4.1777698018411851</v>
      </c>
      <c r="AM19" s="1442">
        <f t="shared" si="2"/>
        <v>4.2154208280923529</v>
      </c>
      <c r="AN19" s="1442">
        <f t="shared" si="2"/>
        <v>4.2542013851310561</v>
      </c>
      <c r="AO19" s="1442">
        <f t="shared" si="2"/>
        <v>4.29414535888092</v>
      </c>
      <c r="AP19" s="1442">
        <f t="shared" si="2"/>
        <v>4.335287651843279</v>
      </c>
      <c r="AQ19" s="1442">
        <f t="shared" si="2"/>
        <v>4.3776642135945094</v>
      </c>
      <c r="AR19" s="1442">
        <f t="shared" si="2"/>
        <v>4.4213120721982762</v>
      </c>
      <c r="AS19" s="1442">
        <f t="shared" si="2"/>
        <v>4.4662693665601569</v>
      </c>
      <c r="AT19" s="1442">
        <f t="shared" si="2"/>
        <v>4.512575379752894</v>
      </c>
      <c r="AU19" s="1442">
        <f t="shared" si="2"/>
        <v>4.5602705733414126</v>
      </c>
      <c r="AV19" s="1442">
        <f t="shared" si="2"/>
        <v>4.6093966227375862</v>
      </c>
      <c r="AW19" s="1442">
        <f t="shared" si="2"/>
        <v>4.659996453615646</v>
      </c>
      <c r="AX19" s="1442">
        <f t="shared" si="2"/>
        <v>4.7121142794200477</v>
      </c>
      <c r="AY19" s="1442">
        <f t="shared" si="2"/>
        <v>4.765795639998581</v>
      </c>
      <c r="AZ19" s="1442">
        <f t="shared" si="2"/>
        <v>4.8210874413944707</v>
      </c>
      <c r="BA19" s="1442">
        <f t="shared" si="2"/>
        <v>4.8780379968322372</v>
      </c>
      <c r="BB19" s="1442">
        <f t="shared" si="2"/>
        <v>4.9366970689331353</v>
      </c>
      <c r="BC19" s="1442">
        <f t="shared" si="2"/>
        <v>4.9971159131970619</v>
      </c>
      <c r="BD19" s="1442">
        <f t="shared" si="2"/>
        <v>5.0593473227889056</v>
      </c>
      <c r="BE19" s="1442">
        <f t="shared" si="2"/>
        <v>5.1234456746685053</v>
      </c>
      <c r="BF19" s="1442">
        <f t="shared" si="2"/>
        <v>5.1894669771044928</v>
      </c>
      <c r="BG19" s="1442">
        <f t="shared" si="2"/>
        <v>5.2574689186135597</v>
      </c>
      <c r="BH19" s="1442">
        <f t="shared" si="2"/>
        <v>5.3275109183678975</v>
      </c>
      <c r="BI19" s="1442">
        <f t="shared" si="2"/>
        <v>5.3996541781148668</v>
      </c>
      <c r="BJ19" s="1442">
        <f t="shared" si="2"/>
        <v>5.4739617356542443</v>
      </c>
      <c r="BK19" s="1442">
        <f t="shared" si="2"/>
        <v>5.5504985199198043</v>
      </c>
      <c r="BL19" s="1442">
        <f t="shared" si="2"/>
        <v>5.6293314077133303</v>
      </c>
      <c r="BM19" s="1442">
        <f t="shared" si="2"/>
        <v>5.7105292821406621</v>
      </c>
      <c r="BN19" s="1442">
        <f t="shared" si="2"/>
        <v>5.7105292821406621</v>
      </c>
    </row>
    <row r="20" spans="1:66" s="91" customFormat="1">
      <c r="A20" s="1434">
        <v>91</v>
      </c>
      <c r="B20" s="1435">
        <v>0</v>
      </c>
      <c r="C20" s="1436" t="s">
        <v>118</v>
      </c>
      <c r="D20" s="1435" t="s">
        <v>119</v>
      </c>
      <c r="E20" s="1437">
        <v>4.0248114969162199</v>
      </c>
      <c r="F20" s="1437">
        <v>4.4765600242862646</v>
      </c>
      <c r="G20" s="1437">
        <v>4.6292599182277421</v>
      </c>
      <c r="H20" s="1437">
        <v>4.6415449920715135</v>
      </c>
      <c r="I20" s="1437">
        <v>4.69391048865723</v>
      </c>
      <c r="J20" s="1437">
        <v>4.7463823060178116</v>
      </c>
      <c r="K20" s="1437">
        <v>4.8166309919712837</v>
      </c>
      <c r="L20" s="1437">
        <v>4.891388845436734</v>
      </c>
      <c r="M20" s="1437">
        <v>4.9682998331360313</v>
      </c>
      <c r="N20" s="1437">
        <v>5.0463445577539439</v>
      </c>
      <c r="O20" s="1437">
        <v>5.1243088704870665</v>
      </c>
      <c r="P20" s="1437">
        <v>5.2067369901230931</v>
      </c>
      <c r="Q20" s="1437">
        <v>5.2906314156933121</v>
      </c>
      <c r="R20" s="1437">
        <v>5.3760221791919829</v>
      </c>
      <c r="S20" s="1437">
        <v>5.4629397318547861</v>
      </c>
      <c r="T20" s="1437">
        <v>5.5514150644810139</v>
      </c>
      <c r="U20" s="1437">
        <v>5.6414804140129471</v>
      </c>
      <c r="V20" s="1437">
        <v>5.7331682513768056</v>
      </c>
      <c r="W20" s="1437">
        <v>5.8263915293273794</v>
      </c>
      <c r="X20" s="1437">
        <v>5.9176546023584464</v>
      </c>
      <c r="Y20" s="1437">
        <v>6.0129701974729226</v>
      </c>
      <c r="Z20" s="1437">
        <v>6.1103084987805945</v>
      </c>
      <c r="AA20" s="1437">
        <v>6.2054576919109508</v>
      </c>
      <c r="AB20" s="1437">
        <v>6.3068732805752656</v>
      </c>
      <c r="AC20" s="1437">
        <v>6.4152667383933863</v>
      </c>
      <c r="AD20" s="1437">
        <v>6.5162994784549557</v>
      </c>
      <c r="AE20" s="1437">
        <v>6.5162994784549557</v>
      </c>
      <c r="AF20" s="1437">
        <v>6.5162994784549557</v>
      </c>
      <c r="AG20" s="1437">
        <v>6.5162994784549557</v>
      </c>
      <c r="AH20" s="1437">
        <v>6.5162994784549557</v>
      </c>
      <c r="AI20" s="1437">
        <v>6.5162994784549557</v>
      </c>
      <c r="AJ20" s="1437">
        <v>6.5162994784549557</v>
      </c>
      <c r="AK20" s="1437">
        <v>6.5162994784549557</v>
      </c>
      <c r="AL20" s="1437">
        <v>6.5162994784549557</v>
      </c>
      <c r="AM20" s="1437">
        <v>6.5162994784549557</v>
      </c>
      <c r="AN20" s="1437">
        <v>6.5162994784549557</v>
      </c>
      <c r="AO20" s="1437">
        <v>6.5162994784549557</v>
      </c>
      <c r="AP20" s="1437">
        <v>6.5162994784549557</v>
      </c>
      <c r="AQ20" s="1437">
        <v>6.5162994784549557</v>
      </c>
      <c r="AR20" s="1437">
        <v>6.5162994784549557</v>
      </c>
      <c r="AS20" s="1437">
        <v>6.5162994784549557</v>
      </c>
      <c r="AT20" s="1437">
        <v>6.5162994784549557</v>
      </c>
      <c r="AU20" s="1437">
        <v>6.5162994784549557</v>
      </c>
      <c r="AV20" s="1437">
        <v>6.5162994784549557</v>
      </c>
      <c r="AW20" s="1437">
        <v>6.5162994784549557</v>
      </c>
      <c r="AX20" s="1437">
        <v>6.5162994784549557</v>
      </c>
      <c r="AY20" s="1437">
        <v>6.5162994784549557</v>
      </c>
      <c r="AZ20" s="1437">
        <v>6.5162994784549557</v>
      </c>
      <c r="BA20" s="1437">
        <v>6.5162994784549557</v>
      </c>
      <c r="BB20" s="1437">
        <v>6.5162994784549557</v>
      </c>
      <c r="BC20" s="1437">
        <v>6.5162994784549557</v>
      </c>
      <c r="BD20" s="1437">
        <v>6.5162994784549557</v>
      </c>
      <c r="BE20" s="1437">
        <v>6.5162994784549557</v>
      </c>
      <c r="BF20" s="1437">
        <v>6.5162994784549557</v>
      </c>
      <c r="BG20" s="1437">
        <v>6.5162994784549557</v>
      </c>
      <c r="BH20" s="1437">
        <v>6.5162994784549557</v>
      </c>
      <c r="BI20" s="1437">
        <v>6.5162994784549557</v>
      </c>
      <c r="BJ20" s="1437">
        <v>6.5162994784549557</v>
      </c>
      <c r="BK20" s="1437">
        <v>6.5162994784549557</v>
      </c>
      <c r="BL20" s="1437">
        <v>6.5162994784549557</v>
      </c>
      <c r="BM20" s="1437">
        <v>6.5162994784549557</v>
      </c>
      <c r="BN20" s="1438">
        <v>6.5162994784549557</v>
      </c>
    </row>
    <row r="21" spans="1:66" s="91" customFormat="1">
      <c r="A21" s="1439">
        <v>92</v>
      </c>
      <c r="B21" s="1440">
        <v>0</v>
      </c>
      <c r="C21" s="1441" t="s">
        <v>120</v>
      </c>
      <c r="D21" s="1440" t="s">
        <v>26</v>
      </c>
      <c r="E21" s="1442">
        <v>3.8915103202043895</v>
      </c>
      <c r="F21" s="1442">
        <v>4.4882932892692535</v>
      </c>
      <c r="G21" s="1442">
        <v>4.6916419772146032</v>
      </c>
      <c r="H21" s="1442">
        <v>4.7028868643838759</v>
      </c>
      <c r="I21" s="1442">
        <v>4.7691414938161119</v>
      </c>
      <c r="J21" s="1442">
        <v>4.8355243985716703</v>
      </c>
      <c r="K21" s="1442">
        <v>4.9265611377737724</v>
      </c>
      <c r="L21" s="1442">
        <v>5.0240325465767874</v>
      </c>
      <c r="M21" s="1442">
        <v>5.1247036803121375</v>
      </c>
      <c r="N21" s="1442">
        <v>5.2271609957976768</v>
      </c>
      <c r="O21" s="1442">
        <v>5.3296868367963519</v>
      </c>
      <c r="P21" s="1442">
        <v>5.4387264741834862</v>
      </c>
      <c r="Q21" s="1442">
        <v>5.5500624333248103</v>
      </c>
      <c r="R21" s="1442">
        <v>5.6637452754423654</v>
      </c>
      <c r="S21" s="1442">
        <v>5.7798263212485042</v>
      </c>
      <c r="T21" s="1442">
        <v>5.8983578174008136</v>
      </c>
      <c r="U21" s="1442">
        <v>6.0193939628073529</v>
      </c>
      <c r="V21" s="1442">
        <v>6.1429894439874202</v>
      </c>
      <c r="W21" s="1442">
        <v>6.2690229057497824</v>
      </c>
      <c r="X21" s="1442">
        <v>6.3923211211030404</v>
      </c>
      <c r="Y21" s="1442">
        <v>6.5217602415877636</v>
      </c>
      <c r="Z21" s="1442">
        <v>6.6543614676452343</v>
      </c>
      <c r="AA21" s="1442">
        <v>6.7838081035058515</v>
      </c>
      <c r="AB21" s="1442">
        <v>6.9227855549934656</v>
      </c>
      <c r="AC21" s="1442">
        <v>7.0724783576573538</v>
      </c>
      <c r="AD21" s="1442">
        <v>7.2111399854523857</v>
      </c>
      <c r="AE21" s="1442">
        <v>7.2111399854523857</v>
      </c>
      <c r="AF21" s="1442">
        <v>7.2111399854523857</v>
      </c>
      <c r="AG21" s="1442">
        <v>7.2111399854523857</v>
      </c>
      <c r="AH21" s="1442">
        <v>7.2111399854523857</v>
      </c>
      <c r="AI21" s="1442">
        <v>7.2111399854523857</v>
      </c>
      <c r="AJ21" s="1442">
        <v>7.2111399854523857</v>
      </c>
      <c r="AK21" s="1442">
        <v>7.2111399854523857</v>
      </c>
      <c r="AL21" s="1442">
        <v>7.2111399854523857</v>
      </c>
      <c r="AM21" s="1442">
        <v>7.2111399854523857</v>
      </c>
      <c r="AN21" s="1442">
        <v>7.2111399854523857</v>
      </c>
      <c r="AO21" s="1442">
        <v>7.2111399854523857</v>
      </c>
      <c r="AP21" s="1442">
        <v>7.2111399854523857</v>
      </c>
      <c r="AQ21" s="1442">
        <v>7.2111399854523857</v>
      </c>
      <c r="AR21" s="1442">
        <v>7.2111399854523857</v>
      </c>
      <c r="AS21" s="1442">
        <v>7.2111399854523857</v>
      </c>
      <c r="AT21" s="1442">
        <v>7.2111399854523857</v>
      </c>
      <c r="AU21" s="1442">
        <v>7.2111399854523857</v>
      </c>
      <c r="AV21" s="1442">
        <v>7.2111399854523857</v>
      </c>
      <c r="AW21" s="1442">
        <v>7.2111399854523857</v>
      </c>
      <c r="AX21" s="1442">
        <v>7.2111399854523857</v>
      </c>
      <c r="AY21" s="1442">
        <v>7.2111399854523857</v>
      </c>
      <c r="AZ21" s="1442">
        <v>7.2111399854523857</v>
      </c>
      <c r="BA21" s="1442">
        <v>7.2111399854523857</v>
      </c>
      <c r="BB21" s="1442">
        <v>7.2111399854523857</v>
      </c>
      <c r="BC21" s="1442">
        <v>7.2111399854523857</v>
      </c>
      <c r="BD21" s="1442">
        <v>7.2111399854523857</v>
      </c>
      <c r="BE21" s="1442">
        <v>7.2111399854523857</v>
      </c>
      <c r="BF21" s="1442">
        <v>7.2111399854523857</v>
      </c>
      <c r="BG21" s="1442">
        <v>7.2111399854523857</v>
      </c>
      <c r="BH21" s="1442">
        <v>7.2111399854523857</v>
      </c>
      <c r="BI21" s="1442">
        <v>7.2111399854523857</v>
      </c>
      <c r="BJ21" s="1442">
        <v>7.2111399854523857</v>
      </c>
      <c r="BK21" s="1442">
        <v>7.2111399854523857</v>
      </c>
      <c r="BL21" s="1442">
        <v>7.2111399854523857</v>
      </c>
      <c r="BM21" s="1442">
        <v>7.2111399854523857</v>
      </c>
      <c r="BN21" s="1443">
        <v>7.2111399854523857</v>
      </c>
    </row>
    <row r="22" spans="1:66" s="91" customFormat="1">
      <c r="A22" s="1434">
        <v>7</v>
      </c>
      <c r="B22" s="1435">
        <v>0</v>
      </c>
      <c r="C22" s="1436" t="s">
        <v>54</v>
      </c>
      <c r="D22" s="1435" t="s">
        <v>56</v>
      </c>
      <c r="E22" s="1437">
        <v>2.9082663112322602</v>
      </c>
      <c r="F22" s="1437">
        <v>3.4281149642808644</v>
      </c>
      <c r="G22" s="1437">
        <v>3.6098210195678426</v>
      </c>
      <c r="H22" s="1437">
        <v>3.6214883207551445</v>
      </c>
      <c r="I22" s="1437">
        <v>3.6821746671421578</v>
      </c>
      <c r="J22" s="1437">
        <v>3.743132979753387</v>
      </c>
      <c r="K22" s="1437">
        <v>3.8263364539000886</v>
      </c>
      <c r="L22" s="1437">
        <v>3.9156058705927861</v>
      </c>
      <c r="M22" s="1437">
        <v>4.0080753604282142</v>
      </c>
      <c r="N22" s="1437">
        <v>4.1024877891762159</v>
      </c>
      <c r="O22" s="1437">
        <v>4.1972904267555133</v>
      </c>
      <c r="P22" s="1437">
        <v>4.2983606954097091</v>
      </c>
      <c r="Q22" s="1437">
        <v>4.4018907686897286</v>
      </c>
      <c r="R22" s="1437">
        <v>4.507941590683231</v>
      </c>
      <c r="S22" s="1437">
        <v>4.6165752666679953</v>
      </c>
      <c r="T22" s="1437">
        <v>4.7278552235786382</v>
      </c>
      <c r="U22" s="1437">
        <v>4.8418471737890627</v>
      </c>
      <c r="V22" s="1437">
        <v>4.9586177735917056</v>
      </c>
      <c r="W22" s="1437">
        <v>5.0780691114269088</v>
      </c>
      <c r="X22" s="1437">
        <v>5.1953472841159787</v>
      </c>
      <c r="Y22" s="1437">
        <v>5.3187956787406465</v>
      </c>
      <c r="Z22" s="1437">
        <v>5.4456427762488486</v>
      </c>
      <c r="AA22" s="1437">
        <v>5.5698998036313734</v>
      </c>
      <c r="AB22" s="1437">
        <v>5.7036339871619637</v>
      </c>
      <c r="AC22" s="1437">
        <v>5.8480694867043201</v>
      </c>
      <c r="AD22" s="1437">
        <v>5.9823836445445338</v>
      </c>
      <c r="AE22" s="1437">
        <v>5.9823836445445338</v>
      </c>
      <c r="AF22" s="1437">
        <v>5.9823836445445338</v>
      </c>
      <c r="AG22" s="1437">
        <v>5.9823836445445338</v>
      </c>
      <c r="AH22" s="1437">
        <v>5.9823836445445338</v>
      </c>
      <c r="AI22" s="1437">
        <v>5.9823836445445338</v>
      </c>
      <c r="AJ22" s="1437">
        <v>5.9823836445445338</v>
      </c>
      <c r="AK22" s="1437">
        <v>5.9823836445445338</v>
      </c>
      <c r="AL22" s="1437">
        <v>5.9823836445445338</v>
      </c>
      <c r="AM22" s="1437">
        <v>5.9823836445445338</v>
      </c>
      <c r="AN22" s="1437">
        <v>5.9823836445445338</v>
      </c>
      <c r="AO22" s="1437">
        <v>5.9823836445445338</v>
      </c>
      <c r="AP22" s="1437">
        <v>5.9823836445445338</v>
      </c>
      <c r="AQ22" s="1437">
        <v>5.9823836445445338</v>
      </c>
      <c r="AR22" s="1437">
        <v>5.9823836445445338</v>
      </c>
      <c r="AS22" s="1437">
        <v>5.9823836445445338</v>
      </c>
      <c r="AT22" s="1437">
        <v>5.9823836445445338</v>
      </c>
      <c r="AU22" s="1437">
        <v>5.9823836445445338</v>
      </c>
      <c r="AV22" s="1437">
        <v>5.9823836445445338</v>
      </c>
      <c r="AW22" s="1437">
        <v>5.9823836445445338</v>
      </c>
      <c r="AX22" s="1437">
        <v>5.9823836445445338</v>
      </c>
      <c r="AY22" s="1437">
        <v>5.9823836445445338</v>
      </c>
      <c r="AZ22" s="1437">
        <v>5.9823836445445338</v>
      </c>
      <c r="BA22" s="1437">
        <v>5.9823836445445338</v>
      </c>
      <c r="BB22" s="1437">
        <v>5.9823836445445338</v>
      </c>
      <c r="BC22" s="1437">
        <v>5.9823836445445338</v>
      </c>
      <c r="BD22" s="1437">
        <v>5.9823836445445338</v>
      </c>
      <c r="BE22" s="1437">
        <v>5.9823836445445338</v>
      </c>
      <c r="BF22" s="1437">
        <v>5.9823836445445338</v>
      </c>
      <c r="BG22" s="1437">
        <v>5.9823836445445338</v>
      </c>
      <c r="BH22" s="1437">
        <v>5.9823836445445338</v>
      </c>
      <c r="BI22" s="1437">
        <v>5.9823836445445338</v>
      </c>
      <c r="BJ22" s="1437">
        <v>5.9823836445445338</v>
      </c>
      <c r="BK22" s="1437">
        <v>5.9823836445445338</v>
      </c>
      <c r="BL22" s="1437">
        <v>5.9823836445445338</v>
      </c>
      <c r="BM22" s="1437">
        <v>5.9823836445445338</v>
      </c>
      <c r="BN22" s="1438">
        <v>5.9823836445445338</v>
      </c>
    </row>
    <row r="23" spans="1:66" s="91" customFormat="1">
      <c r="A23" s="1439">
        <v>8</v>
      </c>
      <c r="B23" s="1440">
        <v>0</v>
      </c>
      <c r="C23" s="1441" t="s">
        <v>69</v>
      </c>
      <c r="D23" s="1440" t="s">
        <v>72</v>
      </c>
      <c r="E23" s="1442">
        <v>2.8173908801494636</v>
      </c>
      <c r="F23" s="1442">
        <v>3.2311111545307143</v>
      </c>
      <c r="G23" s="1442">
        <v>3.37515725906567</v>
      </c>
      <c r="H23" s="1442">
        <v>3.3876009212309621</v>
      </c>
      <c r="I23" s="1442">
        <v>3.4379109376235824</v>
      </c>
      <c r="J23" s="1442">
        <v>3.4884551466660545</v>
      </c>
      <c r="K23" s="1442">
        <v>3.556056987290293</v>
      </c>
      <c r="L23" s="1442">
        <v>3.6282267026548536</v>
      </c>
      <c r="M23" s="1442">
        <v>3.7027504975991912</v>
      </c>
      <c r="N23" s="1442">
        <v>3.7786637909233924</v>
      </c>
      <c r="O23" s="1442">
        <v>3.8547935916449352</v>
      </c>
      <c r="P23" s="1442">
        <v>3.9355650005194844</v>
      </c>
      <c r="Q23" s="1442">
        <v>4.0180910105250023</v>
      </c>
      <c r="R23" s="1442">
        <v>4.1024116904883652</v>
      </c>
      <c r="S23" s="1442">
        <v>4.1885677919309208</v>
      </c>
      <c r="T23" s="1442">
        <v>4.2766008680749863</v>
      </c>
      <c r="U23" s="1442">
        <v>4.3665539826611424</v>
      </c>
      <c r="V23" s="1442">
        <v>4.4584707106843906</v>
      </c>
      <c r="W23" s="1442">
        <v>4.5522740840388423</v>
      </c>
      <c r="X23" s="1442">
        <v>4.6444228672689292</v>
      </c>
      <c r="Y23" s="1442">
        <v>4.741010751876571</v>
      </c>
      <c r="Z23" s="1442">
        <v>4.8400017815014662</v>
      </c>
      <c r="AA23" s="1442">
        <v>4.9370711540201428</v>
      </c>
      <c r="AB23" s="1442">
        <v>5.040925473294477</v>
      </c>
      <c r="AC23" s="1442">
        <v>5.1523845340925147</v>
      </c>
      <c r="AD23" s="1442">
        <v>5.25654277196863</v>
      </c>
      <c r="AE23" s="1442">
        <v>5.25654277196863</v>
      </c>
      <c r="AF23" s="1442">
        <v>5.25654277196863</v>
      </c>
      <c r="AG23" s="1442">
        <v>5.25654277196863</v>
      </c>
      <c r="AH23" s="1442">
        <v>5.25654277196863</v>
      </c>
      <c r="AI23" s="1442">
        <v>5.25654277196863</v>
      </c>
      <c r="AJ23" s="1442">
        <v>5.25654277196863</v>
      </c>
      <c r="AK23" s="1442">
        <v>5.25654277196863</v>
      </c>
      <c r="AL23" s="1442">
        <v>5.25654277196863</v>
      </c>
      <c r="AM23" s="1442">
        <v>5.25654277196863</v>
      </c>
      <c r="AN23" s="1442">
        <v>5.25654277196863</v>
      </c>
      <c r="AO23" s="1442">
        <v>5.25654277196863</v>
      </c>
      <c r="AP23" s="1442">
        <v>5.25654277196863</v>
      </c>
      <c r="AQ23" s="1442">
        <v>5.25654277196863</v>
      </c>
      <c r="AR23" s="1442">
        <v>5.25654277196863</v>
      </c>
      <c r="AS23" s="1442">
        <v>5.25654277196863</v>
      </c>
      <c r="AT23" s="1442">
        <v>5.25654277196863</v>
      </c>
      <c r="AU23" s="1442">
        <v>5.25654277196863</v>
      </c>
      <c r="AV23" s="1442">
        <v>5.25654277196863</v>
      </c>
      <c r="AW23" s="1442">
        <v>5.25654277196863</v>
      </c>
      <c r="AX23" s="1442">
        <v>5.25654277196863</v>
      </c>
      <c r="AY23" s="1442">
        <v>5.25654277196863</v>
      </c>
      <c r="AZ23" s="1442">
        <v>5.25654277196863</v>
      </c>
      <c r="BA23" s="1442">
        <v>5.25654277196863</v>
      </c>
      <c r="BB23" s="1442">
        <v>5.25654277196863</v>
      </c>
      <c r="BC23" s="1442">
        <v>5.25654277196863</v>
      </c>
      <c r="BD23" s="1442">
        <v>5.25654277196863</v>
      </c>
      <c r="BE23" s="1442">
        <v>5.25654277196863</v>
      </c>
      <c r="BF23" s="1442">
        <v>5.25654277196863</v>
      </c>
      <c r="BG23" s="1442">
        <v>5.25654277196863</v>
      </c>
      <c r="BH23" s="1442">
        <v>5.25654277196863</v>
      </c>
      <c r="BI23" s="1442">
        <v>5.25654277196863</v>
      </c>
      <c r="BJ23" s="1442">
        <v>5.25654277196863</v>
      </c>
      <c r="BK23" s="1442">
        <v>5.25654277196863</v>
      </c>
      <c r="BL23" s="1442">
        <v>5.25654277196863</v>
      </c>
      <c r="BM23" s="1442">
        <v>5.25654277196863</v>
      </c>
      <c r="BN23" s="1443">
        <v>5.25654277196863</v>
      </c>
    </row>
    <row r="24" spans="1:66" s="91" customFormat="1">
      <c r="A24" s="1434">
        <v>94</v>
      </c>
      <c r="B24" s="1435">
        <v>0</v>
      </c>
      <c r="C24" s="1436" t="s">
        <v>121</v>
      </c>
      <c r="D24" s="1435" t="s">
        <v>41</v>
      </c>
      <c r="E24" s="1437">
        <v>4.5067242112561168</v>
      </c>
      <c r="F24" s="1437">
        <v>5.0178433273426517</v>
      </c>
      <c r="G24" s="1437">
        <v>5.1892787943826519</v>
      </c>
      <c r="H24" s="1437">
        <v>5.201187354758444</v>
      </c>
      <c r="I24" s="1437">
        <v>5.2585534561756191</v>
      </c>
      <c r="J24" s="1437">
        <v>5.3159771622712571</v>
      </c>
      <c r="K24" s="1437">
        <v>5.3935248031702843</v>
      </c>
      <c r="L24" s="1437">
        <v>5.476126462399896</v>
      </c>
      <c r="M24" s="1437">
        <v>5.5611044122294526</v>
      </c>
      <c r="N24" s="1437">
        <v>5.6472988657063796</v>
      </c>
      <c r="O24" s="1437">
        <v>5.7333287969041216</v>
      </c>
      <c r="P24" s="1437">
        <v>5.8243528233734141</v>
      </c>
      <c r="Q24" s="1437">
        <v>5.9169644581688567</v>
      </c>
      <c r="R24" s="1437">
        <v>6.0111954785378359</v>
      </c>
      <c r="S24" s="1437">
        <v>6.1070780679634762</v>
      </c>
      <c r="T24" s="1437">
        <v>6.2046449507163235</v>
      </c>
      <c r="U24" s="1437">
        <v>6.3039301921482327</v>
      </c>
      <c r="V24" s="1437">
        <v>6.4049680469713</v>
      </c>
      <c r="W24" s="1437">
        <v>6.5076569559127933</v>
      </c>
      <c r="X24" s="1437">
        <v>6.6080241754431066</v>
      </c>
      <c r="Y24" s="1437">
        <v>6.7128954206022629</v>
      </c>
      <c r="Z24" s="1437">
        <v>6.8199625031628264</v>
      </c>
      <c r="AA24" s="1437">
        <v>6.9244390774522495</v>
      </c>
      <c r="AB24" s="1437">
        <v>7.0359248243667016</v>
      </c>
      <c r="AC24" s="1437">
        <v>7.1552245308914477</v>
      </c>
      <c r="AD24" s="1437">
        <v>7.26605071813335</v>
      </c>
      <c r="AE24" s="1437">
        <v>7.26605071813335</v>
      </c>
      <c r="AF24" s="1437">
        <v>7.26605071813335</v>
      </c>
      <c r="AG24" s="1437">
        <v>7.26605071813335</v>
      </c>
      <c r="AH24" s="1437">
        <v>7.26605071813335</v>
      </c>
      <c r="AI24" s="1437">
        <v>7.26605071813335</v>
      </c>
      <c r="AJ24" s="1437">
        <v>7.26605071813335</v>
      </c>
      <c r="AK24" s="1437">
        <v>7.26605071813335</v>
      </c>
      <c r="AL24" s="1437">
        <v>7.26605071813335</v>
      </c>
      <c r="AM24" s="1437">
        <v>7.26605071813335</v>
      </c>
      <c r="AN24" s="1437">
        <v>7.26605071813335</v>
      </c>
      <c r="AO24" s="1437">
        <v>7.26605071813335</v>
      </c>
      <c r="AP24" s="1437">
        <v>7.26605071813335</v>
      </c>
      <c r="AQ24" s="1437">
        <v>7.26605071813335</v>
      </c>
      <c r="AR24" s="1437">
        <v>7.26605071813335</v>
      </c>
      <c r="AS24" s="1437">
        <v>7.26605071813335</v>
      </c>
      <c r="AT24" s="1437">
        <v>7.26605071813335</v>
      </c>
      <c r="AU24" s="1437">
        <v>7.26605071813335</v>
      </c>
      <c r="AV24" s="1437">
        <v>7.26605071813335</v>
      </c>
      <c r="AW24" s="1437">
        <v>7.26605071813335</v>
      </c>
      <c r="AX24" s="1437">
        <v>7.26605071813335</v>
      </c>
      <c r="AY24" s="1437">
        <v>7.26605071813335</v>
      </c>
      <c r="AZ24" s="1437">
        <v>7.26605071813335</v>
      </c>
      <c r="BA24" s="1437">
        <v>7.26605071813335</v>
      </c>
      <c r="BB24" s="1437">
        <v>7.26605071813335</v>
      </c>
      <c r="BC24" s="1437">
        <v>7.26605071813335</v>
      </c>
      <c r="BD24" s="1437">
        <v>7.26605071813335</v>
      </c>
      <c r="BE24" s="1437">
        <v>7.26605071813335</v>
      </c>
      <c r="BF24" s="1437">
        <v>7.26605071813335</v>
      </c>
      <c r="BG24" s="1437">
        <v>7.26605071813335</v>
      </c>
      <c r="BH24" s="1437">
        <v>7.26605071813335</v>
      </c>
      <c r="BI24" s="1437">
        <v>7.26605071813335</v>
      </c>
      <c r="BJ24" s="1437">
        <v>7.26605071813335</v>
      </c>
      <c r="BK24" s="1437">
        <v>7.26605071813335</v>
      </c>
      <c r="BL24" s="1437">
        <v>7.26605071813335</v>
      </c>
      <c r="BM24" s="1437">
        <v>7.26605071813335</v>
      </c>
      <c r="BN24" s="1438">
        <v>7.26605071813335</v>
      </c>
    </row>
    <row r="25" spans="1:66" s="91" customFormat="1">
      <c r="A25" s="1439">
        <v>110</v>
      </c>
      <c r="B25" s="1440">
        <v>0</v>
      </c>
      <c r="C25" s="1441" t="s">
        <v>122</v>
      </c>
      <c r="D25" s="1440" t="s">
        <v>123</v>
      </c>
      <c r="E25" s="1442">
        <v>2.5765601610491835</v>
      </c>
      <c r="F25" s="1442">
        <v>3.0275289791399134</v>
      </c>
      <c r="G25" s="1442">
        <v>3.1864748292742782</v>
      </c>
      <c r="H25" s="1442">
        <v>3.1986042722197667</v>
      </c>
      <c r="I25" s="1442">
        <v>3.253136953719673</v>
      </c>
      <c r="J25" s="1442">
        <v>3.307967944322495</v>
      </c>
      <c r="K25" s="1442">
        <v>3.3820791631397835</v>
      </c>
      <c r="L25" s="1442">
        <v>3.4614972752161077</v>
      </c>
      <c r="M25" s="1442">
        <v>3.5437488159871813</v>
      </c>
      <c r="N25" s="1442">
        <v>3.6277499754701568</v>
      </c>
      <c r="O25" s="1442">
        <v>3.71216167609423</v>
      </c>
      <c r="P25" s="1442">
        <v>3.8020629251156679</v>
      </c>
      <c r="Q25" s="1442">
        <v>3.894166867067292</v>
      </c>
      <c r="R25" s="1442">
        <v>3.9885284831135586</v>
      </c>
      <c r="S25" s="1442">
        <v>4.0852038275978124</v>
      </c>
      <c r="T25" s="1442">
        <v>4.1842501687552707</v>
      </c>
      <c r="U25" s="1442">
        <v>4.2857268233776145</v>
      </c>
      <c r="V25" s="1442">
        <v>4.389694000266692</v>
      </c>
      <c r="W25" s="1442">
        <v>4.4960698366963454</v>
      </c>
      <c r="X25" s="1442">
        <v>4.6006644185105285</v>
      </c>
      <c r="Y25" s="1442">
        <v>4.7106874771818301</v>
      </c>
      <c r="Z25" s="1442">
        <v>4.8237479914114259</v>
      </c>
      <c r="AA25" s="1442">
        <v>4.934676027584632</v>
      </c>
      <c r="AB25" s="1442">
        <v>5.053898163544253</v>
      </c>
      <c r="AC25" s="1442">
        <v>5.1824750422133103</v>
      </c>
      <c r="AD25" s="1442">
        <v>5.3024237927509938</v>
      </c>
      <c r="AE25" s="1442">
        <v>5.3024237927509938</v>
      </c>
      <c r="AF25" s="1442">
        <v>5.3024237927509938</v>
      </c>
      <c r="AG25" s="1442">
        <v>5.3024237927509938</v>
      </c>
      <c r="AH25" s="1442">
        <v>5.3024237927509938</v>
      </c>
      <c r="AI25" s="1442">
        <v>5.3024237927509938</v>
      </c>
      <c r="AJ25" s="1442">
        <v>5.3024237927509938</v>
      </c>
      <c r="AK25" s="1442">
        <v>5.3024237927509938</v>
      </c>
      <c r="AL25" s="1442">
        <v>5.3024237927509938</v>
      </c>
      <c r="AM25" s="1442">
        <v>5.3024237927509938</v>
      </c>
      <c r="AN25" s="1442">
        <v>5.3024237927509938</v>
      </c>
      <c r="AO25" s="1442">
        <v>5.3024237927509938</v>
      </c>
      <c r="AP25" s="1442">
        <v>5.3024237927509938</v>
      </c>
      <c r="AQ25" s="1442">
        <v>5.3024237927509938</v>
      </c>
      <c r="AR25" s="1442">
        <v>5.3024237927509938</v>
      </c>
      <c r="AS25" s="1442">
        <v>5.3024237927509938</v>
      </c>
      <c r="AT25" s="1442">
        <v>5.3024237927509938</v>
      </c>
      <c r="AU25" s="1442">
        <v>5.3024237927509938</v>
      </c>
      <c r="AV25" s="1442">
        <v>5.3024237927509938</v>
      </c>
      <c r="AW25" s="1442">
        <v>5.3024237927509938</v>
      </c>
      <c r="AX25" s="1442">
        <v>5.3024237927509938</v>
      </c>
      <c r="AY25" s="1442">
        <v>5.3024237927509938</v>
      </c>
      <c r="AZ25" s="1442">
        <v>5.3024237927509938</v>
      </c>
      <c r="BA25" s="1442">
        <v>5.3024237927509938</v>
      </c>
      <c r="BB25" s="1442">
        <v>5.3024237927509938</v>
      </c>
      <c r="BC25" s="1442">
        <v>5.3024237927509938</v>
      </c>
      <c r="BD25" s="1442">
        <v>5.3024237927509938</v>
      </c>
      <c r="BE25" s="1442">
        <v>5.3024237927509938</v>
      </c>
      <c r="BF25" s="1442">
        <v>5.3024237927509938</v>
      </c>
      <c r="BG25" s="1442">
        <v>5.3024237927509938</v>
      </c>
      <c r="BH25" s="1442">
        <v>5.3024237927509938</v>
      </c>
      <c r="BI25" s="1442">
        <v>5.3024237927509938</v>
      </c>
      <c r="BJ25" s="1442">
        <v>5.3024237927509938</v>
      </c>
      <c r="BK25" s="1442">
        <v>5.3024237927509938</v>
      </c>
      <c r="BL25" s="1442">
        <v>5.3024237927509938</v>
      </c>
      <c r="BM25" s="1442">
        <v>5.3024237927509938</v>
      </c>
      <c r="BN25" s="1443">
        <v>5.3024237927509938</v>
      </c>
    </row>
    <row r="26" spans="1:66" s="91" customFormat="1">
      <c r="A26" s="1434">
        <v>140</v>
      </c>
      <c r="B26" s="1435">
        <v>0</v>
      </c>
      <c r="C26" s="1436" t="s">
        <v>198</v>
      </c>
      <c r="D26" s="1435" t="s">
        <v>199</v>
      </c>
      <c r="E26" s="1437">
        <v>3.2466445488524496</v>
      </c>
      <c r="F26" s="1437">
        <v>3.7335227332065215</v>
      </c>
      <c r="G26" s="1437">
        <v>3.9012681122757642</v>
      </c>
      <c r="H26" s="1437">
        <v>3.9132327042875881</v>
      </c>
      <c r="I26" s="1437">
        <v>3.969914715626091</v>
      </c>
      <c r="J26" s="1437">
        <v>4.0267885915461727</v>
      </c>
      <c r="K26" s="1437">
        <v>4.103755793055897</v>
      </c>
      <c r="L26" s="1437">
        <v>4.1860369023007316</v>
      </c>
      <c r="M26" s="1437">
        <v>4.2710100389889334</v>
      </c>
      <c r="N26" s="1437">
        <v>4.3575312018572383</v>
      </c>
      <c r="O26" s="1437">
        <v>4.4442097336655317</v>
      </c>
      <c r="P26" s="1437">
        <v>4.5362780619926708</v>
      </c>
      <c r="Q26" s="1437">
        <v>4.6303174809362657</v>
      </c>
      <c r="R26" s="1437">
        <v>4.7263722524314744</v>
      </c>
      <c r="S26" s="1437">
        <v>4.8244873517980817</v>
      </c>
      <c r="T26" s="1437">
        <v>4.9247086057089646</v>
      </c>
      <c r="U26" s="1437">
        <v>5.0270835278860666</v>
      </c>
      <c r="V26" s="1437">
        <v>5.1316601338571584</v>
      </c>
      <c r="W26" s="1437">
        <v>5.2383437169683669</v>
      </c>
      <c r="X26" s="1437">
        <v>5.3429408439470798</v>
      </c>
      <c r="Y26" s="1437">
        <v>5.4526571693926815</v>
      </c>
      <c r="Z26" s="1437">
        <v>5.5650799456059952</v>
      </c>
      <c r="AA26" s="1437">
        <v>5.6750883438547897</v>
      </c>
      <c r="AB26" s="1437">
        <v>5.7929790289155205</v>
      </c>
      <c r="AC26" s="1437">
        <v>5.9197175580409542</v>
      </c>
      <c r="AD26" s="1437">
        <v>6.0376644921766101</v>
      </c>
      <c r="AE26" s="1437">
        <v>6.0376644921766101</v>
      </c>
      <c r="AF26" s="1437">
        <v>6.0376644921766101</v>
      </c>
      <c r="AG26" s="1437">
        <v>6.0376644921766101</v>
      </c>
      <c r="AH26" s="1437">
        <v>6.0376644921766101</v>
      </c>
      <c r="AI26" s="1437">
        <v>6.0376644921766101</v>
      </c>
      <c r="AJ26" s="1437">
        <v>6.0376644921766101</v>
      </c>
      <c r="AK26" s="1437">
        <v>6.0376644921766101</v>
      </c>
      <c r="AL26" s="1437">
        <v>6.0376644921766101</v>
      </c>
      <c r="AM26" s="1437">
        <v>6.0376644921766101</v>
      </c>
      <c r="AN26" s="1437">
        <v>6.0376644921766101</v>
      </c>
      <c r="AO26" s="1437">
        <v>6.0376644921766101</v>
      </c>
      <c r="AP26" s="1437">
        <v>6.0376644921766101</v>
      </c>
      <c r="AQ26" s="1437">
        <v>6.0376644921766101</v>
      </c>
      <c r="AR26" s="1437">
        <v>6.0376644921766101</v>
      </c>
      <c r="AS26" s="1437">
        <v>6.0376644921766101</v>
      </c>
      <c r="AT26" s="1437">
        <v>6.0376644921766101</v>
      </c>
      <c r="AU26" s="1437">
        <v>6.0376644921766101</v>
      </c>
      <c r="AV26" s="1437">
        <v>6.0376644921766101</v>
      </c>
      <c r="AW26" s="1437">
        <v>6.0376644921766101</v>
      </c>
      <c r="AX26" s="1437">
        <v>6.0376644921766101</v>
      </c>
      <c r="AY26" s="1437">
        <v>6.0376644921766101</v>
      </c>
      <c r="AZ26" s="1437">
        <v>6.0376644921766101</v>
      </c>
      <c r="BA26" s="1437">
        <v>6.0376644921766101</v>
      </c>
      <c r="BB26" s="1437">
        <v>6.0376644921766101</v>
      </c>
      <c r="BC26" s="1437">
        <v>6.0376644921766101</v>
      </c>
      <c r="BD26" s="1437">
        <v>6.0376644921766101</v>
      </c>
      <c r="BE26" s="1437">
        <v>6.0376644921766101</v>
      </c>
      <c r="BF26" s="1437">
        <v>6.0376644921766101</v>
      </c>
      <c r="BG26" s="1437">
        <v>6.0376644921766101</v>
      </c>
      <c r="BH26" s="1437">
        <v>6.0376644921766101</v>
      </c>
      <c r="BI26" s="1437">
        <v>6.0376644921766101</v>
      </c>
      <c r="BJ26" s="1437">
        <v>6.0376644921766101</v>
      </c>
      <c r="BK26" s="1437">
        <v>6.0376644921766101</v>
      </c>
      <c r="BL26" s="1437">
        <v>6.0376644921766101</v>
      </c>
      <c r="BM26" s="1437">
        <v>6.0376644921766101</v>
      </c>
      <c r="BN26" s="1438">
        <v>6.0376644921766101</v>
      </c>
    </row>
    <row r="27" spans="1:66" s="91" customFormat="1">
      <c r="A27" s="1439">
        <v>96</v>
      </c>
      <c r="B27" s="1440">
        <v>0</v>
      </c>
      <c r="C27" s="1441" t="s">
        <v>124</v>
      </c>
      <c r="D27" s="1440" t="s">
        <v>125</v>
      </c>
      <c r="E27" s="1442">
        <v>3.3680376116317667</v>
      </c>
      <c r="F27" s="1442">
        <v>3.9837008603688586</v>
      </c>
      <c r="G27" s="1442">
        <v>4.197079543636586</v>
      </c>
      <c r="H27" s="1442">
        <v>4.2081036818902549</v>
      </c>
      <c r="I27" s="1442">
        <v>4.2773542733280507</v>
      </c>
      <c r="J27" s="1442">
        <v>4.3468405654327871</v>
      </c>
      <c r="K27" s="1442">
        <v>4.442699317573152</v>
      </c>
      <c r="L27" s="1442">
        <v>4.5456814630386804</v>
      </c>
      <c r="M27" s="1442">
        <v>4.6523750610363397</v>
      </c>
      <c r="N27" s="1442">
        <v>4.761281759315815</v>
      </c>
      <c r="O27" s="1442">
        <v>4.8705513901320252</v>
      </c>
      <c r="P27" s="1442">
        <v>4.9871730754693324</v>
      </c>
      <c r="Q27" s="1442">
        <v>5.1066137365803357</v>
      </c>
      <c r="R27" s="1442">
        <v>5.2289426743337737</v>
      </c>
      <c r="S27" s="1442">
        <v>5.3542304752045373</v>
      </c>
      <c r="T27" s="1442">
        <v>5.4825491992852138</v>
      </c>
      <c r="U27" s="1442">
        <v>5.6139735239625459</v>
      </c>
      <c r="V27" s="1442">
        <v>5.7485791448270493</v>
      </c>
      <c r="W27" s="1442">
        <v>5.8862458510092193</v>
      </c>
      <c r="X27" s="1442">
        <v>6.0211946948940991</v>
      </c>
      <c r="Y27" s="1442">
        <v>6.1633484863253249</v>
      </c>
      <c r="Z27" s="1442">
        <v>6.3094056983761568</v>
      </c>
      <c r="AA27" s="1442">
        <v>6.4522365500640371</v>
      </c>
      <c r="AB27" s="1442">
        <v>6.6061945736681125</v>
      </c>
      <c r="AC27" s="1442">
        <v>6.7727321596065062</v>
      </c>
      <c r="AD27" s="1442">
        <v>6.9270687956845958</v>
      </c>
      <c r="AE27" s="1442">
        <v>6.9270687956845958</v>
      </c>
      <c r="AF27" s="1442">
        <v>6.9270687956845958</v>
      </c>
      <c r="AG27" s="1442">
        <v>6.9270687956845958</v>
      </c>
      <c r="AH27" s="1442">
        <v>6.9270687956845958</v>
      </c>
      <c r="AI27" s="1442">
        <v>6.9270687956845958</v>
      </c>
      <c r="AJ27" s="1442">
        <v>6.9270687956845958</v>
      </c>
      <c r="AK27" s="1442">
        <v>6.9270687956845958</v>
      </c>
      <c r="AL27" s="1442">
        <v>6.9270687956845958</v>
      </c>
      <c r="AM27" s="1442">
        <v>6.9270687956845958</v>
      </c>
      <c r="AN27" s="1442">
        <v>6.9270687956845958</v>
      </c>
      <c r="AO27" s="1442">
        <v>6.9270687956845958</v>
      </c>
      <c r="AP27" s="1442">
        <v>6.9270687956845958</v>
      </c>
      <c r="AQ27" s="1442">
        <v>6.9270687956845958</v>
      </c>
      <c r="AR27" s="1442">
        <v>6.9270687956845958</v>
      </c>
      <c r="AS27" s="1442">
        <v>6.9270687956845958</v>
      </c>
      <c r="AT27" s="1442">
        <v>6.9270687956845958</v>
      </c>
      <c r="AU27" s="1442">
        <v>6.9270687956845958</v>
      </c>
      <c r="AV27" s="1442">
        <v>6.9270687956845958</v>
      </c>
      <c r="AW27" s="1442">
        <v>6.9270687956845958</v>
      </c>
      <c r="AX27" s="1442">
        <v>6.9270687956845958</v>
      </c>
      <c r="AY27" s="1442">
        <v>6.9270687956845958</v>
      </c>
      <c r="AZ27" s="1442">
        <v>6.9270687956845958</v>
      </c>
      <c r="BA27" s="1442">
        <v>6.9270687956845958</v>
      </c>
      <c r="BB27" s="1442">
        <v>6.9270687956845958</v>
      </c>
      <c r="BC27" s="1442">
        <v>6.9270687956845958</v>
      </c>
      <c r="BD27" s="1442">
        <v>6.9270687956845958</v>
      </c>
      <c r="BE27" s="1442">
        <v>6.9270687956845958</v>
      </c>
      <c r="BF27" s="1442">
        <v>6.9270687956845958</v>
      </c>
      <c r="BG27" s="1442">
        <v>6.9270687956845958</v>
      </c>
      <c r="BH27" s="1442">
        <v>6.9270687956845958</v>
      </c>
      <c r="BI27" s="1442">
        <v>6.9270687956845958</v>
      </c>
      <c r="BJ27" s="1442">
        <v>6.9270687956845958</v>
      </c>
      <c r="BK27" s="1442">
        <v>6.9270687956845958</v>
      </c>
      <c r="BL27" s="1442">
        <v>6.9270687956845958</v>
      </c>
      <c r="BM27" s="1442">
        <v>6.9270687956845958</v>
      </c>
      <c r="BN27" s="1443">
        <v>6.9270687956845958</v>
      </c>
    </row>
    <row r="28" spans="1:66" s="91" customFormat="1">
      <c r="A28" s="1434">
        <v>10</v>
      </c>
      <c r="B28" s="1435">
        <v>0</v>
      </c>
      <c r="C28" s="1436" t="s">
        <v>69</v>
      </c>
      <c r="D28" s="1435" t="s">
        <v>73</v>
      </c>
      <c r="E28" s="1437">
        <v>2.8056510344020928</v>
      </c>
      <c r="F28" s="1437">
        <v>3.2173704812053843</v>
      </c>
      <c r="G28" s="1437">
        <v>3.3607684239478091</v>
      </c>
      <c r="H28" s="1437">
        <v>3.3732251884116109</v>
      </c>
      <c r="I28" s="1437">
        <v>3.4233609343361566</v>
      </c>
      <c r="J28" s="1437">
        <v>3.4737320305593493</v>
      </c>
      <c r="K28" s="1437">
        <v>3.5410777338452704</v>
      </c>
      <c r="L28" s="1437">
        <v>3.6129709082898578</v>
      </c>
      <c r="M28" s="1437">
        <v>3.6872089196307489</v>
      </c>
      <c r="N28" s="1437">
        <v>3.7628320937055744</v>
      </c>
      <c r="O28" s="1437">
        <v>3.8386733925811964</v>
      </c>
      <c r="P28" s="1437">
        <v>3.9191358370799856</v>
      </c>
      <c r="Q28" s="1437">
        <v>4.0013469618444102</v>
      </c>
      <c r="R28" s="1437">
        <v>4.0853467210222014</v>
      </c>
      <c r="S28" s="1437">
        <v>4.1711757506162028</v>
      </c>
      <c r="T28" s="1437">
        <v>4.2588754869722676</v>
      </c>
      <c r="U28" s="1437">
        <v>4.348488872126496</v>
      </c>
      <c r="V28" s="1437">
        <v>4.4400593596278233</v>
      </c>
      <c r="W28" s="1437">
        <v>4.533510466509644</v>
      </c>
      <c r="X28" s="1437">
        <v>4.625318794558857</v>
      </c>
      <c r="Y28" s="1437">
        <v>4.7215476237137946</v>
      </c>
      <c r="Z28" s="1437">
        <v>4.820171302644769</v>
      </c>
      <c r="AA28" s="1437">
        <v>4.9168868001071147</v>
      </c>
      <c r="AB28" s="1437">
        <v>5.0203572326934589</v>
      </c>
      <c r="AC28" s="1437">
        <v>5.1313984086500986</v>
      </c>
      <c r="AD28" s="1437">
        <v>5.2351795334601023</v>
      </c>
      <c r="AE28" s="1437">
        <v>5.2351795334601023</v>
      </c>
      <c r="AF28" s="1437">
        <v>5.2351795334601023</v>
      </c>
      <c r="AG28" s="1437">
        <v>5.2351795334601023</v>
      </c>
      <c r="AH28" s="1437">
        <v>5.2351795334601023</v>
      </c>
      <c r="AI28" s="1437">
        <v>5.2351795334601023</v>
      </c>
      <c r="AJ28" s="1437">
        <v>5.2351795334601023</v>
      </c>
      <c r="AK28" s="1437">
        <v>5.2351795334601023</v>
      </c>
      <c r="AL28" s="1437">
        <v>5.2351795334601023</v>
      </c>
      <c r="AM28" s="1437">
        <v>5.2351795334601023</v>
      </c>
      <c r="AN28" s="1437">
        <v>5.2351795334601023</v>
      </c>
      <c r="AO28" s="1437">
        <v>5.2351795334601023</v>
      </c>
      <c r="AP28" s="1437">
        <v>5.2351795334601023</v>
      </c>
      <c r="AQ28" s="1437">
        <v>5.2351795334601023</v>
      </c>
      <c r="AR28" s="1437">
        <v>5.2351795334601023</v>
      </c>
      <c r="AS28" s="1437">
        <v>5.2351795334601023</v>
      </c>
      <c r="AT28" s="1437">
        <v>5.2351795334601023</v>
      </c>
      <c r="AU28" s="1437">
        <v>5.2351795334601023</v>
      </c>
      <c r="AV28" s="1437">
        <v>5.2351795334601023</v>
      </c>
      <c r="AW28" s="1437">
        <v>5.2351795334601023</v>
      </c>
      <c r="AX28" s="1437">
        <v>5.2351795334601023</v>
      </c>
      <c r="AY28" s="1437">
        <v>5.2351795334601023</v>
      </c>
      <c r="AZ28" s="1437">
        <v>5.2351795334601023</v>
      </c>
      <c r="BA28" s="1437">
        <v>5.2351795334601023</v>
      </c>
      <c r="BB28" s="1437">
        <v>5.2351795334601023</v>
      </c>
      <c r="BC28" s="1437">
        <v>5.2351795334601023</v>
      </c>
      <c r="BD28" s="1437">
        <v>5.2351795334601023</v>
      </c>
      <c r="BE28" s="1437">
        <v>5.2351795334601023</v>
      </c>
      <c r="BF28" s="1437">
        <v>5.2351795334601023</v>
      </c>
      <c r="BG28" s="1437">
        <v>5.2351795334601023</v>
      </c>
      <c r="BH28" s="1437">
        <v>5.2351795334601023</v>
      </c>
      <c r="BI28" s="1437">
        <v>5.2351795334601023</v>
      </c>
      <c r="BJ28" s="1437">
        <v>5.2351795334601023</v>
      </c>
      <c r="BK28" s="1437">
        <v>5.2351795334601023</v>
      </c>
      <c r="BL28" s="1437">
        <v>5.2351795334601023</v>
      </c>
      <c r="BM28" s="1437">
        <v>5.2351795334601023</v>
      </c>
      <c r="BN28" s="1438">
        <v>5.2351795334601023</v>
      </c>
    </row>
    <row r="29" spans="1:66" s="91" customFormat="1">
      <c r="A29" s="1439">
        <v>97</v>
      </c>
      <c r="B29" s="1440">
        <v>0</v>
      </c>
      <c r="C29" s="1441" t="s">
        <v>126</v>
      </c>
      <c r="D29" s="1440" t="s">
        <v>127</v>
      </c>
      <c r="E29" s="1442">
        <v>2.788934605426308</v>
      </c>
      <c r="F29" s="1442">
        <v>3.284276936091874</v>
      </c>
      <c r="G29" s="1442">
        <v>3.4578951012589294</v>
      </c>
      <c r="H29" s="1442">
        <v>3.4697265807005722</v>
      </c>
      <c r="I29" s="1442">
        <v>3.5282269547926308</v>
      </c>
      <c r="J29" s="1442">
        <v>3.5870089702080201</v>
      </c>
      <c r="K29" s="1442">
        <v>3.6669836385484071</v>
      </c>
      <c r="L29" s="1442">
        <v>3.7527554583754781</v>
      </c>
      <c r="M29" s="1442">
        <v>3.841597995045329</v>
      </c>
      <c r="N29" s="1442">
        <v>3.9323156866074123</v>
      </c>
      <c r="O29" s="1442">
        <v>4.0234316262663601</v>
      </c>
      <c r="P29" s="1442">
        <v>4.1205400313179572</v>
      </c>
      <c r="Q29" s="1442">
        <v>4.2200179796019812</v>
      </c>
      <c r="R29" s="1442">
        <v>4.3219243433861969</v>
      </c>
      <c r="S29" s="1442">
        <v>4.4263191264065576</v>
      </c>
      <c r="T29" s="1442">
        <v>4.5332636173591441</v>
      </c>
      <c r="U29" s="1442">
        <v>4.6428213079733034</v>
      </c>
      <c r="V29" s="1442">
        <v>4.7550566170915829</v>
      </c>
      <c r="W29" s="1442">
        <v>4.8698773632722538</v>
      </c>
      <c r="X29" s="1442">
        <v>4.9826647524769205</v>
      </c>
      <c r="Y29" s="1442">
        <v>5.1013608055921535</v>
      </c>
      <c r="Z29" s="1442">
        <v>5.223328802228397</v>
      </c>
      <c r="AA29" s="1442">
        <v>5.3428697233816402</v>
      </c>
      <c r="AB29" s="1442">
        <v>5.4714703580926027</v>
      </c>
      <c r="AC29" s="1442">
        <v>5.610297307106344</v>
      </c>
      <c r="AD29" s="1442">
        <v>5.7395321847225036</v>
      </c>
      <c r="AE29" s="1442">
        <v>5.7395321847225036</v>
      </c>
      <c r="AF29" s="1442">
        <v>5.7395321847225036</v>
      </c>
      <c r="AG29" s="1442">
        <v>5.7395321847225036</v>
      </c>
      <c r="AH29" s="1442">
        <v>5.7395321847225036</v>
      </c>
      <c r="AI29" s="1442">
        <v>5.7395321847225036</v>
      </c>
      <c r="AJ29" s="1442">
        <v>5.7395321847225036</v>
      </c>
      <c r="AK29" s="1442">
        <v>5.7395321847225036</v>
      </c>
      <c r="AL29" s="1442">
        <v>5.7395321847225036</v>
      </c>
      <c r="AM29" s="1442">
        <v>5.7395321847225036</v>
      </c>
      <c r="AN29" s="1442">
        <v>5.7395321847225036</v>
      </c>
      <c r="AO29" s="1442">
        <v>5.7395321847225036</v>
      </c>
      <c r="AP29" s="1442">
        <v>5.7395321847225036</v>
      </c>
      <c r="AQ29" s="1442">
        <v>5.7395321847225036</v>
      </c>
      <c r="AR29" s="1442">
        <v>5.7395321847225036</v>
      </c>
      <c r="AS29" s="1442">
        <v>5.7395321847225036</v>
      </c>
      <c r="AT29" s="1442">
        <v>5.7395321847225036</v>
      </c>
      <c r="AU29" s="1442">
        <v>5.7395321847225036</v>
      </c>
      <c r="AV29" s="1442">
        <v>5.7395321847225036</v>
      </c>
      <c r="AW29" s="1442">
        <v>5.7395321847225036</v>
      </c>
      <c r="AX29" s="1442">
        <v>5.7395321847225036</v>
      </c>
      <c r="AY29" s="1442">
        <v>5.7395321847225036</v>
      </c>
      <c r="AZ29" s="1442">
        <v>5.7395321847225036</v>
      </c>
      <c r="BA29" s="1442">
        <v>5.7395321847225036</v>
      </c>
      <c r="BB29" s="1442">
        <v>5.7395321847225036</v>
      </c>
      <c r="BC29" s="1442">
        <v>5.7395321847225036</v>
      </c>
      <c r="BD29" s="1442">
        <v>5.7395321847225036</v>
      </c>
      <c r="BE29" s="1442">
        <v>5.7395321847225036</v>
      </c>
      <c r="BF29" s="1442">
        <v>5.7395321847225036</v>
      </c>
      <c r="BG29" s="1442">
        <v>5.7395321847225036</v>
      </c>
      <c r="BH29" s="1442">
        <v>5.7395321847225036</v>
      </c>
      <c r="BI29" s="1442">
        <v>5.7395321847225036</v>
      </c>
      <c r="BJ29" s="1442">
        <v>5.7395321847225036</v>
      </c>
      <c r="BK29" s="1442">
        <v>5.7395321847225036</v>
      </c>
      <c r="BL29" s="1442">
        <v>5.7395321847225036</v>
      </c>
      <c r="BM29" s="1442">
        <v>5.7395321847225036</v>
      </c>
      <c r="BN29" s="1443">
        <v>5.7395321847225036</v>
      </c>
    </row>
    <row r="30" spans="1:66" s="91" customFormat="1">
      <c r="A30" s="1434">
        <v>98</v>
      </c>
      <c r="B30" s="1435">
        <v>0</v>
      </c>
      <c r="C30" s="1436" t="s">
        <v>128</v>
      </c>
      <c r="D30" s="1435" t="s">
        <v>9</v>
      </c>
      <c r="E30" s="1437">
        <v>3.2711270045636027</v>
      </c>
      <c r="F30" s="1437">
        <v>3.8666550215917206</v>
      </c>
      <c r="G30" s="1437">
        <v>4.0733799387674203</v>
      </c>
      <c r="H30" s="1437">
        <v>4.0845391823888733</v>
      </c>
      <c r="I30" s="1437">
        <v>4.1519907672977325</v>
      </c>
      <c r="J30" s="1437">
        <v>4.2196857408614239</v>
      </c>
      <c r="K30" s="1437">
        <v>4.3128863541434477</v>
      </c>
      <c r="L30" s="1437">
        <v>4.412988419402879</v>
      </c>
      <c r="M30" s="1437">
        <v>4.5166947126006125</v>
      </c>
      <c r="N30" s="1437">
        <v>4.6225575522503437</v>
      </c>
      <c r="O30" s="1437">
        <v>4.7287892343566931</v>
      </c>
      <c r="P30" s="1437">
        <v>4.8421454490987594</v>
      </c>
      <c r="Q30" s="1437">
        <v>4.9582454288490041</v>
      </c>
      <c r="R30" s="1437">
        <v>5.0771567292908699</v>
      </c>
      <c r="S30" s="1437">
        <v>5.1989481659195684</v>
      </c>
      <c r="T30" s="1437">
        <v>5.3236899962769124</v>
      </c>
      <c r="U30" s="1437">
        <v>5.451455025873936</v>
      </c>
      <c r="V30" s="1437">
        <v>5.5823170631818018</v>
      </c>
      <c r="W30" s="1437">
        <v>5.7161605879453363</v>
      </c>
      <c r="X30" s="1437">
        <v>5.8474007996809103</v>
      </c>
      <c r="Y30" s="1437">
        <v>5.9856290310022953</v>
      </c>
      <c r="Z30" s="1437">
        <v>6.1276550077381531</v>
      </c>
      <c r="AA30" s="1437">
        <v>6.2665883812874261</v>
      </c>
      <c r="AB30" s="1437">
        <v>6.4163029457400862</v>
      </c>
      <c r="AC30" s="1437">
        <v>6.5782032657381597</v>
      </c>
      <c r="AD30" s="1437">
        <v>6.7283392214105922</v>
      </c>
      <c r="AE30" s="1437">
        <v>6.7283392214105922</v>
      </c>
      <c r="AF30" s="1437">
        <v>6.7283392214105922</v>
      </c>
      <c r="AG30" s="1437">
        <v>6.7283392214105922</v>
      </c>
      <c r="AH30" s="1437">
        <v>6.7283392214105922</v>
      </c>
      <c r="AI30" s="1437">
        <v>6.7283392214105922</v>
      </c>
      <c r="AJ30" s="1437">
        <v>6.7283392214105922</v>
      </c>
      <c r="AK30" s="1437">
        <v>6.7283392214105922</v>
      </c>
      <c r="AL30" s="1437">
        <v>6.7283392214105922</v>
      </c>
      <c r="AM30" s="1437">
        <v>6.7283392214105922</v>
      </c>
      <c r="AN30" s="1437">
        <v>6.7283392214105922</v>
      </c>
      <c r="AO30" s="1437">
        <v>6.7283392214105922</v>
      </c>
      <c r="AP30" s="1437">
        <v>6.7283392214105922</v>
      </c>
      <c r="AQ30" s="1437">
        <v>6.7283392214105922</v>
      </c>
      <c r="AR30" s="1437">
        <v>6.7283392214105922</v>
      </c>
      <c r="AS30" s="1437">
        <v>6.7283392214105922</v>
      </c>
      <c r="AT30" s="1437">
        <v>6.7283392214105922</v>
      </c>
      <c r="AU30" s="1437">
        <v>6.7283392214105922</v>
      </c>
      <c r="AV30" s="1437">
        <v>6.7283392214105922</v>
      </c>
      <c r="AW30" s="1437">
        <v>6.7283392214105922</v>
      </c>
      <c r="AX30" s="1437">
        <v>6.7283392214105922</v>
      </c>
      <c r="AY30" s="1437">
        <v>6.7283392214105922</v>
      </c>
      <c r="AZ30" s="1437">
        <v>6.7283392214105922</v>
      </c>
      <c r="BA30" s="1437">
        <v>6.7283392214105922</v>
      </c>
      <c r="BB30" s="1437">
        <v>6.7283392214105922</v>
      </c>
      <c r="BC30" s="1437">
        <v>6.7283392214105922</v>
      </c>
      <c r="BD30" s="1437">
        <v>6.7283392214105922</v>
      </c>
      <c r="BE30" s="1437">
        <v>6.7283392214105922</v>
      </c>
      <c r="BF30" s="1437">
        <v>6.7283392214105922</v>
      </c>
      <c r="BG30" s="1437">
        <v>6.7283392214105922</v>
      </c>
      <c r="BH30" s="1437">
        <v>6.7283392214105922</v>
      </c>
      <c r="BI30" s="1437">
        <v>6.7283392214105922</v>
      </c>
      <c r="BJ30" s="1437">
        <v>6.7283392214105922</v>
      </c>
      <c r="BK30" s="1437">
        <v>6.7283392214105922</v>
      </c>
      <c r="BL30" s="1437">
        <v>6.7283392214105922</v>
      </c>
      <c r="BM30" s="1437">
        <v>6.7283392214105922</v>
      </c>
      <c r="BN30" s="1438">
        <v>6.7283392214105922</v>
      </c>
    </row>
    <row r="31" spans="1:66" s="91" customFormat="1">
      <c r="A31" s="1439">
        <v>99</v>
      </c>
      <c r="B31" s="1440">
        <v>0</v>
      </c>
      <c r="C31" s="1441" t="s">
        <v>129</v>
      </c>
      <c r="D31" s="1440" t="s">
        <v>255</v>
      </c>
      <c r="E31" s="1442">
        <v>3.01172927469247</v>
      </c>
      <c r="F31" s="1442">
        <v>3.5533619178936195</v>
      </c>
      <c r="G31" s="1442">
        <v>3.7422768979367276</v>
      </c>
      <c r="H31" s="1442">
        <v>3.7537977740642243</v>
      </c>
      <c r="I31" s="1442">
        <v>3.8164340118841826</v>
      </c>
      <c r="J31" s="1442">
        <v>3.8793342165667335</v>
      </c>
      <c r="K31" s="1442">
        <v>3.9654198688925097</v>
      </c>
      <c r="L31" s="1442">
        <v>4.0578129094134727</v>
      </c>
      <c r="M31" s="1442">
        <v>4.153523173002303</v>
      </c>
      <c r="N31" s="1442">
        <v>4.2512386070945709</v>
      </c>
      <c r="O31" s="1442">
        <v>4.3493387025496428</v>
      </c>
      <c r="P31" s="1442">
        <v>4.4539543295996866</v>
      </c>
      <c r="Q31" s="1442">
        <v>4.561112407246334</v>
      </c>
      <c r="R31" s="1442">
        <v>4.6708758198876268</v>
      </c>
      <c r="S31" s="1442">
        <v>4.7833086426903284</v>
      </c>
      <c r="T31" s="1442">
        <v>4.8984763083623726</v>
      </c>
      <c r="U31" s="1442">
        <v>5.0164466120209559</v>
      </c>
      <c r="V31" s="1442">
        <v>5.1372883109411775</v>
      </c>
      <c r="W31" s="1442">
        <v>5.2608984400952741</v>
      </c>
      <c r="X31" s="1442">
        <v>5.3822118668321712</v>
      </c>
      <c r="Y31" s="1442">
        <v>5.5099326685566172</v>
      </c>
      <c r="Z31" s="1442">
        <v>5.6411683580275795</v>
      </c>
      <c r="AA31" s="1442">
        <v>5.7696694681542775</v>
      </c>
      <c r="AB31" s="1442">
        <v>5.9080256921323588</v>
      </c>
      <c r="AC31" s="1442">
        <v>6.0575135807762299</v>
      </c>
      <c r="AD31" s="1442">
        <v>6.1964057005662285</v>
      </c>
      <c r="AE31" s="1442">
        <v>6.1964057005662285</v>
      </c>
      <c r="AF31" s="1442">
        <v>6.1964057005662285</v>
      </c>
      <c r="AG31" s="1442">
        <v>6.1964057005662285</v>
      </c>
      <c r="AH31" s="1442">
        <v>6.1964057005662285</v>
      </c>
      <c r="AI31" s="1442">
        <v>6.1964057005662285</v>
      </c>
      <c r="AJ31" s="1442">
        <v>6.1964057005662285</v>
      </c>
      <c r="AK31" s="1442">
        <v>6.1964057005662285</v>
      </c>
      <c r="AL31" s="1442">
        <v>6.1964057005662285</v>
      </c>
      <c r="AM31" s="1442">
        <v>6.1964057005662285</v>
      </c>
      <c r="AN31" s="1442">
        <v>6.1964057005662285</v>
      </c>
      <c r="AO31" s="1442">
        <v>6.1964057005662285</v>
      </c>
      <c r="AP31" s="1442">
        <v>6.1964057005662285</v>
      </c>
      <c r="AQ31" s="1442">
        <v>6.1964057005662285</v>
      </c>
      <c r="AR31" s="1442">
        <v>6.1964057005662285</v>
      </c>
      <c r="AS31" s="1442">
        <v>6.1964057005662285</v>
      </c>
      <c r="AT31" s="1442">
        <v>6.1964057005662285</v>
      </c>
      <c r="AU31" s="1442">
        <v>6.1964057005662285</v>
      </c>
      <c r="AV31" s="1442">
        <v>6.1964057005662285</v>
      </c>
      <c r="AW31" s="1442">
        <v>6.1964057005662285</v>
      </c>
      <c r="AX31" s="1442">
        <v>6.1964057005662285</v>
      </c>
      <c r="AY31" s="1442">
        <v>6.1964057005662285</v>
      </c>
      <c r="AZ31" s="1442">
        <v>6.1964057005662285</v>
      </c>
      <c r="BA31" s="1442">
        <v>6.1964057005662285</v>
      </c>
      <c r="BB31" s="1442">
        <v>6.1964057005662285</v>
      </c>
      <c r="BC31" s="1442">
        <v>6.1964057005662285</v>
      </c>
      <c r="BD31" s="1442">
        <v>6.1964057005662285</v>
      </c>
      <c r="BE31" s="1442">
        <v>6.1964057005662285</v>
      </c>
      <c r="BF31" s="1442">
        <v>6.1964057005662285</v>
      </c>
      <c r="BG31" s="1442">
        <v>6.1964057005662285</v>
      </c>
      <c r="BH31" s="1442">
        <v>6.1964057005662285</v>
      </c>
      <c r="BI31" s="1442">
        <v>6.1964057005662285</v>
      </c>
      <c r="BJ31" s="1442">
        <v>6.1964057005662285</v>
      </c>
      <c r="BK31" s="1442">
        <v>6.1964057005662285</v>
      </c>
      <c r="BL31" s="1442">
        <v>6.1964057005662285</v>
      </c>
      <c r="BM31" s="1442">
        <v>6.1964057005662285</v>
      </c>
      <c r="BN31" s="1443">
        <v>6.1964057005662285</v>
      </c>
    </row>
    <row r="32" spans="1:66" s="91" customFormat="1">
      <c r="A32" s="1434">
        <v>11</v>
      </c>
      <c r="B32" s="1435">
        <v>0</v>
      </c>
      <c r="C32" s="1436" t="s">
        <v>157</v>
      </c>
      <c r="D32" s="1435" t="s">
        <v>158</v>
      </c>
      <c r="E32" s="1437">
        <v>3.159697238831928</v>
      </c>
      <c r="F32" s="1437">
        <v>3.732073361344455</v>
      </c>
      <c r="G32" s="1437">
        <v>3.9311476444017823</v>
      </c>
      <c r="H32" s="1437">
        <v>3.9424622348932687</v>
      </c>
      <c r="I32" s="1437">
        <v>4.0078452859013129</v>
      </c>
      <c r="J32" s="1437">
        <v>4.0734805653673405</v>
      </c>
      <c r="K32" s="1437">
        <v>4.1636247971114893</v>
      </c>
      <c r="L32" s="1437">
        <v>4.2604152882062047</v>
      </c>
      <c r="M32" s="1437">
        <v>4.3606867182440094</v>
      </c>
      <c r="N32" s="1437">
        <v>4.4630496680024905</v>
      </c>
      <c r="O32" s="1437">
        <v>4.5657882555623743</v>
      </c>
      <c r="P32" s="1437">
        <v>4.6753897665166964</v>
      </c>
      <c r="Q32" s="1437">
        <v>4.7876485636278554</v>
      </c>
      <c r="R32" s="1437">
        <v>4.9026301959301266</v>
      </c>
      <c r="S32" s="1437">
        <v>5.0204014426106633</v>
      </c>
      <c r="T32" s="1437">
        <v>5.1410304886021239</v>
      </c>
      <c r="U32" s="1437">
        <v>5.2645879870951999</v>
      </c>
      <c r="V32" s="1437">
        <v>5.3911455767132495</v>
      </c>
      <c r="W32" s="1437">
        <v>5.5205931305638325</v>
      </c>
      <c r="X32" s="1437">
        <v>5.6475690824409224</v>
      </c>
      <c r="Y32" s="1437">
        <v>5.7812836257704712</v>
      </c>
      <c r="Z32" s="1437">
        <v>5.918674407037571</v>
      </c>
      <c r="AA32" s="1437">
        <v>6.0531263818105092</v>
      </c>
      <c r="AB32" s="1437">
        <v>6.1979617315575828</v>
      </c>
      <c r="AC32" s="1437">
        <v>6.3545300298812704</v>
      </c>
      <c r="AD32" s="1437">
        <v>6.4998359587106487</v>
      </c>
      <c r="AE32" s="1437">
        <v>6.4998359587106487</v>
      </c>
      <c r="AF32" s="1437">
        <v>6.4998359587106487</v>
      </c>
      <c r="AG32" s="1437">
        <v>6.4998359587106487</v>
      </c>
      <c r="AH32" s="1437">
        <v>6.4998359587106487</v>
      </c>
      <c r="AI32" s="1437">
        <v>6.4998359587106487</v>
      </c>
      <c r="AJ32" s="1437">
        <v>6.4998359587106487</v>
      </c>
      <c r="AK32" s="1437">
        <v>6.4998359587106487</v>
      </c>
      <c r="AL32" s="1437">
        <v>6.4998359587106487</v>
      </c>
      <c r="AM32" s="1437">
        <v>6.4998359587106487</v>
      </c>
      <c r="AN32" s="1437">
        <v>6.4998359587106487</v>
      </c>
      <c r="AO32" s="1437">
        <v>6.4998359587106487</v>
      </c>
      <c r="AP32" s="1437">
        <v>6.4998359587106487</v>
      </c>
      <c r="AQ32" s="1437">
        <v>6.4998359587106487</v>
      </c>
      <c r="AR32" s="1437">
        <v>6.4998359587106487</v>
      </c>
      <c r="AS32" s="1437">
        <v>6.4998359587106487</v>
      </c>
      <c r="AT32" s="1437">
        <v>6.4998359587106487</v>
      </c>
      <c r="AU32" s="1437">
        <v>6.4998359587106487</v>
      </c>
      <c r="AV32" s="1437">
        <v>6.4998359587106487</v>
      </c>
      <c r="AW32" s="1437">
        <v>6.4998359587106487</v>
      </c>
      <c r="AX32" s="1437">
        <v>6.4998359587106487</v>
      </c>
      <c r="AY32" s="1437">
        <v>6.4998359587106487</v>
      </c>
      <c r="AZ32" s="1437">
        <v>6.4998359587106487</v>
      </c>
      <c r="BA32" s="1437">
        <v>6.4998359587106487</v>
      </c>
      <c r="BB32" s="1437">
        <v>6.4998359587106487</v>
      </c>
      <c r="BC32" s="1437">
        <v>6.4998359587106487</v>
      </c>
      <c r="BD32" s="1437">
        <v>6.4998359587106487</v>
      </c>
      <c r="BE32" s="1437">
        <v>6.4998359587106487</v>
      </c>
      <c r="BF32" s="1437">
        <v>6.4998359587106487</v>
      </c>
      <c r="BG32" s="1437">
        <v>6.4998359587106487</v>
      </c>
      <c r="BH32" s="1437">
        <v>6.4998359587106487</v>
      </c>
      <c r="BI32" s="1437">
        <v>6.4998359587106487</v>
      </c>
      <c r="BJ32" s="1437">
        <v>6.4998359587106487</v>
      </c>
      <c r="BK32" s="1437">
        <v>6.4998359587106487</v>
      </c>
      <c r="BL32" s="1437">
        <v>6.4998359587106487</v>
      </c>
      <c r="BM32" s="1437">
        <v>6.4998359587106487</v>
      </c>
      <c r="BN32" s="1438">
        <v>6.4998359587106487</v>
      </c>
    </row>
    <row r="33" spans="1:66" s="91" customFormat="1">
      <c r="A33" s="1439">
        <v>12</v>
      </c>
      <c r="B33" s="1440">
        <v>0</v>
      </c>
      <c r="C33" s="1441" t="s">
        <v>54</v>
      </c>
      <c r="D33" s="1440" t="s">
        <v>10</v>
      </c>
      <c r="E33" s="1442">
        <v>2.6310906527028948</v>
      </c>
      <c r="F33" s="1442">
        <v>3.0933829004713869</v>
      </c>
      <c r="G33" s="1442">
        <v>3.2560703911403825</v>
      </c>
      <c r="H33" s="1442">
        <v>3.2681238607664929</v>
      </c>
      <c r="I33" s="1442">
        <v>3.3236681676811854</v>
      </c>
      <c r="J33" s="1442">
        <v>3.3795064530883234</v>
      </c>
      <c r="K33" s="1442">
        <v>3.455112383876072</v>
      </c>
      <c r="L33" s="1442">
        <v>3.5361499910502863</v>
      </c>
      <c r="M33" s="1442">
        <v>3.6200813010564623</v>
      </c>
      <c r="N33" s="1442">
        <v>3.7057940104502478</v>
      </c>
      <c r="O33" s="1442">
        <v>3.7919139184759576</v>
      </c>
      <c r="P33" s="1442">
        <v>3.8836512870011433</v>
      </c>
      <c r="Q33" s="1442">
        <v>3.9776336160694772</v>
      </c>
      <c r="R33" s="1442">
        <v>4.0739168671140469</v>
      </c>
      <c r="S33" s="1442">
        <v>4.1725580892153449</v>
      </c>
      <c r="T33" s="1442">
        <v>4.2736155630616475</v>
      </c>
      <c r="U33" s="1442">
        <v>4.3771496568398014</v>
      </c>
      <c r="V33" s="1442">
        <v>4.4832216392802433</v>
      </c>
      <c r="W33" s="1442">
        <v>4.591747009325327</v>
      </c>
      <c r="X33" s="1442">
        <v>4.6984266970260311</v>
      </c>
      <c r="Y33" s="1442">
        <v>4.8106568000037138</v>
      </c>
      <c r="Z33" s="1442">
        <v>4.9259837454224584</v>
      </c>
      <c r="AA33" s="1442">
        <v>5.0391029874068645</v>
      </c>
      <c r="AB33" s="1442">
        <v>5.1607108165123927</v>
      </c>
      <c r="AC33" s="1442">
        <v>5.2918947568614749</v>
      </c>
      <c r="AD33" s="1442">
        <v>5.4142050937688424</v>
      </c>
      <c r="AE33" s="1442">
        <v>5.4142050937688424</v>
      </c>
      <c r="AF33" s="1442">
        <v>5.4142050937688424</v>
      </c>
      <c r="AG33" s="1442">
        <v>5.4142050937688424</v>
      </c>
      <c r="AH33" s="1442">
        <v>5.4142050937688424</v>
      </c>
      <c r="AI33" s="1442">
        <v>5.4142050937688424</v>
      </c>
      <c r="AJ33" s="1442">
        <v>5.4142050937688424</v>
      </c>
      <c r="AK33" s="1442">
        <v>5.4142050937688424</v>
      </c>
      <c r="AL33" s="1442">
        <v>5.4142050937688424</v>
      </c>
      <c r="AM33" s="1442">
        <v>5.4142050937688424</v>
      </c>
      <c r="AN33" s="1442">
        <v>5.4142050937688424</v>
      </c>
      <c r="AO33" s="1442">
        <v>5.4142050937688424</v>
      </c>
      <c r="AP33" s="1442">
        <v>5.4142050937688424</v>
      </c>
      <c r="AQ33" s="1442">
        <v>5.4142050937688424</v>
      </c>
      <c r="AR33" s="1442">
        <v>5.4142050937688424</v>
      </c>
      <c r="AS33" s="1442">
        <v>5.4142050937688424</v>
      </c>
      <c r="AT33" s="1442">
        <v>5.4142050937688424</v>
      </c>
      <c r="AU33" s="1442">
        <v>5.4142050937688424</v>
      </c>
      <c r="AV33" s="1442">
        <v>5.4142050937688424</v>
      </c>
      <c r="AW33" s="1442">
        <v>5.4142050937688424</v>
      </c>
      <c r="AX33" s="1442">
        <v>5.4142050937688424</v>
      </c>
      <c r="AY33" s="1442">
        <v>5.4142050937688424</v>
      </c>
      <c r="AZ33" s="1442">
        <v>5.4142050937688424</v>
      </c>
      <c r="BA33" s="1442">
        <v>5.4142050937688424</v>
      </c>
      <c r="BB33" s="1442">
        <v>5.4142050937688424</v>
      </c>
      <c r="BC33" s="1442">
        <v>5.4142050937688424</v>
      </c>
      <c r="BD33" s="1442">
        <v>5.4142050937688424</v>
      </c>
      <c r="BE33" s="1442">
        <v>5.4142050937688424</v>
      </c>
      <c r="BF33" s="1442">
        <v>5.4142050937688424</v>
      </c>
      <c r="BG33" s="1442">
        <v>5.4142050937688424</v>
      </c>
      <c r="BH33" s="1442">
        <v>5.4142050937688424</v>
      </c>
      <c r="BI33" s="1442">
        <v>5.4142050937688424</v>
      </c>
      <c r="BJ33" s="1442">
        <v>5.4142050937688424</v>
      </c>
      <c r="BK33" s="1442">
        <v>5.4142050937688424</v>
      </c>
      <c r="BL33" s="1442">
        <v>5.4142050937688424</v>
      </c>
      <c r="BM33" s="1442">
        <v>5.4142050937688424</v>
      </c>
      <c r="BN33" s="1443">
        <v>5.4142050937688424</v>
      </c>
    </row>
    <row r="34" spans="1:66" s="91" customFormat="1">
      <c r="A34" s="1434">
        <v>100</v>
      </c>
      <c r="B34" s="1435">
        <v>0</v>
      </c>
      <c r="C34" s="1436" t="s">
        <v>130</v>
      </c>
      <c r="D34" s="1435" t="s">
        <v>992</v>
      </c>
      <c r="E34" s="1437">
        <v>2.9469131357426508</v>
      </c>
      <c r="F34" s="1437">
        <v>3.4747869245701741</v>
      </c>
      <c r="G34" s="1437">
        <v>3.6591447535847972</v>
      </c>
      <c r="H34" s="1437">
        <v>3.6707582109967642</v>
      </c>
      <c r="I34" s="1437">
        <v>3.7321615160740418</v>
      </c>
      <c r="J34" s="1437">
        <v>3.7938337181873103</v>
      </c>
      <c r="K34" s="1437">
        <v>3.8780965239018022</v>
      </c>
      <c r="L34" s="1437">
        <v>3.9685137084019328</v>
      </c>
      <c r="M34" s="1437">
        <v>4.0621736835030946</v>
      </c>
      <c r="N34" s="1437">
        <v>4.1577991211024354</v>
      </c>
      <c r="O34" s="1437">
        <v>4.2538123986315366</v>
      </c>
      <c r="P34" s="1437">
        <v>4.3561839610406476</v>
      </c>
      <c r="Q34" s="1437">
        <v>4.4610452839584491</v>
      </c>
      <c r="R34" s="1437">
        <v>4.5684580062081253</v>
      </c>
      <c r="S34" s="1437">
        <v>4.6784849380570996</v>
      </c>
      <c r="T34" s="1437">
        <v>4.7911902239852484</v>
      </c>
      <c r="U34" s="1437">
        <v>4.9066403215107623</v>
      </c>
      <c r="V34" s="1437">
        <v>5.0249026381181725</v>
      </c>
      <c r="W34" s="1437">
        <v>5.1458773924107639</v>
      </c>
      <c r="X34" s="1437">
        <v>5.2646333203673583</v>
      </c>
      <c r="Y34" s="1437">
        <v>5.3896458903993754</v>
      </c>
      <c r="Z34" s="1437">
        <v>5.518099251958672</v>
      </c>
      <c r="AA34" s="1437">
        <v>5.6439092296976581</v>
      </c>
      <c r="AB34" s="1437">
        <v>5.7793342005574919</v>
      </c>
      <c r="AC34" s="1437">
        <v>5.9256173756329336</v>
      </c>
      <c r="AD34" s="1437">
        <v>6.0616052358592345</v>
      </c>
      <c r="AE34" s="1437">
        <v>6.0616052358592345</v>
      </c>
      <c r="AF34" s="1437">
        <v>6.0616052358592345</v>
      </c>
      <c r="AG34" s="1437">
        <v>6.0616052358592345</v>
      </c>
      <c r="AH34" s="1437">
        <v>6.0616052358592345</v>
      </c>
      <c r="AI34" s="1437">
        <v>6.0616052358592345</v>
      </c>
      <c r="AJ34" s="1437">
        <v>6.0616052358592345</v>
      </c>
      <c r="AK34" s="1437">
        <v>6.0616052358592345</v>
      </c>
      <c r="AL34" s="1437">
        <v>6.0616052358592345</v>
      </c>
      <c r="AM34" s="1437">
        <v>6.0616052358592345</v>
      </c>
      <c r="AN34" s="1437">
        <v>6.0616052358592345</v>
      </c>
      <c r="AO34" s="1437">
        <v>6.0616052358592345</v>
      </c>
      <c r="AP34" s="1437">
        <v>6.0616052358592345</v>
      </c>
      <c r="AQ34" s="1437">
        <v>6.0616052358592345</v>
      </c>
      <c r="AR34" s="1437">
        <v>6.0616052358592345</v>
      </c>
      <c r="AS34" s="1437">
        <v>6.0616052358592345</v>
      </c>
      <c r="AT34" s="1437">
        <v>6.0616052358592345</v>
      </c>
      <c r="AU34" s="1437">
        <v>6.0616052358592345</v>
      </c>
      <c r="AV34" s="1437">
        <v>6.0616052358592345</v>
      </c>
      <c r="AW34" s="1437">
        <v>6.0616052358592345</v>
      </c>
      <c r="AX34" s="1437">
        <v>6.0616052358592345</v>
      </c>
      <c r="AY34" s="1437">
        <v>6.0616052358592345</v>
      </c>
      <c r="AZ34" s="1437">
        <v>6.0616052358592345</v>
      </c>
      <c r="BA34" s="1437">
        <v>6.0616052358592345</v>
      </c>
      <c r="BB34" s="1437">
        <v>6.0616052358592345</v>
      </c>
      <c r="BC34" s="1437">
        <v>6.0616052358592345</v>
      </c>
      <c r="BD34" s="1437">
        <v>6.0616052358592345</v>
      </c>
      <c r="BE34" s="1437">
        <v>6.0616052358592345</v>
      </c>
      <c r="BF34" s="1437">
        <v>6.0616052358592345</v>
      </c>
      <c r="BG34" s="1437">
        <v>6.0616052358592345</v>
      </c>
      <c r="BH34" s="1437">
        <v>6.0616052358592345</v>
      </c>
      <c r="BI34" s="1437">
        <v>6.0616052358592345</v>
      </c>
      <c r="BJ34" s="1437">
        <v>6.0616052358592345</v>
      </c>
      <c r="BK34" s="1437">
        <v>6.0616052358592345</v>
      </c>
      <c r="BL34" s="1437">
        <v>6.0616052358592345</v>
      </c>
      <c r="BM34" s="1437">
        <v>6.0616052358592345</v>
      </c>
      <c r="BN34" s="1438">
        <v>6.0616052358592345</v>
      </c>
    </row>
    <row r="35" spans="1:66" s="91" customFormat="1">
      <c r="A35" s="1439">
        <v>9</v>
      </c>
      <c r="B35" s="1440">
        <v>0</v>
      </c>
      <c r="C35" s="1441" t="s">
        <v>187</v>
      </c>
      <c r="D35" s="1440" t="s">
        <v>188</v>
      </c>
      <c r="E35" s="1442">
        <v>3.4956478104295918</v>
      </c>
      <c r="F35" s="1442">
        <v>4.0249637408568466</v>
      </c>
      <c r="G35" s="1442">
        <v>4.2064566941142854</v>
      </c>
      <c r="H35" s="1442">
        <v>4.2181433851099142</v>
      </c>
      <c r="I35" s="1442">
        <v>4.278521689899029</v>
      </c>
      <c r="J35" s="1442">
        <v>4.3390673054270312</v>
      </c>
      <c r="K35" s="1442">
        <v>4.4214672046079926</v>
      </c>
      <c r="L35" s="1442">
        <v>4.5096137734606323</v>
      </c>
      <c r="M35" s="1442">
        <v>4.6006484079653074</v>
      </c>
      <c r="N35" s="1442">
        <v>4.6933230281187823</v>
      </c>
      <c r="O35" s="1442">
        <v>4.7861207119288238</v>
      </c>
      <c r="P35" s="1442">
        <v>4.8847422044909212</v>
      </c>
      <c r="Q35" s="1442">
        <v>4.9854603697947164</v>
      </c>
      <c r="R35" s="1442">
        <v>5.0883219021311374</v>
      </c>
      <c r="S35" s="1442">
        <v>5.1933742269786149</v>
      </c>
      <c r="T35" s="1442">
        <v>5.3006656499710791</v>
      </c>
      <c r="U35" s="1442">
        <v>5.4102462661942576</v>
      </c>
      <c r="V35" s="1442">
        <v>5.5221666670587188</v>
      </c>
      <c r="W35" s="1442">
        <v>5.636321856059566</v>
      </c>
      <c r="X35" s="1442">
        <v>5.7481400702895709</v>
      </c>
      <c r="Y35" s="1442">
        <v>5.8654719965475142</v>
      </c>
      <c r="Z35" s="1442">
        <v>5.9856863164401144</v>
      </c>
      <c r="AA35" s="1442">
        <v>6.1032004387941097</v>
      </c>
      <c r="AB35" s="1442">
        <v>6.2292333975646113</v>
      </c>
      <c r="AC35" s="1442">
        <v>6.3648353045155197</v>
      </c>
      <c r="AD35" s="1442">
        <v>6.4907808431870349</v>
      </c>
      <c r="AE35" s="1442">
        <v>6.4907808431870349</v>
      </c>
      <c r="AF35" s="1442">
        <v>6.4907808431870349</v>
      </c>
      <c r="AG35" s="1442">
        <v>6.4907808431870349</v>
      </c>
      <c r="AH35" s="1442">
        <v>6.4907808431870349</v>
      </c>
      <c r="AI35" s="1442">
        <v>6.4907808431870349</v>
      </c>
      <c r="AJ35" s="1442">
        <v>6.4907808431870349</v>
      </c>
      <c r="AK35" s="1442">
        <v>6.4907808431870349</v>
      </c>
      <c r="AL35" s="1442">
        <v>6.4907808431870349</v>
      </c>
      <c r="AM35" s="1442">
        <v>6.4907808431870349</v>
      </c>
      <c r="AN35" s="1442">
        <v>6.4907808431870349</v>
      </c>
      <c r="AO35" s="1442">
        <v>6.4907808431870349</v>
      </c>
      <c r="AP35" s="1442">
        <v>6.4907808431870349</v>
      </c>
      <c r="AQ35" s="1442">
        <v>6.4907808431870349</v>
      </c>
      <c r="AR35" s="1442">
        <v>6.4907808431870349</v>
      </c>
      <c r="AS35" s="1442">
        <v>6.4907808431870349</v>
      </c>
      <c r="AT35" s="1442">
        <v>6.4907808431870349</v>
      </c>
      <c r="AU35" s="1442">
        <v>6.4907808431870349</v>
      </c>
      <c r="AV35" s="1442">
        <v>6.4907808431870349</v>
      </c>
      <c r="AW35" s="1442">
        <v>6.4907808431870349</v>
      </c>
      <c r="AX35" s="1442">
        <v>6.4907808431870349</v>
      </c>
      <c r="AY35" s="1442">
        <v>6.4907808431870349</v>
      </c>
      <c r="AZ35" s="1442">
        <v>6.4907808431870349</v>
      </c>
      <c r="BA35" s="1442">
        <v>6.4907808431870349</v>
      </c>
      <c r="BB35" s="1442">
        <v>6.4907808431870349</v>
      </c>
      <c r="BC35" s="1442">
        <v>6.4907808431870349</v>
      </c>
      <c r="BD35" s="1442">
        <v>6.4907808431870349</v>
      </c>
      <c r="BE35" s="1442">
        <v>6.4907808431870349</v>
      </c>
      <c r="BF35" s="1442">
        <v>6.4907808431870349</v>
      </c>
      <c r="BG35" s="1442">
        <v>6.4907808431870349</v>
      </c>
      <c r="BH35" s="1442">
        <v>6.4907808431870349</v>
      </c>
      <c r="BI35" s="1442">
        <v>6.4907808431870349</v>
      </c>
      <c r="BJ35" s="1442">
        <v>6.4907808431870349</v>
      </c>
      <c r="BK35" s="1442">
        <v>6.4907808431870349</v>
      </c>
      <c r="BL35" s="1442">
        <v>6.4907808431870349</v>
      </c>
      <c r="BM35" s="1442">
        <v>6.4907808431870349</v>
      </c>
      <c r="BN35" s="1443">
        <v>6.4907808431870349</v>
      </c>
    </row>
    <row r="36" spans="1:66" s="91" customFormat="1">
      <c r="A36" s="1434">
        <v>101</v>
      </c>
      <c r="B36" s="1435">
        <v>0</v>
      </c>
      <c r="C36" s="1436" t="s">
        <v>131</v>
      </c>
      <c r="D36" s="1435" t="s">
        <v>132</v>
      </c>
      <c r="E36" s="1437">
        <v>2.7162863630731811</v>
      </c>
      <c r="F36" s="1437">
        <v>3.196269770520761</v>
      </c>
      <c r="G36" s="1437">
        <v>3.3648030130550146</v>
      </c>
      <c r="H36" s="1437">
        <v>3.3767377857701426</v>
      </c>
      <c r="I36" s="1437">
        <v>3.4338626055910577</v>
      </c>
      <c r="J36" s="1437">
        <v>3.4912746379754092</v>
      </c>
      <c r="K36" s="1437">
        <v>3.5692158319207143</v>
      </c>
      <c r="L36" s="1437">
        <v>3.6527836571641523</v>
      </c>
      <c r="M36" s="1437">
        <v>3.7393393545342186</v>
      </c>
      <c r="N36" s="1437">
        <v>3.8277261038286832</v>
      </c>
      <c r="O36" s="1437">
        <v>3.916514829586065</v>
      </c>
      <c r="P36" s="1437">
        <v>4.0111208593079972</v>
      </c>
      <c r="Q36" s="1437">
        <v>4.1080378863756586</v>
      </c>
      <c r="R36" s="1437">
        <v>4.2073234037447742</v>
      </c>
      <c r="S36" s="1437">
        <v>4.3090360146233593</v>
      </c>
      <c r="T36" s="1437">
        <v>4.4132355815056652</v>
      </c>
      <c r="U36" s="1437">
        <v>4.5199841152257134</v>
      </c>
      <c r="V36" s="1437">
        <v>4.6293445404933085</v>
      </c>
      <c r="W36" s="1437">
        <v>4.7412282342537617</v>
      </c>
      <c r="X36" s="1437">
        <v>4.8511655870114314</v>
      </c>
      <c r="Y36" s="1437">
        <v>4.9668438655290483</v>
      </c>
      <c r="Z36" s="1437">
        <v>5.0857117695804606</v>
      </c>
      <c r="AA36" s="1437">
        <v>5.2022544418328032</v>
      </c>
      <c r="AB36" s="1437">
        <v>5.3275895584820017</v>
      </c>
      <c r="AC36" s="1437">
        <v>5.4628466414907777</v>
      </c>
      <c r="AD36" s="1437">
        <v>5.5888466027214276</v>
      </c>
      <c r="AE36" s="1437">
        <v>5.5888466027214276</v>
      </c>
      <c r="AF36" s="1437">
        <v>5.5888466027214276</v>
      </c>
      <c r="AG36" s="1437">
        <v>5.5888466027214276</v>
      </c>
      <c r="AH36" s="1437">
        <v>5.5888466027214276</v>
      </c>
      <c r="AI36" s="1437">
        <v>5.5888466027214276</v>
      </c>
      <c r="AJ36" s="1437">
        <v>5.5888466027214276</v>
      </c>
      <c r="AK36" s="1437">
        <v>5.5888466027214276</v>
      </c>
      <c r="AL36" s="1437">
        <v>5.5888466027214276</v>
      </c>
      <c r="AM36" s="1437">
        <v>5.5888466027214276</v>
      </c>
      <c r="AN36" s="1437">
        <v>5.5888466027214276</v>
      </c>
      <c r="AO36" s="1437">
        <v>5.5888466027214276</v>
      </c>
      <c r="AP36" s="1437">
        <v>5.5888466027214276</v>
      </c>
      <c r="AQ36" s="1437">
        <v>5.5888466027214276</v>
      </c>
      <c r="AR36" s="1437">
        <v>5.5888466027214276</v>
      </c>
      <c r="AS36" s="1437">
        <v>5.5888466027214276</v>
      </c>
      <c r="AT36" s="1437">
        <v>5.5888466027214276</v>
      </c>
      <c r="AU36" s="1437">
        <v>5.5888466027214276</v>
      </c>
      <c r="AV36" s="1437">
        <v>5.5888466027214276</v>
      </c>
      <c r="AW36" s="1437">
        <v>5.5888466027214276</v>
      </c>
      <c r="AX36" s="1437">
        <v>5.5888466027214276</v>
      </c>
      <c r="AY36" s="1437">
        <v>5.5888466027214276</v>
      </c>
      <c r="AZ36" s="1437">
        <v>5.5888466027214276</v>
      </c>
      <c r="BA36" s="1437">
        <v>5.5888466027214276</v>
      </c>
      <c r="BB36" s="1437">
        <v>5.5888466027214276</v>
      </c>
      <c r="BC36" s="1437">
        <v>5.5888466027214276</v>
      </c>
      <c r="BD36" s="1437">
        <v>5.5888466027214276</v>
      </c>
      <c r="BE36" s="1437">
        <v>5.5888466027214276</v>
      </c>
      <c r="BF36" s="1437">
        <v>5.5888466027214276</v>
      </c>
      <c r="BG36" s="1437">
        <v>5.5888466027214276</v>
      </c>
      <c r="BH36" s="1437">
        <v>5.5888466027214276</v>
      </c>
      <c r="BI36" s="1437">
        <v>5.5888466027214276</v>
      </c>
      <c r="BJ36" s="1437">
        <v>5.5888466027214276</v>
      </c>
      <c r="BK36" s="1437">
        <v>5.5888466027214276</v>
      </c>
      <c r="BL36" s="1437">
        <v>5.5888466027214276</v>
      </c>
      <c r="BM36" s="1437">
        <v>5.5888466027214276</v>
      </c>
      <c r="BN36" s="1438">
        <v>5.5888466027214276</v>
      </c>
    </row>
    <row r="37" spans="1:66" s="91" customFormat="1">
      <c r="A37" s="1439">
        <v>13</v>
      </c>
      <c r="B37" s="1440">
        <v>0</v>
      </c>
      <c r="C37" s="1441" t="s">
        <v>54</v>
      </c>
      <c r="D37" s="1440" t="s">
        <v>12</v>
      </c>
      <c r="E37" s="1442">
        <v>2.7881992388118895</v>
      </c>
      <c r="F37" s="1442">
        <v>3.2833887814842702</v>
      </c>
      <c r="G37" s="1442">
        <v>3.4569564572612341</v>
      </c>
      <c r="H37" s="1442">
        <v>3.4687889618948544</v>
      </c>
      <c r="I37" s="1442">
        <v>3.5272756849596365</v>
      </c>
      <c r="J37" s="1442">
        <v>3.5860441076849092</v>
      </c>
      <c r="K37" s="1442">
        <v>3.6659986058227556</v>
      </c>
      <c r="L37" s="1442">
        <v>3.7517485713358925</v>
      </c>
      <c r="M37" s="1442">
        <v>3.8405684400617131</v>
      </c>
      <c r="N37" s="1442">
        <v>3.9312630345440955</v>
      </c>
      <c r="O37" s="1442">
        <v>4.0223559219683587</v>
      </c>
      <c r="P37" s="1442">
        <v>4.1194395483282449</v>
      </c>
      <c r="Q37" s="1442">
        <v>4.2188921472143397</v>
      </c>
      <c r="R37" s="1442">
        <v>4.3207725776517822</v>
      </c>
      <c r="S37" s="1442">
        <v>4.4251408299381678</v>
      </c>
      <c r="T37" s="1442">
        <v>4.5320581790916563</v>
      </c>
      <c r="U37" s="1442">
        <v>4.6415881026376304</v>
      </c>
      <c r="V37" s="1442">
        <v>4.7537950050990014</v>
      </c>
      <c r="W37" s="1442">
        <v>4.8685867406268528</v>
      </c>
      <c r="X37" s="1442">
        <v>4.9813459883891094</v>
      </c>
      <c r="Y37" s="1442">
        <v>5.100012253992583</v>
      </c>
      <c r="Z37" s="1442">
        <v>5.2219496612438743</v>
      </c>
      <c r="AA37" s="1442">
        <v>5.3414610079739431</v>
      </c>
      <c r="AB37" s="1442">
        <v>5.4700294429259317</v>
      </c>
      <c r="AC37" s="1442">
        <v>5.608821203938505</v>
      </c>
      <c r="AD37" s="1442">
        <v>5.7380242064047549</v>
      </c>
      <c r="AE37" s="1442">
        <v>5.7380242064047549</v>
      </c>
      <c r="AF37" s="1442">
        <v>5.7380242064047549</v>
      </c>
      <c r="AG37" s="1442">
        <v>5.7380242064047549</v>
      </c>
      <c r="AH37" s="1442">
        <v>5.7380242064047549</v>
      </c>
      <c r="AI37" s="1442">
        <v>5.7380242064047549</v>
      </c>
      <c r="AJ37" s="1442">
        <v>5.7380242064047549</v>
      </c>
      <c r="AK37" s="1442">
        <v>5.7380242064047549</v>
      </c>
      <c r="AL37" s="1442">
        <v>5.7380242064047549</v>
      </c>
      <c r="AM37" s="1442">
        <v>5.7380242064047549</v>
      </c>
      <c r="AN37" s="1442">
        <v>5.7380242064047549</v>
      </c>
      <c r="AO37" s="1442">
        <v>5.7380242064047549</v>
      </c>
      <c r="AP37" s="1442">
        <v>5.7380242064047549</v>
      </c>
      <c r="AQ37" s="1442">
        <v>5.7380242064047549</v>
      </c>
      <c r="AR37" s="1442">
        <v>5.7380242064047549</v>
      </c>
      <c r="AS37" s="1442">
        <v>5.7380242064047549</v>
      </c>
      <c r="AT37" s="1442">
        <v>5.7380242064047549</v>
      </c>
      <c r="AU37" s="1442">
        <v>5.7380242064047549</v>
      </c>
      <c r="AV37" s="1442">
        <v>5.7380242064047549</v>
      </c>
      <c r="AW37" s="1442">
        <v>5.7380242064047549</v>
      </c>
      <c r="AX37" s="1442">
        <v>5.7380242064047549</v>
      </c>
      <c r="AY37" s="1442">
        <v>5.7380242064047549</v>
      </c>
      <c r="AZ37" s="1442">
        <v>5.7380242064047549</v>
      </c>
      <c r="BA37" s="1442">
        <v>5.7380242064047549</v>
      </c>
      <c r="BB37" s="1442">
        <v>5.7380242064047549</v>
      </c>
      <c r="BC37" s="1442">
        <v>5.7380242064047549</v>
      </c>
      <c r="BD37" s="1442">
        <v>5.7380242064047549</v>
      </c>
      <c r="BE37" s="1442">
        <v>5.7380242064047549</v>
      </c>
      <c r="BF37" s="1442">
        <v>5.7380242064047549</v>
      </c>
      <c r="BG37" s="1442">
        <v>5.7380242064047549</v>
      </c>
      <c r="BH37" s="1442">
        <v>5.7380242064047549</v>
      </c>
      <c r="BI37" s="1442">
        <v>5.7380242064047549</v>
      </c>
      <c r="BJ37" s="1442">
        <v>5.7380242064047549</v>
      </c>
      <c r="BK37" s="1442">
        <v>5.7380242064047549</v>
      </c>
      <c r="BL37" s="1442">
        <v>5.7380242064047549</v>
      </c>
      <c r="BM37" s="1442">
        <v>5.7380242064047549</v>
      </c>
      <c r="BN37" s="1443">
        <v>5.7380242064047549</v>
      </c>
    </row>
    <row r="38" spans="1:66" s="91" customFormat="1">
      <c r="A38" s="1434">
        <v>111</v>
      </c>
      <c r="B38" s="1435">
        <v>0</v>
      </c>
      <c r="C38" s="1436" t="s">
        <v>144</v>
      </c>
      <c r="D38" s="1435" t="s">
        <v>145</v>
      </c>
      <c r="E38" s="1437">
        <v>3.9299245980960533</v>
      </c>
      <c r="F38" s="1437">
        <v>4.6623317720750723</v>
      </c>
      <c r="G38" s="1437">
        <v>4.9142889421688878</v>
      </c>
      <c r="H38" s="1437">
        <v>4.9245297404946031</v>
      </c>
      <c r="I38" s="1437">
        <v>5.0042109585454631</v>
      </c>
      <c r="J38" s="1437">
        <v>5.0840833023660537</v>
      </c>
      <c r="K38" s="1437">
        <v>5.1953539240416795</v>
      </c>
      <c r="L38" s="1437">
        <v>5.3150347533431388</v>
      </c>
      <c r="M38" s="1437">
        <v>5.4390487225825144</v>
      </c>
      <c r="N38" s="1437">
        <v>5.5656036907927229</v>
      </c>
      <c r="O38" s="1437">
        <v>5.6924873258676847</v>
      </c>
      <c r="P38" s="1437">
        <v>5.8280421856804825</v>
      </c>
      <c r="Q38" s="1437">
        <v>5.9668520927318607</v>
      </c>
      <c r="R38" s="1437">
        <v>6.1089964664620542</v>
      </c>
      <c r="S38" s="1437">
        <v>6.2545561614730838</v>
      </c>
      <c r="T38" s="1437">
        <v>6.4036136890336834</v>
      </c>
      <c r="U38" s="1437">
        <v>6.5562545796521601</v>
      </c>
      <c r="V38" s="1437">
        <v>6.7125654704231597</v>
      </c>
      <c r="W38" s="1437">
        <v>6.8723989543297943</v>
      </c>
      <c r="X38" s="1437">
        <v>7.0288504201187152</v>
      </c>
      <c r="Y38" s="1437">
        <v>7.193764580172453</v>
      </c>
      <c r="Z38" s="1437">
        <v>7.363194864907336</v>
      </c>
      <c r="AA38" s="1437">
        <v>7.5286232661552104</v>
      </c>
      <c r="AB38" s="1437">
        <v>7.7071848346849343</v>
      </c>
      <c r="AC38" s="1437">
        <v>7.9006092544124025</v>
      </c>
      <c r="AD38" s="1437">
        <v>8.0793014045631022</v>
      </c>
      <c r="AE38" s="1437">
        <v>8.0793014045631022</v>
      </c>
      <c r="AF38" s="1437">
        <v>8.0793014045631022</v>
      </c>
      <c r="AG38" s="1437">
        <v>8.0793014045631022</v>
      </c>
      <c r="AH38" s="1437">
        <v>8.0793014045631022</v>
      </c>
      <c r="AI38" s="1437">
        <v>8.0793014045631022</v>
      </c>
      <c r="AJ38" s="1437">
        <v>8.0793014045631022</v>
      </c>
      <c r="AK38" s="1437">
        <v>8.0793014045631022</v>
      </c>
      <c r="AL38" s="1437">
        <v>8.0793014045631022</v>
      </c>
      <c r="AM38" s="1437">
        <v>8.0793014045631022</v>
      </c>
      <c r="AN38" s="1437">
        <v>8.0793014045631022</v>
      </c>
      <c r="AO38" s="1437">
        <v>8.0793014045631022</v>
      </c>
      <c r="AP38" s="1437">
        <v>8.0793014045631022</v>
      </c>
      <c r="AQ38" s="1437">
        <v>8.0793014045631022</v>
      </c>
      <c r="AR38" s="1437">
        <v>8.0793014045631022</v>
      </c>
      <c r="AS38" s="1437">
        <v>8.0793014045631022</v>
      </c>
      <c r="AT38" s="1437">
        <v>8.0793014045631022</v>
      </c>
      <c r="AU38" s="1437">
        <v>8.0793014045631022</v>
      </c>
      <c r="AV38" s="1437">
        <v>8.0793014045631022</v>
      </c>
      <c r="AW38" s="1437">
        <v>8.0793014045631022</v>
      </c>
      <c r="AX38" s="1437">
        <v>8.0793014045631022</v>
      </c>
      <c r="AY38" s="1437">
        <v>8.0793014045631022</v>
      </c>
      <c r="AZ38" s="1437">
        <v>8.0793014045631022</v>
      </c>
      <c r="BA38" s="1437">
        <v>8.0793014045631022</v>
      </c>
      <c r="BB38" s="1437">
        <v>8.0793014045631022</v>
      </c>
      <c r="BC38" s="1437">
        <v>8.0793014045631022</v>
      </c>
      <c r="BD38" s="1437">
        <v>8.0793014045631022</v>
      </c>
      <c r="BE38" s="1437">
        <v>8.0793014045631022</v>
      </c>
      <c r="BF38" s="1437">
        <v>8.0793014045631022</v>
      </c>
      <c r="BG38" s="1437">
        <v>8.0793014045631022</v>
      </c>
      <c r="BH38" s="1437">
        <v>8.0793014045631022</v>
      </c>
      <c r="BI38" s="1437">
        <v>8.0793014045631022</v>
      </c>
      <c r="BJ38" s="1437">
        <v>8.0793014045631022</v>
      </c>
      <c r="BK38" s="1437">
        <v>8.0793014045631022</v>
      </c>
      <c r="BL38" s="1437">
        <v>8.0793014045631022</v>
      </c>
      <c r="BM38" s="1437">
        <v>8.0793014045631022</v>
      </c>
      <c r="BN38" s="1438">
        <v>8.0793014045631022</v>
      </c>
    </row>
    <row r="39" spans="1:66" s="91" customFormat="1">
      <c r="A39" s="1439">
        <v>103</v>
      </c>
      <c r="B39" s="1440">
        <v>0</v>
      </c>
      <c r="C39" s="1441" t="s">
        <v>133</v>
      </c>
      <c r="D39" s="1440" t="s">
        <v>11</v>
      </c>
      <c r="E39" s="1442">
        <v>2.6270403097188435</v>
      </c>
      <c r="F39" s="1442">
        <v>3.0887456706547893</v>
      </c>
      <c r="G39" s="1442">
        <v>3.251248367578897</v>
      </c>
      <c r="H39" s="1442">
        <v>3.2633055476845358</v>
      </c>
      <c r="I39" s="1442">
        <v>3.3188005862020238</v>
      </c>
      <c r="J39" s="1442">
        <v>3.3745901092333122</v>
      </c>
      <c r="K39" s="1442">
        <v>3.4501242159944985</v>
      </c>
      <c r="L39" s="1442">
        <v>3.5310847094801794</v>
      </c>
      <c r="M39" s="1442">
        <v>3.614936795452437</v>
      </c>
      <c r="N39" s="1442">
        <v>3.700569560152501</v>
      </c>
      <c r="O39" s="1442">
        <v>3.7866104457832312</v>
      </c>
      <c r="P39" s="1442">
        <v>3.8782637094611081</v>
      </c>
      <c r="Q39" s="1442">
        <v>3.9721608728089413</v>
      </c>
      <c r="R39" s="1442">
        <v>4.0683578926701376</v>
      </c>
      <c r="S39" s="1442">
        <v>4.1669118142654176</v>
      </c>
      <c r="T39" s="1442">
        <v>4.2678809150344277</v>
      </c>
      <c r="U39" s="1442">
        <v>4.3713255596391285</v>
      </c>
      <c r="V39" s="1442">
        <v>4.4773070143893534</v>
      </c>
      <c r="W39" s="1442">
        <v>4.5857409337627546</v>
      </c>
      <c r="X39" s="1442">
        <v>4.6923328567742555</v>
      </c>
      <c r="Y39" s="1442">
        <v>4.8044710540626969</v>
      </c>
      <c r="Z39" s="1442">
        <v>4.9197046588517201</v>
      </c>
      <c r="AA39" s="1442">
        <v>5.032734636596663</v>
      </c>
      <c r="AB39" s="1442">
        <v>5.1542463483149268</v>
      </c>
      <c r="AC39" s="1442">
        <v>5.2853264992626077</v>
      </c>
      <c r="AD39" s="1442">
        <v>5.407543918043868</v>
      </c>
      <c r="AE39" s="1442">
        <f t="shared" ref="AE39:AU39" si="3">AD39</f>
        <v>5.407543918043868</v>
      </c>
      <c r="AF39" s="1442">
        <f t="shared" si="3"/>
        <v>5.407543918043868</v>
      </c>
      <c r="AG39" s="1442">
        <f t="shared" si="3"/>
        <v>5.407543918043868</v>
      </c>
      <c r="AH39" s="1442">
        <f t="shared" si="3"/>
        <v>5.407543918043868</v>
      </c>
      <c r="AI39" s="1442">
        <f t="shared" si="3"/>
        <v>5.407543918043868</v>
      </c>
      <c r="AJ39" s="1442">
        <f t="shared" si="3"/>
        <v>5.407543918043868</v>
      </c>
      <c r="AK39" s="1442">
        <f t="shared" si="3"/>
        <v>5.407543918043868</v>
      </c>
      <c r="AL39" s="1442">
        <f t="shared" si="3"/>
        <v>5.407543918043868</v>
      </c>
      <c r="AM39" s="1442">
        <f t="shared" si="3"/>
        <v>5.407543918043868</v>
      </c>
      <c r="AN39" s="1442">
        <f t="shared" si="3"/>
        <v>5.407543918043868</v>
      </c>
      <c r="AO39" s="1442">
        <f t="shared" si="3"/>
        <v>5.407543918043868</v>
      </c>
      <c r="AP39" s="1442">
        <f t="shared" si="3"/>
        <v>5.407543918043868</v>
      </c>
      <c r="AQ39" s="1442">
        <f t="shared" si="3"/>
        <v>5.407543918043868</v>
      </c>
      <c r="AR39" s="1442">
        <f t="shared" si="3"/>
        <v>5.407543918043868</v>
      </c>
      <c r="AS39" s="1442">
        <f t="shared" si="3"/>
        <v>5.407543918043868</v>
      </c>
      <c r="AT39" s="1442">
        <f t="shared" si="3"/>
        <v>5.407543918043868</v>
      </c>
      <c r="AU39" s="1442">
        <f t="shared" si="3"/>
        <v>5.407543918043868</v>
      </c>
      <c r="AV39" s="1442">
        <f t="shared" ref="AV39:BK54" si="4">AU39</f>
        <v>5.407543918043868</v>
      </c>
      <c r="AW39" s="1442">
        <f t="shared" si="4"/>
        <v>5.407543918043868</v>
      </c>
      <c r="AX39" s="1442">
        <f t="shared" si="4"/>
        <v>5.407543918043868</v>
      </c>
      <c r="AY39" s="1442">
        <f t="shared" si="4"/>
        <v>5.407543918043868</v>
      </c>
      <c r="AZ39" s="1442">
        <f t="shared" si="4"/>
        <v>5.407543918043868</v>
      </c>
      <c r="BA39" s="1442">
        <f t="shared" si="4"/>
        <v>5.407543918043868</v>
      </c>
      <c r="BB39" s="1442">
        <f t="shared" si="4"/>
        <v>5.407543918043868</v>
      </c>
      <c r="BC39" s="1442">
        <f t="shared" si="4"/>
        <v>5.407543918043868</v>
      </c>
      <c r="BD39" s="1442">
        <f t="shared" si="4"/>
        <v>5.407543918043868</v>
      </c>
      <c r="BE39" s="1442">
        <f t="shared" si="4"/>
        <v>5.407543918043868</v>
      </c>
      <c r="BF39" s="1442">
        <f t="shared" si="4"/>
        <v>5.407543918043868</v>
      </c>
      <c r="BG39" s="1442">
        <f t="shared" si="4"/>
        <v>5.407543918043868</v>
      </c>
      <c r="BH39" s="1442">
        <f t="shared" si="4"/>
        <v>5.407543918043868</v>
      </c>
      <c r="BI39" s="1442">
        <f t="shared" si="4"/>
        <v>5.407543918043868</v>
      </c>
      <c r="BJ39" s="1442">
        <f t="shared" si="4"/>
        <v>5.407543918043868</v>
      </c>
      <c r="BK39" s="1442">
        <f t="shared" si="4"/>
        <v>5.407543918043868</v>
      </c>
      <c r="BL39" s="1442">
        <f t="shared" ref="BL39:BN54" si="5">BK39</f>
        <v>5.407543918043868</v>
      </c>
      <c r="BM39" s="1442">
        <f t="shared" si="5"/>
        <v>5.407543918043868</v>
      </c>
      <c r="BN39" s="1443">
        <f t="shared" si="5"/>
        <v>5.407543918043868</v>
      </c>
    </row>
    <row r="40" spans="1:66" s="91" customFormat="1">
      <c r="A40" s="1434">
        <v>14</v>
      </c>
      <c r="B40" s="1435">
        <v>0</v>
      </c>
      <c r="C40" s="1436" t="s">
        <v>54</v>
      </c>
      <c r="D40" s="1435" t="s">
        <v>57</v>
      </c>
      <c r="E40" s="1437">
        <v>2.5688850493915791</v>
      </c>
      <c r="F40" s="1437">
        <v>3.0185074229517306</v>
      </c>
      <c r="G40" s="1437">
        <v>3.1770172494259978</v>
      </c>
      <c r="H40" s="1437">
        <v>3.189155505154551</v>
      </c>
      <c r="I40" s="1437">
        <v>3.2435709746115835</v>
      </c>
      <c r="J40" s="1437">
        <v>3.298285542080885</v>
      </c>
      <c r="K40" s="1437">
        <v>3.3722245215183495</v>
      </c>
      <c r="L40" s="1437">
        <v>3.4514567024981435</v>
      </c>
      <c r="M40" s="1437">
        <v>3.53351613136534</v>
      </c>
      <c r="N40" s="1437">
        <v>3.6173223014709892</v>
      </c>
      <c r="O40" s="1437">
        <v>3.7015401390017462</v>
      </c>
      <c r="P40" s="1437">
        <v>3.7912338205626348</v>
      </c>
      <c r="Q40" s="1437">
        <v>3.8831262684300594</v>
      </c>
      <c r="R40" s="1437">
        <v>3.9772723921760464</v>
      </c>
      <c r="S40" s="1437">
        <v>4.073728174270939</v>
      </c>
      <c r="T40" s="1437">
        <v>4.1725508104584499</v>
      </c>
      <c r="U40" s="1437">
        <v>4.2737995421032835</v>
      </c>
      <c r="V40" s="1437">
        <v>4.3775345030704278</v>
      </c>
      <c r="W40" s="1437">
        <v>4.4836741626367198</v>
      </c>
      <c r="X40" s="1437">
        <v>4.5880405659179688</v>
      </c>
      <c r="Y40" s="1437">
        <v>4.6978230667865377</v>
      </c>
      <c r="Z40" s="1437">
        <v>4.8106375603319593</v>
      </c>
      <c r="AA40" s="1437">
        <v>4.9213286934176068</v>
      </c>
      <c r="AB40" s="1437">
        <v>5.0402939401089295</v>
      </c>
      <c r="AC40" s="1437">
        <v>5.168591305806113</v>
      </c>
      <c r="AD40" s="1437">
        <v>5.2882879307348407</v>
      </c>
      <c r="AE40" s="1437">
        <f t="shared" ref="AE40:AT54" si="6">AD40</f>
        <v>5.2882879307348407</v>
      </c>
      <c r="AF40" s="1437">
        <f t="shared" si="6"/>
        <v>5.2882879307348407</v>
      </c>
      <c r="AG40" s="1437">
        <f t="shared" si="6"/>
        <v>5.2882879307348407</v>
      </c>
      <c r="AH40" s="1437">
        <f t="shared" si="6"/>
        <v>5.2882879307348407</v>
      </c>
      <c r="AI40" s="1437">
        <f t="shared" si="6"/>
        <v>5.2882879307348407</v>
      </c>
      <c r="AJ40" s="1437">
        <f t="shared" si="6"/>
        <v>5.2882879307348407</v>
      </c>
      <c r="AK40" s="1437">
        <f t="shared" si="6"/>
        <v>5.2882879307348407</v>
      </c>
      <c r="AL40" s="1437">
        <f t="shared" si="6"/>
        <v>5.2882879307348407</v>
      </c>
      <c r="AM40" s="1437">
        <f t="shared" si="6"/>
        <v>5.2882879307348407</v>
      </c>
      <c r="AN40" s="1437">
        <f t="shared" si="6"/>
        <v>5.2882879307348407</v>
      </c>
      <c r="AO40" s="1437">
        <f t="shared" si="6"/>
        <v>5.2882879307348407</v>
      </c>
      <c r="AP40" s="1437">
        <f t="shared" si="6"/>
        <v>5.2882879307348407</v>
      </c>
      <c r="AQ40" s="1437">
        <f t="shared" si="6"/>
        <v>5.2882879307348407</v>
      </c>
      <c r="AR40" s="1437">
        <f t="shared" si="6"/>
        <v>5.2882879307348407</v>
      </c>
      <c r="AS40" s="1437">
        <f t="shared" si="6"/>
        <v>5.2882879307348407</v>
      </c>
      <c r="AT40" s="1437">
        <f t="shared" si="6"/>
        <v>5.2882879307348407</v>
      </c>
      <c r="AU40" s="1437">
        <f t="shared" ref="AU40:AU54" si="7">AT40</f>
        <v>5.2882879307348407</v>
      </c>
      <c r="AV40" s="1437">
        <f t="shared" si="4"/>
        <v>5.2882879307348407</v>
      </c>
      <c r="AW40" s="1437">
        <f t="shared" si="4"/>
        <v>5.2882879307348407</v>
      </c>
      <c r="AX40" s="1437">
        <f t="shared" si="4"/>
        <v>5.2882879307348407</v>
      </c>
      <c r="AY40" s="1437">
        <f t="shared" si="4"/>
        <v>5.2882879307348407</v>
      </c>
      <c r="AZ40" s="1437">
        <f t="shared" si="4"/>
        <v>5.2882879307348407</v>
      </c>
      <c r="BA40" s="1437">
        <f t="shared" si="4"/>
        <v>5.2882879307348407</v>
      </c>
      <c r="BB40" s="1437">
        <f t="shared" si="4"/>
        <v>5.2882879307348407</v>
      </c>
      <c r="BC40" s="1437">
        <f t="shared" si="4"/>
        <v>5.2882879307348407</v>
      </c>
      <c r="BD40" s="1437">
        <f t="shared" si="4"/>
        <v>5.2882879307348407</v>
      </c>
      <c r="BE40" s="1437">
        <f t="shared" si="4"/>
        <v>5.2882879307348407</v>
      </c>
      <c r="BF40" s="1437">
        <f t="shared" si="4"/>
        <v>5.2882879307348407</v>
      </c>
      <c r="BG40" s="1437">
        <f t="shared" si="4"/>
        <v>5.2882879307348407</v>
      </c>
      <c r="BH40" s="1437">
        <f t="shared" si="4"/>
        <v>5.2882879307348407</v>
      </c>
      <c r="BI40" s="1437">
        <f t="shared" si="4"/>
        <v>5.2882879307348407</v>
      </c>
      <c r="BJ40" s="1437">
        <f t="shared" si="4"/>
        <v>5.2882879307348407</v>
      </c>
      <c r="BK40" s="1437">
        <f t="shared" si="4"/>
        <v>5.2882879307348407</v>
      </c>
      <c r="BL40" s="1437">
        <f t="shared" si="5"/>
        <v>5.2882879307348407</v>
      </c>
      <c r="BM40" s="1437">
        <f t="shared" si="5"/>
        <v>5.2882879307348407</v>
      </c>
      <c r="BN40" s="1438">
        <f t="shared" si="5"/>
        <v>5.2882879307348407</v>
      </c>
    </row>
    <row r="41" spans="1:66" s="91" customFormat="1">
      <c r="A41" s="1439">
        <v>15</v>
      </c>
      <c r="B41" s="1440">
        <v>0</v>
      </c>
      <c r="C41" s="1441" t="s">
        <v>187</v>
      </c>
      <c r="D41" s="1440" t="s">
        <v>189</v>
      </c>
      <c r="E41" s="1442">
        <v>3.4592028660738854</v>
      </c>
      <c r="F41" s="1442">
        <v>3.9823074670413465</v>
      </c>
      <c r="G41" s="1442">
        <v>4.1617882796820664</v>
      </c>
      <c r="H41" s="1442">
        <v>4.173515645193393</v>
      </c>
      <c r="I41" s="1442">
        <v>4.2333529481969219</v>
      </c>
      <c r="J41" s="1442">
        <v>4.2933611557213025</v>
      </c>
      <c r="K41" s="1442">
        <v>4.3749659072279909</v>
      </c>
      <c r="L41" s="1442">
        <v>4.4622539879320291</v>
      </c>
      <c r="M41" s="1442">
        <v>4.5524014414847986</v>
      </c>
      <c r="N41" s="1442">
        <v>4.644175421193113</v>
      </c>
      <c r="O41" s="1442">
        <v>4.73607748559321</v>
      </c>
      <c r="P41" s="1442">
        <v>4.8337398352734668</v>
      </c>
      <c r="Q41" s="1442">
        <v>4.9334804770784872</v>
      </c>
      <c r="R41" s="1442">
        <v>5.0353457492915288</v>
      </c>
      <c r="S41" s="1442">
        <v>5.1393827187776671</v>
      </c>
      <c r="T41" s="1442">
        <v>5.2456393283418583</v>
      </c>
      <c r="U41" s="1442">
        <v>5.3541652952528551</v>
      </c>
      <c r="V41" s="1442">
        <v>5.4650108339064634</v>
      </c>
      <c r="W41" s="1442">
        <v>5.5780724538545554</v>
      </c>
      <c r="X41" s="1442">
        <v>5.6888337657717383</v>
      </c>
      <c r="Y41" s="1442">
        <v>5.805051047401804</v>
      </c>
      <c r="Z41" s="1442">
        <v>5.9241249710841775</v>
      </c>
      <c r="AA41" s="1442">
        <v>6.040540530730075</v>
      </c>
      <c r="AB41" s="1442">
        <v>6.1653817592782412</v>
      </c>
      <c r="AC41" s="1442">
        <v>6.2996863928135047</v>
      </c>
      <c r="AD41" s="1442">
        <v>6.4244612291601326</v>
      </c>
      <c r="AE41" s="1442">
        <f t="shared" si="6"/>
        <v>6.4244612291601326</v>
      </c>
      <c r="AF41" s="1442">
        <f t="shared" si="6"/>
        <v>6.4244612291601326</v>
      </c>
      <c r="AG41" s="1442">
        <f t="shared" si="6"/>
        <v>6.4244612291601326</v>
      </c>
      <c r="AH41" s="1442">
        <f t="shared" si="6"/>
        <v>6.4244612291601326</v>
      </c>
      <c r="AI41" s="1442">
        <f t="shared" si="6"/>
        <v>6.4244612291601326</v>
      </c>
      <c r="AJ41" s="1442">
        <f t="shared" si="6"/>
        <v>6.4244612291601326</v>
      </c>
      <c r="AK41" s="1442">
        <f t="shared" si="6"/>
        <v>6.4244612291601326</v>
      </c>
      <c r="AL41" s="1442">
        <f t="shared" si="6"/>
        <v>6.4244612291601326</v>
      </c>
      <c r="AM41" s="1442">
        <f t="shared" si="6"/>
        <v>6.4244612291601326</v>
      </c>
      <c r="AN41" s="1442">
        <f t="shared" si="6"/>
        <v>6.4244612291601326</v>
      </c>
      <c r="AO41" s="1442">
        <f t="shared" si="6"/>
        <v>6.4244612291601326</v>
      </c>
      <c r="AP41" s="1442">
        <f t="shared" si="6"/>
        <v>6.4244612291601326</v>
      </c>
      <c r="AQ41" s="1442">
        <f t="shared" si="6"/>
        <v>6.4244612291601326</v>
      </c>
      <c r="AR41" s="1442">
        <f t="shared" si="6"/>
        <v>6.4244612291601326</v>
      </c>
      <c r="AS41" s="1442">
        <f t="shared" si="6"/>
        <v>6.4244612291601326</v>
      </c>
      <c r="AT41" s="1442">
        <f t="shared" si="6"/>
        <v>6.4244612291601326</v>
      </c>
      <c r="AU41" s="1442">
        <f t="shared" si="7"/>
        <v>6.4244612291601326</v>
      </c>
      <c r="AV41" s="1442">
        <f t="shared" si="4"/>
        <v>6.4244612291601326</v>
      </c>
      <c r="AW41" s="1442">
        <f t="shared" si="4"/>
        <v>6.4244612291601326</v>
      </c>
      <c r="AX41" s="1442">
        <f t="shared" si="4"/>
        <v>6.4244612291601326</v>
      </c>
      <c r="AY41" s="1442">
        <f t="shared" si="4"/>
        <v>6.4244612291601326</v>
      </c>
      <c r="AZ41" s="1442">
        <f t="shared" si="4"/>
        <v>6.4244612291601326</v>
      </c>
      <c r="BA41" s="1442">
        <f t="shared" si="4"/>
        <v>6.4244612291601326</v>
      </c>
      <c r="BB41" s="1442">
        <f t="shared" si="4"/>
        <v>6.4244612291601326</v>
      </c>
      <c r="BC41" s="1442">
        <f t="shared" si="4"/>
        <v>6.4244612291601326</v>
      </c>
      <c r="BD41" s="1442">
        <f t="shared" si="4"/>
        <v>6.4244612291601326</v>
      </c>
      <c r="BE41" s="1442">
        <f t="shared" si="4"/>
        <v>6.4244612291601326</v>
      </c>
      <c r="BF41" s="1442">
        <f t="shared" si="4"/>
        <v>6.4244612291601326</v>
      </c>
      <c r="BG41" s="1442">
        <f t="shared" si="4"/>
        <v>6.4244612291601326</v>
      </c>
      <c r="BH41" s="1442">
        <f t="shared" si="4"/>
        <v>6.4244612291601326</v>
      </c>
      <c r="BI41" s="1442">
        <f t="shared" si="4"/>
        <v>6.4244612291601326</v>
      </c>
      <c r="BJ41" s="1442">
        <f t="shared" si="4"/>
        <v>6.4244612291601326</v>
      </c>
      <c r="BK41" s="1442">
        <f t="shared" si="4"/>
        <v>6.4244612291601326</v>
      </c>
      <c r="BL41" s="1442">
        <f t="shared" si="5"/>
        <v>6.4244612291601326</v>
      </c>
      <c r="BM41" s="1442">
        <f t="shared" si="5"/>
        <v>6.4244612291601326</v>
      </c>
      <c r="BN41" s="1443">
        <f t="shared" si="5"/>
        <v>6.4244612291601326</v>
      </c>
    </row>
    <row r="42" spans="1:66" s="91" customFormat="1">
      <c r="A42" s="1434">
        <v>120</v>
      </c>
      <c r="B42" s="1435">
        <v>0</v>
      </c>
      <c r="C42" s="1436" t="s">
        <v>160</v>
      </c>
      <c r="D42" s="1435" t="s">
        <v>42</v>
      </c>
      <c r="E42" s="1437">
        <v>3.5710811900278507</v>
      </c>
      <c r="F42" s="1437">
        <v>4.1132532677543701</v>
      </c>
      <c r="G42" s="1437">
        <v>4.2989109294406251</v>
      </c>
      <c r="H42" s="1437">
        <v>4.3105134327323968</v>
      </c>
      <c r="I42" s="1437">
        <v>4.3720114975808801</v>
      </c>
      <c r="J42" s="1437">
        <v>4.433669434794453</v>
      </c>
      <c r="K42" s="1437">
        <v>4.5177151226413201</v>
      </c>
      <c r="L42" s="1437">
        <v>4.6076385816371301</v>
      </c>
      <c r="M42" s="1437">
        <v>4.7005094943609258</v>
      </c>
      <c r="N42" s="1437">
        <v>4.7950482510574073</v>
      </c>
      <c r="O42" s="1437">
        <v>4.88969967892222</v>
      </c>
      <c r="P42" s="1437">
        <v>4.990306395782885</v>
      </c>
      <c r="Q42" s="1437">
        <v>5.093047829401474</v>
      </c>
      <c r="R42" s="1437">
        <v>5.1979714109300126</v>
      </c>
      <c r="S42" s="1437">
        <v>5.3051253081012524</v>
      </c>
      <c r="T42" s="1437">
        <v>5.4145585775288874</v>
      </c>
      <c r="U42" s="1437">
        <v>5.5263220963004258</v>
      </c>
      <c r="V42" s="1437">
        <v>5.640467236167801</v>
      </c>
      <c r="W42" s="1437">
        <v>5.7568858834049443</v>
      </c>
      <c r="X42" s="1437">
        <v>5.8708916634213919</v>
      </c>
      <c r="Y42" s="1437">
        <v>5.9905306699292389</v>
      </c>
      <c r="Z42" s="1437">
        <v>6.1131053704381149</v>
      </c>
      <c r="AA42" s="1437">
        <v>6.2328932868460569</v>
      </c>
      <c r="AB42" s="1437">
        <v>6.3613928768552483</v>
      </c>
      <c r="AC42" s="1437">
        <v>6.4996798672857761</v>
      </c>
      <c r="AD42" s="1437">
        <v>6.6280485138651484</v>
      </c>
      <c r="AE42" s="1437">
        <f t="shared" si="6"/>
        <v>6.6280485138651484</v>
      </c>
      <c r="AF42" s="1437">
        <f t="shared" si="6"/>
        <v>6.6280485138651484</v>
      </c>
      <c r="AG42" s="1437">
        <f t="shared" si="6"/>
        <v>6.6280485138651484</v>
      </c>
      <c r="AH42" s="1437">
        <f t="shared" si="6"/>
        <v>6.6280485138651484</v>
      </c>
      <c r="AI42" s="1437">
        <f t="shared" si="6"/>
        <v>6.6280485138651484</v>
      </c>
      <c r="AJ42" s="1437">
        <f t="shared" si="6"/>
        <v>6.6280485138651484</v>
      </c>
      <c r="AK42" s="1437">
        <f t="shared" si="6"/>
        <v>6.6280485138651484</v>
      </c>
      <c r="AL42" s="1437">
        <f t="shared" si="6"/>
        <v>6.6280485138651484</v>
      </c>
      <c r="AM42" s="1437">
        <f t="shared" si="6"/>
        <v>6.6280485138651484</v>
      </c>
      <c r="AN42" s="1437">
        <f t="shared" si="6"/>
        <v>6.6280485138651484</v>
      </c>
      <c r="AO42" s="1437">
        <f t="shared" si="6"/>
        <v>6.6280485138651484</v>
      </c>
      <c r="AP42" s="1437">
        <f t="shared" si="6"/>
        <v>6.6280485138651484</v>
      </c>
      <c r="AQ42" s="1437">
        <f t="shared" si="6"/>
        <v>6.6280485138651484</v>
      </c>
      <c r="AR42" s="1437">
        <f t="shared" si="6"/>
        <v>6.6280485138651484</v>
      </c>
      <c r="AS42" s="1437">
        <f t="shared" si="6"/>
        <v>6.6280485138651484</v>
      </c>
      <c r="AT42" s="1437">
        <f t="shared" si="6"/>
        <v>6.6280485138651484</v>
      </c>
      <c r="AU42" s="1437">
        <f t="shared" si="7"/>
        <v>6.6280485138651484</v>
      </c>
      <c r="AV42" s="1437">
        <f t="shared" si="4"/>
        <v>6.6280485138651484</v>
      </c>
      <c r="AW42" s="1437">
        <f t="shared" si="4"/>
        <v>6.6280485138651484</v>
      </c>
      <c r="AX42" s="1437">
        <f t="shared" si="4"/>
        <v>6.6280485138651484</v>
      </c>
      <c r="AY42" s="1437">
        <f t="shared" si="4"/>
        <v>6.6280485138651484</v>
      </c>
      <c r="AZ42" s="1437">
        <f t="shared" si="4"/>
        <v>6.6280485138651484</v>
      </c>
      <c r="BA42" s="1437">
        <f t="shared" si="4"/>
        <v>6.6280485138651484</v>
      </c>
      <c r="BB42" s="1437">
        <f t="shared" si="4"/>
        <v>6.6280485138651484</v>
      </c>
      <c r="BC42" s="1437">
        <f t="shared" si="4"/>
        <v>6.6280485138651484</v>
      </c>
      <c r="BD42" s="1437">
        <f t="shared" si="4"/>
        <v>6.6280485138651484</v>
      </c>
      <c r="BE42" s="1437">
        <f t="shared" si="4"/>
        <v>6.6280485138651484</v>
      </c>
      <c r="BF42" s="1437">
        <f t="shared" si="4"/>
        <v>6.6280485138651484</v>
      </c>
      <c r="BG42" s="1437">
        <f t="shared" si="4"/>
        <v>6.6280485138651484</v>
      </c>
      <c r="BH42" s="1437">
        <f t="shared" si="4"/>
        <v>6.6280485138651484</v>
      </c>
      <c r="BI42" s="1437">
        <f t="shared" si="4"/>
        <v>6.6280485138651484</v>
      </c>
      <c r="BJ42" s="1437">
        <f t="shared" si="4"/>
        <v>6.6280485138651484</v>
      </c>
      <c r="BK42" s="1437">
        <f t="shared" si="4"/>
        <v>6.6280485138651484</v>
      </c>
      <c r="BL42" s="1437">
        <f t="shared" si="5"/>
        <v>6.6280485138651484</v>
      </c>
      <c r="BM42" s="1437">
        <f t="shared" si="5"/>
        <v>6.6280485138651484</v>
      </c>
      <c r="BN42" s="1438">
        <f t="shared" si="5"/>
        <v>6.6280485138651484</v>
      </c>
    </row>
    <row r="43" spans="1:66" s="91" customFormat="1">
      <c r="A43" s="1439">
        <v>147</v>
      </c>
      <c r="B43" s="1440">
        <v>0</v>
      </c>
      <c r="C43" s="1441" t="s">
        <v>215</v>
      </c>
      <c r="D43" s="1440" t="s">
        <v>23</v>
      </c>
      <c r="E43" s="1442">
        <v>2.5867322707738643</v>
      </c>
      <c r="F43" s="1442">
        <v>2.9611412870122464</v>
      </c>
      <c r="G43" s="1442">
        <v>3.0924526332775613</v>
      </c>
      <c r="H43" s="1442">
        <v>3.1051537228417296</v>
      </c>
      <c r="I43" s="1442">
        <v>3.1520397603604904</v>
      </c>
      <c r="J43" s="1442">
        <v>3.1991827354328217</v>
      </c>
      <c r="K43" s="1442">
        <v>3.2617521179194879</v>
      </c>
      <c r="L43" s="1442">
        <v>3.3284884957931427</v>
      </c>
      <c r="M43" s="1442">
        <v>3.3973973576308798</v>
      </c>
      <c r="N43" s="1442">
        <v>3.4676105332487523</v>
      </c>
      <c r="O43" s="1442">
        <v>3.5380719941969878</v>
      </c>
      <c r="P43" s="1442">
        <v>3.6127730257605268</v>
      </c>
      <c r="Q43" s="1442">
        <v>3.689112328258445</v>
      </c>
      <c r="R43" s="1442">
        <v>3.7671277173591813</v>
      </c>
      <c r="S43" s="1442">
        <v>3.8468576749343542</v>
      </c>
      <c r="T43" s="1442">
        <v>3.9283414578760776</v>
      </c>
      <c r="U43" s="1442">
        <v>4.0116197387362549</v>
      </c>
      <c r="V43" s="1442">
        <v>4.0967337063983917</v>
      </c>
      <c r="W43" s="1442">
        <v>4.1836159245302538</v>
      </c>
      <c r="X43" s="1442">
        <v>4.2690756148825475</v>
      </c>
      <c r="Y43" s="1442">
        <v>4.3586089577873697</v>
      </c>
      <c r="Z43" s="1442">
        <v>4.4503824649646848</v>
      </c>
      <c r="AA43" s="1442">
        <v>4.5404990776138838</v>
      </c>
      <c r="AB43" s="1442">
        <v>4.6368109835111575</v>
      </c>
      <c r="AC43" s="1442">
        <v>4.7400596522418557</v>
      </c>
      <c r="AD43" s="1442">
        <v>4.8368085614710248</v>
      </c>
      <c r="AE43" s="1442">
        <f t="shared" si="6"/>
        <v>4.8368085614710248</v>
      </c>
      <c r="AF43" s="1442">
        <f t="shared" si="6"/>
        <v>4.8368085614710248</v>
      </c>
      <c r="AG43" s="1442">
        <f t="shared" si="6"/>
        <v>4.8368085614710248</v>
      </c>
      <c r="AH43" s="1442">
        <f t="shared" si="6"/>
        <v>4.8368085614710248</v>
      </c>
      <c r="AI43" s="1442">
        <f t="shared" si="6"/>
        <v>4.8368085614710248</v>
      </c>
      <c r="AJ43" s="1442">
        <f t="shared" si="6"/>
        <v>4.8368085614710248</v>
      </c>
      <c r="AK43" s="1442">
        <f t="shared" si="6"/>
        <v>4.8368085614710248</v>
      </c>
      <c r="AL43" s="1442">
        <f t="shared" si="6"/>
        <v>4.8368085614710248</v>
      </c>
      <c r="AM43" s="1442">
        <f t="shared" si="6"/>
        <v>4.8368085614710248</v>
      </c>
      <c r="AN43" s="1442">
        <f t="shared" si="6"/>
        <v>4.8368085614710248</v>
      </c>
      <c r="AO43" s="1442">
        <f t="shared" si="6"/>
        <v>4.8368085614710248</v>
      </c>
      <c r="AP43" s="1442">
        <f t="shared" si="6"/>
        <v>4.8368085614710248</v>
      </c>
      <c r="AQ43" s="1442">
        <f t="shared" si="6"/>
        <v>4.8368085614710248</v>
      </c>
      <c r="AR43" s="1442">
        <f t="shared" si="6"/>
        <v>4.8368085614710248</v>
      </c>
      <c r="AS43" s="1442">
        <f t="shared" si="6"/>
        <v>4.8368085614710248</v>
      </c>
      <c r="AT43" s="1442">
        <f t="shared" si="6"/>
        <v>4.8368085614710248</v>
      </c>
      <c r="AU43" s="1442">
        <f t="shared" si="7"/>
        <v>4.8368085614710248</v>
      </c>
      <c r="AV43" s="1442">
        <f t="shared" si="4"/>
        <v>4.8368085614710248</v>
      </c>
      <c r="AW43" s="1442">
        <f t="shared" si="4"/>
        <v>4.8368085614710248</v>
      </c>
      <c r="AX43" s="1442">
        <f t="shared" si="4"/>
        <v>4.8368085614710248</v>
      </c>
      <c r="AY43" s="1442">
        <f t="shared" si="4"/>
        <v>4.8368085614710248</v>
      </c>
      <c r="AZ43" s="1442">
        <f t="shared" si="4"/>
        <v>4.8368085614710248</v>
      </c>
      <c r="BA43" s="1442">
        <f t="shared" si="4"/>
        <v>4.8368085614710248</v>
      </c>
      <c r="BB43" s="1442">
        <f t="shared" si="4"/>
        <v>4.8368085614710248</v>
      </c>
      <c r="BC43" s="1442">
        <f t="shared" si="4"/>
        <v>4.8368085614710248</v>
      </c>
      <c r="BD43" s="1442">
        <f t="shared" si="4"/>
        <v>4.8368085614710248</v>
      </c>
      <c r="BE43" s="1442">
        <f t="shared" si="4"/>
        <v>4.8368085614710248</v>
      </c>
      <c r="BF43" s="1442">
        <f t="shared" si="4"/>
        <v>4.8368085614710248</v>
      </c>
      <c r="BG43" s="1442">
        <f t="shared" si="4"/>
        <v>4.8368085614710248</v>
      </c>
      <c r="BH43" s="1442">
        <f t="shared" si="4"/>
        <v>4.8368085614710248</v>
      </c>
      <c r="BI43" s="1442">
        <f t="shared" si="4"/>
        <v>4.8368085614710248</v>
      </c>
      <c r="BJ43" s="1442">
        <f t="shared" si="4"/>
        <v>4.8368085614710248</v>
      </c>
      <c r="BK43" s="1442">
        <f t="shared" si="4"/>
        <v>4.8368085614710248</v>
      </c>
      <c r="BL43" s="1442">
        <f t="shared" si="5"/>
        <v>4.8368085614710248</v>
      </c>
      <c r="BM43" s="1442">
        <f t="shared" si="5"/>
        <v>4.8368085614710248</v>
      </c>
      <c r="BN43" s="1443">
        <f t="shared" si="5"/>
        <v>4.8368085614710248</v>
      </c>
    </row>
    <row r="44" spans="1:66" s="91" customFormat="1">
      <c r="A44" s="1434">
        <v>104</v>
      </c>
      <c r="B44" s="1435">
        <v>0</v>
      </c>
      <c r="C44" s="1436" t="s">
        <v>134</v>
      </c>
      <c r="D44" s="1435" t="s">
        <v>135</v>
      </c>
      <c r="E44" s="1437">
        <v>3.8708334204356061</v>
      </c>
      <c r="F44" s="1437">
        <v>4.4640924154914128</v>
      </c>
      <c r="G44" s="1437">
        <v>4.6662995231548301</v>
      </c>
      <c r="H44" s="1437">
        <v>4.6775674868549935</v>
      </c>
      <c r="I44" s="1437">
        <v>4.7435151809936507</v>
      </c>
      <c r="J44" s="1437">
        <v>4.8095931893740795</v>
      </c>
      <c r="K44" s="1437">
        <v>4.9001788045848311</v>
      </c>
      <c r="L44" s="1437">
        <v>4.9971631534206775</v>
      </c>
      <c r="M44" s="1437">
        <v>5.0973309484366629</v>
      </c>
      <c r="N44" s="1437">
        <v>5.1992772890108254</v>
      </c>
      <c r="O44" s="1437">
        <v>5.3012950037632471</v>
      </c>
      <c r="P44" s="1437">
        <v>5.4097904751053409</v>
      </c>
      <c r="Q44" s="1437">
        <v>5.520571840028917</v>
      </c>
      <c r="R44" s="1437">
        <v>5.6336894577764287</v>
      </c>
      <c r="S44" s="1437">
        <v>5.7491944456023107</v>
      </c>
      <c r="T44" s="1437">
        <v>5.8671388443145212</v>
      </c>
      <c r="U44" s="1437">
        <v>5.9875766384681031</v>
      </c>
      <c r="V44" s="1437">
        <v>6.1105623006844709</v>
      </c>
      <c r="W44" s="1437">
        <v>6.2359753302279408</v>
      </c>
      <c r="X44" s="1437">
        <v>6.3586739160969454</v>
      </c>
      <c r="Y44" s="1437">
        <v>6.4874806472158495</v>
      </c>
      <c r="Z44" s="1437">
        <v>6.6194348738457611</v>
      </c>
      <c r="AA44" s="1437">
        <v>6.7482582443562276</v>
      </c>
      <c r="AB44" s="1437">
        <v>6.8865595722608797</v>
      </c>
      <c r="AC44" s="1437">
        <v>7.0355163718148113</v>
      </c>
      <c r="AD44" s="1437">
        <v>7.1735138061240606</v>
      </c>
      <c r="AE44" s="1437">
        <f t="shared" si="6"/>
        <v>7.1735138061240606</v>
      </c>
      <c r="AF44" s="1437">
        <f t="shared" si="6"/>
        <v>7.1735138061240606</v>
      </c>
      <c r="AG44" s="1437">
        <f t="shared" si="6"/>
        <v>7.1735138061240606</v>
      </c>
      <c r="AH44" s="1437">
        <f t="shared" si="6"/>
        <v>7.1735138061240606</v>
      </c>
      <c r="AI44" s="1437">
        <f t="shared" si="6"/>
        <v>7.1735138061240606</v>
      </c>
      <c r="AJ44" s="1437">
        <f t="shared" si="6"/>
        <v>7.1735138061240606</v>
      </c>
      <c r="AK44" s="1437">
        <f t="shared" si="6"/>
        <v>7.1735138061240606</v>
      </c>
      <c r="AL44" s="1437">
        <f t="shared" si="6"/>
        <v>7.1735138061240606</v>
      </c>
      <c r="AM44" s="1437">
        <f t="shared" si="6"/>
        <v>7.1735138061240606</v>
      </c>
      <c r="AN44" s="1437">
        <f t="shared" si="6"/>
        <v>7.1735138061240606</v>
      </c>
      <c r="AO44" s="1437">
        <f t="shared" si="6"/>
        <v>7.1735138061240606</v>
      </c>
      <c r="AP44" s="1437">
        <f t="shared" si="6"/>
        <v>7.1735138061240606</v>
      </c>
      <c r="AQ44" s="1437">
        <f t="shared" si="6"/>
        <v>7.1735138061240606</v>
      </c>
      <c r="AR44" s="1437">
        <f t="shared" si="6"/>
        <v>7.1735138061240606</v>
      </c>
      <c r="AS44" s="1437">
        <f t="shared" si="6"/>
        <v>7.1735138061240606</v>
      </c>
      <c r="AT44" s="1437">
        <f t="shared" si="6"/>
        <v>7.1735138061240606</v>
      </c>
      <c r="AU44" s="1437">
        <f t="shared" si="7"/>
        <v>7.1735138061240606</v>
      </c>
      <c r="AV44" s="1437">
        <f t="shared" si="4"/>
        <v>7.1735138061240606</v>
      </c>
      <c r="AW44" s="1437">
        <f t="shared" si="4"/>
        <v>7.1735138061240606</v>
      </c>
      <c r="AX44" s="1437">
        <f t="shared" si="4"/>
        <v>7.1735138061240606</v>
      </c>
      <c r="AY44" s="1437">
        <f t="shared" si="4"/>
        <v>7.1735138061240606</v>
      </c>
      <c r="AZ44" s="1437">
        <f t="shared" si="4"/>
        <v>7.1735138061240606</v>
      </c>
      <c r="BA44" s="1437">
        <f t="shared" si="4"/>
        <v>7.1735138061240606</v>
      </c>
      <c r="BB44" s="1437">
        <f t="shared" si="4"/>
        <v>7.1735138061240606</v>
      </c>
      <c r="BC44" s="1437">
        <f t="shared" si="4"/>
        <v>7.1735138061240606</v>
      </c>
      <c r="BD44" s="1437">
        <f t="shared" si="4"/>
        <v>7.1735138061240606</v>
      </c>
      <c r="BE44" s="1437">
        <f t="shared" si="4"/>
        <v>7.1735138061240606</v>
      </c>
      <c r="BF44" s="1437">
        <f t="shared" si="4"/>
        <v>7.1735138061240606</v>
      </c>
      <c r="BG44" s="1437">
        <f t="shared" si="4"/>
        <v>7.1735138061240606</v>
      </c>
      <c r="BH44" s="1437">
        <f t="shared" si="4"/>
        <v>7.1735138061240606</v>
      </c>
      <c r="BI44" s="1437">
        <f t="shared" si="4"/>
        <v>7.1735138061240606</v>
      </c>
      <c r="BJ44" s="1437">
        <f t="shared" si="4"/>
        <v>7.1735138061240606</v>
      </c>
      <c r="BK44" s="1437">
        <f t="shared" si="4"/>
        <v>7.1735138061240606</v>
      </c>
      <c r="BL44" s="1437">
        <f t="shared" si="5"/>
        <v>7.1735138061240606</v>
      </c>
      <c r="BM44" s="1437">
        <f t="shared" si="5"/>
        <v>7.1735138061240606</v>
      </c>
      <c r="BN44" s="1438">
        <f t="shared" si="5"/>
        <v>7.1735138061240606</v>
      </c>
    </row>
    <row r="45" spans="1:66" s="91" customFormat="1" ht="15">
      <c r="A45" s="1439">
        <v>180</v>
      </c>
      <c r="B45" s="1440">
        <v>0</v>
      </c>
      <c r="C45" s="1441" t="s">
        <v>54</v>
      </c>
      <c r="D45" s="1440" t="s">
        <v>58</v>
      </c>
      <c r="E45" s="1444">
        <v>2.664417930628431</v>
      </c>
      <c r="F45" s="1444">
        <v>3.1336306934426621</v>
      </c>
      <c r="G45" s="1444">
        <v>3.2986049541409281</v>
      </c>
      <c r="H45" s="1444">
        <v>3.3106119913243246</v>
      </c>
      <c r="I45" s="1444">
        <v>3.3667745710682668</v>
      </c>
      <c r="J45" s="1444">
        <v>3.4232284825751949</v>
      </c>
      <c r="K45" s="1444">
        <v>3.499747933115791</v>
      </c>
      <c r="L45" s="1444">
        <v>3.5817753234661618</v>
      </c>
      <c r="M45" s="1444">
        <v>3.6667332542573576</v>
      </c>
      <c r="N45" s="1444">
        <v>3.7534920077602485</v>
      </c>
      <c r="O45" s="1444">
        <v>3.8406559170612509</v>
      </c>
      <c r="P45" s="1444">
        <v>3.9335154626134567</v>
      </c>
      <c r="Q45" s="1444">
        <v>4.0286458013107493</v>
      </c>
      <c r="R45" s="1444">
        <v>4.1261034936947922</v>
      </c>
      <c r="S45" s="1444">
        <v>4.2259461967973415</v>
      </c>
      <c r="T45" s="1444">
        <v>4.3282328100853329</v>
      </c>
      <c r="U45" s="1444">
        <v>4.4330243443244299</v>
      </c>
      <c r="V45" s="1444">
        <v>4.5403827160392431</v>
      </c>
      <c r="W45" s="1444">
        <v>4.6502218117090042</v>
      </c>
      <c r="X45" s="1444">
        <v>4.7581758488842292</v>
      </c>
      <c r="Y45" s="1444">
        <v>4.8717548261662165</v>
      </c>
      <c r="Z45" s="1444">
        <v>4.9884669412368225</v>
      </c>
      <c r="AA45" s="1444">
        <v>5.1029253775480594</v>
      </c>
      <c r="AB45" s="1444">
        <v>5.2259912653673002</v>
      </c>
      <c r="AC45" s="1444">
        <v>5.3587685577391539</v>
      </c>
      <c r="AD45" s="1444">
        <v>5.4825222200760342</v>
      </c>
      <c r="AE45" s="1442">
        <f t="shared" si="6"/>
        <v>5.4825222200760342</v>
      </c>
      <c r="AF45" s="1442">
        <f t="shared" si="6"/>
        <v>5.4825222200760342</v>
      </c>
      <c r="AG45" s="1442">
        <f t="shared" si="6"/>
        <v>5.4825222200760342</v>
      </c>
      <c r="AH45" s="1442">
        <f t="shared" si="6"/>
        <v>5.4825222200760342</v>
      </c>
      <c r="AI45" s="1442">
        <f t="shared" si="6"/>
        <v>5.4825222200760342</v>
      </c>
      <c r="AJ45" s="1442">
        <f t="shared" si="6"/>
        <v>5.4825222200760342</v>
      </c>
      <c r="AK45" s="1442">
        <f t="shared" si="6"/>
        <v>5.4825222200760342</v>
      </c>
      <c r="AL45" s="1442">
        <f t="shared" si="6"/>
        <v>5.4825222200760342</v>
      </c>
      <c r="AM45" s="1442">
        <f t="shared" si="6"/>
        <v>5.4825222200760342</v>
      </c>
      <c r="AN45" s="1442">
        <f t="shared" si="6"/>
        <v>5.4825222200760342</v>
      </c>
      <c r="AO45" s="1442">
        <f t="shared" si="6"/>
        <v>5.4825222200760342</v>
      </c>
      <c r="AP45" s="1442">
        <f t="shared" si="6"/>
        <v>5.4825222200760342</v>
      </c>
      <c r="AQ45" s="1442">
        <f t="shared" si="6"/>
        <v>5.4825222200760342</v>
      </c>
      <c r="AR45" s="1442">
        <f t="shared" si="6"/>
        <v>5.4825222200760342</v>
      </c>
      <c r="AS45" s="1442">
        <f t="shared" si="6"/>
        <v>5.4825222200760342</v>
      </c>
      <c r="AT45" s="1442">
        <f t="shared" si="6"/>
        <v>5.4825222200760342</v>
      </c>
      <c r="AU45" s="1442">
        <f t="shared" si="7"/>
        <v>5.4825222200760342</v>
      </c>
      <c r="AV45" s="1442">
        <f t="shared" si="4"/>
        <v>5.4825222200760342</v>
      </c>
      <c r="AW45" s="1442">
        <f t="shared" si="4"/>
        <v>5.4825222200760342</v>
      </c>
      <c r="AX45" s="1442">
        <f t="shared" si="4"/>
        <v>5.4825222200760342</v>
      </c>
      <c r="AY45" s="1442">
        <f t="shared" si="4"/>
        <v>5.4825222200760342</v>
      </c>
      <c r="AZ45" s="1442">
        <f t="shared" si="4"/>
        <v>5.4825222200760342</v>
      </c>
      <c r="BA45" s="1442">
        <f t="shared" si="4"/>
        <v>5.4825222200760342</v>
      </c>
      <c r="BB45" s="1442">
        <f t="shared" si="4"/>
        <v>5.4825222200760342</v>
      </c>
      <c r="BC45" s="1442">
        <f t="shared" si="4"/>
        <v>5.4825222200760342</v>
      </c>
      <c r="BD45" s="1442">
        <f t="shared" si="4"/>
        <v>5.4825222200760342</v>
      </c>
      <c r="BE45" s="1442">
        <f t="shared" si="4"/>
        <v>5.4825222200760342</v>
      </c>
      <c r="BF45" s="1442">
        <f t="shared" si="4"/>
        <v>5.4825222200760342</v>
      </c>
      <c r="BG45" s="1442">
        <f t="shared" si="4"/>
        <v>5.4825222200760342</v>
      </c>
      <c r="BH45" s="1442">
        <f t="shared" si="4"/>
        <v>5.4825222200760342</v>
      </c>
      <c r="BI45" s="1442">
        <f t="shared" si="4"/>
        <v>5.4825222200760342</v>
      </c>
      <c r="BJ45" s="1442">
        <f t="shared" si="4"/>
        <v>5.4825222200760342</v>
      </c>
      <c r="BK45" s="1442">
        <f t="shared" si="4"/>
        <v>5.4825222200760342</v>
      </c>
      <c r="BL45" s="1442">
        <f t="shared" si="5"/>
        <v>5.4825222200760342</v>
      </c>
      <c r="BM45" s="1442">
        <f t="shared" si="5"/>
        <v>5.4825222200760342</v>
      </c>
      <c r="BN45" s="1443">
        <f t="shared" si="5"/>
        <v>5.4825222200760342</v>
      </c>
    </row>
    <row r="46" spans="1:66" s="91" customFormat="1">
      <c r="A46" s="1434">
        <v>105</v>
      </c>
      <c r="B46" s="1435">
        <v>0</v>
      </c>
      <c r="C46" s="1436" t="s">
        <v>54</v>
      </c>
      <c r="D46" s="1435" t="s">
        <v>59</v>
      </c>
      <c r="E46" s="1437">
        <v>2.7158396168359253</v>
      </c>
      <c r="F46" s="1437">
        <v>3.1957302560093166</v>
      </c>
      <c r="G46" s="1437">
        <v>3.364232844797761</v>
      </c>
      <c r="H46" s="1437">
        <v>3.3761682399315309</v>
      </c>
      <c r="I46" s="1437">
        <v>3.4332847719150572</v>
      </c>
      <c r="J46" s="1437">
        <v>3.4906885519409578</v>
      </c>
      <c r="K46" s="1437">
        <v>3.5686175003163374</v>
      </c>
      <c r="L46" s="1437">
        <v>3.6521720576922161</v>
      </c>
      <c r="M46" s="1437">
        <v>3.738713993393123</v>
      </c>
      <c r="N46" s="1437">
        <v>3.8270867206522206</v>
      </c>
      <c r="O46" s="1437">
        <v>3.9158614517580599</v>
      </c>
      <c r="P46" s="1437">
        <v>4.010452438896392</v>
      </c>
      <c r="Q46" s="1437">
        <v>4.107354077099016</v>
      </c>
      <c r="R46" s="1437">
        <v>4.2066238512907121</v>
      </c>
      <c r="S46" s="1437">
        <v>4.3083203565300172</v>
      </c>
      <c r="T46" s="1437">
        <v>4.4125034470165652</v>
      </c>
      <c r="U46" s="1437">
        <v>4.5192351249707219</v>
      </c>
      <c r="V46" s="1437">
        <v>4.6285783064187278</v>
      </c>
      <c r="W46" s="1437">
        <v>4.7404443899206736</v>
      </c>
      <c r="X46" s="1437">
        <v>4.8503646602501309</v>
      </c>
      <c r="Y46" s="1437">
        <v>4.9660248573474366</v>
      </c>
      <c r="Z46" s="1437">
        <v>5.0848741934458559</v>
      </c>
      <c r="AA46" s="1437">
        <v>5.2013989140362646</v>
      </c>
      <c r="AB46" s="1437">
        <v>5.3267144856675497</v>
      </c>
      <c r="AC46" s="1437">
        <v>5.4619502100756518</v>
      </c>
      <c r="AD46" s="1437">
        <v>5.5879308237854444</v>
      </c>
      <c r="AE46" s="1437">
        <f t="shared" si="6"/>
        <v>5.5879308237854444</v>
      </c>
      <c r="AF46" s="1437">
        <f t="shared" si="6"/>
        <v>5.5879308237854444</v>
      </c>
      <c r="AG46" s="1437">
        <f t="shared" si="6"/>
        <v>5.5879308237854444</v>
      </c>
      <c r="AH46" s="1437">
        <f t="shared" si="6"/>
        <v>5.5879308237854444</v>
      </c>
      <c r="AI46" s="1437">
        <f t="shared" si="6"/>
        <v>5.5879308237854444</v>
      </c>
      <c r="AJ46" s="1437">
        <f t="shared" si="6"/>
        <v>5.5879308237854444</v>
      </c>
      <c r="AK46" s="1437">
        <f t="shared" si="6"/>
        <v>5.5879308237854444</v>
      </c>
      <c r="AL46" s="1437">
        <f t="shared" si="6"/>
        <v>5.5879308237854444</v>
      </c>
      <c r="AM46" s="1437">
        <f t="shared" si="6"/>
        <v>5.5879308237854444</v>
      </c>
      <c r="AN46" s="1437">
        <f t="shared" si="6"/>
        <v>5.5879308237854444</v>
      </c>
      <c r="AO46" s="1437">
        <f t="shared" si="6"/>
        <v>5.5879308237854444</v>
      </c>
      <c r="AP46" s="1437">
        <f t="shared" si="6"/>
        <v>5.5879308237854444</v>
      </c>
      <c r="AQ46" s="1437">
        <f t="shared" si="6"/>
        <v>5.5879308237854444</v>
      </c>
      <c r="AR46" s="1437">
        <f t="shared" si="6"/>
        <v>5.5879308237854444</v>
      </c>
      <c r="AS46" s="1437">
        <f t="shared" si="6"/>
        <v>5.5879308237854444</v>
      </c>
      <c r="AT46" s="1437">
        <f t="shared" si="6"/>
        <v>5.5879308237854444</v>
      </c>
      <c r="AU46" s="1437">
        <f t="shared" si="7"/>
        <v>5.5879308237854444</v>
      </c>
      <c r="AV46" s="1437">
        <f t="shared" si="4"/>
        <v>5.5879308237854444</v>
      </c>
      <c r="AW46" s="1437">
        <f t="shared" si="4"/>
        <v>5.5879308237854444</v>
      </c>
      <c r="AX46" s="1437">
        <f t="shared" si="4"/>
        <v>5.5879308237854444</v>
      </c>
      <c r="AY46" s="1437">
        <f t="shared" si="4"/>
        <v>5.5879308237854444</v>
      </c>
      <c r="AZ46" s="1437">
        <f t="shared" si="4"/>
        <v>5.5879308237854444</v>
      </c>
      <c r="BA46" s="1437">
        <f t="shared" si="4"/>
        <v>5.5879308237854444</v>
      </c>
      <c r="BB46" s="1437">
        <f t="shared" si="4"/>
        <v>5.5879308237854444</v>
      </c>
      <c r="BC46" s="1437">
        <f t="shared" si="4"/>
        <v>5.5879308237854444</v>
      </c>
      <c r="BD46" s="1437">
        <f t="shared" si="4"/>
        <v>5.5879308237854444</v>
      </c>
      <c r="BE46" s="1437">
        <f t="shared" si="4"/>
        <v>5.5879308237854444</v>
      </c>
      <c r="BF46" s="1437">
        <f t="shared" si="4"/>
        <v>5.5879308237854444</v>
      </c>
      <c r="BG46" s="1437">
        <f t="shared" si="4"/>
        <v>5.5879308237854444</v>
      </c>
      <c r="BH46" s="1437">
        <f t="shared" si="4"/>
        <v>5.5879308237854444</v>
      </c>
      <c r="BI46" s="1437">
        <f t="shared" si="4"/>
        <v>5.5879308237854444</v>
      </c>
      <c r="BJ46" s="1437">
        <f t="shared" si="4"/>
        <v>5.5879308237854444</v>
      </c>
      <c r="BK46" s="1437">
        <f t="shared" si="4"/>
        <v>5.5879308237854444</v>
      </c>
      <c r="BL46" s="1437">
        <f t="shared" si="5"/>
        <v>5.5879308237854444</v>
      </c>
      <c r="BM46" s="1437">
        <f t="shared" si="5"/>
        <v>5.5879308237854444</v>
      </c>
      <c r="BN46" s="1438">
        <f t="shared" si="5"/>
        <v>5.5879308237854444</v>
      </c>
    </row>
    <row r="47" spans="1:66" s="91" customFormat="1">
      <c r="A47" s="1439">
        <v>16</v>
      </c>
      <c r="B47" s="1440">
        <v>0</v>
      </c>
      <c r="C47" s="1441" t="s">
        <v>69</v>
      </c>
      <c r="D47" s="1440" t="s">
        <v>74</v>
      </c>
      <c r="E47" s="1442">
        <v>2.8747486429371869</v>
      </c>
      <c r="F47" s="1442">
        <v>3.2982444285189492</v>
      </c>
      <c r="G47" s="1442">
        <v>3.445457279120598</v>
      </c>
      <c r="H47" s="1442">
        <v>3.4578369269414013</v>
      </c>
      <c r="I47" s="1442">
        <v>3.5089983824741804</v>
      </c>
      <c r="J47" s="1442">
        <v>3.5603883746928067</v>
      </c>
      <c r="K47" s="1442">
        <v>3.629241634203491</v>
      </c>
      <c r="L47" s="1442">
        <v>3.7027624549258471</v>
      </c>
      <c r="M47" s="1442">
        <v>3.7786825125202941</v>
      </c>
      <c r="N47" s="1442">
        <v>3.8560132513070635</v>
      </c>
      <c r="O47" s="1442">
        <v>3.9335525952882211</v>
      </c>
      <c r="P47" s="1442">
        <v>4.0158335218988723</v>
      </c>
      <c r="Q47" s="1442">
        <v>4.099897977413181</v>
      </c>
      <c r="R47" s="1442">
        <v>4.1857865909498235</v>
      </c>
      <c r="S47" s="1442">
        <v>4.2735406784228296</v>
      </c>
      <c r="T47" s="1442">
        <v>4.3632023640818138</v>
      </c>
      <c r="U47" s="1442">
        <v>4.45481530628307</v>
      </c>
      <c r="V47" s="1442">
        <v>4.5484236733747689</v>
      </c>
      <c r="W47" s="1442">
        <v>4.6439481269895637</v>
      </c>
      <c r="X47" s="1442">
        <v>4.7377602836510082</v>
      </c>
      <c r="Y47" s="1442">
        <v>4.836102417669335</v>
      </c>
      <c r="Z47" s="1442">
        <v>4.9368882250464416</v>
      </c>
      <c r="AA47" s="1442">
        <v>5.035686536937436</v>
      </c>
      <c r="AB47" s="1442">
        <v>5.141416424431398</v>
      </c>
      <c r="AC47" s="1442">
        <v>5.2549171593809776</v>
      </c>
      <c r="AD47" s="1442">
        <v>5.3609178713624308</v>
      </c>
      <c r="AE47" s="1442">
        <f t="shared" si="6"/>
        <v>5.3609178713624308</v>
      </c>
      <c r="AF47" s="1442">
        <f t="shared" si="6"/>
        <v>5.3609178713624308</v>
      </c>
      <c r="AG47" s="1442">
        <f t="shared" si="6"/>
        <v>5.3609178713624308</v>
      </c>
      <c r="AH47" s="1442">
        <f t="shared" si="6"/>
        <v>5.3609178713624308</v>
      </c>
      <c r="AI47" s="1442">
        <f t="shared" si="6"/>
        <v>5.3609178713624308</v>
      </c>
      <c r="AJ47" s="1442">
        <f t="shared" si="6"/>
        <v>5.3609178713624308</v>
      </c>
      <c r="AK47" s="1442">
        <f t="shared" si="6"/>
        <v>5.3609178713624308</v>
      </c>
      <c r="AL47" s="1442">
        <f t="shared" si="6"/>
        <v>5.3609178713624308</v>
      </c>
      <c r="AM47" s="1442">
        <f t="shared" si="6"/>
        <v>5.3609178713624308</v>
      </c>
      <c r="AN47" s="1442">
        <f t="shared" si="6"/>
        <v>5.3609178713624308</v>
      </c>
      <c r="AO47" s="1442">
        <f t="shared" si="6"/>
        <v>5.3609178713624308</v>
      </c>
      <c r="AP47" s="1442">
        <f t="shared" si="6"/>
        <v>5.3609178713624308</v>
      </c>
      <c r="AQ47" s="1442">
        <f t="shared" si="6"/>
        <v>5.3609178713624308</v>
      </c>
      <c r="AR47" s="1442">
        <f t="shared" si="6"/>
        <v>5.3609178713624308</v>
      </c>
      <c r="AS47" s="1442">
        <f t="shared" si="6"/>
        <v>5.3609178713624308</v>
      </c>
      <c r="AT47" s="1442">
        <f t="shared" si="6"/>
        <v>5.3609178713624308</v>
      </c>
      <c r="AU47" s="1442">
        <f t="shared" si="7"/>
        <v>5.3609178713624308</v>
      </c>
      <c r="AV47" s="1442">
        <f t="shared" si="4"/>
        <v>5.3609178713624308</v>
      </c>
      <c r="AW47" s="1442">
        <f t="shared" si="4"/>
        <v>5.3609178713624308</v>
      </c>
      <c r="AX47" s="1442">
        <f t="shared" si="4"/>
        <v>5.3609178713624308</v>
      </c>
      <c r="AY47" s="1442">
        <f t="shared" si="4"/>
        <v>5.3609178713624308</v>
      </c>
      <c r="AZ47" s="1442">
        <f t="shared" si="4"/>
        <v>5.3609178713624308</v>
      </c>
      <c r="BA47" s="1442">
        <f t="shared" si="4"/>
        <v>5.3609178713624308</v>
      </c>
      <c r="BB47" s="1442">
        <f t="shared" si="4"/>
        <v>5.3609178713624308</v>
      </c>
      <c r="BC47" s="1442">
        <f t="shared" si="4"/>
        <v>5.3609178713624308</v>
      </c>
      <c r="BD47" s="1442">
        <f t="shared" si="4"/>
        <v>5.3609178713624308</v>
      </c>
      <c r="BE47" s="1442">
        <f t="shared" si="4"/>
        <v>5.3609178713624308</v>
      </c>
      <c r="BF47" s="1442">
        <f t="shared" si="4"/>
        <v>5.3609178713624308</v>
      </c>
      <c r="BG47" s="1442">
        <f t="shared" si="4"/>
        <v>5.3609178713624308</v>
      </c>
      <c r="BH47" s="1442">
        <f t="shared" si="4"/>
        <v>5.3609178713624308</v>
      </c>
      <c r="BI47" s="1442">
        <f t="shared" si="4"/>
        <v>5.3609178713624308</v>
      </c>
      <c r="BJ47" s="1442">
        <f t="shared" si="4"/>
        <v>5.3609178713624308</v>
      </c>
      <c r="BK47" s="1442">
        <f t="shared" si="4"/>
        <v>5.3609178713624308</v>
      </c>
      <c r="BL47" s="1442">
        <f t="shared" si="5"/>
        <v>5.3609178713624308</v>
      </c>
      <c r="BM47" s="1442">
        <f t="shared" si="5"/>
        <v>5.3609178713624308</v>
      </c>
      <c r="BN47" s="1443">
        <f t="shared" si="5"/>
        <v>5.3609178713624308</v>
      </c>
    </row>
    <row r="48" spans="1:66" s="91" customFormat="1">
      <c r="A48" s="1434">
        <v>106</v>
      </c>
      <c r="B48" s="1435">
        <v>0</v>
      </c>
      <c r="C48" s="1436" t="s">
        <v>136</v>
      </c>
      <c r="D48" s="1435" t="s">
        <v>137</v>
      </c>
      <c r="E48" s="1437">
        <v>4.3179487439798674</v>
      </c>
      <c r="F48" s="1437">
        <v>4.8058111368177254</v>
      </c>
      <c r="G48" s="1437">
        <v>4.9699074811055777</v>
      </c>
      <c r="H48" s="1437">
        <v>4.9819635298205203</v>
      </c>
      <c r="I48" s="1437">
        <v>5.037370787891934</v>
      </c>
      <c r="J48" s="1437">
        <v>5.0928547337736481</v>
      </c>
      <c r="K48" s="1437">
        <v>5.1675432186689525</v>
      </c>
      <c r="L48" s="1437">
        <v>5.2470722922325441</v>
      </c>
      <c r="M48" s="1437">
        <v>5.3288902412978016</v>
      </c>
      <c r="N48" s="1437">
        <v>5.411892272521162</v>
      </c>
      <c r="O48" s="1437">
        <v>5.4947627292970349</v>
      </c>
      <c r="P48" s="1437">
        <v>5.5824195561037593</v>
      </c>
      <c r="Q48" s="1437">
        <v>5.6716164745078927</v>
      </c>
      <c r="R48" s="1437">
        <v>5.7623845781040277</v>
      </c>
      <c r="S48" s="1437">
        <v>5.8547553718170953</v>
      </c>
      <c r="T48" s="1437">
        <v>5.948760900880055</v>
      </c>
      <c r="U48" s="1437">
        <v>6.0444345144178158</v>
      </c>
      <c r="V48" s="1437">
        <v>6.1418097683955812</v>
      </c>
      <c r="W48" s="1437">
        <v>6.2407907882106732</v>
      </c>
      <c r="X48" s="1437">
        <v>6.3375917197838394</v>
      </c>
      <c r="Y48" s="1437">
        <v>6.4387198134372632</v>
      </c>
      <c r="Z48" s="1437">
        <v>6.5419759253129</v>
      </c>
      <c r="AA48" s="1437">
        <v>6.6427987658775791</v>
      </c>
      <c r="AB48" s="1437">
        <v>6.7503398174713869</v>
      </c>
      <c r="AC48" s="1437">
        <v>6.8653673142482656</v>
      </c>
      <c r="AD48" s="1437">
        <v>6.9723571997851073</v>
      </c>
      <c r="AE48" s="1437">
        <f t="shared" si="6"/>
        <v>6.9723571997851073</v>
      </c>
      <c r="AF48" s="1437">
        <f t="shared" si="6"/>
        <v>6.9723571997851073</v>
      </c>
      <c r="AG48" s="1437">
        <f t="shared" si="6"/>
        <v>6.9723571997851073</v>
      </c>
      <c r="AH48" s="1437">
        <f t="shared" si="6"/>
        <v>6.9723571997851073</v>
      </c>
      <c r="AI48" s="1437">
        <f t="shared" si="6"/>
        <v>6.9723571997851073</v>
      </c>
      <c r="AJ48" s="1437">
        <f t="shared" si="6"/>
        <v>6.9723571997851073</v>
      </c>
      <c r="AK48" s="1437">
        <f t="shared" si="6"/>
        <v>6.9723571997851073</v>
      </c>
      <c r="AL48" s="1437">
        <f t="shared" si="6"/>
        <v>6.9723571997851073</v>
      </c>
      <c r="AM48" s="1437">
        <f t="shared" si="6"/>
        <v>6.9723571997851073</v>
      </c>
      <c r="AN48" s="1437">
        <f t="shared" si="6"/>
        <v>6.9723571997851073</v>
      </c>
      <c r="AO48" s="1437">
        <f t="shared" si="6"/>
        <v>6.9723571997851073</v>
      </c>
      <c r="AP48" s="1437">
        <f t="shared" si="6"/>
        <v>6.9723571997851073</v>
      </c>
      <c r="AQ48" s="1437">
        <f t="shared" si="6"/>
        <v>6.9723571997851073</v>
      </c>
      <c r="AR48" s="1437">
        <f t="shared" si="6"/>
        <v>6.9723571997851073</v>
      </c>
      <c r="AS48" s="1437">
        <f t="shared" si="6"/>
        <v>6.9723571997851073</v>
      </c>
      <c r="AT48" s="1437">
        <f t="shared" si="6"/>
        <v>6.9723571997851073</v>
      </c>
      <c r="AU48" s="1437">
        <f t="shared" si="7"/>
        <v>6.9723571997851073</v>
      </c>
      <c r="AV48" s="1437">
        <f t="shared" si="4"/>
        <v>6.9723571997851073</v>
      </c>
      <c r="AW48" s="1437">
        <f t="shared" si="4"/>
        <v>6.9723571997851073</v>
      </c>
      <c r="AX48" s="1437">
        <f t="shared" si="4"/>
        <v>6.9723571997851073</v>
      </c>
      <c r="AY48" s="1437">
        <f t="shared" si="4"/>
        <v>6.9723571997851073</v>
      </c>
      <c r="AZ48" s="1437">
        <f t="shared" si="4"/>
        <v>6.9723571997851073</v>
      </c>
      <c r="BA48" s="1437">
        <f t="shared" si="4"/>
        <v>6.9723571997851073</v>
      </c>
      <c r="BB48" s="1437">
        <f t="shared" si="4"/>
        <v>6.9723571997851073</v>
      </c>
      <c r="BC48" s="1437">
        <f t="shared" si="4"/>
        <v>6.9723571997851073</v>
      </c>
      <c r="BD48" s="1437">
        <f t="shared" si="4"/>
        <v>6.9723571997851073</v>
      </c>
      <c r="BE48" s="1437">
        <f t="shared" si="4"/>
        <v>6.9723571997851073</v>
      </c>
      <c r="BF48" s="1437">
        <f t="shared" si="4"/>
        <v>6.9723571997851073</v>
      </c>
      <c r="BG48" s="1437">
        <f t="shared" si="4"/>
        <v>6.9723571997851073</v>
      </c>
      <c r="BH48" s="1437">
        <f t="shared" si="4"/>
        <v>6.9723571997851073</v>
      </c>
      <c r="BI48" s="1437">
        <f t="shared" si="4"/>
        <v>6.9723571997851073</v>
      </c>
      <c r="BJ48" s="1437">
        <f t="shared" si="4"/>
        <v>6.9723571997851073</v>
      </c>
      <c r="BK48" s="1437">
        <f t="shared" si="4"/>
        <v>6.9723571997851073</v>
      </c>
      <c r="BL48" s="1437">
        <f t="shared" si="5"/>
        <v>6.9723571997851073</v>
      </c>
      <c r="BM48" s="1437">
        <f t="shared" si="5"/>
        <v>6.9723571997851073</v>
      </c>
      <c r="BN48" s="1438">
        <f t="shared" si="5"/>
        <v>6.9723571997851073</v>
      </c>
    </row>
    <row r="49" spans="1:66" s="91" customFormat="1">
      <c r="A49" s="1439">
        <v>107</v>
      </c>
      <c r="B49" s="1440">
        <v>0</v>
      </c>
      <c r="C49" s="1441" t="s">
        <v>138</v>
      </c>
      <c r="D49" s="1440" t="s">
        <v>139</v>
      </c>
      <c r="E49" s="1442">
        <v>5.9961777878317362</v>
      </c>
      <c r="F49" s="1442">
        <v>6.6907943155362739</v>
      </c>
      <c r="G49" s="1442">
        <v>6.920136049687347</v>
      </c>
      <c r="H49" s="1442">
        <v>6.9308809152386983</v>
      </c>
      <c r="I49" s="1442">
        <v>7.0037024477528895</v>
      </c>
      <c r="J49" s="1442">
        <v>7.0764310175048788</v>
      </c>
      <c r="K49" s="1442">
        <v>7.17653762857719</v>
      </c>
      <c r="L49" s="1442">
        <v>7.2833822351326427</v>
      </c>
      <c r="M49" s="1442">
        <v>7.3932928444241375</v>
      </c>
      <c r="N49" s="1442">
        <v>7.504675765513519</v>
      </c>
      <c r="O49" s="1442">
        <v>7.6156342032892201</v>
      </c>
      <c r="P49" s="1442">
        <v>7.7332257051451192</v>
      </c>
      <c r="Q49" s="1442">
        <v>7.8527797261277597</v>
      </c>
      <c r="R49" s="1442">
        <v>7.9743334375599204</v>
      </c>
      <c r="S49" s="1442">
        <v>8.0979243768032863</v>
      </c>
      <c r="T49" s="1442">
        <v>8.2235906257894165</v>
      </c>
      <c r="U49" s="1442">
        <v>8.3513719009581973</v>
      </c>
      <c r="V49" s="1442">
        <v>8.4813079701907768</v>
      </c>
      <c r="W49" s="1442">
        <v>8.6132524217117616</v>
      </c>
      <c r="X49" s="1442">
        <v>8.7417579392397613</v>
      </c>
      <c r="Y49" s="1442">
        <v>8.8761629499793724</v>
      </c>
      <c r="Z49" s="1442">
        <v>9.0132988968833239</v>
      </c>
      <c r="AA49" s="1442">
        <v>9.1466037232899122</v>
      </c>
      <c r="AB49" s="1442">
        <v>9.2892134326482552</v>
      </c>
      <c r="AC49" s="1442">
        <v>9.4422212167143016</v>
      </c>
      <c r="AD49" s="1442">
        <v>9.5833161320799913</v>
      </c>
      <c r="AE49" s="1442">
        <f t="shared" si="6"/>
        <v>9.5833161320799913</v>
      </c>
      <c r="AF49" s="1442">
        <f t="shared" si="6"/>
        <v>9.5833161320799913</v>
      </c>
      <c r="AG49" s="1442">
        <f t="shared" si="6"/>
        <v>9.5833161320799913</v>
      </c>
      <c r="AH49" s="1442">
        <f t="shared" si="6"/>
        <v>9.5833161320799913</v>
      </c>
      <c r="AI49" s="1442">
        <f t="shared" si="6"/>
        <v>9.5833161320799913</v>
      </c>
      <c r="AJ49" s="1442">
        <f t="shared" si="6"/>
        <v>9.5833161320799913</v>
      </c>
      <c r="AK49" s="1442">
        <f t="shared" si="6"/>
        <v>9.5833161320799913</v>
      </c>
      <c r="AL49" s="1442">
        <f t="shared" si="6"/>
        <v>9.5833161320799913</v>
      </c>
      <c r="AM49" s="1442">
        <f t="shared" si="6"/>
        <v>9.5833161320799913</v>
      </c>
      <c r="AN49" s="1442">
        <f t="shared" si="6"/>
        <v>9.5833161320799913</v>
      </c>
      <c r="AO49" s="1442">
        <f t="shared" si="6"/>
        <v>9.5833161320799913</v>
      </c>
      <c r="AP49" s="1442">
        <f t="shared" si="6"/>
        <v>9.5833161320799913</v>
      </c>
      <c r="AQ49" s="1442">
        <f t="shared" si="6"/>
        <v>9.5833161320799913</v>
      </c>
      <c r="AR49" s="1442">
        <f t="shared" si="6"/>
        <v>9.5833161320799913</v>
      </c>
      <c r="AS49" s="1442">
        <f t="shared" si="6"/>
        <v>9.5833161320799913</v>
      </c>
      <c r="AT49" s="1442">
        <f t="shared" si="6"/>
        <v>9.5833161320799913</v>
      </c>
      <c r="AU49" s="1442">
        <f t="shared" si="7"/>
        <v>9.5833161320799913</v>
      </c>
      <c r="AV49" s="1442">
        <f t="shared" si="4"/>
        <v>9.5833161320799913</v>
      </c>
      <c r="AW49" s="1442">
        <f t="shared" si="4"/>
        <v>9.5833161320799913</v>
      </c>
      <c r="AX49" s="1442">
        <f t="shared" si="4"/>
        <v>9.5833161320799913</v>
      </c>
      <c r="AY49" s="1442">
        <f t="shared" si="4"/>
        <v>9.5833161320799913</v>
      </c>
      <c r="AZ49" s="1442">
        <f t="shared" si="4"/>
        <v>9.5833161320799913</v>
      </c>
      <c r="BA49" s="1442">
        <f t="shared" si="4"/>
        <v>9.5833161320799913</v>
      </c>
      <c r="BB49" s="1442">
        <f t="shared" si="4"/>
        <v>9.5833161320799913</v>
      </c>
      <c r="BC49" s="1442">
        <f t="shared" si="4"/>
        <v>9.5833161320799913</v>
      </c>
      <c r="BD49" s="1442">
        <f t="shared" si="4"/>
        <v>9.5833161320799913</v>
      </c>
      <c r="BE49" s="1442">
        <f t="shared" si="4"/>
        <v>9.5833161320799913</v>
      </c>
      <c r="BF49" s="1442">
        <f t="shared" si="4"/>
        <v>9.5833161320799913</v>
      </c>
      <c r="BG49" s="1442">
        <f t="shared" si="4"/>
        <v>9.5833161320799913</v>
      </c>
      <c r="BH49" s="1442">
        <f t="shared" si="4"/>
        <v>9.5833161320799913</v>
      </c>
      <c r="BI49" s="1442">
        <f t="shared" si="4"/>
        <v>9.5833161320799913</v>
      </c>
      <c r="BJ49" s="1442">
        <f t="shared" si="4"/>
        <v>9.5833161320799913</v>
      </c>
      <c r="BK49" s="1442">
        <f t="shared" si="4"/>
        <v>9.5833161320799913</v>
      </c>
      <c r="BL49" s="1442">
        <f t="shared" si="5"/>
        <v>9.5833161320799913</v>
      </c>
      <c r="BM49" s="1442">
        <f t="shared" si="5"/>
        <v>9.5833161320799913</v>
      </c>
      <c r="BN49" s="1443">
        <f t="shared" si="5"/>
        <v>9.5833161320799913</v>
      </c>
    </row>
    <row r="50" spans="1:66" s="91" customFormat="1">
      <c r="A50" s="1434">
        <v>108</v>
      </c>
      <c r="B50" s="1435">
        <v>0</v>
      </c>
      <c r="C50" s="1436" t="s">
        <v>140</v>
      </c>
      <c r="D50" s="1435" t="s">
        <v>141</v>
      </c>
      <c r="E50" s="1437">
        <v>3.0758136067714648</v>
      </c>
      <c r="F50" s="1437">
        <v>3.630761127614623</v>
      </c>
      <c r="G50" s="1437">
        <v>3.8240760610654885</v>
      </c>
      <c r="H50" s="1437">
        <v>3.8355075957110092</v>
      </c>
      <c r="I50" s="1437">
        <v>3.8993334673110089</v>
      </c>
      <c r="J50" s="1437">
        <v>3.9634182219176233</v>
      </c>
      <c r="K50" s="1437">
        <v>4.0512616287190291</v>
      </c>
      <c r="L50" s="1437">
        <v>4.1455591874545146</v>
      </c>
      <c r="M50" s="1437">
        <v>4.2432448739471038</v>
      </c>
      <c r="N50" s="1437">
        <v>4.3429731284429502</v>
      </c>
      <c r="O50" s="1437">
        <v>4.4430821362333326</v>
      </c>
      <c r="P50" s="1437">
        <v>4.5498571296143746</v>
      </c>
      <c r="Q50" s="1437">
        <v>4.6592243084127922</v>
      </c>
      <c r="R50" s="1437">
        <v>4.7712477110698979</v>
      </c>
      <c r="S50" s="1437">
        <v>4.8859925838528451</v>
      </c>
      <c r="T50" s="1437">
        <v>5.003525551447062</v>
      </c>
      <c r="U50" s="1437">
        <v>5.1239156467899196</v>
      </c>
      <c r="V50" s="1437">
        <v>5.2472328750568966</v>
      </c>
      <c r="W50" s="1437">
        <v>5.373371169445349</v>
      </c>
      <c r="X50" s="1437">
        <v>5.4971370131199269</v>
      </c>
      <c r="Y50" s="1437">
        <v>5.6274536803051909</v>
      </c>
      <c r="Z50" s="1437">
        <v>5.761355115357869</v>
      </c>
      <c r="AA50" s="1437">
        <v>5.8924335211063914</v>
      </c>
      <c r="AB50" s="1437">
        <v>6.0335958284808111</v>
      </c>
      <c r="AC50" s="1437">
        <v>6.1861502141723061</v>
      </c>
      <c r="AD50" s="1437">
        <v>6.3278201289448965</v>
      </c>
      <c r="AE50" s="1437">
        <f t="shared" si="6"/>
        <v>6.3278201289448965</v>
      </c>
      <c r="AF50" s="1437">
        <f t="shared" si="6"/>
        <v>6.3278201289448965</v>
      </c>
      <c r="AG50" s="1437">
        <f t="shared" si="6"/>
        <v>6.3278201289448965</v>
      </c>
      <c r="AH50" s="1437">
        <f t="shared" si="6"/>
        <v>6.3278201289448965</v>
      </c>
      <c r="AI50" s="1437">
        <f t="shared" si="6"/>
        <v>6.3278201289448965</v>
      </c>
      <c r="AJ50" s="1437">
        <f t="shared" si="6"/>
        <v>6.3278201289448965</v>
      </c>
      <c r="AK50" s="1437">
        <f t="shared" si="6"/>
        <v>6.3278201289448965</v>
      </c>
      <c r="AL50" s="1437">
        <f t="shared" si="6"/>
        <v>6.3278201289448965</v>
      </c>
      <c r="AM50" s="1437">
        <f t="shared" si="6"/>
        <v>6.3278201289448965</v>
      </c>
      <c r="AN50" s="1437">
        <f t="shared" si="6"/>
        <v>6.3278201289448965</v>
      </c>
      <c r="AO50" s="1437">
        <f t="shared" si="6"/>
        <v>6.3278201289448965</v>
      </c>
      <c r="AP50" s="1437">
        <f t="shared" si="6"/>
        <v>6.3278201289448965</v>
      </c>
      <c r="AQ50" s="1437">
        <f t="shared" si="6"/>
        <v>6.3278201289448965</v>
      </c>
      <c r="AR50" s="1437">
        <f t="shared" si="6"/>
        <v>6.3278201289448965</v>
      </c>
      <c r="AS50" s="1437">
        <f t="shared" si="6"/>
        <v>6.3278201289448965</v>
      </c>
      <c r="AT50" s="1437">
        <f t="shared" si="6"/>
        <v>6.3278201289448965</v>
      </c>
      <c r="AU50" s="1437">
        <f t="shared" si="7"/>
        <v>6.3278201289448965</v>
      </c>
      <c r="AV50" s="1437">
        <f t="shared" si="4"/>
        <v>6.3278201289448965</v>
      </c>
      <c r="AW50" s="1437">
        <f t="shared" si="4"/>
        <v>6.3278201289448965</v>
      </c>
      <c r="AX50" s="1437">
        <f t="shared" si="4"/>
        <v>6.3278201289448965</v>
      </c>
      <c r="AY50" s="1437">
        <f t="shared" si="4"/>
        <v>6.3278201289448965</v>
      </c>
      <c r="AZ50" s="1437">
        <f t="shared" si="4"/>
        <v>6.3278201289448965</v>
      </c>
      <c r="BA50" s="1437">
        <f t="shared" si="4"/>
        <v>6.3278201289448965</v>
      </c>
      <c r="BB50" s="1437">
        <f t="shared" si="4"/>
        <v>6.3278201289448965</v>
      </c>
      <c r="BC50" s="1437">
        <f t="shared" si="4"/>
        <v>6.3278201289448965</v>
      </c>
      <c r="BD50" s="1437">
        <f t="shared" si="4"/>
        <v>6.3278201289448965</v>
      </c>
      <c r="BE50" s="1437">
        <f t="shared" si="4"/>
        <v>6.3278201289448965</v>
      </c>
      <c r="BF50" s="1437">
        <f t="shared" si="4"/>
        <v>6.3278201289448965</v>
      </c>
      <c r="BG50" s="1437">
        <f t="shared" si="4"/>
        <v>6.3278201289448965</v>
      </c>
      <c r="BH50" s="1437">
        <f t="shared" si="4"/>
        <v>6.3278201289448965</v>
      </c>
      <c r="BI50" s="1437">
        <f t="shared" si="4"/>
        <v>6.3278201289448965</v>
      </c>
      <c r="BJ50" s="1437">
        <f t="shared" si="4"/>
        <v>6.3278201289448965</v>
      </c>
      <c r="BK50" s="1437">
        <f t="shared" si="4"/>
        <v>6.3278201289448965</v>
      </c>
      <c r="BL50" s="1437">
        <f t="shared" si="5"/>
        <v>6.3278201289448965</v>
      </c>
      <c r="BM50" s="1437">
        <f t="shared" si="5"/>
        <v>6.3278201289448965</v>
      </c>
      <c r="BN50" s="1438">
        <f t="shared" si="5"/>
        <v>6.3278201289448965</v>
      </c>
    </row>
    <row r="51" spans="1:66" s="91" customFormat="1">
      <c r="A51" s="1439">
        <v>17</v>
      </c>
      <c r="B51" s="1440">
        <v>0</v>
      </c>
      <c r="C51" s="1441" t="s">
        <v>69</v>
      </c>
      <c r="D51" s="1440" t="s">
        <v>75</v>
      </c>
      <c r="E51" s="1442">
        <v>2.7866228780454128</v>
      </c>
      <c r="F51" s="1442">
        <v>3.1950993469752782</v>
      </c>
      <c r="G51" s="1442">
        <v>3.3374467372489471</v>
      </c>
      <c r="H51" s="1442">
        <v>3.349924738157422</v>
      </c>
      <c r="I51" s="1442">
        <v>3.3997780233251365</v>
      </c>
      <c r="J51" s="1442">
        <v>3.449868535129804</v>
      </c>
      <c r="K51" s="1442">
        <v>3.5167990863407201</v>
      </c>
      <c r="L51" s="1442">
        <v>3.5882440382125815</v>
      </c>
      <c r="M51" s="1442">
        <v>3.6620188462706045</v>
      </c>
      <c r="N51" s="1442">
        <v>3.7371717897684693</v>
      </c>
      <c r="O51" s="1442">
        <v>3.8125454795841858</v>
      </c>
      <c r="P51" s="1442">
        <v>3.8925071489810588</v>
      </c>
      <c r="Q51" s="1442">
        <v>3.9742079019969223</v>
      </c>
      <c r="R51" s="1442">
        <v>4.0576875069054532</v>
      </c>
      <c r="S51" s="1442">
        <v>4.1429864124749924</v>
      </c>
      <c r="T51" s="1442">
        <v>4.2301458656158877</v>
      </c>
      <c r="U51" s="1442">
        <v>4.319208611103396</v>
      </c>
      <c r="V51" s="1442">
        <v>4.4102179056444495</v>
      </c>
      <c r="W51" s="1442">
        <v>4.5030980525950506</v>
      </c>
      <c r="X51" s="1442">
        <v>4.5943545646703976</v>
      </c>
      <c r="Y51" s="1442">
        <v>4.6900014301912467</v>
      </c>
      <c r="Z51" s="1442">
        <v>4.7880297004096999</v>
      </c>
      <c r="AA51" s="1442">
        <v>4.8841716307189911</v>
      </c>
      <c r="AB51" s="1442">
        <v>4.9870198527516783</v>
      </c>
      <c r="AC51" s="1442">
        <v>5.0973837133268116</v>
      </c>
      <c r="AD51" s="1442">
        <v>5.2005536063931848</v>
      </c>
      <c r="AE51" s="1442">
        <f t="shared" si="6"/>
        <v>5.2005536063931848</v>
      </c>
      <c r="AF51" s="1442">
        <f t="shared" si="6"/>
        <v>5.2005536063931848</v>
      </c>
      <c r="AG51" s="1442">
        <f t="shared" si="6"/>
        <v>5.2005536063931848</v>
      </c>
      <c r="AH51" s="1442">
        <f t="shared" si="6"/>
        <v>5.2005536063931848</v>
      </c>
      <c r="AI51" s="1442">
        <f t="shared" si="6"/>
        <v>5.2005536063931848</v>
      </c>
      <c r="AJ51" s="1442">
        <f t="shared" si="6"/>
        <v>5.2005536063931848</v>
      </c>
      <c r="AK51" s="1442">
        <f t="shared" si="6"/>
        <v>5.2005536063931848</v>
      </c>
      <c r="AL51" s="1442">
        <f t="shared" si="6"/>
        <v>5.2005536063931848</v>
      </c>
      <c r="AM51" s="1442">
        <f t="shared" si="6"/>
        <v>5.2005536063931848</v>
      </c>
      <c r="AN51" s="1442">
        <f t="shared" si="6"/>
        <v>5.2005536063931848</v>
      </c>
      <c r="AO51" s="1442">
        <f t="shared" si="6"/>
        <v>5.2005536063931848</v>
      </c>
      <c r="AP51" s="1442">
        <f t="shared" si="6"/>
        <v>5.2005536063931848</v>
      </c>
      <c r="AQ51" s="1442">
        <f t="shared" si="6"/>
        <v>5.2005536063931848</v>
      </c>
      <c r="AR51" s="1442">
        <f t="shared" si="6"/>
        <v>5.2005536063931848</v>
      </c>
      <c r="AS51" s="1442">
        <f t="shared" si="6"/>
        <v>5.2005536063931848</v>
      </c>
      <c r="AT51" s="1442">
        <f t="shared" si="6"/>
        <v>5.2005536063931848</v>
      </c>
      <c r="AU51" s="1442">
        <f t="shared" si="7"/>
        <v>5.2005536063931848</v>
      </c>
      <c r="AV51" s="1442">
        <f t="shared" si="4"/>
        <v>5.2005536063931848</v>
      </c>
      <c r="AW51" s="1442">
        <f t="shared" si="4"/>
        <v>5.2005536063931848</v>
      </c>
      <c r="AX51" s="1442">
        <f t="shared" si="4"/>
        <v>5.2005536063931848</v>
      </c>
      <c r="AY51" s="1442">
        <f t="shared" si="4"/>
        <v>5.2005536063931848</v>
      </c>
      <c r="AZ51" s="1442">
        <f t="shared" si="4"/>
        <v>5.2005536063931848</v>
      </c>
      <c r="BA51" s="1442">
        <f t="shared" si="4"/>
        <v>5.2005536063931848</v>
      </c>
      <c r="BB51" s="1442">
        <f t="shared" si="4"/>
        <v>5.2005536063931848</v>
      </c>
      <c r="BC51" s="1442">
        <f t="shared" si="4"/>
        <v>5.2005536063931848</v>
      </c>
      <c r="BD51" s="1442">
        <f t="shared" si="4"/>
        <v>5.2005536063931848</v>
      </c>
      <c r="BE51" s="1442">
        <f t="shared" si="4"/>
        <v>5.2005536063931848</v>
      </c>
      <c r="BF51" s="1442">
        <f t="shared" si="4"/>
        <v>5.2005536063931848</v>
      </c>
      <c r="BG51" s="1442">
        <f t="shared" si="4"/>
        <v>5.2005536063931848</v>
      </c>
      <c r="BH51" s="1442">
        <f t="shared" si="4"/>
        <v>5.2005536063931848</v>
      </c>
      <c r="BI51" s="1442">
        <f t="shared" si="4"/>
        <v>5.2005536063931848</v>
      </c>
      <c r="BJ51" s="1442">
        <f t="shared" si="4"/>
        <v>5.2005536063931848</v>
      </c>
      <c r="BK51" s="1442">
        <f t="shared" si="4"/>
        <v>5.2005536063931848</v>
      </c>
      <c r="BL51" s="1442">
        <f t="shared" si="5"/>
        <v>5.2005536063931848</v>
      </c>
      <c r="BM51" s="1442">
        <f t="shared" si="5"/>
        <v>5.2005536063931848</v>
      </c>
      <c r="BN51" s="1443">
        <f t="shared" si="5"/>
        <v>5.2005536063931848</v>
      </c>
    </row>
    <row r="52" spans="1:66" s="91" customFormat="1">
      <c r="A52" s="1434">
        <v>18</v>
      </c>
      <c r="B52" s="1435">
        <v>0</v>
      </c>
      <c r="C52" s="1436" t="s">
        <v>69</v>
      </c>
      <c r="D52" s="1435" t="s">
        <v>76</v>
      </c>
      <c r="E52" s="1437">
        <v>2.8450340038722954</v>
      </c>
      <c r="F52" s="1437">
        <v>3.2634655091739315</v>
      </c>
      <c r="G52" s="1437">
        <v>3.409037802128132</v>
      </c>
      <c r="H52" s="1437">
        <v>3.4214506130823805</v>
      </c>
      <c r="I52" s="1437">
        <v>3.4721709738878572</v>
      </c>
      <c r="J52" s="1437">
        <v>3.5231228014957123</v>
      </c>
      <c r="K52" s="1437">
        <v>3.5913277536331227</v>
      </c>
      <c r="L52" s="1437">
        <v>3.6641486236235425</v>
      </c>
      <c r="M52" s="1437">
        <v>3.7393453363964468</v>
      </c>
      <c r="N52" s="1437">
        <v>3.8159417564394698</v>
      </c>
      <c r="O52" s="1437">
        <v>3.8927508754751252</v>
      </c>
      <c r="P52" s="1437">
        <v>3.9742497845782889</v>
      </c>
      <c r="Q52" s="1437">
        <v>4.0575172363254888</v>
      </c>
      <c r="R52" s="1437">
        <v>4.1425935695718383</v>
      </c>
      <c r="S52" s="1437">
        <v>4.2295198078433112</v>
      </c>
      <c r="T52" s="1437">
        <v>4.3183377795643487</v>
      </c>
      <c r="U52" s="1437">
        <v>4.4090908350459088</v>
      </c>
      <c r="V52" s="1437">
        <v>4.5018228352448979</v>
      </c>
      <c r="W52" s="1437">
        <v>4.5964556697265149</v>
      </c>
      <c r="X52" s="1437">
        <v>4.6894061027303291</v>
      </c>
      <c r="Y52" s="1437">
        <v>4.7868394340768843</v>
      </c>
      <c r="Z52" s="1437">
        <v>4.8866954427568903</v>
      </c>
      <c r="AA52" s="1437">
        <v>4.9845980640400827</v>
      </c>
      <c r="AB52" s="1437">
        <v>5.0893562987013832</v>
      </c>
      <c r="AC52" s="1437">
        <v>5.2017993283369366</v>
      </c>
      <c r="AD52" s="1437">
        <v>5.3068455321513071</v>
      </c>
      <c r="AE52" s="1437">
        <f t="shared" si="6"/>
        <v>5.3068455321513071</v>
      </c>
      <c r="AF52" s="1437">
        <f t="shared" si="6"/>
        <v>5.3068455321513071</v>
      </c>
      <c r="AG52" s="1437">
        <f t="shared" si="6"/>
        <v>5.3068455321513071</v>
      </c>
      <c r="AH52" s="1437">
        <f t="shared" si="6"/>
        <v>5.3068455321513071</v>
      </c>
      <c r="AI52" s="1437">
        <f t="shared" si="6"/>
        <v>5.3068455321513071</v>
      </c>
      <c r="AJ52" s="1437">
        <f t="shared" si="6"/>
        <v>5.3068455321513071</v>
      </c>
      <c r="AK52" s="1437">
        <f t="shared" si="6"/>
        <v>5.3068455321513071</v>
      </c>
      <c r="AL52" s="1437">
        <f t="shared" si="6"/>
        <v>5.3068455321513071</v>
      </c>
      <c r="AM52" s="1437">
        <f t="shared" si="6"/>
        <v>5.3068455321513071</v>
      </c>
      <c r="AN52" s="1437">
        <f t="shared" si="6"/>
        <v>5.3068455321513071</v>
      </c>
      <c r="AO52" s="1437">
        <f t="shared" si="6"/>
        <v>5.3068455321513071</v>
      </c>
      <c r="AP52" s="1437">
        <f t="shared" si="6"/>
        <v>5.3068455321513071</v>
      </c>
      <c r="AQ52" s="1437">
        <f t="shared" si="6"/>
        <v>5.3068455321513071</v>
      </c>
      <c r="AR52" s="1437">
        <f t="shared" si="6"/>
        <v>5.3068455321513071</v>
      </c>
      <c r="AS52" s="1437">
        <f t="shared" si="6"/>
        <v>5.3068455321513071</v>
      </c>
      <c r="AT52" s="1437">
        <f t="shared" si="6"/>
        <v>5.3068455321513071</v>
      </c>
      <c r="AU52" s="1437">
        <f t="shared" si="7"/>
        <v>5.3068455321513071</v>
      </c>
      <c r="AV52" s="1437">
        <f t="shared" si="4"/>
        <v>5.3068455321513071</v>
      </c>
      <c r="AW52" s="1437">
        <f t="shared" si="4"/>
        <v>5.3068455321513071</v>
      </c>
      <c r="AX52" s="1437">
        <f t="shared" si="4"/>
        <v>5.3068455321513071</v>
      </c>
      <c r="AY52" s="1437">
        <f t="shared" si="4"/>
        <v>5.3068455321513071</v>
      </c>
      <c r="AZ52" s="1437">
        <f t="shared" si="4"/>
        <v>5.3068455321513071</v>
      </c>
      <c r="BA52" s="1437">
        <f t="shared" si="4"/>
        <v>5.3068455321513071</v>
      </c>
      <c r="BB52" s="1437">
        <f t="shared" si="4"/>
        <v>5.3068455321513071</v>
      </c>
      <c r="BC52" s="1437">
        <f t="shared" si="4"/>
        <v>5.3068455321513071</v>
      </c>
      <c r="BD52" s="1437">
        <f t="shared" si="4"/>
        <v>5.3068455321513071</v>
      </c>
      <c r="BE52" s="1437">
        <f t="shared" si="4"/>
        <v>5.3068455321513071</v>
      </c>
      <c r="BF52" s="1437">
        <f t="shared" si="4"/>
        <v>5.3068455321513071</v>
      </c>
      <c r="BG52" s="1437">
        <f t="shared" si="4"/>
        <v>5.3068455321513071</v>
      </c>
      <c r="BH52" s="1437">
        <f t="shared" si="4"/>
        <v>5.3068455321513071</v>
      </c>
      <c r="BI52" s="1437">
        <f t="shared" si="4"/>
        <v>5.3068455321513071</v>
      </c>
      <c r="BJ52" s="1437">
        <f t="shared" si="4"/>
        <v>5.3068455321513071</v>
      </c>
      <c r="BK52" s="1437">
        <f t="shared" si="4"/>
        <v>5.3068455321513071</v>
      </c>
      <c r="BL52" s="1437">
        <f t="shared" si="5"/>
        <v>5.3068455321513071</v>
      </c>
      <c r="BM52" s="1437">
        <f t="shared" si="5"/>
        <v>5.3068455321513071</v>
      </c>
      <c r="BN52" s="1438">
        <f t="shared" si="5"/>
        <v>5.3068455321513071</v>
      </c>
    </row>
    <row r="53" spans="1:66" s="91" customFormat="1">
      <c r="A53" s="1445"/>
      <c r="B53" s="1446">
        <v>1</v>
      </c>
      <c r="C53" s="1441" t="s">
        <v>299</v>
      </c>
      <c r="D53" s="1441" t="s">
        <v>293</v>
      </c>
      <c r="E53" s="1442">
        <v>2.0931808371065181</v>
      </c>
      <c r="F53" s="1442">
        <v>2.4437744042806044</v>
      </c>
      <c r="G53" s="1442">
        <v>2.5695529086380078</v>
      </c>
      <c r="H53" s="1442">
        <v>2.5823558084082037</v>
      </c>
      <c r="I53" s="1442">
        <v>2.6279210517968234</v>
      </c>
      <c r="J53" s="1442">
        <v>2.6738229924909596</v>
      </c>
      <c r="K53" s="1442">
        <v>2.7346845075212665</v>
      </c>
      <c r="L53" s="1442">
        <v>2.7997467900093018</v>
      </c>
      <c r="M53" s="1442">
        <v>2.8671082079771573</v>
      </c>
      <c r="N53" s="1442">
        <v>2.9359375284817615</v>
      </c>
      <c r="O53" s="1442">
        <v>3.0052070194188114</v>
      </c>
      <c r="P53" s="1442">
        <v>3.0788321965127166</v>
      </c>
      <c r="Q53" s="1442">
        <v>3.1542853901024199</v>
      </c>
      <c r="R53" s="1442">
        <v>3.2316128918728952</v>
      </c>
      <c r="S53" s="1442">
        <v>3.3108619384334932</v>
      </c>
      <c r="T53" s="1442">
        <v>3.3920808232447701</v>
      </c>
      <c r="U53" s="1442">
        <v>3.4753195431258677</v>
      </c>
      <c r="V53" s="1442">
        <v>3.560628911262544</v>
      </c>
      <c r="W53" s="1442">
        <v>3.6479504521172195</v>
      </c>
      <c r="X53" s="1442">
        <v>3.7340618506112149</v>
      </c>
      <c r="Y53" s="1442">
        <v>3.8245208167468174</v>
      </c>
      <c r="Z53" s="1442">
        <v>3.917490810191635</v>
      </c>
      <c r="AA53" s="1442">
        <v>4.0089951523632612</v>
      </c>
      <c r="AB53" s="1442">
        <v>4.1070695835245008</v>
      </c>
      <c r="AC53" s="1442">
        <v>4.2125364612720579</v>
      </c>
      <c r="AD53" s="1442">
        <v>4.3115511987797586</v>
      </c>
      <c r="AE53" s="1442">
        <f>AD53</f>
        <v>4.3115511987797586</v>
      </c>
      <c r="AF53" s="1442">
        <f t="shared" si="6"/>
        <v>4.3115511987797586</v>
      </c>
      <c r="AG53" s="1442">
        <f t="shared" si="6"/>
        <v>4.3115511987797586</v>
      </c>
      <c r="AH53" s="1442">
        <f t="shared" si="6"/>
        <v>4.3115511987797586</v>
      </c>
      <c r="AI53" s="1442">
        <f t="shared" si="6"/>
        <v>4.3115511987797586</v>
      </c>
      <c r="AJ53" s="1442">
        <f t="shared" si="6"/>
        <v>4.3115511987797586</v>
      </c>
      <c r="AK53" s="1442">
        <f t="shared" si="6"/>
        <v>4.3115511987797586</v>
      </c>
      <c r="AL53" s="1442">
        <f t="shared" si="6"/>
        <v>4.3115511987797586</v>
      </c>
      <c r="AM53" s="1442">
        <f t="shared" si="6"/>
        <v>4.3115511987797586</v>
      </c>
      <c r="AN53" s="1442">
        <f t="shared" si="6"/>
        <v>4.3115511987797586</v>
      </c>
      <c r="AO53" s="1442">
        <f t="shared" si="6"/>
        <v>4.3115511987797586</v>
      </c>
      <c r="AP53" s="1442">
        <f t="shared" si="6"/>
        <v>4.3115511987797586</v>
      </c>
      <c r="AQ53" s="1442">
        <f t="shared" si="6"/>
        <v>4.3115511987797586</v>
      </c>
      <c r="AR53" s="1442">
        <f t="shared" si="6"/>
        <v>4.3115511987797586</v>
      </c>
      <c r="AS53" s="1442">
        <f t="shared" si="6"/>
        <v>4.3115511987797586</v>
      </c>
      <c r="AT53" s="1442">
        <f t="shared" si="6"/>
        <v>4.3115511987797586</v>
      </c>
      <c r="AU53" s="1442">
        <f t="shared" si="7"/>
        <v>4.3115511987797586</v>
      </c>
      <c r="AV53" s="1442">
        <f t="shared" si="4"/>
        <v>4.3115511987797586</v>
      </c>
      <c r="AW53" s="1442">
        <f t="shared" si="4"/>
        <v>4.3115511987797586</v>
      </c>
      <c r="AX53" s="1442">
        <f t="shared" si="4"/>
        <v>4.3115511987797586</v>
      </c>
      <c r="AY53" s="1442">
        <f t="shared" si="4"/>
        <v>4.3115511987797586</v>
      </c>
      <c r="AZ53" s="1442">
        <f t="shared" si="4"/>
        <v>4.3115511987797586</v>
      </c>
      <c r="BA53" s="1442">
        <f t="shared" si="4"/>
        <v>4.3115511987797586</v>
      </c>
      <c r="BB53" s="1442">
        <f t="shared" si="4"/>
        <v>4.3115511987797586</v>
      </c>
      <c r="BC53" s="1442">
        <f t="shared" si="4"/>
        <v>4.3115511987797586</v>
      </c>
      <c r="BD53" s="1442">
        <f t="shared" si="4"/>
        <v>4.3115511987797586</v>
      </c>
      <c r="BE53" s="1442">
        <f t="shared" si="4"/>
        <v>4.3115511987797586</v>
      </c>
      <c r="BF53" s="1442">
        <f t="shared" si="4"/>
        <v>4.3115511987797586</v>
      </c>
      <c r="BG53" s="1442">
        <f t="shared" si="4"/>
        <v>4.3115511987797586</v>
      </c>
      <c r="BH53" s="1442">
        <f t="shared" si="4"/>
        <v>4.3115511987797586</v>
      </c>
      <c r="BI53" s="1442">
        <f t="shared" si="4"/>
        <v>4.3115511987797586</v>
      </c>
      <c r="BJ53" s="1442">
        <f t="shared" si="4"/>
        <v>4.3115511987797586</v>
      </c>
      <c r="BK53" s="1442">
        <f t="shared" si="4"/>
        <v>4.3115511987797586</v>
      </c>
      <c r="BL53" s="1442">
        <f t="shared" si="5"/>
        <v>4.3115511987797586</v>
      </c>
      <c r="BM53" s="1442">
        <f t="shared" si="5"/>
        <v>4.3115511987797586</v>
      </c>
      <c r="BN53" s="1442">
        <f t="shared" si="5"/>
        <v>4.3115511987797586</v>
      </c>
    </row>
    <row r="54" spans="1:66" s="91" customFormat="1">
      <c r="A54" s="1434">
        <v>109</v>
      </c>
      <c r="B54" s="1435">
        <v>0</v>
      </c>
      <c r="C54" s="1436" t="s">
        <v>142</v>
      </c>
      <c r="D54" s="1435" t="s">
        <v>143</v>
      </c>
      <c r="E54" s="1437">
        <v>2.7300159434873108</v>
      </c>
      <c r="F54" s="1437">
        <v>3.2131166739192722</v>
      </c>
      <c r="G54" s="1437">
        <v>3.3826895543970923</v>
      </c>
      <c r="H54" s="1437">
        <v>3.3946031737378792</v>
      </c>
      <c r="I54" s="1437">
        <v>3.4520098073126602</v>
      </c>
      <c r="J54" s="1437">
        <v>3.5097027562704368</v>
      </c>
      <c r="K54" s="1437">
        <v>3.5880613581190373</v>
      </c>
      <c r="L54" s="1437">
        <v>3.6720821779559736</v>
      </c>
      <c r="M54" s="1437">
        <v>3.7591085253877181</v>
      </c>
      <c r="N54" s="1437">
        <v>3.8479756447263727</v>
      </c>
      <c r="O54" s="1437">
        <v>3.9372446052110139</v>
      </c>
      <c r="P54" s="1437">
        <v>4.032367704795095</v>
      </c>
      <c r="Q54" s="1437">
        <v>4.1298146217844538</v>
      </c>
      <c r="R54" s="1437">
        <v>4.2296431674279873</v>
      </c>
      <c r="S54" s="1437">
        <v>4.331912268760596</v>
      </c>
      <c r="T54" s="1437">
        <v>4.4366821185830476</v>
      </c>
      <c r="U54" s="1437">
        <v>4.5440150705819589</v>
      </c>
      <c r="V54" s="1437">
        <v>4.6539743962894766</v>
      </c>
      <c r="W54" s="1437">
        <v>4.7664707660128052</v>
      </c>
      <c r="X54" s="1437">
        <v>4.8770034211850311</v>
      </c>
      <c r="Y54" s="1437">
        <v>4.9933128547543753</v>
      </c>
      <c r="Z54" s="1437">
        <v>5.1128299845773233</v>
      </c>
      <c r="AA54" s="1437">
        <v>5.230001359157594</v>
      </c>
      <c r="AB54" s="1437">
        <v>5.3560221015042622</v>
      </c>
      <c r="AC54" s="1437">
        <v>5.4920297357646994</v>
      </c>
      <c r="AD54" s="1437">
        <v>5.6187107291753806</v>
      </c>
      <c r="AE54" s="1437">
        <f>AD54</f>
        <v>5.6187107291753806</v>
      </c>
      <c r="AF54" s="1437">
        <f t="shared" si="6"/>
        <v>5.6187107291753806</v>
      </c>
      <c r="AG54" s="1437">
        <f t="shared" si="6"/>
        <v>5.6187107291753806</v>
      </c>
      <c r="AH54" s="1437">
        <f t="shared" si="6"/>
        <v>5.6187107291753806</v>
      </c>
      <c r="AI54" s="1437">
        <f t="shared" si="6"/>
        <v>5.6187107291753806</v>
      </c>
      <c r="AJ54" s="1437">
        <f t="shared" si="6"/>
        <v>5.6187107291753806</v>
      </c>
      <c r="AK54" s="1437">
        <f t="shared" si="6"/>
        <v>5.6187107291753806</v>
      </c>
      <c r="AL54" s="1437">
        <f t="shared" si="6"/>
        <v>5.6187107291753806</v>
      </c>
      <c r="AM54" s="1437">
        <f t="shared" si="6"/>
        <v>5.6187107291753806</v>
      </c>
      <c r="AN54" s="1437">
        <f t="shared" si="6"/>
        <v>5.6187107291753806</v>
      </c>
      <c r="AO54" s="1437">
        <f t="shared" si="6"/>
        <v>5.6187107291753806</v>
      </c>
      <c r="AP54" s="1437">
        <f t="shared" si="6"/>
        <v>5.6187107291753806</v>
      </c>
      <c r="AQ54" s="1437">
        <f t="shared" si="6"/>
        <v>5.6187107291753806</v>
      </c>
      <c r="AR54" s="1437">
        <f t="shared" si="6"/>
        <v>5.6187107291753806</v>
      </c>
      <c r="AS54" s="1437">
        <f t="shared" si="6"/>
        <v>5.6187107291753806</v>
      </c>
      <c r="AT54" s="1437">
        <f t="shared" si="6"/>
        <v>5.6187107291753806</v>
      </c>
      <c r="AU54" s="1437">
        <f t="shared" si="7"/>
        <v>5.6187107291753806</v>
      </c>
      <c r="AV54" s="1437">
        <f t="shared" si="4"/>
        <v>5.6187107291753806</v>
      </c>
      <c r="AW54" s="1437">
        <f t="shared" si="4"/>
        <v>5.6187107291753806</v>
      </c>
      <c r="AX54" s="1437">
        <f t="shared" si="4"/>
        <v>5.6187107291753806</v>
      </c>
      <c r="AY54" s="1437">
        <f t="shared" si="4"/>
        <v>5.6187107291753806</v>
      </c>
      <c r="AZ54" s="1437">
        <f t="shared" si="4"/>
        <v>5.6187107291753806</v>
      </c>
      <c r="BA54" s="1437">
        <f t="shared" si="4"/>
        <v>5.6187107291753806</v>
      </c>
      <c r="BB54" s="1437">
        <f t="shared" si="4"/>
        <v>5.6187107291753806</v>
      </c>
      <c r="BC54" s="1437">
        <f t="shared" si="4"/>
        <v>5.6187107291753806</v>
      </c>
      <c r="BD54" s="1437">
        <f t="shared" si="4"/>
        <v>5.6187107291753806</v>
      </c>
      <c r="BE54" s="1437">
        <f t="shared" si="4"/>
        <v>5.6187107291753806</v>
      </c>
      <c r="BF54" s="1437">
        <f t="shared" si="4"/>
        <v>5.6187107291753806</v>
      </c>
      <c r="BG54" s="1437">
        <f t="shared" si="4"/>
        <v>5.6187107291753806</v>
      </c>
      <c r="BH54" s="1437">
        <f t="shared" si="4"/>
        <v>5.6187107291753806</v>
      </c>
      <c r="BI54" s="1437">
        <f t="shared" si="4"/>
        <v>5.6187107291753806</v>
      </c>
      <c r="BJ54" s="1437">
        <f t="shared" si="4"/>
        <v>5.6187107291753806</v>
      </c>
      <c r="BK54" s="1437">
        <f t="shared" ref="BK54:BN69" si="8">BJ54</f>
        <v>5.6187107291753806</v>
      </c>
      <c r="BL54" s="1437">
        <f t="shared" si="8"/>
        <v>5.6187107291753806</v>
      </c>
      <c r="BM54" s="1437">
        <f t="shared" si="8"/>
        <v>5.6187107291753806</v>
      </c>
      <c r="BN54" s="1438">
        <f t="shared" si="5"/>
        <v>5.6187107291753806</v>
      </c>
    </row>
    <row r="55" spans="1:66" s="91" customFormat="1">
      <c r="A55" s="1439">
        <v>115</v>
      </c>
      <c r="B55" s="1440">
        <v>0</v>
      </c>
      <c r="C55" s="1441" t="s">
        <v>150</v>
      </c>
      <c r="D55" s="1440" t="s">
        <v>17</v>
      </c>
      <c r="E55" s="1442">
        <v>4.2122763429269723</v>
      </c>
      <c r="F55" s="1442">
        <v>4.6871201278823031</v>
      </c>
      <c r="G55" s="1442">
        <v>4.8471081908662779</v>
      </c>
      <c r="H55" s="1442">
        <v>4.8592468003458693</v>
      </c>
      <c r="I55" s="1442">
        <v>4.9135575405136613</v>
      </c>
      <c r="J55" s="1442">
        <v>4.9679556508139324</v>
      </c>
      <c r="K55" s="1442">
        <v>5.0410436423598757</v>
      </c>
      <c r="L55" s="1442">
        <v>5.1188527492908644</v>
      </c>
      <c r="M55" s="1442">
        <v>5.1989017986526243</v>
      </c>
      <c r="N55" s="1442">
        <v>5.280116781327906</v>
      </c>
      <c r="O55" s="1442">
        <v>5.3612186330353282</v>
      </c>
      <c r="P55" s="1442">
        <v>5.4469905747015073</v>
      </c>
      <c r="Q55" s="1442">
        <v>5.5342760091337535</v>
      </c>
      <c r="R55" s="1442">
        <v>5.6231056472326886</v>
      </c>
      <c r="S55" s="1442">
        <v>5.7135106140811249</v>
      </c>
      <c r="T55" s="1442">
        <v>5.8055225748015511</v>
      </c>
      <c r="U55" s="1442">
        <v>5.8991744775906074</v>
      </c>
      <c r="V55" s="1442">
        <v>5.9944994872701809</v>
      </c>
      <c r="W55" s="1442">
        <v>6.0914049113922619</v>
      </c>
      <c r="X55" s="1442">
        <v>6.1862095125273937</v>
      </c>
      <c r="Y55" s="1442">
        <v>6.2852422713747504</v>
      </c>
      <c r="Z55" s="1442">
        <v>6.386365084742752</v>
      </c>
      <c r="AA55" s="1442">
        <v>6.4851426446304856</v>
      </c>
      <c r="AB55" s="1442">
        <v>6.5904755415738556</v>
      </c>
      <c r="AC55" s="1442">
        <v>6.7031115482467891</v>
      </c>
      <c r="AD55" s="1442">
        <v>6.80795395552183</v>
      </c>
      <c r="AE55" s="1442">
        <f t="shared" ref="AE55:AT70" si="9">AD55</f>
        <v>6.80795395552183</v>
      </c>
      <c r="AF55" s="1442">
        <f t="shared" si="9"/>
        <v>6.80795395552183</v>
      </c>
      <c r="AG55" s="1442">
        <f t="shared" si="9"/>
        <v>6.80795395552183</v>
      </c>
      <c r="AH55" s="1442">
        <f t="shared" si="9"/>
        <v>6.80795395552183</v>
      </c>
      <c r="AI55" s="1442">
        <f t="shared" si="9"/>
        <v>6.80795395552183</v>
      </c>
      <c r="AJ55" s="1442">
        <f t="shared" si="9"/>
        <v>6.80795395552183</v>
      </c>
      <c r="AK55" s="1442">
        <f t="shared" si="9"/>
        <v>6.80795395552183</v>
      </c>
      <c r="AL55" s="1442">
        <f t="shared" si="9"/>
        <v>6.80795395552183</v>
      </c>
      <c r="AM55" s="1442">
        <f t="shared" si="9"/>
        <v>6.80795395552183</v>
      </c>
      <c r="AN55" s="1442">
        <f t="shared" si="9"/>
        <v>6.80795395552183</v>
      </c>
      <c r="AO55" s="1442">
        <f t="shared" si="9"/>
        <v>6.80795395552183</v>
      </c>
      <c r="AP55" s="1442">
        <f t="shared" si="9"/>
        <v>6.80795395552183</v>
      </c>
      <c r="AQ55" s="1442">
        <f t="shared" si="9"/>
        <v>6.80795395552183</v>
      </c>
      <c r="AR55" s="1442">
        <f t="shared" si="9"/>
        <v>6.80795395552183</v>
      </c>
      <c r="AS55" s="1442">
        <f t="shared" si="9"/>
        <v>6.80795395552183</v>
      </c>
      <c r="AT55" s="1442">
        <f t="shared" si="9"/>
        <v>6.80795395552183</v>
      </c>
      <c r="AU55" s="1442">
        <f t="shared" ref="AU55:BJ70" si="10">AT55</f>
        <v>6.80795395552183</v>
      </c>
      <c r="AV55" s="1442">
        <f t="shared" si="10"/>
        <v>6.80795395552183</v>
      </c>
      <c r="AW55" s="1442">
        <f t="shared" si="10"/>
        <v>6.80795395552183</v>
      </c>
      <c r="AX55" s="1442">
        <f t="shared" si="10"/>
        <v>6.80795395552183</v>
      </c>
      <c r="AY55" s="1442">
        <f t="shared" si="10"/>
        <v>6.80795395552183</v>
      </c>
      <c r="AZ55" s="1442">
        <f t="shared" si="10"/>
        <v>6.80795395552183</v>
      </c>
      <c r="BA55" s="1442">
        <f t="shared" si="10"/>
        <v>6.80795395552183</v>
      </c>
      <c r="BB55" s="1442">
        <f t="shared" si="10"/>
        <v>6.80795395552183</v>
      </c>
      <c r="BC55" s="1442">
        <f t="shared" si="10"/>
        <v>6.80795395552183</v>
      </c>
      <c r="BD55" s="1442">
        <f t="shared" si="10"/>
        <v>6.80795395552183</v>
      </c>
      <c r="BE55" s="1442">
        <f t="shared" si="10"/>
        <v>6.80795395552183</v>
      </c>
      <c r="BF55" s="1442">
        <f t="shared" si="10"/>
        <v>6.80795395552183</v>
      </c>
      <c r="BG55" s="1442">
        <f t="shared" si="10"/>
        <v>6.80795395552183</v>
      </c>
      <c r="BH55" s="1442">
        <f t="shared" si="10"/>
        <v>6.80795395552183</v>
      </c>
      <c r="BI55" s="1442">
        <f t="shared" si="10"/>
        <v>6.80795395552183</v>
      </c>
      <c r="BJ55" s="1442">
        <f t="shared" si="10"/>
        <v>6.80795395552183</v>
      </c>
      <c r="BK55" s="1442">
        <f t="shared" si="8"/>
        <v>6.80795395552183</v>
      </c>
      <c r="BL55" s="1442">
        <f t="shared" si="8"/>
        <v>6.80795395552183</v>
      </c>
      <c r="BM55" s="1442">
        <f t="shared" si="8"/>
        <v>6.80795395552183</v>
      </c>
      <c r="BN55" s="1443">
        <f t="shared" si="8"/>
        <v>6.80795395552183</v>
      </c>
    </row>
    <row r="56" spans="1:66" s="91" customFormat="1">
      <c r="A56" s="1434">
        <v>112</v>
      </c>
      <c r="B56" s="1435">
        <v>0</v>
      </c>
      <c r="C56" s="1436" t="s">
        <v>146</v>
      </c>
      <c r="D56" s="1435" t="s">
        <v>256</v>
      </c>
      <c r="E56" s="1437">
        <v>3.8314592867959383</v>
      </c>
      <c r="F56" s="1437">
        <v>4.4180077292482647</v>
      </c>
      <c r="G56" s="1437">
        <v>4.6180409745298032</v>
      </c>
      <c r="H56" s="1437">
        <v>4.6293528818782592</v>
      </c>
      <c r="I56" s="1437">
        <v>4.6947160922982132</v>
      </c>
      <c r="J56" s="1437">
        <v>4.7602134995849195</v>
      </c>
      <c r="K56" s="1437">
        <v>4.8499400587223631</v>
      </c>
      <c r="L56" s="1437">
        <v>4.9459969201470289</v>
      </c>
      <c r="M56" s="1437">
        <v>5.0452062288220292</v>
      </c>
      <c r="N56" s="1437">
        <v>5.1461795417821845</v>
      </c>
      <c r="O56" s="1437">
        <v>5.2472296535114484</v>
      </c>
      <c r="P56" s="1437">
        <v>5.3546888927868794</v>
      </c>
      <c r="Q56" s="1437">
        <v>5.4644141677216478</v>
      </c>
      <c r="R56" s="1437">
        <v>5.5764554529371368</v>
      </c>
      <c r="S56" s="1437">
        <v>5.6908634782515959</v>
      </c>
      <c r="T56" s="1437">
        <v>5.8076898924823581</v>
      </c>
      <c r="U56" s="1437">
        <v>5.9269882720012088</v>
      </c>
      <c r="V56" s="1437">
        <v>6.0488126821129962</v>
      </c>
      <c r="W56" s="1437">
        <v>6.1730442491850983</v>
      </c>
      <c r="X56" s="1437">
        <v>6.2946009863383265</v>
      </c>
      <c r="Y56" s="1437">
        <v>6.4222034855036716</v>
      </c>
      <c r="Z56" s="1437">
        <v>6.5529256588659095</v>
      </c>
      <c r="AA56" s="1437">
        <v>6.6805621718946355</v>
      </c>
      <c r="AB56" s="1437">
        <v>6.8175759866512733</v>
      </c>
      <c r="AC56" s="1437">
        <v>6.965131247041465</v>
      </c>
      <c r="AD56" s="1437">
        <v>7.1018638861752175</v>
      </c>
      <c r="AE56" s="1437">
        <f t="shared" si="9"/>
        <v>7.1018638861752175</v>
      </c>
      <c r="AF56" s="1437">
        <f t="shared" si="9"/>
        <v>7.1018638861752175</v>
      </c>
      <c r="AG56" s="1437">
        <f t="shared" si="9"/>
        <v>7.1018638861752175</v>
      </c>
      <c r="AH56" s="1437">
        <f t="shared" si="9"/>
        <v>7.1018638861752175</v>
      </c>
      <c r="AI56" s="1437">
        <f t="shared" si="9"/>
        <v>7.1018638861752175</v>
      </c>
      <c r="AJ56" s="1437">
        <f t="shared" si="9"/>
        <v>7.1018638861752175</v>
      </c>
      <c r="AK56" s="1437">
        <f t="shared" si="9"/>
        <v>7.1018638861752175</v>
      </c>
      <c r="AL56" s="1437">
        <f t="shared" si="9"/>
        <v>7.1018638861752175</v>
      </c>
      <c r="AM56" s="1437">
        <f t="shared" si="9"/>
        <v>7.1018638861752175</v>
      </c>
      <c r="AN56" s="1437">
        <f t="shared" si="9"/>
        <v>7.1018638861752175</v>
      </c>
      <c r="AO56" s="1437">
        <f t="shared" si="9"/>
        <v>7.1018638861752175</v>
      </c>
      <c r="AP56" s="1437">
        <f t="shared" si="9"/>
        <v>7.1018638861752175</v>
      </c>
      <c r="AQ56" s="1437">
        <f t="shared" si="9"/>
        <v>7.1018638861752175</v>
      </c>
      <c r="AR56" s="1437">
        <f t="shared" si="9"/>
        <v>7.1018638861752175</v>
      </c>
      <c r="AS56" s="1437">
        <f t="shared" si="9"/>
        <v>7.1018638861752175</v>
      </c>
      <c r="AT56" s="1437">
        <f t="shared" si="9"/>
        <v>7.1018638861752175</v>
      </c>
      <c r="AU56" s="1437">
        <f t="shared" si="10"/>
        <v>7.1018638861752175</v>
      </c>
      <c r="AV56" s="1437">
        <f t="shared" si="10"/>
        <v>7.1018638861752175</v>
      </c>
      <c r="AW56" s="1437">
        <f t="shared" si="10"/>
        <v>7.1018638861752175</v>
      </c>
      <c r="AX56" s="1437">
        <f t="shared" si="10"/>
        <v>7.1018638861752175</v>
      </c>
      <c r="AY56" s="1437">
        <f t="shared" si="10"/>
        <v>7.1018638861752175</v>
      </c>
      <c r="AZ56" s="1437">
        <f t="shared" si="10"/>
        <v>7.1018638861752175</v>
      </c>
      <c r="BA56" s="1437">
        <f t="shared" si="10"/>
        <v>7.1018638861752175</v>
      </c>
      <c r="BB56" s="1437">
        <f t="shared" si="10"/>
        <v>7.1018638861752175</v>
      </c>
      <c r="BC56" s="1437">
        <f t="shared" si="10"/>
        <v>7.1018638861752175</v>
      </c>
      <c r="BD56" s="1437">
        <f t="shared" si="10"/>
        <v>7.1018638861752175</v>
      </c>
      <c r="BE56" s="1437">
        <f t="shared" si="10"/>
        <v>7.1018638861752175</v>
      </c>
      <c r="BF56" s="1437">
        <f t="shared" si="10"/>
        <v>7.1018638861752175</v>
      </c>
      <c r="BG56" s="1437">
        <f t="shared" si="10"/>
        <v>7.1018638861752175</v>
      </c>
      <c r="BH56" s="1437">
        <f t="shared" si="10"/>
        <v>7.1018638861752175</v>
      </c>
      <c r="BI56" s="1437">
        <f t="shared" si="10"/>
        <v>7.1018638861752175</v>
      </c>
      <c r="BJ56" s="1437">
        <f t="shared" si="10"/>
        <v>7.1018638861752175</v>
      </c>
      <c r="BK56" s="1437">
        <f t="shared" si="8"/>
        <v>7.1018638861752175</v>
      </c>
      <c r="BL56" s="1437">
        <f t="shared" si="8"/>
        <v>7.1018638861752175</v>
      </c>
      <c r="BM56" s="1437">
        <f t="shared" si="8"/>
        <v>7.1018638861752175</v>
      </c>
      <c r="BN56" s="1438">
        <f t="shared" si="8"/>
        <v>7.1018638861752175</v>
      </c>
    </row>
    <row r="57" spans="1:66" s="91" customFormat="1">
      <c r="A57" s="1439">
        <v>19</v>
      </c>
      <c r="B57" s="1440">
        <v>0</v>
      </c>
      <c r="C57" s="1441" t="s">
        <v>69</v>
      </c>
      <c r="D57" s="1440" t="s">
        <v>77</v>
      </c>
      <c r="E57" s="1442">
        <v>2.8567661222742355</v>
      </c>
      <c r="F57" s="1442">
        <v>3.2771971381786185</v>
      </c>
      <c r="G57" s="1442">
        <v>3.4234171662953776</v>
      </c>
      <c r="H57" s="1442">
        <v>3.4358168835752489</v>
      </c>
      <c r="I57" s="1442">
        <v>3.4867114001413215</v>
      </c>
      <c r="J57" s="1442">
        <v>3.5378362266229599</v>
      </c>
      <c r="K57" s="1442">
        <v>3.6062971475051864</v>
      </c>
      <c r="L57" s="1442">
        <v>3.6793943763921306</v>
      </c>
      <c r="M57" s="1442">
        <v>3.7548766846613573</v>
      </c>
      <c r="N57" s="1442">
        <v>3.8317630329928436</v>
      </c>
      <c r="O57" s="1442">
        <v>3.9088604639781064</v>
      </c>
      <c r="P57" s="1442">
        <v>3.990668134091969</v>
      </c>
      <c r="Q57" s="1442">
        <v>4.074250263817996</v>
      </c>
      <c r="R57" s="1442">
        <v>4.1596473066149642</v>
      </c>
      <c r="S57" s="1442">
        <v>4.246900401451315</v>
      </c>
      <c r="T57" s="1442">
        <v>4.3360514935510226</v>
      </c>
      <c r="U57" s="1442">
        <v>4.4271440548494194</v>
      </c>
      <c r="V57" s="1442">
        <v>4.5202220676695397</v>
      </c>
      <c r="W57" s="1442">
        <v>4.6152069367566257</v>
      </c>
      <c r="X57" s="1442">
        <v>4.7084976008485242</v>
      </c>
      <c r="Y57" s="1442">
        <v>4.8062897513120122</v>
      </c>
      <c r="Z57" s="1442">
        <v>4.9065128688901112</v>
      </c>
      <c r="AA57" s="1442">
        <v>5.0047691323036787</v>
      </c>
      <c r="AB57" s="1442">
        <v>5.1099110009728994</v>
      </c>
      <c r="AC57" s="1442">
        <v>5.2227716403916782</v>
      </c>
      <c r="AD57" s="1442">
        <v>5.3281947090505914</v>
      </c>
      <c r="AE57" s="1442">
        <f t="shared" si="9"/>
        <v>5.3281947090505914</v>
      </c>
      <c r="AF57" s="1442">
        <f t="shared" si="9"/>
        <v>5.3281947090505914</v>
      </c>
      <c r="AG57" s="1442">
        <f t="shared" si="9"/>
        <v>5.3281947090505914</v>
      </c>
      <c r="AH57" s="1442">
        <f t="shared" si="9"/>
        <v>5.3281947090505914</v>
      </c>
      <c r="AI57" s="1442">
        <f t="shared" si="9"/>
        <v>5.3281947090505914</v>
      </c>
      <c r="AJ57" s="1442">
        <f t="shared" si="9"/>
        <v>5.3281947090505914</v>
      </c>
      <c r="AK57" s="1442">
        <f t="shared" si="9"/>
        <v>5.3281947090505914</v>
      </c>
      <c r="AL57" s="1442">
        <f t="shared" si="9"/>
        <v>5.3281947090505914</v>
      </c>
      <c r="AM57" s="1442">
        <f t="shared" si="9"/>
        <v>5.3281947090505914</v>
      </c>
      <c r="AN57" s="1442">
        <f t="shared" si="9"/>
        <v>5.3281947090505914</v>
      </c>
      <c r="AO57" s="1442">
        <f t="shared" si="9"/>
        <v>5.3281947090505914</v>
      </c>
      <c r="AP57" s="1442">
        <f t="shared" si="9"/>
        <v>5.3281947090505914</v>
      </c>
      <c r="AQ57" s="1442">
        <f t="shared" si="9"/>
        <v>5.3281947090505914</v>
      </c>
      <c r="AR57" s="1442">
        <f t="shared" si="9"/>
        <v>5.3281947090505914</v>
      </c>
      <c r="AS57" s="1442">
        <f t="shared" si="9"/>
        <v>5.3281947090505914</v>
      </c>
      <c r="AT57" s="1442">
        <f t="shared" si="9"/>
        <v>5.3281947090505914</v>
      </c>
      <c r="AU57" s="1442">
        <f t="shared" si="10"/>
        <v>5.3281947090505914</v>
      </c>
      <c r="AV57" s="1442">
        <f t="shared" si="10"/>
        <v>5.3281947090505914</v>
      </c>
      <c r="AW57" s="1442">
        <f t="shared" si="10"/>
        <v>5.3281947090505914</v>
      </c>
      <c r="AX57" s="1442">
        <f t="shared" si="10"/>
        <v>5.3281947090505914</v>
      </c>
      <c r="AY57" s="1442">
        <f t="shared" si="10"/>
        <v>5.3281947090505914</v>
      </c>
      <c r="AZ57" s="1442">
        <f t="shared" si="10"/>
        <v>5.3281947090505914</v>
      </c>
      <c r="BA57" s="1442">
        <f t="shared" si="10"/>
        <v>5.3281947090505914</v>
      </c>
      <c r="BB57" s="1442">
        <f t="shared" si="10"/>
        <v>5.3281947090505914</v>
      </c>
      <c r="BC57" s="1442">
        <f t="shared" si="10"/>
        <v>5.3281947090505914</v>
      </c>
      <c r="BD57" s="1442">
        <f t="shared" si="10"/>
        <v>5.3281947090505914</v>
      </c>
      <c r="BE57" s="1442">
        <f t="shared" si="10"/>
        <v>5.3281947090505914</v>
      </c>
      <c r="BF57" s="1442">
        <f t="shared" si="10"/>
        <v>5.3281947090505914</v>
      </c>
      <c r="BG57" s="1442">
        <f t="shared" si="10"/>
        <v>5.3281947090505914</v>
      </c>
      <c r="BH57" s="1442">
        <f t="shared" si="10"/>
        <v>5.3281947090505914</v>
      </c>
      <c r="BI57" s="1442">
        <f t="shared" si="10"/>
        <v>5.3281947090505914</v>
      </c>
      <c r="BJ57" s="1442">
        <f t="shared" si="10"/>
        <v>5.3281947090505914</v>
      </c>
      <c r="BK57" s="1442">
        <f t="shared" si="8"/>
        <v>5.3281947090505914</v>
      </c>
      <c r="BL57" s="1442">
        <f t="shared" si="8"/>
        <v>5.3281947090505914</v>
      </c>
      <c r="BM57" s="1442">
        <f t="shared" si="8"/>
        <v>5.3281947090505914</v>
      </c>
      <c r="BN57" s="1443">
        <f t="shared" si="8"/>
        <v>5.3281947090505914</v>
      </c>
    </row>
    <row r="58" spans="1:66" s="91" customFormat="1">
      <c r="A58" s="1434">
        <v>113</v>
      </c>
      <c r="B58" s="1435">
        <v>0</v>
      </c>
      <c r="C58" s="1436" t="s">
        <v>147</v>
      </c>
      <c r="D58" s="1435" t="s">
        <v>148</v>
      </c>
      <c r="E58" s="1437">
        <v>3.2695844748090717</v>
      </c>
      <c r="F58" s="1437">
        <v>3.7603723218178358</v>
      </c>
      <c r="G58" s="1437">
        <v>3.9293842237910872</v>
      </c>
      <c r="H58" s="1437">
        <v>3.9413232136132277</v>
      </c>
      <c r="I58" s="1437">
        <v>3.9983457534152289</v>
      </c>
      <c r="J58" s="1437">
        <v>4.0555578957266993</v>
      </c>
      <c r="K58" s="1437">
        <v>4.1330255954288306</v>
      </c>
      <c r="L58" s="1437">
        <v>4.2158470719293089</v>
      </c>
      <c r="M58" s="1437">
        <v>4.3013786362871533</v>
      </c>
      <c r="N58" s="1437">
        <v>4.3884666987759893</v>
      </c>
      <c r="O58" s="1437">
        <v>4.4757089697616266</v>
      </c>
      <c r="P58" s="1437">
        <v>4.568381021515437</v>
      </c>
      <c r="Q58" s="1437">
        <v>4.6630357333914034</v>
      </c>
      <c r="R58" s="1437">
        <v>4.7597175914103502</v>
      </c>
      <c r="S58" s="1437">
        <v>4.8584717966178514</v>
      </c>
      <c r="T58" s="1437">
        <v>4.9593444040660533</v>
      </c>
      <c r="U58" s="1437">
        <v>5.0623831652902274</v>
      </c>
      <c r="V58" s="1437">
        <v>5.1676363331265227</v>
      </c>
      <c r="W58" s="1437">
        <v>5.2750082529478597</v>
      </c>
      <c r="X58" s="1437">
        <v>5.3802706371036146</v>
      </c>
      <c r="Y58" s="1437">
        <v>5.4906885650810215</v>
      </c>
      <c r="Z58" s="1437">
        <v>5.6038291529163944</v>
      </c>
      <c r="AA58" s="1437">
        <v>5.7145290310845018</v>
      </c>
      <c r="AB58" s="1437">
        <v>5.8331698394762999</v>
      </c>
      <c r="AC58" s="1437">
        <v>5.960724925098841</v>
      </c>
      <c r="AD58" s="1437">
        <v>6.0794087467541491</v>
      </c>
      <c r="AE58" s="1437">
        <f t="shared" si="9"/>
        <v>6.0794087467541491</v>
      </c>
      <c r="AF58" s="1437">
        <f t="shared" si="9"/>
        <v>6.0794087467541491</v>
      </c>
      <c r="AG58" s="1437">
        <f t="shared" si="9"/>
        <v>6.0794087467541491</v>
      </c>
      <c r="AH58" s="1437">
        <f t="shared" si="9"/>
        <v>6.0794087467541491</v>
      </c>
      <c r="AI58" s="1437">
        <f t="shared" si="9"/>
        <v>6.0794087467541491</v>
      </c>
      <c r="AJ58" s="1437">
        <f t="shared" si="9"/>
        <v>6.0794087467541491</v>
      </c>
      <c r="AK58" s="1437">
        <f t="shared" si="9"/>
        <v>6.0794087467541491</v>
      </c>
      <c r="AL58" s="1437">
        <f t="shared" si="9"/>
        <v>6.0794087467541491</v>
      </c>
      <c r="AM58" s="1437">
        <f t="shared" si="9"/>
        <v>6.0794087467541491</v>
      </c>
      <c r="AN58" s="1437">
        <f t="shared" si="9"/>
        <v>6.0794087467541491</v>
      </c>
      <c r="AO58" s="1437">
        <f t="shared" si="9"/>
        <v>6.0794087467541491</v>
      </c>
      <c r="AP58" s="1437">
        <f t="shared" si="9"/>
        <v>6.0794087467541491</v>
      </c>
      <c r="AQ58" s="1437">
        <f t="shared" si="9"/>
        <v>6.0794087467541491</v>
      </c>
      <c r="AR58" s="1437">
        <f t="shared" si="9"/>
        <v>6.0794087467541491</v>
      </c>
      <c r="AS58" s="1437">
        <f t="shared" si="9"/>
        <v>6.0794087467541491</v>
      </c>
      <c r="AT58" s="1437">
        <f t="shared" si="9"/>
        <v>6.0794087467541491</v>
      </c>
      <c r="AU58" s="1437">
        <f t="shared" si="10"/>
        <v>6.0794087467541491</v>
      </c>
      <c r="AV58" s="1437">
        <f t="shared" si="10"/>
        <v>6.0794087467541491</v>
      </c>
      <c r="AW58" s="1437">
        <f t="shared" si="10"/>
        <v>6.0794087467541491</v>
      </c>
      <c r="AX58" s="1437">
        <f t="shared" si="10"/>
        <v>6.0794087467541491</v>
      </c>
      <c r="AY58" s="1437">
        <f t="shared" si="10"/>
        <v>6.0794087467541491</v>
      </c>
      <c r="AZ58" s="1437">
        <f t="shared" si="10"/>
        <v>6.0794087467541491</v>
      </c>
      <c r="BA58" s="1437">
        <f t="shared" si="10"/>
        <v>6.0794087467541491</v>
      </c>
      <c r="BB58" s="1437">
        <f t="shared" si="10"/>
        <v>6.0794087467541491</v>
      </c>
      <c r="BC58" s="1437">
        <f t="shared" si="10"/>
        <v>6.0794087467541491</v>
      </c>
      <c r="BD58" s="1437">
        <f t="shared" si="10"/>
        <v>6.0794087467541491</v>
      </c>
      <c r="BE58" s="1437">
        <f t="shared" si="10"/>
        <v>6.0794087467541491</v>
      </c>
      <c r="BF58" s="1437">
        <f t="shared" si="10"/>
        <v>6.0794087467541491</v>
      </c>
      <c r="BG58" s="1437">
        <f t="shared" si="10"/>
        <v>6.0794087467541491</v>
      </c>
      <c r="BH58" s="1437">
        <f t="shared" si="10"/>
        <v>6.0794087467541491</v>
      </c>
      <c r="BI58" s="1437">
        <f t="shared" si="10"/>
        <v>6.0794087467541491</v>
      </c>
      <c r="BJ58" s="1437">
        <f t="shared" si="10"/>
        <v>6.0794087467541491</v>
      </c>
      <c r="BK58" s="1437">
        <f t="shared" si="8"/>
        <v>6.0794087467541491</v>
      </c>
      <c r="BL58" s="1437">
        <f t="shared" si="8"/>
        <v>6.0794087467541491</v>
      </c>
      <c r="BM58" s="1437">
        <f t="shared" si="8"/>
        <v>6.0794087467541491</v>
      </c>
      <c r="BN58" s="1438">
        <f t="shared" si="8"/>
        <v>6.0794087467541491</v>
      </c>
    </row>
    <row r="59" spans="1:66" s="91" customFormat="1">
      <c r="A59" s="1439">
        <v>20</v>
      </c>
      <c r="B59" s="1440">
        <v>0</v>
      </c>
      <c r="C59" s="1441" t="s">
        <v>69</v>
      </c>
      <c r="D59" s="1440" t="s">
        <v>78</v>
      </c>
      <c r="E59" s="1442">
        <v>2.8524852381770027</v>
      </c>
      <c r="F59" s="1442">
        <v>3.2721866609381616</v>
      </c>
      <c r="G59" s="1442">
        <v>3.4181703396539329</v>
      </c>
      <c r="H59" s="1442">
        <v>3.4305748346304226</v>
      </c>
      <c r="I59" s="1442">
        <v>3.4814058042222458</v>
      </c>
      <c r="J59" s="1442">
        <v>3.5324675058612733</v>
      </c>
      <c r="K59" s="1442">
        <v>3.6008350273682526</v>
      </c>
      <c r="L59" s="1442">
        <v>3.6738314168019341</v>
      </c>
      <c r="M59" s="1442">
        <v>3.7492095153132499</v>
      </c>
      <c r="N59" s="1442">
        <v>3.8259900729122447</v>
      </c>
      <c r="O59" s="1442">
        <v>3.9029823029442068</v>
      </c>
      <c r="P59" s="1442">
        <v>3.9846773105315538</v>
      </c>
      <c r="Q59" s="1442">
        <v>4.0681446187130685</v>
      </c>
      <c r="R59" s="1442">
        <v>4.1534246391302716</v>
      </c>
      <c r="S59" s="1442">
        <v>4.240558468628282</v>
      </c>
      <c r="T59" s="1442">
        <v>4.329588009812575</v>
      </c>
      <c r="U59" s="1442">
        <v>4.4205566902394677</v>
      </c>
      <c r="V59" s="1442">
        <v>4.5135084479472125</v>
      </c>
      <c r="W59" s="1442">
        <v>4.6083648645849973</v>
      </c>
      <c r="X59" s="1442">
        <v>4.7015313831641699</v>
      </c>
      <c r="Y59" s="1442">
        <v>4.7991926056060645</v>
      </c>
      <c r="Z59" s="1442">
        <v>4.8992817703386535</v>
      </c>
      <c r="AA59" s="1442">
        <v>4.9974089947398141</v>
      </c>
      <c r="AB59" s="1442">
        <v>5.1024108807846353</v>
      </c>
      <c r="AC59" s="1442">
        <v>5.2151191402990689</v>
      </c>
      <c r="AD59" s="1442">
        <v>5.3204046963055749</v>
      </c>
      <c r="AE59" s="1442">
        <f t="shared" si="9"/>
        <v>5.3204046963055749</v>
      </c>
      <c r="AF59" s="1442">
        <f t="shared" si="9"/>
        <v>5.3204046963055749</v>
      </c>
      <c r="AG59" s="1442">
        <f t="shared" si="9"/>
        <v>5.3204046963055749</v>
      </c>
      <c r="AH59" s="1442">
        <f t="shared" si="9"/>
        <v>5.3204046963055749</v>
      </c>
      <c r="AI59" s="1442">
        <f t="shared" si="9"/>
        <v>5.3204046963055749</v>
      </c>
      <c r="AJ59" s="1442">
        <f t="shared" si="9"/>
        <v>5.3204046963055749</v>
      </c>
      <c r="AK59" s="1442">
        <f t="shared" si="9"/>
        <v>5.3204046963055749</v>
      </c>
      <c r="AL59" s="1442">
        <f t="shared" si="9"/>
        <v>5.3204046963055749</v>
      </c>
      <c r="AM59" s="1442">
        <f t="shared" si="9"/>
        <v>5.3204046963055749</v>
      </c>
      <c r="AN59" s="1442">
        <f t="shared" si="9"/>
        <v>5.3204046963055749</v>
      </c>
      <c r="AO59" s="1442">
        <f t="shared" si="9"/>
        <v>5.3204046963055749</v>
      </c>
      <c r="AP59" s="1442">
        <f t="shared" si="9"/>
        <v>5.3204046963055749</v>
      </c>
      <c r="AQ59" s="1442">
        <f t="shared" si="9"/>
        <v>5.3204046963055749</v>
      </c>
      <c r="AR59" s="1442">
        <f t="shared" si="9"/>
        <v>5.3204046963055749</v>
      </c>
      <c r="AS59" s="1442">
        <f t="shared" si="9"/>
        <v>5.3204046963055749</v>
      </c>
      <c r="AT59" s="1442">
        <f t="shared" si="9"/>
        <v>5.3204046963055749</v>
      </c>
      <c r="AU59" s="1442">
        <f t="shared" si="10"/>
        <v>5.3204046963055749</v>
      </c>
      <c r="AV59" s="1442">
        <f t="shared" si="10"/>
        <v>5.3204046963055749</v>
      </c>
      <c r="AW59" s="1442">
        <f t="shared" si="10"/>
        <v>5.3204046963055749</v>
      </c>
      <c r="AX59" s="1442">
        <f t="shared" si="10"/>
        <v>5.3204046963055749</v>
      </c>
      <c r="AY59" s="1442">
        <f t="shared" si="10"/>
        <v>5.3204046963055749</v>
      </c>
      <c r="AZ59" s="1442">
        <f t="shared" si="10"/>
        <v>5.3204046963055749</v>
      </c>
      <c r="BA59" s="1442">
        <f t="shared" si="10"/>
        <v>5.3204046963055749</v>
      </c>
      <c r="BB59" s="1442">
        <f t="shared" si="10"/>
        <v>5.3204046963055749</v>
      </c>
      <c r="BC59" s="1442">
        <f t="shared" si="10"/>
        <v>5.3204046963055749</v>
      </c>
      <c r="BD59" s="1442">
        <f t="shared" si="10"/>
        <v>5.3204046963055749</v>
      </c>
      <c r="BE59" s="1442">
        <f t="shared" si="10"/>
        <v>5.3204046963055749</v>
      </c>
      <c r="BF59" s="1442">
        <f t="shared" si="10"/>
        <v>5.3204046963055749</v>
      </c>
      <c r="BG59" s="1442">
        <f t="shared" si="10"/>
        <v>5.3204046963055749</v>
      </c>
      <c r="BH59" s="1442">
        <f t="shared" si="10"/>
        <v>5.3204046963055749</v>
      </c>
      <c r="BI59" s="1442">
        <f t="shared" si="10"/>
        <v>5.3204046963055749</v>
      </c>
      <c r="BJ59" s="1442">
        <f t="shared" si="10"/>
        <v>5.3204046963055749</v>
      </c>
      <c r="BK59" s="1442">
        <f t="shared" si="8"/>
        <v>5.3204046963055749</v>
      </c>
      <c r="BL59" s="1442">
        <f t="shared" si="8"/>
        <v>5.3204046963055749</v>
      </c>
      <c r="BM59" s="1442">
        <f t="shared" si="8"/>
        <v>5.3204046963055749</v>
      </c>
      <c r="BN59" s="1443">
        <f t="shared" si="8"/>
        <v>5.3204046963055749</v>
      </c>
    </row>
    <row r="60" spans="1:66" s="91" customFormat="1">
      <c r="A60" s="1434">
        <v>21</v>
      </c>
      <c r="B60" s="1435">
        <v>0</v>
      </c>
      <c r="C60" s="1436" t="s">
        <v>69</v>
      </c>
      <c r="D60" s="1435" t="s">
        <v>79</v>
      </c>
      <c r="E60" s="1437">
        <v>3.6198911955984205</v>
      </c>
      <c r="F60" s="1437">
        <v>4.1703819861366291</v>
      </c>
      <c r="G60" s="1437">
        <v>4.3587344686395184</v>
      </c>
      <c r="H60" s="1437">
        <v>4.3702824973430356</v>
      </c>
      <c r="I60" s="1437">
        <v>4.4325051153671353</v>
      </c>
      <c r="J60" s="1437">
        <v>4.4948827926739954</v>
      </c>
      <c r="K60" s="1437">
        <v>4.5799934063451948</v>
      </c>
      <c r="L60" s="1437">
        <v>4.6710666218314119</v>
      </c>
      <c r="M60" s="1437">
        <v>4.765125718759359</v>
      </c>
      <c r="N60" s="1437">
        <v>4.8608706856976864</v>
      </c>
      <c r="O60" s="1437">
        <v>4.9567215992294766</v>
      </c>
      <c r="P60" s="1437">
        <v>5.0586128775082821</v>
      </c>
      <c r="Q60" s="1437">
        <v>5.1626634893479961</v>
      </c>
      <c r="R60" s="1437">
        <v>5.2689213426947941</v>
      </c>
      <c r="S60" s="1437">
        <v>5.3774350855653266</v>
      </c>
      <c r="T60" s="1437">
        <v>5.4882542605030782</v>
      </c>
      <c r="U60" s="1437">
        <v>5.6014302505984901</v>
      </c>
      <c r="V60" s="1437">
        <v>5.717014932532039</v>
      </c>
      <c r="W60" s="1437">
        <v>5.8348981755450948</v>
      </c>
      <c r="X60" s="1437">
        <v>5.9503194442853795</v>
      </c>
      <c r="Y60" s="1437">
        <v>6.0714512726772423</v>
      </c>
      <c r="Z60" s="1437">
        <v>6.1955532836638225</v>
      </c>
      <c r="AA60" s="1437">
        <v>6.3168124837532131</v>
      </c>
      <c r="AB60" s="1437">
        <v>6.4469081348847119</v>
      </c>
      <c r="AC60" s="1437">
        <v>6.5869325383848336</v>
      </c>
      <c r="AD60" s="1437">
        <v>6.7168690838321936</v>
      </c>
      <c r="AE60" s="1437">
        <f t="shared" si="9"/>
        <v>6.7168690838321936</v>
      </c>
      <c r="AF60" s="1437">
        <f t="shared" si="9"/>
        <v>6.7168690838321936</v>
      </c>
      <c r="AG60" s="1437">
        <f t="shared" si="9"/>
        <v>6.7168690838321936</v>
      </c>
      <c r="AH60" s="1437">
        <f t="shared" si="9"/>
        <v>6.7168690838321936</v>
      </c>
      <c r="AI60" s="1437">
        <f t="shared" si="9"/>
        <v>6.7168690838321936</v>
      </c>
      <c r="AJ60" s="1437">
        <f t="shared" si="9"/>
        <v>6.7168690838321936</v>
      </c>
      <c r="AK60" s="1437">
        <f t="shared" si="9"/>
        <v>6.7168690838321936</v>
      </c>
      <c r="AL60" s="1437">
        <f t="shared" si="9"/>
        <v>6.7168690838321936</v>
      </c>
      <c r="AM60" s="1437">
        <f t="shared" si="9"/>
        <v>6.7168690838321936</v>
      </c>
      <c r="AN60" s="1437">
        <f t="shared" si="9"/>
        <v>6.7168690838321936</v>
      </c>
      <c r="AO60" s="1437">
        <f t="shared" si="9"/>
        <v>6.7168690838321936</v>
      </c>
      <c r="AP60" s="1437">
        <f t="shared" si="9"/>
        <v>6.7168690838321936</v>
      </c>
      <c r="AQ60" s="1437">
        <f t="shared" si="9"/>
        <v>6.7168690838321936</v>
      </c>
      <c r="AR60" s="1437">
        <f t="shared" si="9"/>
        <v>6.7168690838321936</v>
      </c>
      <c r="AS60" s="1437">
        <f t="shared" si="9"/>
        <v>6.7168690838321936</v>
      </c>
      <c r="AT60" s="1437">
        <f t="shared" si="9"/>
        <v>6.7168690838321936</v>
      </c>
      <c r="AU60" s="1437">
        <f t="shared" si="10"/>
        <v>6.7168690838321936</v>
      </c>
      <c r="AV60" s="1437">
        <f t="shared" si="10"/>
        <v>6.7168690838321936</v>
      </c>
      <c r="AW60" s="1437">
        <f t="shared" si="10"/>
        <v>6.7168690838321936</v>
      </c>
      <c r="AX60" s="1437">
        <f t="shared" si="10"/>
        <v>6.7168690838321936</v>
      </c>
      <c r="AY60" s="1437">
        <f t="shared" si="10"/>
        <v>6.7168690838321936</v>
      </c>
      <c r="AZ60" s="1437">
        <f t="shared" si="10"/>
        <v>6.7168690838321936</v>
      </c>
      <c r="BA60" s="1437">
        <f t="shared" si="10"/>
        <v>6.7168690838321936</v>
      </c>
      <c r="BB60" s="1437">
        <f t="shared" si="10"/>
        <v>6.7168690838321936</v>
      </c>
      <c r="BC60" s="1437">
        <f t="shared" si="10"/>
        <v>6.7168690838321936</v>
      </c>
      <c r="BD60" s="1437">
        <f t="shared" si="10"/>
        <v>6.7168690838321936</v>
      </c>
      <c r="BE60" s="1437">
        <f t="shared" si="10"/>
        <v>6.7168690838321936</v>
      </c>
      <c r="BF60" s="1437">
        <f t="shared" si="10"/>
        <v>6.7168690838321936</v>
      </c>
      <c r="BG60" s="1437">
        <f t="shared" si="10"/>
        <v>6.7168690838321936</v>
      </c>
      <c r="BH60" s="1437">
        <f t="shared" si="10"/>
        <v>6.7168690838321936</v>
      </c>
      <c r="BI60" s="1437">
        <f t="shared" si="10"/>
        <v>6.7168690838321936</v>
      </c>
      <c r="BJ60" s="1437">
        <f t="shared" si="10"/>
        <v>6.7168690838321936</v>
      </c>
      <c r="BK60" s="1437">
        <f t="shared" si="8"/>
        <v>6.7168690838321936</v>
      </c>
      <c r="BL60" s="1437">
        <f t="shared" si="8"/>
        <v>6.7168690838321936</v>
      </c>
      <c r="BM60" s="1437">
        <f t="shared" si="8"/>
        <v>6.7168690838321936</v>
      </c>
      <c r="BN60" s="1438">
        <f t="shared" si="8"/>
        <v>6.7168690838321936</v>
      </c>
    </row>
    <row r="61" spans="1:66" s="91" customFormat="1">
      <c r="A61" s="1439">
        <v>114</v>
      </c>
      <c r="B61" s="1440">
        <v>0</v>
      </c>
      <c r="C61" s="1441" t="s">
        <v>149</v>
      </c>
      <c r="D61" s="1440" t="s">
        <v>8</v>
      </c>
      <c r="E61" s="1442">
        <v>2.9885569403578258</v>
      </c>
      <c r="F61" s="1442">
        <v>3.5253750401856405</v>
      </c>
      <c r="G61" s="1442">
        <v>3.7126990355353962</v>
      </c>
      <c r="H61" s="1442">
        <v>3.7242522167618635</v>
      </c>
      <c r="I61" s="1442">
        <v>3.78645829340525</v>
      </c>
      <c r="J61" s="1442">
        <v>3.8489301751891145</v>
      </c>
      <c r="K61" s="1442">
        <v>3.9343802388605953</v>
      </c>
      <c r="L61" s="1442">
        <v>4.0260846222421049</v>
      </c>
      <c r="M61" s="1442">
        <v>4.1210805901756133</v>
      </c>
      <c r="N61" s="1442">
        <v>4.2180682060035073</v>
      </c>
      <c r="O61" s="1442">
        <v>4.3154418963175303</v>
      </c>
      <c r="P61" s="1442">
        <v>4.4192767153767667</v>
      </c>
      <c r="Q61" s="1442">
        <v>4.5256360013561352</v>
      </c>
      <c r="R61" s="1442">
        <v>4.6345822213617183</v>
      </c>
      <c r="S61" s="1442">
        <v>4.746179027100613</v>
      </c>
      <c r="T61" s="1442">
        <v>4.860491420272111</v>
      </c>
      <c r="U61" s="1442">
        <v>4.9775867484084548</v>
      </c>
      <c r="V61" s="1442">
        <v>5.0975333175548734</v>
      </c>
      <c r="W61" s="1442">
        <v>5.2202292842582869</v>
      </c>
      <c r="X61" s="1442">
        <v>5.3406559384664813</v>
      </c>
      <c r="Y61" s="1442">
        <v>5.4674380979301072</v>
      </c>
      <c r="Z61" s="1442">
        <v>5.5977098770993354</v>
      </c>
      <c r="AA61" s="1442">
        <v>5.7252790596566783</v>
      </c>
      <c r="AB61" s="1442">
        <v>5.8626206284059181</v>
      </c>
      <c r="AC61" s="1442">
        <v>6.0109996985208509</v>
      </c>
      <c r="AD61" s="1442">
        <v>6.1488873919251557</v>
      </c>
      <c r="AE61" s="1442">
        <f t="shared" si="9"/>
        <v>6.1488873919251557</v>
      </c>
      <c r="AF61" s="1442">
        <f t="shared" si="9"/>
        <v>6.1488873919251557</v>
      </c>
      <c r="AG61" s="1442">
        <f t="shared" si="9"/>
        <v>6.1488873919251557</v>
      </c>
      <c r="AH61" s="1442">
        <f t="shared" si="9"/>
        <v>6.1488873919251557</v>
      </c>
      <c r="AI61" s="1442">
        <f t="shared" si="9"/>
        <v>6.1488873919251557</v>
      </c>
      <c r="AJ61" s="1442">
        <f t="shared" si="9"/>
        <v>6.1488873919251557</v>
      </c>
      <c r="AK61" s="1442">
        <f t="shared" si="9"/>
        <v>6.1488873919251557</v>
      </c>
      <c r="AL61" s="1442">
        <f t="shared" si="9"/>
        <v>6.1488873919251557</v>
      </c>
      <c r="AM61" s="1442">
        <f t="shared" si="9"/>
        <v>6.1488873919251557</v>
      </c>
      <c r="AN61" s="1442">
        <f t="shared" si="9"/>
        <v>6.1488873919251557</v>
      </c>
      <c r="AO61" s="1442">
        <f t="shared" si="9"/>
        <v>6.1488873919251557</v>
      </c>
      <c r="AP61" s="1442">
        <f t="shared" si="9"/>
        <v>6.1488873919251557</v>
      </c>
      <c r="AQ61" s="1442">
        <f t="shared" si="9"/>
        <v>6.1488873919251557</v>
      </c>
      <c r="AR61" s="1442">
        <f t="shared" si="9"/>
        <v>6.1488873919251557</v>
      </c>
      <c r="AS61" s="1442">
        <f t="shared" si="9"/>
        <v>6.1488873919251557</v>
      </c>
      <c r="AT61" s="1442">
        <f t="shared" si="9"/>
        <v>6.1488873919251557</v>
      </c>
      <c r="AU61" s="1442">
        <f t="shared" si="10"/>
        <v>6.1488873919251557</v>
      </c>
      <c r="AV61" s="1442">
        <f t="shared" si="10"/>
        <v>6.1488873919251557</v>
      </c>
      <c r="AW61" s="1442">
        <f t="shared" si="10"/>
        <v>6.1488873919251557</v>
      </c>
      <c r="AX61" s="1442">
        <f t="shared" si="10"/>
        <v>6.1488873919251557</v>
      </c>
      <c r="AY61" s="1442">
        <f t="shared" si="10"/>
        <v>6.1488873919251557</v>
      </c>
      <c r="AZ61" s="1442">
        <f t="shared" si="10"/>
        <v>6.1488873919251557</v>
      </c>
      <c r="BA61" s="1442">
        <f t="shared" si="10"/>
        <v>6.1488873919251557</v>
      </c>
      <c r="BB61" s="1442">
        <f t="shared" si="10"/>
        <v>6.1488873919251557</v>
      </c>
      <c r="BC61" s="1442">
        <f t="shared" si="10"/>
        <v>6.1488873919251557</v>
      </c>
      <c r="BD61" s="1442">
        <f t="shared" si="10"/>
        <v>6.1488873919251557</v>
      </c>
      <c r="BE61" s="1442">
        <f t="shared" si="10"/>
        <v>6.1488873919251557</v>
      </c>
      <c r="BF61" s="1442">
        <f t="shared" si="10"/>
        <v>6.1488873919251557</v>
      </c>
      <c r="BG61" s="1442">
        <f t="shared" si="10"/>
        <v>6.1488873919251557</v>
      </c>
      <c r="BH61" s="1442">
        <f t="shared" si="10"/>
        <v>6.1488873919251557</v>
      </c>
      <c r="BI61" s="1442">
        <f t="shared" si="10"/>
        <v>6.1488873919251557</v>
      </c>
      <c r="BJ61" s="1442">
        <f t="shared" si="10"/>
        <v>6.1488873919251557</v>
      </c>
      <c r="BK61" s="1442">
        <f t="shared" si="8"/>
        <v>6.1488873919251557</v>
      </c>
      <c r="BL61" s="1442">
        <f t="shared" si="8"/>
        <v>6.1488873919251557</v>
      </c>
      <c r="BM61" s="1442">
        <f t="shared" si="8"/>
        <v>6.1488873919251557</v>
      </c>
      <c r="BN61" s="1443">
        <f t="shared" si="8"/>
        <v>6.1488873919251557</v>
      </c>
    </row>
    <row r="62" spans="1:66" s="91" customFormat="1">
      <c r="A62" s="1434">
        <v>116</v>
      </c>
      <c r="B62" s="1435">
        <v>0</v>
      </c>
      <c r="C62" s="1436" t="s">
        <v>54</v>
      </c>
      <c r="D62" s="1435" t="s">
        <v>18</v>
      </c>
      <c r="E62" s="1437">
        <v>2.9434325077729229</v>
      </c>
      <c r="F62" s="1437">
        <v>3.470875050751796</v>
      </c>
      <c r="G62" s="1437">
        <v>3.6551008566614192</v>
      </c>
      <c r="H62" s="1437">
        <v>3.6667169469258631</v>
      </c>
      <c r="I62" s="1437">
        <v>3.7280853531501834</v>
      </c>
      <c r="J62" s="1437">
        <v>3.7897231442685486</v>
      </c>
      <c r="K62" s="1437">
        <v>3.8739355002076836</v>
      </c>
      <c r="L62" s="1437">
        <v>3.9642988334293512</v>
      </c>
      <c r="M62" s="1437">
        <v>4.0579038242744589</v>
      </c>
      <c r="N62" s="1437">
        <v>4.1534741298853266</v>
      </c>
      <c r="O62" s="1437">
        <v>4.2494332618150645</v>
      </c>
      <c r="P62" s="1437">
        <v>4.3517475815998585</v>
      </c>
      <c r="Q62" s="1437">
        <v>4.4565513479574665</v>
      </c>
      <c r="R62" s="1437">
        <v>4.5639062153843035</v>
      </c>
      <c r="S62" s="1437">
        <v>4.6738750109671763</v>
      </c>
      <c r="T62" s="1437">
        <v>4.7865218970846497</v>
      </c>
      <c r="U62" s="1437">
        <v>4.9019133496685106</v>
      </c>
      <c r="V62" s="1437">
        <v>5.0201167960656452</v>
      </c>
      <c r="W62" s="1437">
        <v>5.1410325769111402</v>
      </c>
      <c r="X62" s="1437">
        <v>5.259732382774593</v>
      </c>
      <c r="Y62" s="1437">
        <v>5.3846866858467104</v>
      </c>
      <c r="Z62" s="1437">
        <v>5.5130814031368764</v>
      </c>
      <c r="AA62" s="1437">
        <v>5.6388358050955079</v>
      </c>
      <c r="AB62" s="1437">
        <v>5.7742014942976283</v>
      </c>
      <c r="AC62" s="1437">
        <v>5.920421316827257</v>
      </c>
      <c r="AD62" s="1437">
        <v>6.0563530497282665</v>
      </c>
      <c r="AE62" s="1437">
        <f t="shared" si="9"/>
        <v>6.0563530497282665</v>
      </c>
      <c r="AF62" s="1437">
        <f t="shared" si="9"/>
        <v>6.0563530497282665</v>
      </c>
      <c r="AG62" s="1437">
        <f t="shared" si="9"/>
        <v>6.0563530497282665</v>
      </c>
      <c r="AH62" s="1437">
        <f t="shared" si="9"/>
        <v>6.0563530497282665</v>
      </c>
      <c r="AI62" s="1437">
        <f t="shared" si="9"/>
        <v>6.0563530497282665</v>
      </c>
      <c r="AJ62" s="1437">
        <f t="shared" si="9"/>
        <v>6.0563530497282665</v>
      </c>
      <c r="AK62" s="1437">
        <f t="shared" si="9"/>
        <v>6.0563530497282665</v>
      </c>
      <c r="AL62" s="1437">
        <f t="shared" si="9"/>
        <v>6.0563530497282665</v>
      </c>
      <c r="AM62" s="1437">
        <f t="shared" si="9"/>
        <v>6.0563530497282665</v>
      </c>
      <c r="AN62" s="1437">
        <f t="shared" si="9"/>
        <v>6.0563530497282665</v>
      </c>
      <c r="AO62" s="1437">
        <f t="shared" si="9"/>
        <v>6.0563530497282665</v>
      </c>
      <c r="AP62" s="1437">
        <f t="shared" si="9"/>
        <v>6.0563530497282665</v>
      </c>
      <c r="AQ62" s="1437">
        <f t="shared" si="9"/>
        <v>6.0563530497282665</v>
      </c>
      <c r="AR62" s="1437">
        <f t="shared" si="9"/>
        <v>6.0563530497282665</v>
      </c>
      <c r="AS62" s="1437">
        <f t="shared" si="9"/>
        <v>6.0563530497282665</v>
      </c>
      <c r="AT62" s="1437">
        <f t="shared" si="9"/>
        <v>6.0563530497282665</v>
      </c>
      <c r="AU62" s="1437">
        <f t="shared" si="10"/>
        <v>6.0563530497282665</v>
      </c>
      <c r="AV62" s="1437">
        <f t="shared" si="10"/>
        <v>6.0563530497282665</v>
      </c>
      <c r="AW62" s="1437">
        <f t="shared" si="10"/>
        <v>6.0563530497282665</v>
      </c>
      <c r="AX62" s="1437">
        <f t="shared" si="10"/>
        <v>6.0563530497282665</v>
      </c>
      <c r="AY62" s="1437">
        <f t="shared" si="10"/>
        <v>6.0563530497282665</v>
      </c>
      <c r="AZ62" s="1437">
        <f t="shared" si="10"/>
        <v>6.0563530497282665</v>
      </c>
      <c r="BA62" s="1437">
        <f t="shared" si="10"/>
        <v>6.0563530497282665</v>
      </c>
      <c r="BB62" s="1437">
        <f t="shared" si="10"/>
        <v>6.0563530497282665</v>
      </c>
      <c r="BC62" s="1437">
        <f t="shared" si="10"/>
        <v>6.0563530497282665</v>
      </c>
      <c r="BD62" s="1437">
        <f t="shared" si="10"/>
        <v>6.0563530497282665</v>
      </c>
      <c r="BE62" s="1437">
        <f t="shared" si="10"/>
        <v>6.0563530497282665</v>
      </c>
      <c r="BF62" s="1437">
        <f t="shared" si="10"/>
        <v>6.0563530497282665</v>
      </c>
      <c r="BG62" s="1437">
        <f t="shared" si="10"/>
        <v>6.0563530497282665</v>
      </c>
      <c r="BH62" s="1437">
        <f t="shared" si="10"/>
        <v>6.0563530497282665</v>
      </c>
      <c r="BI62" s="1437">
        <f t="shared" si="10"/>
        <v>6.0563530497282665</v>
      </c>
      <c r="BJ62" s="1437">
        <f t="shared" si="10"/>
        <v>6.0563530497282665</v>
      </c>
      <c r="BK62" s="1437">
        <f t="shared" si="8"/>
        <v>6.0563530497282665</v>
      </c>
      <c r="BL62" s="1437">
        <f t="shared" si="8"/>
        <v>6.0563530497282665</v>
      </c>
      <c r="BM62" s="1437">
        <f t="shared" si="8"/>
        <v>6.0563530497282665</v>
      </c>
      <c r="BN62" s="1438">
        <f t="shared" si="8"/>
        <v>6.0563530497282665</v>
      </c>
    </row>
    <row r="63" spans="1:66" s="91" customFormat="1">
      <c r="A63" s="1439">
        <v>22</v>
      </c>
      <c r="B63" s="1440">
        <v>0</v>
      </c>
      <c r="C63" s="1441" t="s">
        <v>54</v>
      </c>
      <c r="D63" s="1440" t="s">
        <v>60</v>
      </c>
      <c r="E63" s="1442">
        <v>2.6554273839070861</v>
      </c>
      <c r="F63" s="1442">
        <v>3.1227732311576308</v>
      </c>
      <c r="G63" s="1442">
        <v>3.2871306004063445</v>
      </c>
      <c r="H63" s="1442">
        <v>3.2991501634565861</v>
      </c>
      <c r="I63" s="1442">
        <v>3.3551459545785978</v>
      </c>
      <c r="J63" s="1442">
        <v>3.4114337914596469</v>
      </c>
      <c r="K63" s="1442">
        <v>3.4877068059715581</v>
      </c>
      <c r="L63" s="1442">
        <v>3.569467187059753</v>
      </c>
      <c r="M63" s="1442">
        <v>3.6541481710761938</v>
      </c>
      <c r="N63" s="1442">
        <v>3.7406247380633872</v>
      </c>
      <c r="O63" s="1442">
        <v>3.8275070119345886</v>
      </c>
      <c r="P63" s="1442">
        <v>3.9200638329434456</v>
      </c>
      <c r="Q63" s="1442">
        <v>4.0148844783549933</v>
      </c>
      <c r="R63" s="1442">
        <v>4.1120253470921249</v>
      </c>
      <c r="S63" s="1442">
        <v>4.2115439321823747</v>
      </c>
      <c r="T63" s="1442">
        <v>4.3134989661676029</v>
      </c>
      <c r="U63" s="1442">
        <v>4.4179512864679351</v>
      </c>
      <c r="V63" s="1442">
        <v>4.5249626348555232</v>
      </c>
      <c r="W63" s="1442">
        <v>4.6344473327963707</v>
      </c>
      <c r="X63" s="1442">
        <v>4.7420575945658872</v>
      </c>
      <c r="Y63" s="1442">
        <v>4.8552726922210665</v>
      </c>
      <c r="Z63" s="1442">
        <v>4.9716111364356292</v>
      </c>
      <c r="AA63" s="1442">
        <v>5.0857083044431288</v>
      </c>
      <c r="AB63" s="1442">
        <v>5.2083808584588294</v>
      </c>
      <c r="AC63" s="1442">
        <v>5.340728319572448</v>
      </c>
      <c r="AD63" s="1442">
        <v>5.4640926226362092</v>
      </c>
      <c r="AE63" s="1442">
        <f t="shared" si="9"/>
        <v>5.4640926226362092</v>
      </c>
      <c r="AF63" s="1442">
        <f t="shared" si="9"/>
        <v>5.4640926226362092</v>
      </c>
      <c r="AG63" s="1442">
        <f t="shared" si="9"/>
        <v>5.4640926226362092</v>
      </c>
      <c r="AH63" s="1442">
        <f t="shared" si="9"/>
        <v>5.4640926226362092</v>
      </c>
      <c r="AI63" s="1442">
        <f t="shared" si="9"/>
        <v>5.4640926226362092</v>
      </c>
      <c r="AJ63" s="1442">
        <f t="shared" si="9"/>
        <v>5.4640926226362092</v>
      </c>
      <c r="AK63" s="1442">
        <f t="shared" si="9"/>
        <v>5.4640926226362092</v>
      </c>
      <c r="AL63" s="1442">
        <f t="shared" si="9"/>
        <v>5.4640926226362092</v>
      </c>
      <c r="AM63" s="1442">
        <f t="shared" si="9"/>
        <v>5.4640926226362092</v>
      </c>
      <c r="AN63" s="1442">
        <f t="shared" si="9"/>
        <v>5.4640926226362092</v>
      </c>
      <c r="AO63" s="1442">
        <f t="shared" si="9"/>
        <v>5.4640926226362092</v>
      </c>
      <c r="AP63" s="1442">
        <f t="shared" si="9"/>
        <v>5.4640926226362092</v>
      </c>
      <c r="AQ63" s="1442">
        <f t="shared" si="9"/>
        <v>5.4640926226362092</v>
      </c>
      <c r="AR63" s="1442">
        <f t="shared" si="9"/>
        <v>5.4640926226362092</v>
      </c>
      <c r="AS63" s="1442">
        <f t="shared" si="9"/>
        <v>5.4640926226362092</v>
      </c>
      <c r="AT63" s="1442">
        <f t="shared" si="9"/>
        <v>5.4640926226362092</v>
      </c>
      <c r="AU63" s="1442">
        <f t="shared" si="10"/>
        <v>5.4640926226362092</v>
      </c>
      <c r="AV63" s="1442">
        <f t="shared" si="10"/>
        <v>5.4640926226362092</v>
      </c>
      <c r="AW63" s="1442">
        <f t="shared" si="10"/>
        <v>5.4640926226362092</v>
      </c>
      <c r="AX63" s="1442">
        <f t="shared" si="10"/>
        <v>5.4640926226362092</v>
      </c>
      <c r="AY63" s="1442">
        <f t="shared" si="10"/>
        <v>5.4640926226362092</v>
      </c>
      <c r="AZ63" s="1442">
        <f t="shared" si="10"/>
        <v>5.4640926226362092</v>
      </c>
      <c r="BA63" s="1442">
        <f t="shared" si="10"/>
        <v>5.4640926226362092</v>
      </c>
      <c r="BB63" s="1442">
        <f t="shared" si="10"/>
        <v>5.4640926226362092</v>
      </c>
      <c r="BC63" s="1442">
        <f t="shared" si="10"/>
        <v>5.4640926226362092</v>
      </c>
      <c r="BD63" s="1442">
        <f t="shared" si="10"/>
        <v>5.4640926226362092</v>
      </c>
      <c r="BE63" s="1442">
        <f t="shared" si="10"/>
        <v>5.4640926226362092</v>
      </c>
      <c r="BF63" s="1442">
        <f t="shared" si="10"/>
        <v>5.4640926226362092</v>
      </c>
      <c r="BG63" s="1442">
        <f t="shared" si="10"/>
        <v>5.4640926226362092</v>
      </c>
      <c r="BH63" s="1442">
        <f t="shared" si="10"/>
        <v>5.4640926226362092</v>
      </c>
      <c r="BI63" s="1442">
        <f t="shared" si="10"/>
        <v>5.4640926226362092</v>
      </c>
      <c r="BJ63" s="1442">
        <f t="shared" si="10"/>
        <v>5.4640926226362092</v>
      </c>
      <c r="BK63" s="1442">
        <f t="shared" si="8"/>
        <v>5.4640926226362092</v>
      </c>
      <c r="BL63" s="1442">
        <f t="shared" si="8"/>
        <v>5.4640926226362092</v>
      </c>
      <c r="BM63" s="1442">
        <f t="shared" si="8"/>
        <v>5.4640926226362092</v>
      </c>
      <c r="BN63" s="1443">
        <f t="shared" si="8"/>
        <v>5.4640926226362092</v>
      </c>
    </row>
    <row r="64" spans="1:66" s="91" customFormat="1">
      <c r="A64" s="1434">
        <v>23</v>
      </c>
      <c r="B64" s="1435">
        <v>0</v>
      </c>
      <c r="C64" s="1436" t="s">
        <v>54</v>
      </c>
      <c r="D64" s="1435" t="s">
        <v>61</v>
      </c>
      <c r="E64" s="1437">
        <v>2.3268287389596995</v>
      </c>
      <c r="F64" s="1437">
        <v>2.7261587859664003</v>
      </c>
      <c r="G64" s="1437">
        <v>2.8680493163755836</v>
      </c>
      <c r="H64" s="1437">
        <v>2.8805250285274782</v>
      </c>
      <c r="I64" s="1437">
        <v>2.9304470694939555</v>
      </c>
      <c r="J64" s="1437">
        <v>2.9806874109732338</v>
      </c>
      <c r="K64" s="1437">
        <v>3.047987083278783</v>
      </c>
      <c r="L64" s="1437">
        <v>3.1200256080683371</v>
      </c>
      <c r="M64" s="1437">
        <v>3.1946235629041424</v>
      </c>
      <c r="N64" s="1437">
        <v>3.2708270029095265</v>
      </c>
      <c r="O64" s="1437">
        <v>3.3474568717107824</v>
      </c>
      <c r="P64" s="1437">
        <v>3.4289942968202825</v>
      </c>
      <c r="Q64" s="1437">
        <v>3.5125426322218227</v>
      </c>
      <c r="R64" s="1437">
        <v>3.5981524284897266</v>
      </c>
      <c r="S64" s="1437">
        <v>3.6858752446692917</v>
      </c>
      <c r="T64" s="1437">
        <v>3.7757637742231709</v>
      </c>
      <c r="U64" s="1437">
        <v>3.8678725830802136</v>
      </c>
      <c r="V64" s="1437">
        <v>3.9622570915950686</v>
      </c>
      <c r="W64" s="1437">
        <v>4.0588474849220573</v>
      </c>
      <c r="X64" s="1437">
        <v>4.1539507348502518</v>
      </c>
      <c r="Y64" s="1437">
        <v>4.2539282553837143</v>
      </c>
      <c r="Z64" s="1437">
        <v>4.356673820703981</v>
      </c>
      <c r="AA64" s="1437">
        <v>4.4576301145727362</v>
      </c>
      <c r="AB64" s="1437">
        <v>4.5659963556780374</v>
      </c>
      <c r="AC64" s="1437">
        <v>4.6827110936529968</v>
      </c>
      <c r="AD64" s="1437">
        <v>4.7919155626551655</v>
      </c>
      <c r="AE64" s="1437">
        <f t="shared" si="9"/>
        <v>4.7919155626551655</v>
      </c>
      <c r="AF64" s="1437">
        <f t="shared" si="9"/>
        <v>4.7919155626551655</v>
      </c>
      <c r="AG64" s="1437">
        <f t="shared" si="9"/>
        <v>4.7919155626551655</v>
      </c>
      <c r="AH64" s="1437">
        <f t="shared" si="9"/>
        <v>4.7919155626551655</v>
      </c>
      <c r="AI64" s="1437">
        <f t="shared" si="9"/>
        <v>4.7919155626551655</v>
      </c>
      <c r="AJ64" s="1437">
        <f t="shared" si="9"/>
        <v>4.7919155626551655</v>
      </c>
      <c r="AK64" s="1437">
        <f t="shared" si="9"/>
        <v>4.7919155626551655</v>
      </c>
      <c r="AL64" s="1437">
        <f t="shared" si="9"/>
        <v>4.7919155626551655</v>
      </c>
      <c r="AM64" s="1437">
        <f t="shared" si="9"/>
        <v>4.7919155626551655</v>
      </c>
      <c r="AN64" s="1437">
        <f t="shared" si="9"/>
        <v>4.7919155626551655</v>
      </c>
      <c r="AO64" s="1437">
        <f t="shared" si="9"/>
        <v>4.7919155626551655</v>
      </c>
      <c r="AP64" s="1437">
        <f t="shared" si="9"/>
        <v>4.7919155626551655</v>
      </c>
      <c r="AQ64" s="1437">
        <f t="shared" si="9"/>
        <v>4.7919155626551655</v>
      </c>
      <c r="AR64" s="1437">
        <f t="shared" si="9"/>
        <v>4.7919155626551655</v>
      </c>
      <c r="AS64" s="1437">
        <f t="shared" si="9"/>
        <v>4.7919155626551655</v>
      </c>
      <c r="AT64" s="1437">
        <f t="shared" si="9"/>
        <v>4.7919155626551655</v>
      </c>
      <c r="AU64" s="1437">
        <f t="shared" si="10"/>
        <v>4.7919155626551655</v>
      </c>
      <c r="AV64" s="1437">
        <f t="shared" si="10"/>
        <v>4.7919155626551655</v>
      </c>
      <c r="AW64" s="1437">
        <f t="shared" si="10"/>
        <v>4.7919155626551655</v>
      </c>
      <c r="AX64" s="1437">
        <f t="shared" si="10"/>
        <v>4.7919155626551655</v>
      </c>
      <c r="AY64" s="1437">
        <f t="shared" si="10"/>
        <v>4.7919155626551655</v>
      </c>
      <c r="AZ64" s="1437">
        <f t="shared" si="10"/>
        <v>4.7919155626551655</v>
      </c>
      <c r="BA64" s="1437">
        <f t="shared" si="10"/>
        <v>4.7919155626551655</v>
      </c>
      <c r="BB64" s="1437">
        <f t="shared" si="10"/>
        <v>4.7919155626551655</v>
      </c>
      <c r="BC64" s="1437">
        <f t="shared" si="10"/>
        <v>4.7919155626551655</v>
      </c>
      <c r="BD64" s="1437">
        <f t="shared" si="10"/>
        <v>4.7919155626551655</v>
      </c>
      <c r="BE64" s="1437">
        <f t="shared" si="10"/>
        <v>4.7919155626551655</v>
      </c>
      <c r="BF64" s="1437">
        <f t="shared" si="10"/>
        <v>4.7919155626551655</v>
      </c>
      <c r="BG64" s="1437">
        <f t="shared" si="10"/>
        <v>4.7919155626551655</v>
      </c>
      <c r="BH64" s="1437">
        <f t="shared" si="10"/>
        <v>4.7919155626551655</v>
      </c>
      <c r="BI64" s="1437">
        <f t="shared" si="10"/>
        <v>4.7919155626551655</v>
      </c>
      <c r="BJ64" s="1437">
        <f t="shared" si="10"/>
        <v>4.7919155626551655</v>
      </c>
      <c r="BK64" s="1437">
        <f t="shared" si="8"/>
        <v>4.7919155626551655</v>
      </c>
      <c r="BL64" s="1437">
        <f t="shared" si="8"/>
        <v>4.7919155626551655</v>
      </c>
      <c r="BM64" s="1437">
        <f t="shared" si="8"/>
        <v>4.7919155626551655</v>
      </c>
      <c r="BN64" s="1438">
        <f t="shared" si="8"/>
        <v>4.7919155626551655</v>
      </c>
    </row>
    <row r="65" spans="1:66" s="91" customFormat="1">
      <c r="A65" s="1439">
        <v>24</v>
      </c>
      <c r="B65" s="1440">
        <v>0</v>
      </c>
      <c r="C65" s="1441" t="s">
        <v>69</v>
      </c>
      <c r="D65" s="1440" t="s">
        <v>80</v>
      </c>
      <c r="E65" s="1442">
        <v>3.690445697989273</v>
      </c>
      <c r="F65" s="1442">
        <v>4.2529611264290832</v>
      </c>
      <c r="G65" s="1442">
        <v>4.4452089525101481</v>
      </c>
      <c r="H65" s="1442">
        <v>4.4566782385988599</v>
      </c>
      <c r="I65" s="1442">
        <v>4.5199481928845291</v>
      </c>
      <c r="J65" s="1442">
        <v>4.5833662491780114</v>
      </c>
      <c r="K65" s="1442">
        <v>4.6700162052594525</v>
      </c>
      <c r="L65" s="1442">
        <v>4.7627513852569017</v>
      </c>
      <c r="M65" s="1442">
        <v>4.858527993672352</v>
      </c>
      <c r="N65" s="1442">
        <v>4.9560165286024755</v>
      </c>
      <c r="O65" s="1442">
        <v>5.053601289802776</v>
      </c>
      <c r="P65" s="1442">
        <v>5.1573493921197677</v>
      </c>
      <c r="Q65" s="1442">
        <v>5.2632924114044854</v>
      </c>
      <c r="R65" s="1442">
        <v>5.371478944805526</v>
      </c>
      <c r="S65" s="1442">
        <v>5.4819583345863672</v>
      </c>
      <c r="T65" s="1442">
        <v>5.5947808256984164</v>
      </c>
      <c r="U65" s="1442">
        <v>5.7099985326556135</v>
      </c>
      <c r="V65" s="1442">
        <v>5.8276640620089122</v>
      </c>
      <c r="W65" s="1442">
        <v>5.9476643673940242</v>
      </c>
      <c r="X65" s="1442">
        <v>6.0651317146254451</v>
      </c>
      <c r="Y65" s="1442">
        <v>6.1884214060200602</v>
      </c>
      <c r="Z65" s="1442">
        <v>6.3147311330167319</v>
      </c>
      <c r="AA65" s="1442">
        <v>6.4381170627962128</v>
      </c>
      <c r="AB65" s="1442">
        <v>6.5705198084865719</v>
      </c>
      <c r="AC65" s="1442">
        <v>6.713055629740893</v>
      </c>
      <c r="AD65" s="1442">
        <v>6.8452585614165873</v>
      </c>
      <c r="AE65" s="1442">
        <f t="shared" si="9"/>
        <v>6.8452585614165873</v>
      </c>
      <c r="AF65" s="1442">
        <f t="shared" si="9"/>
        <v>6.8452585614165873</v>
      </c>
      <c r="AG65" s="1442">
        <f t="shared" si="9"/>
        <v>6.8452585614165873</v>
      </c>
      <c r="AH65" s="1442">
        <f t="shared" si="9"/>
        <v>6.8452585614165873</v>
      </c>
      <c r="AI65" s="1442">
        <f t="shared" si="9"/>
        <v>6.8452585614165873</v>
      </c>
      <c r="AJ65" s="1442">
        <f t="shared" si="9"/>
        <v>6.8452585614165873</v>
      </c>
      <c r="AK65" s="1442">
        <f t="shared" si="9"/>
        <v>6.8452585614165873</v>
      </c>
      <c r="AL65" s="1442">
        <f t="shared" si="9"/>
        <v>6.8452585614165873</v>
      </c>
      <c r="AM65" s="1442">
        <f t="shared" si="9"/>
        <v>6.8452585614165873</v>
      </c>
      <c r="AN65" s="1442">
        <f t="shared" si="9"/>
        <v>6.8452585614165873</v>
      </c>
      <c r="AO65" s="1442">
        <f t="shared" si="9"/>
        <v>6.8452585614165873</v>
      </c>
      <c r="AP65" s="1442">
        <f t="shared" si="9"/>
        <v>6.8452585614165873</v>
      </c>
      <c r="AQ65" s="1442">
        <f t="shared" si="9"/>
        <v>6.8452585614165873</v>
      </c>
      <c r="AR65" s="1442">
        <f t="shared" si="9"/>
        <v>6.8452585614165873</v>
      </c>
      <c r="AS65" s="1442">
        <f t="shared" si="9"/>
        <v>6.8452585614165873</v>
      </c>
      <c r="AT65" s="1442">
        <f t="shared" si="9"/>
        <v>6.8452585614165873</v>
      </c>
      <c r="AU65" s="1442">
        <f t="shared" si="10"/>
        <v>6.8452585614165873</v>
      </c>
      <c r="AV65" s="1442">
        <f t="shared" si="10"/>
        <v>6.8452585614165873</v>
      </c>
      <c r="AW65" s="1442">
        <f t="shared" si="10"/>
        <v>6.8452585614165873</v>
      </c>
      <c r="AX65" s="1442">
        <f t="shared" si="10"/>
        <v>6.8452585614165873</v>
      </c>
      <c r="AY65" s="1442">
        <f t="shared" si="10"/>
        <v>6.8452585614165873</v>
      </c>
      <c r="AZ65" s="1442">
        <f t="shared" si="10"/>
        <v>6.8452585614165873</v>
      </c>
      <c r="BA65" s="1442">
        <f t="shared" si="10"/>
        <v>6.8452585614165873</v>
      </c>
      <c r="BB65" s="1442">
        <f t="shared" si="10"/>
        <v>6.8452585614165873</v>
      </c>
      <c r="BC65" s="1442">
        <f t="shared" si="10"/>
        <v>6.8452585614165873</v>
      </c>
      <c r="BD65" s="1442">
        <f t="shared" si="10"/>
        <v>6.8452585614165873</v>
      </c>
      <c r="BE65" s="1442">
        <f t="shared" si="10"/>
        <v>6.8452585614165873</v>
      </c>
      <c r="BF65" s="1442">
        <f t="shared" si="10"/>
        <v>6.8452585614165873</v>
      </c>
      <c r="BG65" s="1442">
        <f t="shared" si="10"/>
        <v>6.8452585614165873</v>
      </c>
      <c r="BH65" s="1442">
        <f t="shared" si="10"/>
        <v>6.8452585614165873</v>
      </c>
      <c r="BI65" s="1442">
        <f t="shared" si="10"/>
        <v>6.8452585614165873</v>
      </c>
      <c r="BJ65" s="1442">
        <f t="shared" si="10"/>
        <v>6.8452585614165873</v>
      </c>
      <c r="BK65" s="1442">
        <f t="shared" si="8"/>
        <v>6.8452585614165873</v>
      </c>
      <c r="BL65" s="1442">
        <f t="shared" si="8"/>
        <v>6.8452585614165873</v>
      </c>
      <c r="BM65" s="1442">
        <f t="shared" si="8"/>
        <v>6.8452585614165873</v>
      </c>
      <c r="BN65" s="1443">
        <f t="shared" si="8"/>
        <v>6.8452585614165873</v>
      </c>
    </row>
    <row r="66" spans="1:66" s="91" customFormat="1">
      <c r="A66" s="1434">
        <v>25</v>
      </c>
      <c r="B66" s="1435">
        <v>0</v>
      </c>
      <c r="C66" s="1436" t="s">
        <v>157</v>
      </c>
      <c r="D66" s="1435" t="s">
        <v>14</v>
      </c>
      <c r="E66" s="1437">
        <v>2.8353762265969396</v>
      </c>
      <c r="F66" s="1437">
        <v>3.3403677879453078</v>
      </c>
      <c r="G66" s="1437">
        <v>3.5171745791415709</v>
      </c>
      <c r="H66" s="1437">
        <v>3.5289413132214986</v>
      </c>
      <c r="I66" s="1437">
        <v>3.5883038094509363</v>
      </c>
      <c r="J66" s="1437">
        <v>3.6479442627566239</v>
      </c>
      <c r="K66" s="1437">
        <v>3.7291927676935686</v>
      </c>
      <c r="L66" s="1437">
        <v>3.8163447831248059</v>
      </c>
      <c r="M66" s="1437">
        <v>3.9066188997015066</v>
      </c>
      <c r="N66" s="1437">
        <v>3.9987952729668232</v>
      </c>
      <c r="O66" s="1437">
        <v>4.0913670621698763</v>
      </c>
      <c r="P66" s="1437">
        <v>4.1900403500853409</v>
      </c>
      <c r="Q66" s="1437">
        <v>4.2911192238294547</v>
      </c>
      <c r="R66" s="1437">
        <v>4.3946633919998401</v>
      </c>
      <c r="S66" s="1437">
        <v>4.500733707023528</v>
      </c>
      <c r="T66" s="1437">
        <v>4.6093923214172126</v>
      </c>
      <c r="U66" s="1437">
        <v>4.7207036239528382</v>
      </c>
      <c r="V66" s="1437">
        <v>4.8347329378206263</v>
      </c>
      <c r="W66" s="1437">
        <v>4.9513858337368353</v>
      </c>
      <c r="X66" s="1437">
        <v>5.0659504782342912</v>
      </c>
      <c r="Y66" s="1437">
        <v>5.1865277431282877</v>
      </c>
      <c r="Z66" s="1437">
        <v>5.3104275933460077</v>
      </c>
      <c r="AA66" s="1437">
        <v>5.4318362688009731</v>
      </c>
      <c r="AB66" s="1437">
        <v>5.5624704592632117</v>
      </c>
      <c r="AC66" s="1437">
        <v>5.7035196846054488</v>
      </c>
      <c r="AD66" s="1437">
        <v>5.8347676174893479</v>
      </c>
      <c r="AE66" s="1437">
        <f t="shared" si="9"/>
        <v>5.8347676174893479</v>
      </c>
      <c r="AF66" s="1437">
        <f t="shared" si="9"/>
        <v>5.8347676174893479</v>
      </c>
      <c r="AG66" s="1437">
        <f t="shared" si="9"/>
        <v>5.8347676174893479</v>
      </c>
      <c r="AH66" s="1437">
        <f t="shared" si="9"/>
        <v>5.8347676174893479</v>
      </c>
      <c r="AI66" s="1437">
        <f t="shared" si="9"/>
        <v>5.8347676174893479</v>
      </c>
      <c r="AJ66" s="1437">
        <f t="shared" si="9"/>
        <v>5.8347676174893479</v>
      </c>
      <c r="AK66" s="1437">
        <f t="shared" si="9"/>
        <v>5.8347676174893479</v>
      </c>
      <c r="AL66" s="1437">
        <f t="shared" si="9"/>
        <v>5.8347676174893479</v>
      </c>
      <c r="AM66" s="1437">
        <f t="shared" si="9"/>
        <v>5.8347676174893479</v>
      </c>
      <c r="AN66" s="1437">
        <f t="shared" si="9"/>
        <v>5.8347676174893479</v>
      </c>
      <c r="AO66" s="1437">
        <f t="shared" si="9"/>
        <v>5.8347676174893479</v>
      </c>
      <c r="AP66" s="1437">
        <f t="shared" si="9"/>
        <v>5.8347676174893479</v>
      </c>
      <c r="AQ66" s="1437">
        <f t="shared" si="9"/>
        <v>5.8347676174893479</v>
      </c>
      <c r="AR66" s="1437">
        <f t="shared" si="9"/>
        <v>5.8347676174893479</v>
      </c>
      <c r="AS66" s="1437">
        <f t="shared" si="9"/>
        <v>5.8347676174893479</v>
      </c>
      <c r="AT66" s="1437">
        <f t="shared" si="9"/>
        <v>5.8347676174893479</v>
      </c>
      <c r="AU66" s="1437">
        <f t="shared" si="10"/>
        <v>5.8347676174893479</v>
      </c>
      <c r="AV66" s="1437">
        <f t="shared" si="10"/>
        <v>5.8347676174893479</v>
      </c>
      <c r="AW66" s="1437">
        <f t="shared" si="10"/>
        <v>5.8347676174893479</v>
      </c>
      <c r="AX66" s="1437">
        <f t="shared" si="10"/>
        <v>5.8347676174893479</v>
      </c>
      <c r="AY66" s="1437">
        <f t="shared" si="10"/>
        <v>5.8347676174893479</v>
      </c>
      <c r="AZ66" s="1437">
        <f t="shared" si="10"/>
        <v>5.8347676174893479</v>
      </c>
      <c r="BA66" s="1437">
        <f t="shared" si="10"/>
        <v>5.8347676174893479</v>
      </c>
      <c r="BB66" s="1437">
        <f t="shared" si="10"/>
        <v>5.8347676174893479</v>
      </c>
      <c r="BC66" s="1437">
        <f t="shared" si="10"/>
        <v>5.8347676174893479</v>
      </c>
      <c r="BD66" s="1437">
        <f t="shared" si="10"/>
        <v>5.8347676174893479</v>
      </c>
      <c r="BE66" s="1437">
        <f t="shared" si="10"/>
        <v>5.8347676174893479</v>
      </c>
      <c r="BF66" s="1437">
        <f t="shared" si="10"/>
        <v>5.8347676174893479</v>
      </c>
      <c r="BG66" s="1437">
        <f t="shared" si="10"/>
        <v>5.8347676174893479</v>
      </c>
      <c r="BH66" s="1437">
        <f t="shared" si="10"/>
        <v>5.8347676174893479</v>
      </c>
      <c r="BI66" s="1437">
        <f t="shared" si="10"/>
        <v>5.8347676174893479</v>
      </c>
      <c r="BJ66" s="1437">
        <f t="shared" si="10"/>
        <v>5.8347676174893479</v>
      </c>
      <c r="BK66" s="1437">
        <f t="shared" si="8"/>
        <v>5.8347676174893479</v>
      </c>
      <c r="BL66" s="1437">
        <f t="shared" si="8"/>
        <v>5.8347676174893479</v>
      </c>
      <c r="BM66" s="1437">
        <f t="shared" si="8"/>
        <v>5.8347676174893479</v>
      </c>
      <c r="BN66" s="1438">
        <f t="shared" si="8"/>
        <v>5.8347676174893479</v>
      </c>
    </row>
    <row r="67" spans="1:66" s="91" customFormat="1">
      <c r="A67" s="1439">
        <v>26</v>
      </c>
      <c r="B67" s="1440">
        <v>0</v>
      </c>
      <c r="C67" s="1441" t="s">
        <v>69</v>
      </c>
      <c r="D67" s="1440" t="s">
        <v>19</v>
      </c>
      <c r="E67" s="1442">
        <v>2.8264932580357298</v>
      </c>
      <c r="F67" s="1442">
        <v>3.2417648550741727</v>
      </c>
      <c r="G67" s="1442">
        <v>3.3863135056982356</v>
      </c>
      <c r="H67" s="1442">
        <v>3.3987470091208332</v>
      </c>
      <c r="I67" s="1442">
        <v>3.4491921444655222</v>
      </c>
      <c r="J67" s="1442">
        <v>3.4998705748880665</v>
      </c>
      <c r="K67" s="1442">
        <v>3.5676710091645809</v>
      </c>
      <c r="L67" s="1442">
        <v>3.6400551379046484</v>
      </c>
      <c r="M67" s="1442">
        <v>3.7148005124513288</v>
      </c>
      <c r="N67" s="1442">
        <v>3.7909387469797613</v>
      </c>
      <c r="O67" s="1442">
        <v>3.8672922348671288</v>
      </c>
      <c r="P67" s="1442">
        <v>3.9483031963356465</v>
      </c>
      <c r="Q67" s="1442">
        <v>4.0310733496218267</v>
      </c>
      <c r="R67" s="1442">
        <v>4.115642852467932</v>
      </c>
      <c r="S67" s="1442">
        <v>4.2020525459614895</v>
      </c>
      <c r="T67" s="1442">
        <v>4.2903440739438663</v>
      </c>
      <c r="U67" s="1442">
        <v>4.3805605945180597</v>
      </c>
      <c r="V67" s="1442">
        <v>4.4727457768411245</v>
      </c>
      <c r="W67" s="1442">
        <v>4.5668222766590372</v>
      </c>
      <c r="X67" s="1442">
        <v>4.6592350285797126</v>
      </c>
      <c r="Y67" s="1442">
        <v>4.7561013034220281</v>
      </c>
      <c r="Z67" s="1442">
        <v>4.8553771549180782</v>
      </c>
      <c r="AA67" s="1442">
        <v>4.9527209011003084</v>
      </c>
      <c r="AB67" s="1442">
        <v>5.056872863271729</v>
      </c>
      <c r="AC67" s="1442">
        <v>5.1686559271121579</v>
      </c>
      <c r="AD67" s="1442">
        <v>5.2731065560219772</v>
      </c>
      <c r="AE67" s="1442">
        <f t="shared" si="9"/>
        <v>5.2731065560219772</v>
      </c>
      <c r="AF67" s="1442">
        <f t="shared" si="9"/>
        <v>5.2731065560219772</v>
      </c>
      <c r="AG67" s="1442">
        <f t="shared" si="9"/>
        <v>5.2731065560219772</v>
      </c>
      <c r="AH67" s="1442">
        <f t="shared" si="9"/>
        <v>5.2731065560219772</v>
      </c>
      <c r="AI67" s="1442">
        <f t="shared" si="9"/>
        <v>5.2731065560219772</v>
      </c>
      <c r="AJ67" s="1442">
        <f t="shared" si="9"/>
        <v>5.2731065560219772</v>
      </c>
      <c r="AK67" s="1442">
        <f t="shared" si="9"/>
        <v>5.2731065560219772</v>
      </c>
      <c r="AL67" s="1442">
        <f t="shared" si="9"/>
        <v>5.2731065560219772</v>
      </c>
      <c r="AM67" s="1442">
        <f t="shared" si="9"/>
        <v>5.2731065560219772</v>
      </c>
      <c r="AN67" s="1442">
        <f t="shared" si="9"/>
        <v>5.2731065560219772</v>
      </c>
      <c r="AO67" s="1442">
        <f t="shared" si="9"/>
        <v>5.2731065560219772</v>
      </c>
      <c r="AP67" s="1442">
        <f t="shared" si="9"/>
        <v>5.2731065560219772</v>
      </c>
      <c r="AQ67" s="1442">
        <f t="shared" si="9"/>
        <v>5.2731065560219772</v>
      </c>
      <c r="AR67" s="1442">
        <f t="shared" si="9"/>
        <v>5.2731065560219772</v>
      </c>
      <c r="AS67" s="1442">
        <f t="shared" si="9"/>
        <v>5.2731065560219772</v>
      </c>
      <c r="AT67" s="1442">
        <f t="shared" si="9"/>
        <v>5.2731065560219772</v>
      </c>
      <c r="AU67" s="1442">
        <f t="shared" si="10"/>
        <v>5.2731065560219772</v>
      </c>
      <c r="AV67" s="1442">
        <f t="shared" si="10"/>
        <v>5.2731065560219772</v>
      </c>
      <c r="AW67" s="1442">
        <f t="shared" si="10"/>
        <v>5.2731065560219772</v>
      </c>
      <c r="AX67" s="1442">
        <f t="shared" si="10"/>
        <v>5.2731065560219772</v>
      </c>
      <c r="AY67" s="1442">
        <f t="shared" si="10"/>
        <v>5.2731065560219772</v>
      </c>
      <c r="AZ67" s="1442">
        <f t="shared" si="10"/>
        <v>5.2731065560219772</v>
      </c>
      <c r="BA67" s="1442">
        <f t="shared" si="10"/>
        <v>5.2731065560219772</v>
      </c>
      <c r="BB67" s="1442">
        <f t="shared" si="10"/>
        <v>5.2731065560219772</v>
      </c>
      <c r="BC67" s="1442">
        <f t="shared" si="10"/>
        <v>5.2731065560219772</v>
      </c>
      <c r="BD67" s="1442">
        <f t="shared" si="10"/>
        <v>5.2731065560219772</v>
      </c>
      <c r="BE67" s="1442">
        <f t="shared" si="10"/>
        <v>5.2731065560219772</v>
      </c>
      <c r="BF67" s="1442">
        <f t="shared" si="10"/>
        <v>5.2731065560219772</v>
      </c>
      <c r="BG67" s="1442">
        <f t="shared" si="10"/>
        <v>5.2731065560219772</v>
      </c>
      <c r="BH67" s="1442">
        <f t="shared" si="10"/>
        <v>5.2731065560219772</v>
      </c>
      <c r="BI67" s="1442">
        <f t="shared" si="10"/>
        <v>5.2731065560219772</v>
      </c>
      <c r="BJ67" s="1442">
        <f t="shared" si="10"/>
        <v>5.2731065560219772</v>
      </c>
      <c r="BK67" s="1442">
        <f t="shared" si="8"/>
        <v>5.2731065560219772</v>
      </c>
      <c r="BL67" s="1442">
        <f t="shared" si="8"/>
        <v>5.2731065560219772</v>
      </c>
      <c r="BM67" s="1442">
        <f t="shared" si="8"/>
        <v>5.2731065560219772</v>
      </c>
      <c r="BN67" s="1443">
        <f t="shared" si="8"/>
        <v>5.2731065560219772</v>
      </c>
    </row>
    <row r="68" spans="1:66" s="91" customFormat="1">
      <c r="A68" s="1434">
        <v>117</v>
      </c>
      <c r="B68" s="1435">
        <v>0</v>
      </c>
      <c r="C68" s="1436" t="s">
        <v>151</v>
      </c>
      <c r="D68" s="1435" t="s">
        <v>152</v>
      </c>
      <c r="E68" s="1437">
        <v>4.7401024726994798</v>
      </c>
      <c r="F68" s="1437">
        <v>5.279973278382962</v>
      </c>
      <c r="G68" s="1437">
        <v>5.4604819143740411</v>
      </c>
      <c r="H68" s="1437">
        <v>5.4722081387044197</v>
      </c>
      <c r="I68" s="1437">
        <v>5.5319959078365244</v>
      </c>
      <c r="J68" s="1437">
        <v>5.5918176896613554</v>
      </c>
      <c r="K68" s="1437">
        <v>5.6729000316895704</v>
      </c>
      <c r="L68" s="1437">
        <v>5.7593002496578674</v>
      </c>
      <c r="M68" s="1437">
        <v>5.8481848272668309</v>
      </c>
      <c r="N68" s="1437">
        <v>5.9383259903775896</v>
      </c>
      <c r="O68" s="1437">
        <v>6.0282618986511132</v>
      </c>
      <c r="P68" s="1437">
        <v>6.1234487075757809</v>
      </c>
      <c r="Q68" s="1437">
        <v>6.2202818685378594</v>
      </c>
      <c r="R68" s="1437">
        <v>6.3187940039671275</v>
      </c>
      <c r="S68" s="1437">
        <v>6.4190181362307746</v>
      </c>
      <c r="T68" s="1437">
        <v>6.5209878290760726</v>
      </c>
      <c r="U68" s="1437">
        <v>6.6247380333078505</v>
      </c>
      <c r="V68" s="1437">
        <v>6.7303038674810471</v>
      </c>
      <c r="W68" s="1437">
        <v>6.837576744511348</v>
      </c>
      <c r="X68" s="1437">
        <v>6.9423528742419869</v>
      </c>
      <c r="Y68" s="1437">
        <v>7.0518516814637948</v>
      </c>
      <c r="Z68" s="1437">
        <v>7.1636301691962938</v>
      </c>
      <c r="AA68" s="1437">
        <v>7.2726237606424542</v>
      </c>
      <c r="AB68" s="1437">
        <v>7.3889862330612237</v>
      </c>
      <c r="AC68" s="1437">
        <v>7.5135675627643659</v>
      </c>
      <c r="AD68" s="1437">
        <v>7.6291364712677616</v>
      </c>
      <c r="AE68" s="1437">
        <f t="shared" si="9"/>
        <v>7.6291364712677616</v>
      </c>
      <c r="AF68" s="1437">
        <f t="shared" si="9"/>
        <v>7.6291364712677616</v>
      </c>
      <c r="AG68" s="1437">
        <f t="shared" si="9"/>
        <v>7.6291364712677616</v>
      </c>
      <c r="AH68" s="1437">
        <f t="shared" si="9"/>
        <v>7.6291364712677616</v>
      </c>
      <c r="AI68" s="1437">
        <f t="shared" si="9"/>
        <v>7.6291364712677616</v>
      </c>
      <c r="AJ68" s="1437">
        <f t="shared" si="9"/>
        <v>7.6291364712677616</v>
      </c>
      <c r="AK68" s="1437">
        <f t="shared" si="9"/>
        <v>7.6291364712677616</v>
      </c>
      <c r="AL68" s="1437">
        <f t="shared" si="9"/>
        <v>7.6291364712677616</v>
      </c>
      <c r="AM68" s="1437">
        <f t="shared" si="9"/>
        <v>7.6291364712677616</v>
      </c>
      <c r="AN68" s="1437">
        <f t="shared" si="9"/>
        <v>7.6291364712677616</v>
      </c>
      <c r="AO68" s="1437">
        <f t="shared" si="9"/>
        <v>7.6291364712677616</v>
      </c>
      <c r="AP68" s="1437">
        <f t="shared" si="9"/>
        <v>7.6291364712677616</v>
      </c>
      <c r="AQ68" s="1437">
        <f t="shared" si="9"/>
        <v>7.6291364712677616</v>
      </c>
      <c r="AR68" s="1437">
        <f t="shared" si="9"/>
        <v>7.6291364712677616</v>
      </c>
      <c r="AS68" s="1437">
        <f t="shared" si="9"/>
        <v>7.6291364712677616</v>
      </c>
      <c r="AT68" s="1437">
        <f t="shared" si="9"/>
        <v>7.6291364712677616</v>
      </c>
      <c r="AU68" s="1437">
        <f t="shared" si="10"/>
        <v>7.6291364712677616</v>
      </c>
      <c r="AV68" s="1437">
        <f t="shared" si="10"/>
        <v>7.6291364712677616</v>
      </c>
      <c r="AW68" s="1437">
        <f t="shared" si="10"/>
        <v>7.6291364712677616</v>
      </c>
      <c r="AX68" s="1437">
        <f t="shared" si="10"/>
        <v>7.6291364712677616</v>
      </c>
      <c r="AY68" s="1437">
        <f t="shared" si="10"/>
        <v>7.6291364712677616</v>
      </c>
      <c r="AZ68" s="1437">
        <f t="shared" si="10"/>
        <v>7.6291364712677616</v>
      </c>
      <c r="BA68" s="1437">
        <f t="shared" si="10"/>
        <v>7.6291364712677616</v>
      </c>
      <c r="BB68" s="1437">
        <f t="shared" si="10"/>
        <v>7.6291364712677616</v>
      </c>
      <c r="BC68" s="1437">
        <f t="shared" si="10"/>
        <v>7.6291364712677616</v>
      </c>
      <c r="BD68" s="1437">
        <f t="shared" si="10"/>
        <v>7.6291364712677616</v>
      </c>
      <c r="BE68" s="1437">
        <f t="shared" si="10"/>
        <v>7.6291364712677616</v>
      </c>
      <c r="BF68" s="1437">
        <f t="shared" si="10"/>
        <v>7.6291364712677616</v>
      </c>
      <c r="BG68" s="1437">
        <f t="shared" si="10"/>
        <v>7.6291364712677616</v>
      </c>
      <c r="BH68" s="1437">
        <f t="shared" si="10"/>
        <v>7.6291364712677616</v>
      </c>
      <c r="BI68" s="1437">
        <f t="shared" si="10"/>
        <v>7.6291364712677616</v>
      </c>
      <c r="BJ68" s="1437">
        <f t="shared" si="10"/>
        <v>7.6291364712677616</v>
      </c>
      <c r="BK68" s="1437">
        <f t="shared" si="8"/>
        <v>7.6291364712677616</v>
      </c>
      <c r="BL68" s="1437">
        <f t="shared" si="8"/>
        <v>7.6291364712677616</v>
      </c>
      <c r="BM68" s="1437">
        <f t="shared" si="8"/>
        <v>7.6291364712677616</v>
      </c>
      <c r="BN68" s="1438">
        <f t="shared" si="8"/>
        <v>7.6291364712677616</v>
      </c>
    </row>
    <row r="69" spans="1:66" s="91" customFormat="1">
      <c r="A69" s="1439">
        <v>27</v>
      </c>
      <c r="B69" s="1440">
        <v>0</v>
      </c>
      <c r="C69" s="1441" t="s">
        <v>69</v>
      </c>
      <c r="D69" s="1440" t="s">
        <v>81</v>
      </c>
      <c r="E69" s="1442">
        <v>3.9448985045351392</v>
      </c>
      <c r="F69" s="1442">
        <v>4.5507804476278384</v>
      </c>
      <c r="G69" s="1442">
        <v>4.7570767195534582</v>
      </c>
      <c r="H69" s="1442">
        <v>4.7682620226410446</v>
      </c>
      <c r="I69" s="1442">
        <v>4.8353091653714264</v>
      </c>
      <c r="J69" s="1442">
        <v>4.9024793188953764</v>
      </c>
      <c r="K69" s="1442">
        <v>4.9946808696057632</v>
      </c>
      <c r="L69" s="1442">
        <v>5.0934098773524328</v>
      </c>
      <c r="M69" s="1442">
        <v>5.1953806421074589</v>
      </c>
      <c r="N69" s="1442">
        <v>5.299157305418932</v>
      </c>
      <c r="O69" s="1442">
        <v>5.40299513893107</v>
      </c>
      <c r="P69" s="1442">
        <v>5.5134398243401055</v>
      </c>
      <c r="Q69" s="1442">
        <v>5.6262077572616844</v>
      </c>
      <c r="R69" s="1442">
        <v>5.7413500204333427</v>
      </c>
      <c r="S69" s="1442">
        <v>5.8589184598999937</v>
      </c>
      <c r="T69" s="1442">
        <v>5.9789658538272414</v>
      </c>
      <c r="U69" s="1442">
        <v>6.1015469545870804</v>
      </c>
      <c r="V69" s="1442">
        <v>6.2267170009875841</v>
      </c>
      <c r="W69" s="1442">
        <v>6.3543524316155597</v>
      </c>
      <c r="X69" s="1442">
        <v>6.4791989027418486</v>
      </c>
      <c r="Y69" s="1442">
        <v>6.6102708656937086</v>
      </c>
      <c r="Z69" s="1442">
        <v>6.7445426577009426</v>
      </c>
      <c r="AA69" s="1442">
        <v>6.8755985776308775</v>
      </c>
      <c r="AB69" s="1442">
        <v>7.01632179424195</v>
      </c>
      <c r="AC69" s="1442">
        <v>7.1679149722107329</v>
      </c>
      <c r="AD69" s="1442">
        <v>7.3082915613707069</v>
      </c>
      <c r="AE69" s="1442">
        <f t="shared" si="9"/>
        <v>7.3082915613707069</v>
      </c>
      <c r="AF69" s="1442">
        <f t="shared" si="9"/>
        <v>7.3082915613707069</v>
      </c>
      <c r="AG69" s="1442">
        <f t="shared" si="9"/>
        <v>7.3082915613707069</v>
      </c>
      <c r="AH69" s="1442">
        <f t="shared" si="9"/>
        <v>7.3082915613707069</v>
      </c>
      <c r="AI69" s="1442">
        <f t="shared" si="9"/>
        <v>7.3082915613707069</v>
      </c>
      <c r="AJ69" s="1442">
        <f t="shared" si="9"/>
        <v>7.3082915613707069</v>
      </c>
      <c r="AK69" s="1442">
        <f t="shared" si="9"/>
        <v>7.3082915613707069</v>
      </c>
      <c r="AL69" s="1442">
        <f t="shared" si="9"/>
        <v>7.3082915613707069</v>
      </c>
      <c r="AM69" s="1442">
        <f t="shared" si="9"/>
        <v>7.3082915613707069</v>
      </c>
      <c r="AN69" s="1442">
        <f t="shared" si="9"/>
        <v>7.3082915613707069</v>
      </c>
      <c r="AO69" s="1442">
        <f t="shared" si="9"/>
        <v>7.3082915613707069</v>
      </c>
      <c r="AP69" s="1442">
        <f t="shared" si="9"/>
        <v>7.3082915613707069</v>
      </c>
      <c r="AQ69" s="1442">
        <f t="shared" si="9"/>
        <v>7.3082915613707069</v>
      </c>
      <c r="AR69" s="1442">
        <f t="shared" si="9"/>
        <v>7.3082915613707069</v>
      </c>
      <c r="AS69" s="1442">
        <f t="shared" si="9"/>
        <v>7.3082915613707069</v>
      </c>
      <c r="AT69" s="1442">
        <f t="shared" si="9"/>
        <v>7.3082915613707069</v>
      </c>
      <c r="AU69" s="1442">
        <f t="shared" si="10"/>
        <v>7.3082915613707069</v>
      </c>
      <c r="AV69" s="1442">
        <f t="shared" si="10"/>
        <v>7.3082915613707069</v>
      </c>
      <c r="AW69" s="1442">
        <f t="shared" si="10"/>
        <v>7.3082915613707069</v>
      </c>
      <c r="AX69" s="1442">
        <f t="shared" si="10"/>
        <v>7.3082915613707069</v>
      </c>
      <c r="AY69" s="1442">
        <f t="shared" si="10"/>
        <v>7.3082915613707069</v>
      </c>
      <c r="AZ69" s="1442">
        <f t="shared" si="10"/>
        <v>7.3082915613707069</v>
      </c>
      <c r="BA69" s="1442">
        <f t="shared" si="10"/>
        <v>7.3082915613707069</v>
      </c>
      <c r="BB69" s="1442">
        <f t="shared" si="10"/>
        <v>7.3082915613707069</v>
      </c>
      <c r="BC69" s="1442">
        <f t="shared" si="10"/>
        <v>7.3082915613707069</v>
      </c>
      <c r="BD69" s="1442">
        <f t="shared" si="10"/>
        <v>7.3082915613707069</v>
      </c>
      <c r="BE69" s="1442">
        <f t="shared" si="10"/>
        <v>7.3082915613707069</v>
      </c>
      <c r="BF69" s="1442">
        <f t="shared" si="10"/>
        <v>7.3082915613707069</v>
      </c>
      <c r="BG69" s="1442">
        <f t="shared" si="10"/>
        <v>7.3082915613707069</v>
      </c>
      <c r="BH69" s="1442">
        <f t="shared" si="10"/>
        <v>7.3082915613707069</v>
      </c>
      <c r="BI69" s="1442">
        <f t="shared" si="10"/>
        <v>7.3082915613707069</v>
      </c>
      <c r="BJ69" s="1442">
        <f t="shared" si="10"/>
        <v>7.3082915613707069</v>
      </c>
      <c r="BK69" s="1442">
        <f t="shared" si="8"/>
        <v>7.3082915613707069</v>
      </c>
      <c r="BL69" s="1442">
        <f t="shared" si="8"/>
        <v>7.3082915613707069</v>
      </c>
      <c r="BM69" s="1442">
        <f t="shared" si="8"/>
        <v>7.3082915613707069</v>
      </c>
      <c r="BN69" s="1443">
        <f t="shared" si="8"/>
        <v>7.3082915613707069</v>
      </c>
    </row>
    <row r="70" spans="1:66" s="91" customFormat="1">
      <c r="A70" s="1434">
        <v>28</v>
      </c>
      <c r="B70" s="1435">
        <v>0</v>
      </c>
      <c r="C70" s="1436" t="s">
        <v>54</v>
      </c>
      <c r="D70" s="1435" t="s">
        <v>37</v>
      </c>
      <c r="E70" s="1437">
        <v>2.4305218701410451</v>
      </c>
      <c r="F70" s="1437">
        <v>2.8513963619317613</v>
      </c>
      <c r="G70" s="1437">
        <v>3.0004063384067945</v>
      </c>
      <c r="H70" s="1437">
        <v>3.0127374895137358</v>
      </c>
      <c r="I70" s="1437">
        <v>3.0645844448486668</v>
      </c>
      <c r="J70" s="1437">
        <v>3.1167414746460089</v>
      </c>
      <c r="K70" s="1437">
        <v>3.1868853221112738</v>
      </c>
      <c r="L70" s="1437">
        <v>3.2620054965123475</v>
      </c>
      <c r="M70" s="1437">
        <v>3.3397998299270162</v>
      </c>
      <c r="N70" s="1437">
        <v>3.4192601603981623</v>
      </c>
      <c r="O70" s="1437">
        <v>3.4991405961252062</v>
      </c>
      <c r="P70" s="1437">
        <v>3.5841720337173948</v>
      </c>
      <c r="Q70" s="1437">
        <v>3.6712948561751624</v>
      </c>
      <c r="R70" s="1437">
        <v>3.760561481399157</v>
      </c>
      <c r="S70" s="1437">
        <v>3.8520253633606658</v>
      </c>
      <c r="T70" s="1437">
        <v>3.9457411242290124</v>
      </c>
      <c r="U70" s="1437">
        <v>4.0417653328165173</v>
      </c>
      <c r="V70" s="1437">
        <v>4.1401554286718154</v>
      </c>
      <c r="W70" s="1437">
        <v>4.2408365780508603</v>
      </c>
      <c r="X70" s="1437">
        <v>4.3399080177530687</v>
      </c>
      <c r="Y70" s="1437">
        <v>4.4440858382510502</v>
      </c>
      <c r="Z70" s="1437">
        <v>4.5511447746767582</v>
      </c>
      <c r="AA70" s="1437">
        <v>4.6562713211538647</v>
      </c>
      <c r="AB70" s="1437">
        <v>4.7691780102014745</v>
      </c>
      <c r="AC70" s="1437">
        <v>4.8908545644318435</v>
      </c>
      <c r="AD70" s="1437">
        <v>5.0045537086561804</v>
      </c>
      <c r="AE70" s="1437">
        <f t="shared" si="9"/>
        <v>5.0045537086561804</v>
      </c>
      <c r="AF70" s="1437">
        <f t="shared" si="9"/>
        <v>5.0045537086561804</v>
      </c>
      <c r="AG70" s="1437">
        <f t="shared" si="9"/>
        <v>5.0045537086561804</v>
      </c>
      <c r="AH70" s="1437">
        <f t="shared" si="9"/>
        <v>5.0045537086561804</v>
      </c>
      <c r="AI70" s="1437">
        <f t="shared" si="9"/>
        <v>5.0045537086561804</v>
      </c>
      <c r="AJ70" s="1437">
        <f t="shared" si="9"/>
        <v>5.0045537086561804</v>
      </c>
      <c r="AK70" s="1437">
        <f t="shared" si="9"/>
        <v>5.0045537086561804</v>
      </c>
      <c r="AL70" s="1437">
        <f t="shared" si="9"/>
        <v>5.0045537086561804</v>
      </c>
      <c r="AM70" s="1437">
        <f t="shared" si="9"/>
        <v>5.0045537086561804</v>
      </c>
      <c r="AN70" s="1437">
        <f t="shared" si="9"/>
        <v>5.0045537086561804</v>
      </c>
      <c r="AO70" s="1437">
        <f t="shared" si="9"/>
        <v>5.0045537086561804</v>
      </c>
      <c r="AP70" s="1437">
        <f t="shared" si="9"/>
        <v>5.0045537086561804</v>
      </c>
      <c r="AQ70" s="1437">
        <f t="shared" si="9"/>
        <v>5.0045537086561804</v>
      </c>
      <c r="AR70" s="1437">
        <f t="shared" si="9"/>
        <v>5.0045537086561804</v>
      </c>
      <c r="AS70" s="1437">
        <f t="shared" si="9"/>
        <v>5.0045537086561804</v>
      </c>
      <c r="AT70" s="1437">
        <f t="shared" ref="AT70:BI85" si="11">AS70</f>
        <v>5.0045537086561804</v>
      </c>
      <c r="AU70" s="1437">
        <f t="shared" si="11"/>
        <v>5.0045537086561804</v>
      </c>
      <c r="AV70" s="1437">
        <f t="shared" si="11"/>
        <v>5.0045537086561804</v>
      </c>
      <c r="AW70" s="1437">
        <f t="shared" si="11"/>
        <v>5.0045537086561804</v>
      </c>
      <c r="AX70" s="1437">
        <f t="shared" si="10"/>
        <v>5.0045537086561804</v>
      </c>
      <c r="AY70" s="1437">
        <f t="shared" si="10"/>
        <v>5.0045537086561804</v>
      </c>
      <c r="AZ70" s="1437">
        <f t="shared" si="10"/>
        <v>5.0045537086561804</v>
      </c>
      <c r="BA70" s="1437">
        <f t="shared" si="10"/>
        <v>5.0045537086561804</v>
      </c>
      <c r="BB70" s="1437">
        <f t="shared" si="10"/>
        <v>5.0045537086561804</v>
      </c>
      <c r="BC70" s="1437">
        <f t="shared" si="10"/>
        <v>5.0045537086561804</v>
      </c>
      <c r="BD70" s="1437">
        <f t="shared" si="10"/>
        <v>5.0045537086561804</v>
      </c>
      <c r="BE70" s="1437">
        <f t="shared" si="10"/>
        <v>5.0045537086561804</v>
      </c>
      <c r="BF70" s="1437">
        <f t="shared" si="10"/>
        <v>5.0045537086561804</v>
      </c>
      <c r="BG70" s="1437">
        <f t="shared" si="10"/>
        <v>5.0045537086561804</v>
      </c>
      <c r="BH70" s="1437">
        <f t="shared" si="10"/>
        <v>5.0045537086561804</v>
      </c>
      <c r="BI70" s="1437">
        <f t="shared" si="10"/>
        <v>5.0045537086561804</v>
      </c>
      <c r="BJ70" s="1437">
        <f t="shared" si="10"/>
        <v>5.0045537086561804</v>
      </c>
      <c r="BK70" s="1437">
        <f>BJ70</f>
        <v>5.0045537086561804</v>
      </c>
      <c r="BL70" s="1437">
        <f>BK70</f>
        <v>5.0045537086561804</v>
      </c>
      <c r="BM70" s="1437">
        <f>BL70</f>
        <v>5.0045537086561804</v>
      </c>
      <c r="BN70" s="1438">
        <f>BM70</f>
        <v>5.0045537086561804</v>
      </c>
    </row>
    <row r="71" spans="1:66" s="91" customFormat="1">
      <c r="A71" s="1439">
        <v>118</v>
      </c>
      <c r="B71" s="1440">
        <v>0</v>
      </c>
      <c r="C71" s="1441" t="s">
        <v>153</v>
      </c>
      <c r="D71" s="1440" t="s">
        <v>154</v>
      </c>
      <c r="E71" s="1442">
        <v>5.0114461021065244</v>
      </c>
      <c r="F71" s="1442">
        <v>5.5847458473946237</v>
      </c>
      <c r="G71" s="1442">
        <v>5.7758036518394498</v>
      </c>
      <c r="H71" s="1442">
        <v>5.7873178781712653</v>
      </c>
      <c r="I71" s="1442">
        <v>5.8499212656172732</v>
      </c>
      <c r="J71" s="1442">
        <v>5.9125312358874558</v>
      </c>
      <c r="K71" s="1442">
        <v>5.9977232950218431</v>
      </c>
      <c r="L71" s="1442">
        <v>6.0885400113747643</v>
      </c>
      <c r="M71" s="1442">
        <v>6.1819667367992546</v>
      </c>
      <c r="N71" s="1442">
        <v>6.2766966499916901</v>
      </c>
      <c r="O71" s="1442">
        <v>6.3711739495223423</v>
      </c>
      <c r="P71" s="1442">
        <v>6.471200731514287</v>
      </c>
      <c r="Q71" s="1442">
        <v>6.5729421655289091</v>
      </c>
      <c r="R71" s="1442">
        <v>6.676431856670451</v>
      </c>
      <c r="S71" s="1442">
        <v>6.7817038026576437</v>
      </c>
      <c r="T71" s="1442">
        <v>6.8887925432783712</v>
      </c>
      <c r="U71" s="1442">
        <v>6.9977340588336254</v>
      </c>
      <c r="V71" s="1442">
        <v>7.1085644722488865</v>
      </c>
      <c r="W71" s="1442">
        <v>7.2211670253621731</v>
      </c>
      <c r="X71" s="1442">
        <v>7.3310692953257846</v>
      </c>
      <c r="Y71" s="1442">
        <v>7.4459484643585876</v>
      </c>
      <c r="Z71" s="1442">
        <v>7.5632047963900959</v>
      </c>
      <c r="AA71" s="1442">
        <v>7.6774502215838494</v>
      </c>
      <c r="AB71" s="1442">
        <v>7.7994827525152646</v>
      </c>
      <c r="AC71" s="1442">
        <v>7.9302049061045858</v>
      </c>
      <c r="AD71" s="1442">
        <v>8.0512880694164632</v>
      </c>
      <c r="AE71" s="1442">
        <f t="shared" ref="AE71:AT86" si="12">AD71</f>
        <v>8.0512880694164632</v>
      </c>
      <c r="AF71" s="1442">
        <f t="shared" si="12"/>
        <v>8.0512880694164632</v>
      </c>
      <c r="AG71" s="1442">
        <f t="shared" si="12"/>
        <v>8.0512880694164632</v>
      </c>
      <c r="AH71" s="1442">
        <f t="shared" si="12"/>
        <v>8.0512880694164632</v>
      </c>
      <c r="AI71" s="1442">
        <f t="shared" si="12"/>
        <v>8.0512880694164632</v>
      </c>
      <c r="AJ71" s="1442">
        <f t="shared" si="12"/>
        <v>8.0512880694164632</v>
      </c>
      <c r="AK71" s="1442">
        <f t="shared" si="12"/>
        <v>8.0512880694164632</v>
      </c>
      <c r="AL71" s="1442">
        <f t="shared" si="12"/>
        <v>8.0512880694164632</v>
      </c>
      <c r="AM71" s="1442">
        <f t="shared" si="12"/>
        <v>8.0512880694164632</v>
      </c>
      <c r="AN71" s="1442">
        <f t="shared" si="12"/>
        <v>8.0512880694164632</v>
      </c>
      <c r="AO71" s="1442">
        <f t="shared" si="12"/>
        <v>8.0512880694164632</v>
      </c>
      <c r="AP71" s="1442">
        <f t="shared" si="12"/>
        <v>8.0512880694164632</v>
      </c>
      <c r="AQ71" s="1442">
        <f t="shared" si="12"/>
        <v>8.0512880694164632</v>
      </c>
      <c r="AR71" s="1442">
        <f t="shared" si="12"/>
        <v>8.0512880694164632</v>
      </c>
      <c r="AS71" s="1442">
        <f t="shared" si="12"/>
        <v>8.0512880694164632</v>
      </c>
      <c r="AT71" s="1442">
        <f t="shared" si="12"/>
        <v>8.0512880694164632</v>
      </c>
      <c r="AU71" s="1442">
        <f t="shared" si="11"/>
        <v>8.0512880694164632</v>
      </c>
      <c r="AV71" s="1442">
        <f t="shared" si="11"/>
        <v>8.0512880694164632</v>
      </c>
      <c r="AW71" s="1442">
        <f t="shared" si="11"/>
        <v>8.0512880694164632</v>
      </c>
      <c r="AX71" s="1442">
        <f t="shared" si="11"/>
        <v>8.0512880694164632</v>
      </c>
      <c r="AY71" s="1442">
        <f t="shared" si="11"/>
        <v>8.0512880694164632</v>
      </c>
      <c r="AZ71" s="1442">
        <f t="shared" si="11"/>
        <v>8.0512880694164632</v>
      </c>
      <c r="BA71" s="1442">
        <f t="shared" si="11"/>
        <v>8.0512880694164632</v>
      </c>
      <c r="BB71" s="1442">
        <f t="shared" si="11"/>
        <v>8.0512880694164632</v>
      </c>
      <c r="BC71" s="1442">
        <f t="shared" si="11"/>
        <v>8.0512880694164632</v>
      </c>
      <c r="BD71" s="1442">
        <f t="shared" si="11"/>
        <v>8.0512880694164632</v>
      </c>
      <c r="BE71" s="1442">
        <f t="shared" si="11"/>
        <v>8.0512880694164632</v>
      </c>
      <c r="BF71" s="1442">
        <f t="shared" si="11"/>
        <v>8.0512880694164632</v>
      </c>
      <c r="BG71" s="1442">
        <f t="shared" si="11"/>
        <v>8.0512880694164632</v>
      </c>
      <c r="BH71" s="1442">
        <f t="shared" si="11"/>
        <v>8.0512880694164632</v>
      </c>
      <c r="BI71" s="1442">
        <f t="shared" si="11"/>
        <v>8.0512880694164632</v>
      </c>
      <c r="BJ71" s="1442">
        <f t="shared" ref="BJ71:BN86" si="13">BI71</f>
        <v>8.0512880694164632</v>
      </c>
      <c r="BK71" s="1442">
        <f t="shared" si="13"/>
        <v>8.0512880694164632</v>
      </c>
      <c r="BL71" s="1442">
        <f t="shared" si="13"/>
        <v>8.0512880694164632</v>
      </c>
      <c r="BM71" s="1442">
        <f t="shared" si="13"/>
        <v>8.0512880694164632</v>
      </c>
      <c r="BN71" s="1443">
        <f t="shared" si="13"/>
        <v>8.0512880694164632</v>
      </c>
    </row>
    <row r="72" spans="1:66" s="91" customFormat="1">
      <c r="A72" s="1434">
        <v>119</v>
      </c>
      <c r="B72" s="1435">
        <v>0</v>
      </c>
      <c r="C72" s="1436" t="s">
        <v>155</v>
      </c>
      <c r="D72" s="1435" t="s">
        <v>156</v>
      </c>
      <c r="E72" s="1437">
        <v>4.5461238568371947</v>
      </c>
      <c r="F72" s="1437">
        <v>5.062096922785944</v>
      </c>
      <c r="G72" s="1437">
        <v>5.2350641504910502</v>
      </c>
      <c r="H72" s="1437">
        <v>5.2469419283272805</v>
      </c>
      <c r="I72" s="1437">
        <v>5.3047168632368864</v>
      </c>
      <c r="J72" s="1437">
        <v>5.3625454199523821</v>
      </c>
      <c r="K72" s="1437">
        <v>5.4406898001143711</v>
      </c>
      <c r="L72" s="1437">
        <v>5.5239327438710744</v>
      </c>
      <c r="M72" s="1437">
        <v>5.6095702227800484</v>
      </c>
      <c r="N72" s="1437">
        <v>5.6964309720799999</v>
      </c>
      <c r="O72" s="1437">
        <v>5.7831203225033452</v>
      </c>
      <c r="P72" s="1437">
        <v>5.8748471228829349</v>
      </c>
      <c r="Q72" s="1437">
        <v>5.9681714488851245</v>
      </c>
      <c r="R72" s="1437">
        <v>6.0631252204436281</v>
      </c>
      <c r="S72" s="1437">
        <v>6.1597407626645913</v>
      </c>
      <c r="T72" s="1437">
        <v>6.2580509415416392</v>
      </c>
      <c r="U72" s="1437">
        <v>6.3580899719115553</v>
      </c>
      <c r="V72" s="1437">
        <v>6.4598922543230799</v>
      </c>
      <c r="W72" s="1437">
        <v>6.563355043046422</v>
      </c>
      <c r="X72" s="1437">
        <v>6.6644665885401615</v>
      </c>
      <c r="Y72" s="1437">
        <v>6.7701190731517213</v>
      </c>
      <c r="Z72" s="1437">
        <v>6.8779815498197525</v>
      </c>
      <c r="AA72" s="1437">
        <v>6.9832207010259744</v>
      </c>
      <c r="AB72" s="1437">
        <v>7.0955297519417408</v>
      </c>
      <c r="AC72" s="1437">
        <v>7.2157211185552832</v>
      </c>
      <c r="AD72" s="1437">
        <v>7.3273479867845106</v>
      </c>
      <c r="AE72" s="1437">
        <f t="shared" si="12"/>
        <v>7.3273479867845106</v>
      </c>
      <c r="AF72" s="1437">
        <f t="shared" si="12"/>
        <v>7.3273479867845106</v>
      </c>
      <c r="AG72" s="1437">
        <f t="shared" si="12"/>
        <v>7.3273479867845106</v>
      </c>
      <c r="AH72" s="1437">
        <f t="shared" si="12"/>
        <v>7.3273479867845106</v>
      </c>
      <c r="AI72" s="1437">
        <f t="shared" si="12"/>
        <v>7.3273479867845106</v>
      </c>
      <c r="AJ72" s="1437">
        <f t="shared" si="12"/>
        <v>7.3273479867845106</v>
      </c>
      <c r="AK72" s="1437">
        <f t="shared" si="12"/>
        <v>7.3273479867845106</v>
      </c>
      <c r="AL72" s="1437">
        <f t="shared" si="12"/>
        <v>7.3273479867845106</v>
      </c>
      <c r="AM72" s="1437">
        <f t="shared" si="12"/>
        <v>7.3273479867845106</v>
      </c>
      <c r="AN72" s="1437">
        <f t="shared" si="12"/>
        <v>7.3273479867845106</v>
      </c>
      <c r="AO72" s="1437">
        <f t="shared" si="12"/>
        <v>7.3273479867845106</v>
      </c>
      <c r="AP72" s="1437">
        <f t="shared" si="12"/>
        <v>7.3273479867845106</v>
      </c>
      <c r="AQ72" s="1437">
        <f t="shared" si="12"/>
        <v>7.3273479867845106</v>
      </c>
      <c r="AR72" s="1437">
        <f t="shared" si="12"/>
        <v>7.3273479867845106</v>
      </c>
      <c r="AS72" s="1437">
        <f t="shared" si="12"/>
        <v>7.3273479867845106</v>
      </c>
      <c r="AT72" s="1437">
        <f t="shared" si="12"/>
        <v>7.3273479867845106</v>
      </c>
      <c r="AU72" s="1437">
        <f t="shared" si="11"/>
        <v>7.3273479867845106</v>
      </c>
      <c r="AV72" s="1437">
        <f t="shared" si="11"/>
        <v>7.3273479867845106</v>
      </c>
      <c r="AW72" s="1437">
        <f t="shared" si="11"/>
        <v>7.3273479867845106</v>
      </c>
      <c r="AX72" s="1437">
        <f t="shared" si="11"/>
        <v>7.3273479867845106</v>
      </c>
      <c r="AY72" s="1437">
        <f t="shared" si="11"/>
        <v>7.3273479867845106</v>
      </c>
      <c r="AZ72" s="1437">
        <f t="shared" si="11"/>
        <v>7.3273479867845106</v>
      </c>
      <c r="BA72" s="1437">
        <f t="shared" si="11"/>
        <v>7.3273479867845106</v>
      </c>
      <c r="BB72" s="1437">
        <f t="shared" si="11"/>
        <v>7.3273479867845106</v>
      </c>
      <c r="BC72" s="1437">
        <f t="shared" si="11"/>
        <v>7.3273479867845106</v>
      </c>
      <c r="BD72" s="1437">
        <f t="shared" si="11"/>
        <v>7.3273479867845106</v>
      </c>
      <c r="BE72" s="1437">
        <f t="shared" si="11"/>
        <v>7.3273479867845106</v>
      </c>
      <c r="BF72" s="1437">
        <f t="shared" si="11"/>
        <v>7.3273479867845106</v>
      </c>
      <c r="BG72" s="1437">
        <f t="shared" si="11"/>
        <v>7.3273479867845106</v>
      </c>
      <c r="BH72" s="1437">
        <f t="shared" si="11"/>
        <v>7.3273479867845106</v>
      </c>
      <c r="BI72" s="1437">
        <f t="shared" si="11"/>
        <v>7.3273479867845106</v>
      </c>
      <c r="BJ72" s="1437">
        <f t="shared" si="13"/>
        <v>7.3273479867845106</v>
      </c>
      <c r="BK72" s="1437">
        <f t="shared" si="13"/>
        <v>7.3273479867845106</v>
      </c>
      <c r="BL72" s="1437">
        <f t="shared" si="13"/>
        <v>7.3273479867845106</v>
      </c>
      <c r="BM72" s="1437">
        <f t="shared" si="13"/>
        <v>7.3273479867845106</v>
      </c>
      <c r="BN72" s="1438">
        <f t="shared" si="13"/>
        <v>7.3273479867845106</v>
      </c>
    </row>
    <row r="73" spans="1:66" s="91" customFormat="1">
      <c r="A73" s="1445"/>
      <c r="B73" s="1446">
        <v>1</v>
      </c>
      <c r="C73" s="1441" t="s">
        <v>1326</v>
      </c>
      <c r="D73" s="1441" t="s">
        <v>294</v>
      </c>
      <c r="E73" s="1442">
        <v>3.518180837106518</v>
      </c>
      <c r="F73" s="1442">
        <v>4.1650395217811873</v>
      </c>
      <c r="G73" s="1442">
        <v>4.3887268588984263</v>
      </c>
      <c r="H73" s="1442">
        <v>4.3995416789328443</v>
      </c>
      <c r="I73" s="1442">
        <v>4.4715794641678528</v>
      </c>
      <c r="J73" s="1442">
        <v>4.5438410391001529</v>
      </c>
      <c r="K73" s="1442">
        <v>4.643818035404137</v>
      </c>
      <c r="L73" s="1442">
        <v>4.75126227789755</v>
      </c>
      <c r="M73" s="1442">
        <v>4.862584095568022</v>
      </c>
      <c r="N73" s="1442">
        <v>4.9762066321482257</v>
      </c>
      <c r="O73" s="1442">
        <v>5.0901829450493477</v>
      </c>
      <c r="P73" s="1442">
        <v>5.211863811240999</v>
      </c>
      <c r="Q73" s="1442">
        <v>5.3364801769519641</v>
      </c>
      <c r="R73" s="1442">
        <v>5.4641040468597488</v>
      </c>
      <c r="S73" s="1442">
        <v>5.5948087512111488</v>
      </c>
      <c r="T73" s="1442">
        <v>5.7286691427836374</v>
      </c>
      <c r="U73" s="1442">
        <v>5.86576279905369</v>
      </c>
      <c r="V73" s="1442">
        <v>6.0061683393184797</v>
      </c>
      <c r="W73" s="1442">
        <v>6.1497582855580051</v>
      </c>
      <c r="X73" s="1442">
        <v>6.290452898764137</v>
      </c>
      <c r="Y73" s="1442">
        <v>6.4386885451596187</v>
      </c>
      <c r="Z73" s="1442">
        <v>6.5909913343577733</v>
      </c>
      <c r="AA73" s="1442">
        <v>6.7398605337214228</v>
      </c>
      <c r="AB73" s="1442">
        <v>6.9003929320347197</v>
      </c>
      <c r="AC73" s="1442">
        <v>7.0741150160041091</v>
      </c>
      <c r="AD73" s="1442">
        <v>7.2349597498474951</v>
      </c>
      <c r="AE73" s="1442">
        <f t="shared" si="12"/>
        <v>7.2349597498474951</v>
      </c>
      <c r="AF73" s="1442">
        <f t="shared" si="12"/>
        <v>7.2349597498474951</v>
      </c>
      <c r="AG73" s="1442">
        <f t="shared" si="12"/>
        <v>7.2349597498474951</v>
      </c>
      <c r="AH73" s="1442">
        <f t="shared" si="12"/>
        <v>7.2349597498474951</v>
      </c>
      <c r="AI73" s="1442">
        <f t="shared" si="12"/>
        <v>7.2349597498474951</v>
      </c>
      <c r="AJ73" s="1442">
        <f t="shared" si="12"/>
        <v>7.2349597498474951</v>
      </c>
      <c r="AK73" s="1442">
        <f t="shared" si="12"/>
        <v>7.2349597498474951</v>
      </c>
      <c r="AL73" s="1442">
        <f t="shared" si="12"/>
        <v>7.2349597498474951</v>
      </c>
      <c r="AM73" s="1442">
        <f t="shared" si="12"/>
        <v>7.2349597498474951</v>
      </c>
      <c r="AN73" s="1442">
        <f t="shared" si="12"/>
        <v>7.2349597498474951</v>
      </c>
      <c r="AO73" s="1442">
        <f t="shared" si="12"/>
        <v>7.2349597498474951</v>
      </c>
      <c r="AP73" s="1442">
        <f t="shared" si="12"/>
        <v>7.2349597498474951</v>
      </c>
      <c r="AQ73" s="1442">
        <f t="shared" si="12"/>
        <v>7.2349597498474951</v>
      </c>
      <c r="AR73" s="1442">
        <f t="shared" si="12"/>
        <v>7.2349597498474951</v>
      </c>
      <c r="AS73" s="1442">
        <f t="shared" si="12"/>
        <v>7.2349597498474951</v>
      </c>
      <c r="AT73" s="1442">
        <f t="shared" si="12"/>
        <v>7.2349597498474951</v>
      </c>
      <c r="AU73" s="1442">
        <f t="shared" si="11"/>
        <v>7.2349597498474951</v>
      </c>
      <c r="AV73" s="1442">
        <f t="shared" si="11"/>
        <v>7.2349597498474951</v>
      </c>
      <c r="AW73" s="1442">
        <f t="shared" si="11"/>
        <v>7.2349597498474951</v>
      </c>
      <c r="AX73" s="1442">
        <f t="shared" si="11"/>
        <v>7.2349597498474951</v>
      </c>
      <c r="AY73" s="1442">
        <f t="shared" si="11"/>
        <v>7.2349597498474951</v>
      </c>
      <c r="AZ73" s="1442">
        <f t="shared" si="11"/>
        <v>7.2349597498474951</v>
      </c>
      <c r="BA73" s="1442">
        <f t="shared" si="11"/>
        <v>7.2349597498474951</v>
      </c>
      <c r="BB73" s="1442">
        <f t="shared" si="11"/>
        <v>7.2349597498474951</v>
      </c>
      <c r="BC73" s="1442">
        <f t="shared" si="11"/>
        <v>7.2349597498474951</v>
      </c>
      <c r="BD73" s="1442">
        <f t="shared" si="11"/>
        <v>7.2349597498474951</v>
      </c>
      <c r="BE73" s="1442">
        <f t="shared" si="11"/>
        <v>7.2349597498474951</v>
      </c>
      <c r="BF73" s="1442">
        <f t="shared" si="11"/>
        <v>7.2349597498474951</v>
      </c>
      <c r="BG73" s="1442">
        <f t="shared" si="11"/>
        <v>7.2349597498474951</v>
      </c>
      <c r="BH73" s="1442">
        <f t="shared" si="11"/>
        <v>7.2349597498474951</v>
      </c>
      <c r="BI73" s="1442">
        <f t="shared" si="11"/>
        <v>7.2349597498474951</v>
      </c>
      <c r="BJ73" s="1442">
        <f t="shared" si="13"/>
        <v>7.2349597498474951</v>
      </c>
      <c r="BK73" s="1442">
        <f t="shared" si="13"/>
        <v>7.2349597498474951</v>
      </c>
      <c r="BL73" s="1442">
        <f t="shared" si="13"/>
        <v>7.2349597498474951</v>
      </c>
      <c r="BM73" s="1442">
        <f t="shared" si="13"/>
        <v>7.2349597498474951</v>
      </c>
      <c r="BN73" s="1443">
        <f t="shared" si="13"/>
        <v>7.2349597498474951</v>
      </c>
    </row>
    <row r="74" spans="1:66" s="91" customFormat="1">
      <c r="A74" s="1434">
        <v>29</v>
      </c>
      <c r="B74" s="1435">
        <v>0</v>
      </c>
      <c r="C74" s="1436" t="s">
        <v>157</v>
      </c>
      <c r="D74" s="1435" t="s">
        <v>15</v>
      </c>
      <c r="E74" s="1437">
        <v>2.6013601604285621</v>
      </c>
      <c r="F74" s="1437">
        <v>3.0577299263050612</v>
      </c>
      <c r="G74" s="1437">
        <v>3.2184694549676629</v>
      </c>
      <c r="H74" s="1437">
        <v>3.2305624363763741</v>
      </c>
      <c r="I74" s="1437">
        <v>3.2855807597268138</v>
      </c>
      <c r="J74" s="1437">
        <v>3.3408956048156964</v>
      </c>
      <c r="K74" s="1437">
        <v>3.4157253366402101</v>
      </c>
      <c r="L74" s="1437">
        <v>3.4959226433922805</v>
      </c>
      <c r="M74" s="1437">
        <v>3.5789831293987708</v>
      </c>
      <c r="N74" s="1437">
        <v>3.6638093080460266</v>
      </c>
      <c r="O74" s="1437">
        <v>3.7490451736818806</v>
      </c>
      <c r="P74" s="1437">
        <v>3.839833126792362</v>
      </c>
      <c r="Q74" s="1437">
        <v>3.9328450496214229</v>
      </c>
      <c r="R74" s="1437">
        <v>4.0281364365592855</v>
      </c>
      <c r="S74" s="1437">
        <v>4.1257638635382818</v>
      </c>
      <c r="T74" s="1437">
        <v>4.2257851303437084</v>
      </c>
      <c r="U74" s="1437">
        <v>4.3282601056129009</v>
      </c>
      <c r="V74" s="1437">
        <v>4.433249555591682</v>
      </c>
      <c r="W74" s="1437">
        <v>4.5406703777142807</v>
      </c>
      <c r="X74" s="1437">
        <v>4.6462795576583495</v>
      </c>
      <c r="Y74" s="1437">
        <v>4.7573775285699424</v>
      </c>
      <c r="Z74" s="1437">
        <v>4.8715429043193934</v>
      </c>
      <c r="AA74" s="1437">
        <v>4.9835400970732708</v>
      </c>
      <c r="AB74" s="1437">
        <v>5.1039273429790466</v>
      </c>
      <c r="AC74" s="1437">
        <v>5.2337786740353991</v>
      </c>
      <c r="AD74" s="1437">
        <v>5.3548829628590466</v>
      </c>
      <c r="AE74" s="1437">
        <f t="shared" si="12"/>
        <v>5.3548829628590466</v>
      </c>
      <c r="AF74" s="1437">
        <f t="shared" si="12"/>
        <v>5.3548829628590466</v>
      </c>
      <c r="AG74" s="1437">
        <f t="shared" si="12"/>
        <v>5.3548829628590466</v>
      </c>
      <c r="AH74" s="1437">
        <f t="shared" si="12"/>
        <v>5.3548829628590466</v>
      </c>
      <c r="AI74" s="1437">
        <f t="shared" si="12"/>
        <v>5.3548829628590466</v>
      </c>
      <c r="AJ74" s="1437">
        <f t="shared" si="12"/>
        <v>5.3548829628590466</v>
      </c>
      <c r="AK74" s="1437">
        <f t="shared" si="12"/>
        <v>5.3548829628590466</v>
      </c>
      <c r="AL74" s="1437">
        <f t="shared" si="12"/>
        <v>5.3548829628590466</v>
      </c>
      <c r="AM74" s="1437">
        <f t="shared" si="12"/>
        <v>5.3548829628590466</v>
      </c>
      <c r="AN74" s="1437">
        <f t="shared" si="12"/>
        <v>5.3548829628590466</v>
      </c>
      <c r="AO74" s="1437">
        <f t="shared" si="12"/>
        <v>5.3548829628590466</v>
      </c>
      <c r="AP74" s="1437">
        <f t="shared" si="12"/>
        <v>5.3548829628590466</v>
      </c>
      <c r="AQ74" s="1437">
        <f t="shared" si="12"/>
        <v>5.3548829628590466</v>
      </c>
      <c r="AR74" s="1437">
        <f t="shared" si="12"/>
        <v>5.3548829628590466</v>
      </c>
      <c r="AS74" s="1437">
        <f t="shared" si="12"/>
        <v>5.3548829628590466</v>
      </c>
      <c r="AT74" s="1437">
        <f t="shared" si="12"/>
        <v>5.3548829628590466</v>
      </c>
      <c r="AU74" s="1437">
        <f t="shared" si="11"/>
        <v>5.3548829628590466</v>
      </c>
      <c r="AV74" s="1437">
        <f t="shared" si="11"/>
        <v>5.3548829628590466</v>
      </c>
      <c r="AW74" s="1437">
        <f t="shared" si="11"/>
        <v>5.3548829628590466</v>
      </c>
      <c r="AX74" s="1437">
        <f t="shared" si="11"/>
        <v>5.3548829628590466</v>
      </c>
      <c r="AY74" s="1437">
        <f t="shared" si="11"/>
        <v>5.3548829628590466</v>
      </c>
      <c r="AZ74" s="1437">
        <f t="shared" si="11"/>
        <v>5.3548829628590466</v>
      </c>
      <c r="BA74" s="1437">
        <f t="shared" si="11"/>
        <v>5.3548829628590466</v>
      </c>
      <c r="BB74" s="1437">
        <f t="shared" si="11"/>
        <v>5.3548829628590466</v>
      </c>
      <c r="BC74" s="1437">
        <f t="shared" si="11"/>
        <v>5.3548829628590466</v>
      </c>
      <c r="BD74" s="1437">
        <f t="shared" si="11"/>
        <v>5.3548829628590466</v>
      </c>
      <c r="BE74" s="1437">
        <f t="shared" si="11"/>
        <v>5.3548829628590466</v>
      </c>
      <c r="BF74" s="1437">
        <f t="shared" si="11"/>
        <v>5.3548829628590466</v>
      </c>
      <c r="BG74" s="1437">
        <f t="shared" si="11"/>
        <v>5.3548829628590466</v>
      </c>
      <c r="BH74" s="1437">
        <f t="shared" si="11"/>
        <v>5.3548829628590466</v>
      </c>
      <c r="BI74" s="1437">
        <f t="shared" si="11"/>
        <v>5.3548829628590466</v>
      </c>
      <c r="BJ74" s="1437">
        <f t="shared" si="13"/>
        <v>5.3548829628590466</v>
      </c>
      <c r="BK74" s="1437">
        <f t="shared" si="13"/>
        <v>5.3548829628590466</v>
      </c>
      <c r="BL74" s="1437">
        <f t="shared" si="13"/>
        <v>5.3548829628590466</v>
      </c>
      <c r="BM74" s="1437">
        <f t="shared" si="13"/>
        <v>5.3548829628590466</v>
      </c>
      <c r="BN74" s="1438">
        <f t="shared" si="13"/>
        <v>5.3548829628590466</v>
      </c>
    </row>
    <row r="75" spans="1:66" s="91" customFormat="1">
      <c r="A75" s="1439">
        <v>30</v>
      </c>
      <c r="B75" s="1440">
        <v>0</v>
      </c>
      <c r="C75" s="1441" t="s">
        <v>205</v>
      </c>
      <c r="D75" s="1440" t="s">
        <v>208</v>
      </c>
      <c r="E75" s="1442">
        <v>2.5071808371065178</v>
      </c>
      <c r="F75" s="1442">
        <v>2.5213762622197136</v>
      </c>
      <c r="G75" s="1442">
        <v>2.535997550086305</v>
      </c>
      <c r="H75" s="1442">
        <v>2.5510574765888943</v>
      </c>
      <c r="I75" s="1442">
        <v>2.566569200886561</v>
      </c>
      <c r="J75" s="1442">
        <v>2.582546276913158</v>
      </c>
      <c r="K75" s="1442">
        <v>2.5990026652205529</v>
      </c>
      <c r="L75" s="1442">
        <v>2.6159527451771694</v>
      </c>
      <c r="M75" s="1442">
        <v>2.6334113275324844</v>
      </c>
      <c r="N75" s="1442">
        <v>2.6513936673584588</v>
      </c>
      <c r="O75" s="1442">
        <v>2.6699154773792126</v>
      </c>
      <c r="P75" s="1442">
        <v>2.6889929417005893</v>
      </c>
      <c r="Q75" s="1442">
        <v>2.7086427299516069</v>
      </c>
      <c r="R75" s="1442">
        <v>2.7288820118501551</v>
      </c>
      <c r="S75" s="1442">
        <v>2.7497284722056596</v>
      </c>
      <c r="T75" s="1442">
        <v>2.7712003263718294</v>
      </c>
      <c r="U75" s="1442">
        <v>2.7933163361629845</v>
      </c>
      <c r="V75" s="1442">
        <v>2.8160958262478739</v>
      </c>
      <c r="W75" s="1442">
        <v>2.8395587010353101</v>
      </c>
      <c r="X75" s="1442">
        <v>2.8637254620663697</v>
      </c>
      <c r="Y75" s="1442">
        <v>2.8886172259283605</v>
      </c>
      <c r="Z75" s="1442">
        <v>2.9142557427062115</v>
      </c>
      <c r="AA75" s="1442">
        <v>2.940663414987398</v>
      </c>
      <c r="AB75" s="1442">
        <v>2.9678633174370197</v>
      </c>
      <c r="AC75" s="1442">
        <v>2.9958792169601303</v>
      </c>
      <c r="AD75" s="1442">
        <v>3.0247355934689346</v>
      </c>
      <c r="AE75" s="1442">
        <f t="shared" si="12"/>
        <v>3.0247355934689346</v>
      </c>
      <c r="AF75" s="1442">
        <f t="shared" si="12"/>
        <v>3.0247355934689346</v>
      </c>
      <c r="AG75" s="1442">
        <f t="shared" si="12"/>
        <v>3.0247355934689346</v>
      </c>
      <c r="AH75" s="1442">
        <f t="shared" si="12"/>
        <v>3.0247355934689346</v>
      </c>
      <c r="AI75" s="1442">
        <f t="shared" si="12"/>
        <v>3.0247355934689346</v>
      </c>
      <c r="AJ75" s="1442">
        <f t="shared" si="12"/>
        <v>3.0247355934689346</v>
      </c>
      <c r="AK75" s="1442">
        <f t="shared" si="12"/>
        <v>3.0247355934689346</v>
      </c>
      <c r="AL75" s="1442">
        <f t="shared" si="12"/>
        <v>3.0247355934689346</v>
      </c>
      <c r="AM75" s="1442">
        <f t="shared" si="12"/>
        <v>3.0247355934689346</v>
      </c>
      <c r="AN75" s="1442">
        <f t="shared" si="12"/>
        <v>3.0247355934689346</v>
      </c>
      <c r="AO75" s="1442">
        <f t="shared" si="12"/>
        <v>3.0247355934689346</v>
      </c>
      <c r="AP75" s="1442">
        <f t="shared" si="12"/>
        <v>3.0247355934689346</v>
      </c>
      <c r="AQ75" s="1442">
        <f t="shared" si="12"/>
        <v>3.0247355934689346</v>
      </c>
      <c r="AR75" s="1442">
        <f t="shared" si="12"/>
        <v>3.0247355934689346</v>
      </c>
      <c r="AS75" s="1442">
        <f t="shared" si="12"/>
        <v>3.0247355934689346</v>
      </c>
      <c r="AT75" s="1442">
        <f t="shared" si="12"/>
        <v>3.0247355934689346</v>
      </c>
      <c r="AU75" s="1442">
        <f t="shared" si="11"/>
        <v>3.0247355934689346</v>
      </c>
      <c r="AV75" s="1442">
        <f t="shared" si="11"/>
        <v>3.0247355934689346</v>
      </c>
      <c r="AW75" s="1442">
        <f t="shared" si="11"/>
        <v>3.0247355934689346</v>
      </c>
      <c r="AX75" s="1442">
        <f t="shared" si="11"/>
        <v>3.0247355934689346</v>
      </c>
      <c r="AY75" s="1442">
        <f t="shared" si="11"/>
        <v>3.0247355934689346</v>
      </c>
      <c r="AZ75" s="1442">
        <f t="shared" si="11"/>
        <v>3.0247355934689346</v>
      </c>
      <c r="BA75" s="1442">
        <f t="shared" si="11"/>
        <v>3.0247355934689346</v>
      </c>
      <c r="BB75" s="1442">
        <f t="shared" si="11"/>
        <v>3.0247355934689346</v>
      </c>
      <c r="BC75" s="1442">
        <f t="shared" si="11"/>
        <v>3.0247355934689346</v>
      </c>
      <c r="BD75" s="1442">
        <f t="shared" si="11"/>
        <v>3.0247355934689346</v>
      </c>
      <c r="BE75" s="1442">
        <f t="shared" si="11"/>
        <v>3.0247355934689346</v>
      </c>
      <c r="BF75" s="1442">
        <f t="shared" si="11"/>
        <v>3.0247355934689346</v>
      </c>
      <c r="BG75" s="1442">
        <f t="shared" si="11"/>
        <v>3.0247355934689346</v>
      </c>
      <c r="BH75" s="1442">
        <f t="shared" si="11"/>
        <v>3.0247355934689346</v>
      </c>
      <c r="BI75" s="1442">
        <f t="shared" si="11"/>
        <v>3.0247355934689346</v>
      </c>
      <c r="BJ75" s="1442">
        <f t="shared" si="13"/>
        <v>3.0247355934689346</v>
      </c>
      <c r="BK75" s="1442">
        <f t="shared" si="13"/>
        <v>3.0247355934689346</v>
      </c>
      <c r="BL75" s="1442">
        <f t="shared" si="13"/>
        <v>3.0247355934689346</v>
      </c>
      <c r="BM75" s="1442">
        <f t="shared" si="13"/>
        <v>3.0247355934689346</v>
      </c>
      <c r="BN75" s="1443">
        <f t="shared" si="13"/>
        <v>3.0247355934689346</v>
      </c>
    </row>
    <row r="76" spans="1:66" s="91" customFormat="1">
      <c r="A76" s="1434">
        <v>31</v>
      </c>
      <c r="B76" s="1435">
        <v>0</v>
      </c>
      <c r="C76" s="1436" t="s">
        <v>69</v>
      </c>
      <c r="D76" s="1435" t="s">
        <v>82</v>
      </c>
      <c r="E76" s="1437">
        <v>3.622177481496013</v>
      </c>
      <c r="F76" s="1437">
        <v>4.1730579248434196</v>
      </c>
      <c r="G76" s="1437">
        <v>4.3615366341466864</v>
      </c>
      <c r="H76" s="1437">
        <v>4.3730821112323239</v>
      </c>
      <c r="I76" s="1437">
        <v>4.4353386677017923</v>
      </c>
      <c r="J76" s="1437">
        <v>4.4977500580067549</v>
      </c>
      <c r="K76" s="1437">
        <v>4.5829105533541741</v>
      </c>
      <c r="L76" s="1437">
        <v>4.6740376240288706</v>
      </c>
      <c r="M76" s="1437">
        <v>4.7681523761192768</v>
      </c>
      <c r="N76" s="1437">
        <v>4.8639538425689901</v>
      </c>
      <c r="O76" s="1437">
        <v>4.9598609406296017</v>
      </c>
      <c r="P76" s="1437">
        <v>5.0618123884294013</v>
      </c>
      <c r="Q76" s="1437">
        <v>5.1659243228538889</v>
      </c>
      <c r="R76" s="1437">
        <v>5.2722446741825246</v>
      </c>
      <c r="S76" s="1437">
        <v>5.3808221129287057</v>
      </c>
      <c r="T76" s="1437">
        <v>5.4917062043971177</v>
      </c>
      <c r="U76" s="1437">
        <v>5.6049483553796424</v>
      </c>
      <c r="V76" s="1437">
        <v>5.7206004662078698</v>
      </c>
      <c r="W76" s="1437">
        <v>5.8385523116443228</v>
      </c>
      <c r="X76" s="1437">
        <v>5.9540398826082948</v>
      </c>
      <c r="Y76" s="1437">
        <v>6.0752416355490508</v>
      </c>
      <c r="Z76" s="1437">
        <v>6.1994151865480855</v>
      </c>
      <c r="AA76" s="1437">
        <v>6.3207433023258268</v>
      </c>
      <c r="AB76" s="1437">
        <v>6.4509137137855195</v>
      </c>
      <c r="AC76" s="1437">
        <v>6.5910194986121304</v>
      </c>
      <c r="AD76" s="1437">
        <v>6.7210294852531316</v>
      </c>
      <c r="AE76" s="1437">
        <f t="shared" si="12"/>
        <v>6.7210294852531316</v>
      </c>
      <c r="AF76" s="1437">
        <f t="shared" si="12"/>
        <v>6.7210294852531316</v>
      </c>
      <c r="AG76" s="1437">
        <f t="shared" si="12"/>
        <v>6.7210294852531316</v>
      </c>
      <c r="AH76" s="1437">
        <f t="shared" si="12"/>
        <v>6.7210294852531316</v>
      </c>
      <c r="AI76" s="1437">
        <f t="shared" si="12"/>
        <v>6.7210294852531316</v>
      </c>
      <c r="AJ76" s="1437">
        <f t="shared" si="12"/>
        <v>6.7210294852531316</v>
      </c>
      <c r="AK76" s="1437">
        <f t="shared" si="12"/>
        <v>6.7210294852531316</v>
      </c>
      <c r="AL76" s="1437">
        <f t="shared" si="12"/>
        <v>6.7210294852531316</v>
      </c>
      <c r="AM76" s="1437">
        <f t="shared" si="12"/>
        <v>6.7210294852531316</v>
      </c>
      <c r="AN76" s="1437">
        <f t="shared" si="12"/>
        <v>6.7210294852531316</v>
      </c>
      <c r="AO76" s="1437">
        <f t="shared" si="12"/>
        <v>6.7210294852531316</v>
      </c>
      <c r="AP76" s="1437">
        <f t="shared" si="12"/>
        <v>6.7210294852531316</v>
      </c>
      <c r="AQ76" s="1437">
        <f t="shared" si="12"/>
        <v>6.7210294852531316</v>
      </c>
      <c r="AR76" s="1437">
        <f t="shared" si="12"/>
        <v>6.7210294852531316</v>
      </c>
      <c r="AS76" s="1437">
        <f t="shared" si="12"/>
        <v>6.7210294852531316</v>
      </c>
      <c r="AT76" s="1437">
        <f t="shared" si="12"/>
        <v>6.7210294852531316</v>
      </c>
      <c r="AU76" s="1437">
        <f t="shared" si="11"/>
        <v>6.7210294852531316</v>
      </c>
      <c r="AV76" s="1437">
        <f t="shared" si="11"/>
        <v>6.7210294852531316</v>
      </c>
      <c r="AW76" s="1437">
        <f t="shared" si="11"/>
        <v>6.7210294852531316</v>
      </c>
      <c r="AX76" s="1437">
        <f t="shared" si="11"/>
        <v>6.7210294852531316</v>
      </c>
      <c r="AY76" s="1437">
        <f t="shared" si="11"/>
        <v>6.7210294852531316</v>
      </c>
      <c r="AZ76" s="1437">
        <f t="shared" si="11"/>
        <v>6.7210294852531316</v>
      </c>
      <c r="BA76" s="1437">
        <f t="shared" si="11"/>
        <v>6.7210294852531316</v>
      </c>
      <c r="BB76" s="1437">
        <f t="shared" si="11"/>
        <v>6.7210294852531316</v>
      </c>
      <c r="BC76" s="1437">
        <f t="shared" si="11"/>
        <v>6.7210294852531316</v>
      </c>
      <c r="BD76" s="1437">
        <f t="shared" si="11"/>
        <v>6.7210294852531316</v>
      </c>
      <c r="BE76" s="1437">
        <f t="shared" si="11"/>
        <v>6.7210294852531316</v>
      </c>
      <c r="BF76" s="1437">
        <f t="shared" si="11"/>
        <v>6.7210294852531316</v>
      </c>
      <c r="BG76" s="1437">
        <f t="shared" si="11"/>
        <v>6.7210294852531316</v>
      </c>
      <c r="BH76" s="1437">
        <f t="shared" si="11"/>
        <v>6.7210294852531316</v>
      </c>
      <c r="BI76" s="1437">
        <f t="shared" si="11"/>
        <v>6.7210294852531316</v>
      </c>
      <c r="BJ76" s="1437">
        <f t="shared" si="13"/>
        <v>6.7210294852531316</v>
      </c>
      <c r="BK76" s="1437">
        <f t="shared" si="13"/>
        <v>6.7210294852531316</v>
      </c>
      <c r="BL76" s="1437">
        <f t="shared" si="13"/>
        <v>6.7210294852531316</v>
      </c>
      <c r="BM76" s="1437">
        <f t="shared" si="13"/>
        <v>6.7210294852531316</v>
      </c>
      <c r="BN76" s="1438">
        <f t="shared" si="13"/>
        <v>6.7210294852531316</v>
      </c>
    </row>
    <row r="77" spans="1:66" s="91" customFormat="1">
      <c r="A77" s="1439">
        <v>86</v>
      </c>
      <c r="B77" s="1440">
        <v>0</v>
      </c>
      <c r="C77" s="1441" t="s">
        <v>111</v>
      </c>
      <c r="D77" s="1440" t="s">
        <v>112</v>
      </c>
      <c r="E77" s="1442">
        <v>3.164449861936685</v>
      </c>
      <c r="F77" s="1442">
        <v>3.5102037241778272</v>
      </c>
      <c r="G77" s="1442">
        <v>3.6294548880408661</v>
      </c>
      <c r="H77" s="1442">
        <v>3.6424121536182494</v>
      </c>
      <c r="I77" s="1442">
        <v>3.685850040658381</v>
      </c>
      <c r="J77" s="1442">
        <v>3.7294812216100106</v>
      </c>
      <c r="K77" s="1442">
        <v>3.7866990398902765</v>
      </c>
      <c r="L77" s="1442">
        <v>3.8474533002756819</v>
      </c>
      <c r="M77" s="1442">
        <v>3.9099622925073656</v>
      </c>
      <c r="N77" s="1442">
        <v>3.9734572577245837</v>
      </c>
      <c r="O77" s="1442">
        <v>4.0370219738443494</v>
      </c>
      <c r="P77" s="1442">
        <v>4.1041037698887051</v>
      </c>
      <c r="Q77" s="1442">
        <v>4.172435309985473</v>
      </c>
      <c r="R77" s="1442">
        <v>4.2420435103181244</v>
      </c>
      <c r="S77" s="1442">
        <v>4.3129557295306764</v>
      </c>
      <c r="T77" s="1442">
        <v>4.3851998636458793</v>
      </c>
      <c r="U77" s="1442">
        <v>4.4588048853355344</v>
      </c>
      <c r="V77" s="1442">
        <v>4.5338000809223198</v>
      </c>
      <c r="W77" s="1442">
        <v>4.6101243115700745</v>
      </c>
      <c r="X77" s="1442">
        <v>4.6851336977111551</v>
      </c>
      <c r="Y77" s="1442">
        <v>4.7633895339707628</v>
      </c>
      <c r="Z77" s="1442">
        <v>4.843358984247887</v>
      </c>
      <c r="AA77" s="1442">
        <v>4.9218559483224382</v>
      </c>
      <c r="AB77" s="1442">
        <v>5.0052932235727621</v>
      </c>
      <c r="AC77" s="1442">
        <v>5.0942156907124589</v>
      </c>
      <c r="AD77" s="1442">
        <v>5.1777641312786349</v>
      </c>
      <c r="AE77" s="1442">
        <f t="shared" si="12"/>
        <v>5.1777641312786349</v>
      </c>
      <c r="AF77" s="1442">
        <f t="shared" si="12"/>
        <v>5.1777641312786349</v>
      </c>
      <c r="AG77" s="1442">
        <f t="shared" si="12"/>
        <v>5.1777641312786349</v>
      </c>
      <c r="AH77" s="1442">
        <f t="shared" si="12"/>
        <v>5.1777641312786349</v>
      </c>
      <c r="AI77" s="1442">
        <f t="shared" si="12"/>
        <v>5.1777641312786349</v>
      </c>
      <c r="AJ77" s="1442">
        <f t="shared" si="12"/>
        <v>5.1777641312786349</v>
      </c>
      <c r="AK77" s="1442">
        <f t="shared" si="12"/>
        <v>5.1777641312786349</v>
      </c>
      <c r="AL77" s="1442">
        <f t="shared" si="12"/>
        <v>5.1777641312786349</v>
      </c>
      <c r="AM77" s="1442">
        <f t="shared" si="12"/>
        <v>5.1777641312786349</v>
      </c>
      <c r="AN77" s="1442">
        <f t="shared" si="12"/>
        <v>5.1777641312786349</v>
      </c>
      <c r="AO77" s="1442">
        <f t="shared" si="12"/>
        <v>5.1777641312786349</v>
      </c>
      <c r="AP77" s="1442">
        <f t="shared" si="12"/>
        <v>5.1777641312786349</v>
      </c>
      <c r="AQ77" s="1442">
        <f t="shared" si="12"/>
        <v>5.1777641312786349</v>
      </c>
      <c r="AR77" s="1442">
        <f t="shared" si="12"/>
        <v>5.1777641312786349</v>
      </c>
      <c r="AS77" s="1442">
        <f t="shared" si="12"/>
        <v>5.1777641312786349</v>
      </c>
      <c r="AT77" s="1442">
        <f t="shared" si="12"/>
        <v>5.1777641312786349</v>
      </c>
      <c r="AU77" s="1442">
        <f t="shared" si="11"/>
        <v>5.1777641312786349</v>
      </c>
      <c r="AV77" s="1442">
        <f t="shared" si="11"/>
        <v>5.1777641312786349</v>
      </c>
      <c r="AW77" s="1442">
        <f t="shared" si="11"/>
        <v>5.1777641312786349</v>
      </c>
      <c r="AX77" s="1442">
        <f t="shared" si="11"/>
        <v>5.1777641312786349</v>
      </c>
      <c r="AY77" s="1442">
        <f t="shared" si="11"/>
        <v>5.1777641312786349</v>
      </c>
      <c r="AZ77" s="1442">
        <f t="shared" si="11"/>
        <v>5.1777641312786349</v>
      </c>
      <c r="BA77" s="1442">
        <f t="shared" si="11"/>
        <v>5.1777641312786349</v>
      </c>
      <c r="BB77" s="1442">
        <f t="shared" si="11"/>
        <v>5.1777641312786349</v>
      </c>
      <c r="BC77" s="1442">
        <f t="shared" si="11"/>
        <v>5.1777641312786349</v>
      </c>
      <c r="BD77" s="1442">
        <f t="shared" si="11"/>
        <v>5.1777641312786349</v>
      </c>
      <c r="BE77" s="1442">
        <f t="shared" si="11"/>
        <v>5.1777641312786349</v>
      </c>
      <c r="BF77" s="1442">
        <f t="shared" si="11"/>
        <v>5.1777641312786349</v>
      </c>
      <c r="BG77" s="1442">
        <f t="shared" si="11"/>
        <v>5.1777641312786349</v>
      </c>
      <c r="BH77" s="1442">
        <f t="shared" si="11"/>
        <v>5.1777641312786349</v>
      </c>
      <c r="BI77" s="1442">
        <f t="shared" si="11"/>
        <v>5.1777641312786349</v>
      </c>
      <c r="BJ77" s="1442">
        <f t="shared" si="13"/>
        <v>5.1777641312786349</v>
      </c>
      <c r="BK77" s="1442">
        <f t="shared" si="13"/>
        <v>5.1777641312786349</v>
      </c>
      <c r="BL77" s="1442">
        <f t="shared" si="13"/>
        <v>5.1777641312786349</v>
      </c>
      <c r="BM77" s="1442">
        <f t="shared" si="13"/>
        <v>5.1777641312786349</v>
      </c>
      <c r="BN77" s="1443">
        <f t="shared" si="13"/>
        <v>5.1777641312786349</v>
      </c>
    </row>
    <row r="78" spans="1:66" s="91" customFormat="1">
      <c r="A78" s="1434">
        <v>182</v>
      </c>
      <c r="B78" s="1435">
        <v>0</v>
      </c>
      <c r="C78" s="1436" t="s">
        <v>69</v>
      </c>
      <c r="D78" s="1435" t="s">
        <v>83</v>
      </c>
      <c r="E78" s="1437">
        <v>2.8405881049627539</v>
      </c>
      <c r="F78" s="1437">
        <v>3.2582618935670458</v>
      </c>
      <c r="G78" s="1437">
        <v>3.4035887265834726</v>
      </c>
      <c r="H78" s="1437">
        <v>3.4160064993997348</v>
      </c>
      <c r="I78" s="1437">
        <v>3.4666608636920841</v>
      </c>
      <c r="J78" s="1437">
        <v>3.5175471331903161</v>
      </c>
      <c r="K78" s="1437">
        <v>3.5856550856960778</v>
      </c>
      <c r="L78" s="1437">
        <v>3.6583712291848878</v>
      </c>
      <c r="M78" s="1437">
        <v>3.7334597152367373</v>
      </c>
      <c r="N78" s="1437">
        <v>3.8099462666424548</v>
      </c>
      <c r="O78" s="1437">
        <v>3.8866461295541561</v>
      </c>
      <c r="P78" s="1437">
        <v>3.9680280333396309</v>
      </c>
      <c r="Q78" s="1437">
        <v>4.0511762375276961</v>
      </c>
      <c r="R78" s="1437">
        <v>4.1361310375442812</v>
      </c>
      <c r="S78" s="1437">
        <v>4.2229334131683114</v>
      </c>
      <c r="T78" s="1437">
        <v>4.3116251485629205</v>
      </c>
      <c r="U78" s="1437">
        <v>4.4022495479493795</v>
      </c>
      <c r="V78" s="1437">
        <v>4.4948504262927695</v>
      </c>
      <c r="W78" s="1437">
        <v>4.5893498568813333</v>
      </c>
      <c r="X78" s="1437">
        <v>4.6821713589477261</v>
      </c>
      <c r="Y78" s="1437">
        <v>4.7794687154032998</v>
      </c>
      <c r="Z78" s="1437">
        <v>4.87918560777082</v>
      </c>
      <c r="AA78" s="1437">
        <v>4.9769542159876643</v>
      </c>
      <c r="AB78" s="1437">
        <v>5.0815670721283048</v>
      </c>
      <c r="AC78" s="1437">
        <v>5.1938518480865401</v>
      </c>
      <c r="AD78" s="1437">
        <v>5.2987552385620056</v>
      </c>
      <c r="AE78" s="1437">
        <f t="shared" si="12"/>
        <v>5.2987552385620056</v>
      </c>
      <c r="AF78" s="1437">
        <f t="shared" si="12"/>
        <v>5.2987552385620056</v>
      </c>
      <c r="AG78" s="1437">
        <f t="shared" si="12"/>
        <v>5.2987552385620056</v>
      </c>
      <c r="AH78" s="1437">
        <f t="shared" si="12"/>
        <v>5.2987552385620056</v>
      </c>
      <c r="AI78" s="1437">
        <f t="shared" si="12"/>
        <v>5.2987552385620056</v>
      </c>
      <c r="AJ78" s="1437">
        <f t="shared" si="12"/>
        <v>5.2987552385620056</v>
      </c>
      <c r="AK78" s="1437">
        <f t="shared" si="12"/>
        <v>5.2987552385620056</v>
      </c>
      <c r="AL78" s="1437">
        <f t="shared" si="12"/>
        <v>5.2987552385620056</v>
      </c>
      <c r="AM78" s="1437">
        <f t="shared" si="12"/>
        <v>5.2987552385620056</v>
      </c>
      <c r="AN78" s="1437">
        <f t="shared" si="12"/>
        <v>5.2987552385620056</v>
      </c>
      <c r="AO78" s="1437">
        <f t="shared" si="12"/>
        <v>5.2987552385620056</v>
      </c>
      <c r="AP78" s="1437">
        <f t="shared" si="12"/>
        <v>5.2987552385620056</v>
      </c>
      <c r="AQ78" s="1437">
        <f t="shared" si="12"/>
        <v>5.2987552385620056</v>
      </c>
      <c r="AR78" s="1437">
        <f t="shared" si="12"/>
        <v>5.2987552385620056</v>
      </c>
      <c r="AS78" s="1437">
        <f t="shared" si="12"/>
        <v>5.2987552385620056</v>
      </c>
      <c r="AT78" s="1437">
        <f t="shared" si="12"/>
        <v>5.2987552385620056</v>
      </c>
      <c r="AU78" s="1437">
        <f t="shared" si="11"/>
        <v>5.2987552385620056</v>
      </c>
      <c r="AV78" s="1437">
        <f t="shared" si="11"/>
        <v>5.2987552385620056</v>
      </c>
      <c r="AW78" s="1437">
        <f t="shared" si="11"/>
        <v>5.2987552385620056</v>
      </c>
      <c r="AX78" s="1437">
        <f t="shared" si="11"/>
        <v>5.2987552385620056</v>
      </c>
      <c r="AY78" s="1437">
        <f t="shared" si="11"/>
        <v>5.2987552385620056</v>
      </c>
      <c r="AZ78" s="1437">
        <f t="shared" si="11"/>
        <v>5.2987552385620056</v>
      </c>
      <c r="BA78" s="1437">
        <f t="shared" si="11"/>
        <v>5.2987552385620056</v>
      </c>
      <c r="BB78" s="1437">
        <f t="shared" si="11"/>
        <v>5.2987552385620056</v>
      </c>
      <c r="BC78" s="1437">
        <f t="shared" si="11"/>
        <v>5.2987552385620056</v>
      </c>
      <c r="BD78" s="1437">
        <f t="shared" si="11"/>
        <v>5.2987552385620056</v>
      </c>
      <c r="BE78" s="1437">
        <f t="shared" si="11"/>
        <v>5.2987552385620056</v>
      </c>
      <c r="BF78" s="1437">
        <f t="shared" si="11"/>
        <v>5.2987552385620056</v>
      </c>
      <c r="BG78" s="1437">
        <f t="shared" si="11"/>
        <v>5.2987552385620056</v>
      </c>
      <c r="BH78" s="1437">
        <f t="shared" si="11"/>
        <v>5.2987552385620056</v>
      </c>
      <c r="BI78" s="1437">
        <f t="shared" si="11"/>
        <v>5.2987552385620056</v>
      </c>
      <c r="BJ78" s="1437">
        <f t="shared" si="13"/>
        <v>5.2987552385620056</v>
      </c>
      <c r="BK78" s="1437">
        <f t="shared" si="13"/>
        <v>5.2987552385620056</v>
      </c>
      <c r="BL78" s="1437">
        <f t="shared" si="13"/>
        <v>5.2987552385620056</v>
      </c>
      <c r="BM78" s="1437">
        <f t="shared" si="13"/>
        <v>5.2987552385620056</v>
      </c>
      <c r="BN78" s="1438">
        <f t="shared" si="13"/>
        <v>5.2987552385620056</v>
      </c>
    </row>
    <row r="79" spans="1:66" s="91" customFormat="1">
      <c r="A79" s="1445"/>
      <c r="B79" s="1446">
        <v>1</v>
      </c>
      <c r="C79" s="1441" t="s">
        <v>1327</v>
      </c>
      <c r="D79" s="1441" t="s">
        <v>296</v>
      </c>
      <c r="E79" s="1442">
        <v>3.5931808371065181</v>
      </c>
      <c r="F79" s="1442">
        <v>4.255622360686643</v>
      </c>
      <c r="G79" s="1442">
        <v>4.4844591078839464</v>
      </c>
      <c r="H79" s="1442">
        <v>4.4951693686457501</v>
      </c>
      <c r="I79" s="1442">
        <v>4.5685994213915295</v>
      </c>
      <c r="J79" s="1442">
        <v>4.6422473140308673</v>
      </c>
      <c r="K79" s="1442">
        <v>4.74428146816728</v>
      </c>
      <c r="L79" s="1442">
        <v>4.8539546309202199</v>
      </c>
      <c r="M79" s="1442">
        <v>4.9675883509383558</v>
      </c>
      <c r="N79" s="1442">
        <v>5.0835665573893536</v>
      </c>
      <c r="O79" s="1442">
        <v>5.1998939664205341</v>
      </c>
      <c r="P79" s="1442">
        <v>5.3241020099981533</v>
      </c>
      <c r="Q79" s="1442">
        <v>5.4513037593903979</v>
      </c>
      <c r="R79" s="1442">
        <v>5.5815725698895431</v>
      </c>
      <c r="S79" s="1442">
        <v>5.7149831423196602</v>
      </c>
      <c r="T79" s="1442">
        <v>5.8516117244686594</v>
      </c>
      <c r="U79" s="1442">
        <v>5.9915373424746452</v>
      </c>
      <c r="V79" s="1442">
        <v>6.134840076093619</v>
      </c>
      <c r="W79" s="1442">
        <v>6.2813888171964969</v>
      </c>
      <c r="X79" s="1442">
        <v>6.4249535745448725</v>
      </c>
      <c r="Y79" s="1442">
        <v>6.5762272476037404</v>
      </c>
      <c r="Z79" s="1442">
        <v>6.7316498464674197</v>
      </c>
      <c r="AA79" s="1442">
        <v>6.8835353396015737</v>
      </c>
      <c r="AB79" s="1442">
        <v>7.047351789537128</v>
      </c>
      <c r="AC79" s="1442">
        <v>7.22466269578352</v>
      </c>
      <c r="AD79" s="1442">
        <v>7.388758374388841</v>
      </c>
      <c r="AE79" s="1442">
        <f t="shared" si="12"/>
        <v>7.388758374388841</v>
      </c>
      <c r="AF79" s="1442">
        <f t="shared" si="12"/>
        <v>7.388758374388841</v>
      </c>
      <c r="AG79" s="1442">
        <f t="shared" si="12"/>
        <v>7.388758374388841</v>
      </c>
      <c r="AH79" s="1442">
        <f t="shared" si="12"/>
        <v>7.388758374388841</v>
      </c>
      <c r="AI79" s="1442">
        <f t="shared" si="12"/>
        <v>7.388758374388841</v>
      </c>
      <c r="AJ79" s="1442">
        <f t="shared" si="12"/>
        <v>7.388758374388841</v>
      </c>
      <c r="AK79" s="1442">
        <f t="shared" si="12"/>
        <v>7.388758374388841</v>
      </c>
      <c r="AL79" s="1442">
        <f t="shared" si="12"/>
        <v>7.388758374388841</v>
      </c>
      <c r="AM79" s="1442">
        <f t="shared" si="12"/>
        <v>7.388758374388841</v>
      </c>
      <c r="AN79" s="1442">
        <f t="shared" si="12"/>
        <v>7.388758374388841</v>
      </c>
      <c r="AO79" s="1442">
        <f t="shared" si="12"/>
        <v>7.388758374388841</v>
      </c>
      <c r="AP79" s="1442">
        <f t="shared" si="12"/>
        <v>7.388758374388841</v>
      </c>
      <c r="AQ79" s="1442">
        <f t="shared" si="12"/>
        <v>7.388758374388841</v>
      </c>
      <c r="AR79" s="1442">
        <f t="shared" si="12"/>
        <v>7.388758374388841</v>
      </c>
      <c r="AS79" s="1442">
        <f t="shared" si="12"/>
        <v>7.388758374388841</v>
      </c>
      <c r="AT79" s="1442">
        <f t="shared" si="12"/>
        <v>7.388758374388841</v>
      </c>
      <c r="AU79" s="1442">
        <f t="shared" si="11"/>
        <v>7.388758374388841</v>
      </c>
      <c r="AV79" s="1442">
        <f t="shared" si="11"/>
        <v>7.388758374388841</v>
      </c>
      <c r="AW79" s="1442">
        <f t="shared" si="11"/>
        <v>7.388758374388841</v>
      </c>
      <c r="AX79" s="1442">
        <f t="shared" si="11"/>
        <v>7.388758374388841</v>
      </c>
      <c r="AY79" s="1442">
        <f t="shared" si="11"/>
        <v>7.388758374388841</v>
      </c>
      <c r="AZ79" s="1442">
        <f t="shared" si="11"/>
        <v>7.388758374388841</v>
      </c>
      <c r="BA79" s="1442">
        <f t="shared" si="11"/>
        <v>7.388758374388841</v>
      </c>
      <c r="BB79" s="1442">
        <f t="shared" si="11"/>
        <v>7.388758374388841</v>
      </c>
      <c r="BC79" s="1442">
        <f t="shared" si="11"/>
        <v>7.388758374388841</v>
      </c>
      <c r="BD79" s="1442">
        <f t="shared" si="11"/>
        <v>7.388758374388841</v>
      </c>
      <c r="BE79" s="1442">
        <f t="shared" si="11"/>
        <v>7.388758374388841</v>
      </c>
      <c r="BF79" s="1442">
        <f t="shared" si="11"/>
        <v>7.388758374388841</v>
      </c>
      <c r="BG79" s="1442">
        <f t="shared" si="11"/>
        <v>7.388758374388841</v>
      </c>
      <c r="BH79" s="1442">
        <f t="shared" si="11"/>
        <v>7.388758374388841</v>
      </c>
      <c r="BI79" s="1442">
        <f t="shared" si="11"/>
        <v>7.388758374388841</v>
      </c>
      <c r="BJ79" s="1442">
        <f t="shared" si="13"/>
        <v>7.388758374388841</v>
      </c>
      <c r="BK79" s="1442">
        <f t="shared" si="13"/>
        <v>7.388758374388841</v>
      </c>
      <c r="BL79" s="1442">
        <f t="shared" si="13"/>
        <v>7.388758374388841</v>
      </c>
      <c r="BM79" s="1442">
        <f t="shared" si="13"/>
        <v>7.388758374388841</v>
      </c>
      <c r="BN79" s="1443">
        <f t="shared" si="13"/>
        <v>7.388758374388841</v>
      </c>
    </row>
    <row r="80" spans="1:66" s="91" customFormat="1">
      <c r="A80" s="1434">
        <v>33</v>
      </c>
      <c r="B80" s="1435">
        <v>0</v>
      </c>
      <c r="C80" s="1436" t="s">
        <v>69</v>
      </c>
      <c r="D80" s="1435" t="s">
        <v>46</v>
      </c>
      <c r="E80" s="1437">
        <v>3.4279341806935859</v>
      </c>
      <c r="F80" s="1437">
        <v>3.9457096445171937</v>
      </c>
      <c r="G80" s="1437">
        <v>4.1234640999635932</v>
      </c>
      <c r="H80" s="1437">
        <v>4.1352263630075345</v>
      </c>
      <c r="I80" s="1437">
        <v>4.1945995024645768</v>
      </c>
      <c r="J80" s="1437">
        <v>4.2541466298012072</v>
      </c>
      <c r="K80" s="1437">
        <v>4.3350691680984292</v>
      </c>
      <c r="L80" s="1437">
        <v>4.4216206913376146</v>
      </c>
      <c r="M80" s="1437">
        <v>4.5110069698481121</v>
      </c>
      <c r="N80" s="1437">
        <v>4.6020082266666451</v>
      </c>
      <c r="O80" s="1437">
        <v>4.6931418760768135</v>
      </c>
      <c r="P80" s="1437">
        <v>4.7899813095052499</v>
      </c>
      <c r="Q80" s="1437">
        <v>4.8888832650322298</v>
      </c>
      <c r="R80" s="1437">
        <v>4.9898937754969523</v>
      </c>
      <c r="S80" s="1437">
        <v>5.0930596000848283</v>
      </c>
      <c r="T80" s="1437">
        <v>5.1984283703042768</v>
      </c>
      <c r="U80" s="1437">
        <v>5.306049479268248</v>
      </c>
      <c r="V80" s="1437">
        <v>5.4159728179050211</v>
      </c>
      <c r="W80" s="1437">
        <v>5.5280961879186794</v>
      </c>
      <c r="X80" s="1437">
        <v>5.6379507088808598</v>
      </c>
      <c r="Y80" s="1437">
        <v>5.7532116583557764</v>
      </c>
      <c r="Z80" s="1437">
        <v>5.8713071557862557</v>
      </c>
      <c r="AA80" s="1437">
        <v>5.9867801810889869</v>
      </c>
      <c r="AB80" s="1437">
        <v>6.1105989403196892</v>
      </c>
      <c r="AC80" s="1437">
        <v>6.2437905515962235</v>
      </c>
      <c r="AD80" s="1437">
        <v>6.3675609599400653</v>
      </c>
      <c r="AE80" s="1437">
        <f t="shared" si="12"/>
        <v>6.3675609599400653</v>
      </c>
      <c r="AF80" s="1437">
        <f t="shared" si="12"/>
        <v>6.3675609599400653</v>
      </c>
      <c r="AG80" s="1437">
        <f t="shared" si="12"/>
        <v>6.3675609599400653</v>
      </c>
      <c r="AH80" s="1437">
        <f t="shared" si="12"/>
        <v>6.3675609599400653</v>
      </c>
      <c r="AI80" s="1437">
        <f t="shared" si="12"/>
        <v>6.3675609599400653</v>
      </c>
      <c r="AJ80" s="1437">
        <f t="shared" si="12"/>
        <v>6.3675609599400653</v>
      </c>
      <c r="AK80" s="1437">
        <f t="shared" si="12"/>
        <v>6.3675609599400653</v>
      </c>
      <c r="AL80" s="1437">
        <f t="shared" si="12"/>
        <v>6.3675609599400653</v>
      </c>
      <c r="AM80" s="1437">
        <f t="shared" si="12"/>
        <v>6.3675609599400653</v>
      </c>
      <c r="AN80" s="1437">
        <f t="shared" si="12"/>
        <v>6.3675609599400653</v>
      </c>
      <c r="AO80" s="1437">
        <f t="shared" si="12"/>
        <v>6.3675609599400653</v>
      </c>
      <c r="AP80" s="1437">
        <f t="shared" si="12"/>
        <v>6.3675609599400653</v>
      </c>
      <c r="AQ80" s="1437">
        <f t="shared" si="12"/>
        <v>6.3675609599400653</v>
      </c>
      <c r="AR80" s="1437">
        <f t="shared" si="12"/>
        <v>6.3675609599400653</v>
      </c>
      <c r="AS80" s="1437">
        <f t="shared" si="12"/>
        <v>6.3675609599400653</v>
      </c>
      <c r="AT80" s="1437">
        <f t="shared" si="12"/>
        <v>6.3675609599400653</v>
      </c>
      <c r="AU80" s="1437">
        <f t="shared" si="11"/>
        <v>6.3675609599400653</v>
      </c>
      <c r="AV80" s="1437">
        <f t="shared" si="11"/>
        <v>6.3675609599400653</v>
      </c>
      <c r="AW80" s="1437">
        <f t="shared" si="11"/>
        <v>6.3675609599400653</v>
      </c>
      <c r="AX80" s="1437">
        <f t="shared" si="11"/>
        <v>6.3675609599400653</v>
      </c>
      <c r="AY80" s="1437">
        <f t="shared" si="11"/>
        <v>6.3675609599400653</v>
      </c>
      <c r="AZ80" s="1437">
        <f t="shared" si="11"/>
        <v>6.3675609599400653</v>
      </c>
      <c r="BA80" s="1437">
        <f t="shared" si="11"/>
        <v>6.3675609599400653</v>
      </c>
      <c r="BB80" s="1437">
        <f t="shared" si="11"/>
        <v>6.3675609599400653</v>
      </c>
      <c r="BC80" s="1437">
        <f t="shared" si="11"/>
        <v>6.3675609599400653</v>
      </c>
      <c r="BD80" s="1437">
        <f t="shared" si="11"/>
        <v>6.3675609599400653</v>
      </c>
      <c r="BE80" s="1437">
        <f t="shared" si="11"/>
        <v>6.3675609599400653</v>
      </c>
      <c r="BF80" s="1437">
        <f t="shared" si="11"/>
        <v>6.3675609599400653</v>
      </c>
      <c r="BG80" s="1437">
        <f t="shared" si="11"/>
        <v>6.3675609599400653</v>
      </c>
      <c r="BH80" s="1437">
        <f t="shared" si="11"/>
        <v>6.3675609599400653</v>
      </c>
      <c r="BI80" s="1437">
        <f t="shared" si="11"/>
        <v>6.3675609599400653</v>
      </c>
      <c r="BJ80" s="1437">
        <f t="shared" si="13"/>
        <v>6.3675609599400653</v>
      </c>
      <c r="BK80" s="1437">
        <f t="shared" si="13"/>
        <v>6.3675609599400653</v>
      </c>
      <c r="BL80" s="1437">
        <f t="shared" si="13"/>
        <v>6.3675609599400653</v>
      </c>
      <c r="BM80" s="1437">
        <f t="shared" si="13"/>
        <v>6.3675609599400653</v>
      </c>
      <c r="BN80" s="1438">
        <f t="shared" si="13"/>
        <v>6.3675609599400653</v>
      </c>
    </row>
    <row r="81" spans="1:66" s="91" customFormat="1">
      <c r="A81" s="1439">
        <v>121</v>
      </c>
      <c r="B81" s="1440">
        <v>0</v>
      </c>
      <c r="C81" s="1441" t="s">
        <v>161</v>
      </c>
      <c r="D81" s="1440" t="s">
        <v>162</v>
      </c>
      <c r="E81" s="1442">
        <v>2.6590956867485778</v>
      </c>
      <c r="F81" s="1442">
        <v>3.1274612313686299</v>
      </c>
      <c r="G81" s="1442">
        <v>3.2921648120473668</v>
      </c>
      <c r="H81" s="1442">
        <v>3.304177302994264</v>
      </c>
      <c r="I81" s="1442">
        <v>3.3602674036448725</v>
      </c>
      <c r="J81" s="1442">
        <v>3.4166494458332552</v>
      </c>
      <c r="K81" s="1442">
        <v>3.4930627921934834</v>
      </c>
      <c r="L81" s="1442">
        <v>3.5749759374030092</v>
      </c>
      <c r="M81" s="1442">
        <v>3.6598161420607376</v>
      </c>
      <c r="N81" s="1442">
        <v>3.7464557319056802</v>
      </c>
      <c r="O81" s="1442">
        <v>3.8335014878415059</v>
      </c>
      <c r="P81" s="1442">
        <v>3.9262348798384252</v>
      </c>
      <c r="Q81" s="1442">
        <v>4.0212370491685236</v>
      </c>
      <c r="R81" s="1442">
        <v>4.1185645299347513</v>
      </c>
      <c r="S81" s="1442">
        <v>4.2182749531494439</v>
      </c>
      <c r="T81" s="1442">
        <v>4.3204271924867239</v>
      </c>
      <c r="U81" s="1442">
        <v>4.4250822317738123</v>
      </c>
      <c r="V81" s="1442">
        <v>4.53230196152799</v>
      </c>
      <c r="W81" s="1442">
        <v>4.6420004847000369</v>
      </c>
      <c r="X81" s="1442">
        <v>4.7498191217463281</v>
      </c>
      <c r="Y81" s="1442">
        <v>4.8632557869030526</v>
      </c>
      <c r="Z81" s="1442">
        <v>4.9798228140266012</v>
      </c>
      <c r="AA81" s="1442">
        <v>5.0941419708921574</v>
      </c>
      <c r="AB81" s="1442">
        <v>5.2170573027829086</v>
      </c>
      <c r="AC81" s="1442">
        <v>5.3496713344130162</v>
      </c>
      <c r="AD81" s="1442">
        <v>5.4732782233282329</v>
      </c>
      <c r="AE81" s="1442">
        <f t="shared" si="12"/>
        <v>5.4732782233282329</v>
      </c>
      <c r="AF81" s="1442">
        <f t="shared" si="12"/>
        <v>5.4732782233282329</v>
      </c>
      <c r="AG81" s="1442">
        <f t="shared" si="12"/>
        <v>5.4732782233282329</v>
      </c>
      <c r="AH81" s="1442">
        <f t="shared" si="12"/>
        <v>5.4732782233282329</v>
      </c>
      <c r="AI81" s="1442">
        <f t="shared" si="12"/>
        <v>5.4732782233282329</v>
      </c>
      <c r="AJ81" s="1442">
        <f t="shared" si="12"/>
        <v>5.4732782233282329</v>
      </c>
      <c r="AK81" s="1442">
        <f t="shared" si="12"/>
        <v>5.4732782233282329</v>
      </c>
      <c r="AL81" s="1442">
        <f t="shared" si="12"/>
        <v>5.4732782233282329</v>
      </c>
      <c r="AM81" s="1442">
        <f t="shared" si="12"/>
        <v>5.4732782233282329</v>
      </c>
      <c r="AN81" s="1442">
        <f t="shared" si="12"/>
        <v>5.4732782233282329</v>
      </c>
      <c r="AO81" s="1442">
        <f t="shared" si="12"/>
        <v>5.4732782233282329</v>
      </c>
      <c r="AP81" s="1442">
        <f t="shared" si="12"/>
        <v>5.4732782233282329</v>
      </c>
      <c r="AQ81" s="1442">
        <f t="shared" si="12"/>
        <v>5.4732782233282329</v>
      </c>
      <c r="AR81" s="1442">
        <f t="shared" si="12"/>
        <v>5.4732782233282329</v>
      </c>
      <c r="AS81" s="1442">
        <f t="shared" si="12"/>
        <v>5.4732782233282329</v>
      </c>
      <c r="AT81" s="1442">
        <f t="shared" si="12"/>
        <v>5.4732782233282329</v>
      </c>
      <c r="AU81" s="1442">
        <f t="shared" si="11"/>
        <v>5.4732782233282329</v>
      </c>
      <c r="AV81" s="1442">
        <f t="shared" si="11"/>
        <v>5.4732782233282329</v>
      </c>
      <c r="AW81" s="1442">
        <f t="shared" si="11"/>
        <v>5.4732782233282329</v>
      </c>
      <c r="AX81" s="1442">
        <f t="shared" si="11"/>
        <v>5.4732782233282329</v>
      </c>
      <c r="AY81" s="1442">
        <f t="shared" si="11"/>
        <v>5.4732782233282329</v>
      </c>
      <c r="AZ81" s="1442">
        <f t="shared" si="11"/>
        <v>5.4732782233282329</v>
      </c>
      <c r="BA81" s="1442">
        <f t="shared" si="11"/>
        <v>5.4732782233282329</v>
      </c>
      <c r="BB81" s="1442">
        <f t="shared" si="11"/>
        <v>5.4732782233282329</v>
      </c>
      <c r="BC81" s="1442">
        <f t="shared" si="11"/>
        <v>5.4732782233282329</v>
      </c>
      <c r="BD81" s="1442">
        <f t="shared" si="11"/>
        <v>5.4732782233282329</v>
      </c>
      <c r="BE81" s="1442">
        <f t="shared" si="11"/>
        <v>5.4732782233282329</v>
      </c>
      <c r="BF81" s="1442">
        <f t="shared" si="11"/>
        <v>5.4732782233282329</v>
      </c>
      <c r="BG81" s="1442">
        <f t="shared" si="11"/>
        <v>5.4732782233282329</v>
      </c>
      <c r="BH81" s="1442">
        <f t="shared" si="11"/>
        <v>5.4732782233282329</v>
      </c>
      <c r="BI81" s="1442">
        <f t="shared" si="11"/>
        <v>5.4732782233282329</v>
      </c>
      <c r="BJ81" s="1442">
        <f t="shared" si="13"/>
        <v>5.4732782233282329</v>
      </c>
      <c r="BK81" s="1442">
        <f t="shared" si="13"/>
        <v>5.4732782233282329</v>
      </c>
      <c r="BL81" s="1442">
        <f t="shared" si="13"/>
        <v>5.4732782233282329</v>
      </c>
      <c r="BM81" s="1442">
        <f t="shared" si="13"/>
        <v>5.4732782233282329</v>
      </c>
      <c r="BN81" s="1443">
        <f t="shared" si="13"/>
        <v>5.4732782233282329</v>
      </c>
    </row>
    <row r="82" spans="1:66" s="91" customFormat="1">
      <c r="A82" s="1434">
        <v>122</v>
      </c>
      <c r="B82" s="1435">
        <v>0</v>
      </c>
      <c r="C82" s="1436" t="s">
        <v>163</v>
      </c>
      <c r="D82" s="1435" t="s">
        <v>257</v>
      </c>
      <c r="E82" s="1437">
        <v>3.7429034021454792</v>
      </c>
      <c r="F82" s="1437">
        <v>4.1599214709647283</v>
      </c>
      <c r="G82" s="1437">
        <v>4.3016614761971548</v>
      </c>
      <c r="H82" s="1437">
        <v>4.3141668019480761</v>
      </c>
      <c r="I82" s="1437">
        <v>4.3636070572218504</v>
      </c>
      <c r="J82" s="1437">
        <v>4.4131821310907622</v>
      </c>
      <c r="K82" s="1437">
        <v>4.4791610926288143</v>
      </c>
      <c r="L82" s="1437">
        <v>4.5493304962091949</v>
      </c>
      <c r="M82" s="1437">
        <v>4.6215224925703104</v>
      </c>
      <c r="N82" s="1437">
        <v>4.6947998091759873</v>
      </c>
      <c r="O82" s="1437">
        <v>4.7680459165850948</v>
      </c>
      <c r="P82" s="1437">
        <v>4.8454456241330277</v>
      </c>
      <c r="Q82" s="1437">
        <v>4.924240678445182</v>
      </c>
      <c r="R82" s="1437">
        <v>5.0044600905820067</v>
      </c>
      <c r="S82" s="1437">
        <v>5.0861332984534036</v>
      </c>
      <c r="T82" s="1437">
        <v>5.1692902788169839</v>
      </c>
      <c r="U82" s="1437">
        <v>5.253962199036569</v>
      </c>
      <c r="V82" s="1437">
        <v>5.3401804865637743</v>
      </c>
      <c r="W82" s="1437">
        <v>5.4278665833629685</v>
      </c>
      <c r="X82" s="1437">
        <v>5.5138039355368234</v>
      </c>
      <c r="Y82" s="1437">
        <v>5.6035296903789131</v>
      </c>
      <c r="Z82" s="1437">
        <v>5.695176873552878</v>
      </c>
      <c r="AA82" s="1437">
        <v>5.7848697585728432</v>
      </c>
      <c r="AB82" s="1437">
        <v>5.8803945312411026</v>
      </c>
      <c r="AC82" s="1437">
        <v>5.9824080789582998</v>
      </c>
      <c r="AD82" s="1437">
        <v>6.0777118727736035</v>
      </c>
      <c r="AE82" s="1437">
        <f t="shared" si="12"/>
        <v>6.0777118727736035</v>
      </c>
      <c r="AF82" s="1437">
        <f t="shared" si="12"/>
        <v>6.0777118727736035</v>
      </c>
      <c r="AG82" s="1437">
        <f t="shared" si="12"/>
        <v>6.0777118727736035</v>
      </c>
      <c r="AH82" s="1437">
        <f t="shared" si="12"/>
        <v>6.0777118727736035</v>
      </c>
      <c r="AI82" s="1437">
        <f t="shared" si="12"/>
        <v>6.0777118727736035</v>
      </c>
      <c r="AJ82" s="1437">
        <f t="shared" si="12"/>
        <v>6.0777118727736035</v>
      </c>
      <c r="AK82" s="1437">
        <f t="shared" si="12"/>
        <v>6.0777118727736035</v>
      </c>
      <c r="AL82" s="1437">
        <f t="shared" si="12"/>
        <v>6.0777118727736035</v>
      </c>
      <c r="AM82" s="1437">
        <f t="shared" si="12"/>
        <v>6.0777118727736035</v>
      </c>
      <c r="AN82" s="1437">
        <f t="shared" si="12"/>
        <v>6.0777118727736035</v>
      </c>
      <c r="AO82" s="1437">
        <f t="shared" si="12"/>
        <v>6.0777118727736035</v>
      </c>
      <c r="AP82" s="1437">
        <f t="shared" si="12"/>
        <v>6.0777118727736035</v>
      </c>
      <c r="AQ82" s="1437">
        <f t="shared" si="12"/>
        <v>6.0777118727736035</v>
      </c>
      <c r="AR82" s="1437">
        <f t="shared" si="12"/>
        <v>6.0777118727736035</v>
      </c>
      <c r="AS82" s="1437">
        <f t="shared" si="12"/>
        <v>6.0777118727736035</v>
      </c>
      <c r="AT82" s="1437">
        <f t="shared" si="12"/>
        <v>6.0777118727736035</v>
      </c>
      <c r="AU82" s="1437">
        <f t="shared" si="11"/>
        <v>6.0777118727736035</v>
      </c>
      <c r="AV82" s="1437">
        <f t="shared" si="11"/>
        <v>6.0777118727736035</v>
      </c>
      <c r="AW82" s="1437">
        <f t="shared" si="11"/>
        <v>6.0777118727736035</v>
      </c>
      <c r="AX82" s="1437">
        <f t="shared" si="11"/>
        <v>6.0777118727736035</v>
      </c>
      <c r="AY82" s="1437">
        <f t="shared" si="11"/>
        <v>6.0777118727736035</v>
      </c>
      <c r="AZ82" s="1437">
        <f t="shared" si="11"/>
        <v>6.0777118727736035</v>
      </c>
      <c r="BA82" s="1437">
        <f t="shared" si="11"/>
        <v>6.0777118727736035</v>
      </c>
      <c r="BB82" s="1437">
        <f t="shared" si="11"/>
        <v>6.0777118727736035</v>
      </c>
      <c r="BC82" s="1437">
        <f t="shared" si="11"/>
        <v>6.0777118727736035</v>
      </c>
      <c r="BD82" s="1437">
        <f t="shared" si="11"/>
        <v>6.0777118727736035</v>
      </c>
      <c r="BE82" s="1437">
        <f t="shared" si="11"/>
        <v>6.0777118727736035</v>
      </c>
      <c r="BF82" s="1437">
        <f t="shared" si="11"/>
        <v>6.0777118727736035</v>
      </c>
      <c r="BG82" s="1437">
        <f t="shared" si="11"/>
        <v>6.0777118727736035</v>
      </c>
      <c r="BH82" s="1437">
        <f t="shared" si="11"/>
        <v>6.0777118727736035</v>
      </c>
      <c r="BI82" s="1437">
        <f t="shared" si="11"/>
        <v>6.0777118727736035</v>
      </c>
      <c r="BJ82" s="1437">
        <f t="shared" si="13"/>
        <v>6.0777118727736035</v>
      </c>
      <c r="BK82" s="1437">
        <f t="shared" si="13"/>
        <v>6.0777118727736035</v>
      </c>
      <c r="BL82" s="1437">
        <f t="shared" si="13"/>
        <v>6.0777118727736035</v>
      </c>
      <c r="BM82" s="1437">
        <f t="shared" si="13"/>
        <v>6.0777118727736035</v>
      </c>
      <c r="BN82" s="1438">
        <f t="shared" si="13"/>
        <v>6.0777118727736035</v>
      </c>
    </row>
    <row r="83" spans="1:66" s="91" customFormat="1">
      <c r="A83" s="1439">
        <v>34</v>
      </c>
      <c r="B83" s="1440">
        <v>0</v>
      </c>
      <c r="C83" s="1441" t="s">
        <v>69</v>
      </c>
      <c r="D83" s="1440" t="s">
        <v>84</v>
      </c>
      <c r="E83" s="1442">
        <v>3.4197080959258868</v>
      </c>
      <c r="F83" s="1442">
        <v>3.9360815841515167</v>
      </c>
      <c r="G83" s="1442">
        <v>4.1133818740182928</v>
      </c>
      <c r="H83" s="1442">
        <v>4.1251533178147337</v>
      </c>
      <c r="I83" s="1442">
        <v>4.184404346328094</v>
      </c>
      <c r="J83" s="1442">
        <v>4.2438301738830742</v>
      </c>
      <c r="K83" s="1442">
        <v>4.3245732372959997</v>
      </c>
      <c r="L83" s="1442">
        <v>4.4109309889049273</v>
      </c>
      <c r="M83" s="1442">
        <v>4.5001170194566562</v>
      </c>
      <c r="N83" s="1442">
        <v>4.5909149903386046</v>
      </c>
      <c r="O83" s="1442">
        <v>4.6818464871233267</v>
      </c>
      <c r="P83" s="1442">
        <v>4.7784694298754875</v>
      </c>
      <c r="Q83" s="1442">
        <v>4.8771507459885379</v>
      </c>
      <c r="R83" s="1442">
        <v>4.9779363879462428</v>
      </c>
      <c r="S83" s="1442">
        <v>5.0808730339904455</v>
      </c>
      <c r="T83" s="1442">
        <v>5.1860082337344773</v>
      </c>
      <c r="U83" s="1442">
        <v>5.293391295013218</v>
      </c>
      <c r="V83" s="1442">
        <v>5.4030720236579501</v>
      </c>
      <c r="W83" s="1442">
        <v>5.5149485613088123</v>
      </c>
      <c r="X83" s="1442">
        <v>5.6245645260550301</v>
      </c>
      <c r="Y83" s="1442">
        <v>5.7395738861433561</v>
      </c>
      <c r="Z83" s="1442">
        <v>5.8574119817294941</v>
      </c>
      <c r="AA83" s="1442">
        <v>5.9726370475382762</v>
      </c>
      <c r="AB83" s="1442">
        <v>6.0961868181890129</v>
      </c>
      <c r="AC83" s="1442">
        <v>6.2290856184523147</v>
      </c>
      <c r="AD83" s="1442">
        <v>6.3525917844785322</v>
      </c>
      <c r="AE83" s="1442">
        <f t="shared" si="12"/>
        <v>6.3525917844785322</v>
      </c>
      <c r="AF83" s="1442">
        <f t="shared" si="12"/>
        <v>6.3525917844785322</v>
      </c>
      <c r="AG83" s="1442">
        <f t="shared" si="12"/>
        <v>6.3525917844785322</v>
      </c>
      <c r="AH83" s="1442">
        <f t="shared" si="12"/>
        <v>6.3525917844785322</v>
      </c>
      <c r="AI83" s="1442">
        <f t="shared" si="12"/>
        <v>6.3525917844785322</v>
      </c>
      <c r="AJ83" s="1442">
        <f t="shared" si="12"/>
        <v>6.3525917844785322</v>
      </c>
      <c r="AK83" s="1442">
        <f t="shared" si="12"/>
        <v>6.3525917844785322</v>
      </c>
      <c r="AL83" s="1442">
        <f t="shared" si="12"/>
        <v>6.3525917844785322</v>
      </c>
      <c r="AM83" s="1442">
        <f t="shared" si="12"/>
        <v>6.3525917844785322</v>
      </c>
      <c r="AN83" s="1442">
        <f t="shared" si="12"/>
        <v>6.3525917844785322</v>
      </c>
      <c r="AO83" s="1442">
        <f t="shared" si="12"/>
        <v>6.3525917844785322</v>
      </c>
      <c r="AP83" s="1442">
        <f t="shared" si="12"/>
        <v>6.3525917844785322</v>
      </c>
      <c r="AQ83" s="1442">
        <f t="shared" si="12"/>
        <v>6.3525917844785322</v>
      </c>
      <c r="AR83" s="1442">
        <f t="shared" si="12"/>
        <v>6.3525917844785322</v>
      </c>
      <c r="AS83" s="1442">
        <f t="shared" si="12"/>
        <v>6.3525917844785322</v>
      </c>
      <c r="AT83" s="1442">
        <f t="shared" si="12"/>
        <v>6.3525917844785322</v>
      </c>
      <c r="AU83" s="1442">
        <f t="shared" si="11"/>
        <v>6.3525917844785322</v>
      </c>
      <c r="AV83" s="1442">
        <f t="shared" si="11"/>
        <v>6.3525917844785322</v>
      </c>
      <c r="AW83" s="1442">
        <f t="shared" si="11"/>
        <v>6.3525917844785322</v>
      </c>
      <c r="AX83" s="1442">
        <f t="shared" si="11"/>
        <v>6.3525917844785322</v>
      </c>
      <c r="AY83" s="1442">
        <f t="shared" si="11"/>
        <v>6.3525917844785322</v>
      </c>
      <c r="AZ83" s="1442">
        <f t="shared" si="11"/>
        <v>6.3525917844785322</v>
      </c>
      <c r="BA83" s="1442">
        <f t="shared" si="11"/>
        <v>6.3525917844785322</v>
      </c>
      <c r="BB83" s="1442">
        <f t="shared" si="11"/>
        <v>6.3525917844785322</v>
      </c>
      <c r="BC83" s="1442">
        <f t="shared" si="11"/>
        <v>6.3525917844785322</v>
      </c>
      <c r="BD83" s="1442">
        <f t="shared" si="11"/>
        <v>6.3525917844785322</v>
      </c>
      <c r="BE83" s="1442">
        <f t="shared" si="11"/>
        <v>6.3525917844785322</v>
      </c>
      <c r="BF83" s="1442">
        <f t="shared" si="11"/>
        <v>6.3525917844785322</v>
      </c>
      <c r="BG83" s="1442">
        <f t="shared" si="11"/>
        <v>6.3525917844785322</v>
      </c>
      <c r="BH83" s="1442">
        <f t="shared" si="11"/>
        <v>6.3525917844785322</v>
      </c>
      <c r="BI83" s="1442">
        <f t="shared" si="11"/>
        <v>6.3525917844785322</v>
      </c>
      <c r="BJ83" s="1442">
        <f t="shared" si="13"/>
        <v>6.3525917844785322</v>
      </c>
      <c r="BK83" s="1442">
        <f t="shared" si="13"/>
        <v>6.3525917844785322</v>
      </c>
      <c r="BL83" s="1442">
        <f t="shared" si="13"/>
        <v>6.3525917844785322</v>
      </c>
      <c r="BM83" s="1442">
        <f t="shared" si="13"/>
        <v>6.3525917844785322</v>
      </c>
      <c r="BN83" s="1443">
        <f t="shared" si="13"/>
        <v>6.3525917844785322</v>
      </c>
    </row>
    <row r="84" spans="1:66" s="91" customFormat="1" ht="15">
      <c r="A84" s="1434">
        <v>35</v>
      </c>
      <c r="B84" s="1435">
        <v>0</v>
      </c>
      <c r="C84" s="1436" t="s">
        <v>54</v>
      </c>
      <c r="D84" s="1435" t="s">
        <v>62</v>
      </c>
      <c r="E84" s="1447">
        <v>2.5688850493915791</v>
      </c>
      <c r="F84" s="1447">
        <v>3.0185074229517306</v>
      </c>
      <c r="G84" s="1447">
        <v>3.1770172494259978</v>
      </c>
      <c r="H84" s="1447">
        <v>3.189155505154551</v>
      </c>
      <c r="I84" s="1447">
        <v>3.2435709746115835</v>
      </c>
      <c r="J84" s="1447">
        <v>3.298285542080885</v>
      </c>
      <c r="K84" s="1447">
        <v>3.3722245215183495</v>
      </c>
      <c r="L84" s="1447">
        <v>3.4514567024981435</v>
      </c>
      <c r="M84" s="1447">
        <v>3.53351613136534</v>
      </c>
      <c r="N84" s="1447">
        <v>3.6173223014709892</v>
      </c>
      <c r="O84" s="1447">
        <v>3.7015401390017462</v>
      </c>
      <c r="P84" s="1447">
        <v>3.7912338205626348</v>
      </c>
      <c r="Q84" s="1447">
        <v>3.8831262684300594</v>
      </c>
      <c r="R84" s="1447">
        <v>3.9772723921760464</v>
      </c>
      <c r="S84" s="1447">
        <v>4.073728174270939</v>
      </c>
      <c r="T84" s="1447">
        <v>4.1725508104584499</v>
      </c>
      <c r="U84" s="1447">
        <v>4.2737995421032835</v>
      </c>
      <c r="V84" s="1447">
        <v>4.3775345030704278</v>
      </c>
      <c r="W84" s="1447">
        <v>4.4836741626367198</v>
      </c>
      <c r="X84" s="1447">
        <v>4.5880405659179688</v>
      </c>
      <c r="Y84" s="1447">
        <v>4.6978230667865377</v>
      </c>
      <c r="Z84" s="1447">
        <v>4.8106375603319593</v>
      </c>
      <c r="AA84" s="1447">
        <v>4.9213286934176068</v>
      </c>
      <c r="AB84" s="1447">
        <v>5.0402939401089295</v>
      </c>
      <c r="AC84" s="1447">
        <v>5.168591305806113</v>
      </c>
      <c r="AD84" s="1447">
        <v>5.2882879307348407</v>
      </c>
      <c r="AE84" s="1437">
        <f t="shared" si="12"/>
        <v>5.2882879307348407</v>
      </c>
      <c r="AF84" s="1437">
        <f t="shared" si="12"/>
        <v>5.2882879307348407</v>
      </c>
      <c r="AG84" s="1437">
        <f t="shared" si="12"/>
        <v>5.2882879307348407</v>
      </c>
      <c r="AH84" s="1437">
        <f t="shared" si="12"/>
        <v>5.2882879307348407</v>
      </c>
      <c r="AI84" s="1437">
        <f t="shared" si="12"/>
        <v>5.2882879307348407</v>
      </c>
      <c r="AJ84" s="1437">
        <f t="shared" si="12"/>
        <v>5.2882879307348407</v>
      </c>
      <c r="AK84" s="1437">
        <f t="shared" si="12"/>
        <v>5.2882879307348407</v>
      </c>
      <c r="AL84" s="1437">
        <f t="shared" si="12"/>
        <v>5.2882879307348407</v>
      </c>
      <c r="AM84" s="1437">
        <f t="shared" si="12"/>
        <v>5.2882879307348407</v>
      </c>
      <c r="AN84" s="1437">
        <f t="shared" si="12"/>
        <v>5.2882879307348407</v>
      </c>
      <c r="AO84" s="1437">
        <f t="shared" si="12"/>
        <v>5.2882879307348407</v>
      </c>
      <c r="AP84" s="1437">
        <f t="shared" si="12"/>
        <v>5.2882879307348407</v>
      </c>
      <c r="AQ84" s="1437">
        <f t="shared" si="12"/>
        <v>5.2882879307348407</v>
      </c>
      <c r="AR84" s="1437">
        <f t="shared" si="12"/>
        <v>5.2882879307348407</v>
      </c>
      <c r="AS84" s="1437">
        <f t="shared" si="12"/>
        <v>5.2882879307348407</v>
      </c>
      <c r="AT84" s="1437">
        <f t="shared" si="12"/>
        <v>5.2882879307348407</v>
      </c>
      <c r="AU84" s="1437">
        <f t="shared" si="11"/>
        <v>5.2882879307348407</v>
      </c>
      <c r="AV84" s="1437">
        <f t="shared" si="11"/>
        <v>5.2882879307348407</v>
      </c>
      <c r="AW84" s="1437">
        <f t="shared" si="11"/>
        <v>5.2882879307348407</v>
      </c>
      <c r="AX84" s="1437">
        <f t="shared" si="11"/>
        <v>5.2882879307348407</v>
      </c>
      <c r="AY84" s="1437">
        <f t="shared" si="11"/>
        <v>5.2882879307348407</v>
      </c>
      <c r="AZ84" s="1437">
        <f t="shared" si="11"/>
        <v>5.2882879307348407</v>
      </c>
      <c r="BA84" s="1437">
        <f t="shared" si="11"/>
        <v>5.2882879307348407</v>
      </c>
      <c r="BB84" s="1437">
        <f t="shared" si="11"/>
        <v>5.2882879307348407</v>
      </c>
      <c r="BC84" s="1437">
        <f t="shared" si="11"/>
        <v>5.2882879307348407</v>
      </c>
      <c r="BD84" s="1437">
        <f t="shared" si="11"/>
        <v>5.2882879307348407</v>
      </c>
      <c r="BE84" s="1437">
        <f t="shared" si="11"/>
        <v>5.2882879307348407</v>
      </c>
      <c r="BF84" s="1437">
        <f t="shared" si="11"/>
        <v>5.2882879307348407</v>
      </c>
      <c r="BG84" s="1437">
        <f t="shared" si="11"/>
        <v>5.2882879307348407</v>
      </c>
      <c r="BH84" s="1437">
        <f t="shared" si="11"/>
        <v>5.2882879307348407</v>
      </c>
      <c r="BI84" s="1437">
        <f t="shared" si="11"/>
        <v>5.2882879307348407</v>
      </c>
      <c r="BJ84" s="1437">
        <f t="shared" si="13"/>
        <v>5.2882879307348407</v>
      </c>
      <c r="BK84" s="1437">
        <f t="shared" si="13"/>
        <v>5.2882879307348407</v>
      </c>
      <c r="BL84" s="1437">
        <f t="shared" si="13"/>
        <v>5.2882879307348407</v>
      </c>
      <c r="BM84" s="1437">
        <f t="shared" si="13"/>
        <v>5.2882879307348407</v>
      </c>
      <c r="BN84" s="1438">
        <f t="shared" si="13"/>
        <v>5.2882879307348407</v>
      </c>
    </row>
    <row r="85" spans="1:66" s="91" customFormat="1" ht="15">
      <c r="A85" s="1439">
        <v>185</v>
      </c>
      <c r="B85" s="1440">
        <v>0</v>
      </c>
      <c r="C85" s="1441" t="s">
        <v>157</v>
      </c>
      <c r="D85" s="1440" t="s">
        <v>159</v>
      </c>
      <c r="E85" s="1444">
        <v>2.9434325077729229</v>
      </c>
      <c r="F85" s="1444">
        <v>3.470875050751796</v>
      </c>
      <c r="G85" s="1444">
        <v>3.6551008566614192</v>
      </c>
      <c r="H85" s="1444">
        <v>3.6667169469258631</v>
      </c>
      <c r="I85" s="1444">
        <v>3.7280853531501834</v>
      </c>
      <c r="J85" s="1444">
        <v>3.7897231442685486</v>
      </c>
      <c r="K85" s="1444">
        <v>3.8739355002076836</v>
      </c>
      <c r="L85" s="1444">
        <v>3.9642988334293512</v>
      </c>
      <c r="M85" s="1444">
        <v>4.0579038242744589</v>
      </c>
      <c r="N85" s="1444">
        <v>4.1534741298853266</v>
      </c>
      <c r="O85" s="1444">
        <v>4.2494332618150645</v>
      </c>
      <c r="P85" s="1444">
        <v>4.3517475815998585</v>
      </c>
      <c r="Q85" s="1444">
        <v>4.4565513479574665</v>
      </c>
      <c r="R85" s="1444">
        <v>4.5639062153843035</v>
      </c>
      <c r="S85" s="1444">
        <v>4.6738750109671763</v>
      </c>
      <c r="T85" s="1444">
        <v>4.7865218970846497</v>
      </c>
      <c r="U85" s="1444">
        <v>4.9019133496685106</v>
      </c>
      <c r="V85" s="1444">
        <v>5.0201167960656452</v>
      </c>
      <c r="W85" s="1444">
        <v>5.1410325769111402</v>
      </c>
      <c r="X85" s="1444">
        <v>5.259732382774593</v>
      </c>
      <c r="Y85" s="1444">
        <v>5.3846866858467104</v>
      </c>
      <c r="Z85" s="1444">
        <v>5.5130814031368764</v>
      </c>
      <c r="AA85" s="1444">
        <v>5.6388358050955079</v>
      </c>
      <c r="AB85" s="1444">
        <v>5.7742014942976283</v>
      </c>
      <c r="AC85" s="1444">
        <v>5.920421316827257</v>
      </c>
      <c r="AD85" s="1444">
        <v>6.0563530497282665</v>
      </c>
      <c r="AE85" s="1442">
        <f t="shared" si="12"/>
        <v>6.0563530497282665</v>
      </c>
      <c r="AF85" s="1442">
        <f t="shared" si="12"/>
        <v>6.0563530497282665</v>
      </c>
      <c r="AG85" s="1442">
        <f t="shared" si="12"/>
        <v>6.0563530497282665</v>
      </c>
      <c r="AH85" s="1442">
        <f t="shared" si="12"/>
        <v>6.0563530497282665</v>
      </c>
      <c r="AI85" s="1442">
        <f t="shared" si="12"/>
        <v>6.0563530497282665</v>
      </c>
      <c r="AJ85" s="1442">
        <f t="shared" si="12"/>
        <v>6.0563530497282665</v>
      </c>
      <c r="AK85" s="1442">
        <f t="shared" si="12"/>
        <v>6.0563530497282665</v>
      </c>
      <c r="AL85" s="1442">
        <f t="shared" si="12"/>
        <v>6.0563530497282665</v>
      </c>
      <c r="AM85" s="1442">
        <f t="shared" si="12"/>
        <v>6.0563530497282665</v>
      </c>
      <c r="AN85" s="1442">
        <f t="shared" si="12"/>
        <v>6.0563530497282665</v>
      </c>
      <c r="AO85" s="1442">
        <f t="shared" si="12"/>
        <v>6.0563530497282665</v>
      </c>
      <c r="AP85" s="1442">
        <f t="shared" si="12"/>
        <v>6.0563530497282665</v>
      </c>
      <c r="AQ85" s="1442">
        <f t="shared" si="12"/>
        <v>6.0563530497282665</v>
      </c>
      <c r="AR85" s="1442">
        <f t="shared" si="12"/>
        <v>6.0563530497282665</v>
      </c>
      <c r="AS85" s="1442">
        <f t="shared" si="12"/>
        <v>6.0563530497282665</v>
      </c>
      <c r="AT85" s="1442">
        <f t="shared" si="12"/>
        <v>6.0563530497282665</v>
      </c>
      <c r="AU85" s="1442">
        <f t="shared" si="11"/>
        <v>6.0563530497282665</v>
      </c>
      <c r="AV85" s="1442">
        <f t="shared" si="11"/>
        <v>6.0563530497282665</v>
      </c>
      <c r="AW85" s="1442">
        <f t="shared" si="11"/>
        <v>6.0563530497282665</v>
      </c>
      <c r="AX85" s="1442">
        <f t="shared" si="11"/>
        <v>6.0563530497282665</v>
      </c>
      <c r="AY85" s="1442">
        <f t="shared" si="11"/>
        <v>6.0563530497282665</v>
      </c>
      <c r="AZ85" s="1442">
        <f t="shared" si="11"/>
        <v>6.0563530497282665</v>
      </c>
      <c r="BA85" s="1442">
        <f t="shared" si="11"/>
        <v>6.0563530497282665</v>
      </c>
      <c r="BB85" s="1442">
        <f t="shared" si="11"/>
        <v>6.0563530497282665</v>
      </c>
      <c r="BC85" s="1442">
        <f t="shared" si="11"/>
        <v>6.0563530497282665</v>
      </c>
      <c r="BD85" s="1442">
        <f t="shared" si="11"/>
        <v>6.0563530497282665</v>
      </c>
      <c r="BE85" s="1442">
        <f t="shared" si="11"/>
        <v>6.0563530497282665</v>
      </c>
      <c r="BF85" s="1442">
        <f t="shared" si="11"/>
        <v>6.0563530497282665</v>
      </c>
      <c r="BG85" s="1442">
        <f t="shared" si="11"/>
        <v>6.0563530497282665</v>
      </c>
      <c r="BH85" s="1442">
        <f t="shared" si="11"/>
        <v>6.0563530497282665</v>
      </c>
      <c r="BI85" s="1442">
        <f t="shared" si="11"/>
        <v>6.0563530497282665</v>
      </c>
      <c r="BJ85" s="1442">
        <f t="shared" si="13"/>
        <v>6.0563530497282665</v>
      </c>
      <c r="BK85" s="1442">
        <f t="shared" si="13"/>
        <v>6.0563530497282665</v>
      </c>
      <c r="BL85" s="1442">
        <f t="shared" si="13"/>
        <v>6.0563530497282665</v>
      </c>
      <c r="BM85" s="1442">
        <f t="shared" si="13"/>
        <v>6.0563530497282665</v>
      </c>
      <c r="BN85" s="1443">
        <f t="shared" si="13"/>
        <v>6.0563530497282665</v>
      </c>
    </row>
    <row r="86" spans="1:66" s="91" customFormat="1" ht="15">
      <c r="A86" s="1434">
        <v>186</v>
      </c>
      <c r="B86" s="1435">
        <v>0</v>
      </c>
      <c r="C86" s="1436" t="s">
        <v>164</v>
      </c>
      <c r="D86" s="1435" t="s">
        <v>43</v>
      </c>
      <c r="E86" s="1447">
        <v>5.5964883997881198</v>
      </c>
      <c r="F86" s="1447">
        <v>6.241864072114133</v>
      </c>
      <c r="G86" s="1447">
        <v>6.4556668725048638</v>
      </c>
      <c r="H86" s="1447">
        <v>6.4667240112814861</v>
      </c>
      <c r="I86" s="1447">
        <v>6.5353981357164548</v>
      </c>
      <c r="J86" s="1447">
        <v>6.6040197016080331</v>
      </c>
      <c r="K86" s="1447">
        <v>6.6980726960216881</v>
      </c>
      <c r="L86" s="1447">
        <v>6.7984117968444169</v>
      </c>
      <c r="M86" s="1447">
        <v>6.9016318186887</v>
      </c>
      <c r="N86" s="1447">
        <v>7.006255507154715</v>
      </c>
      <c r="O86" s="1447">
        <v>7.1105244718943421</v>
      </c>
      <c r="P86" s="1447">
        <v>7.2209866894636177</v>
      </c>
      <c r="Q86" s="1447">
        <v>7.3333108202254742</v>
      </c>
      <c r="R86" s="1447">
        <v>7.447532588022403</v>
      </c>
      <c r="S86" s="1447">
        <v>7.5636880935224715</v>
      </c>
      <c r="T86" s="1447">
        <v>7.6818139809486139</v>
      </c>
      <c r="U86" s="1447">
        <v>7.8019484502920369</v>
      </c>
      <c r="V86" s="1447">
        <v>7.9241297899952494</v>
      </c>
      <c r="W86" s="1447">
        <v>8.0482236242869529</v>
      </c>
      <c r="X86" s="1447">
        <v>8.1691783330592056</v>
      </c>
      <c r="Y86" s="1447">
        <v>8.29565806645072</v>
      </c>
      <c r="Z86" s="1447">
        <v>8.4247251442220037</v>
      </c>
      <c r="AA86" s="1447">
        <v>8.5502940152230078</v>
      </c>
      <c r="AB86" s="1447">
        <v>8.6845517237547831</v>
      </c>
      <c r="AC86" s="1447">
        <v>8.8285140692140196</v>
      </c>
      <c r="AD86" s="1447">
        <v>8.9614864827368059</v>
      </c>
      <c r="AE86" s="1437">
        <f t="shared" si="12"/>
        <v>8.9614864827368059</v>
      </c>
      <c r="AF86" s="1437">
        <f t="shared" si="12"/>
        <v>8.9614864827368059</v>
      </c>
      <c r="AG86" s="1437">
        <f t="shared" si="12"/>
        <v>8.9614864827368059</v>
      </c>
      <c r="AH86" s="1437">
        <f t="shared" si="12"/>
        <v>8.9614864827368059</v>
      </c>
      <c r="AI86" s="1437">
        <f t="shared" si="12"/>
        <v>8.9614864827368059</v>
      </c>
      <c r="AJ86" s="1437">
        <f t="shared" si="12"/>
        <v>8.9614864827368059</v>
      </c>
      <c r="AK86" s="1437">
        <f t="shared" si="12"/>
        <v>8.9614864827368059</v>
      </c>
      <c r="AL86" s="1437">
        <f t="shared" si="12"/>
        <v>8.9614864827368059</v>
      </c>
      <c r="AM86" s="1437">
        <f t="shared" si="12"/>
        <v>8.9614864827368059</v>
      </c>
      <c r="AN86" s="1437">
        <f t="shared" si="12"/>
        <v>8.9614864827368059</v>
      </c>
      <c r="AO86" s="1437">
        <f t="shared" si="12"/>
        <v>8.9614864827368059</v>
      </c>
      <c r="AP86" s="1437">
        <f t="shared" si="12"/>
        <v>8.9614864827368059</v>
      </c>
      <c r="AQ86" s="1437">
        <f t="shared" si="12"/>
        <v>8.9614864827368059</v>
      </c>
      <c r="AR86" s="1437">
        <f t="shared" si="12"/>
        <v>8.9614864827368059</v>
      </c>
      <c r="AS86" s="1437">
        <f t="shared" si="12"/>
        <v>8.9614864827368059</v>
      </c>
      <c r="AT86" s="1437">
        <f t="shared" ref="AT86:BI101" si="14">AS86</f>
        <v>8.9614864827368059</v>
      </c>
      <c r="AU86" s="1437">
        <f t="shared" si="14"/>
        <v>8.9614864827368059</v>
      </c>
      <c r="AV86" s="1437">
        <f t="shared" si="14"/>
        <v>8.9614864827368059</v>
      </c>
      <c r="AW86" s="1437">
        <f t="shared" si="14"/>
        <v>8.9614864827368059</v>
      </c>
      <c r="AX86" s="1437">
        <f t="shared" si="14"/>
        <v>8.9614864827368059</v>
      </c>
      <c r="AY86" s="1437">
        <f t="shared" si="14"/>
        <v>8.9614864827368059</v>
      </c>
      <c r="AZ86" s="1437">
        <f t="shared" si="14"/>
        <v>8.9614864827368059</v>
      </c>
      <c r="BA86" s="1437">
        <f t="shared" si="14"/>
        <v>8.9614864827368059</v>
      </c>
      <c r="BB86" s="1437">
        <f t="shared" si="14"/>
        <v>8.9614864827368059</v>
      </c>
      <c r="BC86" s="1437">
        <f t="shared" si="14"/>
        <v>8.9614864827368059</v>
      </c>
      <c r="BD86" s="1437">
        <f t="shared" si="14"/>
        <v>8.9614864827368059</v>
      </c>
      <c r="BE86" s="1437">
        <f t="shared" si="14"/>
        <v>8.9614864827368059</v>
      </c>
      <c r="BF86" s="1437">
        <f t="shared" si="14"/>
        <v>8.9614864827368059</v>
      </c>
      <c r="BG86" s="1437">
        <f t="shared" si="14"/>
        <v>8.9614864827368059</v>
      </c>
      <c r="BH86" s="1437">
        <f t="shared" si="14"/>
        <v>8.9614864827368059</v>
      </c>
      <c r="BI86" s="1437">
        <f t="shared" si="14"/>
        <v>8.9614864827368059</v>
      </c>
      <c r="BJ86" s="1437">
        <f t="shared" si="13"/>
        <v>8.9614864827368059</v>
      </c>
      <c r="BK86" s="1437">
        <f t="shared" si="13"/>
        <v>8.9614864827368059</v>
      </c>
      <c r="BL86" s="1437">
        <f t="shared" si="13"/>
        <v>8.9614864827368059</v>
      </c>
      <c r="BM86" s="1437">
        <f t="shared" si="13"/>
        <v>8.9614864827368059</v>
      </c>
      <c r="BN86" s="1438">
        <f t="shared" si="13"/>
        <v>8.9614864827368059</v>
      </c>
    </row>
    <row r="87" spans="1:66" s="91" customFormat="1">
      <c r="A87" s="1445"/>
      <c r="B87" s="1446">
        <v>1</v>
      </c>
      <c r="C87" s="1441" t="s">
        <v>1328</v>
      </c>
      <c r="D87" s="1441" t="s">
        <v>549</v>
      </c>
      <c r="E87" s="1442">
        <v>3.6881808371065179</v>
      </c>
      <c r="F87" s="1442">
        <v>4.3703606233002192</v>
      </c>
      <c r="G87" s="1442">
        <v>4.6057199565989393</v>
      </c>
      <c r="H87" s="1442">
        <v>4.61629777561543</v>
      </c>
      <c r="I87" s="1442">
        <v>4.6914913672081875</v>
      </c>
      <c r="J87" s="1442">
        <v>4.7668952622764387</v>
      </c>
      <c r="K87" s="1442">
        <v>4.8715351496672605</v>
      </c>
      <c r="L87" s="1442">
        <v>4.9840316114156016</v>
      </c>
      <c r="M87" s="1442">
        <v>5.1005937410741113</v>
      </c>
      <c r="N87" s="1442">
        <v>5.2195557960281143</v>
      </c>
      <c r="O87" s="1442">
        <v>5.3388612601573673</v>
      </c>
      <c r="P87" s="1442">
        <v>5.4662703950905458</v>
      </c>
      <c r="Q87" s="1442">
        <v>5.5967469638124108</v>
      </c>
      <c r="R87" s="1442">
        <v>5.7303660323939454</v>
      </c>
      <c r="S87" s="1442">
        <v>5.86720403772377</v>
      </c>
      <c r="T87" s="1442">
        <v>6.0073389946030158</v>
      </c>
      <c r="U87" s="1442">
        <v>6.1508517641411844</v>
      </c>
      <c r="V87" s="1442">
        <v>6.2978242760087921</v>
      </c>
      <c r="W87" s="1442">
        <v>6.4481208239385825</v>
      </c>
      <c r="X87" s="1442">
        <v>6.5953210972004657</v>
      </c>
      <c r="Y87" s="1442">
        <v>6.75044293736629</v>
      </c>
      <c r="Z87" s="1442">
        <v>6.9098172951396339</v>
      </c>
      <c r="AA87" s="1442">
        <v>7.0655234270497598</v>
      </c>
      <c r="AB87" s="1442">
        <v>7.2334996757068408</v>
      </c>
      <c r="AC87" s="1442">
        <v>7.4153564235041012</v>
      </c>
      <c r="AD87" s="1442">
        <v>7.583569965474541</v>
      </c>
      <c r="AE87" s="1442">
        <f t="shared" ref="AE87:AT102" si="15">AD87</f>
        <v>7.583569965474541</v>
      </c>
      <c r="AF87" s="1442">
        <f t="shared" si="15"/>
        <v>7.583569965474541</v>
      </c>
      <c r="AG87" s="1442">
        <f t="shared" si="15"/>
        <v>7.583569965474541</v>
      </c>
      <c r="AH87" s="1442">
        <f t="shared" si="15"/>
        <v>7.583569965474541</v>
      </c>
      <c r="AI87" s="1442">
        <f t="shared" si="15"/>
        <v>7.583569965474541</v>
      </c>
      <c r="AJ87" s="1442">
        <f t="shared" si="15"/>
        <v>7.583569965474541</v>
      </c>
      <c r="AK87" s="1442">
        <f t="shared" si="15"/>
        <v>7.583569965474541</v>
      </c>
      <c r="AL87" s="1442">
        <f t="shared" si="15"/>
        <v>7.583569965474541</v>
      </c>
      <c r="AM87" s="1442">
        <f t="shared" si="15"/>
        <v>7.583569965474541</v>
      </c>
      <c r="AN87" s="1442">
        <f t="shared" si="15"/>
        <v>7.583569965474541</v>
      </c>
      <c r="AO87" s="1442">
        <f t="shared" si="15"/>
        <v>7.583569965474541</v>
      </c>
      <c r="AP87" s="1442">
        <f t="shared" si="15"/>
        <v>7.583569965474541</v>
      </c>
      <c r="AQ87" s="1442">
        <f t="shared" si="15"/>
        <v>7.583569965474541</v>
      </c>
      <c r="AR87" s="1442">
        <f t="shared" si="15"/>
        <v>7.583569965474541</v>
      </c>
      <c r="AS87" s="1442">
        <f t="shared" si="15"/>
        <v>7.583569965474541</v>
      </c>
      <c r="AT87" s="1442">
        <f t="shared" si="15"/>
        <v>7.583569965474541</v>
      </c>
      <c r="AU87" s="1442">
        <f t="shared" si="14"/>
        <v>7.583569965474541</v>
      </c>
      <c r="AV87" s="1442">
        <f t="shared" si="14"/>
        <v>7.583569965474541</v>
      </c>
      <c r="AW87" s="1442">
        <f t="shared" si="14"/>
        <v>7.583569965474541</v>
      </c>
      <c r="AX87" s="1442">
        <f t="shared" si="14"/>
        <v>7.583569965474541</v>
      </c>
      <c r="AY87" s="1442">
        <f t="shared" si="14"/>
        <v>7.583569965474541</v>
      </c>
      <c r="AZ87" s="1442">
        <f t="shared" si="14"/>
        <v>7.583569965474541</v>
      </c>
      <c r="BA87" s="1442">
        <f t="shared" si="14"/>
        <v>7.583569965474541</v>
      </c>
      <c r="BB87" s="1442">
        <f t="shared" si="14"/>
        <v>7.583569965474541</v>
      </c>
      <c r="BC87" s="1442">
        <f t="shared" si="14"/>
        <v>7.583569965474541</v>
      </c>
      <c r="BD87" s="1442">
        <f t="shared" si="14"/>
        <v>7.583569965474541</v>
      </c>
      <c r="BE87" s="1442">
        <f t="shared" si="14"/>
        <v>7.583569965474541</v>
      </c>
      <c r="BF87" s="1442">
        <f t="shared" si="14"/>
        <v>7.583569965474541</v>
      </c>
      <c r="BG87" s="1442">
        <f t="shared" si="14"/>
        <v>7.583569965474541</v>
      </c>
      <c r="BH87" s="1442">
        <f t="shared" si="14"/>
        <v>7.583569965474541</v>
      </c>
      <c r="BI87" s="1442">
        <f t="shared" si="14"/>
        <v>7.583569965474541</v>
      </c>
      <c r="BJ87" s="1442">
        <f t="shared" ref="BJ87:BN102" si="16">BI87</f>
        <v>7.583569965474541</v>
      </c>
      <c r="BK87" s="1442">
        <f t="shared" si="16"/>
        <v>7.583569965474541</v>
      </c>
      <c r="BL87" s="1442">
        <f t="shared" si="16"/>
        <v>7.583569965474541</v>
      </c>
      <c r="BM87" s="1442">
        <f t="shared" si="16"/>
        <v>7.583569965474541</v>
      </c>
      <c r="BN87" s="1443">
        <f t="shared" si="16"/>
        <v>7.583569965474541</v>
      </c>
    </row>
    <row r="88" spans="1:66" s="91" customFormat="1">
      <c r="A88" s="1434">
        <v>123</v>
      </c>
      <c r="B88" s="1435">
        <v>0</v>
      </c>
      <c r="C88" s="1436" t="s">
        <v>165</v>
      </c>
      <c r="D88" s="1435" t="s">
        <v>44</v>
      </c>
      <c r="E88" s="1437">
        <v>4.9724300389168192</v>
      </c>
      <c r="F88" s="1437">
        <v>5.5409230908514449</v>
      </c>
      <c r="G88" s="1437">
        <v>5.7304640473647765</v>
      </c>
      <c r="H88" s="1437">
        <v>5.7420087565471611</v>
      </c>
      <c r="I88" s="1437">
        <v>5.8042072907733111</v>
      </c>
      <c r="J88" s="1437">
        <v>5.8664163519202299</v>
      </c>
      <c r="K88" s="1437">
        <v>5.9510174814549188</v>
      </c>
      <c r="L88" s="1437">
        <v>6.041199156622505</v>
      </c>
      <c r="M88" s="1437">
        <v>6.1339727739324807</v>
      </c>
      <c r="N88" s="1437">
        <v>6.2280428781456543</v>
      </c>
      <c r="O88" s="1437">
        <v>6.3218671783461051</v>
      </c>
      <c r="P88" s="1437">
        <v>6.4211980284105445</v>
      </c>
      <c r="Q88" s="1437">
        <v>6.5222337097528484</v>
      </c>
      <c r="R88" s="1437">
        <v>6.6250076861800835</v>
      </c>
      <c r="S88" s="1437">
        <v>6.7295538151667511</v>
      </c>
      <c r="T88" s="1437">
        <v>6.8359064961574303</v>
      </c>
      <c r="U88" s="1437">
        <v>6.9441015614235191</v>
      </c>
      <c r="V88" s="1437">
        <v>7.0541749894736752</v>
      </c>
      <c r="W88" s="1437">
        <v>7.1660111970520068</v>
      </c>
      <c r="X88" s="1437">
        <v>7.2751763875725306</v>
      </c>
      <c r="Y88" s="1437">
        <v>7.3892819230512305</v>
      </c>
      <c r="Z88" s="1437">
        <v>7.5057506046787825</v>
      </c>
      <c r="AA88" s="1437">
        <v>7.6192408771615403</v>
      </c>
      <c r="AB88" s="1437">
        <v>7.7404581195169824</v>
      </c>
      <c r="AC88" s="1437">
        <v>7.8702972939359297</v>
      </c>
      <c r="AD88" s="1437">
        <v>7.9905875714353716</v>
      </c>
      <c r="AE88" s="1437">
        <f t="shared" si="15"/>
        <v>7.9905875714353716</v>
      </c>
      <c r="AF88" s="1437">
        <f t="shared" si="15"/>
        <v>7.9905875714353716</v>
      </c>
      <c r="AG88" s="1437">
        <f t="shared" si="15"/>
        <v>7.9905875714353716</v>
      </c>
      <c r="AH88" s="1437">
        <f t="shared" si="15"/>
        <v>7.9905875714353716</v>
      </c>
      <c r="AI88" s="1437">
        <f t="shared" si="15"/>
        <v>7.9905875714353716</v>
      </c>
      <c r="AJ88" s="1437">
        <f t="shared" si="15"/>
        <v>7.9905875714353716</v>
      </c>
      <c r="AK88" s="1437">
        <f t="shared" si="15"/>
        <v>7.9905875714353716</v>
      </c>
      <c r="AL88" s="1437">
        <f t="shared" si="15"/>
        <v>7.9905875714353716</v>
      </c>
      <c r="AM88" s="1437">
        <f t="shared" si="15"/>
        <v>7.9905875714353716</v>
      </c>
      <c r="AN88" s="1437">
        <f t="shared" si="15"/>
        <v>7.9905875714353716</v>
      </c>
      <c r="AO88" s="1437">
        <f t="shared" si="15"/>
        <v>7.9905875714353716</v>
      </c>
      <c r="AP88" s="1437">
        <f t="shared" si="15"/>
        <v>7.9905875714353716</v>
      </c>
      <c r="AQ88" s="1437">
        <f t="shared" si="15"/>
        <v>7.9905875714353716</v>
      </c>
      <c r="AR88" s="1437">
        <f t="shared" si="15"/>
        <v>7.9905875714353716</v>
      </c>
      <c r="AS88" s="1437">
        <f t="shared" si="15"/>
        <v>7.9905875714353716</v>
      </c>
      <c r="AT88" s="1437">
        <f t="shared" si="15"/>
        <v>7.9905875714353716</v>
      </c>
      <c r="AU88" s="1437">
        <f t="shared" si="14"/>
        <v>7.9905875714353716</v>
      </c>
      <c r="AV88" s="1437">
        <f t="shared" si="14"/>
        <v>7.9905875714353716</v>
      </c>
      <c r="AW88" s="1437">
        <f t="shared" si="14"/>
        <v>7.9905875714353716</v>
      </c>
      <c r="AX88" s="1437">
        <f t="shared" si="14"/>
        <v>7.9905875714353716</v>
      </c>
      <c r="AY88" s="1437">
        <f t="shared" si="14"/>
        <v>7.9905875714353716</v>
      </c>
      <c r="AZ88" s="1437">
        <f t="shared" si="14"/>
        <v>7.9905875714353716</v>
      </c>
      <c r="BA88" s="1437">
        <f t="shared" si="14"/>
        <v>7.9905875714353716</v>
      </c>
      <c r="BB88" s="1437">
        <f t="shared" si="14"/>
        <v>7.9905875714353716</v>
      </c>
      <c r="BC88" s="1437">
        <f t="shared" si="14"/>
        <v>7.9905875714353716</v>
      </c>
      <c r="BD88" s="1437">
        <f t="shared" si="14"/>
        <v>7.9905875714353716</v>
      </c>
      <c r="BE88" s="1437">
        <f t="shared" si="14"/>
        <v>7.9905875714353716</v>
      </c>
      <c r="BF88" s="1437">
        <f t="shared" si="14"/>
        <v>7.9905875714353716</v>
      </c>
      <c r="BG88" s="1437">
        <f t="shared" si="14"/>
        <v>7.9905875714353716</v>
      </c>
      <c r="BH88" s="1437">
        <f t="shared" si="14"/>
        <v>7.9905875714353716</v>
      </c>
      <c r="BI88" s="1437">
        <f t="shared" si="14"/>
        <v>7.9905875714353716</v>
      </c>
      <c r="BJ88" s="1437">
        <f t="shared" si="16"/>
        <v>7.9905875714353716</v>
      </c>
      <c r="BK88" s="1437">
        <f t="shared" si="16"/>
        <v>7.9905875714353716</v>
      </c>
      <c r="BL88" s="1437">
        <f t="shared" si="16"/>
        <v>7.9905875714353716</v>
      </c>
      <c r="BM88" s="1437">
        <f t="shared" si="16"/>
        <v>7.9905875714353716</v>
      </c>
      <c r="BN88" s="1438">
        <f t="shared" si="16"/>
        <v>7.9905875714353716</v>
      </c>
    </row>
    <row r="89" spans="1:66" s="91" customFormat="1">
      <c r="A89" s="1439">
        <v>124</v>
      </c>
      <c r="B89" s="1440">
        <v>0</v>
      </c>
      <c r="C89" s="1441" t="s">
        <v>166</v>
      </c>
      <c r="D89" s="1440" t="s">
        <v>167</v>
      </c>
      <c r="E89" s="1442">
        <v>5.5290492916558325</v>
      </c>
      <c r="F89" s="1442">
        <v>6.166116613873645</v>
      </c>
      <c r="G89" s="1442">
        <v>6.3772975487221011</v>
      </c>
      <c r="H89" s="1442">
        <v>6.3884073769831984</v>
      </c>
      <c r="I89" s="1442">
        <v>6.4563817142577111</v>
      </c>
      <c r="J89" s="1442">
        <v>6.5243103103439175</v>
      </c>
      <c r="K89" s="1442">
        <v>6.6173418853237642</v>
      </c>
      <c r="L89" s="1442">
        <v>6.7165833200145206</v>
      </c>
      <c r="M89" s="1442">
        <v>6.8186744471124863</v>
      </c>
      <c r="N89" s="1442">
        <v>6.9221576584144477</v>
      </c>
      <c r="O89" s="1442">
        <v>7.025297916441005</v>
      </c>
      <c r="P89" s="1442">
        <v>7.1345572184756332</v>
      </c>
      <c r="Q89" s="1442">
        <v>7.2456614585849737</v>
      </c>
      <c r="R89" s="1442">
        <v>7.3586461163799166</v>
      </c>
      <c r="S89" s="1442">
        <v>7.4735470501169488</v>
      </c>
      <c r="T89" s="1442">
        <v>7.5904006614361643</v>
      </c>
      <c r="U89" s="1442">
        <v>7.7092448944602108</v>
      </c>
      <c r="V89" s="1442">
        <v>7.830117788007704</v>
      </c>
      <c r="W89" s="1442">
        <v>7.9528869971277896</v>
      </c>
      <c r="X89" s="1442">
        <v>8.0725676670503823</v>
      </c>
      <c r="Y89" s="1442">
        <v>8.1977101779585269</v>
      </c>
      <c r="Z89" s="1442">
        <v>8.3254158051779008</v>
      </c>
      <c r="AA89" s="1442">
        <v>8.4496793977584375</v>
      </c>
      <c r="AB89" s="1442">
        <v>8.5825278832692558</v>
      </c>
      <c r="AC89" s="1442">
        <v>8.7249640027876563</v>
      </c>
      <c r="AD89" s="1442">
        <v>8.8565659163760575</v>
      </c>
      <c r="AE89" s="1442">
        <f t="shared" si="15"/>
        <v>8.8565659163760575</v>
      </c>
      <c r="AF89" s="1442">
        <f t="shared" si="15"/>
        <v>8.8565659163760575</v>
      </c>
      <c r="AG89" s="1442">
        <f t="shared" si="15"/>
        <v>8.8565659163760575</v>
      </c>
      <c r="AH89" s="1442">
        <f t="shared" si="15"/>
        <v>8.8565659163760575</v>
      </c>
      <c r="AI89" s="1442">
        <f t="shared" si="15"/>
        <v>8.8565659163760575</v>
      </c>
      <c r="AJ89" s="1442">
        <f t="shared" si="15"/>
        <v>8.8565659163760575</v>
      </c>
      <c r="AK89" s="1442">
        <f t="shared" si="15"/>
        <v>8.8565659163760575</v>
      </c>
      <c r="AL89" s="1442">
        <f t="shared" si="15"/>
        <v>8.8565659163760575</v>
      </c>
      <c r="AM89" s="1442">
        <f t="shared" si="15"/>
        <v>8.8565659163760575</v>
      </c>
      <c r="AN89" s="1442">
        <f t="shared" si="15"/>
        <v>8.8565659163760575</v>
      </c>
      <c r="AO89" s="1442">
        <f t="shared" si="15"/>
        <v>8.8565659163760575</v>
      </c>
      <c r="AP89" s="1442">
        <f t="shared" si="15"/>
        <v>8.8565659163760575</v>
      </c>
      <c r="AQ89" s="1442">
        <f t="shared" si="15"/>
        <v>8.8565659163760575</v>
      </c>
      <c r="AR89" s="1442">
        <f t="shared" si="15"/>
        <v>8.8565659163760575</v>
      </c>
      <c r="AS89" s="1442">
        <f t="shared" si="15"/>
        <v>8.8565659163760575</v>
      </c>
      <c r="AT89" s="1442">
        <f t="shared" si="15"/>
        <v>8.8565659163760575</v>
      </c>
      <c r="AU89" s="1442">
        <f t="shared" si="14"/>
        <v>8.8565659163760575</v>
      </c>
      <c r="AV89" s="1442">
        <f t="shared" si="14"/>
        <v>8.8565659163760575</v>
      </c>
      <c r="AW89" s="1442">
        <f t="shared" si="14"/>
        <v>8.8565659163760575</v>
      </c>
      <c r="AX89" s="1442">
        <f t="shared" si="14"/>
        <v>8.8565659163760575</v>
      </c>
      <c r="AY89" s="1442">
        <f t="shared" si="14"/>
        <v>8.8565659163760575</v>
      </c>
      <c r="AZ89" s="1442">
        <f t="shared" si="14"/>
        <v>8.8565659163760575</v>
      </c>
      <c r="BA89" s="1442">
        <f t="shared" si="14"/>
        <v>8.8565659163760575</v>
      </c>
      <c r="BB89" s="1442">
        <f t="shared" si="14"/>
        <v>8.8565659163760575</v>
      </c>
      <c r="BC89" s="1442">
        <f t="shared" si="14"/>
        <v>8.8565659163760575</v>
      </c>
      <c r="BD89" s="1442">
        <f t="shared" si="14"/>
        <v>8.8565659163760575</v>
      </c>
      <c r="BE89" s="1442">
        <f t="shared" si="14"/>
        <v>8.8565659163760575</v>
      </c>
      <c r="BF89" s="1442">
        <f t="shared" si="14"/>
        <v>8.8565659163760575</v>
      </c>
      <c r="BG89" s="1442">
        <f t="shared" si="14"/>
        <v>8.8565659163760575</v>
      </c>
      <c r="BH89" s="1442">
        <f t="shared" si="14"/>
        <v>8.8565659163760575</v>
      </c>
      <c r="BI89" s="1442">
        <f t="shared" si="14"/>
        <v>8.8565659163760575</v>
      </c>
      <c r="BJ89" s="1442">
        <f t="shared" si="16"/>
        <v>8.8565659163760575</v>
      </c>
      <c r="BK89" s="1442">
        <f t="shared" si="16"/>
        <v>8.8565659163760575</v>
      </c>
      <c r="BL89" s="1442">
        <f t="shared" si="16"/>
        <v>8.8565659163760575</v>
      </c>
      <c r="BM89" s="1442">
        <f t="shared" si="16"/>
        <v>8.8565659163760575</v>
      </c>
      <c r="BN89" s="1443">
        <f t="shared" si="16"/>
        <v>8.8565659163760575</v>
      </c>
    </row>
    <row r="90" spans="1:66" s="91" customFormat="1">
      <c r="A90" s="1434">
        <v>155</v>
      </c>
      <c r="B90" s="1435">
        <v>0</v>
      </c>
      <c r="C90" s="1436" t="s">
        <v>224</v>
      </c>
      <c r="D90" s="1435" t="s">
        <v>38</v>
      </c>
      <c r="E90" s="1437">
        <v>3.2318535874445065</v>
      </c>
      <c r="F90" s="1437">
        <v>3.7162109411057078</v>
      </c>
      <c r="G90" s="1437">
        <v>3.8831397050110263</v>
      </c>
      <c r="H90" s="1437">
        <v>3.8951208045303409</v>
      </c>
      <c r="I90" s="1437">
        <v>3.9515832535489204</v>
      </c>
      <c r="J90" s="1437">
        <v>4.0082390256638689</v>
      </c>
      <c r="K90" s="1437">
        <v>4.0848835212737287</v>
      </c>
      <c r="L90" s="1437">
        <v>4.1668162182682602</v>
      </c>
      <c r="M90" s="1437">
        <v>4.2514292979045587</v>
      </c>
      <c r="N90" s="1437">
        <v>4.3375849412665968</v>
      </c>
      <c r="O90" s="1437">
        <v>4.423899991325559</v>
      </c>
      <c r="P90" s="1437">
        <v>4.5155790572844658</v>
      </c>
      <c r="Q90" s="1437">
        <v>4.6092217541970264</v>
      </c>
      <c r="R90" s="1437">
        <v>4.7048721995148268</v>
      </c>
      <c r="S90" s="1437">
        <v>4.8025752230165812</v>
      </c>
      <c r="T90" s="1437">
        <v>4.9023765041232084</v>
      </c>
      <c r="U90" s="1437">
        <v>5.0043234032219068</v>
      </c>
      <c r="V90" s="1437">
        <v>5.1084637828312722</v>
      </c>
      <c r="W90" s="1437">
        <v>5.2147035475215127</v>
      </c>
      <c r="X90" s="1437">
        <v>5.3188717370550664</v>
      </c>
      <c r="Y90" s="1437">
        <v>5.4281356906843312</v>
      </c>
      <c r="Z90" s="1437">
        <v>5.5400956439565361</v>
      </c>
      <c r="AA90" s="1437">
        <v>5.6496581971393844</v>
      </c>
      <c r="AB90" s="1437">
        <v>5.7670652256590271</v>
      </c>
      <c r="AC90" s="1437">
        <v>5.8932772641733324</v>
      </c>
      <c r="AD90" s="1437">
        <v>6.010749075813572</v>
      </c>
      <c r="AE90" s="1437">
        <f t="shared" si="15"/>
        <v>6.010749075813572</v>
      </c>
      <c r="AF90" s="1437">
        <f t="shared" si="15"/>
        <v>6.010749075813572</v>
      </c>
      <c r="AG90" s="1437">
        <f t="shared" si="15"/>
        <v>6.010749075813572</v>
      </c>
      <c r="AH90" s="1437">
        <f t="shared" si="15"/>
        <v>6.010749075813572</v>
      </c>
      <c r="AI90" s="1437">
        <f t="shared" si="15"/>
        <v>6.010749075813572</v>
      </c>
      <c r="AJ90" s="1437">
        <f t="shared" si="15"/>
        <v>6.010749075813572</v>
      </c>
      <c r="AK90" s="1437">
        <f t="shared" si="15"/>
        <v>6.010749075813572</v>
      </c>
      <c r="AL90" s="1437">
        <f t="shared" si="15"/>
        <v>6.010749075813572</v>
      </c>
      <c r="AM90" s="1437">
        <f t="shared" si="15"/>
        <v>6.010749075813572</v>
      </c>
      <c r="AN90" s="1437">
        <f t="shared" si="15"/>
        <v>6.010749075813572</v>
      </c>
      <c r="AO90" s="1437">
        <f t="shared" si="15"/>
        <v>6.010749075813572</v>
      </c>
      <c r="AP90" s="1437">
        <f t="shared" si="15"/>
        <v>6.010749075813572</v>
      </c>
      <c r="AQ90" s="1437">
        <f t="shared" si="15"/>
        <v>6.010749075813572</v>
      </c>
      <c r="AR90" s="1437">
        <f t="shared" si="15"/>
        <v>6.010749075813572</v>
      </c>
      <c r="AS90" s="1437">
        <f t="shared" si="15"/>
        <v>6.010749075813572</v>
      </c>
      <c r="AT90" s="1437">
        <f t="shared" si="15"/>
        <v>6.010749075813572</v>
      </c>
      <c r="AU90" s="1437">
        <f t="shared" si="14"/>
        <v>6.010749075813572</v>
      </c>
      <c r="AV90" s="1437">
        <f t="shared" si="14"/>
        <v>6.010749075813572</v>
      </c>
      <c r="AW90" s="1437">
        <f t="shared" si="14"/>
        <v>6.010749075813572</v>
      </c>
      <c r="AX90" s="1437">
        <f t="shared" si="14"/>
        <v>6.010749075813572</v>
      </c>
      <c r="AY90" s="1437">
        <f t="shared" si="14"/>
        <v>6.010749075813572</v>
      </c>
      <c r="AZ90" s="1437">
        <f t="shared" si="14"/>
        <v>6.010749075813572</v>
      </c>
      <c r="BA90" s="1437">
        <f t="shared" si="14"/>
        <v>6.010749075813572</v>
      </c>
      <c r="BB90" s="1437">
        <f t="shared" si="14"/>
        <v>6.010749075813572</v>
      </c>
      <c r="BC90" s="1437">
        <f t="shared" si="14"/>
        <v>6.010749075813572</v>
      </c>
      <c r="BD90" s="1437">
        <f t="shared" si="14"/>
        <v>6.010749075813572</v>
      </c>
      <c r="BE90" s="1437">
        <f t="shared" si="14"/>
        <v>6.010749075813572</v>
      </c>
      <c r="BF90" s="1437">
        <f t="shared" si="14"/>
        <v>6.010749075813572</v>
      </c>
      <c r="BG90" s="1437">
        <f t="shared" si="14"/>
        <v>6.010749075813572</v>
      </c>
      <c r="BH90" s="1437">
        <f t="shared" si="14"/>
        <v>6.010749075813572</v>
      </c>
      <c r="BI90" s="1437">
        <f t="shared" si="14"/>
        <v>6.010749075813572</v>
      </c>
      <c r="BJ90" s="1437">
        <f t="shared" si="16"/>
        <v>6.010749075813572</v>
      </c>
      <c r="BK90" s="1437">
        <f t="shared" si="16"/>
        <v>6.010749075813572</v>
      </c>
      <c r="BL90" s="1437">
        <f t="shared" si="16"/>
        <v>6.010749075813572</v>
      </c>
      <c r="BM90" s="1437">
        <f t="shared" si="16"/>
        <v>6.010749075813572</v>
      </c>
      <c r="BN90" s="1438">
        <f t="shared" si="16"/>
        <v>6.010749075813572</v>
      </c>
    </row>
    <row r="91" spans="1:66" s="91" customFormat="1">
      <c r="A91" s="1439">
        <v>125</v>
      </c>
      <c r="B91" s="1440">
        <v>0</v>
      </c>
      <c r="C91" s="1441" t="s">
        <v>168</v>
      </c>
      <c r="D91" s="1440" t="s">
        <v>169</v>
      </c>
      <c r="E91" s="1442">
        <v>6.95161045977708</v>
      </c>
      <c r="F91" s="1442">
        <v>7.7639341957051311</v>
      </c>
      <c r="G91" s="1442">
        <v>8.0304207864522148</v>
      </c>
      <c r="H91" s="1442">
        <v>8.0404191822424878</v>
      </c>
      <c r="I91" s="1442">
        <v>8.1231548363253676</v>
      </c>
      <c r="J91" s="1442">
        <v>8.2057009438690116</v>
      </c>
      <c r="K91" s="1442">
        <v>8.3202783497938562</v>
      </c>
      <c r="L91" s="1442">
        <v>8.4426739639830011</v>
      </c>
      <c r="M91" s="1442">
        <v>8.5685780072579778</v>
      </c>
      <c r="N91" s="1442">
        <v>8.6961184543633809</v>
      </c>
      <c r="O91" s="1442">
        <v>8.8230676621919102</v>
      </c>
      <c r="P91" s="1442">
        <v>8.957701275594399</v>
      </c>
      <c r="Q91" s="1442">
        <v>9.0945379003642621</v>
      </c>
      <c r="R91" s="1442">
        <v>9.2336181679360578</v>
      </c>
      <c r="S91" s="1442">
        <v>9.3749830499983808</v>
      </c>
      <c r="T91" s="1442">
        <v>9.5186740652360076</v>
      </c>
      <c r="U91" s="1442">
        <v>9.6647345550652819</v>
      </c>
      <c r="V91" s="1442">
        <v>9.8132078238735652</v>
      </c>
      <c r="W91" s="1442">
        <v>9.9639186885648101</v>
      </c>
      <c r="X91" s="1442">
        <v>10.110473945717278</v>
      </c>
      <c r="Y91" s="1442">
        <v>10.263823840006744</v>
      </c>
      <c r="Z91" s="1442">
        <v>10.420247917708311</v>
      </c>
      <c r="AA91" s="1442">
        <v>10.57204506531308</v>
      </c>
      <c r="AB91" s="1442">
        <v>10.734619714208282</v>
      </c>
      <c r="AC91" s="1442">
        <v>10.90925005778066</v>
      </c>
      <c r="AD91" s="1442">
        <v>11.069761309608603</v>
      </c>
      <c r="AE91" s="1442">
        <f t="shared" si="15"/>
        <v>11.069761309608603</v>
      </c>
      <c r="AF91" s="1442">
        <f t="shared" si="15"/>
        <v>11.069761309608603</v>
      </c>
      <c r="AG91" s="1442">
        <f t="shared" si="15"/>
        <v>11.069761309608603</v>
      </c>
      <c r="AH91" s="1442">
        <f t="shared" si="15"/>
        <v>11.069761309608603</v>
      </c>
      <c r="AI91" s="1442">
        <f t="shared" si="15"/>
        <v>11.069761309608603</v>
      </c>
      <c r="AJ91" s="1442">
        <f t="shared" si="15"/>
        <v>11.069761309608603</v>
      </c>
      <c r="AK91" s="1442">
        <f t="shared" si="15"/>
        <v>11.069761309608603</v>
      </c>
      <c r="AL91" s="1442">
        <f t="shared" si="15"/>
        <v>11.069761309608603</v>
      </c>
      <c r="AM91" s="1442">
        <f t="shared" si="15"/>
        <v>11.069761309608603</v>
      </c>
      <c r="AN91" s="1442">
        <f t="shared" si="15"/>
        <v>11.069761309608603</v>
      </c>
      <c r="AO91" s="1442">
        <f t="shared" si="15"/>
        <v>11.069761309608603</v>
      </c>
      <c r="AP91" s="1442">
        <f t="shared" si="15"/>
        <v>11.069761309608603</v>
      </c>
      <c r="AQ91" s="1442">
        <f t="shared" si="15"/>
        <v>11.069761309608603</v>
      </c>
      <c r="AR91" s="1442">
        <f t="shared" si="15"/>
        <v>11.069761309608603</v>
      </c>
      <c r="AS91" s="1442">
        <f t="shared" si="15"/>
        <v>11.069761309608603</v>
      </c>
      <c r="AT91" s="1442">
        <f t="shared" si="15"/>
        <v>11.069761309608603</v>
      </c>
      <c r="AU91" s="1442">
        <f t="shared" si="14"/>
        <v>11.069761309608603</v>
      </c>
      <c r="AV91" s="1442">
        <f t="shared" si="14"/>
        <v>11.069761309608603</v>
      </c>
      <c r="AW91" s="1442">
        <f t="shared" si="14"/>
        <v>11.069761309608603</v>
      </c>
      <c r="AX91" s="1442">
        <f t="shared" si="14"/>
        <v>11.069761309608603</v>
      </c>
      <c r="AY91" s="1442">
        <f t="shared" si="14"/>
        <v>11.069761309608603</v>
      </c>
      <c r="AZ91" s="1442">
        <f t="shared" si="14"/>
        <v>11.069761309608603</v>
      </c>
      <c r="BA91" s="1442">
        <f t="shared" si="14"/>
        <v>11.069761309608603</v>
      </c>
      <c r="BB91" s="1442">
        <f t="shared" si="14"/>
        <v>11.069761309608603</v>
      </c>
      <c r="BC91" s="1442">
        <f t="shared" si="14"/>
        <v>11.069761309608603</v>
      </c>
      <c r="BD91" s="1442">
        <f t="shared" si="14"/>
        <v>11.069761309608603</v>
      </c>
      <c r="BE91" s="1442">
        <f t="shared" si="14"/>
        <v>11.069761309608603</v>
      </c>
      <c r="BF91" s="1442">
        <f t="shared" si="14"/>
        <v>11.069761309608603</v>
      </c>
      <c r="BG91" s="1442">
        <f t="shared" si="14"/>
        <v>11.069761309608603</v>
      </c>
      <c r="BH91" s="1442">
        <f t="shared" si="14"/>
        <v>11.069761309608603</v>
      </c>
      <c r="BI91" s="1442">
        <f t="shared" si="14"/>
        <v>11.069761309608603</v>
      </c>
      <c r="BJ91" s="1442">
        <f t="shared" si="16"/>
        <v>11.069761309608603</v>
      </c>
      <c r="BK91" s="1442">
        <f t="shared" si="16"/>
        <v>11.069761309608603</v>
      </c>
      <c r="BL91" s="1442">
        <f t="shared" si="16"/>
        <v>11.069761309608603</v>
      </c>
      <c r="BM91" s="1442">
        <f t="shared" si="16"/>
        <v>11.069761309608603</v>
      </c>
      <c r="BN91" s="1443">
        <f t="shared" si="16"/>
        <v>11.069761309608603</v>
      </c>
    </row>
    <row r="92" spans="1:66" s="91" customFormat="1">
      <c r="A92" s="1434">
        <v>126</v>
      </c>
      <c r="B92" s="1435">
        <v>0</v>
      </c>
      <c r="C92" s="1436" t="s">
        <v>170</v>
      </c>
      <c r="D92" s="1435" t="s">
        <v>33</v>
      </c>
      <c r="E92" s="1437">
        <v>2.7612959332408584</v>
      </c>
      <c r="F92" s="1437">
        <v>3.1654559187414812</v>
      </c>
      <c r="G92" s="1437">
        <v>3.306404997802455</v>
      </c>
      <c r="H92" s="1437">
        <v>3.3189112649418768</v>
      </c>
      <c r="I92" s="1437">
        <v>3.3683885878847915</v>
      </c>
      <c r="J92" s="1437">
        <v>3.4181056349171604</v>
      </c>
      <c r="K92" s="1437">
        <v>3.484483608490387</v>
      </c>
      <c r="L92" s="1437">
        <v>3.555331965077515</v>
      </c>
      <c r="M92" s="1437">
        <v>3.6284902381566044</v>
      </c>
      <c r="N92" s="1437">
        <v>3.7030172931740073</v>
      </c>
      <c r="O92" s="1437">
        <v>3.777768583813033</v>
      </c>
      <c r="P92" s="1437">
        <v>3.8570637092143656</v>
      </c>
      <c r="Q92" s="1437">
        <v>3.9380851448616259</v>
      </c>
      <c r="R92" s="1437">
        <v>4.0208724116255432</v>
      </c>
      <c r="S92" s="1437">
        <v>4.1054657090607227</v>
      </c>
      <c r="T92" s="1437">
        <v>4.1919060319341916</v>
      </c>
      <c r="U92" s="1437">
        <v>4.2802358624621624</v>
      </c>
      <c r="V92" s="1437">
        <v>4.3704981953500139</v>
      </c>
      <c r="W92" s="1437">
        <v>4.4626183805685082</v>
      </c>
      <c r="X92" s="1437">
        <v>4.5531404119905341</v>
      </c>
      <c r="Y92" s="1437">
        <v>4.6480126695797201</v>
      </c>
      <c r="Z92" s="1437">
        <v>4.7452484361359417</v>
      </c>
      <c r="AA92" s="1437">
        <v>4.8406269344366457</v>
      </c>
      <c r="AB92" s="1437">
        <v>4.9426469788963772</v>
      </c>
      <c r="AC92" s="1437">
        <v>5.0521093160153683</v>
      </c>
      <c r="AD92" s="1437">
        <v>5.1544656445753567</v>
      </c>
      <c r="AE92" s="1437">
        <f t="shared" si="15"/>
        <v>5.1544656445753567</v>
      </c>
      <c r="AF92" s="1437">
        <f t="shared" si="15"/>
        <v>5.1544656445753567</v>
      </c>
      <c r="AG92" s="1437">
        <f t="shared" si="15"/>
        <v>5.1544656445753567</v>
      </c>
      <c r="AH92" s="1437">
        <f t="shared" si="15"/>
        <v>5.1544656445753567</v>
      </c>
      <c r="AI92" s="1437">
        <f t="shared" si="15"/>
        <v>5.1544656445753567</v>
      </c>
      <c r="AJ92" s="1437">
        <f t="shared" si="15"/>
        <v>5.1544656445753567</v>
      </c>
      <c r="AK92" s="1437">
        <f t="shared" si="15"/>
        <v>5.1544656445753567</v>
      </c>
      <c r="AL92" s="1437">
        <f t="shared" si="15"/>
        <v>5.1544656445753567</v>
      </c>
      <c r="AM92" s="1437">
        <f t="shared" si="15"/>
        <v>5.1544656445753567</v>
      </c>
      <c r="AN92" s="1437">
        <f t="shared" si="15"/>
        <v>5.1544656445753567</v>
      </c>
      <c r="AO92" s="1437">
        <f t="shared" si="15"/>
        <v>5.1544656445753567</v>
      </c>
      <c r="AP92" s="1437">
        <f t="shared" si="15"/>
        <v>5.1544656445753567</v>
      </c>
      <c r="AQ92" s="1437">
        <f t="shared" si="15"/>
        <v>5.1544656445753567</v>
      </c>
      <c r="AR92" s="1437">
        <f t="shared" si="15"/>
        <v>5.1544656445753567</v>
      </c>
      <c r="AS92" s="1437">
        <f t="shared" si="15"/>
        <v>5.1544656445753567</v>
      </c>
      <c r="AT92" s="1437">
        <f t="shared" si="15"/>
        <v>5.1544656445753567</v>
      </c>
      <c r="AU92" s="1437">
        <f t="shared" si="14"/>
        <v>5.1544656445753567</v>
      </c>
      <c r="AV92" s="1437">
        <f t="shared" si="14"/>
        <v>5.1544656445753567</v>
      </c>
      <c r="AW92" s="1437">
        <f t="shared" si="14"/>
        <v>5.1544656445753567</v>
      </c>
      <c r="AX92" s="1437">
        <f t="shared" si="14"/>
        <v>5.1544656445753567</v>
      </c>
      <c r="AY92" s="1437">
        <f t="shared" si="14"/>
        <v>5.1544656445753567</v>
      </c>
      <c r="AZ92" s="1437">
        <f t="shared" si="14"/>
        <v>5.1544656445753567</v>
      </c>
      <c r="BA92" s="1437">
        <f t="shared" si="14"/>
        <v>5.1544656445753567</v>
      </c>
      <c r="BB92" s="1437">
        <f t="shared" si="14"/>
        <v>5.1544656445753567</v>
      </c>
      <c r="BC92" s="1437">
        <f t="shared" si="14"/>
        <v>5.1544656445753567</v>
      </c>
      <c r="BD92" s="1437">
        <f t="shared" si="14"/>
        <v>5.1544656445753567</v>
      </c>
      <c r="BE92" s="1437">
        <f t="shared" si="14"/>
        <v>5.1544656445753567</v>
      </c>
      <c r="BF92" s="1437">
        <f t="shared" si="14"/>
        <v>5.1544656445753567</v>
      </c>
      <c r="BG92" s="1437">
        <f t="shared" si="14"/>
        <v>5.1544656445753567</v>
      </c>
      <c r="BH92" s="1437">
        <f t="shared" si="14"/>
        <v>5.1544656445753567</v>
      </c>
      <c r="BI92" s="1437">
        <f t="shared" si="14"/>
        <v>5.1544656445753567</v>
      </c>
      <c r="BJ92" s="1437">
        <f t="shared" si="16"/>
        <v>5.1544656445753567</v>
      </c>
      <c r="BK92" s="1437">
        <f t="shared" si="16"/>
        <v>5.1544656445753567</v>
      </c>
      <c r="BL92" s="1437">
        <f t="shared" si="16"/>
        <v>5.1544656445753567</v>
      </c>
      <c r="BM92" s="1437">
        <f t="shared" si="16"/>
        <v>5.1544656445753567</v>
      </c>
      <c r="BN92" s="1438">
        <f t="shared" si="16"/>
        <v>5.1544656445753567</v>
      </c>
    </row>
    <row r="93" spans="1:66" s="91" customFormat="1">
      <c r="A93" s="1439">
        <v>36</v>
      </c>
      <c r="B93" s="1440">
        <v>0</v>
      </c>
      <c r="C93" s="1441" t="s">
        <v>69</v>
      </c>
      <c r="D93" s="1440" t="s">
        <v>85</v>
      </c>
      <c r="E93" s="1442">
        <v>2.8062696875281938</v>
      </c>
      <c r="F93" s="1442">
        <v>3.2180945716824123</v>
      </c>
      <c r="G93" s="1442">
        <v>3.3615266705226086</v>
      </c>
      <c r="H93" s="1442">
        <v>3.373982744536288</v>
      </c>
      <c r="I93" s="1442">
        <v>3.4241276739690485</v>
      </c>
      <c r="J93" s="1442">
        <v>3.4745078926959878</v>
      </c>
      <c r="K93" s="1442">
        <v>3.5418670936179488</v>
      </c>
      <c r="L93" s="1442">
        <v>3.6137748409034676</v>
      </c>
      <c r="M93" s="1442">
        <v>3.6880279121457806</v>
      </c>
      <c r="N93" s="1442">
        <v>3.7636663745969976</v>
      </c>
      <c r="O93" s="1442">
        <v>3.8395228766169121</v>
      </c>
      <c r="P93" s="1442">
        <v>3.9200016025712694</v>
      </c>
      <c r="Q93" s="1442">
        <v>4.0022293208023338</v>
      </c>
      <c r="R93" s="1442">
        <v>4.0862459915010678</v>
      </c>
      <c r="S93" s="1442">
        <v>4.1720922567577796</v>
      </c>
      <c r="T93" s="1442">
        <v>4.259809559077345</v>
      </c>
      <c r="U93" s="1442">
        <v>4.3494408469093102</v>
      </c>
      <c r="V93" s="1442">
        <v>4.4410295802024375</v>
      </c>
      <c r="W93" s="1442">
        <v>4.5344992504247994</v>
      </c>
      <c r="X93" s="1442">
        <v>4.6263255193964463</v>
      </c>
      <c r="Y93" s="1442">
        <v>4.7225732696499261</v>
      </c>
      <c r="Z93" s="1442">
        <v>4.8212163068126923</v>
      </c>
      <c r="AA93" s="1442">
        <v>4.9179504523829056</v>
      </c>
      <c r="AB93" s="1442">
        <v>5.0214411145961719</v>
      </c>
      <c r="AC93" s="1442">
        <v>5.1325043117760067</v>
      </c>
      <c r="AD93" s="1442">
        <v>5.2363053092642611</v>
      </c>
      <c r="AE93" s="1442">
        <f t="shared" si="15"/>
        <v>5.2363053092642611</v>
      </c>
      <c r="AF93" s="1442">
        <f t="shared" si="15"/>
        <v>5.2363053092642611</v>
      </c>
      <c r="AG93" s="1442">
        <f t="shared" si="15"/>
        <v>5.2363053092642611</v>
      </c>
      <c r="AH93" s="1442">
        <f t="shared" si="15"/>
        <v>5.2363053092642611</v>
      </c>
      <c r="AI93" s="1442">
        <f t="shared" si="15"/>
        <v>5.2363053092642611</v>
      </c>
      <c r="AJ93" s="1442">
        <f t="shared" si="15"/>
        <v>5.2363053092642611</v>
      </c>
      <c r="AK93" s="1442">
        <f t="shared" si="15"/>
        <v>5.2363053092642611</v>
      </c>
      <c r="AL93" s="1442">
        <f t="shared" si="15"/>
        <v>5.2363053092642611</v>
      </c>
      <c r="AM93" s="1442">
        <f t="shared" si="15"/>
        <v>5.2363053092642611</v>
      </c>
      <c r="AN93" s="1442">
        <f t="shared" si="15"/>
        <v>5.2363053092642611</v>
      </c>
      <c r="AO93" s="1442">
        <f t="shared" si="15"/>
        <v>5.2363053092642611</v>
      </c>
      <c r="AP93" s="1442">
        <f t="shared" si="15"/>
        <v>5.2363053092642611</v>
      </c>
      <c r="AQ93" s="1442">
        <f t="shared" si="15"/>
        <v>5.2363053092642611</v>
      </c>
      <c r="AR93" s="1442">
        <f t="shared" si="15"/>
        <v>5.2363053092642611</v>
      </c>
      <c r="AS93" s="1442">
        <f t="shared" si="15"/>
        <v>5.2363053092642611</v>
      </c>
      <c r="AT93" s="1442">
        <f t="shared" si="15"/>
        <v>5.2363053092642611</v>
      </c>
      <c r="AU93" s="1442">
        <f t="shared" si="14"/>
        <v>5.2363053092642611</v>
      </c>
      <c r="AV93" s="1442">
        <f t="shared" si="14"/>
        <v>5.2363053092642611</v>
      </c>
      <c r="AW93" s="1442">
        <f t="shared" si="14"/>
        <v>5.2363053092642611</v>
      </c>
      <c r="AX93" s="1442">
        <f t="shared" si="14"/>
        <v>5.2363053092642611</v>
      </c>
      <c r="AY93" s="1442">
        <f t="shared" si="14"/>
        <v>5.2363053092642611</v>
      </c>
      <c r="AZ93" s="1442">
        <f t="shared" si="14"/>
        <v>5.2363053092642611</v>
      </c>
      <c r="BA93" s="1442">
        <f t="shared" si="14"/>
        <v>5.2363053092642611</v>
      </c>
      <c r="BB93" s="1442">
        <f t="shared" si="14"/>
        <v>5.2363053092642611</v>
      </c>
      <c r="BC93" s="1442">
        <f t="shared" si="14"/>
        <v>5.2363053092642611</v>
      </c>
      <c r="BD93" s="1442">
        <f t="shared" si="14"/>
        <v>5.2363053092642611</v>
      </c>
      <c r="BE93" s="1442">
        <f t="shared" si="14"/>
        <v>5.2363053092642611</v>
      </c>
      <c r="BF93" s="1442">
        <f t="shared" si="14"/>
        <v>5.2363053092642611</v>
      </c>
      <c r="BG93" s="1442">
        <f t="shared" si="14"/>
        <v>5.2363053092642611</v>
      </c>
      <c r="BH93" s="1442">
        <f t="shared" si="14"/>
        <v>5.2363053092642611</v>
      </c>
      <c r="BI93" s="1442">
        <f t="shared" si="14"/>
        <v>5.2363053092642611</v>
      </c>
      <c r="BJ93" s="1442">
        <f t="shared" si="16"/>
        <v>5.2363053092642611</v>
      </c>
      <c r="BK93" s="1442">
        <f t="shared" si="16"/>
        <v>5.2363053092642611</v>
      </c>
      <c r="BL93" s="1442">
        <f t="shared" si="16"/>
        <v>5.2363053092642611</v>
      </c>
      <c r="BM93" s="1442">
        <f t="shared" si="16"/>
        <v>5.2363053092642611</v>
      </c>
      <c r="BN93" s="1443">
        <f t="shared" si="16"/>
        <v>5.2363053092642611</v>
      </c>
    </row>
    <row r="94" spans="1:66" s="91" customFormat="1">
      <c r="A94" s="1434">
        <v>127</v>
      </c>
      <c r="B94" s="1435">
        <v>0</v>
      </c>
      <c r="C94" s="1436" t="s">
        <v>171</v>
      </c>
      <c r="D94" s="1435" t="s">
        <v>258</v>
      </c>
      <c r="E94" s="1437">
        <v>3.4296972168362894</v>
      </c>
      <c r="F94" s="1437">
        <v>3.9477731557607778</v>
      </c>
      <c r="G94" s="1437">
        <v>4.1256249491697998</v>
      </c>
      <c r="H94" s="1437">
        <v>4.1373852445706971</v>
      </c>
      <c r="I94" s="1437">
        <v>4.1967845551666478</v>
      </c>
      <c r="J94" s="1437">
        <v>4.2563576797918046</v>
      </c>
      <c r="K94" s="1437">
        <v>4.3373186836186992</v>
      </c>
      <c r="L94" s="1437">
        <v>4.4239117365037881</v>
      </c>
      <c r="M94" s="1437">
        <v>4.5133409326839651</v>
      </c>
      <c r="N94" s="1437">
        <v>4.6043857582795802</v>
      </c>
      <c r="O94" s="1437">
        <v>4.6955627335726042</v>
      </c>
      <c r="P94" s="1437">
        <v>4.7924485658526947</v>
      </c>
      <c r="Q94" s="1437">
        <v>4.8913978093997041</v>
      </c>
      <c r="R94" s="1437">
        <v>4.9924565142748207</v>
      </c>
      <c r="S94" s="1437">
        <v>5.0956714570114929</v>
      </c>
      <c r="T94" s="1437">
        <v>5.2010902866701114</v>
      </c>
      <c r="U94" s="1437">
        <v>5.3087624146406442</v>
      </c>
      <c r="V94" s="1437">
        <v>5.4187377500895861</v>
      </c>
      <c r="W94" s="1437">
        <v>5.5309140218650281</v>
      </c>
      <c r="X94" s="1437">
        <v>5.6408196708234168</v>
      </c>
      <c r="Y94" s="1437">
        <v>5.7561345415979801</v>
      </c>
      <c r="Z94" s="1437">
        <v>5.8742852060693531</v>
      </c>
      <c r="AA94" s="1437">
        <v>5.989811374703585</v>
      </c>
      <c r="AB94" s="1437">
        <v>6.1136877842748616</v>
      </c>
      <c r="AC94" s="1437">
        <v>6.2469421515785815</v>
      </c>
      <c r="AD94" s="1437">
        <v>6.370769193031558</v>
      </c>
      <c r="AE94" s="1437">
        <f t="shared" si="15"/>
        <v>6.370769193031558</v>
      </c>
      <c r="AF94" s="1437">
        <f t="shared" si="15"/>
        <v>6.370769193031558</v>
      </c>
      <c r="AG94" s="1437">
        <f t="shared" si="15"/>
        <v>6.370769193031558</v>
      </c>
      <c r="AH94" s="1437">
        <f t="shared" si="15"/>
        <v>6.370769193031558</v>
      </c>
      <c r="AI94" s="1437">
        <f t="shared" si="15"/>
        <v>6.370769193031558</v>
      </c>
      <c r="AJ94" s="1437">
        <f t="shared" si="15"/>
        <v>6.370769193031558</v>
      </c>
      <c r="AK94" s="1437">
        <f t="shared" si="15"/>
        <v>6.370769193031558</v>
      </c>
      <c r="AL94" s="1437">
        <f t="shared" si="15"/>
        <v>6.370769193031558</v>
      </c>
      <c r="AM94" s="1437">
        <f t="shared" si="15"/>
        <v>6.370769193031558</v>
      </c>
      <c r="AN94" s="1437">
        <f t="shared" si="15"/>
        <v>6.370769193031558</v>
      </c>
      <c r="AO94" s="1437">
        <f t="shared" si="15"/>
        <v>6.370769193031558</v>
      </c>
      <c r="AP94" s="1437">
        <f t="shared" si="15"/>
        <v>6.370769193031558</v>
      </c>
      <c r="AQ94" s="1437">
        <f t="shared" si="15"/>
        <v>6.370769193031558</v>
      </c>
      <c r="AR94" s="1437">
        <f t="shared" si="15"/>
        <v>6.370769193031558</v>
      </c>
      <c r="AS94" s="1437">
        <f t="shared" si="15"/>
        <v>6.370769193031558</v>
      </c>
      <c r="AT94" s="1437">
        <f t="shared" si="15"/>
        <v>6.370769193031558</v>
      </c>
      <c r="AU94" s="1437">
        <f t="shared" si="14"/>
        <v>6.370769193031558</v>
      </c>
      <c r="AV94" s="1437">
        <f t="shared" si="14"/>
        <v>6.370769193031558</v>
      </c>
      <c r="AW94" s="1437">
        <f t="shared" si="14"/>
        <v>6.370769193031558</v>
      </c>
      <c r="AX94" s="1437">
        <f t="shared" si="14"/>
        <v>6.370769193031558</v>
      </c>
      <c r="AY94" s="1437">
        <f t="shared" si="14"/>
        <v>6.370769193031558</v>
      </c>
      <c r="AZ94" s="1437">
        <f t="shared" si="14"/>
        <v>6.370769193031558</v>
      </c>
      <c r="BA94" s="1437">
        <f t="shared" si="14"/>
        <v>6.370769193031558</v>
      </c>
      <c r="BB94" s="1437">
        <f t="shared" si="14"/>
        <v>6.370769193031558</v>
      </c>
      <c r="BC94" s="1437">
        <f t="shared" si="14"/>
        <v>6.370769193031558</v>
      </c>
      <c r="BD94" s="1437">
        <f t="shared" si="14"/>
        <v>6.370769193031558</v>
      </c>
      <c r="BE94" s="1437">
        <f t="shared" si="14"/>
        <v>6.370769193031558</v>
      </c>
      <c r="BF94" s="1437">
        <f t="shared" si="14"/>
        <v>6.370769193031558</v>
      </c>
      <c r="BG94" s="1437">
        <f t="shared" si="14"/>
        <v>6.370769193031558</v>
      </c>
      <c r="BH94" s="1437">
        <f t="shared" si="14"/>
        <v>6.370769193031558</v>
      </c>
      <c r="BI94" s="1437">
        <f t="shared" si="14"/>
        <v>6.370769193031558</v>
      </c>
      <c r="BJ94" s="1437">
        <f t="shared" si="16"/>
        <v>6.370769193031558</v>
      </c>
      <c r="BK94" s="1437">
        <f t="shared" si="16"/>
        <v>6.370769193031558</v>
      </c>
      <c r="BL94" s="1437">
        <f t="shared" si="16"/>
        <v>6.370769193031558</v>
      </c>
      <c r="BM94" s="1437">
        <f t="shared" si="16"/>
        <v>6.370769193031558</v>
      </c>
      <c r="BN94" s="1438">
        <f t="shared" si="16"/>
        <v>6.370769193031558</v>
      </c>
    </row>
    <row r="95" spans="1:66" s="91" customFormat="1">
      <c r="A95" s="1439">
        <v>128</v>
      </c>
      <c r="B95" s="1440">
        <v>0</v>
      </c>
      <c r="C95" s="1441" t="s">
        <v>172</v>
      </c>
      <c r="D95" s="1440" t="s">
        <v>173</v>
      </c>
      <c r="E95" s="1442">
        <v>3.4765958428596631</v>
      </c>
      <c r="F95" s="1442">
        <v>4.0026647372569233</v>
      </c>
      <c r="G95" s="1442">
        <v>4.1831058234185665</v>
      </c>
      <c r="H95" s="1442">
        <v>4.1948137774334615</v>
      </c>
      <c r="I95" s="1442">
        <v>4.2549092680035816</v>
      </c>
      <c r="J95" s="1442">
        <v>4.3151739479988827</v>
      </c>
      <c r="K95" s="1442">
        <v>4.3971581755970952</v>
      </c>
      <c r="L95" s="1442">
        <v>4.4848559609859242</v>
      </c>
      <c r="M95" s="1442">
        <v>4.5754268125702744</v>
      </c>
      <c r="N95" s="1442">
        <v>4.6676306137156072</v>
      </c>
      <c r="O95" s="1442">
        <v>4.7599601033150414</v>
      </c>
      <c r="P95" s="1442">
        <v>4.8580801941216194</v>
      </c>
      <c r="Q95" s="1442">
        <v>4.9582873490143209</v>
      </c>
      <c r="R95" s="1442">
        <v>5.0606280761774203</v>
      </c>
      <c r="S95" s="1442">
        <v>5.1651496136205495</v>
      </c>
      <c r="T95" s="1442">
        <v>5.2719000773050793</v>
      </c>
      <c r="U95" s="1442">
        <v>5.380929364809047</v>
      </c>
      <c r="V95" s="1442">
        <v>5.4922878704546969</v>
      </c>
      <c r="W95" s="1442">
        <v>5.6058713850437183</v>
      </c>
      <c r="X95" s="1442">
        <v>5.7171370927753751</v>
      </c>
      <c r="Y95" s="1442">
        <v>5.8338863271489503</v>
      </c>
      <c r="Z95" s="1442">
        <v>5.9535044932540169</v>
      </c>
      <c r="AA95" s="1442">
        <v>6.0704443307117613</v>
      </c>
      <c r="AB95" s="1442">
        <v>6.195854300314644</v>
      </c>
      <c r="AC95" s="1442">
        <v>6.3307780443137052</v>
      </c>
      <c r="AD95" s="1442">
        <v>6.4561115863661529</v>
      </c>
      <c r="AE95" s="1442">
        <f t="shared" si="15"/>
        <v>6.4561115863661529</v>
      </c>
      <c r="AF95" s="1442">
        <f t="shared" si="15"/>
        <v>6.4561115863661529</v>
      </c>
      <c r="AG95" s="1442">
        <f t="shared" si="15"/>
        <v>6.4561115863661529</v>
      </c>
      <c r="AH95" s="1442">
        <f t="shared" si="15"/>
        <v>6.4561115863661529</v>
      </c>
      <c r="AI95" s="1442">
        <f t="shared" si="15"/>
        <v>6.4561115863661529</v>
      </c>
      <c r="AJ95" s="1442">
        <f t="shared" si="15"/>
        <v>6.4561115863661529</v>
      </c>
      <c r="AK95" s="1442">
        <f t="shared" si="15"/>
        <v>6.4561115863661529</v>
      </c>
      <c r="AL95" s="1442">
        <f t="shared" si="15"/>
        <v>6.4561115863661529</v>
      </c>
      <c r="AM95" s="1442">
        <f t="shared" si="15"/>
        <v>6.4561115863661529</v>
      </c>
      <c r="AN95" s="1442">
        <f t="shared" si="15"/>
        <v>6.4561115863661529</v>
      </c>
      <c r="AO95" s="1442">
        <f t="shared" si="15"/>
        <v>6.4561115863661529</v>
      </c>
      <c r="AP95" s="1442">
        <f t="shared" si="15"/>
        <v>6.4561115863661529</v>
      </c>
      <c r="AQ95" s="1442">
        <f t="shared" si="15"/>
        <v>6.4561115863661529</v>
      </c>
      <c r="AR95" s="1442">
        <f t="shared" si="15"/>
        <v>6.4561115863661529</v>
      </c>
      <c r="AS95" s="1442">
        <f t="shared" si="15"/>
        <v>6.4561115863661529</v>
      </c>
      <c r="AT95" s="1442">
        <f t="shared" si="15"/>
        <v>6.4561115863661529</v>
      </c>
      <c r="AU95" s="1442">
        <f t="shared" si="14"/>
        <v>6.4561115863661529</v>
      </c>
      <c r="AV95" s="1442">
        <f t="shared" si="14"/>
        <v>6.4561115863661529</v>
      </c>
      <c r="AW95" s="1442">
        <f t="shared" si="14"/>
        <v>6.4561115863661529</v>
      </c>
      <c r="AX95" s="1442">
        <f t="shared" si="14"/>
        <v>6.4561115863661529</v>
      </c>
      <c r="AY95" s="1442">
        <f t="shared" si="14"/>
        <v>6.4561115863661529</v>
      </c>
      <c r="AZ95" s="1442">
        <f t="shared" si="14"/>
        <v>6.4561115863661529</v>
      </c>
      <c r="BA95" s="1442">
        <f t="shared" si="14"/>
        <v>6.4561115863661529</v>
      </c>
      <c r="BB95" s="1442">
        <f t="shared" si="14"/>
        <v>6.4561115863661529</v>
      </c>
      <c r="BC95" s="1442">
        <f t="shared" si="14"/>
        <v>6.4561115863661529</v>
      </c>
      <c r="BD95" s="1442">
        <f t="shared" si="14"/>
        <v>6.4561115863661529</v>
      </c>
      <c r="BE95" s="1442">
        <f t="shared" si="14"/>
        <v>6.4561115863661529</v>
      </c>
      <c r="BF95" s="1442">
        <f t="shared" si="14"/>
        <v>6.4561115863661529</v>
      </c>
      <c r="BG95" s="1442">
        <f t="shared" si="14"/>
        <v>6.4561115863661529</v>
      </c>
      <c r="BH95" s="1442">
        <f t="shared" si="14"/>
        <v>6.4561115863661529</v>
      </c>
      <c r="BI95" s="1442">
        <f t="shared" si="14"/>
        <v>6.4561115863661529</v>
      </c>
      <c r="BJ95" s="1442">
        <f t="shared" si="16"/>
        <v>6.4561115863661529</v>
      </c>
      <c r="BK95" s="1442">
        <f t="shared" si="16"/>
        <v>6.4561115863661529</v>
      </c>
      <c r="BL95" s="1442">
        <f t="shared" si="16"/>
        <v>6.4561115863661529</v>
      </c>
      <c r="BM95" s="1442">
        <f t="shared" si="16"/>
        <v>6.4561115863661529</v>
      </c>
      <c r="BN95" s="1443">
        <f t="shared" si="16"/>
        <v>6.4561115863661529</v>
      </c>
    </row>
    <row r="96" spans="1:66" s="91" customFormat="1">
      <c r="A96" s="1434">
        <v>129</v>
      </c>
      <c r="B96" s="1435">
        <v>0</v>
      </c>
      <c r="C96" s="1436" t="s">
        <v>174</v>
      </c>
      <c r="D96" s="1435" t="s">
        <v>175</v>
      </c>
      <c r="E96" s="1437">
        <v>3.237383088048194</v>
      </c>
      <c r="F96" s="1437">
        <v>3.7226828371665657</v>
      </c>
      <c r="G96" s="1437">
        <v>3.8899168871122813</v>
      </c>
      <c r="H96" s="1437">
        <v>3.9018918154118816</v>
      </c>
      <c r="I96" s="1437">
        <v>3.9584363463145982</v>
      </c>
      <c r="J96" s="1437">
        <v>4.0151736550578221</v>
      </c>
      <c r="K96" s="1437">
        <v>4.0919387920796151</v>
      </c>
      <c r="L96" s="1437">
        <v>4.1740017406308407</v>
      </c>
      <c r="M96" s="1437">
        <v>4.2587494251539315</v>
      </c>
      <c r="N96" s="1437">
        <v>4.3450417155042764</v>
      </c>
      <c r="O96" s="1437">
        <v>4.4314926507499361</v>
      </c>
      <c r="P96" s="1437">
        <v>4.5233172398050625</v>
      </c>
      <c r="Q96" s="1437">
        <v>4.6171082485581847</v>
      </c>
      <c r="R96" s="1437">
        <v>4.7129098484750953</v>
      </c>
      <c r="S96" s="1437">
        <v>4.8107669237440494</v>
      </c>
      <c r="T96" s="1437">
        <v>4.9107252088351103</v>
      </c>
      <c r="U96" s="1437">
        <v>5.0128321214586329</v>
      </c>
      <c r="V96" s="1437">
        <v>5.1171355813346544</v>
      </c>
      <c r="W96" s="1437">
        <v>5.2235412645314065</v>
      </c>
      <c r="X96" s="1437">
        <v>5.3278698094195942</v>
      </c>
      <c r="Y96" s="1437">
        <v>5.437302879184216</v>
      </c>
      <c r="Z96" s="1437">
        <v>5.5494358556738899</v>
      </c>
      <c r="AA96" s="1437">
        <v>5.6591650850107289</v>
      </c>
      <c r="AB96" s="1437">
        <v>5.7767529252478909</v>
      </c>
      <c r="AC96" s="1437">
        <v>5.9031617887062797</v>
      </c>
      <c r="AD96" s="1437">
        <v>6.0208112216689456</v>
      </c>
      <c r="AE96" s="1437">
        <f t="shared" si="15"/>
        <v>6.0208112216689456</v>
      </c>
      <c r="AF96" s="1437">
        <f t="shared" si="15"/>
        <v>6.0208112216689456</v>
      </c>
      <c r="AG96" s="1437">
        <f t="shared" si="15"/>
        <v>6.0208112216689456</v>
      </c>
      <c r="AH96" s="1437">
        <f t="shared" si="15"/>
        <v>6.0208112216689456</v>
      </c>
      <c r="AI96" s="1437">
        <f t="shared" si="15"/>
        <v>6.0208112216689456</v>
      </c>
      <c r="AJ96" s="1437">
        <f t="shared" si="15"/>
        <v>6.0208112216689456</v>
      </c>
      <c r="AK96" s="1437">
        <f t="shared" si="15"/>
        <v>6.0208112216689456</v>
      </c>
      <c r="AL96" s="1437">
        <f t="shared" si="15"/>
        <v>6.0208112216689456</v>
      </c>
      <c r="AM96" s="1437">
        <f t="shared" si="15"/>
        <v>6.0208112216689456</v>
      </c>
      <c r="AN96" s="1437">
        <f t="shared" si="15"/>
        <v>6.0208112216689456</v>
      </c>
      <c r="AO96" s="1437">
        <f t="shared" si="15"/>
        <v>6.0208112216689456</v>
      </c>
      <c r="AP96" s="1437">
        <f t="shared" si="15"/>
        <v>6.0208112216689456</v>
      </c>
      <c r="AQ96" s="1437">
        <f t="shared" si="15"/>
        <v>6.0208112216689456</v>
      </c>
      <c r="AR96" s="1437">
        <f t="shared" si="15"/>
        <v>6.0208112216689456</v>
      </c>
      <c r="AS96" s="1437">
        <f t="shared" si="15"/>
        <v>6.0208112216689456</v>
      </c>
      <c r="AT96" s="1437">
        <f t="shared" si="15"/>
        <v>6.0208112216689456</v>
      </c>
      <c r="AU96" s="1437">
        <f t="shared" si="14"/>
        <v>6.0208112216689456</v>
      </c>
      <c r="AV96" s="1437">
        <f t="shared" si="14"/>
        <v>6.0208112216689456</v>
      </c>
      <c r="AW96" s="1437">
        <f t="shared" si="14"/>
        <v>6.0208112216689456</v>
      </c>
      <c r="AX96" s="1437">
        <f t="shared" si="14"/>
        <v>6.0208112216689456</v>
      </c>
      <c r="AY96" s="1437">
        <f t="shared" si="14"/>
        <v>6.0208112216689456</v>
      </c>
      <c r="AZ96" s="1437">
        <f t="shared" si="14"/>
        <v>6.0208112216689456</v>
      </c>
      <c r="BA96" s="1437">
        <f t="shared" si="14"/>
        <v>6.0208112216689456</v>
      </c>
      <c r="BB96" s="1437">
        <f t="shared" si="14"/>
        <v>6.0208112216689456</v>
      </c>
      <c r="BC96" s="1437">
        <f t="shared" si="14"/>
        <v>6.0208112216689456</v>
      </c>
      <c r="BD96" s="1437">
        <f t="shared" si="14"/>
        <v>6.0208112216689456</v>
      </c>
      <c r="BE96" s="1437">
        <f t="shared" si="14"/>
        <v>6.0208112216689456</v>
      </c>
      <c r="BF96" s="1437">
        <f t="shared" si="14"/>
        <v>6.0208112216689456</v>
      </c>
      <c r="BG96" s="1437">
        <f t="shared" si="14"/>
        <v>6.0208112216689456</v>
      </c>
      <c r="BH96" s="1437">
        <f t="shared" si="14"/>
        <v>6.0208112216689456</v>
      </c>
      <c r="BI96" s="1437">
        <f t="shared" si="14"/>
        <v>6.0208112216689456</v>
      </c>
      <c r="BJ96" s="1437">
        <f t="shared" si="16"/>
        <v>6.0208112216689456</v>
      </c>
      <c r="BK96" s="1437">
        <f t="shared" si="16"/>
        <v>6.0208112216689456</v>
      </c>
      <c r="BL96" s="1437">
        <f t="shared" si="16"/>
        <v>6.0208112216689456</v>
      </c>
      <c r="BM96" s="1437">
        <f t="shared" si="16"/>
        <v>6.0208112216689456</v>
      </c>
      <c r="BN96" s="1438">
        <f t="shared" si="16"/>
        <v>6.0208112216689456</v>
      </c>
    </row>
    <row r="97" spans="1:66" s="91" customFormat="1">
      <c r="A97" s="1439">
        <v>130</v>
      </c>
      <c r="B97" s="1440">
        <v>0</v>
      </c>
      <c r="C97" s="1441" t="s">
        <v>176</v>
      </c>
      <c r="D97" s="1440" t="s">
        <v>177</v>
      </c>
      <c r="E97" s="1442">
        <v>3.1725374049585304</v>
      </c>
      <c r="F97" s="1442">
        <v>3.747581344007993</v>
      </c>
      <c r="G97" s="1442">
        <v>3.9475372174770804</v>
      </c>
      <c r="H97" s="1442">
        <v>3.9588339071894945</v>
      </c>
      <c r="I97" s="1442">
        <v>4.0244553174792852</v>
      </c>
      <c r="J97" s="1442">
        <v>4.0903279376074808</v>
      </c>
      <c r="K97" s="1442">
        <v>4.1808243593291898</v>
      </c>
      <c r="L97" s="1442">
        <v>4.2779964465094427</v>
      </c>
      <c r="M97" s="1442">
        <v>4.3786636793500806</v>
      </c>
      <c r="N97" s="1442">
        <v>4.4814299250083005</v>
      </c>
      <c r="O97" s="1442">
        <v>4.5845710254333785</v>
      </c>
      <c r="P97" s="1442">
        <v>4.6946051947539296</v>
      </c>
      <c r="Q97" s="1442">
        <v>4.8073066152780033</v>
      </c>
      <c r="R97" s="1442">
        <v>4.9227410672681167</v>
      </c>
      <c r="S97" s="1442">
        <v>5.0409755645572849</v>
      </c>
      <c r="T97" s="1442">
        <v>5.1620785309070456</v>
      </c>
      <c r="U97" s="1442">
        <v>5.2861208675221683</v>
      </c>
      <c r="V97" s="1442">
        <v>5.4131744630598</v>
      </c>
      <c r="W97" s="1442">
        <v>5.5431285691447822</v>
      </c>
      <c r="X97" s="1442">
        <v>5.6705958960564553</v>
      </c>
      <c r="Y97" s="1442">
        <v>5.8048305562800699</v>
      </c>
      <c r="Z97" s="1442">
        <v>5.9427554558723523</v>
      </c>
      <c r="AA97" s="1442">
        <v>6.0777238268199554</v>
      </c>
      <c r="AB97" s="1442">
        <v>6.2231214134790047</v>
      </c>
      <c r="AC97" s="1442">
        <v>6.3803041261258331</v>
      </c>
      <c r="AD97" s="1442">
        <v>6.5261666238993667</v>
      </c>
      <c r="AE97" s="1442">
        <f t="shared" si="15"/>
        <v>6.5261666238993667</v>
      </c>
      <c r="AF97" s="1442">
        <f t="shared" si="15"/>
        <v>6.5261666238993667</v>
      </c>
      <c r="AG97" s="1442">
        <f t="shared" si="15"/>
        <v>6.5261666238993667</v>
      </c>
      <c r="AH97" s="1442">
        <f t="shared" si="15"/>
        <v>6.5261666238993667</v>
      </c>
      <c r="AI97" s="1442">
        <f t="shared" si="15"/>
        <v>6.5261666238993667</v>
      </c>
      <c r="AJ97" s="1442">
        <f t="shared" si="15"/>
        <v>6.5261666238993667</v>
      </c>
      <c r="AK97" s="1442">
        <f t="shared" si="15"/>
        <v>6.5261666238993667</v>
      </c>
      <c r="AL97" s="1442">
        <f t="shared" si="15"/>
        <v>6.5261666238993667</v>
      </c>
      <c r="AM97" s="1442">
        <f t="shared" si="15"/>
        <v>6.5261666238993667</v>
      </c>
      <c r="AN97" s="1442">
        <f t="shared" si="15"/>
        <v>6.5261666238993667</v>
      </c>
      <c r="AO97" s="1442">
        <f t="shared" si="15"/>
        <v>6.5261666238993667</v>
      </c>
      <c r="AP97" s="1442">
        <f t="shared" si="15"/>
        <v>6.5261666238993667</v>
      </c>
      <c r="AQ97" s="1442">
        <f t="shared" si="15"/>
        <v>6.5261666238993667</v>
      </c>
      <c r="AR97" s="1442">
        <f t="shared" si="15"/>
        <v>6.5261666238993667</v>
      </c>
      <c r="AS97" s="1442">
        <f t="shared" si="15"/>
        <v>6.5261666238993667</v>
      </c>
      <c r="AT97" s="1442">
        <f t="shared" si="15"/>
        <v>6.5261666238993667</v>
      </c>
      <c r="AU97" s="1442">
        <f t="shared" si="14"/>
        <v>6.5261666238993667</v>
      </c>
      <c r="AV97" s="1442">
        <f t="shared" si="14"/>
        <v>6.5261666238993667</v>
      </c>
      <c r="AW97" s="1442">
        <f t="shared" si="14"/>
        <v>6.5261666238993667</v>
      </c>
      <c r="AX97" s="1442">
        <f t="shared" si="14"/>
        <v>6.5261666238993667</v>
      </c>
      <c r="AY97" s="1442">
        <f t="shared" si="14"/>
        <v>6.5261666238993667</v>
      </c>
      <c r="AZ97" s="1442">
        <f t="shared" si="14"/>
        <v>6.5261666238993667</v>
      </c>
      <c r="BA97" s="1442">
        <f t="shared" si="14"/>
        <v>6.5261666238993667</v>
      </c>
      <c r="BB97" s="1442">
        <f t="shared" si="14"/>
        <v>6.5261666238993667</v>
      </c>
      <c r="BC97" s="1442">
        <f t="shared" si="14"/>
        <v>6.5261666238993667</v>
      </c>
      <c r="BD97" s="1442">
        <f t="shared" si="14"/>
        <v>6.5261666238993667</v>
      </c>
      <c r="BE97" s="1442">
        <f t="shared" si="14"/>
        <v>6.5261666238993667</v>
      </c>
      <c r="BF97" s="1442">
        <f t="shared" si="14"/>
        <v>6.5261666238993667</v>
      </c>
      <c r="BG97" s="1442">
        <f t="shared" si="14"/>
        <v>6.5261666238993667</v>
      </c>
      <c r="BH97" s="1442">
        <f t="shared" si="14"/>
        <v>6.5261666238993667</v>
      </c>
      <c r="BI97" s="1442">
        <f t="shared" si="14"/>
        <v>6.5261666238993667</v>
      </c>
      <c r="BJ97" s="1442">
        <f t="shared" si="16"/>
        <v>6.5261666238993667</v>
      </c>
      <c r="BK97" s="1442">
        <f t="shared" si="16"/>
        <v>6.5261666238993667</v>
      </c>
      <c r="BL97" s="1442">
        <f t="shared" si="16"/>
        <v>6.5261666238993667</v>
      </c>
      <c r="BM97" s="1442">
        <f t="shared" si="16"/>
        <v>6.5261666238993667</v>
      </c>
      <c r="BN97" s="1443">
        <f t="shared" si="16"/>
        <v>6.5261666238993667</v>
      </c>
    </row>
    <row r="98" spans="1:66" s="91" customFormat="1">
      <c r="A98" s="1434">
        <v>131</v>
      </c>
      <c r="B98" s="1435">
        <v>0</v>
      </c>
      <c r="C98" s="1436" t="s">
        <v>178</v>
      </c>
      <c r="D98" s="1435" t="s">
        <v>179</v>
      </c>
      <c r="E98" s="1437">
        <v>3.6887696180108329</v>
      </c>
      <c r="F98" s="1437">
        <v>4.2509993913308151</v>
      </c>
      <c r="G98" s="1437">
        <v>4.4431546803354465</v>
      </c>
      <c r="H98" s="1437">
        <v>4.4546258370194511</v>
      </c>
      <c r="I98" s="1437">
        <v>4.5178709109746062</v>
      </c>
      <c r="J98" s="1437">
        <v>4.5812642522133391</v>
      </c>
      <c r="K98" s="1437">
        <v>4.6678776399553215</v>
      </c>
      <c r="L98" s="1437">
        <v>4.7605733386248925</v>
      </c>
      <c r="M98" s="1437">
        <v>4.8563091461485586</v>
      </c>
      <c r="N98" s="1437">
        <v>4.9537562611933019</v>
      </c>
      <c r="O98" s="1437">
        <v>5.0512998334224619</v>
      </c>
      <c r="P98" s="1437">
        <v>5.1550038253639494</v>
      </c>
      <c r="Q98" s="1437">
        <v>5.2609018889601975</v>
      </c>
      <c r="R98" s="1437">
        <v>5.3690426049872331</v>
      </c>
      <c r="S98" s="1437">
        <v>5.4794752992161344</v>
      </c>
      <c r="T98" s="1437">
        <v>5.5922501999120309</v>
      </c>
      <c r="U98" s="1437">
        <v>5.7074194042132991</v>
      </c>
      <c r="V98" s="1437">
        <v>5.8250355013322226</v>
      </c>
      <c r="W98" s="1437">
        <v>5.9449855141671115</v>
      </c>
      <c r="X98" s="1437">
        <v>6.0624042551285271</v>
      </c>
      <c r="Y98" s="1437">
        <v>6.1856426847205279</v>
      </c>
      <c r="Z98" s="1437">
        <v>6.3118999656155728</v>
      </c>
      <c r="AA98" s="1437">
        <v>6.4352353731897756</v>
      </c>
      <c r="AB98" s="1437">
        <v>6.5675833119597051</v>
      </c>
      <c r="AC98" s="1437">
        <v>6.710059472428779</v>
      </c>
      <c r="AD98" s="1437">
        <v>6.8422085642437702</v>
      </c>
      <c r="AE98" s="1437">
        <f t="shared" si="15"/>
        <v>6.8422085642437702</v>
      </c>
      <c r="AF98" s="1437">
        <f t="shared" si="15"/>
        <v>6.8422085642437702</v>
      </c>
      <c r="AG98" s="1437">
        <f t="shared" si="15"/>
        <v>6.8422085642437702</v>
      </c>
      <c r="AH98" s="1437">
        <f t="shared" si="15"/>
        <v>6.8422085642437702</v>
      </c>
      <c r="AI98" s="1437">
        <f t="shared" si="15"/>
        <v>6.8422085642437702</v>
      </c>
      <c r="AJ98" s="1437">
        <f t="shared" si="15"/>
        <v>6.8422085642437702</v>
      </c>
      <c r="AK98" s="1437">
        <f t="shared" si="15"/>
        <v>6.8422085642437702</v>
      </c>
      <c r="AL98" s="1437">
        <f t="shared" si="15"/>
        <v>6.8422085642437702</v>
      </c>
      <c r="AM98" s="1437">
        <f t="shared" si="15"/>
        <v>6.8422085642437702</v>
      </c>
      <c r="AN98" s="1437">
        <f t="shared" si="15"/>
        <v>6.8422085642437702</v>
      </c>
      <c r="AO98" s="1437">
        <f t="shared" si="15"/>
        <v>6.8422085642437702</v>
      </c>
      <c r="AP98" s="1437">
        <f t="shared" si="15"/>
        <v>6.8422085642437702</v>
      </c>
      <c r="AQ98" s="1437">
        <f t="shared" si="15"/>
        <v>6.8422085642437702</v>
      </c>
      <c r="AR98" s="1437">
        <f t="shared" si="15"/>
        <v>6.8422085642437702</v>
      </c>
      <c r="AS98" s="1437">
        <f t="shared" si="15"/>
        <v>6.8422085642437702</v>
      </c>
      <c r="AT98" s="1437">
        <f t="shared" si="15"/>
        <v>6.8422085642437702</v>
      </c>
      <c r="AU98" s="1437">
        <f t="shared" si="14"/>
        <v>6.8422085642437702</v>
      </c>
      <c r="AV98" s="1437">
        <f t="shared" si="14"/>
        <v>6.8422085642437702</v>
      </c>
      <c r="AW98" s="1437">
        <f t="shared" si="14"/>
        <v>6.8422085642437702</v>
      </c>
      <c r="AX98" s="1437">
        <f t="shared" si="14"/>
        <v>6.8422085642437702</v>
      </c>
      <c r="AY98" s="1437">
        <f t="shared" si="14"/>
        <v>6.8422085642437702</v>
      </c>
      <c r="AZ98" s="1437">
        <f t="shared" si="14"/>
        <v>6.8422085642437702</v>
      </c>
      <c r="BA98" s="1437">
        <f t="shared" si="14"/>
        <v>6.8422085642437702</v>
      </c>
      <c r="BB98" s="1437">
        <f t="shared" si="14"/>
        <v>6.8422085642437702</v>
      </c>
      <c r="BC98" s="1437">
        <f t="shared" si="14"/>
        <v>6.8422085642437702</v>
      </c>
      <c r="BD98" s="1437">
        <f t="shared" si="14"/>
        <v>6.8422085642437702</v>
      </c>
      <c r="BE98" s="1437">
        <f t="shared" si="14"/>
        <v>6.8422085642437702</v>
      </c>
      <c r="BF98" s="1437">
        <f t="shared" si="14"/>
        <v>6.8422085642437702</v>
      </c>
      <c r="BG98" s="1437">
        <f t="shared" si="14"/>
        <v>6.8422085642437702</v>
      </c>
      <c r="BH98" s="1437">
        <f t="shared" si="14"/>
        <v>6.8422085642437702</v>
      </c>
      <c r="BI98" s="1437">
        <f t="shared" si="14"/>
        <v>6.8422085642437702</v>
      </c>
      <c r="BJ98" s="1437">
        <f t="shared" si="16"/>
        <v>6.8422085642437702</v>
      </c>
      <c r="BK98" s="1437">
        <f t="shared" si="16"/>
        <v>6.8422085642437702</v>
      </c>
      <c r="BL98" s="1437">
        <f t="shared" si="16"/>
        <v>6.8422085642437702</v>
      </c>
      <c r="BM98" s="1437">
        <f t="shared" si="16"/>
        <v>6.8422085642437702</v>
      </c>
      <c r="BN98" s="1438">
        <f t="shared" si="16"/>
        <v>6.8422085642437702</v>
      </c>
    </row>
    <row r="99" spans="1:66" s="91" customFormat="1">
      <c r="A99" s="1439">
        <v>132</v>
      </c>
      <c r="B99" s="1440">
        <v>0</v>
      </c>
      <c r="C99" s="1441" t="s">
        <v>180</v>
      </c>
      <c r="D99" s="1440" t="s">
        <v>181</v>
      </c>
      <c r="E99" s="1442">
        <v>6.2787934342986622</v>
      </c>
      <c r="F99" s="1442">
        <v>7.0082275893700476</v>
      </c>
      <c r="G99" s="1442">
        <v>7.248556720088196</v>
      </c>
      <c r="H99" s="1442">
        <v>7.2590807809295015</v>
      </c>
      <c r="I99" s="1442">
        <v>7.3348348967209454</v>
      </c>
      <c r="J99" s="1442">
        <v>7.4104674804041855</v>
      </c>
      <c r="K99" s="1442">
        <v>7.5148545323303901</v>
      </c>
      <c r="L99" s="1442">
        <v>7.626299105167778</v>
      </c>
      <c r="M99" s="1442">
        <v>7.7409405498359458</v>
      </c>
      <c r="N99" s="1442">
        <v>7.8571028444954454</v>
      </c>
      <c r="O99" s="1442">
        <v>7.972791329660863</v>
      </c>
      <c r="P99" s="1442">
        <v>8.0954238642481346</v>
      </c>
      <c r="Q99" s="1442">
        <v>8.2200900552301679</v>
      </c>
      <c r="R99" s="1442">
        <v>8.3468280974259574</v>
      </c>
      <c r="S99" s="1442">
        <v>8.4756765440662782</v>
      </c>
      <c r="T99" s="1442">
        <v>8.6066744936694786</v>
      </c>
      <c r="U99" s="1442">
        <v>8.739862734938411</v>
      </c>
      <c r="V99" s="1442">
        <v>8.8752820818478</v>
      </c>
      <c r="W99" s="1442">
        <v>9.0127776121058982</v>
      </c>
      <c r="X99" s="1442">
        <v>9.1466222173397238</v>
      </c>
      <c r="Y99" s="1442">
        <v>9.2866310981048201</v>
      </c>
      <c r="Z99" s="1442">
        <v>9.4294724470894931</v>
      </c>
      <c r="AA99" s="1442">
        <v>9.5682472762116646</v>
      </c>
      <c r="AB99" s="1442">
        <v>9.7167625867280609</v>
      </c>
      <c r="AC99" s="1442">
        <v>9.8761662936179615</v>
      </c>
      <c r="AD99" s="1442">
        <v>10.023004534120448</v>
      </c>
      <c r="AE99" s="1442">
        <f t="shared" si="15"/>
        <v>10.023004534120448</v>
      </c>
      <c r="AF99" s="1442">
        <f t="shared" si="15"/>
        <v>10.023004534120448</v>
      </c>
      <c r="AG99" s="1442">
        <f t="shared" si="15"/>
        <v>10.023004534120448</v>
      </c>
      <c r="AH99" s="1442">
        <f t="shared" si="15"/>
        <v>10.023004534120448</v>
      </c>
      <c r="AI99" s="1442">
        <f t="shared" si="15"/>
        <v>10.023004534120448</v>
      </c>
      <c r="AJ99" s="1442">
        <f t="shared" si="15"/>
        <v>10.023004534120448</v>
      </c>
      <c r="AK99" s="1442">
        <f t="shared" si="15"/>
        <v>10.023004534120448</v>
      </c>
      <c r="AL99" s="1442">
        <f t="shared" si="15"/>
        <v>10.023004534120448</v>
      </c>
      <c r="AM99" s="1442">
        <f t="shared" si="15"/>
        <v>10.023004534120448</v>
      </c>
      <c r="AN99" s="1442">
        <f t="shared" si="15"/>
        <v>10.023004534120448</v>
      </c>
      <c r="AO99" s="1442">
        <f t="shared" si="15"/>
        <v>10.023004534120448</v>
      </c>
      <c r="AP99" s="1442">
        <f t="shared" si="15"/>
        <v>10.023004534120448</v>
      </c>
      <c r="AQ99" s="1442">
        <f t="shared" si="15"/>
        <v>10.023004534120448</v>
      </c>
      <c r="AR99" s="1442">
        <f t="shared" si="15"/>
        <v>10.023004534120448</v>
      </c>
      <c r="AS99" s="1442">
        <f t="shared" si="15"/>
        <v>10.023004534120448</v>
      </c>
      <c r="AT99" s="1442">
        <f t="shared" si="15"/>
        <v>10.023004534120448</v>
      </c>
      <c r="AU99" s="1442">
        <f t="shared" si="14"/>
        <v>10.023004534120448</v>
      </c>
      <c r="AV99" s="1442">
        <f t="shared" si="14"/>
        <v>10.023004534120448</v>
      </c>
      <c r="AW99" s="1442">
        <f t="shared" si="14"/>
        <v>10.023004534120448</v>
      </c>
      <c r="AX99" s="1442">
        <f t="shared" si="14"/>
        <v>10.023004534120448</v>
      </c>
      <c r="AY99" s="1442">
        <f t="shared" si="14"/>
        <v>10.023004534120448</v>
      </c>
      <c r="AZ99" s="1442">
        <f t="shared" si="14"/>
        <v>10.023004534120448</v>
      </c>
      <c r="BA99" s="1442">
        <f t="shared" si="14"/>
        <v>10.023004534120448</v>
      </c>
      <c r="BB99" s="1442">
        <f t="shared" si="14"/>
        <v>10.023004534120448</v>
      </c>
      <c r="BC99" s="1442">
        <f t="shared" si="14"/>
        <v>10.023004534120448</v>
      </c>
      <c r="BD99" s="1442">
        <f t="shared" si="14"/>
        <v>10.023004534120448</v>
      </c>
      <c r="BE99" s="1442">
        <f t="shared" si="14"/>
        <v>10.023004534120448</v>
      </c>
      <c r="BF99" s="1442">
        <f t="shared" si="14"/>
        <v>10.023004534120448</v>
      </c>
      <c r="BG99" s="1442">
        <f t="shared" si="14"/>
        <v>10.023004534120448</v>
      </c>
      <c r="BH99" s="1442">
        <f t="shared" si="14"/>
        <v>10.023004534120448</v>
      </c>
      <c r="BI99" s="1442">
        <f t="shared" si="14"/>
        <v>10.023004534120448</v>
      </c>
      <c r="BJ99" s="1442">
        <f t="shared" si="16"/>
        <v>10.023004534120448</v>
      </c>
      <c r="BK99" s="1442">
        <f t="shared" si="16"/>
        <v>10.023004534120448</v>
      </c>
      <c r="BL99" s="1442">
        <f t="shared" si="16"/>
        <v>10.023004534120448</v>
      </c>
      <c r="BM99" s="1442">
        <f t="shared" si="16"/>
        <v>10.023004534120448</v>
      </c>
      <c r="BN99" s="1443">
        <f t="shared" si="16"/>
        <v>10.023004534120448</v>
      </c>
    </row>
    <row r="100" spans="1:66" s="91" customFormat="1">
      <c r="A100" s="1434">
        <v>37</v>
      </c>
      <c r="B100" s="1435">
        <v>0</v>
      </c>
      <c r="C100" s="1436" t="s">
        <v>69</v>
      </c>
      <c r="D100" s="1435" t="s">
        <v>86</v>
      </c>
      <c r="E100" s="1437">
        <v>2.8811308693621127</v>
      </c>
      <c r="F100" s="1437">
        <v>3.3057143808743987</v>
      </c>
      <c r="G100" s="1437">
        <v>3.4532795968655883</v>
      </c>
      <c r="H100" s="1437">
        <v>3.4656521217788527</v>
      </c>
      <c r="I100" s="1437">
        <v>3.5169083173627675</v>
      </c>
      <c r="J100" s="1437">
        <v>3.5683924202906381</v>
      </c>
      <c r="K100" s="1437">
        <v>3.6373849257951951</v>
      </c>
      <c r="L100" s="1437">
        <v>3.7110560846740328</v>
      </c>
      <c r="M100" s="1437">
        <v>3.7871315050990462</v>
      </c>
      <c r="N100" s="1437">
        <v>3.8646199637383241</v>
      </c>
      <c r="O100" s="1437">
        <v>3.9423161482899882</v>
      </c>
      <c r="P100" s="1437">
        <v>4.0247650396802257</v>
      </c>
      <c r="Q100" s="1437">
        <v>4.1090006787815909</v>
      </c>
      <c r="R100" s="1437">
        <v>4.195063757056702</v>
      </c>
      <c r="S100" s="1437">
        <v>4.2829956532198397</v>
      </c>
      <c r="T100" s="1437">
        <v>4.3728385550591078</v>
      </c>
      <c r="U100" s="1437">
        <v>4.4646361870939817</v>
      </c>
      <c r="V100" s="1437">
        <v>4.5584327836953298</v>
      </c>
      <c r="W100" s="1437">
        <v>4.6541487427556492</v>
      </c>
      <c r="X100" s="1437">
        <v>4.7481459837954265</v>
      </c>
      <c r="Y100" s="1437">
        <v>4.8466833140069214</v>
      </c>
      <c r="Z100" s="1437">
        <v>4.9476688271856544</v>
      </c>
      <c r="AA100" s="1437">
        <v>5.0466595190094212</v>
      </c>
      <c r="AB100" s="1437">
        <v>5.1525981018999829</v>
      </c>
      <c r="AC100" s="1437">
        <v>5.2663260149347551</v>
      </c>
      <c r="AD100" s="1437">
        <v>5.3725317399144643</v>
      </c>
      <c r="AE100" s="1437">
        <f t="shared" si="15"/>
        <v>5.3725317399144643</v>
      </c>
      <c r="AF100" s="1437">
        <f t="shared" si="15"/>
        <v>5.3725317399144643</v>
      </c>
      <c r="AG100" s="1437">
        <f t="shared" si="15"/>
        <v>5.3725317399144643</v>
      </c>
      <c r="AH100" s="1437">
        <f t="shared" si="15"/>
        <v>5.3725317399144643</v>
      </c>
      <c r="AI100" s="1437">
        <f t="shared" si="15"/>
        <v>5.3725317399144643</v>
      </c>
      <c r="AJ100" s="1437">
        <f t="shared" si="15"/>
        <v>5.3725317399144643</v>
      </c>
      <c r="AK100" s="1437">
        <f t="shared" si="15"/>
        <v>5.3725317399144643</v>
      </c>
      <c r="AL100" s="1437">
        <f t="shared" si="15"/>
        <v>5.3725317399144643</v>
      </c>
      <c r="AM100" s="1437">
        <f t="shared" si="15"/>
        <v>5.3725317399144643</v>
      </c>
      <c r="AN100" s="1437">
        <f t="shared" si="15"/>
        <v>5.3725317399144643</v>
      </c>
      <c r="AO100" s="1437">
        <f t="shared" si="15"/>
        <v>5.3725317399144643</v>
      </c>
      <c r="AP100" s="1437">
        <f t="shared" si="15"/>
        <v>5.3725317399144643</v>
      </c>
      <c r="AQ100" s="1437">
        <f t="shared" si="15"/>
        <v>5.3725317399144643</v>
      </c>
      <c r="AR100" s="1437">
        <f t="shared" si="15"/>
        <v>5.3725317399144643</v>
      </c>
      <c r="AS100" s="1437">
        <f t="shared" si="15"/>
        <v>5.3725317399144643</v>
      </c>
      <c r="AT100" s="1437">
        <f t="shared" si="15"/>
        <v>5.3725317399144643</v>
      </c>
      <c r="AU100" s="1437">
        <f t="shared" si="14"/>
        <v>5.3725317399144643</v>
      </c>
      <c r="AV100" s="1437">
        <f t="shared" si="14"/>
        <v>5.3725317399144643</v>
      </c>
      <c r="AW100" s="1437">
        <f t="shared" si="14"/>
        <v>5.3725317399144643</v>
      </c>
      <c r="AX100" s="1437">
        <f t="shared" si="14"/>
        <v>5.3725317399144643</v>
      </c>
      <c r="AY100" s="1437">
        <f t="shared" si="14"/>
        <v>5.3725317399144643</v>
      </c>
      <c r="AZ100" s="1437">
        <f t="shared" si="14"/>
        <v>5.3725317399144643</v>
      </c>
      <c r="BA100" s="1437">
        <f t="shared" si="14"/>
        <v>5.3725317399144643</v>
      </c>
      <c r="BB100" s="1437">
        <f t="shared" si="14"/>
        <v>5.3725317399144643</v>
      </c>
      <c r="BC100" s="1437">
        <f t="shared" si="14"/>
        <v>5.3725317399144643</v>
      </c>
      <c r="BD100" s="1437">
        <f t="shared" si="14"/>
        <v>5.3725317399144643</v>
      </c>
      <c r="BE100" s="1437">
        <f t="shared" si="14"/>
        <v>5.3725317399144643</v>
      </c>
      <c r="BF100" s="1437">
        <f t="shared" si="14"/>
        <v>5.3725317399144643</v>
      </c>
      <c r="BG100" s="1437">
        <f t="shared" si="14"/>
        <v>5.3725317399144643</v>
      </c>
      <c r="BH100" s="1437">
        <f t="shared" si="14"/>
        <v>5.3725317399144643</v>
      </c>
      <c r="BI100" s="1437">
        <f t="shared" si="14"/>
        <v>5.3725317399144643</v>
      </c>
      <c r="BJ100" s="1437">
        <f t="shared" si="16"/>
        <v>5.3725317399144643</v>
      </c>
      <c r="BK100" s="1437">
        <f t="shared" si="16"/>
        <v>5.3725317399144643</v>
      </c>
      <c r="BL100" s="1437">
        <f t="shared" si="16"/>
        <v>5.3725317399144643</v>
      </c>
      <c r="BM100" s="1437">
        <f t="shared" si="16"/>
        <v>5.3725317399144643</v>
      </c>
      <c r="BN100" s="1438">
        <f t="shared" si="16"/>
        <v>5.3725317399144643</v>
      </c>
    </row>
    <row r="101" spans="1:66" s="91" customFormat="1">
      <c r="A101" s="1439">
        <v>133</v>
      </c>
      <c r="B101" s="1440">
        <v>0</v>
      </c>
      <c r="C101" s="1441" t="s">
        <v>182</v>
      </c>
      <c r="D101" s="1440" t="s">
        <v>1034</v>
      </c>
      <c r="E101" s="1442">
        <v>2.6551872277966839</v>
      </c>
      <c r="F101" s="1442">
        <v>3.1224832058686216</v>
      </c>
      <c r="G101" s="1442">
        <v>3.2868240966699549</v>
      </c>
      <c r="H101" s="1442">
        <v>3.2988439943120245</v>
      </c>
      <c r="I101" s="1442">
        <v>3.3548353301647462</v>
      </c>
      <c r="J101" s="1442">
        <v>3.4111187308488184</v>
      </c>
      <c r="K101" s="1442">
        <v>3.4873851625443617</v>
      </c>
      <c r="L101" s="1442">
        <v>3.5691384112625424</v>
      </c>
      <c r="M101" s="1442">
        <v>3.6538119974574412</v>
      </c>
      <c r="N101" s="1442">
        <v>3.7402810266587672</v>
      </c>
      <c r="O101" s="1442">
        <v>3.8271557774647453</v>
      </c>
      <c r="P101" s="1442">
        <v>3.9197045120745102</v>
      </c>
      <c r="Q101" s="1442">
        <v>4.0145168849374322</v>
      </c>
      <c r="R101" s="1442">
        <v>4.1116492906592335</v>
      </c>
      <c r="S101" s="1442">
        <v>4.2111592178865571</v>
      </c>
      <c r="T101" s="1442">
        <v>4.3131053947023483</v>
      </c>
      <c r="U101" s="1442">
        <v>4.4175486538963149</v>
      </c>
      <c r="V101" s="1442">
        <v>4.5245507325726093</v>
      </c>
      <c r="W101" s="1442">
        <v>4.6340259638166303</v>
      </c>
      <c r="X101" s="1442">
        <v>4.7416270426335583</v>
      </c>
      <c r="Y101" s="1442">
        <v>4.8548324203107942</v>
      </c>
      <c r="Z101" s="1442">
        <v>4.9711608830034164</v>
      </c>
      <c r="AA101" s="1442">
        <v>5.0852484007868171</v>
      </c>
      <c r="AB101" s="1442">
        <v>5.2079104480425524</v>
      </c>
      <c r="AC101" s="1442">
        <v>5.3402464274736552</v>
      </c>
      <c r="AD101" s="1442">
        <v>5.4636003299453852</v>
      </c>
      <c r="AE101" s="1442">
        <f t="shared" si="15"/>
        <v>5.4636003299453852</v>
      </c>
      <c r="AF101" s="1442">
        <f t="shared" si="15"/>
        <v>5.4636003299453852</v>
      </c>
      <c r="AG101" s="1442">
        <f t="shared" si="15"/>
        <v>5.4636003299453852</v>
      </c>
      <c r="AH101" s="1442">
        <f t="shared" si="15"/>
        <v>5.4636003299453852</v>
      </c>
      <c r="AI101" s="1442">
        <f t="shared" si="15"/>
        <v>5.4636003299453852</v>
      </c>
      <c r="AJ101" s="1442">
        <f t="shared" si="15"/>
        <v>5.4636003299453852</v>
      </c>
      <c r="AK101" s="1442">
        <f t="shared" si="15"/>
        <v>5.4636003299453852</v>
      </c>
      <c r="AL101" s="1442">
        <f t="shared" si="15"/>
        <v>5.4636003299453852</v>
      </c>
      <c r="AM101" s="1442">
        <f t="shared" si="15"/>
        <v>5.4636003299453852</v>
      </c>
      <c r="AN101" s="1442">
        <f t="shared" si="15"/>
        <v>5.4636003299453852</v>
      </c>
      <c r="AO101" s="1442">
        <f t="shared" si="15"/>
        <v>5.4636003299453852</v>
      </c>
      <c r="AP101" s="1442">
        <f t="shared" si="15"/>
        <v>5.4636003299453852</v>
      </c>
      <c r="AQ101" s="1442">
        <f t="shared" si="15"/>
        <v>5.4636003299453852</v>
      </c>
      <c r="AR101" s="1442">
        <f t="shared" si="15"/>
        <v>5.4636003299453852</v>
      </c>
      <c r="AS101" s="1442">
        <f t="shared" si="15"/>
        <v>5.4636003299453852</v>
      </c>
      <c r="AT101" s="1442">
        <f t="shared" si="15"/>
        <v>5.4636003299453852</v>
      </c>
      <c r="AU101" s="1442">
        <f t="shared" si="14"/>
        <v>5.4636003299453852</v>
      </c>
      <c r="AV101" s="1442">
        <f t="shared" si="14"/>
        <v>5.4636003299453852</v>
      </c>
      <c r="AW101" s="1442">
        <f t="shared" si="14"/>
        <v>5.4636003299453852</v>
      </c>
      <c r="AX101" s="1442">
        <f t="shared" si="14"/>
        <v>5.4636003299453852</v>
      </c>
      <c r="AY101" s="1442">
        <f t="shared" si="14"/>
        <v>5.4636003299453852</v>
      </c>
      <c r="AZ101" s="1442">
        <f t="shared" si="14"/>
        <v>5.4636003299453852</v>
      </c>
      <c r="BA101" s="1442">
        <f t="shared" si="14"/>
        <v>5.4636003299453852</v>
      </c>
      <c r="BB101" s="1442">
        <f t="shared" si="14"/>
        <v>5.4636003299453852</v>
      </c>
      <c r="BC101" s="1442">
        <f t="shared" si="14"/>
        <v>5.4636003299453852</v>
      </c>
      <c r="BD101" s="1442">
        <f t="shared" si="14"/>
        <v>5.4636003299453852</v>
      </c>
      <c r="BE101" s="1442">
        <f t="shared" si="14"/>
        <v>5.4636003299453852</v>
      </c>
      <c r="BF101" s="1442">
        <f t="shared" si="14"/>
        <v>5.4636003299453852</v>
      </c>
      <c r="BG101" s="1442">
        <f t="shared" si="14"/>
        <v>5.4636003299453852</v>
      </c>
      <c r="BH101" s="1442">
        <f t="shared" si="14"/>
        <v>5.4636003299453852</v>
      </c>
      <c r="BI101" s="1442">
        <f t="shared" si="14"/>
        <v>5.4636003299453852</v>
      </c>
      <c r="BJ101" s="1442">
        <f t="shared" si="16"/>
        <v>5.4636003299453852</v>
      </c>
      <c r="BK101" s="1442">
        <f t="shared" si="16"/>
        <v>5.4636003299453852</v>
      </c>
      <c r="BL101" s="1442">
        <f t="shared" si="16"/>
        <v>5.4636003299453852</v>
      </c>
      <c r="BM101" s="1442">
        <f t="shared" si="16"/>
        <v>5.4636003299453852</v>
      </c>
      <c r="BN101" s="1443">
        <f t="shared" si="16"/>
        <v>5.4636003299453852</v>
      </c>
    </row>
    <row r="102" spans="1:66" s="91" customFormat="1">
      <c r="A102" s="1434">
        <v>134</v>
      </c>
      <c r="B102" s="1435">
        <v>0</v>
      </c>
      <c r="C102" s="1436" t="s">
        <v>184</v>
      </c>
      <c r="D102" s="1435" t="s">
        <v>185</v>
      </c>
      <c r="E102" s="1437">
        <v>4.9996696334930775</v>
      </c>
      <c r="F102" s="1437">
        <v>5.5715185436947046</v>
      </c>
      <c r="G102" s="1437">
        <v>5.762118508198844</v>
      </c>
      <c r="H102" s="1437">
        <v>5.7736419353649726</v>
      </c>
      <c r="I102" s="1437">
        <v>5.8361231233667796</v>
      </c>
      <c r="J102" s="1437">
        <v>5.8986120846647339</v>
      </c>
      <c r="K102" s="1437">
        <v>5.9836257797276424</v>
      </c>
      <c r="L102" s="1437">
        <v>6.074250817526246</v>
      </c>
      <c r="M102" s="1437">
        <v>6.167480411139298</v>
      </c>
      <c r="N102" s="1437">
        <v>6.2620111699553078</v>
      </c>
      <c r="O102" s="1437">
        <v>6.3562913705095898</v>
      </c>
      <c r="P102" s="1437">
        <v>6.4561080949039358</v>
      </c>
      <c r="Q102" s="1437">
        <v>6.5576365070625595</v>
      </c>
      <c r="R102" s="1437">
        <v>6.6609101694410704</v>
      </c>
      <c r="S102" s="1437">
        <v>6.7659630374273831</v>
      </c>
      <c r="T102" s="1437">
        <v>6.8728296084486633</v>
      </c>
      <c r="U102" s="1437">
        <v>6.9815458181251797</v>
      </c>
      <c r="V102" s="1437">
        <v>7.0921477457921567</v>
      </c>
      <c r="W102" s="1437">
        <v>7.204518987917055</v>
      </c>
      <c r="X102" s="1437">
        <v>7.3141987804645074</v>
      </c>
      <c r="Y102" s="1437">
        <v>7.428844438719354</v>
      </c>
      <c r="Z102" s="1437">
        <v>7.5458630291772071</v>
      </c>
      <c r="AA102" s="1437">
        <v>7.6598805217844212</v>
      </c>
      <c r="AB102" s="1437">
        <v>7.7816669689354416</v>
      </c>
      <c r="AC102" s="1437">
        <v>7.9121226072580724</v>
      </c>
      <c r="AD102" s="1437">
        <v>8.032966448759371</v>
      </c>
      <c r="AE102" s="1437">
        <f t="shared" si="15"/>
        <v>8.032966448759371</v>
      </c>
      <c r="AF102" s="1437">
        <f t="shared" si="15"/>
        <v>8.032966448759371</v>
      </c>
      <c r="AG102" s="1437">
        <f t="shared" si="15"/>
        <v>8.032966448759371</v>
      </c>
      <c r="AH102" s="1437">
        <f t="shared" si="15"/>
        <v>8.032966448759371</v>
      </c>
      <c r="AI102" s="1437">
        <f t="shared" si="15"/>
        <v>8.032966448759371</v>
      </c>
      <c r="AJ102" s="1437">
        <f t="shared" si="15"/>
        <v>8.032966448759371</v>
      </c>
      <c r="AK102" s="1437">
        <f t="shared" si="15"/>
        <v>8.032966448759371</v>
      </c>
      <c r="AL102" s="1437">
        <f t="shared" si="15"/>
        <v>8.032966448759371</v>
      </c>
      <c r="AM102" s="1437">
        <f t="shared" si="15"/>
        <v>8.032966448759371</v>
      </c>
      <c r="AN102" s="1437">
        <f t="shared" si="15"/>
        <v>8.032966448759371</v>
      </c>
      <c r="AO102" s="1437">
        <f t="shared" si="15"/>
        <v>8.032966448759371</v>
      </c>
      <c r="AP102" s="1437">
        <f t="shared" si="15"/>
        <v>8.032966448759371</v>
      </c>
      <c r="AQ102" s="1437">
        <f t="shared" si="15"/>
        <v>8.032966448759371</v>
      </c>
      <c r="AR102" s="1437">
        <f t="shared" si="15"/>
        <v>8.032966448759371</v>
      </c>
      <c r="AS102" s="1437">
        <f t="shared" si="15"/>
        <v>8.032966448759371</v>
      </c>
      <c r="AT102" s="1437">
        <f t="shared" ref="AT102:BI117" si="17">AS102</f>
        <v>8.032966448759371</v>
      </c>
      <c r="AU102" s="1437">
        <f t="shared" si="17"/>
        <v>8.032966448759371</v>
      </c>
      <c r="AV102" s="1437">
        <f t="shared" si="17"/>
        <v>8.032966448759371</v>
      </c>
      <c r="AW102" s="1437">
        <f t="shared" si="17"/>
        <v>8.032966448759371</v>
      </c>
      <c r="AX102" s="1437">
        <f t="shared" si="17"/>
        <v>8.032966448759371</v>
      </c>
      <c r="AY102" s="1437">
        <f t="shared" si="17"/>
        <v>8.032966448759371</v>
      </c>
      <c r="AZ102" s="1437">
        <f t="shared" si="17"/>
        <v>8.032966448759371</v>
      </c>
      <c r="BA102" s="1437">
        <f t="shared" si="17"/>
        <v>8.032966448759371</v>
      </c>
      <c r="BB102" s="1437">
        <f t="shared" si="17"/>
        <v>8.032966448759371</v>
      </c>
      <c r="BC102" s="1437">
        <f t="shared" si="17"/>
        <v>8.032966448759371</v>
      </c>
      <c r="BD102" s="1437">
        <f t="shared" si="17"/>
        <v>8.032966448759371</v>
      </c>
      <c r="BE102" s="1437">
        <f t="shared" si="17"/>
        <v>8.032966448759371</v>
      </c>
      <c r="BF102" s="1437">
        <f t="shared" si="17"/>
        <v>8.032966448759371</v>
      </c>
      <c r="BG102" s="1437">
        <f t="shared" si="17"/>
        <v>8.032966448759371</v>
      </c>
      <c r="BH102" s="1437">
        <f t="shared" si="17"/>
        <v>8.032966448759371</v>
      </c>
      <c r="BI102" s="1437">
        <f t="shared" si="17"/>
        <v>8.032966448759371</v>
      </c>
      <c r="BJ102" s="1437">
        <f t="shared" si="16"/>
        <v>8.032966448759371</v>
      </c>
      <c r="BK102" s="1437">
        <f t="shared" si="16"/>
        <v>8.032966448759371</v>
      </c>
      <c r="BL102" s="1437">
        <f t="shared" si="16"/>
        <v>8.032966448759371</v>
      </c>
      <c r="BM102" s="1437">
        <f t="shared" si="16"/>
        <v>8.032966448759371</v>
      </c>
      <c r="BN102" s="1438">
        <f t="shared" si="16"/>
        <v>8.032966448759371</v>
      </c>
    </row>
    <row r="103" spans="1:66" s="91" customFormat="1">
      <c r="A103" s="1439">
        <v>38</v>
      </c>
      <c r="B103" s="1440">
        <v>0</v>
      </c>
      <c r="C103" s="1441" t="s">
        <v>69</v>
      </c>
      <c r="D103" s="1440" t="s">
        <v>87</v>
      </c>
      <c r="E103" s="1442">
        <v>3.2266143320361813</v>
      </c>
      <c r="F103" s="1442">
        <v>3.7100787568689695</v>
      </c>
      <c r="G103" s="1442">
        <v>3.8767182592924883</v>
      </c>
      <c r="H103" s="1442">
        <v>3.8887052061022875</v>
      </c>
      <c r="I103" s="1442">
        <v>3.9450898817401923</v>
      </c>
      <c r="J103" s="1442">
        <v>4.0016683971096789</v>
      </c>
      <c r="K103" s="1442">
        <v>4.0781985838125969</v>
      </c>
      <c r="L103" s="1442">
        <v>4.1600078661948947</v>
      </c>
      <c r="M103" s="1442">
        <v>4.2444934063965034</v>
      </c>
      <c r="N103" s="1442">
        <v>4.3305195754128762</v>
      </c>
      <c r="O103" s="1442">
        <v>4.4167058729405806</v>
      </c>
      <c r="P103" s="1442">
        <v>4.5082470543555582</v>
      </c>
      <c r="Q103" s="1442">
        <v>4.601749224361896</v>
      </c>
      <c r="R103" s="1442">
        <v>4.6972564492322038</v>
      </c>
      <c r="S103" s="1442">
        <v>4.7948135071916225</v>
      </c>
      <c r="T103" s="1442">
        <v>4.8944660255014734</v>
      </c>
      <c r="U103" s="1442">
        <v>4.9962613102347113</v>
      </c>
      <c r="V103" s="1442">
        <v>5.100247169711011</v>
      </c>
      <c r="W103" s="1442">
        <v>5.2063297250084171</v>
      </c>
      <c r="X103" s="1442">
        <v>5.3103459762894527</v>
      </c>
      <c r="Y103" s="1442">
        <v>5.4194496907415637</v>
      </c>
      <c r="Z103" s="1442">
        <v>5.5312457028384516</v>
      </c>
      <c r="AA103" s="1442">
        <v>5.6406503287501364</v>
      </c>
      <c r="AB103" s="1442">
        <v>5.7578860364151856</v>
      </c>
      <c r="AC103" s="1442">
        <v>5.8839115813875429</v>
      </c>
      <c r="AD103" s="1442">
        <v>6.0012150951034577</v>
      </c>
      <c r="AE103" s="1442">
        <f t="shared" ref="AE103:AT118" si="18">AD103</f>
        <v>6.0012150951034577</v>
      </c>
      <c r="AF103" s="1442">
        <f t="shared" si="18"/>
        <v>6.0012150951034577</v>
      </c>
      <c r="AG103" s="1442">
        <f t="shared" si="18"/>
        <v>6.0012150951034577</v>
      </c>
      <c r="AH103" s="1442">
        <f t="shared" si="18"/>
        <v>6.0012150951034577</v>
      </c>
      <c r="AI103" s="1442">
        <f t="shared" si="18"/>
        <v>6.0012150951034577</v>
      </c>
      <c r="AJ103" s="1442">
        <f t="shared" si="18"/>
        <v>6.0012150951034577</v>
      </c>
      <c r="AK103" s="1442">
        <f t="shared" si="18"/>
        <v>6.0012150951034577</v>
      </c>
      <c r="AL103" s="1442">
        <f t="shared" si="18"/>
        <v>6.0012150951034577</v>
      </c>
      <c r="AM103" s="1442">
        <f t="shared" si="18"/>
        <v>6.0012150951034577</v>
      </c>
      <c r="AN103" s="1442">
        <f t="shared" si="18"/>
        <v>6.0012150951034577</v>
      </c>
      <c r="AO103" s="1442">
        <f t="shared" si="18"/>
        <v>6.0012150951034577</v>
      </c>
      <c r="AP103" s="1442">
        <f t="shared" si="18"/>
        <v>6.0012150951034577</v>
      </c>
      <c r="AQ103" s="1442">
        <f t="shared" si="18"/>
        <v>6.0012150951034577</v>
      </c>
      <c r="AR103" s="1442">
        <f t="shared" si="18"/>
        <v>6.0012150951034577</v>
      </c>
      <c r="AS103" s="1442">
        <f t="shared" si="18"/>
        <v>6.0012150951034577</v>
      </c>
      <c r="AT103" s="1442">
        <f t="shared" si="18"/>
        <v>6.0012150951034577</v>
      </c>
      <c r="AU103" s="1442">
        <f t="shared" si="17"/>
        <v>6.0012150951034577</v>
      </c>
      <c r="AV103" s="1442">
        <f t="shared" si="17"/>
        <v>6.0012150951034577</v>
      </c>
      <c r="AW103" s="1442">
        <f t="shared" si="17"/>
        <v>6.0012150951034577</v>
      </c>
      <c r="AX103" s="1442">
        <f t="shared" si="17"/>
        <v>6.0012150951034577</v>
      </c>
      <c r="AY103" s="1442">
        <f t="shared" si="17"/>
        <v>6.0012150951034577</v>
      </c>
      <c r="AZ103" s="1442">
        <f t="shared" si="17"/>
        <v>6.0012150951034577</v>
      </c>
      <c r="BA103" s="1442">
        <f t="shared" si="17"/>
        <v>6.0012150951034577</v>
      </c>
      <c r="BB103" s="1442">
        <f t="shared" si="17"/>
        <v>6.0012150951034577</v>
      </c>
      <c r="BC103" s="1442">
        <f t="shared" si="17"/>
        <v>6.0012150951034577</v>
      </c>
      <c r="BD103" s="1442">
        <f t="shared" si="17"/>
        <v>6.0012150951034577</v>
      </c>
      <c r="BE103" s="1442">
        <f t="shared" si="17"/>
        <v>6.0012150951034577</v>
      </c>
      <c r="BF103" s="1442">
        <f t="shared" si="17"/>
        <v>6.0012150951034577</v>
      </c>
      <c r="BG103" s="1442">
        <f t="shared" si="17"/>
        <v>6.0012150951034577</v>
      </c>
      <c r="BH103" s="1442">
        <f t="shared" si="17"/>
        <v>6.0012150951034577</v>
      </c>
      <c r="BI103" s="1442">
        <f t="shared" si="17"/>
        <v>6.0012150951034577</v>
      </c>
      <c r="BJ103" s="1442">
        <f t="shared" ref="BJ103:BN118" si="19">BI103</f>
        <v>6.0012150951034577</v>
      </c>
      <c r="BK103" s="1442">
        <f t="shared" si="19"/>
        <v>6.0012150951034577</v>
      </c>
      <c r="BL103" s="1442">
        <f t="shared" si="19"/>
        <v>6.0012150951034577</v>
      </c>
      <c r="BM103" s="1442">
        <f t="shared" si="19"/>
        <v>6.0012150951034577</v>
      </c>
      <c r="BN103" s="1443">
        <f t="shared" si="19"/>
        <v>6.0012150951034577</v>
      </c>
    </row>
    <row r="104" spans="1:66" s="91" customFormat="1">
      <c r="A104" s="1434">
        <v>135</v>
      </c>
      <c r="B104" s="1435">
        <v>0</v>
      </c>
      <c r="C104" s="1436" t="s">
        <v>186</v>
      </c>
      <c r="D104" s="1435" t="s">
        <v>16</v>
      </c>
      <c r="E104" s="1437">
        <v>4.8287876550385258</v>
      </c>
      <c r="F104" s="1437">
        <v>5.3795842805421197</v>
      </c>
      <c r="G104" s="1437">
        <v>5.5635407768345075</v>
      </c>
      <c r="H104" s="1437">
        <v>5.5751977123402368</v>
      </c>
      <c r="I104" s="1437">
        <v>5.6359057301773188</v>
      </c>
      <c r="J104" s="1437">
        <v>5.6966387956066766</v>
      </c>
      <c r="K104" s="1437">
        <v>5.7790643459192328</v>
      </c>
      <c r="L104" s="1437">
        <v>5.8669080396949278</v>
      </c>
      <c r="M104" s="1437">
        <v>5.9572771600149581</v>
      </c>
      <c r="N104" s="1437">
        <v>6.0489180971892962</v>
      </c>
      <c r="O104" s="1437">
        <v>6.140338300902485</v>
      </c>
      <c r="P104" s="1437">
        <v>6.2371069928989078</v>
      </c>
      <c r="Q104" s="1437">
        <v>6.335544359906236</v>
      </c>
      <c r="R104" s="1437">
        <v>6.4356833455287825</v>
      </c>
      <c r="S104" s="1437">
        <v>6.5375572909148696</v>
      </c>
      <c r="T104" s="1437">
        <v>6.6412000788181142</v>
      </c>
      <c r="U104" s="1437">
        <v>6.746646996520953</v>
      </c>
      <c r="V104" s="1437">
        <v>6.853933490843942</v>
      </c>
      <c r="W104" s="1437">
        <v>6.9629483040909159</v>
      </c>
      <c r="X104" s="1437">
        <v>7.0693998469582118</v>
      </c>
      <c r="Y104" s="1437">
        <v>7.1806571563762969</v>
      </c>
      <c r="Z104" s="1437">
        <v>7.2942260072050074</v>
      </c>
      <c r="AA104" s="1437">
        <v>7.4049360930996926</v>
      </c>
      <c r="AB104" s="1437">
        <v>7.5231517513631632</v>
      </c>
      <c r="AC104" s="1437">
        <v>7.6497401305306614</v>
      </c>
      <c r="AD104" s="1437">
        <v>7.7671113024379288</v>
      </c>
      <c r="AE104" s="1437">
        <f t="shared" si="18"/>
        <v>7.7671113024379288</v>
      </c>
      <c r="AF104" s="1437">
        <f t="shared" si="18"/>
        <v>7.7671113024379288</v>
      </c>
      <c r="AG104" s="1437">
        <f t="shared" si="18"/>
        <v>7.7671113024379288</v>
      </c>
      <c r="AH104" s="1437">
        <f t="shared" si="18"/>
        <v>7.7671113024379288</v>
      </c>
      <c r="AI104" s="1437">
        <f t="shared" si="18"/>
        <v>7.7671113024379288</v>
      </c>
      <c r="AJ104" s="1437">
        <f t="shared" si="18"/>
        <v>7.7671113024379288</v>
      </c>
      <c r="AK104" s="1437">
        <f t="shared" si="18"/>
        <v>7.7671113024379288</v>
      </c>
      <c r="AL104" s="1437">
        <f t="shared" si="18"/>
        <v>7.7671113024379288</v>
      </c>
      <c r="AM104" s="1437">
        <f t="shared" si="18"/>
        <v>7.7671113024379288</v>
      </c>
      <c r="AN104" s="1437">
        <f t="shared" si="18"/>
        <v>7.7671113024379288</v>
      </c>
      <c r="AO104" s="1437">
        <f t="shared" si="18"/>
        <v>7.7671113024379288</v>
      </c>
      <c r="AP104" s="1437">
        <f t="shared" si="18"/>
        <v>7.7671113024379288</v>
      </c>
      <c r="AQ104" s="1437">
        <f t="shared" si="18"/>
        <v>7.7671113024379288</v>
      </c>
      <c r="AR104" s="1437">
        <f t="shared" si="18"/>
        <v>7.7671113024379288</v>
      </c>
      <c r="AS104" s="1437">
        <f t="shared" si="18"/>
        <v>7.7671113024379288</v>
      </c>
      <c r="AT104" s="1437">
        <f t="shared" si="18"/>
        <v>7.7671113024379288</v>
      </c>
      <c r="AU104" s="1437">
        <f t="shared" si="17"/>
        <v>7.7671113024379288</v>
      </c>
      <c r="AV104" s="1437">
        <f t="shared" si="17"/>
        <v>7.7671113024379288</v>
      </c>
      <c r="AW104" s="1437">
        <f t="shared" si="17"/>
        <v>7.7671113024379288</v>
      </c>
      <c r="AX104" s="1437">
        <f t="shared" si="17"/>
        <v>7.7671113024379288</v>
      </c>
      <c r="AY104" s="1437">
        <f t="shared" si="17"/>
        <v>7.7671113024379288</v>
      </c>
      <c r="AZ104" s="1437">
        <f t="shared" si="17"/>
        <v>7.7671113024379288</v>
      </c>
      <c r="BA104" s="1437">
        <f t="shared" si="17"/>
        <v>7.7671113024379288</v>
      </c>
      <c r="BB104" s="1437">
        <f t="shared" si="17"/>
        <v>7.7671113024379288</v>
      </c>
      <c r="BC104" s="1437">
        <f t="shared" si="17"/>
        <v>7.7671113024379288</v>
      </c>
      <c r="BD104" s="1437">
        <f t="shared" si="17"/>
        <v>7.7671113024379288</v>
      </c>
      <c r="BE104" s="1437">
        <f t="shared" si="17"/>
        <v>7.7671113024379288</v>
      </c>
      <c r="BF104" s="1437">
        <f t="shared" si="17"/>
        <v>7.7671113024379288</v>
      </c>
      <c r="BG104" s="1437">
        <f t="shared" si="17"/>
        <v>7.7671113024379288</v>
      </c>
      <c r="BH104" s="1437">
        <f t="shared" si="17"/>
        <v>7.7671113024379288</v>
      </c>
      <c r="BI104" s="1437">
        <f t="shared" si="17"/>
        <v>7.7671113024379288</v>
      </c>
      <c r="BJ104" s="1437">
        <f t="shared" si="19"/>
        <v>7.7671113024379288</v>
      </c>
      <c r="BK104" s="1437">
        <f t="shared" si="19"/>
        <v>7.7671113024379288</v>
      </c>
      <c r="BL104" s="1437">
        <f t="shared" si="19"/>
        <v>7.7671113024379288</v>
      </c>
      <c r="BM104" s="1437">
        <f t="shared" si="19"/>
        <v>7.7671113024379288</v>
      </c>
      <c r="BN104" s="1438">
        <f t="shared" si="19"/>
        <v>7.7671113024379288</v>
      </c>
    </row>
    <row r="105" spans="1:66" s="91" customFormat="1">
      <c r="A105" s="1439">
        <v>39</v>
      </c>
      <c r="B105" s="1440">
        <v>0</v>
      </c>
      <c r="C105" s="1441" t="s">
        <v>69</v>
      </c>
      <c r="D105" s="1440" t="s">
        <v>28</v>
      </c>
      <c r="E105" s="1442">
        <v>2.817250231766375</v>
      </c>
      <c r="F105" s="1442">
        <v>3.2309465353757996</v>
      </c>
      <c r="G105" s="1442">
        <v>3.3749848746547153</v>
      </c>
      <c r="H105" s="1442">
        <v>3.3874286937911586</v>
      </c>
      <c r="I105" s="1442">
        <v>3.4377366223488885</v>
      </c>
      <c r="J105" s="1442">
        <v>3.4882787574255998</v>
      </c>
      <c r="K105" s="1442">
        <v>3.5558775294147589</v>
      </c>
      <c r="L105" s="1442">
        <v>3.6280439317005886</v>
      </c>
      <c r="M105" s="1442">
        <v>3.7025643028348862</v>
      </c>
      <c r="N105" s="1442">
        <v>3.7784741204061509</v>
      </c>
      <c r="O105" s="1442">
        <v>3.8546004647519441</v>
      </c>
      <c r="P105" s="1442">
        <v>3.9353681721008673</v>
      </c>
      <c r="Q105" s="1442">
        <v>4.0178904096462542</v>
      </c>
      <c r="R105" s="1442">
        <v>4.1022072448410771</v>
      </c>
      <c r="S105" s="1442">
        <v>4.1883594278227232</v>
      </c>
      <c r="T105" s="1442">
        <v>4.2763885104132777</v>
      </c>
      <c r="U105" s="1442">
        <v>4.3663375548952503</v>
      </c>
      <c r="V105" s="1442">
        <v>4.4582501348086669</v>
      </c>
      <c r="W105" s="1442">
        <v>4.5520492878598153</v>
      </c>
      <c r="X105" s="1442">
        <v>4.6441939922909352</v>
      </c>
      <c r="Y105" s="1442">
        <v>4.740777575260382</v>
      </c>
      <c r="Z105" s="1442">
        <v>4.8397642038665385</v>
      </c>
      <c r="AA105" s="1442">
        <v>4.9368293368103897</v>
      </c>
      <c r="AB105" s="1442">
        <v>5.04067905695769</v>
      </c>
      <c r="AC105" s="1442">
        <v>5.1521331113162461</v>
      </c>
      <c r="AD105" s="1442">
        <v>5.2562868312162196</v>
      </c>
      <c r="AE105" s="1442">
        <f t="shared" si="18"/>
        <v>5.2562868312162196</v>
      </c>
      <c r="AF105" s="1442">
        <f t="shared" si="18"/>
        <v>5.2562868312162196</v>
      </c>
      <c r="AG105" s="1442">
        <f t="shared" si="18"/>
        <v>5.2562868312162196</v>
      </c>
      <c r="AH105" s="1442">
        <f t="shared" si="18"/>
        <v>5.2562868312162196</v>
      </c>
      <c r="AI105" s="1442">
        <f t="shared" si="18"/>
        <v>5.2562868312162196</v>
      </c>
      <c r="AJ105" s="1442">
        <f t="shared" si="18"/>
        <v>5.2562868312162196</v>
      </c>
      <c r="AK105" s="1442">
        <f t="shared" si="18"/>
        <v>5.2562868312162196</v>
      </c>
      <c r="AL105" s="1442">
        <f t="shared" si="18"/>
        <v>5.2562868312162196</v>
      </c>
      <c r="AM105" s="1442">
        <f t="shared" si="18"/>
        <v>5.2562868312162196</v>
      </c>
      <c r="AN105" s="1442">
        <f t="shared" si="18"/>
        <v>5.2562868312162196</v>
      </c>
      <c r="AO105" s="1442">
        <f t="shared" si="18"/>
        <v>5.2562868312162196</v>
      </c>
      <c r="AP105" s="1442">
        <f t="shared" si="18"/>
        <v>5.2562868312162196</v>
      </c>
      <c r="AQ105" s="1442">
        <f t="shared" si="18"/>
        <v>5.2562868312162196</v>
      </c>
      <c r="AR105" s="1442">
        <f t="shared" si="18"/>
        <v>5.2562868312162196</v>
      </c>
      <c r="AS105" s="1442">
        <f t="shared" si="18"/>
        <v>5.2562868312162196</v>
      </c>
      <c r="AT105" s="1442">
        <f t="shared" si="18"/>
        <v>5.2562868312162196</v>
      </c>
      <c r="AU105" s="1442">
        <f t="shared" si="17"/>
        <v>5.2562868312162196</v>
      </c>
      <c r="AV105" s="1442">
        <f t="shared" si="17"/>
        <v>5.2562868312162196</v>
      </c>
      <c r="AW105" s="1442">
        <f t="shared" si="17"/>
        <v>5.2562868312162196</v>
      </c>
      <c r="AX105" s="1442">
        <f t="shared" si="17"/>
        <v>5.2562868312162196</v>
      </c>
      <c r="AY105" s="1442">
        <f t="shared" si="17"/>
        <v>5.2562868312162196</v>
      </c>
      <c r="AZ105" s="1442">
        <f t="shared" si="17"/>
        <v>5.2562868312162196</v>
      </c>
      <c r="BA105" s="1442">
        <f t="shared" si="17"/>
        <v>5.2562868312162196</v>
      </c>
      <c r="BB105" s="1442">
        <f t="shared" si="17"/>
        <v>5.2562868312162196</v>
      </c>
      <c r="BC105" s="1442">
        <f t="shared" si="17"/>
        <v>5.2562868312162196</v>
      </c>
      <c r="BD105" s="1442">
        <f t="shared" si="17"/>
        <v>5.2562868312162196</v>
      </c>
      <c r="BE105" s="1442">
        <f t="shared" si="17"/>
        <v>5.2562868312162196</v>
      </c>
      <c r="BF105" s="1442">
        <f t="shared" si="17"/>
        <v>5.2562868312162196</v>
      </c>
      <c r="BG105" s="1442">
        <f t="shared" si="17"/>
        <v>5.2562868312162196</v>
      </c>
      <c r="BH105" s="1442">
        <f t="shared" si="17"/>
        <v>5.2562868312162196</v>
      </c>
      <c r="BI105" s="1442">
        <f t="shared" si="17"/>
        <v>5.2562868312162196</v>
      </c>
      <c r="BJ105" s="1442">
        <f t="shared" si="19"/>
        <v>5.2562868312162196</v>
      </c>
      <c r="BK105" s="1442">
        <f t="shared" si="19"/>
        <v>5.2562868312162196</v>
      </c>
      <c r="BL105" s="1442">
        <f t="shared" si="19"/>
        <v>5.2562868312162196</v>
      </c>
      <c r="BM105" s="1442">
        <f t="shared" si="19"/>
        <v>5.2562868312162196</v>
      </c>
      <c r="BN105" s="1443">
        <f t="shared" si="19"/>
        <v>5.2562868312162196</v>
      </c>
    </row>
    <row r="106" spans="1:66" s="91" customFormat="1">
      <c r="A106" s="1434">
        <v>40</v>
      </c>
      <c r="B106" s="1435">
        <v>0</v>
      </c>
      <c r="C106" s="1436" t="s">
        <v>54</v>
      </c>
      <c r="D106" s="1435" t="s">
        <v>63</v>
      </c>
      <c r="E106" s="1437">
        <v>2.6503094427747449</v>
      </c>
      <c r="F106" s="1437">
        <v>3.1165925333042424</v>
      </c>
      <c r="G106" s="1437">
        <v>3.2805987321267609</v>
      </c>
      <c r="H106" s="1437">
        <v>3.2926254256275893</v>
      </c>
      <c r="I106" s="1437">
        <v>3.3485262709832262</v>
      </c>
      <c r="J106" s="1437">
        <v>3.4047195685459037</v>
      </c>
      <c r="K106" s="1437">
        <v>3.4808522973636533</v>
      </c>
      <c r="L106" s="1437">
        <v>3.5624606812788215</v>
      </c>
      <c r="M106" s="1437">
        <v>3.6469840111131626</v>
      </c>
      <c r="N106" s="1437">
        <v>3.7332999411535224</v>
      </c>
      <c r="O106" s="1437">
        <v>3.8200218917879751</v>
      </c>
      <c r="P106" s="1437">
        <v>3.9124063844123427</v>
      </c>
      <c r="Q106" s="1437">
        <v>4.007050734426663</v>
      </c>
      <c r="R106" s="1437">
        <v>4.1040112487510445</v>
      </c>
      <c r="S106" s="1437">
        <v>4.2033453270522987</v>
      </c>
      <c r="T106" s="1437">
        <v>4.3051116068488389</v>
      </c>
      <c r="U106" s="1437">
        <v>4.4093708268824487</v>
      </c>
      <c r="V106" s="1437">
        <v>4.5161846294460366</v>
      </c>
      <c r="W106" s="1437">
        <v>4.6254675836253272</v>
      </c>
      <c r="X106" s="1437">
        <v>4.7328821484763255</v>
      </c>
      <c r="Y106" s="1437">
        <v>4.8458901047232033</v>
      </c>
      <c r="Z106" s="1437">
        <v>4.9620158337933606</v>
      </c>
      <c r="AA106" s="1437">
        <v>5.0759073469092497</v>
      </c>
      <c r="AB106" s="1437">
        <v>5.198355992489315</v>
      </c>
      <c r="AC106" s="1437">
        <v>5.330458768697258</v>
      </c>
      <c r="AD106" s="1437">
        <v>5.453601425858837</v>
      </c>
      <c r="AE106" s="1437">
        <f t="shared" si="18"/>
        <v>5.453601425858837</v>
      </c>
      <c r="AF106" s="1437">
        <f t="shared" si="18"/>
        <v>5.453601425858837</v>
      </c>
      <c r="AG106" s="1437">
        <f t="shared" si="18"/>
        <v>5.453601425858837</v>
      </c>
      <c r="AH106" s="1437">
        <f t="shared" si="18"/>
        <v>5.453601425858837</v>
      </c>
      <c r="AI106" s="1437">
        <f t="shared" si="18"/>
        <v>5.453601425858837</v>
      </c>
      <c r="AJ106" s="1437">
        <f t="shared" si="18"/>
        <v>5.453601425858837</v>
      </c>
      <c r="AK106" s="1437">
        <f t="shared" si="18"/>
        <v>5.453601425858837</v>
      </c>
      <c r="AL106" s="1437">
        <f t="shared" si="18"/>
        <v>5.453601425858837</v>
      </c>
      <c r="AM106" s="1437">
        <f t="shared" si="18"/>
        <v>5.453601425858837</v>
      </c>
      <c r="AN106" s="1437">
        <f t="shared" si="18"/>
        <v>5.453601425858837</v>
      </c>
      <c r="AO106" s="1437">
        <f t="shared" si="18"/>
        <v>5.453601425858837</v>
      </c>
      <c r="AP106" s="1437">
        <f t="shared" si="18"/>
        <v>5.453601425858837</v>
      </c>
      <c r="AQ106" s="1437">
        <f t="shared" si="18"/>
        <v>5.453601425858837</v>
      </c>
      <c r="AR106" s="1437">
        <f t="shared" si="18"/>
        <v>5.453601425858837</v>
      </c>
      <c r="AS106" s="1437">
        <f t="shared" si="18"/>
        <v>5.453601425858837</v>
      </c>
      <c r="AT106" s="1437">
        <f t="shared" si="18"/>
        <v>5.453601425858837</v>
      </c>
      <c r="AU106" s="1437">
        <f t="shared" si="17"/>
        <v>5.453601425858837</v>
      </c>
      <c r="AV106" s="1437">
        <f t="shared" si="17"/>
        <v>5.453601425858837</v>
      </c>
      <c r="AW106" s="1437">
        <f t="shared" si="17"/>
        <v>5.453601425858837</v>
      </c>
      <c r="AX106" s="1437">
        <f t="shared" si="17"/>
        <v>5.453601425858837</v>
      </c>
      <c r="AY106" s="1437">
        <f t="shared" si="17"/>
        <v>5.453601425858837</v>
      </c>
      <c r="AZ106" s="1437">
        <f t="shared" si="17"/>
        <v>5.453601425858837</v>
      </c>
      <c r="BA106" s="1437">
        <f t="shared" si="17"/>
        <v>5.453601425858837</v>
      </c>
      <c r="BB106" s="1437">
        <f t="shared" si="17"/>
        <v>5.453601425858837</v>
      </c>
      <c r="BC106" s="1437">
        <f t="shared" si="17"/>
        <v>5.453601425858837</v>
      </c>
      <c r="BD106" s="1437">
        <f t="shared" si="17"/>
        <v>5.453601425858837</v>
      </c>
      <c r="BE106" s="1437">
        <f t="shared" si="17"/>
        <v>5.453601425858837</v>
      </c>
      <c r="BF106" s="1437">
        <f t="shared" si="17"/>
        <v>5.453601425858837</v>
      </c>
      <c r="BG106" s="1437">
        <f t="shared" si="17"/>
        <v>5.453601425858837</v>
      </c>
      <c r="BH106" s="1437">
        <f t="shared" si="17"/>
        <v>5.453601425858837</v>
      </c>
      <c r="BI106" s="1437">
        <f t="shared" si="17"/>
        <v>5.453601425858837</v>
      </c>
      <c r="BJ106" s="1437">
        <f t="shared" si="19"/>
        <v>5.453601425858837</v>
      </c>
      <c r="BK106" s="1437">
        <f t="shared" si="19"/>
        <v>5.453601425858837</v>
      </c>
      <c r="BL106" s="1437">
        <f t="shared" si="19"/>
        <v>5.453601425858837</v>
      </c>
      <c r="BM106" s="1437">
        <f t="shared" si="19"/>
        <v>5.453601425858837</v>
      </c>
      <c r="BN106" s="1438">
        <f t="shared" si="19"/>
        <v>5.453601425858837</v>
      </c>
    </row>
    <row r="107" spans="1:66" s="91" customFormat="1">
      <c r="A107" s="1439">
        <v>41</v>
      </c>
      <c r="B107" s="1440">
        <v>0</v>
      </c>
      <c r="C107" s="1441" t="s">
        <v>69</v>
      </c>
      <c r="D107" s="1440" t="s">
        <v>88</v>
      </c>
      <c r="E107" s="1442">
        <v>2.6048470494429123</v>
      </c>
      <c r="F107" s="1442">
        <v>3.0616897296943422</v>
      </c>
      <c r="G107" s="1442">
        <v>3.222576500678727</v>
      </c>
      <c r="H107" s="1442">
        <v>3.2346665335851537</v>
      </c>
      <c r="I107" s="1442">
        <v>3.289723980850717</v>
      </c>
      <c r="J107" s="1442">
        <v>3.3450774907788774</v>
      </c>
      <c r="K107" s="1442">
        <v>3.4199640693885858</v>
      </c>
      <c r="L107" s="1442">
        <v>3.500222270664529</v>
      </c>
      <c r="M107" s="1442">
        <v>3.5833451669550489</v>
      </c>
      <c r="N107" s="1442">
        <v>3.6682341677143291</v>
      </c>
      <c r="O107" s="1442">
        <v>3.7535319757373653</v>
      </c>
      <c r="P107" s="1442">
        <v>3.8443856846744389</v>
      </c>
      <c r="Q107" s="1442">
        <v>3.9374640122426099</v>
      </c>
      <c r="R107" s="1442">
        <v>4.0328224481062307</v>
      </c>
      <c r="S107" s="1442">
        <v>4.1305175626138722</v>
      </c>
      <c r="T107" s="1442">
        <v>4.2306071491958459</v>
      </c>
      <c r="U107" s="1442">
        <v>4.3331510700395697</v>
      </c>
      <c r="V107" s="1442">
        <v>4.438210083769218</v>
      </c>
      <c r="W107" s="1442">
        <v>4.5457009590630797</v>
      </c>
      <c r="X107" s="1442">
        <v>4.651377158807203</v>
      </c>
      <c r="Y107" s="1442">
        <v>4.7625450891655428</v>
      </c>
      <c r="Z107" s="1442">
        <v>4.8767812811518443</v>
      </c>
      <c r="AA107" s="1442">
        <v>4.9888459730262822</v>
      </c>
      <c r="AB107" s="1442">
        <v>5.1093056521239424</v>
      </c>
      <c r="AC107" s="1442">
        <v>5.2392349055936291</v>
      </c>
      <c r="AD107" s="1442">
        <v>5.3604086942346845</v>
      </c>
      <c r="AE107" s="1442">
        <f t="shared" si="18"/>
        <v>5.3604086942346845</v>
      </c>
      <c r="AF107" s="1442">
        <f t="shared" si="18"/>
        <v>5.3604086942346845</v>
      </c>
      <c r="AG107" s="1442">
        <f t="shared" si="18"/>
        <v>5.3604086942346845</v>
      </c>
      <c r="AH107" s="1442">
        <f t="shared" si="18"/>
        <v>5.3604086942346845</v>
      </c>
      <c r="AI107" s="1442">
        <f t="shared" si="18"/>
        <v>5.3604086942346845</v>
      </c>
      <c r="AJ107" s="1442">
        <f t="shared" si="18"/>
        <v>5.3604086942346845</v>
      </c>
      <c r="AK107" s="1442">
        <f t="shared" si="18"/>
        <v>5.3604086942346845</v>
      </c>
      <c r="AL107" s="1442">
        <f t="shared" si="18"/>
        <v>5.3604086942346845</v>
      </c>
      <c r="AM107" s="1442">
        <f t="shared" si="18"/>
        <v>5.3604086942346845</v>
      </c>
      <c r="AN107" s="1442">
        <f t="shared" si="18"/>
        <v>5.3604086942346845</v>
      </c>
      <c r="AO107" s="1442">
        <f t="shared" si="18"/>
        <v>5.3604086942346845</v>
      </c>
      <c r="AP107" s="1442">
        <f t="shared" si="18"/>
        <v>5.3604086942346845</v>
      </c>
      <c r="AQ107" s="1442">
        <f t="shared" si="18"/>
        <v>5.3604086942346845</v>
      </c>
      <c r="AR107" s="1442">
        <f t="shared" si="18"/>
        <v>5.3604086942346845</v>
      </c>
      <c r="AS107" s="1442">
        <f t="shared" si="18"/>
        <v>5.3604086942346845</v>
      </c>
      <c r="AT107" s="1442">
        <f t="shared" si="18"/>
        <v>5.3604086942346845</v>
      </c>
      <c r="AU107" s="1442">
        <f t="shared" si="17"/>
        <v>5.3604086942346845</v>
      </c>
      <c r="AV107" s="1442">
        <f t="shared" si="17"/>
        <v>5.3604086942346845</v>
      </c>
      <c r="AW107" s="1442">
        <f t="shared" si="17"/>
        <v>5.3604086942346845</v>
      </c>
      <c r="AX107" s="1442">
        <f t="shared" si="17"/>
        <v>5.3604086942346845</v>
      </c>
      <c r="AY107" s="1442">
        <f t="shared" si="17"/>
        <v>5.3604086942346845</v>
      </c>
      <c r="AZ107" s="1442">
        <f t="shared" si="17"/>
        <v>5.3604086942346845</v>
      </c>
      <c r="BA107" s="1442">
        <f t="shared" si="17"/>
        <v>5.3604086942346845</v>
      </c>
      <c r="BB107" s="1442">
        <f t="shared" si="17"/>
        <v>5.3604086942346845</v>
      </c>
      <c r="BC107" s="1442">
        <f t="shared" si="17"/>
        <v>5.3604086942346845</v>
      </c>
      <c r="BD107" s="1442">
        <f t="shared" si="17"/>
        <v>5.3604086942346845</v>
      </c>
      <c r="BE107" s="1442">
        <f t="shared" si="17"/>
        <v>5.3604086942346845</v>
      </c>
      <c r="BF107" s="1442">
        <f t="shared" si="17"/>
        <v>5.3604086942346845</v>
      </c>
      <c r="BG107" s="1442">
        <f t="shared" si="17"/>
        <v>5.3604086942346845</v>
      </c>
      <c r="BH107" s="1442">
        <f t="shared" si="17"/>
        <v>5.3604086942346845</v>
      </c>
      <c r="BI107" s="1442">
        <f t="shared" si="17"/>
        <v>5.3604086942346845</v>
      </c>
      <c r="BJ107" s="1442">
        <f t="shared" si="19"/>
        <v>5.3604086942346845</v>
      </c>
      <c r="BK107" s="1442">
        <f t="shared" si="19"/>
        <v>5.3604086942346845</v>
      </c>
      <c r="BL107" s="1442">
        <f t="shared" si="19"/>
        <v>5.3604086942346845</v>
      </c>
      <c r="BM107" s="1442">
        <f t="shared" si="19"/>
        <v>5.3604086942346845</v>
      </c>
      <c r="BN107" s="1443">
        <f t="shared" si="19"/>
        <v>5.3604086942346845</v>
      </c>
    </row>
    <row r="108" spans="1:66" s="91" customFormat="1">
      <c r="A108" s="1434">
        <v>42</v>
      </c>
      <c r="B108" s="1435">
        <v>0</v>
      </c>
      <c r="C108" s="1436" t="s">
        <v>69</v>
      </c>
      <c r="D108" s="1435" t="s">
        <v>89</v>
      </c>
      <c r="E108" s="1437">
        <v>2.8591709419821125</v>
      </c>
      <c r="F108" s="1437">
        <v>3.2800118124701996</v>
      </c>
      <c r="G108" s="1437">
        <v>3.4263646116885655</v>
      </c>
      <c r="H108" s="1437">
        <v>3.4387616450604575</v>
      </c>
      <c r="I108" s="1437">
        <v>3.4896918596301623</v>
      </c>
      <c r="J108" s="1437">
        <v>3.5408521469797241</v>
      </c>
      <c r="K108" s="1437">
        <v>3.6093655356824286</v>
      </c>
      <c r="L108" s="1437">
        <v>3.6825194119111435</v>
      </c>
      <c r="M108" s="1437">
        <v>3.7580602608168094</v>
      </c>
      <c r="N108" s="1437">
        <v>3.8350060379094182</v>
      </c>
      <c r="O108" s="1437">
        <v>3.9121625663427873</v>
      </c>
      <c r="P108" s="1437">
        <v>3.9940335255011439</v>
      </c>
      <c r="Q108" s="1437">
        <v>4.0776801571167018</v>
      </c>
      <c r="R108" s="1437">
        <v>4.1631429381394023</v>
      </c>
      <c r="S108" s="1437">
        <v>4.2504630312007912</v>
      </c>
      <c r="T108" s="1437">
        <v>4.3396824054661129</v>
      </c>
      <c r="U108" s="1437">
        <v>4.4308445578009525</v>
      </c>
      <c r="V108" s="1437">
        <v>4.5239934954056658</v>
      </c>
      <c r="W108" s="1437">
        <v>4.619050523648335</v>
      </c>
      <c r="X108" s="1437">
        <v>4.7124109274409278</v>
      </c>
      <c r="Y108" s="1437">
        <v>4.8102766277318549</v>
      </c>
      <c r="Z108" s="1437">
        <v>4.910574994355593</v>
      </c>
      <c r="AA108" s="1437">
        <v>5.0089037464310993</v>
      </c>
      <c r="AB108" s="1437">
        <v>5.1141242514208249</v>
      </c>
      <c r="AC108" s="1437">
        <v>5.2270704914278774</v>
      </c>
      <c r="AD108" s="1437">
        <v>5.3325708088814512</v>
      </c>
      <c r="AE108" s="1437">
        <f t="shared" si="18"/>
        <v>5.3325708088814512</v>
      </c>
      <c r="AF108" s="1437">
        <f t="shared" si="18"/>
        <v>5.3325708088814512</v>
      </c>
      <c r="AG108" s="1437">
        <f t="shared" si="18"/>
        <v>5.3325708088814512</v>
      </c>
      <c r="AH108" s="1437">
        <f t="shared" si="18"/>
        <v>5.3325708088814512</v>
      </c>
      <c r="AI108" s="1437">
        <f t="shared" si="18"/>
        <v>5.3325708088814512</v>
      </c>
      <c r="AJ108" s="1437">
        <f t="shared" si="18"/>
        <v>5.3325708088814512</v>
      </c>
      <c r="AK108" s="1437">
        <f t="shared" si="18"/>
        <v>5.3325708088814512</v>
      </c>
      <c r="AL108" s="1437">
        <f t="shared" si="18"/>
        <v>5.3325708088814512</v>
      </c>
      <c r="AM108" s="1437">
        <f t="shared" si="18"/>
        <v>5.3325708088814512</v>
      </c>
      <c r="AN108" s="1437">
        <f t="shared" si="18"/>
        <v>5.3325708088814512</v>
      </c>
      <c r="AO108" s="1437">
        <f t="shared" si="18"/>
        <v>5.3325708088814512</v>
      </c>
      <c r="AP108" s="1437">
        <f t="shared" si="18"/>
        <v>5.3325708088814512</v>
      </c>
      <c r="AQ108" s="1437">
        <f t="shared" si="18"/>
        <v>5.3325708088814512</v>
      </c>
      <c r="AR108" s="1437">
        <f t="shared" si="18"/>
        <v>5.3325708088814512</v>
      </c>
      <c r="AS108" s="1437">
        <f t="shared" si="18"/>
        <v>5.3325708088814512</v>
      </c>
      <c r="AT108" s="1437">
        <f t="shared" si="18"/>
        <v>5.3325708088814512</v>
      </c>
      <c r="AU108" s="1437">
        <f t="shared" si="17"/>
        <v>5.3325708088814512</v>
      </c>
      <c r="AV108" s="1437">
        <f t="shared" si="17"/>
        <v>5.3325708088814512</v>
      </c>
      <c r="AW108" s="1437">
        <f t="shared" si="17"/>
        <v>5.3325708088814512</v>
      </c>
      <c r="AX108" s="1437">
        <f t="shared" si="17"/>
        <v>5.3325708088814512</v>
      </c>
      <c r="AY108" s="1437">
        <f t="shared" si="17"/>
        <v>5.3325708088814512</v>
      </c>
      <c r="AZ108" s="1437">
        <f t="shared" si="17"/>
        <v>5.3325708088814512</v>
      </c>
      <c r="BA108" s="1437">
        <f t="shared" si="17"/>
        <v>5.3325708088814512</v>
      </c>
      <c r="BB108" s="1437">
        <f t="shared" si="17"/>
        <v>5.3325708088814512</v>
      </c>
      <c r="BC108" s="1437">
        <f t="shared" si="17"/>
        <v>5.3325708088814512</v>
      </c>
      <c r="BD108" s="1437">
        <f t="shared" si="17"/>
        <v>5.3325708088814512</v>
      </c>
      <c r="BE108" s="1437">
        <f t="shared" si="17"/>
        <v>5.3325708088814512</v>
      </c>
      <c r="BF108" s="1437">
        <f t="shared" si="17"/>
        <v>5.3325708088814512</v>
      </c>
      <c r="BG108" s="1437">
        <f t="shared" si="17"/>
        <v>5.3325708088814512</v>
      </c>
      <c r="BH108" s="1437">
        <f t="shared" si="17"/>
        <v>5.3325708088814512</v>
      </c>
      <c r="BI108" s="1437">
        <f t="shared" si="17"/>
        <v>5.3325708088814512</v>
      </c>
      <c r="BJ108" s="1437">
        <f t="shared" si="19"/>
        <v>5.3325708088814512</v>
      </c>
      <c r="BK108" s="1437">
        <f t="shared" si="19"/>
        <v>5.3325708088814512</v>
      </c>
      <c r="BL108" s="1437">
        <f t="shared" si="19"/>
        <v>5.3325708088814512</v>
      </c>
      <c r="BM108" s="1437">
        <f t="shared" si="19"/>
        <v>5.3325708088814512</v>
      </c>
      <c r="BN108" s="1438">
        <f t="shared" si="19"/>
        <v>5.3325708088814512</v>
      </c>
    </row>
    <row r="109" spans="1:66" s="91" customFormat="1">
      <c r="A109" s="1439">
        <v>137</v>
      </c>
      <c r="B109" s="1440">
        <v>0</v>
      </c>
      <c r="C109" s="1441" t="s">
        <v>193</v>
      </c>
      <c r="D109" s="1440" t="s">
        <v>194</v>
      </c>
      <c r="E109" s="1442">
        <v>2.6424529436454494</v>
      </c>
      <c r="F109" s="1442">
        <v>3.026358461059655</v>
      </c>
      <c r="G109" s="1442">
        <v>3.1607461689728713</v>
      </c>
      <c r="H109" s="1442">
        <v>3.1733850712728406</v>
      </c>
      <c r="I109" s="1442">
        <v>3.2210982463836735</v>
      </c>
      <c r="J109" s="1442">
        <v>3.2690628645150825</v>
      </c>
      <c r="K109" s="1442">
        <v>3.3328479482252265</v>
      </c>
      <c r="L109" s="1442">
        <v>3.4008968685691197</v>
      </c>
      <c r="M109" s="1442">
        <v>3.4711621413020568</v>
      </c>
      <c r="N109" s="1442">
        <v>3.5427523060334232</v>
      </c>
      <c r="O109" s="1442">
        <v>3.614583079434762</v>
      </c>
      <c r="P109" s="1442">
        <v>3.6907505444831363</v>
      </c>
      <c r="Q109" s="1442">
        <v>3.7685843825898329</v>
      </c>
      <c r="R109" s="1442">
        <v>3.848122953723391</v>
      </c>
      <c r="S109" s="1442">
        <v>3.9294052880393648</v>
      </c>
      <c r="T109" s="1442">
        <v>4.0124711971590603</v>
      </c>
      <c r="U109" s="1442">
        <v>4.0973619312787291</v>
      </c>
      <c r="V109" s="1442">
        <v>4.18411925569972</v>
      </c>
      <c r="W109" s="1442">
        <v>4.2726734314797072</v>
      </c>
      <c r="X109" s="1442">
        <v>4.3597490197040125</v>
      </c>
      <c r="Y109" s="1442">
        <v>4.4509865427022888</v>
      </c>
      <c r="Z109" s="1442">
        <v>4.5445036015655074</v>
      </c>
      <c r="AA109" s="1442">
        <v>4.6362998066621355</v>
      </c>
      <c r="AB109" s="1442">
        <v>4.7344337488128287</v>
      </c>
      <c r="AC109" s="1442">
        <v>4.8396658187778012</v>
      </c>
      <c r="AD109" s="1442">
        <v>4.9382046147094529</v>
      </c>
      <c r="AE109" s="1442">
        <f t="shared" si="18"/>
        <v>4.9382046147094529</v>
      </c>
      <c r="AF109" s="1442">
        <f t="shared" si="18"/>
        <v>4.9382046147094529</v>
      </c>
      <c r="AG109" s="1442">
        <f t="shared" si="18"/>
        <v>4.9382046147094529</v>
      </c>
      <c r="AH109" s="1442">
        <f t="shared" si="18"/>
        <v>4.9382046147094529</v>
      </c>
      <c r="AI109" s="1442">
        <f t="shared" si="18"/>
        <v>4.9382046147094529</v>
      </c>
      <c r="AJ109" s="1442">
        <f t="shared" si="18"/>
        <v>4.9382046147094529</v>
      </c>
      <c r="AK109" s="1442">
        <f t="shared" si="18"/>
        <v>4.9382046147094529</v>
      </c>
      <c r="AL109" s="1442">
        <f t="shared" si="18"/>
        <v>4.9382046147094529</v>
      </c>
      <c r="AM109" s="1442">
        <f t="shared" si="18"/>
        <v>4.9382046147094529</v>
      </c>
      <c r="AN109" s="1442">
        <f t="shared" si="18"/>
        <v>4.9382046147094529</v>
      </c>
      <c r="AO109" s="1442">
        <f t="shared" si="18"/>
        <v>4.9382046147094529</v>
      </c>
      <c r="AP109" s="1442">
        <f t="shared" si="18"/>
        <v>4.9382046147094529</v>
      </c>
      <c r="AQ109" s="1442">
        <f t="shared" si="18"/>
        <v>4.9382046147094529</v>
      </c>
      <c r="AR109" s="1442">
        <f t="shared" si="18"/>
        <v>4.9382046147094529</v>
      </c>
      <c r="AS109" s="1442">
        <f t="shared" si="18"/>
        <v>4.9382046147094529</v>
      </c>
      <c r="AT109" s="1442">
        <f t="shared" si="18"/>
        <v>4.9382046147094529</v>
      </c>
      <c r="AU109" s="1442">
        <f t="shared" si="17"/>
        <v>4.9382046147094529</v>
      </c>
      <c r="AV109" s="1442">
        <f t="shared" si="17"/>
        <v>4.9382046147094529</v>
      </c>
      <c r="AW109" s="1442">
        <f t="shared" si="17"/>
        <v>4.9382046147094529</v>
      </c>
      <c r="AX109" s="1442">
        <f t="shared" si="17"/>
        <v>4.9382046147094529</v>
      </c>
      <c r="AY109" s="1442">
        <f t="shared" si="17"/>
        <v>4.9382046147094529</v>
      </c>
      <c r="AZ109" s="1442">
        <f t="shared" si="17"/>
        <v>4.9382046147094529</v>
      </c>
      <c r="BA109" s="1442">
        <f t="shared" si="17"/>
        <v>4.9382046147094529</v>
      </c>
      <c r="BB109" s="1442">
        <f t="shared" si="17"/>
        <v>4.9382046147094529</v>
      </c>
      <c r="BC109" s="1442">
        <f t="shared" si="17"/>
        <v>4.9382046147094529</v>
      </c>
      <c r="BD109" s="1442">
        <f t="shared" si="17"/>
        <v>4.9382046147094529</v>
      </c>
      <c r="BE109" s="1442">
        <f t="shared" si="17"/>
        <v>4.9382046147094529</v>
      </c>
      <c r="BF109" s="1442">
        <f t="shared" si="17"/>
        <v>4.9382046147094529</v>
      </c>
      <c r="BG109" s="1442">
        <f t="shared" si="17"/>
        <v>4.9382046147094529</v>
      </c>
      <c r="BH109" s="1442">
        <f t="shared" si="17"/>
        <v>4.9382046147094529</v>
      </c>
      <c r="BI109" s="1442">
        <f t="shared" si="17"/>
        <v>4.9382046147094529</v>
      </c>
      <c r="BJ109" s="1442">
        <f t="shared" si="19"/>
        <v>4.9382046147094529</v>
      </c>
      <c r="BK109" s="1442">
        <f t="shared" si="19"/>
        <v>4.9382046147094529</v>
      </c>
      <c r="BL109" s="1442">
        <f t="shared" si="19"/>
        <v>4.9382046147094529</v>
      </c>
      <c r="BM109" s="1442">
        <f t="shared" si="19"/>
        <v>4.9382046147094529</v>
      </c>
      <c r="BN109" s="1443">
        <f t="shared" si="19"/>
        <v>4.9382046147094529</v>
      </c>
    </row>
    <row r="110" spans="1:66" s="91" customFormat="1" ht="15">
      <c r="A110" s="1434">
        <v>138</v>
      </c>
      <c r="B110" s="1435">
        <v>0</v>
      </c>
      <c r="C110" s="1436" t="s">
        <v>195</v>
      </c>
      <c r="D110" s="1435" t="s">
        <v>196</v>
      </c>
      <c r="E110" s="1447">
        <v>3.8915103202043895</v>
      </c>
      <c r="F110" s="1447">
        <v>4.4882932892692535</v>
      </c>
      <c r="G110" s="1447">
        <v>4.6916419772146032</v>
      </c>
      <c r="H110" s="1447">
        <v>4.7028868643838759</v>
      </c>
      <c r="I110" s="1447">
        <v>4.7691414938161119</v>
      </c>
      <c r="J110" s="1447">
        <v>4.8355243985716703</v>
      </c>
      <c r="K110" s="1447">
        <v>4.9265611377737724</v>
      </c>
      <c r="L110" s="1447">
        <v>5.0240325465767874</v>
      </c>
      <c r="M110" s="1447">
        <v>5.1247036803121375</v>
      </c>
      <c r="N110" s="1447">
        <v>5.2271609957976768</v>
      </c>
      <c r="O110" s="1447">
        <v>5.3296868367963519</v>
      </c>
      <c r="P110" s="1447">
        <v>5.4387264741834862</v>
      </c>
      <c r="Q110" s="1447">
        <v>5.5500624333248103</v>
      </c>
      <c r="R110" s="1447">
        <v>5.6637452754423654</v>
      </c>
      <c r="S110" s="1447">
        <v>5.7798263212485042</v>
      </c>
      <c r="T110" s="1447">
        <v>5.8983578174008136</v>
      </c>
      <c r="U110" s="1447">
        <v>6.0193939628073529</v>
      </c>
      <c r="V110" s="1447">
        <v>6.1429894439874202</v>
      </c>
      <c r="W110" s="1447">
        <v>6.2690229057497824</v>
      </c>
      <c r="X110" s="1447">
        <v>6.3923211211030404</v>
      </c>
      <c r="Y110" s="1447">
        <v>6.5217602415877636</v>
      </c>
      <c r="Z110" s="1447">
        <v>6.6543614676452343</v>
      </c>
      <c r="AA110" s="1447">
        <v>6.7838081035058515</v>
      </c>
      <c r="AB110" s="1447">
        <v>6.9227855549934656</v>
      </c>
      <c r="AC110" s="1447">
        <v>7.0724783576573538</v>
      </c>
      <c r="AD110" s="1447">
        <v>7.2111399854523857</v>
      </c>
      <c r="AE110" s="1437">
        <f t="shared" si="18"/>
        <v>7.2111399854523857</v>
      </c>
      <c r="AF110" s="1437">
        <f t="shared" si="18"/>
        <v>7.2111399854523857</v>
      </c>
      <c r="AG110" s="1437">
        <f t="shared" si="18"/>
        <v>7.2111399854523857</v>
      </c>
      <c r="AH110" s="1437">
        <f t="shared" si="18"/>
        <v>7.2111399854523857</v>
      </c>
      <c r="AI110" s="1437">
        <f t="shared" si="18"/>
        <v>7.2111399854523857</v>
      </c>
      <c r="AJ110" s="1437">
        <f t="shared" si="18"/>
        <v>7.2111399854523857</v>
      </c>
      <c r="AK110" s="1437">
        <f t="shared" si="18"/>
        <v>7.2111399854523857</v>
      </c>
      <c r="AL110" s="1437">
        <f t="shared" si="18"/>
        <v>7.2111399854523857</v>
      </c>
      <c r="AM110" s="1437">
        <f t="shared" si="18"/>
        <v>7.2111399854523857</v>
      </c>
      <c r="AN110" s="1437">
        <f t="shared" si="18"/>
        <v>7.2111399854523857</v>
      </c>
      <c r="AO110" s="1437">
        <f t="shared" si="18"/>
        <v>7.2111399854523857</v>
      </c>
      <c r="AP110" s="1437">
        <f t="shared" si="18"/>
        <v>7.2111399854523857</v>
      </c>
      <c r="AQ110" s="1437">
        <f t="shared" si="18"/>
        <v>7.2111399854523857</v>
      </c>
      <c r="AR110" s="1437">
        <f t="shared" si="18"/>
        <v>7.2111399854523857</v>
      </c>
      <c r="AS110" s="1437">
        <f t="shared" si="18"/>
        <v>7.2111399854523857</v>
      </c>
      <c r="AT110" s="1437">
        <f t="shared" si="18"/>
        <v>7.2111399854523857</v>
      </c>
      <c r="AU110" s="1437">
        <f t="shared" si="17"/>
        <v>7.2111399854523857</v>
      </c>
      <c r="AV110" s="1437">
        <f t="shared" si="17"/>
        <v>7.2111399854523857</v>
      </c>
      <c r="AW110" s="1437">
        <f t="shared" si="17"/>
        <v>7.2111399854523857</v>
      </c>
      <c r="AX110" s="1437">
        <f t="shared" si="17"/>
        <v>7.2111399854523857</v>
      </c>
      <c r="AY110" s="1437">
        <f t="shared" si="17"/>
        <v>7.2111399854523857</v>
      </c>
      <c r="AZ110" s="1437">
        <f t="shared" si="17"/>
        <v>7.2111399854523857</v>
      </c>
      <c r="BA110" s="1437">
        <f t="shared" si="17"/>
        <v>7.2111399854523857</v>
      </c>
      <c r="BB110" s="1437">
        <f t="shared" si="17"/>
        <v>7.2111399854523857</v>
      </c>
      <c r="BC110" s="1437">
        <f t="shared" si="17"/>
        <v>7.2111399854523857</v>
      </c>
      <c r="BD110" s="1437">
        <f t="shared" si="17"/>
        <v>7.2111399854523857</v>
      </c>
      <c r="BE110" s="1437">
        <f t="shared" si="17"/>
        <v>7.2111399854523857</v>
      </c>
      <c r="BF110" s="1437">
        <f t="shared" si="17"/>
        <v>7.2111399854523857</v>
      </c>
      <c r="BG110" s="1437">
        <f t="shared" si="17"/>
        <v>7.2111399854523857</v>
      </c>
      <c r="BH110" s="1437">
        <f t="shared" si="17"/>
        <v>7.2111399854523857</v>
      </c>
      <c r="BI110" s="1437">
        <f t="shared" si="17"/>
        <v>7.2111399854523857</v>
      </c>
      <c r="BJ110" s="1437">
        <f t="shared" si="19"/>
        <v>7.2111399854523857</v>
      </c>
      <c r="BK110" s="1437">
        <f t="shared" si="19"/>
        <v>7.2111399854523857</v>
      </c>
      <c r="BL110" s="1437">
        <f t="shared" si="19"/>
        <v>7.2111399854523857</v>
      </c>
      <c r="BM110" s="1437">
        <f t="shared" si="19"/>
        <v>7.2111399854523857</v>
      </c>
      <c r="BN110" s="1438">
        <f t="shared" si="19"/>
        <v>7.2111399854523857</v>
      </c>
    </row>
    <row r="111" spans="1:66" s="91" customFormat="1">
      <c r="A111" s="1439">
        <v>139</v>
      </c>
      <c r="B111" s="1440">
        <v>0</v>
      </c>
      <c r="C111" s="1441" t="s">
        <v>197</v>
      </c>
      <c r="D111" s="1440" t="s">
        <v>39</v>
      </c>
      <c r="E111" s="1442">
        <v>3.2265256729050642</v>
      </c>
      <c r="F111" s="1442">
        <v>3.7099749875193377</v>
      </c>
      <c r="G111" s="1442">
        <v>3.876609595035156</v>
      </c>
      <c r="H111" s="1442">
        <v>3.8885966407933084</v>
      </c>
      <c r="I111" s="1442">
        <v>3.944980000343369</v>
      </c>
      <c r="J111" s="1442">
        <v>4.001557208367557</v>
      </c>
      <c r="K111" s="1442">
        <v>4.0780854607253101</v>
      </c>
      <c r="L111" s="1442">
        <v>4.1598926546749135</v>
      </c>
      <c r="M111" s="1442">
        <v>4.244376036643227</v>
      </c>
      <c r="N111" s="1442">
        <v>4.3304000146835753</v>
      </c>
      <c r="O111" s="1442">
        <v>4.4165841334498612</v>
      </c>
      <c r="P111" s="1442">
        <v>4.5081229815707129</v>
      </c>
      <c r="Q111" s="1442">
        <v>4.6016227735686455</v>
      </c>
      <c r="R111" s="1442">
        <v>4.6971275748502084</v>
      </c>
      <c r="S111" s="1442">
        <v>4.7946821627681526</v>
      </c>
      <c r="T111" s="1442">
        <v>4.8943321637011481</v>
      </c>
      <c r="U111" s="1442">
        <v>4.9961248828030396</v>
      </c>
      <c r="V111" s="1442">
        <v>5.1001081274763438</v>
      </c>
      <c r="W111" s="1442">
        <v>5.2061880224628689</v>
      </c>
      <c r="X111" s="1442">
        <v>5.3102017026317139</v>
      </c>
      <c r="Y111" s="1442">
        <v>5.4193027055026723</v>
      </c>
      <c r="Z111" s="1442">
        <v>5.5310959433728764</v>
      </c>
      <c r="AA111" s="1442">
        <v>5.6404978968256811</v>
      </c>
      <c r="AB111" s="1442">
        <v>5.7577307053844784</v>
      </c>
      <c r="AC111" s="1442">
        <v>5.8837530944970613</v>
      </c>
      <c r="AD111" s="1442">
        <v>6.0010537602610103</v>
      </c>
      <c r="AE111" s="1442">
        <f t="shared" si="18"/>
        <v>6.0010537602610103</v>
      </c>
      <c r="AF111" s="1442">
        <f t="shared" si="18"/>
        <v>6.0010537602610103</v>
      </c>
      <c r="AG111" s="1442">
        <f t="shared" si="18"/>
        <v>6.0010537602610103</v>
      </c>
      <c r="AH111" s="1442">
        <f t="shared" si="18"/>
        <v>6.0010537602610103</v>
      </c>
      <c r="AI111" s="1442">
        <f t="shared" si="18"/>
        <v>6.0010537602610103</v>
      </c>
      <c r="AJ111" s="1442">
        <f t="shared" si="18"/>
        <v>6.0010537602610103</v>
      </c>
      <c r="AK111" s="1442">
        <f t="shared" si="18"/>
        <v>6.0010537602610103</v>
      </c>
      <c r="AL111" s="1442">
        <f t="shared" si="18"/>
        <v>6.0010537602610103</v>
      </c>
      <c r="AM111" s="1442">
        <f t="shared" si="18"/>
        <v>6.0010537602610103</v>
      </c>
      <c r="AN111" s="1442">
        <f t="shared" si="18"/>
        <v>6.0010537602610103</v>
      </c>
      <c r="AO111" s="1442">
        <f t="shared" si="18"/>
        <v>6.0010537602610103</v>
      </c>
      <c r="AP111" s="1442">
        <f t="shared" si="18"/>
        <v>6.0010537602610103</v>
      </c>
      <c r="AQ111" s="1442">
        <f t="shared" si="18"/>
        <v>6.0010537602610103</v>
      </c>
      <c r="AR111" s="1442">
        <f t="shared" si="18"/>
        <v>6.0010537602610103</v>
      </c>
      <c r="AS111" s="1442">
        <f t="shared" si="18"/>
        <v>6.0010537602610103</v>
      </c>
      <c r="AT111" s="1442">
        <f t="shared" si="18"/>
        <v>6.0010537602610103</v>
      </c>
      <c r="AU111" s="1442">
        <f t="shared" si="17"/>
        <v>6.0010537602610103</v>
      </c>
      <c r="AV111" s="1442">
        <f t="shared" si="17"/>
        <v>6.0010537602610103</v>
      </c>
      <c r="AW111" s="1442">
        <f t="shared" si="17"/>
        <v>6.0010537602610103</v>
      </c>
      <c r="AX111" s="1442">
        <f t="shared" si="17"/>
        <v>6.0010537602610103</v>
      </c>
      <c r="AY111" s="1442">
        <f t="shared" si="17"/>
        <v>6.0010537602610103</v>
      </c>
      <c r="AZ111" s="1442">
        <f t="shared" si="17"/>
        <v>6.0010537602610103</v>
      </c>
      <c r="BA111" s="1442">
        <f t="shared" si="17"/>
        <v>6.0010537602610103</v>
      </c>
      <c r="BB111" s="1442">
        <f t="shared" si="17"/>
        <v>6.0010537602610103</v>
      </c>
      <c r="BC111" s="1442">
        <f t="shared" si="17"/>
        <v>6.0010537602610103</v>
      </c>
      <c r="BD111" s="1442">
        <f t="shared" si="17"/>
        <v>6.0010537602610103</v>
      </c>
      <c r="BE111" s="1442">
        <f t="shared" si="17"/>
        <v>6.0010537602610103</v>
      </c>
      <c r="BF111" s="1442">
        <f t="shared" si="17"/>
        <v>6.0010537602610103</v>
      </c>
      <c r="BG111" s="1442">
        <f t="shared" si="17"/>
        <v>6.0010537602610103</v>
      </c>
      <c r="BH111" s="1442">
        <f t="shared" si="17"/>
        <v>6.0010537602610103</v>
      </c>
      <c r="BI111" s="1442">
        <f t="shared" si="17"/>
        <v>6.0010537602610103</v>
      </c>
      <c r="BJ111" s="1442">
        <f t="shared" si="19"/>
        <v>6.0010537602610103</v>
      </c>
      <c r="BK111" s="1442">
        <f t="shared" si="19"/>
        <v>6.0010537602610103</v>
      </c>
      <c r="BL111" s="1442">
        <f t="shared" si="19"/>
        <v>6.0010537602610103</v>
      </c>
      <c r="BM111" s="1442">
        <f t="shared" si="19"/>
        <v>6.0010537602610103</v>
      </c>
      <c r="BN111" s="1443">
        <f t="shared" si="19"/>
        <v>6.0010537602610103</v>
      </c>
    </row>
    <row r="112" spans="1:66" s="91" customFormat="1">
      <c r="A112" s="1434">
        <v>43</v>
      </c>
      <c r="B112" s="1435">
        <v>0</v>
      </c>
      <c r="C112" s="1436" t="s">
        <v>54</v>
      </c>
      <c r="D112" s="1435" t="s">
        <v>64</v>
      </c>
      <c r="E112" s="1437">
        <v>2.7884464959804891</v>
      </c>
      <c r="F112" s="1437">
        <v>3.2836874115678896</v>
      </c>
      <c r="G112" s="1437">
        <v>3.4572720637256049</v>
      </c>
      <c r="H112" s="1437">
        <v>3.4691042236521628</v>
      </c>
      <c r="I112" s="1437">
        <v>3.5275955366919134</v>
      </c>
      <c r="J112" s="1437">
        <v>3.5863685297770664</v>
      </c>
      <c r="K112" s="1437">
        <v>3.6663298098751929</v>
      </c>
      <c r="L112" s="1437">
        <v>3.7520871236084949</v>
      </c>
      <c r="M112" s="1437">
        <v>3.8409146141266963</v>
      </c>
      <c r="N112" s="1437">
        <v>3.9316169746925778</v>
      </c>
      <c r="O112" s="1437">
        <v>4.0227176131218041</v>
      </c>
      <c r="P112" s="1437">
        <v>4.1198095709846898</v>
      </c>
      <c r="Q112" s="1437">
        <v>4.2192706932661013</v>
      </c>
      <c r="R112" s="1437">
        <v>4.3211598434438336</v>
      </c>
      <c r="S112" s="1437">
        <v>4.4255370163339496</v>
      </c>
      <c r="T112" s="1437">
        <v>4.5324634915536262</v>
      </c>
      <c r="U112" s="1437">
        <v>4.6420027514041395</v>
      </c>
      <c r="V112" s="1437">
        <v>4.7542192052231851</v>
      </c>
      <c r="W112" s="1437">
        <v>4.8690206951942416</v>
      </c>
      <c r="X112" s="1437">
        <v>4.9817894051393523</v>
      </c>
      <c r="Y112" s="1437">
        <v>5.1004656863944389</v>
      </c>
      <c r="Z112" s="1437">
        <v>5.222413378916456</v>
      </c>
      <c r="AA112" s="1437">
        <v>5.341934669649957</v>
      </c>
      <c r="AB112" s="1437">
        <v>5.4705139313393536</v>
      </c>
      <c r="AC112" s="1437">
        <v>5.6093175238457249</v>
      </c>
      <c r="AD112" s="1437">
        <v>5.7385312439039353</v>
      </c>
      <c r="AE112" s="1437">
        <f t="shared" si="18"/>
        <v>5.7385312439039353</v>
      </c>
      <c r="AF112" s="1437">
        <f t="shared" si="18"/>
        <v>5.7385312439039353</v>
      </c>
      <c r="AG112" s="1437">
        <f t="shared" si="18"/>
        <v>5.7385312439039353</v>
      </c>
      <c r="AH112" s="1437">
        <f t="shared" si="18"/>
        <v>5.7385312439039353</v>
      </c>
      <c r="AI112" s="1437">
        <f t="shared" si="18"/>
        <v>5.7385312439039353</v>
      </c>
      <c r="AJ112" s="1437">
        <f t="shared" si="18"/>
        <v>5.7385312439039353</v>
      </c>
      <c r="AK112" s="1437">
        <f t="shared" si="18"/>
        <v>5.7385312439039353</v>
      </c>
      <c r="AL112" s="1437">
        <f t="shared" si="18"/>
        <v>5.7385312439039353</v>
      </c>
      <c r="AM112" s="1437">
        <f t="shared" si="18"/>
        <v>5.7385312439039353</v>
      </c>
      <c r="AN112" s="1437">
        <f t="shared" si="18"/>
        <v>5.7385312439039353</v>
      </c>
      <c r="AO112" s="1437">
        <f t="shared" si="18"/>
        <v>5.7385312439039353</v>
      </c>
      <c r="AP112" s="1437">
        <f t="shared" si="18"/>
        <v>5.7385312439039353</v>
      </c>
      <c r="AQ112" s="1437">
        <f t="shared" si="18"/>
        <v>5.7385312439039353</v>
      </c>
      <c r="AR112" s="1437">
        <f t="shared" si="18"/>
        <v>5.7385312439039353</v>
      </c>
      <c r="AS112" s="1437">
        <f t="shared" si="18"/>
        <v>5.7385312439039353</v>
      </c>
      <c r="AT112" s="1437">
        <f t="shared" si="18"/>
        <v>5.7385312439039353</v>
      </c>
      <c r="AU112" s="1437">
        <f t="shared" si="17"/>
        <v>5.7385312439039353</v>
      </c>
      <c r="AV112" s="1437">
        <f t="shared" si="17"/>
        <v>5.7385312439039353</v>
      </c>
      <c r="AW112" s="1437">
        <f t="shared" si="17"/>
        <v>5.7385312439039353</v>
      </c>
      <c r="AX112" s="1437">
        <f t="shared" si="17"/>
        <v>5.7385312439039353</v>
      </c>
      <c r="AY112" s="1437">
        <f t="shared" si="17"/>
        <v>5.7385312439039353</v>
      </c>
      <c r="AZ112" s="1437">
        <f t="shared" si="17"/>
        <v>5.7385312439039353</v>
      </c>
      <c r="BA112" s="1437">
        <f t="shared" si="17"/>
        <v>5.7385312439039353</v>
      </c>
      <c r="BB112" s="1437">
        <f t="shared" si="17"/>
        <v>5.7385312439039353</v>
      </c>
      <c r="BC112" s="1437">
        <f t="shared" si="17"/>
        <v>5.7385312439039353</v>
      </c>
      <c r="BD112" s="1437">
        <f t="shared" si="17"/>
        <v>5.7385312439039353</v>
      </c>
      <c r="BE112" s="1437">
        <f t="shared" si="17"/>
        <v>5.7385312439039353</v>
      </c>
      <c r="BF112" s="1437">
        <f t="shared" si="17"/>
        <v>5.7385312439039353</v>
      </c>
      <c r="BG112" s="1437">
        <f t="shared" si="17"/>
        <v>5.7385312439039353</v>
      </c>
      <c r="BH112" s="1437">
        <f t="shared" si="17"/>
        <v>5.7385312439039353</v>
      </c>
      <c r="BI112" s="1437">
        <f t="shared" si="17"/>
        <v>5.7385312439039353</v>
      </c>
      <c r="BJ112" s="1437">
        <f t="shared" si="19"/>
        <v>5.7385312439039353</v>
      </c>
      <c r="BK112" s="1437">
        <f t="shared" si="19"/>
        <v>5.7385312439039353</v>
      </c>
      <c r="BL112" s="1437">
        <f t="shared" si="19"/>
        <v>5.7385312439039353</v>
      </c>
      <c r="BM112" s="1437">
        <f t="shared" si="19"/>
        <v>5.7385312439039353</v>
      </c>
      <c r="BN112" s="1438">
        <f t="shared" si="19"/>
        <v>5.7385312439039353</v>
      </c>
    </row>
    <row r="113" spans="1:66" s="91" customFormat="1">
      <c r="A113" s="1439">
        <v>141</v>
      </c>
      <c r="B113" s="1440">
        <v>0</v>
      </c>
      <c r="C113" s="1441" t="s">
        <v>200</v>
      </c>
      <c r="D113" s="1440" t="s">
        <v>201</v>
      </c>
      <c r="E113" s="1442">
        <v>3.7901271570104962</v>
      </c>
      <c r="F113" s="1442">
        <v>4.3696313446310224</v>
      </c>
      <c r="G113" s="1442">
        <v>4.5673826257447736</v>
      </c>
      <c r="H113" s="1442">
        <v>4.5787406619704019</v>
      </c>
      <c r="I113" s="1442">
        <v>4.6434903234767466</v>
      </c>
      <c r="J113" s="1442">
        <v>4.7083782575499233</v>
      </c>
      <c r="K113" s="1442">
        <v>4.7972030414904863</v>
      </c>
      <c r="L113" s="1442">
        <v>4.8922862934281692</v>
      </c>
      <c r="M113" s="1442">
        <v>4.9904894521722101</v>
      </c>
      <c r="N113" s="1442">
        <v>5.0904413508202442</v>
      </c>
      <c r="O113" s="1442">
        <v>5.1904757425821817</v>
      </c>
      <c r="P113" s="1442">
        <v>5.2968472200630528</v>
      </c>
      <c r="Q113" s="1442">
        <v>5.4054638877867536</v>
      </c>
      <c r="R113" s="1442">
        <v>5.5163753166271672</v>
      </c>
      <c r="S113" s="1442">
        <v>5.6296318296999388</v>
      </c>
      <c r="T113" s="1442">
        <v>5.7452846643388753</v>
      </c>
      <c r="U113" s="1442">
        <v>5.8633869684343747</v>
      </c>
      <c r="V113" s="1442">
        <v>5.9839923797196892</v>
      </c>
      <c r="W113" s="1442">
        <v>6.1069837325778078</v>
      </c>
      <c r="X113" s="1442">
        <v>6.2273418391847057</v>
      </c>
      <c r="Y113" s="1442">
        <v>6.3536802223735123</v>
      </c>
      <c r="Z113" s="1442">
        <v>6.4831090749473343</v>
      </c>
      <c r="AA113" s="1442">
        <v>6.6094997104687332</v>
      </c>
      <c r="AB113" s="1442">
        <v>6.7451619866487702</v>
      </c>
      <c r="AC113" s="1442">
        <v>6.8912460121631636</v>
      </c>
      <c r="AD113" s="1442">
        <v>7.0266509604117253</v>
      </c>
      <c r="AE113" s="1442">
        <f t="shared" si="18"/>
        <v>7.0266509604117253</v>
      </c>
      <c r="AF113" s="1442">
        <f t="shared" si="18"/>
        <v>7.0266509604117253</v>
      </c>
      <c r="AG113" s="1442">
        <f t="shared" si="18"/>
        <v>7.0266509604117253</v>
      </c>
      <c r="AH113" s="1442">
        <f t="shared" si="18"/>
        <v>7.0266509604117253</v>
      </c>
      <c r="AI113" s="1442">
        <f t="shared" si="18"/>
        <v>7.0266509604117253</v>
      </c>
      <c r="AJ113" s="1442">
        <f t="shared" si="18"/>
        <v>7.0266509604117253</v>
      </c>
      <c r="AK113" s="1442">
        <f t="shared" si="18"/>
        <v>7.0266509604117253</v>
      </c>
      <c r="AL113" s="1442">
        <f t="shared" si="18"/>
        <v>7.0266509604117253</v>
      </c>
      <c r="AM113" s="1442">
        <f t="shared" si="18"/>
        <v>7.0266509604117253</v>
      </c>
      <c r="AN113" s="1442">
        <f t="shared" si="18"/>
        <v>7.0266509604117253</v>
      </c>
      <c r="AO113" s="1442">
        <f t="shared" si="18"/>
        <v>7.0266509604117253</v>
      </c>
      <c r="AP113" s="1442">
        <f t="shared" si="18"/>
        <v>7.0266509604117253</v>
      </c>
      <c r="AQ113" s="1442">
        <f t="shared" si="18"/>
        <v>7.0266509604117253</v>
      </c>
      <c r="AR113" s="1442">
        <f t="shared" si="18"/>
        <v>7.0266509604117253</v>
      </c>
      <c r="AS113" s="1442">
        <f t="shared" si="18"/>
        <v>7.0266509604117253</v>
      </c>
      <c r="AT113" s="1442">
        <f t="shared" si="18"/>
        <v>7.0266509604117253</v>
      </c>
      <c r="AU113" s="1442">
        <f t="shared" si="17"/>
        <v>7.0266509604117253</v>
      </c>
      <c r="AV113" s="1442">
        <f t="shared" si="17"/>
        <v>7.0266509604117253</v>
      </c>
      <c r="AW113" s="1442">
        <f t="shared" si="17"/>
        <v>7.0266509604117253</v>
      </c>
      <c r="AX113" s="1442">
        <f t="shared" si="17"/>
        <v>7.0266509604117253</v>
      </c>
      <c r="AY113" s="1442">
        <f t="shared" si="17"/>
        <v>7.0266509604117253</v>
      </c>
      <c r="AZ113" s="1442">
        <f t="shared" si="17"/>
        <v>7.0266509604117253</v>
      </c>
      <c r="BA113" s="1442">
        <f t="shared" si="17"/>
        <v>7.0266509604117253</v>
      </c>
      <c r="BB113" s="1442">
        <f t="shared" si="17"/>
        <v>7.0266509604117253</v>
      </c>
      <c r="BC113" s="1442">
        <f t="shared" si="17"/>
        <v>7.0266509604117253</v>
      </c>
      <c r="BD113" s="1442">
        <f t="shared" si="17"/>
        <v>7.0266509604117253</v>
      </c>
      <c r="BE113" s="1442">
        <f t="shared" si="17"/>
        <v>7.0266509604117253</v>
      </c>
      <c r="BF113" s="1442">
        <f t="shared" si="17"/>
        <v>7.0266509604117253</v>
      </c>
      <c r="BG113" s="1442">
        <f t="shared" si="17"/>
        <v>7.0266509604117253</v>
      </c>
      <c r="BH113" s="1442">
        <f t="shared" si="17"/>
        <v>7.0266509604117253</v>
      </c>
      <c r="BI113" s="1442">
        <f t="shared" si="17"/>
        <v>7.0266509604117253</v>
      </c>
      <c r="BJ113" s="1442">
        <f t="shared" si="19"/>
        <v>7.0266509604117253</v>
      </c>
      <c r="BK113" s="1442">
        <f t="shared" si="19"/>
        <v>7.0266509604117253</v>
      </c>
      <c r="BL113" s="1442">
        <f t="shared" si="19"/>
        <v>7.0266509604117253</v>
      </c>
      <c r="BM113" s="1442">
        <f t="shared" si="19"/>
        <v>7.0266509604117253</v>
      </c>
      <c r="BN113" s="1443">
        <f t="shared" si="19"/>
        <v>7.0266509604117253</v>
      </c>
    </row>
    <row r="114" spans="1:66" s="91" customFormat="1">
      <c r="A114" s="1434">
        <v>44</v>
      </c>
      <c r="B114" s="1435">
        <v>0</v>
      </c>
      <c r="C114" s="1436" t="s">
        <v>69</v>
      </c>
      <c r="D114" s="1435" t="s">
        <v>90</v>
      </c>
      <c r="E114" s="1437">
        <v>4.1671116012502445</v>
      </c>
      <c r="F114" s="1437">
        <v>4.6363911891574681</v>
      </c>
      <c r="G114" s="1437">
        <v>4.7946233588147464</v>
      </c>
      <c r="H114" s="1437">
        <v>4.8067972550444331</v>
      </c>
      <c r="I114" s="1437">
        <v>4.8606393397509358</v>
      </c>
      <c r="J114" s="1437">
        <v>4.9145733602505519</v>
      </c>
      <c r="K114" s="1437">
        <v>4.9869772955248575</v>
      </c>
      <c r="L114" s="1437">
        <v>5.0640512828987996</v>
      </c>
      <c r="M114" s="1437">
        <v>5.1433442985434832</v>
      </c>
      <c r="N114" s="1437">
        <v>5.22379549062412</v>
      </c>
      <c r="O114" s="1437">
        <v>5.304141434542478</v>
      </c>
      <c r="P114" s="1437">
        <v>5.3891077699234344</v>
      </c>
      <c r="Q114" s="1437">
        <v>5.4755762296399615</v>
      </c>
      <c r="R114" s="1437">
        <v>5.5635773610279866</v>
      </c>
      <c r="S114" s="1437">
        <v>5.6531421268245161</v>
      </c>
      <c r="T114" s="1437">
        <v>5.7443020296915348</v>
      </c>
      <c r="U114" s="1437">
        <v>5.8370898464675873</v>
      </c>
      <c r="V114" s="1437">
        <v>5.9315385747985845</v>
      </c>
      <c r="W114" s="1437">
        <v>6.0275568823001846</v>
      </c>
      <c r="X114" s="1437">
        <v>6.121508245052949</v>
      </c>
      <c r="Y114" s="1437">
        <v>6.2196454507161318</v>
      </c>
      <c r="Z114" s="1437">
        <v>6.3198564850854861</v>
      </c>
      <c r="AA114" s="1437">
        <v>6.4177598850931528</v>
      </c>
      <c r="AB114" s="1437">
        <v>6.5221490092692207</v>
      </c>
      <c r="AC114" s="1437">
        <v>6.633762884981838</v>
      </c>
      <c r="AD114" s="1437">
        <v>6.7376874527833328</v>
      </c>
      <c r="AE114" s="1437">
        <f t="shared" si="18"/>
        <v>6.7376874527833328</v>
      </c>
      <c r="AF114" s="1437">
        <f t="shared" si="18"/>
        <v>6.7376874527833328</v>
      </c>
      <c r="AG114" s="1437">
        <f t="shared" si="18"/>
        <v>6.7376874527833328</v>
      </c>
      <c r="AH114" s="1437">
        <f t="shared" si="18"/>
        <v>6.7376874527833328</v>
      </c>
      <c r="AI114" s="1437">
        <f t="shared" si="18"/>
        <v>6.7376874527833328</v>
      </c>
      <c r="AJ114" s="1437">
        <f t="shared" si="18"/>
        <v>6.7376874527833328</v>
      </c>
      <c r="AK114" s="1437">
        <f t="shared" si="18"/>
        <v>6.7376874527833328</v>
      </c>
      <c r="AL114" s="1437">
        <f t="shared" si="18"/>
        <v>6.7376874527833328</v>
      </c>
      <c r="AM114" s="1437">
        <f t="shared" si="18"/>
        <v>6.7376874527833328</v>
      </c>
      <c r="AN114" s="1437">
        <f t="shared" si="18"/>
        <v>6.7376874527833328</v>
      </c>
      <c r="AO114" s="1437">
        <f t="shared" si="18"/>
        <v>6.7376874527833328</v>
      </c>
      <c r="AP114" s="1437">
        <f t="shared" si="18"/>
        <v>6.7376874527833328</v>
      </c>
      <c r="AQ114" s="1437">
        <f t="shared" si="18"/>
        <v>6.7376874527833328</v>
      </c>
      <c r="AR114" s="1437">
        <f t="shared" si="18"/>
        <v>6.7376874527833328</v>
      </c>
      <c r="AS114" s="1437">
        <f t="shared" si="18"/>
        <v>6.7376874527833328</v>
      </c>
      <c r="AT114" s="1437">
        <f t="shared" si="18"/>
        <v>6.7376874527833328</v>
      </c>
      <c r="AU114" s="1437">
        <f t="shared" si="17"/>
        <v>6.7376874527833328</v>
      </c>
      <c r="AV114" s="1437">
        <f t="shared" si="17"/>
        <v>6.7376874527833328</v>
      </c>
      <c r="AW114" s="1437">
        <f t="shared" si="17"/>
        <v>6.7376874527833328</v>
      </c>
      <c r="AX114" s="1437">
        <f t="shared" si="17"/>
        <v>6.7376874527833328</v>
      </c>
      <c r="AY114" s="1437">
        <f t="shared" si="17"/>
        <v>6.7376874527833328</v>
      </c>
      <c r="AZ114" s="1437">
        <f t="shared" si="17"/>
        <v>6.7376874527833328</v>
      </c>
      <c r="BA114" s="1437">
        <f t="shared" si="17"/>
        <v>6.7376874527833328</v>
      </c>
      <c r="BB114" s="1437">
        <f t="shared" si="17"/>
        <v>6.7376874527833328</v>
      </c>
      <c r="BC114" s="1437">
        <f t="shared" si="17"/>
        <v>6.7376874527833328</v>
      </c>
      <c r="BD114" s="1437">
        <f t="shared" si="17"/>
        <v>6.7376874527833328</v>
      </c>
      <c r="BE114" s="1437">
        <f t="shared" si="17"/>
        <v>6.7376874527833328</v>
      </c>
      <c r="BF114" s="1437">
        <f t="shared" si="17"/>
        <v>6.7376874527833328</v>
      </c>
      <c r="BG114" s="1437">
        <f t="shared" si="17"/>
        <v>6.7376874527833328</v>
      </c>
      <c r="BH114" s="1437">
        <f t="shared" si="17"/>
        <v>6.7376874527833328</v>
      </c>
      <c r="BI114" s="1437">
        <f t="shared" si="17"/>
        <v>6.7376874527833328</v>
      </c>
      <c r="BJ114" s="1437">
        <f t="shared" si="19"/>
        <v>6.7376874527833328</v>
      </c>
      <c r="BK114" s="1437">
        <f t="shared" si="19"/>
        <v>6.7376874527833328</v>
      </c>
      <c r="BL114" s="1437">
        <f t="shared" si="19"/>
        <v>6.7376874527833328</v>
      </c>
      <c r="BM114" s="1437">
        <f t="shared" si="19"/>
        <v>6.7376874527833328</v>
      </c>
      <c r="BN114" s="1438">
        <f t="shared" si="19"/>
        <v>6.7376874527833328</v>
      </c>
    </row>
    <row r="115" spans="1:66" s="91" customFormat="1">
      <c r="A115" s="1439">
        <v>176</v>
      </c>
      <c r="B115" s="1440">
        <v>0</v>
      </c>
      <c r="C115" s="1441" t="s">
        <v>249</v>
      </c>
      <c r="D115" s="1440" t="s">
        <v>250</v>
      </c>
      <c r="E115" s="1442">
        <v>3.281490268638346</v>
      </c>
      <c r="F115" s="1442">
        <v>3.7743072258367767</v>
      </c>
      <c r="G115" s="1442">
        <v>3.94397645166555</v>
      </c>
      <c r="H115" s="1442">
        <v>3.9559021539822061</v>
      </c>
      <c r="I115" s="1442">
        <v>4.0131014276449477</v>
      </c>
      <c r="J115" s="1442">
        <v>4.0704891298044696</v>
      </c>
      <c r="K115" s="1442">
        <v>4.1482165874631871</v>
      </c>
      <c r="L115" s="1442">
        <v>4.2313185139158547</v>
      </c>
      <c r="M115" s="1442">
        <v>4.3171399015589147</v>
      </c>
      <c r="N115" s="1442">
        <v>4.4045221842652307</v>
      </c>
      <c r="O115" s="1442">
        <v>4.4920570352021549</v>
      </c>
      <c r="P115" s="1442">
        <v>4.5850424186843002</v>
      </c>
      <c r="Q115" s="1442">
        <v>4.6800164668480688</v>
      </c>
      <c r="R115" s="1442">
        <v>4.7770237820144725</v>
      </c>
      <c r="S115" s="1442">
        <v>4.876109682380501</v>
      </c>
      <c r="T115" s="1442">
        <v>4.9773203415268616</v>
      </c>
      <c r="U115" s="1442">
        <v>5.0807036344136582</v>
      </c>
      <c r="V115" s="1442">
        <v>5.1863079370397998</v>
      </c>
      <c r="W115" s="1442">
        <v>5.2940371027812594</v>
      </c>
      <c r="X115" s="1442">
        <v>5.3996447546073751</v>
      </c>
      <c r="Y115" s="1442">
        <v>5.5104268134503123</v>
      </c>
      <c r="Z115" s="1442">
        <v>5.6239399446494529</v>
      </c>
      <c r="AA115" s="1442">
        <v>5.7349987000594496</v>
      </c>
      <c r="AB115" s="1442">
        <v>5.854028821552915</v>
      </c>
      <c r="AC115" s="1442">
        <v>5.9820076990099595</v>
      </c>
      <c r="AD115" s="1442">
        <v>6.1010739643968179</v>
      </c>
      <c r="AE115" s="1442">
        <f t="shared" si="18"/>
        <v>6.1010739643968179</v>
      </c>
      <c r="AF115" s="1442">
        <f t="shared" si="18"/>
        <v>6.1010739643968179</v>
      </c>
      <c r="AG115" s="1442">
        <f t="shared" si="18"/>
        <v>6.1010739643968179</v>
      </c>
      <c r="AH115" s="1442">
        <f t="shared" si="18"/>
        <v>6.1010739643968179</v>
      </c>
      <c r="AI115" s="1442">
        <f t="shared" si="18"/>
        <v>6.1010739643968179</v>
      </c>
      <c r="AJ115" s="1442">
        <f t="shared" si="18"/>
        <v>6.1010739643968179</v>
      </c>
      <c r="AK115" s="1442">
        <f t="shared" si="18"/>
        <v>6.1010739643968179</v>
      </c>
      <c r="AL115" s="1442">
        <f t="shared" si="18"/>
        <v>6.1010739643968179</v>
      </c>
      <c r="AM115" s="1442">
        <f t="shared" si="18"/>
        <v>6.1010739643968179</v>
      </c>
      <c r="AN115" s="1442">
        <f t="shared" si="18"/>
        <v>6.1010739643968179</v>
      </c>
      <c r="AO115" s="1442">
        <f t="shared" si="18"/>
        <v>6.1010739643968179</v>
      </c>
      <c r="AP115" s="1442">
        <f t="shared" si="18"/>
        <v>6.1010739643968179</v>
      </c>
      <c r="AQ115" s="1442">
        <f t="shared" si="18"/>
        <v>6.1010739643968179</v>
      </c>
      <c r="AR115" s="1442">
        <f t="shared" si="18"/>
        <v>6.1010739643968179</v>
      </c>
      <c r="AS115" s="1442">
        <f t="shared" si="18"/>
        <v>6.1010739643968179</v>
      </c>
      <c r="AT115" s="1442">
        <f t="shared" si="18"/>
        <v>6.1010739643968179</v>
      </c>
      <c r="AU115" s="1442">
        <f t="shared" si="17"/>
        <v>6.1010739643968179</v>
      </c>
      <c r="AV115" s="1442">
        <f t="shared" si="17"/>
        <v>6.1010739643968179</v>
      </c>
      <c r="AW115" s="1442">
        <f t="shared" si="17"/>
        <v>6.1010739643968179</v>
      </c>
      <c r="AX115" s="1442">
        <f t="shared" si="17"/>
        <v>6.1010739643968179</v>
      </c>
      <c r="AY115" s="1442">
        <f t="shared" si="17"/>
        <v>6.1010739643968179</v>
      </c>
      <c r="AZ115" s="1442">
        <f t="shared" si="17"/>
        <v>6.1010739643968179</v>
      </c>
      <c r="BA115" s="1442">
        <f t="shared" si="17"/>
        <v>6.1010739643968179</v>
      </c>
      <c r="BB115" s="1442">
        <f t="shared" si="17"/>
        <v>6.1010739643968179</v>
      </c>
      <c r="BC115" s="1442">
        <f t="shared" si="17"/>
        <v>6.1010739643968179</v>
      </c>
      <c r="BD115" s="1442">
        <f t="shared" si="17"/>
        <v>6.1010739643968179</v>
      </c>
      <c r="BE115" s="1442">
        <f t="shared" si="17"/>
        <v>6.1010739643968179</v>
      </c>
      <c r="BF115" s="1442">
        <f t="shared" si="17"/>
        <v>6.1010739643968179</v>
      </c>
      <c r="BG115" s="1442">
        <f t="shared" si="17"/>
        <v>6.1010739643968179</v>
      </c>
      <c r="BH115" s="1442">
        <f t="shared" si="17"/>
        <v>6.1010739643968179</v>
      </c>
      <c r="BI115" s="1442">
        <f t="shared" si="17"/>
        <v>6.1010739643968179</v>
      </c>
      <c r="BJ115" s="1442">
        <f t="shared" si="19"/>
        <v>6.1010739643968179</v>
      </c>
      <c r="BK115" s="1442">
        <f t="shared" si="19"/>
        <v>6.1010739643968179</v>
      </c>
      <c r="BL115" s="1442">
        <f t="shared" si="19"/>
        <v>6.1010739643968179</v>
      </c>
      <c r="BM115" s="1442">
        <f t="shared" si="19"/>
        <v>6.1010739643968179</v>
      </c>
      <c r="BN115" s="1443">
        <f t="shared" si="19"/>
        <v>6.1010739643968179</v>
      </c>
    </row>
    <row r="116" spans="1:66" s="91" customFormat="1">
      <c r="A116" s="1434">
        <v>45</v>
      </c>
      <c r="B116" s="1435">
        <v>0</v>
      </c>
      <c r="C116" s="1436" t="s">
        <v>69</v>
      </c>
      <c r="D116" s="1435" t="s">
        <v>91</v>
      </c>
      <c r="E116" s="1437">
        <v>2.6881074620384808</v>
      </c>
      <c r="F116" s="1437">
        <v>3.079793901061445</v>
      </c>
      <c r="G116" s="1437">
        <v>3.2167022140248087</v>
      </c>
      <c r="H116" s="1437">
        <v>3.2292901634297237</v>
      </c>
      <c r="I116" s="1437">
        <v>3.2776810505362071</v>
      </c>
      <c r="J116" s="1437">
        <v>3.3263188787388516</v>
      </c>
      <c r="K116" s="1437">
        <v>3.391100042557281</v>
      </c>
      <c r="L116" s="1437">
        <v>3.4602243895114611</v>
      </c>
      <c r="M116" s="1437">
        <v>3.5316010322794682</v>
      </c>
      <c r="N116" s="1437">
        <v>3.6043194277296897</v>
      </c>
      <c r="O116" s="1437">
        <v>3.6772721420078027</v>
      </c>
      <c r="P116" s="1437">
        <v>3.7546411236756887</v>
      </c>
      <c r="Q116" s="1437">
        <v>3.8336995037687545</v>
      </c>
      <c r="R116" s="1437">
        <v>3.9144860882257277</v>
      </c>
      <c r="S116" s="1437">
        <v>3.9970403564364907</v>
      </c>
      <c r="T116" s="1437">
        <v>4.0814025745375728</v>
      </c>
      <c r="U116" s="1437">
        <v>4.1676144660158938</v>
      </c>
      <c r="V116" s="1437">
        <v>4.2557182684585397</v>
      </c>
      <c r="W116" s="1437">
        <v>4.3456423562884874</v>
      </c>
      <c r="X116" s="1437">
        <v>4.4340419242014271</v>
      </c>
      <c r="Y116" s="1437">
        <v>4.5266757605859569</v>
      </c>
      <c r="Z116" s="1437">
        <v>4.6216213917978388</v>
      </c>
      <c r="AA116" s="1437">
        <v>4.7147937644877889</v>
      </c>
      <c r="AB116" s="1437">
        <v>4.8144205850148101</v>
      </c>
      <c r="AC116" s="1437">
        <v>4.9212777471307634</v>
      </c>
      <c r="AD116" s="1437">
        <v>5.0212830798281916</v>
      </c>
      <c r="AE116" s="1437">
        <f t="shared" si="18"/>
        <v>5.0212830798281916</v>
      </c>
      <c r="AF116" s="1437">
        <f t="shared" si="18"/>
        <v>5.0212830798281916</v>
      </c>
      <c r="AG116" s="1437">
        <f t="shared" si="18"/>
        <v>5.0212830798281916</v>
      </c>
      <c r="AH116" s="1437">
        <f t="shared" si="18"/>
        <v>5.0212830798281916</v>
      </c>
      <c r="AI116" s="1437">
        <f t="shared" si="18"/>
        <v>5.0212830798281916</v>
      </c>
      <c r="AJ116" s="1437">
        <f t="shared" si="18"/>
        <v>5.0212830798281916</v>
      </c>
      <c r="AK116" s="1437">
        <f t="shared" si="18"/>
        <v>5.0212830798281916</v>
      </c>
      <c r="AL116" s="1437">
        <f t="shared" si="18"/>
        <v>5.0212830798281916</v>
      </c>
      <c r="AM116" s="1437">
        <f t="shared" si="18"/>
        <v>5.0212830798281916</v>
      </c>
      <c r="AN116" s="1437">
        <f t="shared" si="18"/>
        <v>5.0212830798281916</v>
      </c>
      <c r="AO116" s="1437">
        <f t="shared" si="18"/>
        <v>5.0212830798281916</v>
      </c>
      <c r="AP116" s="1437">
        <f t="shared" si="18"/>
        <v>5.0212830798281916</v>
      </c>
      <c r="AQ116" s="1437">
        <f t="shared" si="18"/>
        <v>5.0212830798281916</v>
      </c>
      <c r="AR116" s="1437">
        <f t="shared" si="18"/>
        <v>5.0212830798281916</v>
      </c>
      <c r="AS116" s="1437">
        <f t="shared" si="18"/>
        <v>5.0212830798281916</v>
      </c>
      <c r="AT116" s="1437">
        <f t="shared" si="18"/>
        <v>5.0212830798281916</v>
      </c>
      <c r="AU116" s="1437">
        <f t="shared" si="17"/>
        <v>5.0212830798281916</v>
      </c>
      <c r="AV116" s="1437">
        <f t="shared" si="17"/>
        <v>5.0212830798281916</v>
      </c>
      <c r="AW116" s="1437">
        <f t="shared" si="17"/>
        <v>5.0212830798281916</v>
      </c>
      <c r="AX116" s="1437">
        <f t="shared" si="17"/>
        <v>5.0212830798281916</v>
      </c>
      <c r="AY116" s="1437">
        <f t="shared" si="17"/>
        <v>5.0212830798281916</v>
      </c>
      <c r="AZ116" s="1437">
        <f t="shared" si="17"/>
        <v>5.0212830798281916</v>
      </c>
      <c r="BA116" s="1437">
        <f t="shared" si="17"/>
        <v>5.0212830798281916</v>
      </c>
      <c r="BB116" s="1437">
        <f t="shared" si="17"/>
        <v>5.0212830798281916</v>
      </c>
      <c r="BC116" s="1437">
        <f t="shared" si="17"/>
        <v>5.0212830798281916</v>
      </c>
      <c r="BD116" s="1437">
        <f t="shared" si="17"/>
        <v>5.0212830798281916</v>
      </c>
      <c r="BE116" s="1437">
        <f t="shared" si="17"/>
        <v>5.0212830798281916</v>
      </c>
      <c r="BF116" s="1437">
        <f t="shared" si="17"/>
        <v>5.0212830798281916</v>
      </c>
      <c r="BG116" s="1437">
        <f t="shared" si="17"/>
        <v>5.0212830798281916</v>
      </c>
      <c r="BH116" s="1437">
        <f t="shared" si="17"/>
        <v>5.0212830798281916</v>
      </c>
      <c r="BI116" s="1437">
        <f t="shared" si="17"/>
        <v>5.0212830798281916</v>
      </c>
      <c r="BJ116" s="1437">
        <f t="shared" si="19"/>
        <v>5.0212830798281916</v>
      </c>
      <c r="BK116" s="1437">
        <f t="shared" si="19"/>
        <v>5.0212830798281916</v>
      </c>
      <c r="BL116" s="1437">
        <f t="shared" si="19"/>
        <v>5.0212830798281916</v>
      </c>
      <c r="BM116" s="1437">
        <f t="shared" si="19"/>
        <v>5.0212830798281916</v>
      </c>
      <c r="BN116" s="1438">
        <f t="shared" si="19"/>
        <v>5.0212830798281916</v>
      </c>
    </row>
    <row r="117" spans="1:66" s="91" customFormat="1">
      <c r="A117" s="1439">
        <v>142</v>
      </c>
      <c r="B117" s="1440">
        <v>0</v>
      </c>
      <c r="C117" s="1441" t="s">
        <v>202</v>
      </c>
      <c r="D117" s="1440" t="s">
        <v>203</v>
      </c>
      <c r="E117" s="1442">
        <v>5.107944179104253</v>
      </c>
      <c r="F117" s="1442">
        <v>5.6931322756868648</v>
      </c>
      <c r="G117" s="1442">
        <v>5.887941686432292</v>
      </c>
      <c r="H117" s="1442">
        <v>5.8993805198048808</v>
      </c>
      <c r="I117" s="1442">
        <v>5.9629852270660795</v>
      </c>
      <c r="J117" s="1442">
        <v>6.0265867622529381</v>
      </c>
      <c r="K117" s="1442">
        <v>6.1132403622335847</v>
      </c>
      <c r="L117" s="1442">
        <v>6.2056277202194448</v>
      </c>
      <c r="M117" s="1442">
        <v>6.3006697720497762</v>
      </c>
      <c r="N117" s="1442">
        <v>6.3970315848363635</v>
      </c>
      <c r="O117" s="1442">
        <v>6.493123941717597</v>
      </c>
      <c r="P117" s="1442">
        <v>6.5948719658655985</v>
      </c>
      <c r="Q117" s="1442">
        <v>6.6983589315957994</v>
      </c>
      <c r="R117" s="1442">
        <v>6.8036187934814754</v>
      </c>
      <c r="S117" s="1442">
        <v>6.9106858961061359</v>
      </c>
      <c r="T117" s="1442">
        <v>7.019595126367502</v>
      </c>
      <c r="U117" s="1442">
        <v>7.1303828306868215</v>
      </c>
      <c r="V117" s="1442">
        <v>7.2430854891743977</v>
      </c>
      <c r="W117" s="1442">
        <v>7.35758343778362</v>
      </c>
      <c r="X117" s="1442">
        <v>7.4693087196822576</v>
      </c>
      <c r="Y117" s="1442">
        <v>7.5861013096029861</v>
      </c>
      <c r="Z117" s="1442">
        <v>7.7053057302706733</v>
      </c>
      <c r="AA117" s="1442">
        <v>7.8214188678498688</v>
      </c>
      <c r="AB117" s="1442">
        <v>7.9454678446589</v>
      </c>
      <c r="AC117" s="1442">
        <v>8.0783738626621115</v>
      </c>
      <c r="AD117" s="1442">
        <v>8.2014180632987159</v>
      </c>
      <c r="AE117" s="1442">
        <f t="shared" si="18"/>
        <v>8.2014180632987159</v>
      </c>
      <c r="AF117" s="1442">
        <f t="shared" si="18"/>
        <v>8.2014180632987159</v>
      </c>
      <c r="AG117" s="1442">
        <f t="shared" si="18"/>
        <v>8.2014180632987159</v>
      </c>
      <c r="AH117" s="1442">
        <f t="shared" si="18"/>
        <v>8.2014180632987159</v>
      </c>
      <c r="AI117" s="1442">
        <f t="shared" si="18"/>
        <v>8.2014180632987159</v>
      </c>
      <c r="AJ117" s="1442">
        <f t="shared" si="18"/>
        <v>8.2014180632987159</v>
      </c>
      <c r="AK117" s="1442">
        <f t="shared" si="18"/>
        <v>8.2014180632987159</v>
      </c>
      <c r="AL117" s="1442">
        <f t="shared" si="18"/>
        <v>8.2014180632987159</v>
      </c>
      <c r="AM117" s="1442">
        <f t="shared" si="18"/>
        <v>8.2014180632987159</v>
      </c>
      <c r="AN117" s="1442">
        <f t="shared" si="18"/>
        <v>8.2014180632987159</v>
      </c>
      <c r="AO117" s="1442">
        <f t="shared" si="18"/>
        <v>8.2014180632987159</v>
      </c>
      <c r="AP117" s="1442">
        <f t="shared" si="18"/>
        <v>8.2014180632987159</v>
      </c>
      <c r="AQ117" s="1442">
        <f t="shared" si="18"/>
        <v>8.2014180632987159</v>
      </c>
      <c r="AR117" s="1442">
        <f t="shared" si="18"/>
        <v>8.2014180632987159</v>
      </c>
      <c r="AS117" s="1442">
        <f t="shared" si="18"/>
        <v>8.2014180632987159</v>
      </c>
      <c r="AT117" s="1442">
        <f t="shared" si="18"/>
        <v>8.2014180632987159</v>
      </c>
      <c r="AU117" s="1442">
        <f t="shared" si="17"/>
        <v>8.2014180632987159</v>
      </c>
      <c r="AV117" s="1442">
        <f t="shared" si="17"/>
        <v>8.2014180632987159</v>
      </c>
      <c r="AW117" s="1442">
        <f t="shared" si="17"/>
        <v>8.2014180632987159</v>
      </c>
      <c r="AX117" s="1442">
        <f t="shared" si="17"/>
        <v>8.2014180632987159</v>
      </c>
      <c r="AY117" s="1442">
        <f t="shared" si="17"/>
        <v>8.2014180632987159</v>
      </c>
      <c r="AZ117" s="1442">
        <f t="shared" si="17"/>
        <v>8.2014180632987159</v>
      </c>
      <c r="BA117" s="1442">
        <f t="shared" si="17"/>
        <v>8.2014180632987159</v>
      </c>
      <c r="BB117" s="1442">
        <f t="shared" si="17"/>
        <v>8.2014180632987159</v>
      </c>
      <c r="BC117" s="1442">
        <f t="shared" si="17"/>
        <v>8.2014180632987159</v>
      </c>
      <c r="BD117" s="1442">
        <f t="shared" si="17"/>
        <v>8.2014180632987159</v>
      </c>
      <c r="BE117" s="1442">
        <f t="shared" si="17"/>
        <v>8.2014180632987159</v>
      </c>
      <c r="BF117" s="1442">
        <f t="shared" si="17"/>
        <v>8.2014180632987159</v>
      </c>
      <c r="BG117" s="1442">
        <f t="shared" si="17"/>
        <v>8.2014180632987159</v>
      </c>
      <c r="BH117" s="1442">
        <f t="shared" si="17"/>
        <v>8.2014180632987159</v>
      </c>
      <c r="BI117" s="1442">
        <f t="shared" si="17"/>
        <v>8.2014180632987159</v>
      </c>
      <c r="BJ117" s="1442">
        <f t="shared" si="19"/>
        <v>8.2014180632987159</v>
      </c>
      <c r="BK117" s="1442">
        <f t="shared" si="19"/>
        <v>8.2014180632987159</v>
      </c>
      <c r="BL117" s="1442">
        <f t="shared" si="19"/>
        <v>8.2014180632987159</v>
      </c>
      <c r="BM117" s="1442">
        <f t="shared" si="19"/>
        <v>8.2014180632987159</v>
      </c>
      <c r="BN117" s="1443">
        <f t="shared" si="19"/>
        <v>8.2014180632987159</v>
      </c>
    </row>
    <row r="118" spans="1:66" s="91" customFormat="1">
      <c r="A118" s="1434">
        <v>173</v>
      </c>
      <c r="B118" s="1435">
        <v>0</v>
      </c>
      <c r="C118" s="1436" t="s">
        <v>246</v>
      </c>
      <c r="D118" s="1435" t="s">
        <v>35</v>
      </c>
      <c r="E118" s="1437">
        <v>4.0282539754149616</v>
      </c>
      <c r="F118" s="1437">
        <v>4.7810911606797708</v>
      </c>
      <c r="G118" s="1437">
        <v>5.0397995079300202</v>
      </c>
      <c r="H118" s="1437">
        <v>5.0499032229468135</v>
      </c>
      <c r="I118" s="1437">
        <v>5.1314097849629468</v>
      </c>
      <c r="J118" s="1437">
        <v>5.2130996722088598</v>
      </c>
      <c r="K118" s="1437">
        <v>5.3270673478672768</v>
      </c>
      <c r="L118" s="1437">
        <v>5.4496704217182401</v>
      </c>
      <c r="M118" s="1437">
        <v>5.5767154298678543</v>
      </c>
      <c r="N118" s="1437">
        <v>5.706358818765584</v>
      </c>
      <c r="O118" s="1437">
        <v>5.8363248780870194</v>
      </c>
      <c r="P118" s="1437">
        <v>5.9751930149496388</v>
      </c>
      <c r="Q118" s="1437">
        <v>6.1173925109011593</v>
      </c>
      <c r="R118" s="1437">
        <v>6.2630045561166057</v>
      </c>
      <c r="S118" s="1437">
        <v>6.4121118021047998</v>
      </c>
      <c r="T118" s="1437">
        <v>6.5647985890745773</v>
      </c>
      <c r="U118" s="1437">
        <v>6.7211523468141916</v>
      </c>
      <c r="V118" s="1437">
        <v>6.88126162716505</v>
      </c>
      <c r="W118" s="1437">
        <v>7.0449742638253881</v>
      </c>
      <c r="X118" s="1437">
        <v>7.2051886560986063</v>
      </c>
      <c r="Y118" s="1437">
        <v>7.3740858464201979</v>
      </c>
      <c r="Z118" s="1437">
        <v>7.5476063837119423</v>
      </c>
      <c r="AA118" s="1437">
        <v>7.7169893221366772</v>
      </c>
      <c r="AB118" s="1437">
        <v>7.8998564740143982</v>
      </c>
      <c r="AC118" s="1437">
        <v>8.0979860492059448</v>
      </c>
      <c r="AD118" s="1437">
        <v>8.2809403776785011</v>
      </c>
      <c r="AE118" s="1437">
        <f t="shared" si="18"/>
        <v>8.2809403776785011</v>
      </c>
      <c r="AF118" s="1437">
        <f t="shared" si="18"/>
        <v>8.2809403776785011</v>
      </c>
      <c r="AG118" s="1437">
        <f t="shared" si="18"/>
        <v>8.2809403776785011</v>
      </c>
      <c r="AH118" s="1437">
        <f t="shared" si="18"/>
        <v>8.2809403776785011</v>
      </c>
      <c r="AI118" s="1437">
        <f t="shared" si="18"/>
        <v>8.2809403776785011</v>
      </c>
      <c r="AJ118" s="1437">
        <f t="shared" si="18"/>
        <v>8.2809403776785011</v>
      </c>
      <c r="AK118" s="1437">
        <f t="shared" si="18"/>
        <v>8.2809403776785011</v>
      </c>
      <c r="AL118" s="1437">
        <f t="shared" si="18"/>
        <v>8.2809403776785011</v>
      </c>
      <c r="AM118" s="1437">
        <f t="shared" si="18"/>
        <v>8.2809403776785011</v>
      </c>
      <c r="AN118" s="1437">
        <f t="shared" si="18"/>
        <v>8.2809403776785011</v>
      </c>
      <c r="AO118" s="1437">
        <f t="shared" si="18"/>
        <v>8.2809403776785011</v>
      </c>
      <c r="AP118" s="1437">
        <f t="shared" si="18"/>
        <v>8.2809403776785011</v>
      </c>
      <c r="AQ118" s="1437">
        <f t="shared" si="18"/>
        <v>8.2809403776785011</v>
      </c>
      <c r="AR118" s="1437">
        <f t="shared" si="18"/>
        <v>8.2809403776785011</v>
      </c>
      <c r="AS118" s="1437">
        <f t="shared" si="18"/>
        <v>8.2809403776785011</v>
      </c>
      <c r="AT118" s="1437">
        <f t="shared" ref="AT118:BI134" si="20">AS118</f>
        <v>8.2809403776785011</v>
      </c>
      <c r="AU118" s="1437">
        <f t="shared" si="20"/>
        <v>8.2809403776785011</v>
      </c>
      <c r="AV118" s="1437">
        <f t="shared" si="20"/>
        <v>8.2809403776785011</v>
      </c>
      <c r="AW118" s="1437">
        <f t="shared" si="20"/>
        <v>8.2809403776785011</v>
      </c>
      <c r="AX118" s="1437">
        <f t="shared" si="20"/>
        <v>8.2809403776785011</v>
      </c>
      <c r="AY118" s="1437">
        <f t="shared" si="20"/>
        <v>8.2809403776785011</v>
      </c>
      <c r="AZ118" s="1437">
        <f t="shared" si="20"/>
        <v>8.2809403776785011</v>
      </c>
      <c r="BA118" s="1437">
        <f t="shared" si="20"/>
        <v>8.2809403776785011</v>
      </c>
      <c r="BB118" s="1437">
        <f t="shared" si="20"/>
        <v>8.2809403776785011</v>
      </c>
      <c r="BC118" s="1437">
        <f t="shared" si="20"/>
        <v>8.2809403776785011</v>
      </c>
      <c r="BD118" s="1437">
        <f t="shared" si="20"/>
        <v>8.2809403776785011</v>
      </c>
      <c r="BE118" s="1437">
        <f t="shared" si="20"/>
        <v>8.2809403776785011</v>
      </c>
      <c r="BF118" s="1437">
        <f t="shared" si="20"/>
        <v>8.2809403776785011</v>
      </c>
      <c r="BG118" s="1437">
        <f t="shared" si="20"/>
        <v>8.2809403776785011</v>
      </c>
      <c r="BH118" s="1437">
        <f t="shared" si="20"/>
        <v>8.2809403776785011</v>
      </c>
      <c r="BI118" s="1437">
        <f t="shared" si="20"/>
        <v>8.2809403776785011</v>
      </c>
      <c r="BJ118" s="1437">
        <f t="shared" si="19"/>
        <v>8.2809403776785011</v>
      </c>
      <c r="BK118" s="1437">
        <f t="shared" si="19"/>
        <v>8.2809403776785011</v>
      </c>
      <c r="BL118" s="1437">
        <f t="shared" si="19"/>
        <v>8.2809403776785011</v>
      </c>
      <c r="BM118" s="1437">
        <f t="shared" si="19"/>
        <v>8.2809403776785011</v>
      </c>
      <c r="BN118" s="1438">
        <f t="shared" si="19"/>
        <v>8.2809403776785011</v>
      </c>
    </row>
    <row r="119" spans="1:66" s="91" customFormat="1">
      <c r="A119" s="1439">
        <v>46</v>
      </c>
      <c r="B119" s="1440">
        <v>0</v>
      </c>
      <c r="C119" s="1441" t="s">
        <v>69</v>
      </c>
      <c r="D119" s="1440" t="s">
        <v>31</v>
      </c>
      <c r="E119" s="1442">
        <v>5.6748295672062889</v>
      </c>
      <c r="F119" s="1442">
        <v>6.3298566994169496</v>
      </c>
      <c r="G119" s="1442">
        <v>6.5467052104210577</v>
      </c>
      <c r="H119" s="1442">
        <v>6.5577011420459446</v>
      </c>
      <c r="I119" s="1442">
        <v>6.6271881797090488</v>
      </c>
      <c r="J119" s="1442">
        <v>6.6966147393949091</v>
      </c>
      <c r="K119" s="1442">
        <v>6.7918542736825964</v>
      </c>
      <c r="L119" s="1442">
        <v>6.8934684869526226</v>
      </c>
      <c r="M119" s="1442">
        <v>6.9979998982083016</v>
      </c>
      <c r="N119" s="1442">
        <v>7.103948430891867</v>
      </c>
      <c r="O119" s="1442">
        <v>7.2095285666125992</v>
      </c>
      <c r="P119" s="1442">
        <v>7.3213881604209678</v>
      </c>
      <c r="Q119" s="1442">
        <v>7.4351293867003561</v>
      </c>
      <c r="R119" s="1442">
        <v>7.5507882530068038</v>
      </c>
      <c r="S119" s="1442">
        <v>7.6684011416076885</v>
      </c>
      <c r="T119" s="1442">
        <v>7.7880049785241985</v>
      </c>
      <c r="U119" s="1442">
        <v>7.9096382609792508</v>
      </c>
      <c r="V119" s="1442">
        <v>8.033339567392904</v>
      </c>
      <c r="W119" s="1442">
        <v>8.1589721628754042</v>
      </c>
      <c r="X119" s="1442">
        <v>8.2814068688419091</v>
      </c>
      <c r="Y119" s="1442">
        <v>8.4094399971899456</v>
      </c>
      <c r="Z119" s="1442">
        <v>8.5400886146430608</v>
      </c>
      <c r="AA119" s="1442">
        <v>8.6671737725300755</v>
      </c>
      <c r="AB119" s="1442">
        <v>8.8030685160059949</v>
      </c>
      <c r="AC119" s="1442">
        <v>8.9488038137663555</v>
      </c>
      <c r="AD119" s="1442">
        <v>9.0833682792569057</v>
      </c>
      <c r="AE119" s="1442">
        <f t="shared" ref="AE119:AT134" si="21">AD119</f>
        <v>9.0833682792569057</v>
      </c>
      <c r="AF119" s="1442">
        <f t="shared" si="21"/>
        <v>9.0833682792569057</v>
      </c>
      <c r="AG119" s="1442">
        <f t="shared" si="21"/>
        <v>9.0833682792569057</v>
      </c>
      <c r="AH119" s="1442">
        <f t="shared" si="21"/>
        <v>9.0833682792569057</v>
      </c>
      <c r="AI119" s="1442">
        <f t="shared" si="21"/>
        <v>9.0833682792569057</v>
      </c>
      <c r="AJ119" s="1442">
        <f t="shared" si="21"/>
        <v>9.0833682792569057</v>
      </c>
      <c r="AK119" s="1442">
        <f t="shared" si="21"/>
        <v>9.0833682792569057</v>
      </c>
      <c r="AL119" s="1442">
        <f t="shared" si="21"/>
        <v>9.0833682792569057</v>
      </c>
      <c r="AM119" s="1442">
        <f t="shared" si="21"/>
        <v>9.0833682792569057</v>
      </c>
      <c r="AN119" s="1442">
        <f t="shared" si="21"/>
        <v>9.0833682792569057</v>
      </c>
      <c r="AO119" s="1442">
        <f t="shared" si="21"/>
        <v>9.0833682792569057</v>
      </c>
      <c r="AP119" s="1442">
        <f t="shared" si="21"/>
        <v>9.0833682792569057</v>
      </c>
      <c r="AQ119" s="1442">
        <f t="shared" si="21"/>
        <v>9.0833682792569057</v>
      </c>
      <c r="AR119" s="1442">
        <f t="shared" si="21"/>
        <v>9.0833682792569057</v>
      </c>
      <c r="AS119" s="1442">
        <f t="shared" si="21"/>
        <v>9.0833682792569057</v>
      </c>
      <c r="AT119" s="1442">
        <f t="shared" si="21"/>
        <v>9.0833682792569057</v>
      </c>
      <c r="AU119" s="1442">
        <f t="shared" si="20"/>
        <v>9.0833682792569057</v>
      </c>
      <c r="AV119" s="1442">
        <f t="shared" si="20"/>
        <v>9.0833682792569057</v>
      </c>
      <c r="AW119" s="1442">
        <f t="shared" si="20"/>
        <v>9.0833682792569057</v>
      </c>
      <c r="AX119" s="1442">
        <f t="shared" si="20"/>
        <v>9.0833682792569057</v>
      </c>
      <c r="AY119" s="1442">
        <f t="shared" si="20"/>
        <v>9.0833682792569057</v>
      </c>
      <c r="AZ119" s="1442">
        <f t="shared" si="20"/>
        <v>9.0833682792569057</v>
      </c>
      <c r="BA119" s="1442">
        <f t="shared" si="20"/>
        <v>9.0833682792569057</v>
      </c>
      <c r="BB119" s="1442">
        <f t="shared" si="20"/>
        <v>9.0833682792569057</v>
      </c>
      <c r="BC119" s="1442">
        <f t="shared" si="20"/>
        <v>9.0833682792569057</v>
      </c>
      <c r="BD119" s="1442">
        <f t="shared" si="20"/>
        <v>9.0833682792569057</v>
      </c>
      <c r="BE119" s="1442">
        <f t="shared" si="20"/>
        <v>9.0833682792569057</v>
      </c>
      <c r="BF119" s="1442">
        <f t="shared" si="20"/>
        <v>9.0833682792569057</v>
      </c>
      <c r="BG119" s="1442">
        <f t="shared" si="20"/>
        <v>9.0833682792569057</v>
      </c>
      <c r="BH119" s="1442">
        <f t="shared" si="20"/>
        <v>9.0833682792569057</v>
      </c>
      <c r="BI119" s="1442">
        <f t="shared" si="20"/>
        <v>9.0833682792569057</v>
      </c>
      <c r="BJ119" s="1442">
        <f t="shared" ref="BJ119:BN134" si="22">BI119</f>
        <v>9.0833682792569057</v>
      </c>
      <c r="BK119" s="1442">
        <f t="shared" si="22"/>
        <v>9.0833682792569057</v>
      </c>
      <c r="BL119" s="1442">
        <f t="shared" si="22"/>
        <v>9.0833682792569057</v>
      </c>
      <c r="BM119" s="1442">
        <f t="shared" si="22"/>
        <v>9.0833682792569057</v>
      </c>
      <c r="BN119" s="1443">
        <f t="shared" si="22"/>
        <v>9.0833682792569057</v>
      </c>
    </row>
    <row r="120" spans="1:66" s="91" customFormat="1">
      <c r="A120" s="1434">
        <v>143</v>
      </c>
      <c r="B120" s="1435">
        <v>0</v>
      </c>
      <c r="C120" s="1436" t="s">
        <v>204</v>
      </c>
      <c r="D120" s="1435" t="s">
        <v>21</v>
      </c>
      <c r="E120" s="1437">
        <v>2.6343219528141537</v>
      </c>
      <c r="F120" s="1437">
        <v>3.0168417015358675</v>
      </c>
      <c r="G120" s="1437">
        <v>3.1507804940454509</v>
      </c>
      <c r="H120" s="1437">
        <v>3.163428470967979</v>
      </c>
      <c r="I120" s="1437">
        <v>3.2110209467435245</v>
      </c>
      <c r="J120" s="1437">
        <v>3.258865667324605</v>
      </c>
      <c r="K120" s="1437">
        <v>3.3224733508887656</v>
      </c>
      <c r="L120" s="1437">
        <v>3.390330739611787</v>
      </c>
      <c r="M120" s="1437">
        <v>3.4603980792620108</v>
      </c>
      <c r="N120" s="1437">
        <v>3.5317873080520177</v>
      </c>
      <c r="O120" s="1437">
        <v>3.6034182657220026</v>
      </c>
      <c r="P120" s="1437">
        <v>3.6793717427367545</v>
      </c>
      <c r="Q120" s="1437">
        <v>3.7569874920317812</v>
      </c>
      <c r="R120" s="1437">
        <v>3.8363037941491016</v>
      </c>
      <c r="S120" s="1437">
        <v>3.9173595992364127</v>
      </c>
      <c r="T120" s="1437">
        <v>4.0001946379666444</v>
      </c>
      <c r="U120" s="1437">
        <v>4.0848500762437983</v>
      </c>
      <c r="V120" s="1437">
        <v>4.1713675952559504</v>
      </c>
      <c r="W120" s="1437">
        <v>4.2596777920671522</v>
      </c>
      <c r="X120" s="1437">
        <v>4.3465175817968493</v>
      </c>
      <c r="Y120" s="1437">
        <v>4.4375064237939705</v>
      </c>
      <c r="Z120" s="1437">
        <v>4.5307690563905743</v>
      </c>
      <c r="AA120" s="1437">
        <v>4.6223201684169553</v>
      </c>
      <c r="AB120" s="1437">
        <v>4.7201882315086321</v>
      </c>
      <c r="AC120" s="1437">
        <v>4.8251308753697986</v>
      </c>
      <c r="AD120" s="1437">
        <v>4.9234084836377541</v>
      </c>
      <c r="AE120" s="1437">
        <f t="shared" si="21"/>
        <v>4.9234084836377541</v>
      </c>
      <c r="AF120" s="1437">
        <f t="shared" si="21"/>
        <v>4.9234084836377541</v>
      </c>
      <c r="AG120" s="1437">
        <f t="shared" si="21"/>
        <v>4.9234084836377541</v>
      </c>
      <c r="AH120" s="1437">
        <f t="shared" si="21"/>
        <v>4.9234084836377541</v>
      </c>
      <c r="AI120" s="1437">
        <f t="shared" si="21"/>
        <v>4.9234084836377541</v>
      </c>
      <c r="AJ120" s="1437">
        <f t="shared" si="21"/>
        <v>4.9234084836377541</v>
      </c>
      <c r="AK120" s="1437">
        <f t="shared" si="21"/>
        <v>4.9234084836377541</v>
      </c>
      <c r="AL120" s="1437">
        <f t="shared" si="21"/>
        <v>4.9234084836377541</v>
      </c>
      <c r="AM120" s="1437">
        <f t="shared" si="21"/>
        <v>4.9234084836377541</v>
      </c>
      <c r="AN120" s="1437">
        <f t="shared" si="21"/>
        <v>4.9234084836377541</v>
      </c>
      <c r="AO120" s="1437">
        <f t="shared" si="21"/>
        <v>4.9234084836377541</v>
      </c>
      <c r="AP120" s="1437">
        <f t="shared" si="21"/>
        <v>4.9234084836377541</v>
      </c>
      <c r="AQ120" s="1437">
        <f t="shared" si="21"/>
        <v>4.9234084836377541</v>
      </c>
      <c r="AR120" s="1437">
        <f t="shared" si="21"/>
        <v>4.9234084836377541</v>
      </c>
      <c r="AS120" s="1437">
        <f t="shared" si="21"/>
        <v>4.9234084836377541</v>
      </c>
      <c r="AT120" s="1437">
        <f t="shared" si="21"/>
        <v>4.9234084836377541</v>
      </c>
      <c r="AU120" s="1437">
        <f t="shared" si="20"/>
        <v>4.9234084836377541</v>
      </c>
      <c r="AV120" s="1437">
        <f t="shared" si="20"/>
        <v>4.9234084836377541</v>
      </c>
      <c r="AW120" s="1437">
        <f t="shared" si="20"/>
        <v>4.9234084836377541</v>
      </c>
      <c r="AX120" s="1437">
        <f t="shared" si="20"/>
        <v>4.9234084836377541</v>
      </c>
      <c r="AY120" s="1437">
        <f t="shared" si="20"/>
        <v>4.9234084836377541</v>
      </c>
      <c r="AZ120" s="1437">
        <f t="shared" si="20"/>
        <v>4.9234084836377541</v>
      </c>
      <c r="BA120" s="1437">
        <f t="shared" si="20"/>
        <v>4.9234084836377541</v>
      </c>
      <c r="BB120" s="1437">
        <f t="shared" si="20"/>
        <v>4.9234084836377541</v>
      </c>
      <c r="BC120" s="1437">
        <f t="shared" si="20"/>
        <v>4.9234084836377541</v>
      </c>
      <c r="BD120" s="1437">
        <f t="shared" si="20"/>
        <v>4.9234084836377541</v>
      </c>
      <c r="BE120" s="1437">
        <f t="shared" si="20"/>
        <v>4.9234084836377541</v>
      </c>
      <c r="BF120" s="1437">
        <f t="shared" si="20"/>
        <v>4.9234084836377541</v>
      </c>
      <c r="BG120" s="1437">
        <f t="shared" si="20"/>
        <v>4.9234084836377541</v>
      </c>
      <c r="BH120" s="1437">
        <f t="shared" si="20"/>
        <v>4.9234084836377541</v>
      </c>
      <c r="BI120" s="1437">
        <f t="shared" si="20"/>
        <v>4.9234084836377541</v>
      </c>
      <c r="BJ120" s="1437">
        <f t="shared" si="22"/>
        <v>4.9234084836377541</v>
      </c>
      <c r="BK120" s="1437">
        <f t="shared" si="22"/>
        <v>4.9234084836377541</v>
      </c>
      <c r="BL120" s="1437">
        <f t="shared" si="22"/>
        <v>4.9234084836377541</v>
      </c>
      <c r="BM120" s="1437">
        <f t="shared" si="22"/>
        <v>4.9234084836377541</v>
      </c>
      <c r="BN120" s="1438">
        <f t="shared" si="22"/>
        <v>4.9234084836377541</v>
      </c>
    </row>
    <row r="121" spans="1:66" s="91" customFormat="1">
      <c r="A121" s="1439">
        <v>47</v>
      </c>
      <c r="B121" s="1440">
        <v>0</v>
      </c>
      <c r="C121" s="1441" t="s">
        <v>69</v>
      </c>
      <c r="D121" s="1440" t="s">
        <v>92</v>
      </c>
      <c r="E121" s="1442">
        <v>3.4108321135465736</v>
      </c>
      <c r="F121" s="1442">
        <v>3.9256928638105499</v>
      </c>
      <c r="G121" s="1442">
        <v>4.1025031069788209</v>
      </c>
      <c r="H121" s="1442">
        <v>4.1142844568484094</v>
      </c>
      <c r="I121" s="1442">
        <v>4.1734037271055584</v>
      </c>
      <c r="J121" s="1442">
        <v>4.2326986716517983</v>
      </c>
      <c r="K121" s="1442">
        <v>4.3132480808591653</v>
      </c>
      <c r="L121" s="1442">
        <v>4.3993967520094852</v>
      </c>
      <c r="M121" s="1442">
        <v>4.48836671411508</v>
      </c>
      <c r="N121" s="1442">
        <v>4.5789453385591985</v>
      </c>
      <c r="O121" s="1442">
        <v>4.6696587117538915</v>
      </c>
      <c r="P121" s="1442">
        <v>4.7660480600948407</v>
      </c>
      <c r="Q121" s="1442">
        <v>4.8644913052901302</v>
      </c>
      <c r="R121" s="1442">
        <v>4.9650343131196548</v>
      </c>
      <c r="S121" s="1442">
        <v>5.0677236744867837</v>
      </c>
      <c r="T121" s="1442">
        <v>5.1726068506396805</v>
      </c>
      <c r="U121" s="1442">
        <v>5.2797330573978067</v>
      </c>
      <c r="V121" s="1442">
        <v>5.3891520087724025</v>
      </c>
      <c r="W121" s="1442">
        <v>5.5007622131961353</v>
      </c>
      <c r="X121" s="1442">
        <v>5.6101207747147974</v>
      </c>
      <c r="Y121" s="1442">
        <v>5.7248586687259717</v>
      </c>
      <c r="Z121" s="1442">
        <v>5.8424190265669615</v>
      </c>
      <c r="AA121" s="1442">
        <v>5.9573765429690422</v>
      </c>
      <c r="AB121" s="1442">
        <v>6.0806360737348966</v>
      </c>
      <c r="AC121" s="1442">
        <v>6.2132189296009175</v>
      </c>
      <c r="AD121" s="1442">
        <v>6.3364399769806168</v>
      </c>
      <c r="AE121" s="1442">
        <f t="shared" si="21"/>
        <v>6.3364399769806168</v>
      </c>
      <c r="AF121" s="1442">
        <f t="shared" si="21"/>
        <v>6.3364399769806168</v>
      </c>
      <c r="AG121" s="1442">
        <f t="shared" si="21"/>
        <v>6.3364399769806168</v>
      </c>
      <c r="AH121" s="1442">
        <f t="shared" si="21"/>
        <v>6.3364399769806168</v>
      </c>
      <c r="AI121" s="1442">
        <f t="shared" si="21"/>
        <v>6.3364399769806168</v>
      </c>
      <c r="AJ121" s="1442">
        <f t="shared" si="21"/>
        <v>6.3364399769806168</v>
      </c>
      <c r="AK121" s="1442">
        <f t="shared" si="21"/>
        <v>6.3364399769806168</v>
      </c>
      <c r="AL121" s="1442">
        <f t="shared" si="21"/>
        <v>6.3364399769806168</v>
      </c>
      <c r="AM121" s="1442">
        <f t="shared" si="21"/>
        <v>6.3364399769806168</v>
      </c>
      <c r="AN121" s="1442">
        <f t="shared" si="21"/>
        <v>6.3364399769806168</v>
      </c>
      <c r="AO121" s="1442">
        <f t="shared" si="21"/>
        <v>6.3364399769806168</v>
      </c>
      <c r="AP121" s="1442">
        <f t="shared" si="21"/>
        <v>6.3364399769806168</v>
      </c>
      <c r="AQ121" s="1442">
        <f t="shared" si="21"/>
        <v>6.3364399769806168</v>
      </c>
      <c r="AR121" s="1442">
        <f t="shared" si="21"/>
        <v>6.3364399769806168</v>
      </c>
      <c r="AS121" s="1442">
        <f t="shared" si="21"/>
        <v>6.3364399769806168</v>
      </c>
      <c r="AT121" s="1442">
        <f t="shared" si="21"/>
        <v>6.3364399769806168</v>
      </c>
      <c r="AU121" s="1442">
        <f t="shared" si="20"/>
        <v>6.3364399769806168</v>
      </c>
      <c r="AV121" s="1442">
        <f t="shared" si="20"/>
        <v>6.3364399769806168</v>
      </c>
      <c r="AW121" s="1442">
        <f t="shared" si="20"/>
        <v>6.3364399769806168</v>
      </c>
      <c r="AX121" s="1442">
        <f t="shared" si="20"/>
        <v>6.3364399769806168</v>
      </c>
      <c r="AY121" s="1442">
        <f t="shared" si="20"/>
        <v>6.3364399769806168</v>
      </c>
      <c r="AZ121" s="1442">
        <f t="shared" si="20"/>
        <v>6.3364399769806168</v>
      </c>
      <c r="BA121" s="1442">
        <f t="shared" si="20"/>
        <v>6.3364399769806168</v>
      </c>
      <c r="BB121" s="1442">
        <f t="shared" si="20"/>
        <v>6.3364399769806168</v>
      </c>
      <c r="BC121" s="1442">
        <f t="shared" si="20"/>
        <v>6.3364399769806168</v>
      </c>
      <c r="BD121" s="1442">
        <f t="shared" si="20"/>
        <v>6.3364399769806168</v>
      </c>
      <c r="BE121" s="1442">
        <f t="shared" si="20"/>
        <v>6.3364399769806168</v>
      </c>
      <c r="BF121" s="1442">
        <f t="shared" si="20"/>
        <v>6.3364399769806168</v>
      </c>
      <c r="BG121" s="1442">
        <f t="shared" si="20"/>
        <v>6.3364399769806168</v>
      </c>
      <c r="BH121" s="1442">
        <f t="shared" si="20"/>
        <v>6.3364399769806168</v>
      </c>
      <c r="BI121" s="1442">
        <f t="shared" si="20"/>
        <v>6.3364399769806168</v>
      </c>
      <c r="BJ121" s="1442">
        <f t="shared" si="22"/>
        <v>6.3364399769806168</v>
      </c>
      <c r="BK121" s="1442">
        <f t="shared" si="22"/>
        <v>6.3364399769806168</v>
      </c>
      <c r="BL121" s="1442">
        <f t="shared" si="22"/>
        <v>6.3364399769806168</v>
      </c>
      <c r="BM121" s="1442">
        <f t="shared" si="22"/>
        <v>6.3364399769806168</v>
      </c>
      <c r="BN121" s="1443">
        <f t="shared" si="22"/>
        <v>6.3364399769806168</v>
      </c>
    </row>
    <row r="122" spans="1:66" s="91" customFormat="1">
      <c r="A122" s="1434">
        <v>145</v>
      </c>
      <c r="B122" s="1435">
        <v>0</v>
      </c>
      <c r="C122" s="1436" t="s">
        <v>54</v>
      </c>
      <c r="D122" s="1435" t="s">
        <v>65</v>
      </c>
      <c r="E122" s="1437">
        <v>2.6442150508873872</v>
      </c>
      <c r="F122" s="1437">
        <v>3.1092326215971946</v>
      </c>
      <c r="G122" s="1437">
        <v>3.2728206502725516</v>
      </c>
      <c r="H122" s="1437">
        <v>3.2848558346409154</v>
      </c>
      <c r="I122" s="1437">
        <v>3.3406436195502964</v>
      </c>
      <c r="J122" s="1437">
        <v>3.3967243406608381</v>
      </c>
      <c r="K122" s="1437">
        <v>3.4726900187106509</v>
      </c>
      <c r="L122" s="1437">
        <v>3.5541174059487881</v>
      </c>
      <c r="M122" s="1437">
        <v>3.6384530027976272</v>
      </c>
      <c r="N122" s="1437">
        <v>3.7245776480067865</v>
      </c>
      <c r="O122" s="1437">
        <v>3.811108687372796</v>
      </c>
      <c r="P122" s="1437">
        <v>3.9032879731217349</v>
      </c>
      <c r="Q122" s="1437">
        <v>3.9977223923824856</v>
      </c>
      <c r="R122" s="1437">
        <v>4.0944681425191813</v>
      </c>
      <c r="S122" s="1437">
        <v>4.1935825120256389</v>
      </c>
      <c r="T122" s="1437">
        <v>4.2951240252673291</v>
      </c>
      <c r="U122" s="1437">
        <v>4.3991533034808752</v>
      </c>
      <c r="V122" s="1437">
        <v>4.5057318705003162</v>
      </c>
      <c r="W122" s="1437">
        <v>4.6147745902744104</v>
      </c>
      <c r="X122" s="1437">
        <v>4.7219561212389776</v>
      </c>
      <c r="Y122" s="1437">
        <v>4.8347174156181927</v>
      </c>
      <c r="Z122" s="1437">
        <v>4.9505898456728179</v>
      </c>
      <c r="AA122" s="1437">
        <v>5.0642364670498949</v>
      </c>
      <c r="AB122" s="1437">
        <v>5.1864184847578612</v>
      </c>
      <c r="AC122" s="1437">
        <v>5.3182298926859533</v>
      </c>
      <c r="AD122" s="1437">
        <v>5.4411086161770994</v>
      </c>
      <c r="AE122" s="1437">
        <f t="shared" si="21"/>
        <v>5.4411086161770994</v>
      </c>
      <c r="AF122" s="1437">
        <f t="shared" si="21"/>
        <v>5.4411086161770994</v>
      </c>
      <c r="AG122" s="1437">
        <f t="shared" si="21"/>
        <v>5.4411086161770994</v>
      </c>
      <c r="AH122" s="1437">
        <f t="shared" si="21"/>
        <v>5.4411086161770994</v>
      </c>
      <c r="AI122" s="1437">
        <f t="shared" si="21"/>
        <v>5.4411086161770994</v>
      </c>
      <c r="AJ122" s="1437">
        <f t="shared" si="21"/>
        <v>5.4411086161770994</v>
      </c>
      <c r="AK122" s="1437">
        <f t="shared" si="21"/>
        <v>5.4411086161770994</v>
      </c>
      <c r="AL122" s="1437">
        <f t="shared" si="21"/>
        <v>5.4411086161770994</v>
      </c>
      <c r="AM122" s="1437">
        <f t="shared" si="21"/>
        <v>5.4411086161770994</v>
      </c>
      <c r="AN122" s="1437">
        <f t="shared" si="21"/>
        <v>5.4411086161770994</v>
      </c>
      <c r="AO122" s="1437">
        <f t="shared" si="21"/>
        <v>5.4411086161770994</v>
      </c>
      <c r="AP122" s="1437">
        <f t="shared" si="21"/>
        <v>5.4411086161770994</v>
      </c>
      <c r="AQ122" s="1437">
        <f t="shared" si="21"/>
        <v>5.4411086161770994</v>
      </c>
      <c r="AR122" s="1437">
        <f t="shared" si="21"/>
        <v>5.4411086161770994</v>
      </c>
      <c r="AS122" s="1437">
        <f t="shared" si="21"/>
        <v>5.4411086161770994</v>
      </c>
      <c r="AT122" s="1437">
        <f t="shared" si="21"/>
        <v>5.4411086161770994</v>
      </c>
      <c r="AU122" s="1437">
        <f t="shared" si="20"/>
        <v>5.4411086161770994</v>
      </c>
      <c r="AV122" s="1437">
        <f t="shared" si="20"/>
        <v>5.4411086161770994</v>
      </c>
      <c r="AW122" s="1437">
        <f t="shared" si="20"/>
        <v>5.4411086161770994</v>
      </c>
      <c r="AX122" s="1437">
        <f t="shared" si="20"/>
        <v>5.4411086161770994</v>
      </c>
      <c r="AY122" s="1437">
        <f t="shared" si="20"/>
        <v>5.4411086161770994</v>
      </c>
      <c r="AZ122" s="1437">
        <f t="shared" si="20"/>
        <v>5.4411086161770994</v>
      </c>
      <c r="BA122" s="1437">
        <f t="shared" si="20"/>
        <v>5.4411086161770994</v>
      </c>
      <c r="BB122" s="1437">
        <f t="shared" si="20"/>
        <v>5.4411086161770994</v>
      </c>
      <c r="BC122" s="1437">
        <f t="shared" si="20"/>
        <v>5.4411086161770994</v>
      </c>
      <c r="BD122" s="1437">
        <f t="shared" si="20"/>
        <v>5.4411086161770994</v>
      </c>
      <c r="BE122" s="1437">
        <f t="shared" si="20"/>
        <v>5.4411086161770994</v>
      </c>
      <c r="BF122" s="1437">
        <f t="shared" si="20"/>
        <v>5.4411086161770994</v>
      </c>
      <c r="BG122" s="1437">
        <f t="shared" si="20"/>
        <v>5.4411086161770994</v>
      </c>
      <c r="BH122" s="1437">
        <f t="shared" si="20"/>
        <v>5.4411086161770994</v>
      </c>
      <c r="BI122" s="1437">
        <f t="shared" si="20"/>
        <v>5.4411086161770994</v>
      </c>
      <c r="BJ122" s="1437">
        <f t="shared" si="22"/>
        <v>5.4411086161770994</v>
      </c>
      <c r="BK122" s="1437">
        <f t="shared" si="22"/>
        <v>5.4411086161770994</v>
      </c>
      <c r="BL122" s="1437">
        <f t="shared" si="22"/>
        <v>5.4411086161770994</v>
      </c>
      <c r="BM122" s="1437">
        <f t="shared" si="22"/>
        <v>5.4411086161770994</v>
      </c>
      <c r="BN122" s="1438">
        <f t="shared" si="22"/>
        <v>5.4411086161770994</v>
      </c>
    </row>
    <row r="123" spans="1:66" s="91" customFormat="1">
      <c r="A123" s="1439">
        <v>48</v>
      </c>
      <c r="B123" s="1440">
        <v>0</v>
      </c>
      <c r="C123" s="1441" t="s">
        <v>205</v>
      </c>
      <c r="D123" s="1440" t="s">
        <v>209</v>
      </c>
      <c r="E123" s="1442">
        <v>2.3526808371065178</v>
      </c>
      <c r="F123" s="1442">
        <v>2.3668762622197135</v>
      </c>
      <c r="G123" s="1442">
        <v>2.3814975500863049</v>
      </c>
      <c r="H123" s="1442">
        <v>2.3965574765888942</v>
      </c>
      <c r="I123" s="1442">
        <v>2.412069200886561</v>
      </c>
      <c r="J123" s="1442">
        <v>2.4280462769131579</v>
      </c>
      <c r="K123" s="1442">
        <v>2.4445026652205524</v>
      </c>
      <c r="L123" s="1442">
        <v>2.4614527451771693</v>
      </c>
      <c r="M123" s="1442">
        <v>2.4789113275324843</v>
      </c>
      <c r="N123" s="1442">
        <v>2.4968936673584587</v>
      </c>
      <c r="O123" s="1442">
        <v>2.5154154773792126</v>
      </c>
      <c r="P123" s="1442">
        <v>2.5344929417005888</v>
      </c>
      <c r="Q123" s="1442">
        <v>2.5541427299516068</v>
      </c>
      <c r="R123" s="1442">
        <v>2.574382011850155</v>
      </c>
      <c r="S123" s="1442">
        <v>2.5952284722056596</v>
      </c>
      <c r="T123" s="1442">
        <v>2.6167003263718294</v>
      </c>
      <c r="U123" s="1442">
        <v>2.6388163361629844</v>
      </c>
      <c r="V123" s="1442">
        <v>2.6615958262478738</v>
      </c>
      <c r="W123" s="1442">
        <v>2.68505870103531</v>
      </c>
      <c r="X123" s="1442">
        <v>2.7092254620663696</v>
      </c>
      <c r="Y123" s="1442">
        <v>2.7341172259283608</v>
      </c>
      <c r="Z123" s="1442">
        <v>2.7597557427062114</v>
      </c>
      <c r="AA123" s="1442">
        <v>2.7861634149873975</v>
      </c>
      <c r="AB123" s="1442">
        <v>2.8133633174370196</v>
      </c>
      <c r="AC123" s="1442">
        <v>2.8413792169601306</v>
      </c>
      <c r="AD123" s="1442">
        <v>2.8702355934689345</v>
      </c>
      <c r="AE123" s="1442">
        <f t="shared" si="21"/>
        <v>2.8702355934689345</v>
      </c>
      <c r="AF123" s="1442">
        <f t="shared" si="21"/>
        <v>2.8702355934689345</v>
      </c>
      <c r="AG123" s="1442">
        <f t="shared" si="21"/>
        <v>2.8702355934689345</v>
      </c>
      <c r="AH123" s="1442">
        <f t="shared" si="21"/>
        <v>2.8702355934689345</v>
      </c>
      <c r="AI123" s="1442">
        <f t="shared" si="21"/>
        <v>2.8702355934689345</v>
      </c>
      <c r="AJ123" s="1442">
        <f t="shared" si="21"/>
        <v>2.8702355934689345</v>
      </c>
      <c r="AK123" s="1442">
        <f t="shared" si="21"/>
        <v>2.8702355934689345</v>
      </c>
      <c r="AL123" s="1442">
        <f t="shared" si="21"/>
        <v>2.8702355934689345</v>
      </c>
      <c r="AM123" s="1442">
        <f t="shared" si="21"/>
        <v>2.8702355934689345</v>
      </c>
      <c r="AN123" s="1442">
        <f t="shared" si="21"/>
        <v>2.8702355934689345</v>
      </c>
      <c r="AO123" s="1442">
        <f t="shared" si="21"/>
        <v>2.8702355934689345</v>
      </c>
      <c r="AP123" s="1442">
        <f t="shared" si="21"/>
        <v>2.8702355934689345</v>
      </c>
      <c r="AQ123" s="1442">
        <f t="shared" si="21"/>
        <v>2.8702355934689345</v>
      </c>
      <c r="AR123" s="1442">
        <f t="shared" si="21"/>
        <v>2.8702355934689345</v>
      </c>
      <c r="AS123" s="1442">
        <f t="shared" si="21"/>
        <v>2.8702355934689345</v>
      </c>
      <c r="AT123" s="1442">
        <f t="shared" si="21"/>
        <v>2.8702355934689345</v>
      </c>
      <c r="AU123" s="1442">
        <f t="shared" si="20"/>
        <v>2.8702355934689345</v>
      </c>
      <c r="AV123" s="1442">
        <f t="shared" si="20"/>
        <v>2.8702355934689345</v>
      </c>
      <c r="AW123" s="1442">
        <f t="shared" si="20"/>
        <v>2.8702355934689345</v>
      </c>
      <c r="AX123" s="1442">
        <f t="shared" si="20"/>
        <v>2.8702355934689345</v>
      </c>
      <c r="AY123" s="1442">
        <f t="shared" si="20"/>
        <v>2.8702355934689345</v>
      </c>
      <c r="AZ123" s="1442">
        <f t="shared" si="20"/>
        <v>2.8702355934689345</v>
      </c>
      <c r="BA123" s="1442">
        <f t="shared" si="20"/>
        <v>2.8702355934689345</v>
      </c>
      <c r="BB123" s="1442">
        <f t="shared" si="20"/>
        <v>2.8702355934689345</v>
      </c>
      <c r="BC123" s="1442">
        <f t="shared" si="20"/>
        <v>2.8702355934689345</v>
      </c>
      <c r="BD123" s="1442">
        <f t="shared" si="20"/>
        <v>2.8702355934689345</v>
      </c>
      <c r="BE123" s="1442">
        <f t="shared" si="20"/>
        <v>2.8702355934689345</v>
      </c>
      <c r="BF123" s="1442">
        <f t="shared" si="20"/>
        <v>2.8702355934689345</v>
      </c>
      <c r="BG123" s="1442">
        <f t="shared" si="20"/>
        <v>2.8702355934689345</v>
      </c>
      <c r="BH123" s="1442">
        <f t="shared" si="20"/>
        <v>2.8702355934689345</v>
      </c>
      <c r="BI123" s="1442">
        <f t="shared" si="20"/>
        <v>2.8702355934689345</v>
      </c>
      <c r="BJ123" s="1442">
        <f t="shared" si="22"/>
        <v>2.8702355934689345</v>
      </c>
      <c r="BK123" s="1442">
        <f t="shared" si="22"/>
        <v>2.8702355934689345</v>
      </c>
      <c r="BL123" s="1442">
        <f t="shared" si="22"/>
        <v>2.8702355934689345</v>
      </c>
      <c r="BM123" s="1442">
        <f t="shared" si="22"/>
        <v>2.8702355934689345</v>
      </c>
      <c r="BN123" s="1443">
        <f t="shared" si="22"/>
        <v>2.8702355934689345</v>
      </c>
    </row>
    <row r="124" spans="1:66" s="91" customFormat="1">
      <c r="A124" s="1434">
        <v>49</v>
      </c>
      <c r="B124" s="1435">
        <v>0</v>
      </c>
      <c r="C124" s="1436" t="s">
        <v>69</v>
      </c>
      <c r="D124" s="1435" t="s">
        <v>93</v>
      </c>
      <c r="E124" s="1437">
        <v>3.8167206717859554</v>
      </c>
      <c r="F124" s="1437">
        <v>4.4007572049672845</v>
      </c>
      <c r="G124" s="1437">
        <v>4.5999767251514196</v>
      </c>
      <c r="H124" s="1437">
        <v>4.6113050815859733</v>
      </c>
      <c r="I124" s="1437">
        <v>4.6764495067346523</v>
      </c>
      <c r="J124" s="1437">
        <v>4.7417295821030727</v>
      </c>
      <c r="K124" s="1437">
        <v>4.8311345774226977</v>
      </c>
      <c r="L124" s="1437">
        <v>4.9268442596559412</v>
      </c>
      <c r="M124" s="1437">
        <v>5.0256947855498044</v>
      </c>
      <c r="N124" s="1437">
        <v>5.1263038726065231</v>
      </c>
      <c r="O124" s="1437">
        <v>5.2269917889775019</v>
      </c>
      <c r="P124" s="1437">
        <v>5.3340631435154213</v>
      </c>
      <c r="Q124" s="1437">
        <v>5.443393100450221</v>
      </c>
      <c r="R124" s="1437">
        <v>5.5550314904310527</v>
      </c>
      <c r="S124" s="1437">
        <v>5.6690288982501729</v>
      </c>
      <c r="T124" s="1437">
        <v>5.785436825994096</v>
      </c>
      <c r="U124" s="1437">
        <v>5.9043086972425236</v>
      </c>
      <c r="V124" s="1437">
        <v>6.0256984248326448</v>
      </c>
      <c r="W124" s="1437">
        <v>6.1494877441927436</v>
      </c>
      <c r="X124" s="1437">
        <v>6.2706170619448116</v>
      </c>
      <c r="Y124" s="1437">
        <v>6.3977687902739362</v>
      </c>
      <c r="Z124" s="1437">
        <v>6.5280297786625514</v>
      </c>
      <c r="AA124" s="1437">
        <v>6.655222024506755</v>
      </c>
      <c r="AB124" s="1437">
        <v>6.7917538944215696</v>
      </c>
      <c r="AC124" s="1437">
        <v>6.9387845274931053</v>
      </c>
      <c r="AD124" s="1437">
        <v>7.0750437256280359</v>
      </c>
      <c r="AE124" s="1437">
        <f t="shared" si="21"/>
        <v>7.0750437256280359</v>
      </c>
      <c r="AF124" s="1437">
        <f t="shared" si="21"/>
        <v>7.0750437256280359</v>
      </c>
      <c r="AG124" s="1437">
        <f t="shared" si="21"/>
        <v>7.0750437256280359</v>
      </c>
      <c r="AH124" s="1437">
        <f t="shared" si="21"/>
        <v>7.0750437256280359</v>
      </c>
      <c r="AI124" s="1437">
        <f t="shared" si="21"/>
        <v>7.0750437256280359</v>
      </c>
      <c r="AJ124" s="1437">
        <f t="shared" si="21"/>
        <v>7.0750437256280359</v>
      </c>
      <c r="AK124" s="1437">
        <f t="shared" si="21"/>
        <v>7.0750437256280359</v>
      </c>
      <c r="AL124" s="1437">
        <f t="shared" si="21"/>
        <v>7.0750437256280359</v>
      </c>
      <c r="AM124" s="1437">
        <f t="shared" si="21"/>
        <v>7.0750437256280359</v>
      </c>
      <c r="AN124" s="1437">
        <f t="shared" si="21"/>
        <v>7.0750437256280359</v>
      </c>
      <c r="AO124" s="1437">
        <f t="shared" si="21"/>
        <v>7.0750437256280359</v>
      </c>
      <c r="AP124" s="1437">
        <f t="shared" si="21"/>
        <v>7.0750437256280359</v>
      </c>
      <c r="AQ124" s="1437">
        <f t="shared" si="21"/>
        <v>7.0750437256280359</v>
      </c>
      <c r="AR124" s="1437">
        <f t="shared" si="21"/>
        <v>7.0750437256280359</v>
      </c>
      <c r="AS124" s="1437">
        <f t="shared" si="21"/>
        <v>7.0750437256280359</v>
      </c>
      <c r="AT124" s="1437">
        <f t="shared" si="21"/>
        <v>7.0750437256280359</v>
      </c>
      <c r="AU124" s="1437">
        <f t="shared" si="20"/>
        <v>7.0750437256280359</v>
      </c>
      <c r="AV124" s="1437">
        <f t="shared" si="20"/>
        <v>7.0750437256280359</v>
      </c>
      <c r="AW124" s="1437">
        <f t="shared" si="20"/>
        <v>7.0750437256280359</v>
      </c>
      <c r="AX124" s="1437">
        <f t="shared" si="20"/>
        <v>7.0750437256280359</v>
      </c>
      <c r="AY124" s="1437">
        <f t="shared" si="20"/>
        <v>7.0750437256280359</v>
      </c>
      <c r="AZ124" s="1437">
        <f t="shared" si="20"/>
        <v>7.0750437256280359</v>
      </c>
      <c r="BA124" s="1437">
        <f t="shared" si="20"/>
        <v>7.0750437256280359</v>
      </c>
      <c r="BB124" s="1437">
        <f t="shared" si="20"/>
        <v>7.0750437256280359</v>
      </c>
      <c r="BC124" s="1437">
        <f t="shared" si="20"/>
        <v>7.0750437256280359</v>
      </c>
      <c r="BD124" s="1437">
        <f t="shared" si="20"/>
        <v>7.0750437256280359</v>
      </c>
      <c r="BE124" s="1437">
        <f t="shared" si="20"/>
        <v>7.0750437256280359</v>
      </c>
      <c r="BF124" s="1437">
        <f t="shared" si="20"/>
        <v>7.0750437256280359</v>
      </c>
      <c r="BG124" s="1437">
        <f t="shared" si="20"/>
        <v>7.0750437256280359</v>
      </c>
      <c r="BH124" s="1437">
        <f t="shared" si="20"/>
        <v>7.0750437256280359</v>
      </c>
      <c r="BI124" s="1437">
        <f t="shared" si="20"/>
        <v>7.0750437256280359</v>
      </c>
      <c r="BJ124" s="1437">
        <f t="shared" si="22"/>
        <v>7.0750437256280359</v>
      </c>
      <c r="BK124" s="1437">
        <f t="shared" si="22"/>
        <v>7.0750437256280359</v>
      </c>
      <c r="BL124" s="1437">
        <f t="shared" si="22"/>
        <v>7.0750437256280359</v>
      </c>
      <c r="BM124" s="1437">
        <f t="shared" si="22"/>
        <v>7.0750437256280359</v>
      </c>
      <c r="BN124" s="1438">
        <f t="shared" si="22"/>
        <v>7.0750437256280359</v>
      </c>
    </row>
    <row r="125" spans="1:66" s="91" customFormat="1">
      <c r="A125" s="1439">
        <v>146</v>
      </c>
      <c r="B125" s="1440">
        <v>0</v>
      </c>
      <c r="C125" s="1441" t="s">
        <v>213</v>
      </c>
      <c r="D125" s="1440" t="s">
        <v>214</v>
      </c>
      <c r="E125" s="1442">
        <v>3.3060722096696145</v>
      </c>
      <c r="F125" s="1442">
        <v>3.8030786789445679</v>
      </c>
      <c r="G125" s="1442">
        <v>3.9741050840162018</v>
      </c>
      <c r="H125" s="1442">
        <v>3.986003351566143</v>
      </c>
      <c r="I125" s="1442">
        <v>4.043567528351284</v>
      </c>
      <c r="J125" s="1442">
        <v>4.1013177096444222</v>
      </c>
      <c r="K125" s="1442">
        <v>4.1795814906145266</v>
      </c>
      <c r="L125" s="1442">
        <v>4.2632624632262166</v>
      </c>
      <c r="M125" s="1442">
        <v>4.3496822501871888</v>
      </c>
      <c r="N125" s="1442">
        <v>4.4376720105753806</v>
      </c>
      <c r="O125" s="1442">
        <v>4.5258109525298913</v>
      </c>
      <c r="P125" s="1442">
        <v>4.6194432733082449</v>
      </c>
      <c r="Q125" s="1442">
        <v>4.7150766564066222</v>
      </c>
      <c r="R125" s="1442">
        <v>4.8127559442715082</v>
      </c>
      <c r="S125" s="1442">
        <v>4.912526696982888</v>
      </c>
      <c r="T125" s="1442">
        <v>5.0144353328478815</v>
      </c>
      <c r="U125" s="1442">
        <v>5.1185299816623395</v>
      </c>
      <c r="V125" s="1442">
        <v>5.2248592737198294</v>
      </c>
      <c r="W125" s="1442">
        <v>5.3333260465682182</v>
      </c>
      <c r="X125" s="1442">
        <v>5.4396465739601743</v>
      </c>
      <c r="Y125" s="1442">
        <v>5.5511804552848769</v>
      </c>
      <c r="Z125" s="1442">
        <v>5.6654627782851765</v>
      </c>
      <c r="AA125" s="1442">
        <v>5.7772625089987981</v>
      </c>
      <c r="AB125" s="1442">
        <v>5.8970964468395932</v>
      </c>
      <c r="AC125" s="1442">
        <v>6.0259503290241412</v>
      </c>
      <c r="AD125" s="1442">
        <v>6.1458062275418577</v>
      </c>
      <c r="AE125" s="1442">
        <f t="shared" si="21"/>
        <v>6.1458062275418577</v>
      </c>
      <c r="AF125" s="1442">
        <f t="shared" si="21"/>
        <v>6.1458062275418577</v>
      </c>
      <c r="AG125" s="1442">
        <f t="shared" si="21"/>
        <v>6.1458062275418577</v>
      </c>
      <c r="AH125" s="1442">
        <f t="shared" si="21"/>
        <v>6.1458062275418577</v>
      </c>
      <c r="AI125" s="1442">
        <f t="shared" si="21"/>
        <v>6.1458062275418577</v>
      </c>
      <c r="AJ125" s="1442">
        <f t="shared" si="21"/>
        <v>6.1458062275418577</v>
      </c>
      <c r="AK125" s="1442">
        <f t="shared" si="21"/>
        <v>6.1458062275418577</v>
      </c>
      <c r="AL125" s="1442">
        <f t="shared" si="21"/>
        <v>6.1458062275418577</v>
      </c>
      <c r="AM125" s="1442">
        <f t="shared" si="21"/>
        <v>6.1458062275418577</v>
      </c>
      <c r="AN125" s="1442">
        <f t="shared" si="21"/>
        <v>6.1458062275418577</v>
      </c>
      <c r="AO125" s="1442">
        <f t="shared" si="21"/>
        <v>6.1458062275418577</v>
      </c>
      <c r="AP125" s="1442">
        <f t="shared" si="21"/>
        <v>6.1458062275418577</v>
      </c>
      <c r="AQ125" s="1442">
        <f t="shared" si="21"/>
        <v>6.1458062275418577</v>
      </c>
      <c r="AR125" s="1442">
        <f t="shared" si="21"/>
        <v>6.1458062275418577</v>
      </c>
      <c r="AS125" s="1442">
        <f t="shared" si="21"/>
        <v>6.1458062275418577</v>
      </c>
      <c r="AT125" s="1442">
        <f t="shared" si="21"/>
        <v>6.1458062275418577</v>
      </c>
      <c r="AU125" s="1442">
        <f t="shared" si="20"/>
        <v>6.1458062275418577</v>
      </c>
      <c r="AV125" s="1442">
        <f t="shared" si="20"/>
        <v>6.1458062275418577</v>
      </c>
      <c r="AW125" s="1442">
        <f t="shared" si="20"/>
        <v>6.1458062275418577</v>
      </c>
      <c r="AX125" s="1442">
        <f t="shared" si="20"/>
        <v>6.1458062275418577</v>
      </c>
      <c r="AY125" s="1442">
        <f t="shared" si="20"/>
        <v>6.1458062275418577</v>
      </c>
      <c r="AZ125" s="1442">
        <f t="shared" si="20"/>
        <v>6.1458062275418577</v>
      </c>
      <c r="BA125" s="1442">
        <f t="shared" si="20"/>
        <v>6.1458062275418577</v>
      </c>
      <c r="BB125" s="1442">
        <f t="shared" si="20"/>
        <v>6.1458062275418577</v>
      </c>
      <c r="BC125" s="1442">
        <f t="shared" si="20"/>
        <v>6.1458062275418577</v>
      </c>
      <c r="BD125" s="1442">
        <f t="shared" si="20"/>
        <v>6.1458062275418577</v>
      </c>
      <c r="BE125" s="1442">
        <f t="shared" si="20"/>
        <v>6.1458062275418577</v>
      </c>
      <c r="BF125" s="1442">
        <f t="shared" si="20"/>
        <v>6.1458062275418577</v>
      </c>
      <c r="BG125" s="1442">
        <f t="shared" si="20"/>
        <v>6.1458062275418577</v>
      </c>
      <c r="BH125" s="1442">
        <f t="shared" si="20"/>
        <v>6.1458062275418577</v>
      </c>
      <c r="BI125" s="1442">
        <f t="shared" si="20"/>
        <v>6.1458062275418577</v>
      </c>
      <c r="BJ125" s="1442">
        <f t="shared" si="22"/>
        <v>6.1458062275418577</v>
      </c>
      <c r="BK125" s="1442">
        <f t="shared" si="22"/>
        <v>6.1458062275418577</v>
      </c>
      <c r="BL125" s="1442">
        <f t="shared" si="22"/>
        <v>6.1458062275418577</v>
      </c>
      <c r="BM125" s="1442">
        <f t="shared" si="22"/>
        <v>6.1458062275418577</v>
      </c>
      <c r="BN125" s="1443">
        <f t="shared" si="22"/>
        <v>6.1458062275418577</v>
      </c>
    </row>
    <row r="126" spans="1:66" s="91" customFormat="1" ht="15">
      <c r="A126" s="1434">
        <v>50</v>
      </c>
      <c r="B126" s="1435">
        <v>0</v>
      </c>
      <c r="C126" s="1436" t="s">
        <v>69</v>
      </c>
      <c r="D126" s="1435" t="s">
        <v>94</v>
      </c>
      <c r="E126" s="1447">
        <v>2.8405881049627539</v>
      </c>
      <c r="F126" s="1447">
        <v>3.2582618935670458</v>
      </c>
      <c r="G126" s="1447">
        <v>3.4035887265834726</v>
      </c>
      <c r="H126" s="1447">
        <v>3.4160064993997348</v>
      </c>
      <c r="I126" s="1447">
        <v>3.4666608636920841</v>
      </c>
      <c r="J126" s="1447">
        <v>3.5175471331903161</v>
      </c>
      <c r="K126" s="1447">
        <v>3.5856550856960778</v>
      </c>
      <c r="L126" s="1447">
        <v>3.6583712291848878</v>
      </c>
      <c r="M126" s="1447">
        <v>3.7334597152367373</v>
      </c>
      <c r="N126" s="1447">
        <v>3.8099462666424548</v>
      </c>
      <c r="O126" s="1447">
        <v>3.8866461295541561</v>
      </c>
      <c r="P126" s="1447">
        <v>3.9680280333396309</v>
      </c>
      <c r="Q126" s="1447">
        <v>4.0511762375276961</v>
      </c>
      <c r="R126" s="1447">
        <v>4.1361310375442812</v>
      </c>
      <c r="S126" s="1447">
        <v>4.2229334131683114</v>
      </c>
      <c r="T126" s="1447">
        <v>4.3116251485629205</v>
      </c>
      <c r="U126" s="1447">
        <v>4.4022495479493795</v>
      </c>
      <c r="V126" s="1447">
        <v>4.4948504262927695</v>
      </c>
      <c r="W126" s="1447">
        <v>4.5893498568813333</v>
      </c>
      <c r="X126" s="1447">
        <v>4.6821713589477261</v>
      </c>
      <c r="Y126" s="1447">
        <v>4.7794687154032998</v>
      </c>
      <c r="Z126" s="1447">
        <v>4.87918560777082</v>
      </c>
      <c r="AA126" s="1447">
        <v>4.9769542159876643</v>
      </c>
      <c r="AB126" s="1447">
        <v>5.0815670721283048</v>
      </c>
      <c r="AC126" s="1447">
        <v>5.1938518480865401</v>
      </c>
      <c r="AD126" s="1447">
        <v>5.2987552385620056</v>
      </c>
      <c r="AE126" s="1437">
        <f t="shared" si="21"/>
        <v>5.2987552385620056</v>
      </c>
      <c r="AF126" s="1437">
        <f t="shared" si="21"/>
        <v>5.2987552385620056</v>
      </c>
      <c r="AG126" s="1437">
        <f t="shared" si="21"/>
        <v>5.2987552385620056</v>
      </c>
      <c r="AH126" s="1437">
        <f t="shared" si="21"/>
        <v>5.2987552385620056</v>
      </c>
      <c r="AI126" s="1437">
        <f t="shared" si="21"/>
        <v>5.2987552385620056</v>
      </c>
      <c r="AJ126" s="1437">
        <f t="shared" si="21"/>
        <v>5.2987552385620056</v>
      </c>
      <c r="AK126" s="1437">
        <f t="shared" si="21"/>
        <v>5.2987552385620056</v>
      </c>
      <c r="AL126" s="1437">
        <f t="shared" si="21"/>
        <v>5.2987552385620056</v>
      </c>
      <c r="AM126" s="1437">
        <f t="shared" si="21"/>
        <v>5.2987552385620056</v>
      </c>
      <c r="AN126" s="1437">
        <f t="shared" si="21"/>
        <v>5.2987552385620056</v>
      </c>
      <c r="AO126" s="1437">
        <f t="shared" si="21"/>
        <v>5.2987552385620056</v>
      </c>
      <c r="AP126" s="1437">
        <f t="shared" si="21"/>
        <v>5.2987552385620056</v>
      </c>
      <c r="AQ126" s="1437">
        <f t="shared" si="21"/>
        <v>5.2987552385620056</v>
      </c>
      <c r="AR126" s="1437">
        <f t="shared" si="21"/>
        <v>5.2987552385620056</v>
      </c>
      <c r="AS126" s="1437">
        <f t="shared" si="21"/>
        <v>5.2987552385620056</v>
      </c>
      <c r="AT126" s="1437">
        <f t="shared" si="21"/>
        <v>5.2987552385620056</v>
      </c>
      <c r="AU126" s="1437">
        <f t="shared" si="20"/>
        <v>5.2987552385620056</v>
      </c>
      <c r="AV126" s="1437">
        <f t="shared" si="20"/>
        <v>5.2987552385620056</v>
      </c>
      <c r="AW126" s="1437">
        <f t="shared" si="20"/>
        <v>5.2987552385620056</v>
      </c>
      <c r="AX126" s="1437">
        <f t="shared" si="20"/>
        <v>5.2987552385620056</v>
      </c>
      <c r="AY126" s="1437">
        <f t="shared" si="20"/>
        <v>5.2987552385620056</v>
      </c>
      <c r="AZ126" s="1437">
        <f t="shared" si="20"/>
        <v>5.2987552385620056</v>
      </c>
      <c r="BA126" s="1437">
        <f t="shared" si="20"/>
        <v>5.2987552385620056</v>
      </c>
      <c r="BB126" s="1437">
        <f t="shared" si="20"/>
        <v>5.2987552385620056</v>
      </c>
      <c r="BC126" s="1437">
        <f t="shared" si="20"/>
        <v>5.2987552385620056</v>
      </c>
      <c r="BD126" s="1437">
        <f t="shared" si="20"/>
        <v>5.2987552385620056</v>
      </c>
      <c r="BE126" s="1437">
        <f t="shared" si="20"/>
        <v>5.2987552385620056</v>
      </c>
      <c r="BF126" s="1437">
        <f t="shared" si="20"/>
        <v>5.2987552385620056</v>
      </c>
      <c r="BG126" s="1437">
        <f t="shared" si="20"/>
        <v>5.2987552385620056</v>
      </c>
      <c r="BH126" s="1437">
        <f t="shared" si="20"/>
        <v>5.2987552385620056</v>
      </c>
      <c r="BI126" s="1437">
        <f t="shared" si="20"/>
        <v>5.2987552385620056</v>
      </c>
      <c r="BJ126" s="1437">
        <f t="shared" si="22"/>
        <v>5.2987552385620056</v>
      </c>
      <c r="BK126" s="1437">
        <f t="shared" si="22"/>
        <v>5.2987552385620056</v>
      </c>
      <c r="BL126" s="1437">
        <f t="shared" si="22"/>
        <v>5.2987552385620056</v>
      </c>
      <c r="BM126" s="1437">
        <f t="shared" si="22"/>
        <v>5.2987552385620056</v>
      </c>
      <c r="BN126" s="1438">
        <f t="shared" si="22"/>
        <v>5.2987552385620056</v>
      </c>
    </row>
    <row r="127" spans="1:66" s="91" customFormat="1">
      <c r="A127" s="1439">
        <v>51</v>
      </c>
      <c r="B127" s="1440">
        <v>0</v>
      </c>
      <c r="C127" s="1441" t="s">
        <v>69</v>
      </c>
      <c r="D127" s="1440" t="s">
        <v>29</v>
      </c>
      <c r="E127" s="1442">
        <v>2.8485934078739508</v>
      </c>
      <c r="F127" s="1442">
        <v>3.3563311186439697</v>
      </c>
      <c r="G127" s="1442">
        <v>3.534045385660205</v>
      </c>
      <c r="H127" s="1442">
        <v>3.545793693355328</v>
      </c>
      <c r="I127" s="1442">
        <v>3.6054015476124457</v>
      </c>
      <c r="J127" s="1442">
        <v>3.6652863104173523</v>
      </c>
      <c r="K127" s="1442">
        <v>3.7468973463941184</v>
      </c>
      <c r="L127" s="1442">
        <v>3.8344421624003182</v>
      </c>
      <c r="M127" s="1442">
        <v>3.9251237034093363</v>
      </c>
      <c r="N127" s="1442">
        <v>4.0177152142174677</v>
      </c>
      <c r="O127" s="1442">
        <v>4.1107013349371959</v>
      </c>
      <c r="P127" s="1442">
        <v>4.2098199850077203</v>
      </c>
      <c r="Q127" s="1442">
        <v>4.3113544785489823</v>
      </c>
      <c r="R127" s="1442">
        <v>4.4153647621762069</v>
      </c>
      <c r="S127" s="1442">
        <v>4.5219119298520019</v>
      </c>
      <c r="T127" s="1442">
        <v>4.6310583799344744</v>
      </c>
      <c r="U127" s="1442">
        <v>4.7428687564918786</v>
      </c>
      <c r="V127" s="1442">
        <v>4.8574086400897576</v>
      </c>
      <c r="W127" s="1442">
        <v>4.9745829617135726</v>
      </c>
      <c r="X127" s="1442">
        <v>5.089653409083283</v>
      </c>
      <c r="Y127" s="1442">
        <v>5.2107660626324055</v>
      </c>
      <c r="Z127" s="1442">
        <v>5.3352157140487781</v>
      </c>
      <c r="AA127" s="1442">
        <v>5.4571559481910699</v>
      </c>
      <c r="AB127" s="1442">
        <v>5.5883688840615005</v>
      </c>
      <c r="AC127" s="1442">
        <v>5.7300505642651531</v>
      </c>
      <c r="AD127" s="1442">
        <v>5.8618714081655865</v>
      </c>
      <c r="AE127" s="1442">
        <f t="shared" si="21"/>
        <v>5.8618714081655865</v>
      </c>
      <c r="AF127" s="1442">
        <f t="shared" si="21"/>
        <v>5.8618714081655865</v>
      </c>
      <c r="AG127" s="1442">
        <f t="shared" si="21"/>
        <v>5.8618714081655865</v>
      </c>
      <c r="AH127" s="1442">
        <f t="shared" si="21"/>
        <v>5.8618714081655865</v>
      </c>
      <c r="AI127" s="1442">
        <f t="shared" si="21"/>
        <v>5.8618714081655865</v>
      </c>
      <c r="AJ127" s="1442">
        <f t="shared" si="21"/>
        <v>5.8618714081655865</v>
      </c>
      <c r="AK127" s="1442">
        <f t="shared" si="21"/>
        <v>5.8618714081655865</v>
      </c>
      <c r="AL127" s="1442">
        <f t="shared" si="21"/>
        <v>5.8618714081655865</v>
      </c>
      <c r="AM127" s="1442">
        <f t="shared" si="21"/>
        <v>5.8618714081655865</v>
      </c>
      <c r="AN127" s="1442">
        <f t="shared" si="21"/>
        <v>5.8618714081655865</v>
      </c>
      <c r="AO127" s="1442">
        <f t="shared" si="21"/>
        <v>5.8618714081655865</v>
      </c>
      <c r="AP127" s="1442">
        <f t="shared" si="21"/>
        <v>5.8618714081655865</v>
      </c>
      <c r="AQ127" s="1442">
        <f t="shared" si="21"/>
        <v>5.8618714081655865</v>
      </c>
      <c r="AR127" s="1442">
        <f t="shared" si="21"/>
        <v>5.8618714081655865</v>
      </c>
      <c r="AS127" s="1442">
        <f t="shared" si="21"/>
        <v>5.8618714081655865</v>
      </c>
      <c r="AT127" s="1442">
        <f t="shared" si="21"/>
        <v>5.8618714081655865</v>
      </c>
      <c r="AU127" s="1442">
        <f t="shared" si="20"/>
        <v>5.8618714081655865</v>
      </c>
      <c r="AV127" s="1442">
        <f t="shared" si="20"/>
        <v>5.8618714081655865</v>
      </c>
      <c r="AW127" s="1442">
        <f t="shared" si="20"/>
        <v>5.8618714081655865</v>
      </c>
      <c r="AX127" s="1442">
        <f t="shared" si="20"/>
        <v>5.8618714081655865</v>
      </c>
      <c r="AY127" s="1442">
        <f t="shared" si="20"/>
        <v>5.8618714081655865</v>
      </c>
      <c r="AZ127" s="1442">
        <f t="shared" si="20"/>
        <v>5.8618714081655865</v>
      </c>
      <c r="BA127" s="1442">
        <f t="shared" si="20"/>
        <v>5.8618714081655865</v>
      </c>
      <c r="BB127" s="1442">
        <f t="shared" si="20"/>
        <v>5.8618714081655865</v>
      </c>
      <c r="BC127" s="1442">
        <f t="shared" si="20"/>
        <v>5.8618714081655865</v>
      </c>
      <c r="BD127" s="1442">
        <f t="shared" si="20"/>
        <v>5.8618714081655865</v>
      </c>
      <c r="BE127" s="1442">
        <f t="shared" si="20"/>
        <v>5.8618714081655865</v>
      </c>
      <c r="BF127" s="1442">
        <f t="shared" si="20"/>
        <v>5.8618714081655865</v>
      </c>
      <c r="BG127" s="1442">
        <f t="shared" si="20"/>
        <v>5.8618714081655865</v>
      </c>
      <c r="BH127" s="1442">
        <f t="shared" si="20"/>
        <v>5.8618714081655865</v>
      </c>
      <c r="BI127" s="1442">
        <f t="shared" si="20"/>
        <v>5.8618714081655865</v>
      </c>
      <c r="BJ127" s="1442">
        <f t="shared" si="22"/>
        <v>5.8618714081655865</v>
      </c>
      <c r="BK127" s="1442">
        <f t="shared" si="22"/>
        <v>5.8618714081655865</v>
      </c>
      <c r="BL127" s="1442">
        <f t="shared" si="22"/>
        <v>5.8618714081655865</v>
      </c>
      <c r="BM127" s="1442">
        <f t="shared" si="22"/>
        <v>5.8618714081655865</v>
      </c>
      <c r="BN127" s="1443">
        <f t="shared" si="22"/>
        <v>5.8618714081655865</v>
      </c>
    </row>
    <row r="128" spans="1:66" s="91" customFormat="1" ht="15">
      <c r="A128" s="1434">
        <v>148</v>
      </c>
      <c r="B128" s="1435">
        <v>0</v>
      </c>
      <c r="C128" s="1436" t="s">
        <v>216</v>
      </c>
      <c r="D128" s="1435" t="s">
        <v>217</v>
      </c>
      <c r="E128" s="1447">
        <v>2.8485934078739508</v>
      </c>
      <c r="F128" s="1447">
        <v>3.3563311186439697</v>
      </c>
      <c r="G128" s="1447">
        <v>3.534045385660205</v>
      </c>
      <c r="H128" s="1447">
        <v>3.545793693355328</v>
      </c>
      <c r="I128" s="1447">
        <v>3.6054015476124457</v>
      </c>
      <c r="J128" s="1447">
        <v>3.6652863104173523</v>
      </c>
      <c r="K128" s="1447">
        <v>3.7468973463941184</v>
      </c>
      <c r="L128" s="1447">
        <v>3.8344421624003182</v>
      </c>
      <c r="M128" s="1447">
        <v>3.9251237034093363</v>
      </c>
      <c r="N128" s="1447">
        <v>4.0177152142174677</v>
      </c>
      <c r="O128" s="1447">
        <v>4.1107013349371959</v>
      </c>
      <c r="P128" s="1447">
        <v>4.2098199850077203</v>
      </c>
      <c r="Q128" s="1447">
        <v>4.3113544785489823</v>
      </c>
      <c r="R128" s="1447">
        <v>4.4153647621762069</v>
      </c>
      <c r="S128" s="1447">
        <v>4.5219119298520019</v>
      </c>
      <c r="T128" s="1447">
        <v>4.6310583799344744</v>
      </c>
      <c r="U128" s="1447">
        <v>4.7428687564918786</v>
      </c>
      <c r="V128" s="1447">
        <v>4.8574086400897576</v>
      </c>
      <c r="W128" s="1447">
        <v>4.9745829617135726</v>
      </c>
      <c r="X128" s="1447">
        <v>5.089653409083283</v>
      </c>
      <c r="Y128" s="1447">
        <v>5.2107660626324055</v>
      </c>
      <c r="Z128" s="1447">
        <v>5.3352157140487781</v>
      </c>
      <c r="AA128" s="1447">
        <v>5.4571559481910699</v>
      </c>
      <c r="AB128" s="1447">
        <v>5.5883688840615005</v>
      </c>
      <c r="AC128" s="1447">
        <v>5.7300505642651531</v>
      </c>
      <c r="AD128" s="1447">
        <v>5.8618714081655865</v>
      </c>
      <c r="AE128" s="1437">
        <f t="shared" si="21"/>
        <v>5.8618714081655865</v>
      </c>
      <c r="AF128" s="1437">
        <f t="shared" si="21"/>
        <v>5.8618714081655865</v>
      </c>
      <c r="AG128" s="1437">
        <f t="shared" si="21"/>
        <v>5.8618714081655865</v>
      </c>
      <c r="AH128" s="1437">
        <f t="shared" si="21"/>
        <v>5.8618714081655865</v>
      </c>
      <c r="AI128" s="1437">
        <f t="shared" si="21"/>
        <v>5.8618714081655865</v>
      </c>
      <c r="AJ128" s="1437">
        <f t="shared" si="21"/>
        <v>5.8618714081655865</v>
      </c>
      <c r="AK128" s="1437">
        <f t="shared" si="21"/>
        <v>5.8618714081655865</v>
      </c>
      <c r="AL128" s="1437">
        <f t="shared" si="21"/>
        <v>5.8618714081655865</v>
      </c>
      <c r="AM128" s="1437">
        <f t="shared" si="21"/>
        <v>5.8618714081655865</v>
      </c>
      <c r="AN128" s="1437">
        <f t="shared" si="21"/>
        <v>5.8618714081655865</v>
      </c>
      <c r="AO128" s="1437">
        <f t="shared" si="21"/>
        <v>5.8618714081655865</v>
      </c>
      <c r="AP128" s="1437">
        <f t="shared" si="21"/>
        <v>5.8618714081655865</v>
      </c>
      <c r="AQ128" s="1437">
        <f t="shared" si="21"/>
        <v>5.8618714081655865</v>
      </c>
      <c r="AR128" s="1437">
        <f t="shared" si="21"/>
        <v>5.8618714081655865</v>
      </c>
      <c r="AS128" s="1437">
        <f t="shared" si="21"/>
        <v>5.8618714081655865</v>
      </c>
      <c r="AT128" s="1437">
        <f t="shared" si="21"/>
        <v>5.8618714081655865</v>
      </c>
      <c r="AU128" s="1437">
        <f t="shared" si="20"/>
        <v>5.8618714081655865</v>
      </c>
      <c r="AV128" s="1437">
        <f t="shared" si="20"/>
        <v>5.8618714081655865</v>
      </c>
      <c r="AW128" s="1437">
        <f t="shared" si="20"/>
        <v>5.8618714081655865</v>
      </c>
      <c r="AX128" s="1437">
        <f t="shared" si="20"/>
        <v>5.8618714081655865</v>
      </c>
      <c r="AY128" s="1437">
        <f t="shared" si="20"/>
        <v>5.8618714081655865</v>
      </c>
      <c r="AZ128" s="1437">
        <f t="shared" si="20"/>
        <v>5.8618714081655865</v>
      </c>
      <c r="BA128" s="1437">
        <f t="shared" si="20"/>
        <v>5.8618714081655865</v>
      </c>
      <c r="BB128" s="1437">
        <f t="shared" si="20"/>
        <v>5.8618714081655865</v>
      </c>
      <c r="BC128" s="1437">
        <f t="shared" si="20"/>
        <v>5.8618714081655865</v>
      </c>
      <c r="BD128" s="1437">
        <f t="shared" si="20"/>
        <v>5.8618714081655865</v>
      </c>
      <c r="BE128" s="1437">
        <f t="shared" si="20"/>
        <v>5.8618714081655865</v>
      </c>
      <c r="BF128" s="1437">
        <f t="shared" si="20"/>
        <v>5.8618714081655865</v>
      </c>
      <c r="BG128" s="1437">
        <f t="shared" si="20"/>
        <v>5.8618714081655865</v>
      </c>
      <c r="BH128" s="1437">
        <f t="shared" si="20"/>
        <v>5.8618714081655865</v>
      </c>
      <c r="BI128" s="1437">
        <f t="shared" si="20"/>
        <v>5.8618714081655865</v>
      </c>
      <c r="BJ128" s="1437">
        <f t="shared" si="22"/>
        <v>5.8618714081655865</v>
      </c>
      <c r="BK128" s="1437">
        <f t="shared" si="22"/>
        <v>5.8618714081655865</v>
      </c>
      <c r="BL128" s="1437">
        <f t="shared" si="22"/>
        <v>5.8618714081655865</v>
      </c>
      <c r="BM128" s="1437">
        <f t="shared" si="22"/>
        <v>5.8618714081655865</v>
      </c>
      <c r="BN128" s="1438">
        <f t="shared" si="22"/>
        <v>5.8618714081655865</v>
      </c>
    </row>
    <row r="129" spans="1:66" s="91" customFormat="1">
      <c r="A129" s="1439">
        <v>149</v>
      </c>
      <c r="B129" s="1440">
        <v>0</v>
      </c>
      <c r="C129" s="1441" t="s">
        <v>218</v>
      </c>
      <c r="D129" s="1440" t="s">
        <v>45</v>
      </c>
      <c r="E129" s="1442">
        <v>4.485524955945853</v>
      </c>
      <c r="F129" s="1442">
        <v>4.9940323703057672</v>
      </c>
      <c r="G129" s="1442">
        <v>5.1646436627895032</v>
      </c>
      <c r="H129" s="1442">
        <v>5.1765687859263467</v>
      </c>
      <c r="I129" s="1442">
        <v>5.2337149116189288</v>
      </c>
      <c r="J129" s="1442">
        <v>5.2909207850024611</v>
      </c>
      <c r="K129" s="1442">
        <v>5.368147346160729</v>
      </c>
      <c r="L129" s="1442">
        <v>5.450403957758164</v>
      </c>
      <c r="M129" s="1442">
        <v>5.5350270433463571</v>
      </c>
      <c r="N129" s="1442">
        <v>5.6208629916881208</v>
      </c>
      <c r="O129" s="1442">
        <v>5.7065381177521139</v>
      </c>
      <c r="P129" s="1442">
        <v>5.7971840117958466</v>
      </c>
      <c r="Q129" s="1442">
        <v>5.8894121780948998</v>
      </c>
      <c r="R129" s="1442">
        <v>5.9832543171232846</v>
      </c>
      <c r="S129" s="1442">
        <v>6.0787425361628653</v>
      </c>
      <c r="T129" s="1442">
        <v>6.1759094832290939</v>
      </c>
      <c r="U129" s="1442">
        <v>6.2747891432424074</v>
      </c>
      <c r="V129" s="1442">
        <v>6.37541569244648</v>
      </c>
      <c r="W129" s="1442">
        <v>6.4776882099501085</v>
      </c>
      <c r="X129" s="1442">
        <v>6.577654939681592</v>
      </c>
      <c r="Y129" s="1442">
        <v>6.682105833480585</v>
      </c>
      <c r="Z129" s="1442">
        <v>6.7887449486696712</v>
      </c>
      <c r="AA129" s="1442">
        <v>6.8928112131069499</v>
      </c>
      <c r="AB129" s="1442">
        <v>7.003853975536023</v>
      </c>
      <c r="AC129" s="1442">
        <v>7.1226739181036685</v>
      </c>
      <c r="AD129" s="1442">
        <v>7.2330692933313498</v>
      </c>
      <c r="AE129" s="1442">
        <f t="shared" si="21"/>
        <v>7.2330692933313498</v>
      </c>
      <c r="AF129" s="1442">
        <f t="shared" si="21"/>
        <v>7.2330692933313498</v>
      </c>
      <c r="AG129" s="1442">
        <f t="shared" si="21"/>
        <v>7.2330692933313498</v>
      </c>
      <c r="AH129" s="1442">
        <f t="shared" si="21"/>
        <v>7.2330692933313498</v>
      </c>
      <c r="AI129" s="1442">
        <f t="shared" si="21"/>
        <v>7.2330692933313498</v>
      </c>
      <c r="AJ129" s="1442">
        <f t="shared" si="21"/>
        <v>7.2330692933313498</v>
      </c>
      <c r="AK129" s="1442">
        <f t="shared" si="21"/>
        <v>7.2330692933313498</v>
      </c>
      <c r="AL129" s="1442">
        <f t="shared" si="21"/>
        <v>7.2330692933313498</v>
      </c>
      <c r="AM129" s="1442">
        <f t="shared" si="21"/>
        <v>7.2330692933313498</v>
      </c>
      <c r="AN129" s="1442">
        <f t="shared" si="21"/>
        <v>7.2330692933313498</v>
      </c>
      <c r="AO129" s="1442">
        <f t="shared" si="21"/>
        <v>7.2330692933313498</v>
      </c>
      <c r="AP129" s="1442">
        <f t="shared" si="21"/>
        <v>7.2330692933313498</v>
      </c>
      <c r="AQ129" s="1442">
        <f t="shared" si="21"/>
        <v>7.2330692933313498</v>
      </c>
      <c r="AR129" s="1442">
        <f t="shared" si="21"/>
        <v>7.2330692933313498</v>
      </c>
      <c r="AS129" s="1442">
        <f t="shared" si="21"/>
        <v>7.2330692933313498</v>
      </c>
      <c r="AT129" s="1442">
        <f t="shared" si="21"/>
        <v>7.2330692933313498</v>
      </c>
      <c r="AU129" s="1442">
        <f t="shared" si="20"/>
        <v>7.2330692933313498</v>
      </c>
      <c r="AV129" s="1442">
        <f t="shared" si="20"/>
        <v>7.2330692933313498</v>
      </c>
      <c r="AW129" s="1442">
        <f t="shared" si="20"/>
        <v>7.2330692933313498</v>
      </c>
      <c r="AX129" s="1442">
        <f t="shared" si="20"/>
        <v>7.2330692933313498</v>
      </c>
      <c r="AY129" s="1442">
        <f t="shared" si="20"/>
        <v>7.2330692933313498</v>
      </c>
      <c r="AZ129" s="1442">
        <f t="shared" si="20"/>
        <v>7.2330692933313498</v>
      </c>
      <c r="BA129" s="1442">
        <f t="shared" si="20"/>
        <v>7.2330692933313498</v>
      </c>
      <c r="BB129" s="1442">
        <f t="shared" si="20"/>
        <v>7.2330692933313498</v>
      </c>
      <c r="BC129" s="1442">
        <f t="shared" si="20"/>
        <v>7.2330692933313498</v>
      </c>
      <c r="BD129" s="1442">
        <f t="shared" si="20"/>
        <v>7.2330692933313498</v>
      </c>
      <c r="BE129" s="1442">
        <f t="shared" si="20"/>
        <v>7.2330692933313498</v>
      </c>
      <c r="BF129" s="1442">
        <f t="shared" si="20"/>
        <v>7.2330692933313498</v>
      </c>
      <c r="BG129" s="1442">
        <f t="shared" si="20"/>
        <v>7.2330692933313498</v>
      </c>
      <c r="BH129" s="1442">
        <f t="shared" si="20"/>
        <v>7.2330692933313498</v>
      </c>
      <c r="BI129" s="1442">
        <f t="shared" si="20"/>
        <v>7.2330692933313498</v>
      </c>
      <c r="BJ129" s="1442">
        <f t="shared" si="22"/>
        <v>7.2330692933313498</v>
      </c>
      <c r="BK129" s="1442">
        <f t="shared" si="22"/>
        <v>7.2330692933313498</v>
      </c>
      <c r="BL129" s="1442">
        <f t="shared" si="22"/>
        <v>7.2330692933313498</v>
      </c>
      <c r="BM129" s="1442">
        <f t="shared" si="22"/>
        <v>7.2330692933313498</v>
      </c>
      <c r="BN129" s="1443">
        <f t="shared" si="22"/>
        <v>7.2330692933313498</v>
      </c>
    </row>
    <row r="130" spans="1:66" s="91" customFormat="1">
      <c r="A130" s="1448"/>
      <c r="B130" s="1449">
        <v>1</v>
      </c>
      <c r="C130" s="1436" t="s">
        <v>1326</v>
      </c>
      <c r="D130" s="1436" t="s">
        <v>550</v>
      </c>
      <c r="E130" s="1437">
        <v>3.0731808371065181</v>
      </c>
      <c r="F130" s="1437">
        <v>3.6275813442754883</v>
      </c>
      <c r="G130" s="1437">
        <v>3.8207155149176733</v>
      </c>
      <c r="H130" s="1437">
        <v>3.8321507199696079</v>
      </c>
      <c r="I130" s="1437">
        <v>3.8959277179740353</v>
      </c>
      <c r="J130" s="1437">
        <v>3.9599638078445829</v>
      </c>
      <c r="K130" s="1437">
        <v>4.0477350010094924</v>
      </c>
      <c r="L130" s="1437">
        <v>4.1419543166297119</v>
      </c>
      <c r="M130" s="1437">
        <v>4.2395588470373777</v>
      </c>
      <c r="N130" s="1437">
        <v>4.3392044090508719</v>
      </c>
      <c r="O130" s="1437">
        <v>4.4392308849136466</v>
      </c>
      <c r="P130" s="1437">
        <v>4.5459171652818924</v>
      </c>
      <c r="Q130" s="1437">
        <v>4.6551935878172657</v>
      </c>
      <c r="R130" s="1437">
        <v>4.767124143549645</v>
      </c>
      <c r="S130" s="1437">
        <v>4.8817740306339932</v>
      </c>
      <c r="T130" s="1437">
        <v>4.9992098247858543</v>
      </c>
      <c r="U130" s="1437">
        <v>5.1195005080893683</v>
      </c>
      <c r="V130" s="1437">
        <v>5.2427160344526618</v>
      </c>
      <c r="W130" s="1437">
        <v>5.3687504645029653</v>
      </c>
      <c r="X130" s="1437">
        <v>5.4924155557984546</v>
      </c>
      <c r="Y130" s="1437">
        <v>5.6226255773245102</v>
      </c>
      <c r="Z130" s="1437">
        <v>5.7564174958405516</v>
      </c>
      <c r="AA130" s="1437">
        <v>5.8873900188325443</v>
      </c>
      <c r="AB130" s="1437">
        <v>6.0284370441871102</v>
      </c>
      <c r="AC130" s="1437">
        <v>6.1808654493129547</v>
      </c>
      <c r="AD130" s="1437">
        <v>6.3224212442355228</v>
      </c>
      <c r="AE130" s="1437">
        <f t="shared" si="21"/>
        <v>6.3224212442355228</v>
      </c>
      <c r="AF130" s="1437">
        <f t="shared" si="21"/>
        <v>6.3224212442355228</v>
      </c>
      <c r="AG130" s="1437">
        <f t="shared" si="21"/>
        <v>6.3224212442355228</v>
      </c>
      <c r="AH130" s="1437">
        <f t="shared" si="21"/>
        <v>6.3224212442355228</v>
      </c>
      <c r="AI130" s="1437">
        <f t="shared" si="21"/>
        <v>6.3224212442355228</v>
      </c>
      <c r="AJ130" s="1437">
        <f t="shared" si="21"/>
        <v>6.3224212442355228</v>
      </c>
      <c r="AK130" s="1437">
        <f t="shared" si="21"/>
        <v>6.3224212442355228</v>
      </c>
      <c r="AL130" s="1437">
        <f t="shared" si="21"/>
        <v>6.3224212442355228</v>
      </c>
      <c r="AM130" s="1437">
        <f t="shared" si="21"/>
        <v>6.3224212442355228</v>
      </c>
      <c r="AN130" s="1437">
        <f t="shared" si="21"/>
        <v>6.3224212442355228</v>
      </c>
      <c r="AO130" s="1437">
        <f t="shared" si="21"/>
        <v>6.3224212442355228</v>
      </c>
      <c r="AP130" s="1437">
        <f t="shared" si="21"/>
        <v>6.3224212442355228</v>
      </c>
      <c r="AQ130" s="1437">
        <f t="shared" si="21"/>
        <v>6.3224212442355228</v>
      </c>
      <c r="AR130" s="1437">
        <f t="shared" si="21"/>
        <v>6.3224212442355228</v>
      </c>
      <c r="AS130" s="1437">
        <f t="shared" si="21"/>
        <v>6.3224212442355228</v>
      </c>
      <c r="AT130" s="1437">
        <f t="shared" si="21"/>
        <v>6.3224212442355228</v>
      </c>
      <c r="AU130" s="1437">
        <f t="shared" si="20"/>
        <v>6.3224212442355228</v>
      </c>
      <c r="AV130" s="1437">
        <f t="shared" si="20"/>
        <v>6.3224212442355228</v>
      </c>
      <c r="AW130" s="1437">
        <f t="shared" si="20"/>
        <v>6.3224212442355228</v>
      </c>
      <c r="AX130" s="1437">
        <f t="shared" si="20"/>
        <v>6.3224212442355228</v>
      </c>
      <c r="AY130" s="1437">
        <f t="shared" si="20"/>
        <v>6.3224212442355228</v>
      </c>
      <c r="AZ130" s="1437">
        <f t="shared" si="20"/>
        <v>6.3224212442355228</v>
      </c>
      <c r="BA130" s="1437">
        <f t="shared" si="20"/>
        <v>6.3224212442355228</v>
      </c>
      <c r="BB130" s="1437">
        <f t="shared" si="20"/>
        <v>6.3224212442355228</v>
      </c>
      <c r="BC130" s="1437">
        <f t="shared" si="20"/>
        <v>6.3224212442355228</v>
      </c>
      <c r="BD130" s="1437">
        <f t="shared" si="20"/>
        <v>6.3224212442355228</v>
      </c>
      <c r="BE130" s="1437">
        <f t="shared" si="20"/>
        <v>6.3224212442355228</v>
      </c>
      <c r="BF130" s="1437">
        <f t="shared" si="20"/>
        <v>6.3224212442355228</v>
      </c>
      <c r="BG130" s="1437">
        <f t="shared" si="20"/>
        <v>6.3224212442355228</v>
      </c>
      <c r="BH130" s="1437">
        <f t="shared" si="20"/>
        <v>6.3224212442355228</v>
      </c>
      <c r="BI130" s="1437">
        <f t="shared" si="20"/>
        <v>6.3224212442355228</v>
      </c>
      <c r="BJ130" s="1437">
        <f t="shared" si="22"/>
        <v>6.3224212442355228</v>
      </c>
      <c r="BK130" s="1437">
        <f t="shared" si="22"/>
        <v>6.3224212442355228</v>
      </c>
      <c r="BL130" s="1437">
        <f t="shared" si="22"/>
        <v>6.3224212442355228</v>
      </c>
      <c r="BM130" s="1437">
        <f t="shared" si="22"/>
        <v>6.3224212442355228</v>
      </c>
      <c r="BN130" s="1438">
        <f t="shared" si="22"/>
        <v>6.3224212442355228</v>
      </c>
    </row>
    <row r="131" spans="1:66" s="91" customFormat="1">
      <c r="A131" s="1439">
        <v>152</v>
      </c>
      <c r="B131" s="1440">
        <v>0</v>
      </c>
      <c r="C131" s="1441" t="s">
        <v>219</v>
      </c>
      <c r="D131" s="1440" t="s">
        <v>220</v>
      </c>
      <c r="E131" s="1442">
        <v>5.0880187189696837</v>
      </c>
      <c r="F131" s="1442">
        <v>5.6707520425956268</v>
      </c>
      <c r="G131" s="1442">
        <v>5.8647868007872521</v>
      </c>
      <c r="H131" s="1442">
        <v>5.8762412017177681</v>
      </c>
      <c r="I131" s="1442">
        <v>5.9396391508892696</v>
      </c>
      <c r="J131" s="1442">
        <v>6.0030359422321808</v>
      </c>
      <c r="K131" s="1442">
        <v>6.0893877551226261</v>
      </c>
      <c r="L131" s="1442">
        <v>6.1814507982804967</v>
      </c>
      <c r="M131" s="1442">
        <v>6.276159308522173</v>
      </c>
      <c r="N131" s="1442">
        <v>6.3721841575959228</v>
      </c>
      <c r="O131" s="1442">
        <v>6.4679430284445303</v>
      </c>
      <c r="P131" s="1442">
        <v>6.5693356409301495</v>
      </c>
      <c r="Q131" s="1442">
        <v>6.6724621795544996</v>
      </c>
      <c r="R131" s="1442">
        <v>6.7773565267305473</v>
      </c>
      <c r="S131" s="1442">
        <v>6.8840529554192287</v>
      </c>
      <c r="T131" s="1442">
        <v>6.9925862808450931</v>
      </c>
      <c r="U131" s="1442">
        <v>7.1029927738308434</v>
      </c>
      <c r="V131" s="1442">
        <v>7.2153088407332682</v>
      </c>
      <c r="W131" s="1442">
        <v>7.3294154175289936</v>
      </c>
      <c r="X131" s="1442">
        <v>7.4407642737747448</v>
      </c>
      <c r="Y131" s="1442">
        <v>7.557161769898693</v>
      </c>
      <c r="Z131" s="1442">
        <v>7.6759639383799492</v>
      </c>
      <c r="AA131" s="1442">
        <v>7.7916914203084122</v>
      </c>
      <c r="AB131" s="1442">
        <v>7.9153240301472607</v>
      </c>
      <c r="AC131" s="1442">
        <v>8.0477791116689179</v>
      </c>
      <c r="AD131" s="1442">
        <v>8.1704183864017939</v>
      </c>
      <c r="AE131" s="1442">
        <f t="shared" si="21"/>
        <v>8.1704183864017939</v>
      </c>
      <c r="AF131" s="1442">
        <f t="shared" si="21"/>
        <v>8.1704183864017939</v>
      </c>
      <c r="AG131" s="1442">
        <f t="shared" si="21"/>
        <v>8.1704183864017939</v>
      </c>
      <c r="AH131" s="1442">
        <f t="shared" si="21"/>
        <v>8.1704183864017939</v>
      </c>
      <c r="AI131" s="1442">
        <f t="shared" si="21"/>
        <v>8.1704183864017939</v>
      </c>
      <c r="AJ131" s="1442">
        <f t="shared" si="21"/>
        <v>8.1704183864017939</v>
      </c>
      <c r="AK131" s="1442">
        <f t="shared" si="21"/>
        <v>8.1704183864017939</v>
      </c>
      <c r="AL131" s="1442">
        <f t="shared" si="21"/>
        <v>8.1704183864017939</v>
      </c>
      <c r="AM131" s="1442">
        <f t="shared" si="21"/>
        <v>8.1704183864017939</v>
      </c>
      <c r="AN131" s="1442">
        <f t="shared" si="21"/>
        <v>8.1704183864017939</v>
      </c>
      <c r="AO131" s="1442">
        <f t="shared" si="21"/>
        <v>8.1704183864017939</v>
      </c>
      <c r="AP131" s="1442">
        <f t="shared" si="21"/>
        <v>8.1704183864017939</v>
      </c>
      <c r="AQ131" s="1442">
        <f t="shared" si="21"/>
        <v>8.1704183864017939</v>
      </c>
      <c r="AR131" s="1442">
        <f t="shared" si="21"/>
        <v>8.1704183864017939</v>
      </c>
      <c r="AS131" s="1442">
        <f t="shared" si="21"/>
        <v>8.1704183864017939</v>
      </c>
      <c r="AT131" s="1442">
        <f t="shared" si="21"/>
        <v>8.1704183864017939</v>
      </c>
      <c r="AU131" s="1442">
        <f t="shared" si="20"/>
        <v>8.1704183864017939</v>
      </c>
      <c r="AV131" s="1442">
        <f t="shared" si="20"/>
        <v>8.1704183864017939</v>
      </c>
      <c r="AW131" s="1442">
        <f t="shared" si="20"/>
        <v>8.1704183864017939</v>
      </c>
      <c r="AX131" s="1442">
        <f t="shared" si="20"/>
        <v>8.1704183864017939</v>
      </c>
      <c r="AY131" s="1442">
        <f t="shared" si="20"/>
        <v>8.1704183864017939</v>
      </c>
      <c r="AZ131" s="1442">
        <f t="shared" si="20"/>
        <v>8.1704183864017939</v>
      </c>
      <c r="BA131" s="1442">
        <f t="shared" si="20"/>
        <v>8.1704183864017939</v>
      </c>
      <c r="BB131" s="1442">
        <f t="shared" si="20"/>
        <v>8.1704183864017939</v>
      </c>
      <c r="BC131" s="1442">
        <f t="shared" si="20"/>
        <v>8.1704183864017939</v>
      </c>
      <c r="BD131" s="1442">
        <f t="shared" si="20"/>
        <v>8.1704183864017939</v>
      </c>
      <c r="BE131" s="1442">
        <f t="shared" si="20"/>
        <v>8.1704183864017939</v>
      </c>
      <c r="BF131" s="1442">
        <f t="shared" si="20"/>
        <v>8.1704183864017939</v>
      </c>
      <c r="BG131" s="1442">
        <f t="shared" si="20"/>
        <v>8.1704183864017939</v>
      </c>
      <c r="BH131" s="1442">
        <f t="shared" si="20"/>
        <v>8.1704183864017939</v>
      </c>
      <c r="BI131" s="1442">
        <f t="shared" si="20"/>
        <v>8.1704183864017939</v>
      </c>
      <c r="BJ131" s="1442">
        <f t="shared" si="22"/>
        <v>8.1704183864017939</v>
      </c>
      <c r="BK131" s="1442">
        <f t="shared" si="22"/>
        <v>8.1704183864017939</v>
      </c>
      <c r="BL131" s="1442">
        <f t="shared" si="22"/>
        <v>8.1704183864017939</v>
      </c>
      <c r="BM131" s="1442">
        <f t="shared" si="22"/>
        <v>8.1704183864017939</v>
      </c>
      <c r="BN131" s="1443">
        <f t="shared" si="22"/>
        <v>8.1704183864017939</v>
      </c>
    </row>
    <row r="132" spans="1:66" s="91" customFormat="1">
      <c r="A132" s="1434">
        <v>52</v>
      </c>
      <c r="B132" s="1435">
        <v>0</v>
      </c>
      <c r="C132" s="1436" t="s">
        <v>69</v>
      </c>
      <c r="D132" s="1435" t="s">
        <v>95</v>
      </c>
      <c r="E132" s="1437">
        <v>3.3344602629886415</v>
      </c>
      <c r="F132" s="1437">
        <v>3.8363049218946634</v>
      </c>
      <c r="G132" s="1437">
        <v>4.0088986432600278</v>
      </c>
      <c r="H132" s="1437">
        <v>4.0207652282174786</v>
      </c>
      <c r="I132" s="1437">
        <v>4.0787508074167658</v>
      </c>
      <c r="J132" s="1437">
        <v>4.1369195918201722</v>
      </c>
      <c r="K132" s="1437">
        <v>4.2158027370113729</v>
      </c>
      <c r="L132" s="1437">
        <v>4.3001524116273355</v>
      </c>
      <c r="M132" s="1437">
        <v>4.3872632502721993</v>
      </c>
      <c r="N132" s="1437">
        <v>4.4759545463447079</v>
      </c>
      <c r="O132" s="1437">
        <v>4.5647911129495657</v>
      </c>
      <c r="P132" s="1437">
        <v>4.6591705387037017</v>
      </c>
      <c r="Q132" s="1437">
        <v>4.7555653439881853</v>
      </c>
      <c r="R132" s="1437">
        <v>4.8540206485544832</v>
      </c>
      <c r="S132" s="1437">
        <v>4.9545822918172142</v>
      </c>
      <c r="T132" s="1437">
        <v>5.0572969747017984</v>
      </c>
      <c r="U132" s="1437">
        <v>5.1622131212969879</v>
      </c>
      <c r="V132" s="1437">
        <v>5.2693796555643857</v>
      </c>
      <c r="W132" s="1437">
        <v>5.3786982419393539</v>
      </c>
      <c r="X132" s="1437">
        <v>5.4858420220413855</v>
      </c>
      <c r="Y132" s="1437">
        <v>5.5982441332862418</v>
      </c>
      <c r="Z132" s="1437">
        <v>5.7134147448816552</v>
      </c>
      <c r="AA132" s="1437">
        <v>5.8260701788288287</v>
      </c>
      <c r="AB132" s="1437">
        <v>5.946832390856664</v>
      </c>
      <c r="AC132" s="1437">
        <v>6.076696757967003</v>
      </c>
      <c r="AD132" s="1437">
        <v>6.1974645514157469</v>
      </c>
      <c r="AE132" s="1437">
        <f t="shared" si="21"/>
        <v>6.1974645514157469</v>
      </c>
      <c r="AF132" s="1437">
        <f t="shared" si="21"/>
        <v>6.1974645514157469</v>
      </c>
      <c r="AG132" s="1437">
        <f t="shared" si="21"/>
        <v>6.1974645514157469</v>
      </c>
      <c r="AH132" s="1437">
        <f t="shared" si="21"/>
        <v>6.1974645514157469</v>
      </c>
      <c r="AI132" s="1437">
        <f t="shared" si="21"/>
        <v>6.1974645514157469</v>
      </c>
      <c r="AJ132" s="1437">
        <f t="shared" si="21"/>
        <v>6.1974645514157469</v>
      </c>
      <c r="AK132" s="1437">
        <f t="shared" si="21"/>
        <v>6.1974645514157469</v>
      </c>
      <c r="AL132" s="1437">
        <f t="shared" si="21"/>
        <v>6.1974645514157469</v>
      </c>
      <c r="AM132" s="1437">
        <f t="shared" si="21"/>
        <v>6.1974645514157469</v>
      </c>
      <c r="AN132" s="1437">
        <f t="shared" si="21"/>
        <v>6.1974645514157469</v>
      </c>
      <c r="AO132" s="1437">
        <f t="shared" si="21"/>
        <v>6.1974645514157469</v>
      </c>
      <c r="AP132" s="1437">
        <f t="shared" si="21"/>
        <v>6.1974645514157469</v>
      </c>
      <c r="AQ132" s="1437">
        <f t="shared" si="21"/>
        <v>6.1974645514157469</v>
      </c>
      <c r="AR132" s="1437">
        <f t="shared" si="21"/>
        <v>6.1974645514157469</v>
      </c>
      <c r="AS132" s="1437">
        <f t="shared" si="21"/>
        <v>6.1974645514157469</v>
      </c>
      <c r="AT132" s="1437">
        <f t="shared" si="21"/>
        <v>6.1974645514157469</v>
      </c>
      <c r="AU132" s="1437">
        <f t="shared" si="20"/>
        <v>6.1974645514157469</v>
      </c>
      <c r="AV132" s="1437">
        <f t="shared" si="20"/>
        <v>6.1974645514157469</v>
      </c>
      <c r="AW132" s="1437">
        <f t="shared" si="20"/>
        <v>6.1974645514157469</v>
      </c>
      <c r="AX132" s="1437">
        <f t="shared" si="20"/>
        <v>6.1974645514157469</v>
      </c>
      <c r="AY132" s="1437">
        <f t="shared" si="20"/>
        <v>6.1974645514157469</v>
      </c>
      <c r="AZ132" s="1437">
        <f t="shared" si="20"/>
        <v>6.1974645514157469</v>
      </c>
      <c r="BA132" s="1437">
        <f t="shared" si="20"/>
        <v>6.1974645514157469</v>
      </c>
      <c r="BB132" s="1437">
        <f t="shared" si="20"/>
        <v>6.1974645514157469</v>
      </c>
      <c r="BC132" s="1437">
        <f t="shared" si="20"/>
        <v>6.1974645514157469</v>
      </c>
      <c r="BD132" s="1437">
        <f t="shared" si="20"/>
        <v>6.1974645514157469</v>
      </c>
      <c r="BE132" s="1437">
        <f t="shared" si="20"/>
        <v>6.1974645514157469</v>
      </c>
      <c r="BF132" s="1437">
        <f t="shared" si="20"/>
        <v>6.1974645514157469</v>
      </c>
      <c r="BG132" s="1437">
        <f t="shared" si="20"/>
        <v>6.1974645514157469</v>
      </c>
      <c r="BH132" s="1437">
        <f t="shared" si="20"/>
        <v>6.1974645514157469</v>
      </c>
      <c r="BI132" s="1437">
        <f t="shared" si="20"/>
        <v>6.1974645514157469</v>
      </c>
      <c r="BJ132" s="1437">
        <f t="shared" si="22"/>
        <v>6.1974645514157469</v>
      </c>
      <c r="BK132" s="1437">
        <f t="shared" si="22"/>
        <v>6.1974645514157469</v>
      </c>
      <c r="BL132" s="1437">
        <f t="shared" si="22"/>
        <v>6.1974645514157469</v>
      </c>
      <c r="BM132" s="1437">
        <f t="shared" si="22"/>
        <v>6.1974645514157469</v>
      </c>
      <c r="BN132" s="1438">
        <f t="shared" si="22"/>
        <v>6.1974645514157469</v>
      </c>
    </row>
    <row r="133" spans="1:66" s="91" customFormat="1" ht="15">
      <c r="A133" s="1439">
        <v>183</v>
      </c>
      <c r="B133" s="1440">
        <v>0</v>
      </c>
      <c r="C133" s="1441" t="s">
        <v>69</v>
      </c>
      <c r="D133" s="1440" t="s">
        <v>96</v>
      </c>
      <c r="E133" s="1444">
        <v>3.3419419726980211</v>
      </c>
      <c r="F133" s="1444">
        <v>3.8450617430014962</v>
      </c>
      <c r="G133" s="1444">
        <v>4.0180685326882664</v>
      </c>
      <c r="H133" s="1444">
        <v>4.0299267676557697</v>
      </c>
      <c r="I133" s="1444">
        <v>4.0880234080292084</v>
      </c>
      <c r="J133" s="1444">
        <v>4.1463025158464557</v>
      </c>
      <c r="K133" s="1444">
        <v>4.2253488953128127</v>
      </c>
      <c r="L133" s="1444">
        <v>4.309874807243177</v>
      </c>
      <c r="M133" s="1444">
        <v>4.3971677734906249</v>
      </c>
      <c r="N133" s="1444">
        <v>4.4860439602381605</v>
      </c>
      <c r="O133" s="1444">
        <v>4.5750643867597702</v>
      </c>
      <c r="P133" s="1444">
        <v>4.6696407130371096</v>
      </c>
      <c r="Q133" s="1444">
        <v>4.7662361921648717</v>
      </c>
      <c r="R133" s="1444">
        <v>4.8648960169786264</v>
      </c>
      <c r="S133" s="1444">
        <v>4.9656661005120091</v>
      </c>
      <c r="T133" s="1444">
        <v>5.0685932181748754</v>
      </c>
      <c r="U133" s="1444">
        <v>5.1737258716172683</v>
      </c>
      <c r="V133" s="1444">
        <v>5.2811130621973952</v>
      </c>
      <c r="W133" s="1444">
        <v>5.3906561451752406</v>
      </c>
      <c r="X133" s="1444">
        <v>5.4980168946384689</v>
      </c>
      <c r="Y133" s="1444">
        <v>5.6106478290488511</v>
      </c>
      <c r="Z133" s="1444">
        <v>5.7260525503006088</v>
      </c>
      <c r="AA133" s="1444">
        <v>5.8389335059881722</v>
      </c>
      <c r="AB133" s="1444">
        <v>5.9599403659289916</v>
      </c>
      <c r="AC133" s="1444">
        <v>6.0900710477033009</v>
      </c>
      <c r="AD133" s="1444">
        <v>6.2110791722900336</v>
      </c>
      <c r="AE133" s="1442">
        <f t="shared" si="21"/>
        <v>6.2110791722900336</v>
      </c>
      <c r="AF133" s="1442">
        <f t="shared" si="21"/>
        <v>6.2110791722900336</v>
      </c>
      <c r="AG133" s="1442">
        <f t="shared" si="21"/>
        <v>6.2110791722900336</v>
      </c>
      <c r="AH133" s="1442">
        <f t="shared" si="21"/>
        <v>6.2110791722900336</v>
      </c>
      <c r="AI133" s="1442">
        <f t="shared" si="21"/>
        <v>6.2110791722900336</v>
      </c>
      <c r="AJ133" s="1442">
        <f t="shared" si="21"/>
        <v>6.2110791722900336</v>
      </c>
      <c r="AK133" s="1442">
        <f t="shared" si="21"/>
        <v>6.2110791722900336</v>
      </c>
      <c r="AL133" s="1442">
        <f t="shared" si="21"/>
        <v>6.2110791722900336</v>
      </c>
      <c r="AM133" s="1442">
        <f t="shared" si="21"/>
        <v>6.2110791722900336</v>
      </c>
      <c r="AN133" s="1442">
        <f t="shared" si="21"/>
        <v>6.2110791722900336</v>
      </c>
      <c r="AO133" s="1442">
        <f t="shared" si="21"/>
        <v>6.2110791722900336</v>
      </c>
      <c r="AP133" s="1442">
        <f t="shared" si="21"/>
        <v>6.2110791722900336</v>
      </c>
      <c r="AQ133" s="1442">
        <f t="shared" si="21"/>
        <v>6.2110791722900336</v>
      </c>
      <c r="AR133" s="1442">
        <f t="shared" si="21"/>
        <v>6.2110791722900336</v>
      </c>
      <c r="AS133" s="1442">
        <f t="shared" si="21"/>
        <v>6.2110791722900336</v>
      </c>
      <c r="AT133" s="1442">
        <f t="shared" si="21"/>
        <v>6.2110791722900336</v>
      </c>
      <c r="AU133" s="1442">
        <f t="shared" si="20"/>
        <v>6.2110791722900336</v>
      </c>
      <c r="AV133" s="1442">
        <f t="shared" si="20"/>
        <v>6.2110791722900336</v>
      </c>
      <c r="AW133" s="1442">
        <f t="shared" si="20"/>
        <v>6.2110791722900336</v>
      </c>
      <c r="AX133" s="1442">
        <f t="shared" si="20"/>
        <v>6.2110791722900336</v>
      </c>
      <c r="AY133" s="1442">
        <f t="shared" si="20"/>
        <v>6.2110791722900336</v>
      </c>
      <c r="AZ133" s="1442">
        <f t="shared" si="20"/>
        <v>6.2110791722900336</v>
      </c>
      <c r="BA133" s="1442">
        <f t="shared" si="20"/>
        <v>6.2110791722900336</v>
      </c>
      <c r="BB133" s="1442">
        <f t="shared" si="20"/>
        <v>6.2110791722900336</v>
      </c>
      <c r="BC133" s="1442">
        <f t="shared" si="20"/>
        <v>6.2110791722900336</v>
      </c>
      <c r="BD133" s="1442">
        <f t="shared" si="20"/>
        <v>6.2110791722900336</v>
      </c>
      <c r="BE133" s="1442">
        <f t="shared" si="20"/>
        <v>6.2110791722900336</v>
      </c>
      <c r="BF133" s="1442">
        <f t="shared" si="20"/>
        <v>6.2110791722900336</v>
      </c>
      <c r="BG133" s="1442">
        <f t="shared" si="20"/>
        <v>6.2110791722900336</v>
      </c>
      <c r="BH133" s="1442">
        <f t="shared" si="20"/>
        <v>6.2110791722900336</v>
      </c>
      <c r="BI133" s="1442">
        <f t="shared" si="20"/>
        <v>6.2110791722900336</v>
      </c>
      <c r="BJ133" s="1442">
        <f t="shared" si="22"/>
        <v>6.2110791722900336</v>
      </c>
      <c r="BK133" s="1442">
        <f t="shared" si="22"/>
        <v>6.2110791722900336</v>
      </c>
      <c r="BL133" s="1442">
        <f t="shared" si="22"/>
        <v>6.2110791722900336</v>
      </c>
      <c r="BM133" s="1442">
        <f t="shared" si="22"/>
        <v>6.2110791722900336</v>
      </c>
      <c r="BN133" s="1443">
        <f t="shared" si="22"/>
        <v>6.2110791722900336</v>
      </c>
    </row>
    <row r="134" spans="1:66" s="91" customFormat="1">
      <c r="A134" s="1434">
        <v>153</v>
      </c>
      <c r="B134" s="1435">
        <v>0</v>
      </c>
      <c r="C134" s="1436" t="s">
        <v>221</v>
      </c>
      <c r="D134" s="1435" t="s">
        <v>259</v>
      </c>
      <c r="E134" s="1437">
        <v>5.9750943260537435</v>
      </c>
      <c r="F134" s="1437">
        <v>6.6671134175406959</v>
      </c>
      <c r="G134" s="1437">
        <v>6.8956354789013297</v>
      </c>
      <c r="H134" s="1437">
        <v>6.9063968167454313</v>
      </c>
      <c r="I134" s="1437">
        <v>6.9789995750756395</v>
      </c>
      <c r="J134" s="1437">
        <v>7.0515115019506762</v>
      </c>
      <c r="K134" s="1437">
        <v>7.1512987870682361</v>
      </c>
      <c r="L134" s="1437">
        <v>7.2578002306937597</v>
      </c>
      <c r="M134" s="1437">
        <v>7.3673579140659404</v>
      </c>
      <c r="N134" s="1437">
        <v>7.478384288229317</v>
      </c>
      <c r="O134" s="1437">
        <v>7.5889898588704625</v>
      </c>
      <c r="P134" s="1437">
        <v>7.7062052937171845</v>
      </c>
      <c r="Q134" s="1437">
        <v>7.825377940766244</v>
      </c>
      <c r="R134" s="1437">
        <v>7.9465448949863893</v>
      </c>
      <c r="S134" s="1437">
        <v>8.0697436179542699</v>
      </c>
      <c r="T134" s="1437">
        <v>8.1950121157628644</v>
      </c>
      <c r="U134" s="1437">
        <v>8.3223900248599776</v>
      </c>
      <c r="V134" s="1437">
        <v>8.4519170350869324</v>
      </c>
      <c r="W134" s="1437">
        <v>8.5834473695629381</v>
      </c>
      <c r="X134" s="1437">
        <v>8.7115545848278373</v>
      </c>
      <c r="Y134" s="1437">
        <v>8.8455415402298598</v>
      </c>
      <c r="Z134" s="1437">
        <v>8.9822518573847141</v>
      </c>
      <c r="AA134" s="1437">
        <v>9.1151486151135011</v>
      </c>
      <c r="AB134" s="1437">
        <v>9.2573177596345868</v>
      </c>
      <c r="AC134" s="1437">
        <v>9.4098484002866805</v>
      </c>
      <c r="AD134" s="1437">
        <v>9.5505148567983973</v>
      </c>
      <c r="AE134" s="1437">
        <f t="shared" si="21"/>
        <v>9.5505148567983973</v>
      </c>
      <c r="AF134" s="1437">
        <f t="shared" si="21"/>
        <v>9.5505148567983973</v>
      </c>
      <c r="AG134" s="1437">
        <f t="shared" si="21"/>
        <v>9.5505148567983973</v>
      </c>
      <c r="AH134" s="1437">
        <f t="shared" si="21"/>
        <v>9.5505148567983973</v>
      </c>
      <c r="AI134" s="1437">
        <f t="shared" si="21"/>
        <v>9.5505148567983973</v>
      </c>
      <c r="AJ134" s="1437">
        <f t="shared" si="21"/>
        <v>9.5505148567983973</v>
      </c>
      <c r="AK134" s="1437">
        <f t="shared" si="21"/>
        <v>9.5505148567983973</v>
      </c>
      <c r="AL134" s="1437">
        <f t="shared" si="21"/>
        <v>9.5505148567983973</v>
      </c>
      <c r="AM134" s="1437">
        <f t="shared" si="21"/>
        <v>9.5505148567983973</v>
      </c>
      <c r="AN134" s="1437">
        <f t="shared" si="21"/>
        <v>9.5505148567983973</v>
      </c>
      <c r="AO134" s="1437">
        <f t="shared" si="21"/>
        <v>9.5505148567983973</v>
      </c>
      <c r="AP134" s="1437">
        <f t="shared" si="21"/>
        <v>9.5505148567983973</v>
      </c>
      <c r="AQ134" s="1437">
        <f t="shared" si="21"/>
        <v>9.5505148567983973</v>
      </c>
      <c r="AR134" s="1437">
        <f t="shared" si="21"/>
        <v>9.5505148567983973</v>
      </c>
      <c r="AS134" s="1437">
        <f t="shared" si="21"/>
        <v>9.5505148567983973</v>
      </c>
      <c r="AT134" s="1437">
        <f t="shared" ref="AT134:BI149" si="23">AS134</f>
        <v>9.5505148567983973</v>
      </c>
      <c r="AU134" s="1437">
        <f t="shared" si="23"/>
        <v>9.5505148567983973</v>
      </c>
      <c r="AV134" s="1437">
        <f t="shared" si="23"/>
        <v>9.5505148567983973</v>
      </c>
      <c r="AW134" s="1437">
        <f t="shared" si="23"/>
        <v>9.5505148567983973</v>
      </c>
      <c r="AX134" s="1437">
        <f t="shared" si="20"/>
        <v>9.5505148567983973</v>
      </c>
      <c r="AY134" s="1437">
        <f t="shared" si="20"/>
        <v>9.5505148567983973</v>
      </c>
      <c r="AZ134" s="1437">
        <f t="shared" si="20"/>
        <v>9.5505148567983973</v>
      </c>
      <c r="BA134" s="1437">
        <f t="shared" si="20"/>
        <v>9.5505148567983973</v>
      </c>
      <c r="BB134" s="1437">
        <f t="shared" si="20"/>
        <v>9.5505148567983973</v>
      </c>
      <c r="BC134" s="1437">
        <f t="shared" si="20"/>
        <v>9.5505148567983973</v>
      </c>
      <c r="BD134" s="1437">
        <f t="shared" si="20"/>
        <v>9.5505148567983973</v>
      </c>
      <c r="BE134" s="1437">
        <f t="shared" si="20"/>
        <v>9.5505148567983973</v>
      </c>
      <c r="BF134" s="1437">
        <f t="shared" si="20"/>
        <v>9.5505148567983973</v>
      </c>
      <c r="BG134" s="1437">
        <f t="shared" si="20"/>
        <v>9.5505148567983973</v>
      </c>
      <c r="BH134" s="1437">
        <f t="shared" si="20"/>
        <v>9.5505148567983973</v>
      </c>
      <c r="BI134" s="1437">
        <f t="shared" si="20"/>
        <v>9.5505148567983973</v>
      </c>
      <c r="BJ134" s="1437">
        <f t="shared" si="22"/>
        <v>9.5505148567983973</v>
      </c>
      <c r="BK134" s="1437">
        <f t="shared" si="22"/>
        <v>9.5505148567983973</v>
      </c>
      <c r="BL134" s="1437">
        <f t="shared" si="22"/>
        <v>9.5505148567983973</v>
      </c>
      <c r="BM134" s="1437">
        <f t="shared" si="22"/>
        <v>9.5505148567983973</v>
      </c>
      <c r="BN134" s="1438">
        <f t="shared" si="22"/>
        <v>9.5505148567983973</v>
      </c>
    </row>
    <row r="135" spans="1:66" s="91" customFormat="1">
      <c r="A135" s="1439">
        <v>53</v>
      </c>
      <c r="B135" s="1440">
        <v>0</v>
      </c>
      <c r="C135" s="1441" t="s">
        <v>205</v>
      </c>
      <c r="D135" s="1440" t="s">
        <v>210</v>
      </c>
      <c r="E135" s="1442">
        <v>2.6541808371065176</v>
      </c>
      <c r="F135" s="1442">
        <v>2.6683762622197134</v>
      </c>
      <c r="G135" s="1442">
        <v>2.6829975500863048</v>
      </c>
      <c r="H135" s="1442">
        <v>2.6980574765888941</v>
      </c>
      <c r="I135" s="1442">
        <v>2.7135692008865608</v>
      </c>
      <c r="J135" s="1442">
        <v>2.7295462769131578</v>
      </c>
      <c r="K135" s="1442">
        <v>2.7460026652205523</v>
      </c>
      <c r="L135" s="1442">
        <v>2.7629527451771692</v>
      </c>
      <c r="M135" s="1442">
        <v>2.7804113275324842</v>
      </c>
      <c r="N135" s="1442">
        <v>2.7983936673584586</v>
      </c>
      <c r="O135" s="1442">
        <v>2.8169154773792124</v>
      </c>
      <c r="P135" s="1442">
        <v>2.8359929417005887</v>
      </c>
      <c r="Q135" s="1442">
        <v>2.8556427299516067</v>
      </c>
      <c r="R135" s="1442">
        <v>2.8758820118501549</v>
      </c>
      <c r="S135" s="1442">
        <v>2.8967284722056594</v>
      </c>
      <c r="T135" s="1442">
        <v>2.9182003263718292</v>
      </c>
      <c r="U135" s="1442">
        <v>2.9403163361629843</v>
      </c>
      <c r="V135" s="1442">
        <v>2.9630958262478737</v>
      </c>
      <c r="W135" s="1442">
        <v>2.9865587010353098</v>
      </c>
      <c r="X135" s="1442">
        <v>3.0107254620663695</v>
      </c>
      <c r="Y135" s="1442">
        <v>3.0356172259283607</v>
      </c>
      <c r="Z135" s="1442">
        <v>3.0612557427062113</v>
      </c>
      <c r="AA135" s="1442">
        <v>3.0876634149873974</v>
      </c>
      <c r="AB135" s="1442">
        <v>3.1148633174370195</v>
      </c>
      <c r="AC135" s="1442">
        <v>3.1428792169601305</v>
      </c>
      <c r="AD135" s="1442">
        <v>3.1717355934689344</v>
      </c>
      <c r="AE135" s="1442">
        <f t="shared" ref="AE135:AT150" si="24">AD135</f>
        <v>3.1717355934689344</v>
      </c>
      <c r="AF135" s="1442">
        <f t="shared" si="24"/>
        <v>3.1717355934689344</v>
      </c>
      <c r="AG135" s="1442">
        <f t="shared" si="24"/>
        <v>3.1717355934689344</v>
      </c>
      <c r="AH135" s="1442">
        <f t="shared" si="24"/>
        <v>3.1717355934689344</v>
      </c>
      <c r="AI135" s="1442">
        <f t="shared" si="24"/>
        <v>3.1717355934689344</v>
      </c>
      <c r="AJ135" s="1442">
        <f t="shared" si="24"/>
        <v>3.1717355934689344</v>
      </c>
      <c r="AK135" s="1442">
        <f t="shared" si="24"/>
        <v>3.1717355934689344</v>
      </c>
      <c r="AL135" s="1442">
        <f t="shared" si="24"/>
        <v>3.1717355934689344</v>
      </c>
      <c r="AM135" s="1442">
        <f t="shared" si="24"/>
        <v>3.1717355934689344</v>
      </c>
      <c r="AN135" s="1442">
        <f t="shared" si="24"/>
        <v>3.1717355934689344</v>
      </c>
      <c r="AO135" s="1442">
        <f t="shared" si="24"/>
        <v>3.1717355934689344</v>
      </c>
      <c r="AP135" s="1442">
        <f t="shared" si="24"/>
        <v>3.1717355934689344</v>
      </c>
      <c r="AQ135" s="1442">
        <f t="shared" si="24"/>
        <v>3.1717355934689344</v>
      </c>
      <c r="AR135" s="1442">
        <f t="shared" si="24"/>
        <v>3.1717355934689344</v>
      </c>
      <c r="AS135" s="1442">
        <f t="shared" si="24"/>
        <v>3.1717355934689344</v>
      </c>
      <c r="AT135" s="1442">
        <f t="shared" si="24"/>
        <v>3.1717355934689344</v>
      </c>
      <c r="AU135" s="1442">
        <f t="shared" si="23"/>
        <v>3.1717355934689344</v>
      </c>
      <c r="AV135" s="1442">
        <f t="shared" si="23"/>
        <v>3.1717355934689344</v>
      </c>
      <c r="AW135" s="1442">
        <f t="shared" si="23"/>
        <v>3.1717355934689344</v>
      </c>
      <c r="AX135" s="1442">
        <f t="shared" si="23"/>
        <v>3.1717355934689344</v>
      </c>
      <c r="AY135" s="1442">
        <f t="shared" si="23"/>
        <v>3.1717355934689344</v>
      </c>
      <c r="AZ135" s="1442">
        <f t="shared" si="23"/>
        <v>3.1717355934689344</v>
      </c>
      <c r="BA135" s="1442">
        <f t="shared" si="23"/>
        <v>3.1717355934689344</v>
      </c>
      <c r="BB135" s="1442">
        <f t="shared" si="23"/>
        <v>3.1717355934689344</v>
      </c>
      <c r="BC135" s="1442">
        <f t="shared" si="23"/>
        <v>3.1717355934689344</v>
      </c>
      <c r="BD135" s="1442">
        <f t="shared" si="23"/>
        <v>3.1717355934689344</v>
      </c>
      <c r="BE135" s="1442">
        <f t="shared" si="23"/>
        <v>3.1717355934689344</v>
      </c>
      <c r="BF135" s="1442">
        <f t="shared" si="23"/>
        <v>3.1717355934689344</v>
      </c>
      <c r="BG135" s="1442">
        <f t="shared" si="23"/>
        <v>3.1717355934689344</v>
      </c>
      <c r="BH135" s="1442">
        <f t="shared" si="23"/>
        <v>3.1717355934689344</v>
      </c>
      <c r="BI135" s="1442">
        <f t="shared" si="23"/>
        <v>3.1717355934689344</v>
      </c>
      <c r="BJ135" s="1442">
        <f t="shared" ref="BJ135:BN150" si="25">BI135</f>
        <v>3.1717355934689344</v>
      </c>
      <c r="BK135" s="1442">
        <f t="shared" si="25"/>
        <v>3.1717355934689344</v>
      </c>
      <c r="BL135" s="1442">
        <f t="shared" si="25"/>
        <v>3.1717355934689344</v>
      </c>
      <c r="BM135" s="1442">
        <f t="shared" si="25"/>
        <v>3.1717355934689344</v>
      </c>
      <c r="BN135" s="1443">
        <f t="shared" si="25"/>
        <v>3.1717355934689344</v>
      </c>
    </row>
    <row r="136" spans="1:66" s="91" customFormat="1">
      <c r="A136" s="1434">
        <v>54</v>
      </c>
      <c r="B136" s="1435">
        <v>0</v>
      </c>
      <c r="C136" s="1436" t="s">
        <v>205</v>
      </c>
      <c r="D136" s="1435" t="s">
        <v>211</v>
      </c>
      <c r="E136" s="1437">
        <v>2.3646808371065178</v>
      </c>
      <c r="F136" s="1437">
        <v>2.3788762622197135</v>
      </c>
      <c r="G136" s="1437">
        <v>2.3934975500863049</v>
      </c>
      <c r="H136" s="1437">
        <v>2.4085574765888942</v>
      </c>
      <c r="I136" s="1437">
        <v>2.424069200886561</v>
      </c>
      <c r="J136" s="1437">
        <v>2.4400462769131579</v>
      </c>
      <c r="K136" s="1437">
        <v>2.4565026652205528</v>
      </c>
      <c r="L136" s="1437">
        <v>2.4734527451771693</v>
      </c>
      <c r="M136" s="1437">
        <v>2.4909113275324843</v>
      </c>
      <c r="N136" s="1437">
        <v>2.5088936673584588</v>
      </c>
      <c r="O136" s="1437">
        <v>2.5274154773792126</v>
      </c>
      <c r="P136" s="1437">
        <v>2.5464929417005893</v>
      </c>
      <c r="Q136" s="1437">
        <v>2.5661427299516069</v>
      </c>
      <c r="R136" s="1437">
        <v>2.586382011850155</v>
      </c>
      <c r="S136" s="1437">
        <v>2.6072284722056596</v>
      </c>
      <c r="T136" s="1437">
        <v>2.6287003263718294</v>
      </c>
      <c r="U136" s="1437">
        <v>2.6508163361629844</v>
      </c>
      <c r="V136" s="1437">
        <v>2.6735958262478738</v>
      </c>
      <c r="W136" s="1437">
        <v>2.69705870103531</v>
      </c>
      <c r="X136" s="1437">
        <v>2.7212254620663696</v>
      </c>
      <c r="Y136" s="1437">
        <v>2.7461172259283604</v>
      </c>
      <c r="Z136" s="1437">
        <v>2.7717557427062114</v>
      </c>
      <c r="AA136" s="1437">
        <v>2.798163414987398</v>
      </c>
      <c r="AB136" s="1437">
        <v>2.8253633174370196</v>
      </c>
      <c r="AC136" s="1437">
        <v>2.8533792169601302</v>
      </c>
      <c r="AD136" s="1437">
        <v>2.8822355934689345</v>
      </c>
      <c r="AE136" s="1437">
        <f t="shared" si="24"/>
        <v>2.8822355934689345</v>
      </c>
      <c r="AF136" s="1437">
        <f t="shared" si="24"/>
        <v>2.8822355934689345</v>
      </c>
      <c r="AG136" s="1437">
        <f t="shared" si="24"/>
        <v>2.8822355934689345</v>
      </c>
      <c r="AH136" s="1437">
        <f t="shared" si="24"/>
        <v>2.8822355934689345</v>
      </c>
      <c r="AI136" s="1437">
        <f t="shared" si="24"/>
        <v>2.8822355934689345</v>
      </c>
      <c r="AJ136" s="1437">
        <f t="shared" si="24"/>
        <v>2.8822355934689345</v>
      </c>
      <c r="AK136" s="1437">
        <f t="shared" si="24"/>
        <v>2.8822355934689345</v>
      </c>
      <c r="AL136" s="1437">
        <f t="shared" si="24"/>
        <v>2.8822355934689345</v>
      </c>
      <c r="AM136" s="1437">
        <f t="shared" si="24"/>
        <v>2.8822355934689345</v>
      </c>
      <c r="AN136" s="1437">
        <f t="shared" si="24"/>
        <v>2.8822355934689345</v>
      </c>
      <c r="AO136" s="1437">
        <f t="shared" si="24"/>
        <v>2.8822355934689345</v>
      </c>
      <c r="AP136" s="1437">
        <f t="shared" si="24"/>
        <v>2.8822355934689345</v>
      </c>
      <c r="AQ136" s="1437">
        <f t="shared" si="24"/>
        <v>2.8822355934689345</v>
      </c>
      <c r="AR136" s="1437">
        <f t="shared" si="24"/>
        <v>2.8822355934689345</v>
      </c>
      <c r="AS136" s="1437">
        <f t="shared" si="24"/>
        <v>2.8822355934689345</v>
      </c>
      <c r="AT136" s="1437">
        <f t="shared" si="24"/>
        <v>2.8822355934689345</v>
      </c>
      <c r="AU136" s="1437">
        <f t="shared" si="23"/>
        <v>2.8822355934689345</v>
      </c>
      <c r="AV136" s="1437">
        <f t="shared" si="23"/>
        <v>2.8822355934689345</v>
      </c>
      <c r="AW136" s="1437">
        <f t="shared" si="23"/>
        <v>2.8822355934689345</v>
      </c>
      <c r="AX136" s="1437">
        <f t="shared" si="23"/>
        <v>2.8822355934689345</v>
      </c>
      <c r="AY136" s="1437">
        <f t="shared" si="23"/>
        <v>2.8822355934689345</v>
      </c>
      <c r="AZ136" s="1437">
        <f t="shared" si="23"/>
        <v>2.8822355934689345</v>
      </c>
      <c r="BA136" s="1437">
        <f t="shared" si="23"/>
        <v>2.8822355934689345</v>
      </c>
      <c r="BB136" s="1437">
        <f t="shared" si="23"/>
        <v>2.8822355934689345</v>
      </c>
      <c r="BC136" s="1437">
        <f t="shared" si="23"/>
        <v>2.8822355934689345</v>
      </c>
      <c r="BD136" s="1437">
        <f t="shared" si="23"/>
        <v>2.8822355934689345</v>
      </c>
      <c r="BE136" s="1437">
        <f t="shared" si="23"/>
        <v>2.8822355934689345</v>
      </c>
      <c r="BF136" s="1437">
        <f t="shared" si="23"/>
        <v>2.8822355934689345</v>
      </c>
      <c r="BG136" s="1437">
        <f t="shared" si="23"/>
        <v>2.8822355934689345</v>
      </c>
      <c r="BH136" s="1437">
        <f t="shared" si="23"/>
        <v>2.8822355934689345</v>
      </c>
      <c r="BI136" s="1437">
        <f t="shared" si="23"/>
        <v>2.8822355934689345</v>
      </c>
      <c r="BJ136" s="1437">
        <f t="shared" si="25"/>
        <v>2.8822355934689345</v>
      </c>
      <c r="BK136" s="1437">
        <f t="shared" si="25"/>
        <v>2.8822355934689345</v>
      </c>
      <c r="BL136" s="1437">
        <f t="shared" si="25"/>
        <v>2.8822355934689345</v>
      </c>
      <c r="BM136" s="1437">
        <f t="shared" si="25"/>
        <v>2.8822355934689345</v>
      </c>
      <c r="BN136" s="1438">
        <f t="shared" si="25"/>
        <v>2.8822355934689345</v>
      </c>
    </row>
    <row r="137" spans="1:66" s="91" customFormat="1">
      <c r="A137" s="1439">
        <v>163</v>
      </c>
      <c r="B137" s="1440">
        <v>0</v>
      </c>
      <c r="C137" s="1441" t="s">
        <v>232</v>
      </c>
      <c r="D137" s="1440" t="s">
        <v>233</v>
      </c>
      <c r="E137" s="1442">
        <v>4.5938704816846876</v>
      </c>
      <c r="F137" s="1442">
        <v>5.1157258270215289</v>
      </c>
      <c r="G137" s="1442">
        <v>5.2905493252781675</v>
      </c>
      <c r="H137" s="1442">
        <v>5.3023897991654234</v>
      </c>
      <c r="I137" s="1442">
        <v>5.3606601806482228</v>
      </c>
      <c r="J137" s="1442">
        <v>5.4189793572761715</v>
      </c>
      <c r="K137" s="1442">
        <v>5.4978468984031945</v>
      </c>
      <c r="L137" s="1442">
        <v>5.5818669854890812</v>
      </c>
      <c r="M137" s="1442">
        <v>5.66830371746408</v>
      </c>
      <c r="N137" s="1442">
        <v>5.7559719201365223</v>
      </c>
      <c r="O137" s="1442">
        <v>5.8434603904990894</v>
      </c>
      <c r="P137" s="1442">
        <v>5.9360388503733947</v>
      </c>
      <c r="Q137" s="1442">
        <v>6.0302268541873723</v>
      </c>
      <c r="R137" s="1442">
        <v>6.1260564947897551</v>
      </c>
      <c r="S137" s="1442">
        <v>6.2235602689131397</v>
      </c>
      <c r="T137" s="1442">
        <v>6.3227712142988537</v>
      </c>
      <c r="U137" s="1442">
        <v>6.4237237269376193</v>
      </c>
      <c r="V137" s="1442">
        <v>6.5264523841109181</v>
      </c>
      <c r="W137" s="1442">
        <v>6.6308530022760239</v>
      </c>
      <c r="X137" s="1442">
        <v>6.7328665622933928</v>
      </c>
      <c r="Y137" s="1442">
        <v>6.8394657951941777</v>
      </c>
      <c r="Z137" s="1442">
        <v>6.948292173529218</v>
      </c>
      <c r="AA137" s="1442">
        <v>7.0544554567530433</v>
      </c>
      <c r="AB137" s="1442">
        <v>7.1677622320571004</v>
      </c>
      <c r="AC137" s="1442">
        <v>7.2890341606686837</v>
      </c>
      <c r="AD137" s="1442">
        <v>7.4016313374923293</v>
      </c>
      <c r="AE137" s="1442">
        <f t="shared" si="24"/>
        <v>7.4016313374923293</v>
      </c>
      <c r="AF137" s="1442">
        <f t="shared" si="24"/>
        <v>7.4016313374923293</v>
      </c>
      <c r="AG137" s="1442">
        <f t="shared" si="24"/>
        <v>7.4016313374923293</v>
      </c>
      <c r="AH137" s="1442">
        <f t="shared" si="24"/>
        <v>7.4016313374923293</v>
      </c>
      <c r="AI137" s="1442">
        <f t="shared" si="24"/>
        <v>7.4016313374923293</v>
      </c>
      <c r="AJ137" s="1442">
        <f t="shared" si="24"/>
        <v>7.4016313374923293</v>
      </c>
      <c r="AK137" s="1442">
        <f t="shared" si="24"/>
        <v>7.4016313374923293</v>
      </c>
      <c r="AL137" s="1442">
        <f t="shared" si="24"/>
        <v>7.4016313374923293</v>
      </c>
      <c r="AM137" s="1442">
        <f t="shared" si="24"/>
        <v>7.4016313374923293</v>
      </c>
      <c r="AN137" s="1442">
        <f t="shared" si="24"/>
        <v>7.4016313374923293</v>
      </c>
      <c r="AO137" s="1442">
        <f t="shared" si="24"/>
        <v>7.4016313374923293</v>
      </c>
      <c r="AP137" s="1442">
        <f t="shared" si="24"/>
        <v>7.4016313374923293</v>
      </c>
      <c r="AQ137" s="1442">
        <f t="shared" si="24"/>
        <v>7.4016313374923293</v>
      </c>
      <c r="AR137" s="1442">
        <f t="shared" si="24"/>
        <v>7.4016313374923293</v>
      </c>
      <c r="AS137" s="1442">
        <f t="shared" si="24"/>
        <v>7.4016313374923293</v>
      </c>
      <c r="AT137" s="1442">
        <f t="shared" si="24"/>
        <v>7.4016313374923293</v>
      </c>
      <c r="AU137" s="1442">
        <f t="shared" si="23"/>
        <v>7.4016313374923293</v>
      </c>
      <c r="AV137" s="1442">
        <f t="shared" si="23"/>
        <v>7.4016313374923293</v>
      </c>
      <c r="AW137" s="1442">
        <f t="shared" si="23"/>
        <v>7.4016313374923293</v>
      </c>
      <c r="AX137" s="1442">
        <f t="shared" si="23"/>
        <v>7.4016313374923293</v>
      </c>
      <c r="AY137" s="1442">
        <f t="shared" si="23"/>
        <v>7.4016313374923293</v>
      </c>
      <c r="AZ137" s="1442">
        <f t="shared" si="23"/>
        <v>7.4016313374923293</v>
      </c>
      <c r="BA137" s="1442">
        <f t="shared" si="23"/>
        <v>7.4016313374923293</v>
      </c>
      <c r="BB137" s="1442">
        <f t="shared" si="23"/>
        <v>7.4016313374923293</v>
      </c>
      <c r="BC137" s="1442">
        <f t="shared" si="23"/>
        <v>7.4016313374923293</v>
      </c>
      <c r="BD137" s="1442">
        <f t="shared" si="23"/>
        <v>7.4016313374923293</v>
      </c>
      <c r="BE137" s="1442">
        <f t="shared" si="23"/>
        <v>7.4016313374923293</v>
      </c>
      <c r="BF137" s="1442">
        <f t="shared" si="23"/>
        <v>7.4016313374923293</v>
      </c>
      <c r="BG137" s="1442">
        <f t="shared" si="23"/>
        <v>7.4016313374923293</v>
      </c>
      <c r="BH137" s="1442">
        <f t="shared" si="23"/>
        <v>7.4016313374923293</v>
      </c>
      <c r="BI137" s="1442">
        <f t="shared" si="23"/>
        <v>7.4016313374923293</v>
      </c>
      <c r="BJ137" s="1442">
        <f t="shared" si="25"/>
        <v>7.4016313374923293</v>
      </c>
      <c r="BK137" s="1442">
        <f t="shared" si="25"/>
        <v>7.4016313374923293</v>
      </c>
      <c r="BL137" s="1442">
        <f t="shared" si="25"/>
        <v>7.4016313374923293</v>
      </c>
      <c r="BM137" s="1442">
        <f t="shared" si="25"/>
        <v>7.4016313374923293</v>
      </c>
      <c r="BN137" s="1443">
        <f t="shared" si="25"/>
        <v>7.4016313374923293</v>
      </c>
    </row>
    <row r="138" spans="1:66" s="91" customFormat="1">
      <c r="A138" s="1434">
        <v>154</v>
      </c>
      <c r="B138" s="1435">
        <v>0</v>
      </c>
      <c r="C138" s="1436" t="s">
        <v>222</v>
      </c>
      <c r="D138" s="1435" t="s">
        <v>223</v>
      </c>
      <c r="E138" s="1437">
        <v>7.4009152750102727</v>
      </c>
      <c r="F138" s="1437">
        <v>8.2685923780518849</v>
      </c>
      <c r="G138" s="1437">
        <v>8.5525468275186718</v>
      </c>
      <c r="H138" s="1437">
        <v>8.5621941860585693</v>
      </c>
      <c r="I138" s="1437">
        <v>8.6495920865669866</v>
      </c>
      <c r="J138" s="1437">
        <v>8.7367550207411711</v>
      </c>
      <c r="K138" s="1437">
        <v>8.8581375088014784</v>
      </c>
      <c r="L138" s="1437">
        <v>8.9878461894334123</v>
      </c>
      <c r="M138" s="1437">
        <v>9.1212713559773491</v>
      </c>
      <c r="N138" s="1437">
        <v>9.2564100927942299</v>
      </c>
      <c r="O138" s="1437">
        <v>9.3908791711431956</v>
      </c>
      <c r="P138" s="1437">
        <v>9.5335270622697585</v>
      </c>
      <c r="Q138" s="1437">
        <v>9.6784910594117175</v>
      </c>
      <c r="R138" s="1437">
        <v>9.8258134211668313</v>
      </c>
      <c r="S138" s="1437">
        <v>9.9755367342612189</v>
      </c>
      <c r="T138" s="1437">
        <v>10.127704133558186</v>
      </c>
      <c r="U138" s="1437">
        <v>10.282360665167067</v>
      </c>
      <c r="V138" s="1437">
        <v>10.439551296563907</v>
      </c>
      <c r="W138" s="1437">
        <v>10.599087314559657</v>
      </c>
      <c r="X138" s="1437">
        <v>10.754130699829481</v>
      </c>
      <c r="Y138" s="1437">
        <v>10.916389675473315</v>
      </c>
      <c r="Z138" s="1437">
        <v>11.081884251074616</v>
      </c>
      <c r="AA138" s="1437">
        <v>11.242377656619009</v>
      </c>
      <c r="AB138" s="1437">
        <v>11.41434108165004</v>
      </c>
      <c r="AC138" s="1437">
        <v>11.599139719011324</v>
      </c>
      <c r="AD138" s="1437">
        <v>11.768781759143708</v>
      </c>
      <c r="AE138" s="1437">
        <f t="shared" si="24"/>
        <v>11.768781759143708</v>
      </c>
      <c r="AF138" s="1437">
        <f t="shared" si="24"/>
        <v>11.768781759143708</v>
      </c>
      <c r="AG138" s="1437">
        <f t="shared" si="24"/>
        <v>11.768781759143708</v>
      </c>
      <c r="AH138" s="1437">
        <f t="shared" si="24"/>
        <v>11.768781759143708</v>
      </c>
      <c r="AI138" s="1437">
        <f t="shared" si="24"/>
        <v>11.768781759143708</v>
      </c>
      <c r="AJ138" s="1437">
        <f t="shared" si="24"/>
        <v>11.768781759143708</v>
      </c>
      <c r="AK138" s="1437">
        <f t="shared" si="24"/>
        <v>11.768781759143708</v>
      </c>
      <c r="AL138" s="1437">
        <f t="shared" si="24"/>
        <v>11.768781759143708</v>
      </c>
      <c r="AM138" s="1437">
        <f t="shared" si="24"/>
        <v>11.768781759143708</v>
      </c>
      <c r="AN138" s="1437">
        <f t="shared" si="24"/>
        <v>11.768781759143708</v>
      </c>
      <c r="AO138" s="1437">
        <f t="shared" si="24"/>
        <v>11.768781759143708</v>
      </c>
      <c r="AP138" s="1437">
        <f t="shared" si="24"/>
        <v>11.768781759143708</v>
      </c>
      <c r="AQ138" s="1437">
        <f t="shared" si="24"/>
        <v>11.768781759143708</v>
      </c>
      <c r="AR138" s="1437">
        <f t="shared" si="24"/>
        <v>11.768781759143708</v>
      </c>
      <c r="AS138" s="1437">
        <f t="shared" si="24"/>
        <v>11.768781759143708</v>
      </c>
      <c r="AT138" s="1437">
        <f t="shared" si="24"/>
        <v>11.768781759143708</v>
      </c>
      <c r="AU138" s="1437">
        <f t="shared" si="23"/>
        <v>11.768781759143708</v>
      </c>
      <c r="AV138" s="1437">
        <f t="shared" si="23"/>
        <v>11.768781759143708</v>
      </c>
      <c r="AW138" s="1437">
        <f t="shared" si="23"/>
        <v>11.768781759143708</v>
      </c>
      <c r="AX138" s="1437">
        <f t="shared" si="23"/>
        <v>11.768781759143708</v>
      </c>
      <c r="AY138" s="1437">
        <f t="shared" si="23"/>
        <v>11.768781759143708</v>
      </c>
      <c r="AZ138" s="1437">
        <f t="shared" si="23"/>
        <v>11.768781759143708</v>
      </c>
      <c r="BA138" s="1437">
        <f t="shared" si="23"/>
        <v>11.768781759143708</v>
      </c>
      <c r="BB138" s="1437">
        <f t="shared" si="23"/>
        <v>11.768781759143708</v>
      </c>
      <c r="BC138" s="1437">
        <f t="shared" si="23"/>
        <v>11.768781759143708</v>
      </c>
      <c r="BD138" s="1437">
        <f t="shared" si="23"/>
        <v>11.768781759143708</v>
      </c>
      <c r="BE138" s="1437">
        <f t="shared" si="23"/>
        <v>11.768781759143708</v>
      </c>
      <c r="BF138" s="1437">
        <f t="shared" si="23"/>
        <v>11.768781759143708</v>
      </c>
      <c r="BG138" s="1437">
        <f t="shared" si="23"/>
        <v>11.768781759143708</v>
      </c>
      <c r="BH138" s="1437">
        <f t="shared" si="23"/>
        <v>11.768781759143708</v>
      </c>
      <c r="BI138" s="1437">
        <f t="shared" si="23"/>
        <v>11.768781759143708</v>
      </c>
      <c r="BJ138" s="1437">
        <f t="shared" si="25"/>
        <v>11.768781759143708</v>
      </c>
      <c r="BK138" s="1437">
        <f t="shared" si="25"/>
        <v>11.768781759143708</v>
      </c>
      <c r="BL138" s="1437">
        <f t="shared" si="25"/>
        <v>11.768781759143708</v>
      </c>
      <c r="BM138" s="1437">
        <f t="shared" si="25"/>
        <v>11.768781759143708</v>
      </c>
      <c r="BN138" s="1438">
        <f t="shared" si="25"/>
        <v>11.768781759143708</v>
      </c>
    </row>
    <row r="139" spans="1:66" s="91" customFormat="1">
      <c r="A139" s="1439">
        <v>55</v>
      </c>
      <c r="B139" s="1440">
        <v>0</v>
      </c>
      <c r="C139" s="1441" t="s">
        <v>69</v>
      </c>
      <c r="D139" s="1440" t="s">
        <v>27</v>
      </c>
      <c r="E139" s="1442">
        <v>2.7843644422906633</v>
      </c>
      <c r="F139" s="1442">
        <v>3.1924560049246207</v>
      </c>
      <c r="G139" s="1442">
        <v>3.3346787060159433</v>
      </c>
      <c r="H139" s="1442">
        <v>3.3471592274600419</v>
      </c>
      <c r="I139" s="1442">
        <v>3.3969789875998671</v>
      </c>
      <c r="J139" s="1442">
        <v>3.4470361970776486</v>
      </c>
      <c r="K139" s="1442">
        <v>3.5139174742405554</v>
      </c>
      <c r="L139" s="1442">
        <v>3.5853092269550548</v>
      </c>
      <c r="M139" s="1442">
        <v>3.6590290578079223</v>
      </c>
      <c r="N139" s="1442">
        <v>3.7341261900370508</v>
      </c>
      <c r="O139" s="1442">
        <v>3.8094443797296687</v>
      </c>
      <c r="P139" s="1442">
        <v>3.8893466125540188</v>
      </c>
      <c r="Q139" s="1442">
        <v>3.9709867899795026</v>
      </c>
      <c r="R139" s="1442">
        <v>4.0544046582185604</v>
      </c>
      <c r="S139" s="1442">
        <v>4.1396406438168283</v>
      </c>
      <c r="T139" s="1442">
        <v>4.226735971200716</v>
      </c>
      <c r="U139" s="1442">
        <v>4.3157333617327573</v>
      </c>
      <c r="V139" s="1442">
        <v>4.4066760487568741</v>
      </c>
      <c r="W139" s="1442">
        <v>4.4994884289570329</v>
      </c>
      <c r="X139" s="1442">
        <v>4.5906794464620155</v>
      </c>
      <c r="Y139" s="1442">
        <v>4.686257239212253</v>
      </c>
      <c r="Z139" s="1442">
        <v>4.7842148408751273</v>
      </c>
      <c r="AA139" s="1442">
        <v>4.8802886949850262</v>
      </c>
      <c r="AB139" s="1442">
        <v>4.9830630673743208</v>
      </c>
      <c r="AC139" s="1442">
        <v>5.0933465379607359</v>
      </c>
      <c r="AD139" s="1442">
        <v>5.1964438844493754</v>
      </c>
      <c r="AE139" s="1442">
        <f t="shared" si="24"/>
        <v>5.1964438844493754</v>
      </c>
      <c r="AF139" s="1442">
        <f t="shared" si="24"/>
        <v>5.1964438844493754</v>
      </c>
      <c r="AG139" s="1442">
        <f t="shared" si="24"/>
        <v>5.1964438844493754</v>
      </c>
      <c r="AH139" s="1442">
        <f t="shared" si="24"/>
        <v>5.1964438844493754</v>
      </c>
      <c r="AI139" s="1442">
        <f t="shared" si="24"/>
        <v>5.1964438844493754</v>
      </c>
      <c r="AJ139" s="1442">
        <f t="shared" si="24"/>
        <v>5.1964438844493754</v>
      </c>
      <c r="AK139" s="1442">
        <f t="shared" si="24"/>
        <v>5.1964438844493754</v>
      </c>
      <c r="AL139" s="1442">
        <f t="shared" si="24"/>
        <v>5.1964438844493754</v>
      </c>
      <c r="AM139" s="1442">
        <f t="shared" si="24"/>
        <v>5.1964438844493754</v>
      </c>
      <c r="AN139" s="1442">
        <f t="shared" si="24"/>
        <v>5.1964438844493754</v>
      </c>
      <c r="AO139" s="1442">
        <f t="shared" si="24"/>
        <v>5.1964438844493754</v>
      </c>
      <c r="AP139" s="1442">
        <f t="shared" si="24"/>
        <v>5.1964438844493754</v>
      </c>
      <c r="AQ139" s="1442">
        <f t="shared" si="24"/>
        <v>5.1964438844493754</v>
      </c>
      <c r="AR139" s="1442">
        <f t="shared" si="24"/>
        <v>5.1964438844493754</v>
      </c>
      <c r="AS139" s="1442">
        <f t="shared" si="24"/>
        <v>5.1964438844493754</v>
      </c>
      <c r="AT139" s="1442">
        <f t="shared" si="24"/>
        <v>5.1964438844493754</v>
      </c>
      <c r="AU139" s="1442">
        <f t="shared" si="23"/>
        <v>5.1964438844493754</v>
      </c>
      <c r="AV139" s="1442">
        <f t="shared" si="23"/>
        <v>5.1964438844493754</v>
      </c>
      <c r="AW139" s="1442">
        <f t="shared" si="23"/>
        <v>5.1964438844493754</v>
      </c>
      <c r="AX139" s="1442">
        <f t="shared" si="23"/>
        <v>5.1964438844493754</v>
      </c>
      <c r="AY139" s="1442">
        <f t="shared" si="23"/>
        <v>5.1964438844493754</v>
      </c>
      <c r="AZ139" s="1442">
        <f t="shared" si="23"/>
        <v>5.1964438844493754</v>
      </c>
      <c r="BA139" s="1442">
        <f t="shared" si="23"/>
        <v>5.1964438844493754</v>
      </c>
      <c r="BB139" s="1442">
        <f t="shared" si="23"/>
        <v>5.1964438844493754</v>
      </c>
      <c r="BC139" s="1442">
        <f t="shared" si="23"/>
        <v>5.1964438844493754</v>
      </c>
      <c r="BD139" s="1442">
        <f t="shared" si="23"/>
        <v>5.1964438844493754</v>
      </c>
      <c r="BE139" s="1442">
        <f t="shared" si="23"/>
        <v>5.1964438844493754</v>
      </c>
      <c r="BF139" s="1442">
        <f t="shared" si="23"/>
        <v>5.1964438844493754</v>
      </c>
      <c r="BG139" s="1442">
        <f t="shared" si="23"/>
        <v>5.1964438844493754</v>
      </c>
      <c r="BH139" s="1442">
        <f t="shared" si="23"/>
        <v>5.1964438844493754</v>
      </c>
      <c r="BI139" s="1442">
        <f t="shared" si="23"/>
        <v>5.1964438844493754</v>
      </c>
      <c r="BJ139" s="1442">
        <f t="shared" si="25"/>
        <v>5.1964438844493754</v>
      </c>
      <c r="BK139" s="1442">
        <f t="shared" si="25"/>
        <v>5.1964438844493754</v>
      </c>
      <c r="BL139" s="1442">
        <f t="shared" si="25"/>
        <v>5.1964438844493754</v>
      </c>
      <c r="BM139" s="1442">
        <f t="shared" si="25"/>
        <v>5.1964438844493754</v>
      </c>
      <c r="BN139" s="1443">
        <f t="shared" si="25"/>
        <v>5.1964438844493754</v>
      </c>
    </row>
    <row r="140" spans="1:66" s="91" customFormat="1">
      <c r="A140" s="1434">
        <v>56</v>
      </c>
      <c r="B140" s="1435">
        <v>0</v>
      </c>
      <c r="C140" s="1436" t="s">
        <v>187</v>
      </c>
      <c r="D140" s="1435" t="s">
        <v>190</v>
      </c>
      <c r="E140" s="1437">
        <v>3.5016745652954189</v>
      </c>
      <c r="F140" s="1437">
        <v>4.032017638463782</v>
      </c>
      <c r="G140" s="1437">
        <v>4.2138433313773493</v>
      </c>
      <c r="H140" s="1437">
        <v>4.2255232961907945</v>
      </c>
      <c r="I140" s="1437">
        <v>4.2859910642841168</v>
      </c>
      <c r="J140" s="1437">
        <v>4.3466255488269567</v>
      </c>
      <c r="K140" s="1437">
        <v>4.4291569384025324</v>
      </c>
      <c r="L140" s="1437">
        <v>4.5174454720110058</v>
      </c>
      <c r="M140" s="1437">
        <v>4.6086268160857813</v>
      </c>
      <c r="N140" s="1437">
        <v>4.7014503715519913</v>
      </c>
      <c r="O140" s="1437">
        <v>4.7943961603662313</v>
      </c>
      <c r="P140" s="1437">
        <v>4.8931762625553255</v>
      </c>
      <c r="Q140" s="1437">
        <v>4.9940560770153164</v>
      </c>
      <c r="R140" s="1437">
        <v>5.0970823569086985</v>
      </c>
      <c r="S140" s="1437">
        <v>5.2023025870163613</v>
      </c>
      <c r="T140" s="1437">
        <v>5.3097651329718136</v>
      </c>
      <c r="U140" s="1437">
        <v>5.4195201523388654</v>
      </c>
      <c r="V140" s="1437">
        <v>5.5316182988735125</v>
      </c>
      <c r="W140" s="1437">
        <v>5.645954327020263</v>
      </c>
      <c r="X140" s="1437">
        <v>5.7579473169638575</v>
      </c>
      <c r="Y140" s="1437">
        <v>5.8754635675513747</v>
      </c>
      <c r="Z140" s="1437">
        <v>5.9958664702098554</v>
      </c>
      <c r="AA140" s="1437">
        <v>6.1135622574905915</v>
      </c>
      <c r="AB140" s="1437">
        <v>6.2397922879274974</v>
      </c>
      <c r="AC140" s="1437">
        <v>6.3756087198010878</v>
      </c>
      <c r="AD140" s="1437">
        <v>6.5017478528396042</v>
      </c>
      <c r="AE140" s="1437">
        <f t="shared" si="24"/>
        <v>6.5017478528396042</v>
      </c>
      <c r="AF140" s="1437">
        <f t="shared" si="24"/>
        <v>6.5017478528396042</v>
      </c>
      <c r="AG140" s="1437">
        <f t="shared" si="24"/>
        <v>6.5017478528396042</v>
      </c>
      <c r="AH140" s="1437">
        <f t="shared" si="24"/>
        <v>6.5017478528396042</v>
      </c>
      <c r="AI140" s="1437">
        <f t="shared" si="24"/>
        <v>6.5017478528396042</v>
      </c>
      <c r="AJ140" s="1437">
        <f t="shared" si="24"/>
        <v>6.5017478528396042</v>
      </c>
      <c r="AK140" s="1437">
        <f t="shared" si="24"/>
        <v>6.5017478528396042</v>
      </c>
      <c r="AL140" s="1437">
        <f t="shared" si="24"/>
        <v>6.5017478528396042</v>
      </c>
      <c r="AM140" s="1437">
        <f t="shared" si="24"/>
        <v>6.5017478528396042</v>
      </c>
      <c r="AN140" s="1437">
        <f t="shared" si="24"/>
        <v>6.5017478528396042</v>
      </c>
      <c r="AO140" s="1437">
        <f t="shared" si="24"/>
        <v>6.5017478528396042</v>
      </c>
      <c r="AP140" s="1437">
        <f t="shared" si="24"/>
        <v>6.5017478528396042</v>
      </c>
      <c r="AQ140" s="1437">
        <f t="shared" si="24"/>
        <v>6.5017478528396042</v>
      </c>
      <c r="AR140" s="1437">
        <f t="shared" si="24"/>
        <v>6.5017478528396042</v>
      </c>
      <c r="AS140" s="1437">
        <f t="shared" si="24"/>
        <v>6.5017478528396042</v>
      </c>
      <c r="AT140" s="1437">
        <f t="shared" si="24"/>
        <v>6.5017478528396042</v>
      </c>
      <c r="AU140" s="1437">
        <f t="shared" si="23"/>
        <v>6.5017478528396042</v>
      </c>
      <c r="AV140" s="1437">
        <f t="shared" si="23"/>
        <v>6.5017478528396042</v>
      </c>
      <c r="AW140" s="1437">
        <f t="shared" si="23"/>
        <v>6.5017478528396042</v>
      </c>
      <c r="AX140" s="1437">
        <f t="shared" si="23"/>
        <v>6.5017478528396042</v>
      </c>
      <c r="AY140" s="1437">
        <f t="shared" si="23"/>
        <v>6.5017478528396042</v>
      </c>
      <c r="AZ140" s="1437">
        <f t="shared" si="23"/>
        <v>6.5017478528396042</v>
      </c>
      <c r="BA140" s="1437">
        <f t="shared" si="23"/>
        <v>6.5017478528396042</v>
      </c>
      <c r="BB140" s="1437">
        <f t="shared" si="23"/>
        <v>6.5017478528396042</v>
      </c>
      <c r="BC140" s="1437">
        <f t="shared" si="23"/>
        <v>6.5017478528396042</v>
      </c>
      <c r="BD140" s="1437">
        <f t="shared" si="23"/>
        <v>6.5017478528396042</v>
      </c>
      <c r="BE140" s="1437">
        <f t="shared" si="23"/>
        <v>6.5017478528396042</v>
      </c>
      <c r="BF140" s="1437">
        <f t="shared" si="23"/>
        <v>6.5017478528396042</v>
      </c>
      <c r="BG140" s="1437">
        <f t="shared" si="23"/>
        <v>6.5017478528396042</v>
      </c>
      <c r="BH140" s="1437">
        <f t="shared" si="23"/>
        <v>6.5017478528396042</v>
      </c>
      <c r="BI140" s="1437">
        <f t="shared" si="23"/>
        <v>6.5017478528396042</v>
      </c>
      <c r="BJ140" s="1437">
        <f t="shared" si="25"/>
        <v>6.5017478528396042</v>
      </c>
      <c r="BK140" s="1437">
        <f t="shared" si="25"/>
        <v>6.5017478528396042</v>
      </c>
      <c r="BL140" s="1437">
        <f t="shared" si="25"/>
        <v>6.5017478528396042</v>
      </c>
      <c r="BM140" s="1437">
        <f t="shared" si="25"/>
        <v>6.5017478528396042</v>
      </c>
      <c r="BN140" s="1438">
        <f t="shared" si="25"/>
        <v>6.5017478528396042</v>
      </c>
    </row>
    <row r="141" spans="1:66" s="91" customFormat="1">
      <c r="A141" s="1439">
        <v>157</v>
      </c>
      <c r="B141" s="1440">
        <v>0</v>
      </c>
      <c r="C141" s="1441" t="s">
        <v>225</v>
      </c>
      <c r="D141" s="1440" t="s">
        <v>34</v>
      </c>
      <c r="E141" s="1442">
        <v>2.8332300612474941</v>
      </c>
      <c r="F141" s="1442">
        <v>3.2496498149094086</v>
      </c>
      <c r="G141" s="1442">
        <v>3.3945704072556739</v>
      </c>
      <c r="H141" s="1442">
        <v>3.406996392043991</v>
      </c>
      <c r="I141" s="1442">
        <v>3.4575415309044248</v>
      </c>
      <c r="J141" s="1442">
        <v>3.508319300536531</v>
      </c>
      <c r="K141" s="1442">
        <v>3.5762667168842377</v>
      </c>
      <c r="L141" s="1442">
        <v>3.6488095361043977</v>
      </c>
      <c r="M141" s="1442">
        <v>3.7237189049606285</v>
      </c>
      <c r="N141" s="1442">
        <v>3.8000236217694119</v>
      </c>
      <c r="O141" s="1442">
        <v>3.8765426638049361</v>
      </c>
      <c r="P141" s="1442">
        <v>3.9577309216573875</v>
      </c>
      <c r="Q141" s="1442">
        <v>4.0406817689619707</v>
      </c>
      <c r="R141" s="1442">
        <v>4.1254354292685314</v>
      </c>
      <c r="S141" s="1442">
        <v>4.21203280995383</v>
      </c>
      <c r="T141" s="1442">
        <v>4.3005156219277296</v>
      </c>
      <c r="U141" s="1442">
        <v>4.3909270931322286</v>
      </c>
      <c r="V141" s="1442">
        <v>4.4833109624150982</v>
      </c>
      <c r="W141" s="1442">
        <v>4.5775896071295694</v>
      </c>
      <c r="X141" s="1442">
        <v>4.6701977261449521</v>
      </c>
      <c r="Y141" s="1442">
        <v>4.7672700416780085</v>
      </c>
      <c r="Z141" s="1442">
        <v>4.8667566940131755</v>
      </c>
      <c r="AA141" s="1442">
        <v>4.9643035081630229</v>
      </c>
      <c r="AB141" s="1442">
        <v>5.0686757602026633</v>
      </c>
      <c r="AC141" s="1442">
        <v>5.1806986234409935</v>
      </c>
      <c r="AD141" s="1442">
        <v>5.2853656552380102</v>
      </c>
      <c r="AE141" s="1442">
        <f t="shared" si="24"/>
        <v>5.2853656552380102</v>
      </c>
      <c r="AF141" s="1442">
        <f t="shared" si="24"/>
        <v>5.2853656552380102</v>
      </c>
      <c r="AG141" s="1442">
        <f t="shared" si="24"/>
        <v>5.2853656552380102</v>
      </c>
      <c r="AH141" s="1442">
        <f t="shared" si="24"/>
        <v>5.2853656552380102</v>
      </c>
      <c r="AI141" s="1442">
        <f t="shared" si="24"/>
        <v>5.2853656552380102</v>
      </c>
      <c r="AJ141" s="1442">
        <f t="shared" si="24"/>
        <v>5.2853656552380102</v>
      </c>
      <c r="AK141" s="1442">
        <f t="shared" si="24"/>
        <v>5.2853656552380102</v>
      </c>
      <c r="AL141" s="1442">
        <f t="shared" si="24"/>
        <v>5.2853656552380102</v>
      </c>
      <c r="AM141" s="1442">
        <f t="shared" si="24"/>
        <v>5.2853656552380102</v>
      </c>
      <c r="AN141" s="1442">
        <f t="shared" si="24"/>
        <v>5.2853656552380102</v>
      </c>
      <c r="AO141" s="1442">
        <f t="shared" si="24"/>
        <v>5.2853656552380102</v>
      </c>
      <c r="AP141" s="1442">
        <f t="shared" si="24"/>
        <v>5.2853656552380102</v>
      </c>
      <c r="AQ141" s="1442">
        <f t="shared" si="24"/>
        <v>5.2853656552380102</v>
      </c>
      <c r="AR141" s="1442">
        <f t="shared" si="24"/>
        <v>5.2853656552380102</v>
      </c>
      <c r="AS141" s="1442">
        <f t="shared" si="24"/>
        <v>5.2853656552380102</v>
      </c>
      <c r="AT141" s="1442">
        <f t="shared" si="24"/>
        <v>5.2853656552380102</v>
      </c>
      <c r="AU141" s="1442">
        <f t="shared" si="23"/>
        <v>5.2853656552380102</v>
      </c>
      <c r="AV141" s="1442">
        <f t="shared" si="23"/>
        <v>5.2853656552380102</v>
      </c>
      <c r="AW141" s="1442">
        <f t="shared" si="23"/>
        <v>5.2853656552380102</v>
      </c>
      <c r="AX141" s="1442">
        <f t="shared" si="23"/>
        <v>5.2853656552380102</v>
      </c>
      <c r="AY141" s="1442">
        <f t="shared" si="23"/>
        <v>5.2853656552380102</v>
      </c>
      <c r="AZ141" s="1442">
        <f t="shared" si="23"/>
        <v>5.2853656552380102</v>
      </c>
      <c r="BA141" s="1442">
        <f t="shared" si="23"/>
        <v>5.2853656552380102</v>
      </c>
      <c r="BB141" s="1442">
        <f t="shared" si="23"/>
        <v>5.2853656552380102</v>
      </c>
      <c r="BC141" s="1442">
        <f t="shared" si="23"/>
        <v>5.2853656552380102</v>
      </c>
      <c r="BD141" s="1442">
        <f t="shared" si="23"/>
        <v>5.2853656552380102</v>
      </c>
      <c r="BE141" s="1442">
        <f t="shared" si="23"/>
        <v>5.2853656552380102</v>
      </c>
      <c r="BF141" s="1442">
        <f t="shared" si="23"/>
        <v>5.2853656552380102</v>
      </c>
      <c r="BG141" s="1442">
        <f t="shared" si="23"/>
        <v>5.2853656552380102</v>
      </c>
      <c r="BH141" s="1442">
        <f t="shared" si="23"/>
        <v>5.2853656552380102</v>
      </c>
      <c r="BI141" s="1442">
        <f t="shared" si="23"/>
        <v>5.2853656552380102</v>
      </c>
      <c r="BJ141" s="1442">
        <f t="shared" si="25"/>
        <v>5.2853656552380102</v>
      </c>
      <c r="BK141" s="1442">
        <f t="shared" si="25"/>
        <v>5.2853656552380102</v>
      </c>
      <c r="BL141" s="1442">
        <f t="shared" si="25"/>
        <v>5.2853656552380102</v>
      </c>
      <c r="BM141" s="1442">
        <f t="shared" si="25"/>
        <v>5.2853656552380102</v>
      </c>
      <c r="BN141" s="1443">
        <f t="shared" si="25"/>
        <v>5.2853656552380102</v>
      </c>
    </row>
    <row r="142" spans="1:66" s="91" customFormat="1">
      <c r="A142" s="1434">
        <v>57</v>
      </c>
      <c r="B142" s="1435">
        <v>0</v>
      </c>
      <c r="C142" s="1436" t="s">
        <v>69</v>
      </c>
      <c r="D142" s="1435" t="s">
        <v>97</v>
      </c>
      <c r="E142" s="1437">
        <v>3.2484684233384087</v>
      </c>
      <c r="F142" s="1437">
        <v>3.7356574515015706</v>
      </c>
      <c r="G142" s="1437">
        <v>3.9035035274438052</v>
      </c>
      <c r="H142" s="1437">
        <v>3.9154660839137256</v>
      </c>
      <c r="I142" s="1437">
        <v>3.9721751694972585</v>
      </c>
      <c r="J142" s="1437">
        <v>4.0290759398128095</v>
      </c>
      <c r="K142" s="1437">
        <v>4.1060829342096223</v>
      </c>
      <c r="L142" s="1437">
        <v>4.1884070061934153</v>
      </c>
      <c r="M142" s="1437">
        <v>4.2734245415418766</v>
      </c>
      <c r="N142" s="1437">
        <v>4.3599907766460699</v>
      </c>
      <c r="O142" s="1437">
        <v>4.4467141294143016</v>
      </c>
      <c r="P142" s="1437">
        <v>4.5388304577112999</v>
      </c>
      <c r="Q142" s="1437">
        <v>4.6329187964762957</v>
      </c>
      <c r="R142" s="1437">
        <v>4.729023425460726</v>
      </c>
      <c r="S142" s="1437">
        <v>4.8271893379310571</v>
      </c>
      <c r="T142" s="1437">
        <v>4.927462378717812</v>
      </c>
      <c r="U142" s="1437">
        <v>5.0298900804506568</v>
      </c>
      <c r="V142" s="1437">
        <v>5.13452047752493</v>
      </c>
      <c r="W142" s="1437">
        <v>5.2412587879166761</v>
      </c>
      <c r="X142" s="1437">
        <v>5.3459088072017593</v>
      </c>
      <c r="Y142" s="1437">
        <v>5.4556809146476812</v>
      </c>
      <c r="Z142" s="1437">
        <v>5.5681607615902404</v>
      </c>
      <c r="AA142" s="1437">
        <v>5.6782241370253077</v>
      </c>
      <c r="AB142" s="1437">
        <v>5.796174461807956</v>
      </c>
      <c r="AC142" s="1437">
        <v>5.9229779125274797</v>
      </c>
      <c r="AD142" s="1437">
        <v>6.0409834340512836</v>
      </c>
      <c r="AE142" s="1437">
        <f t="shared" si="24"/>
        <v>6.0409834340512836</v>
      </c>
      <c r="AF142" s="1437">
        <f t="shared" si="24"/>
        <v>6.0409834340512836</v>
      </c>
      <c r="AG142" s="1437">
        <f t="shared" si="24"/>
        <v>6.0409834340512836</v>
      </c>
      <c r="AH142" s="1437">
        <f t="shared" si="24"/>
        <v>6.0409834340512836</v>
      </c>
      <c r="AI142" s="1437">
        <f t="shared" si="24"/>
        <v>6.0409834340512836</v>
      </c>
      <c r="AJ142" s="1437">
        <f t="shared" si="24"/>
        <v>6.0409834340512836</v>
      </c>
      <c r="AK142" s="1437">
        <f t="shared" si="24"/>
        <v>6.0409834340512836</v>
      </c>
      <c r="AL142" s="1437">
        <f t="shared" si="24"/>
        <v>6.0409834340512836</v>
      </c>
      <c r="AM142" s="1437">
        <f t="shared" si="24"/>
        <v>6.0409834340512836</v>
      </c>
      <c r="AN142" s="1437">
        <f t="shared" si="24"/>
        <v>6.0409834340512836</v>
      </c>
      <c r="AO142" s="1437">
        <f t="shared" si="24"/>
        <v>6.0409834340512836</v>
      </c>
      <c r="AP142" s="1437">
        <f t="shared" si="24"/>
        <v>6.0409834340512836</v>
      </c>
      <c r="AQ142" s="1437">
        <f t="shared" si="24"/>
        <v>6.0409834340512836</v>
      </c>
      <c r="AR142" s="1437">
        <f t="shared" si="24"/>
        <v>6.0409834340512836</v>
      </c>
      <c r="AS142" s="1437">
        <f t="shared" si="24"/>
        <v>6.0409834340512836</v>
      </c>
      <c r="AT142" s="1437">
        <f t="shared" si="24"/>
        <v>6.0409834340512836</v>
      </c>
      <c r="AU142" s="1437">
        <f t="shared" si="23"/>
        <v>6.0409834340512836</v>
      </c>
      <c r="AV142" s="1437">
        <f t="shared" si="23"/>
        <v>6.0409834340512836</v>
      </c>
      <c r="AW142" s="1437">
        <f t="shared" si="23"/>
        <v>6.0409834340512836</v>
      </c>
      <c r="AX142" s="1437">
        <f t="shared" si="23"/>
        <v>6.0409834340512836</v>
      </c>
      <c r="AY142" s="1437">
        <f t="shared" si="23"/>
        <v>6.0409834340512836</v>
      </c>
      <c r="AZ142" s="1437">
        <f t="shared" si="23"/>
        <v>6.0409834340512836</v>
      </c>
      <c r="BA142" s="1437">
        <f t="shared" si="23"/>
        <v>6.0409834340512836</v>
      </c>
      <c r="BB142" s="1437">
        <f t="shared" si="23"/>
        <v>6.0409834340512836</v>
      </c>
      <c r="BC142" s="1437">
        <f t="shared" si="23"/>
        <v>6.0409834340512836</v>
      </c>
      <c r="BD142" s="1437">
        <f t="shared" si="23"/>
        <v>6.0409834340512836</v>
      </c>
      <c r="BE142" s="1437">
        <f t="shared" si="23"/>
        <v>6.0409834340512836</v>
      </c>
      <c r="BF142" s="1437">
        <f t="shared" si="23"/>
        <v>6.0409834340512836</v>
      </c>
      <c r="BG142" s="1437">
        <f t="shared" si="23"/>
        <v>6.0409834340512836</v>
      </c>
      <c r="BH142" s="1437">
        <f t="shared" si="23"/>
        <v>6.0409834340512836</v>
      </c>
      <c r="BI142" s="1437">
        <f t="shared" si="23"/>
        <v>6.0409834340512836</v>
      </c>
      <c r="BJ142" s="1437">
        <f t="shared" si="25"/>
        <v>6.0409834340512836</v>
      </c>
      <c r="BK142" s="1437">
        <f t="shared" si="25"/>
        <v>6.0409834340512836</v>
      </c>
      <c r="BL142" s="1437">
        <f t="shared" si="25"/>
        <v>6.0409834340512836</v>
      </c>
      <c r="BM142" s="1437">
        <f t="shared" si="25"/>
        <v>6.0409834340512836</v>
      </c>
      <c r="BN142" s="1438">
        <f t="shared" si="25"/>
        <v>6.0409834340512836</v>
      </c>
    </row>
    <row r="143" spans="1:66" s="91" customFormat="1">
      <c r="A143" s="1439">
        <v>158</v>
      </c>
      <c r="B143" s="1440">
        <v>0</v>
      </c>
      <c r="C143" s="1441" t="s">
        <v>226</v>
      </c>
      <c r="D143" s="1440" t="s">
        <v>227</v>
      </c>
      <c r="E143" s="1442">
        <v>2.9075745485890874</v>
      </c>
      <c r="F143" s="1442">
        <v>3.4275668408820925</v>
      </c>
      <c r="G143" s="1442">
        <v>3.609330682305425</v>
      </c>
      <c r="H143" s="1442">
        <v>3.6209967629982653</v>
      </c>
      <c r="I143" s="1442">
        <v>3.6816995176015954</v>
      </c>
      <c r="J143" s="1442">
        <v>3.7426745017365639</v>
      </c>
      <c r="K143" s="1442">
        <v>3.8259033179211661</v>
      </c>
      <c r="L143" s="1442">
        <v>3.9152009907202991</v>
      </c>
      <c r="M143" s="1442">
        <v>4.0077006468984804</v>
      </c>
      <c r="N143" s="1442">
        <v>4.1021446923216471</v>
      </c>
      <c r="O143" s="1442">
        <v>4.1969797507971327</v>
      </c>
      <c r="P143" s="1442">
        <v>4.2980858116011751</v>
      </c>
      <c r="Q143" s="1442">
        <v>4.4016534901918796</v>
      </c>
      <c r="R143" s="1442">
        <v>4.5077437953284676</v>
      </c>
      <c r="S143" s="1442">
        <v>4.6164188988163604</v>
      </c>
      <c r="T143" s="1442">
        <v>4.7277422960710922</v>
      </c>
      <c r="U143" s="1442">
        <v>4.8417797704104562</v>
      </c>
      <c r="V143" s="1442">
        <v>4.95859805092703</v>
      </c>
      <c r="W143" s="1442">
        <v>5.0780992138332799</v>
      </c>
      <c r="X143" s="1442">
        <v>5.1954267862100085</v>
      </c>
      <c r="Y143" s="1442">
        <v>5.3189285901341909</v>
      </c>
      <c r="Z143" s="1442">
        <v>5.4458317073223883</v>
      </c>
      <c r="AA143" s="1442">
        <v>5.5701440007622294</v>
      </c>
      <c r="AB143" s="1442">
        <v>5.7039395647773032</v>
      </c>
      <c r="AC143" s="1442">
        <v>5.8484435494039086</v>
      </c>
      <c r="AD143" s="1442">
        <v>5.9828209857104859</v>
      </c>
      <c r="AE143" s="1442">
        <f t="shared" si="24"/>
        <v>5.9828209857104859</v>
      </c>
      <c r="AF143" s="1442">
        <f t="shared" si="24"/>
        <v>5.9828209857104859</v>
      </c>
      <c r="AG143" s="1442">
        <f t="shared" si="24"/>
        <v>5.9828209857104859</v>
      </c>
      <c r="AH143" s="1442">
        <f t="shared" si="24"/>
        <v>5.9828209857104859</v>
      </c>
      <c r="AI143" s="1442">
        <f t="shared" si="24"/>
        <v>5.9828209857104859</v>
      </c>
      <c r="AJ143" s="1442">
        <f t="shared" si="24"/>
        <v>5.9828209857104859</v>
      </c>
      <c r="AK143" s="1442">
        <f t="shared" si="24"/>
        <v>5.9828209857104859</v>
      </c>
      <c r="AL143" s="1442">
        <f t="shared" si="24"/>
        <v>5.9828209857104859</v>
      </c>
      <c r="AM143" s="1442">
        <f t="shared" si="24"/>
        <v>5.9828209857104859</v>
      </c>
      <c r="AN143" s="1442">
        <f t="shared" si="24"/>
        <v>5.9828209857104859</v>
      </c>
      <c r="AO143" s="1442">
        <f t="shared" si="24"/>
        <v>5.9828209857104859</v>
      </c>
      <c r="AP143" s="1442">
        <f t="shared" si="24"/>
        <v>5.9828209857104859</v>
      </c>
      <c r="AQ143" s="1442">
        <f t="shared" si="24"/>
        <v>5.9828209857104859</v>
      </c>
      <c r="AR143" s="1442">
        <f t="shared" si="24"/>
        <v>5.9828209857104859</v>
      </c>
      <c r="AS143" s="1442">
        <f t="shared" si="24"/>
        <v>5.9828209857104859</v>
      </c>
      <c r="AT143" s="1442">
        <f t="shared" si="24"/>
        <v>5.9828209857104859</v>
      </c>
      <c r="AU143" s="1442">
        <f t="shared" si="23"/>
        <v>5.9828209857104859</v>
      </c>
      <c r="AV143" s="1442">
        <f t="shared" si="23"/>
        <v>5.9828209857104859</v>
      </c>
      <c r="AW143" s="1442">
        <f t="shared" si="23"/>
        <v>5.9828209857104859</v>
      </c>
      <c r="AX143" s="1442">
        <f t="shared" si="23"/>
        <v>5.9828209857104859</v>
      </c>
      <c r="AY143" s="1442">
        <f t="shared" si="23"/>
        <v>5.9828209857104859</v>
      </c>
      <c r="AZ143" s="1442">
        <f t="shared" si="23"/>
        <v>5.9828209857104859</v>
      </c>
      <c r="BA143" s="1442">
        <f t="shared" si="23"/>
        <v>5.9828209857104859</v>
      </c>
      <c r="BB143" s="1442">
        <f t="shared" si="23"/>
        <v>5.9828209857104859</v>
      </c>
      <c r="BC143" s="1442">
        <f t="shared" si="23"/>
        <v>5.9828209857104859</v>
      </c>
      <c r="BD143" s="1442">
        <f t="shared" si="23"/>
        <v>5.9828209857104859</v>
      </c>
      <c r="BE143" s="1442">
        <f t="shared" si="23"/>
        <v>5.9828209857104859</v>
      </c>
      <c r="BF143" s="1442">
        <f t="shared" si="23"/>
        <v>5.9828209857104859</v>
      </c>
      <c r="BG143" s="1442">
        <f t="shared" si="23"/>
        <v>5.9828209857104859</v>
      </c>
      <c r="BH143" s="1442">
        <f t="shared" si="23"/>
        <v>5.9828209857104859</v>
      </c>
      <c r="BI143" s="1442">
        <f t="shared" si="23"/>
        <v>5.9828209857104859</v>
      </c>
      <c r="BJ143" s="1442">
        <f t="shared" si="25"/>
        <v>5.9828209857104859</v>
      </c>
      <c r="BK143" s="1442">
        <f t="shared" si="25"/>
        <v>5.9828209857104859</v>
      </c>
      <c r="BL143" s="1442">
        <f t="shared" si="25"/>
        <v>5.9828209857104859</v>
      </c>
      <c r="BM143" s="1442">
        <f t="shared" si="25"/>
        <v>5.9828209857104859</v>
      </c>
      <c r="BN143" s="1443">
        <f t="shared" si="25"/>
        <v>5.9828209857104859</v>
      </c>
    </row>
    <row r="144" spans="1:66" s="91" customFormat="1">
      <c r="A144" s="1434">
        <v>58</v>
      </c>
      <c r="B144" s="1435">
        <v>0</v>
      </c>
      <c r="C144" s="1436" t="s">
        <v>69</v>
      </c>
      <c r="D144" s="1435" t="s">
        <v>98</v>
      </c>
      <c r="E144" s="1437">
        <v>2.8820670214690249</v>
      </c>
      <c r="F144" s="1437">
        <v>3.3068100818368058</v>
      </c>
      <c r="G144" s="1437">
        <v>3.4544269831772541</v>
      </c>
      <c r="H144" s="1437">
        <v>3.4667984632944782</v>
      </c>
      <c r="I144" s="1437">
        <v>3.5180685554550064</v>
      </c>
      <c r="J144" s="1437">
        <v>3.5695664626469181</v>
      </c>
      <c r="K144" s="1437">
        <v>3.6385793929095245</v>
      </c>
      <c r="L144" s="1437">
        <v>3.7122726035572224</v>
      </c>
      <c r="M144" s="1437">
        <v>3.7883708127759088</v>
      </c>
      <c r="N144" s="1437">
        <v>3.8658824059394732</v>
      </c>
      <c r="O144" s="1437">
        <v>3.9436015960413564</v>
      </c>
      <c r="P144" s="1437">
        <v>4.0260751246932376</v>
      </c>
      <c r="Q144" s="1437">
        <v>4.110335873194523</v>
      </c>
      <c r="R144" s="1437">
        <v>4.1964245421525135</v>
      </c>
      <c r="S144" s="1437">
        <v>4.2843825194930982</v>
      </c>
      <c r="T144" s="1437">
        <v>4.3742520023242779</v>
      </c>
      <c r="U144" s="1437">
        <v>4.4660767248704172</v>
      </c>
      <c r="V144" s="1437">
        <v>4.5599009311866689</v>
      </c>
      <c r="W144" s="1437">
        <v>4.6556449804798277</v>
      </c>
      <c r="X144" s="1437">
        <v>4.749669369903132</v>
      </c>
      <c r="Y144" s="1437">
        <v>4.8482353317104563</v>
      </c>
      <c r="Z144" s="1437">
        <v>4.9492501379594298</v>
      </c>
      <c r="AA144" s="1437">
        <v>5.0482690482868042</v>
      </c>
      <c r="AB144" s="1437">
        <v>5.1542382428514468</v>
      </c>
      <c r="AC144" s="1437">
        <v>5.267999478621725</v>
      </c>
      <c r="AD144" s="1437">
        <v>5.3742352751372087</v>
      </c>
      <c r="AE144" s="1437">
        <f t="shared" si="24"/>
        <v>5.3742352751372087</v>
      </c>
      <c r="AF144" s="1437">
        <f t="shared" si="24"/>
        <v>5.3742352751372087</v>
      </c>
      <c r="AG144" s="1437">
        <f t="shared" si="24"/>
        <v>5.3742352751372087</v>
      </c>
      <c r="AH144" s="1437">
        <f t="shared" si="24"/>
        <v>5.3742352751372087</v>
      </c>
      <c r="AI144" s="1437">
        <f t="shared" si="24"/>
        <v>5.3742352751372087</v>
      </c>
      <c r="AJ144" s="1437">
        <f t="shared" si="24"/>
        <v>5.3742352751372087</v>
      </c>
      <c r="AK144" s="1437">
        <f t="shared" si="24"/>
        <v>5.3742352751372087</v>
      </c>
      <c r="AL144" s="1437">
        <f t="shared" si="24"/>
        <v>5.3742352751372087</v>
      </c>
      <c r="AM144" s="1437">
        <f t="shared" si="24"/>
        <v>5.3742352751372087</v>
      </c>
      <c r="AN144" s="1437">
        <f t="shared" si="24"/>
        <v>5.3742352751372087</v>
      </c>
      <c r="AO144" s="1437">
        <f t="shared" si="24"/>
        <v>5.3742352751372087</v>
      </c>
      <c r="AP144" s="1437">
        <f t="shared" si="24"/>
        <v>5.3742352751372087</v>
      </c>
      <c r="AQ144" s="1437">
        <f t="shared" si="24"/>
        <v>5.3742352751372087</v>
      </c>
      <c r="AR144" s="1437">
        <f t="shared" si="24"/>
        <v>5.3742352751372087</v>
      </c>
      <c r="AS144" s="1437">
        <f t="shared" si="24"/>
        <v>5.3742352751372087</v>
      </c>
      <c r="AT144" s="1437">
        <f t="shared" si="24"/>
        <v>5.3742352751372087</v>
      </c>
      <c r="AU144" s="1437">
        <f t="shared" si="23"/>
        <v>5.3742352751372087</v>
      </c>
      <c r="AV144" s="1437">
        <f t="shared" si="23"/>
        <v>5.3742352751372087</v>
      </c>
      <c r="AW144" s="1437">
        <f t="shared" si="23"/>
        <v>5.3742352751372087</v>
      </c>
      <c r="AX144" s="1437">
        <f t="shared" si="23"/>
        <v>5.3742352751372087</v>
      </c>
      <c r="AY144" s="1437">
        <f t="shared" si="23"/>
        <v>5.3742352751372087</v>
      </c>
      <c r="AZ144" s="1437">
        <f t="shared" si="23"/>
        <v>5.3742352751372087</v>
      </c>
      <c r="BA144" s="1437">
        <f t="shared" si="23"/>
        <v>5.3742352751372087</v>
      </c>
      <c r="BB144" s="1437">
        <f t="shared" si="23"/>
        <v>5.3742352751372087</v>
      </c>
      <c r="BC144" s="1437">
        <f t="shared" si="23"/>
        <v>5.3742352751372087</v>
      </c>
      <c r="BD144" s="1437">
        <f t="shared" si="23"/>
        <v>5.3742352751372087</v>
      </c>
      <c r="BE144" s="1437">
        <f t="shared" si="23"/>
        <v>5.3742352751372087</v>
      </c>
      <c r="BF144" s="1437">
        <f t="shared" si="23"/>
        <v>5.3742352751372087</v>
      </c>
      <c r="BG144" s="1437">
        <f t="shared" si="23"/>
        <v>5.3742352751372087</v>
      </c>
      <c r="BH144" s="1437">
        <f t="shared" si="23"/>
        <v>5.3742352751372087</v>
      </c>
      <c r="BI144" s="1437">
        <f t="shared" si="23"/>
        <v>5.3742352751372087</v>
      </c>
      <c r="BJ144" s="1437">
        <f t="shared" si="25"/>
        <v>5.3742352751372087</v>
      </c>
      <c r="BK144" s="1437">
        <f t="shared" si="25"/>
        <v>5.3742352751372087</v>
      </c>
      <c r="BL144" s="1437">
        <f t="shared" si="25"/>
        <v>5.3742352751372087</v>
      </c>
      <c r="BM144" s="1437">
        <f t="shared" si="25"/>
        <v>5.3742352751372087</v>
      </c>
      <c r="BN144" s="1438">
        <f t="shared" si="25"/>
        <v>5.3742352751372087</v>
      </c>
    </row>
    <row r="145" spans="1:66" s="91" customFormat="1">
      <c r="A145" s="1439">
        <v>59</v>
      </c>
      <c r="B145" s="1440">
        <v>0</v>
      </c>
      <c r="C145" s="1441" t="s">
        <v>69</v>
      </c>
      <c r="D145" s="1440" t="s">
        <v>99</v>
      </c>
      <c r="E145" s="1442">
        <v>2.8712537851399218</v>
      </c>
      <c r="F145" s="1442">
        <v>3.2941539404202058</v>
      </c>
      <c r="G145" s="1442">
        <v>3.4411738384615518</v>
      </c>
      <c r="H145" s="1442">
        <v>3.4535573867313984</v>
      </c>
      <c r="I145" s="1442">
        <v>3.5046669633453833</v>
      </c>
      <c r="J145" s="1442">
        <v>3.5560054212679644</v>
      </c>
      <c r="K145" s="1442">
        <v>3.6247824307500496</v>
      </c>
      <c r="L145" s="1442">
        <v>3.6982209274614068</v>
      </c>
      <c r="M145" s="1442">
        <v>3.7740559095722119</v>
      </c>
      <c r="N145" s="1442">
        <v>3.8513002821883657</v>
      </c>
      <c r="O145" s="1442">
        <v>3.9287537414869274</v>
      </c>
      <c r="P145" s="1442">
        <v>4.010942691884182</v>
      </c>
      <c r="Q145" s="1442">
        <v>4.0949134085910348</v>
      </c>
      <c r="R145" s="1442">
        <v>4.1807064865871002</v>
      </c>
      <c r="S145" s="1442">
        <v>4.2683632073974787</v>
      </c>
      <c r="T145" s="1442">
        <v>4.3579256604785996</v>
      </c>
      <c r="U145" s="1442">
        <v>4.4494374679563098</v>
      </c>
      <c r="V145" s="1442">
        <v>4.5429427620252625</v>
      </c>
      <c r="W145" s="1442">
        <v>4.6383623487401771</v>
      </c>
      <c r="X145" s="1442">
        <v>4.7320731546284431</v>
      </c>
      <c r="Y145" s="1442">
        <v>4.8303084007220436</v>
      </c>
      <c r="Z145" s="1442">
        <v>4.9309848507477341</v>
      </c>
      <c r="AA145" s="1442">
        <v>5.0296778168763989</v>
      </c>
      <c r="AB145" s="1442">
        <v>5.1352934243863082</v>
      </c>
      <c r="AC145" s="1442">
        <v>5.2486697583746018</v>
      </c>
      <c r="AD145" s="1442">
        <v>5.3545582068248381</v>
      </c>
      <c r="AE145" s="1442">
        <f t="shared" si="24"/>
        <v>5.3545582068248381</v>
      </c>
      <c r="AF145" s="1442">
        <f t="shared" si="24"/>
        <v>5.3545582068248381</v>
      </c>
      <c r="AG145" s="1442">
        <f t="shared" si="24"/>
        <v>5.3545582068248381</v>
      </c>
      <c r="AH145" s="1442">
        <f t="shared" si="24"/>
        <v>5.3545582068248381</v>
      </c>
      <c r="AI145" s="1442">
        <f t="shared" si="24"/>
        <v>5.3545582068248381</v>
      </c>
      <c r="AJ145" s="1442">
        <f t="shared" si="24"/>
        <v>5.3545582068248381</v>
      </c>
      <c r="AK145" s="1442">
        <f t="shared" si="24"/>
        <v>5.3545582068248381</v>
      </c>
      <c r="AL145" s="1442">
        <f t="shared" si="24"/>
        <v>5.3545582068248381</v>
      </c>
      <c r="AM145" s="1442">
        <f t="shared" si="24"/>
        <v>5.3545582068248381</v>
      </c>
      <c r="AN145" s="1442">
        <f t="shared" si="24"/>
        <v>5.3545582068248381</v>
      </c>
      <c r="AO145" s="1442">
        <f t="shared" si="24"/>
        <v>5.3545582068248381</v>
      </c>
      <c r="AP145" s="1442">
        <f t="shared" si="24"/>
        <v>5.3545582068248381</v>
      </c>
      <c r="AQ145" s="1442">
        <f t="shared" si="24"/>
        <v>5.3545582068248381</v>
      </c>
      <c r="AR145" s="1442">
        <f t="shared" si="24"/>
        <v>5.3545582068248381</v>
      </c>
      <c r="AS145" s="1442">
        <f t="shared" si="24"/>
        <v>5.3545582068248381</v>
      </c>
      <c r="AT145" s="1442">
        <f t="shared" si="24"/>
        <v>5.3545582068248381</v>
      </c>
      <c r="AU145" s="1442">
        <f t="shared" si="23"/>
        <v>5.3545582068248381</v>
      </c>
      <c r="AV145" s="1442">
        <f t="shared" si="23"/>
        <v>5.3545582068248381</v>
      </c>
      <c r="AW145" s="1442">
        <f t="shared" si="23"/>
        <v>5.3545582068248381</v>
      </c>
      <c r="AX145" s="1442">
        <f t="shared" si="23"/>
        <v>5.3545582068248381</v>
      </c>
      <c r="AY145" s="1442">
        <f t="shared" si="23"/>
        <v>5.3545582068248381</v>
      </c>
      <c r="AZ145" s="1442">
        <f t="shared" si="23"/>
        <v>5.3545582068248381</v>
      </c>
      <c r="BA145" s="1442">
        <f t="shared" si="23"/>
        <v>5.3545582068248381</v>
      </c>
      <c r="BB145" s="1442">
        <f t="shared" si="23"/>
        <v>5.3545582068248381</v>
      </c>
      <c r="BC145" s="1442">
        <f t="shared" si="23"/>
        <v>5.3545582068248381</v>
      </c>
      <c r="BD145" s="1442">
        <f t="shared" si="23"/>
        <v>5.3545582068248381</v>
      </c>
      <c r="BE145" s="1442">
        <f t="shared" si="23"/>
        <v>5.3545582068248381</v>
      </c>
      <c r="BF145" s="1442">
        <f t="shared" si="23"/>
        <v>5.3545582068248381</v>
      </c>
      <c r="BG145" s="1442">
        <f t="shared" si="23"/>
        <v>5.3545582068248381</v>
      </c>
      <c r="BH145" s="1442">
        <f t="shared" si="23"/>
        <v>5.3545582068248381</v>
      </c>
      <c r="BI145" s="1442">
        <f t="shared" si="23"/>
        <v>5.3545582068248381</v>
      </c>
      <c r="BJ145" s="1442">
        <f t="shared" si="25"/>
        <v>5.3545582068248381</v>
      </c>
      <c r="BK145" s="1442">
        <f t="shared" si="25"/>
        <v>5.3545582068248381</v>
      </c>
      <c r="BL145" s="1442">
        <f t="shared" si="25"/>
        <v>5.3545582068248381</v>
      </c>
      <c r="BM145" s="1442">
        <f t="shared" si="25"/>
        <v>5.3545582068248381</v>
      </c>
      <c r="BN145" s="1443">
        <f t="shared" si="25"/>
        <v>5.3545582068248381</v>
      </c>
    </row>
    <row r="146" spans="1:66" s="91" customFormat="1">
      <c r="A146" s="1434">
        <v>60</v>
      </c>
      <c r="B146" s="1435">
        <v>0</v>
      </c>
      <c r="C146" s="1436" t="s">
        <v>69</v>
      </c>
      <c r="D146" s="1435" t="s">
        <v>100</v>
      </c>
      <c r="E146" s="1437">
        <v>3.3703797453485334</v>
      </c>
      <c r="F146" s="1437">
        <v>3.8783461789727434</v>
      </c>
      <c r="G146" s="1437">
        <v>4.0529230299783237</v>
      </c>
      <c r="H146" s="1437">
        <v>4.0647495268638929</v>
      </c>
      <c r="I146" s="1437">
        <v>4.123268307703011</v>
      </c>
      <c r="J146" s="1437">
        <v>4.1819667517793127</v>
      </c>
      <c r="K146" s="1437">
        <v>4.2616335802320604</v>
      </c>
      <c r="L146" s="1437">
        <v>4.3468293653430452</v>
      </c>
      <c r="M146" s="1437">
        <v>4.4348145935943508</v>
      </c>
      <c r="N146" s="1437">
        <v>4.5243935447080315</v>
      </c>
      <c r="O146" s="1437">
        <v>4.6141128177119626</v>
      </c>
      <c r="P146" s="1437">
        <v>4.7094375574577629</v>
      </c>
      <c r="Q146" s="1437">
        <v>4.806795792339722</v>
      </c>
      <c r="R146" s="1437">
        <v>4.9062329929840693</v>
      </c>
      <c r="S146" s="1437">
        <v>5.0077953522483041</v>
      </c>
      <c r="T146" s="1437">
        <v>5.1115299286555622</v>
      </c>
      <c r="U146" s="1437">
        <v>5.2174855186642217</v>
      </c>
      <c r="V146" s="1437">
        <v>5.3257114178148584</v>
      </c>
      <c r="W146" s="1437">
        <v>5.4361078062003436</v>
      </c>
      <c r="X146" s="1437">
        <v>5.544293250232796</v>
      </c>
      <c r="Y146" s="1437">
        <v>5.6577939351963504</v>
      </c>
      <c r="Z146" s="1437">
        <v>5.7740885008073528</v>
      </c>
      <c r="AA146" s="1437">
        <v>5.8878266584220293</v>
      </c>
      <c r="AB146" s="1437">
        <v>6.0097634183454831</v>
      </c>
      <c r="AC146" s="1437">
        <v>6.140906354826499</v>
      </c>
      <c r="AD146" s="1437">
        <v>6.2628279714529391</v>
      </c>
      <c r="AE146" s="1437">
        <f t="shared" si="24"/>
        <v>6.2628279714529391</v>
      </c>
      <c r="AF146" s="1437">
        <f t="shared" si="24"/>
        <v>6.2628279714529391</v>
      </c>
      <c r="AG146" s="1437">
        <f t="shared" si="24"/>
        <v>6.2628279714529391</v>
      </c>
      <c r="AH146" s="1437">
        <f t="shared" si="24"/>
        <v>6.2628279714529391</v>
      </c>
      <c r="AI146" s="1437">
        <f t="shared" si="24"/>
        <v>6.2628279714529391</v>
      </c>
      <c r="AJ146" s="1437">
        <f t="shared" si="24"/>
        <v>6.2628279714529391</v>
      </c>
      <c r="AK146" s="1437">
        <f t="shared" si="24"/>
        <v>6.2628279714529391</v>
      </c>
      <c r="AL146" s="1437">
        <f t="shared" si="24"/>
        <v>6.2628279714529391</v>
      </c>
      <c r="AM146" s="1437">
        <f t="shared" si="24"/>
        <v>6.2628279714529391</v>
      </c>
      <c r="AN146" s="1437">
        <f t="shared" si="24"/>
        <v>6.2628279714529391</v>
      </c>
      <c r="AO146" s="1437">
        <f t="shared" si="24"/>
        <v>6.2628279714529391</v>
      </c>
      <c r="AP146" s="1437">
        <f t="shared" si="24"/>
        <v>6.2628279714529391</v>
      </c>
      <c r="AQ146" s="1437">
        <f t="shared" si="24"/>
        <v>6.2628279714529391</v>
      </c>
      <c r="AR146" s="1437">
        <f t="shared" si="24"/>
        <v>6.2628279714529391</v>
      </c>
      <c r="AS146" s="1437">
        <f t="shared" si="24"/>
        <v>6.2628279714529391</v>
      </c>
      <c r="AT146" s="1437">
        <f t="shared" si="24"/>
        <v>6.2628279714529391</v>
      </c>
      <c r="AU146" s="1437">
        <f t="shared" si="23"/>
        <v>6.2628279714529391</v>
      </c>
      <c r="AV146" s="1437">
        <f t="shared" si="23"/>
        <v>6.2628279714529391</v>
      </c>
      <c r="AW146" s="1437">
        <f t="shared" si="23"/>
        <v>6.2628279714529391</v>
      </c>
      <c r="AX146" s="1437">
        <f t="shared" si="23"/>
        <v>6.2628279714529391</v>
      </c>
      <c r="AY146" s="1437">
        <f t="shared" si="23"/>
        <v>6.2628279714529391</v>
      </c>
      <c r="AZ146" s="1437">
        <f t="shared" si="23"/>
        <v>6.2628279714529391</v>
      </c>
      <c r="BA146" s="1437">
        <f t="shared" si="23"/>
        <v>6.2628279714529391</v>
      </c>
      <c r="BB146" s="1437">
        <f t="shared" si="23"/>
        <v>6.2628279714529391</v>
      </c>
      <c r="BC146" s="1437">
        <f t="shared" si="23"/>
        <v>6.2628279714529391</v>
      </c>
      <c r="BD146" s="1437">
        <f t="shared" si="23"/>
        <v>6.2628279714529391</v>
      </c>
      <c r="BE146" s="1437">
        <f t="shared" si="23"/>
        <v>6.2628279714529391</v>
      </c>
      <c r="BF146" s="1437">
        <f t="shared" si="23"/>
        <v>6.2628279714529391</v>
      </c>
      <c r="BG146" s="1437">
        <f t="shared" si="23"/>
        <v>6.2628279714529391</v>
      </c>
      <c r="BH146" s="1437">
        <f t="shared" si="23"/>
        <v>6.2628279714529391</v>
      </c>
      <c r="BI146" s="1437">
        <f t="shared" si="23"/>
        <v>6.2628279714529391</v>
      </c>
      <c r="BJ146" s="1437">
        <f t="shared" si="25"/>
        <v>6.2628279714529391</v>
      </c>
      <c r="BK146" s="1437">
        <f t="shared" si="25"/>
        <v>6.2628279714529391</v>
      </c>
      <c r="BL146" s="1437">
        <f t="shared" si="25"/>
        <v>6.2628279714529391</v>
      </c>
      <c r="BM146" s="1437">
        <f t="shared" si="25"/>
        <v>6.2628279714529391</v>
      </c>
      <c r="BN146" s="1438">
        <f t="shared" si="25"/>
        <v>6.2628279714529391</v>
      </c>
    </row>
    <row r="147" spans="1:66" s="91" customFormat="1">
      <c r="A147" s="1439">
        <v>61</v>
      </c>
      <c r="B147" s="1440">
        <v>0</v>
      </c>
      <c r="C147" s="1441" t="s">
        <v>69</v>
      </c>
      <c r="D147" s="1440" t="s">
        <v>101</v>
      </c>
      <c r="E147" s="1442">
        <v>3.7178726622493441</v>
      </c>
      <c r="F147" s="1442">
        <v>4.2850624814479543</v>
      </c>
      <c r="G147" s="1442">
        <v>4.4788245616939424</v>
      </c>
      <c r="H147" s="1442">
        <v>4.4902632378171825</v>
      </c>
      <c r="I147" s="1442">
        <v>4.55394032776735</v>
      </c>
      <c r="J147" s="1442">
        <v>4.6177628151930232</v>
      </c>
      <c r="K147" s="1442">
        <v>4.7050111666686494</v>
      </c>
      <c r="L147" s="1442">
        <v>4.7983924094927994</v>
      </c>
      <c r="M147" s="1442">
        <v>4.8948366737570996</v>
      </c>
      <c r="N147" s="1442">
        <v>4.9930029935964138</v>
      </c>
      <c r="O147" s="1442">
        <v>5.0912617610815758</v>
      </c>
      <c r="P147" s="1442">
        <v>5.1957316748323779</v>
      </c>
      <c r="Q147" s="1442">
        <v>5.3024103380462675</v>
      </c>
      <c r="R147" s="1442">
        <v>5.4113466157885526</v>
      </c>
      <c r="S147" s="1442">
        <v>5.5225901202003547</v>
      </c>
      <c r="T147" s="1442">
        <v>5.6361913692832228</v>
      </c>
      <c r="U147" s="1442">
        <v>5.7522027618805955</v>
      </c>
      <c r="V147" s="1442">
        <v>5.8706771882692097</v>
      </c>
      <c r="W147" s="1442">
        <v>5.9915004686884741</v>
      </c>
      <c r="X147" s="1442">
        <v>6.1097631970755701</v>
      </c>
      <c r="Y147" s="1442">
        <v>6.2338917241142484</v>
      </c>
      <c r="Z147" s="1442">
        <v>6.3610596663353682</v>
      </c>
      <c r="AA147" s="1442">
        <v>6.4852723291683665</v>
      </c>
      <c r="AB147" s="1442">
        <v>6.6185719219466668</v>
      </c>
      <c r="AC147" s="1442">
        <v>6.7620840177497756</v>
      </c>
      <c r="AD147" s="1442">
        <v>6.8951679717837555</v>
      </c>
      <c r="AE147" s="1442">
        <f t="shared" si="24"/>
        <v>6.8951679717837555</v>
      </c>
      <c r="AF147" s="1442">
        <f t="shared" si="24"/>
        <v>6.8951679717837555</v>
      </c>
      <c r="AG147" s="1442">
        <f t="shared" si="24"/>
        <v>6.8951679717837555</v>
      </c>
      <c r="AH147" s="1442">
        <f t="shared" si="24"/>
        <v>6.8951679717837555</v>
      </c>
      <c r="AI147" s="1442">
        <f t="shared" si="24"/>
        <v>6.8951679717837555</v>
      </c>
      <c r="AJ147" s="1442">
        <f t="shared" si="24"/>
        <v>6.8951679717837555</v>
      </c>
      <c r="AK147" s="1442">
        <f t="shared" si="24"/>
        <v>6.8951679717837555</v>
      </c>
      <c r="AL147" s="1442">
        <f t="shared" si="24"/>
        <v>6.8951679717837555</v>
      </c>
      <c r="AM147" s="1442">
        <f t="shared" si="24"/>
        <v>6.8951679717837555</v>
      </c>
      <c r="AN147" s="1442">
        <f t="shared" si="24"/>
        <v>6.8951679717837555</v>
      </c>
      <c r="AO147" s="1442">
        <f t="shared" si="24"/>
        <v>6.8951679717837555</v>
      </c>
      <c r="AP147" s="1442">
        <f t="shared" si="24"/>
        <v>6.8951679717837555</v>
      </c>
      <c r="AQ147" s="1442">
        <f t="shared" si="24"/>
        <v>6.8951679717837555</v>
      </c>
      <c r="AR147" s="1442">
        <f t="shared" si="24"/>
        <v>6.8951679717837555</v>
      </c>
      <c r="AS147" s="1442">
        <f t="shared" si="24"/>
        <v>6.8951679717837555</v>
      </c>
      <c r="AT147" s="1442">
        <f t="shared" si="24"/>
        <v>6.8951679717837555</v>
      </c>
      <c r="AU147" s="1442">
        <f t="shared" si="23"/>
        <v>6.8951679717837555</v>
      </c>
      <c r="AV147" s="1442">
        <f t="shared" si="23"/>
        <v>6.8951679717837555</v>
      </c>
      <c r="AW147" s="1442">
        <f t="shared" si="23"/>
        <v>6.8951679717837555</v>
      </c>
      <c r="AX147" s="1442">
        <f t="shared" si="23"/>
        <v>6.8951679717837555</v>
      </c>
      <c r="AY147" s="1442">
        <f t="shared" si="23"/>
        <v>6.8951679717837555</v>
      </c>
      <c r="AZ147" s="1442">
        <f t="shared" si="23"/>
        <v>6.8951679717837555</v>
      </c>
      <c r="BA147" s="1442">
        <f t="shared" si="23"/>
        <v>6.8951679717837555</v>
      </c>
      <c r="BB147" s="1442">
        <f t="shared" si="23"/>
        <v>6.8951679717837555</v>
      </c>
      <c r="BC147" s="1442">
        <f t="shared" si="23"/>
        <v>6.8951679717837555</v>
      </c>
      <c r="BD147" s="1442">
        <f t="shared" si="23"/>
        <v>6.8951679717837555</v>
      </c>
      <c r="BE147" s="1442">
        <f t="shared" si="23"/>
        <v>6.8951679717837555</v>
      </c>
      <c r="BF147" s="1442">
        <f t="shared" si="23"/>
        <v>6.8951679717837555</v>
      </c>
      <c r="BG147" s="1442">
        <f t="shared" si="23"/>
        <v>6.8951679717837555</v>
      </c>
      <c r="BH147" s="1442">
        <f t="shared" si="23"/>
        <v>6.8951679717837555</v>
      </c>
      <c r="BI147" s="1442">
        <f t="shared" si="23"/>
        <v>6.8951679717837555</v>
      </c>
      <c r="BJ147" s="1442">
        <f t="shared" si="25"/>
        <v>6.8951679717837555</v>
      </c>
      <c r="BK147" s="1442">
        <f t="shared" si="25"/>
        <v>6.8951679717837555</v>
      </c>
      <c r="BL147" s="1442">
        <f t="shared" si="25"/>
        <v>6.8951679717837555</v>
      </c>
      <c r="BM147" s="1442">
        <f t="shared" si="25"/>
        <v>6.8951679717837555</v>
      </c>
      <c r="BN147" s="1443">
        <f t="shared" si="25"/>
        <v>6.8951679717837555</v>
      </c>
    </row>
    <row r="148" spans="1:66" s="91" customFormat="1">
      <c r="A148" s="1434">
        <v>62</v>
      </c>
      <c r="B148" s="1435">
        <v>0</v>
      </c>
      <c r="C148" s="1436" t="s">
        <v>69</v>
      </c>
      <c r="D148" s="1435" t="s">
        <v>102</v>
      </c>
      <c r="E148" s="1437">
        <v>2.812471566921745</v>
      </c>
      <c r="F148" s="1437">
        <v>3.2253534403748709</v>
      </c>
      <c r="G148" s="1437">
        <v>3.3691279475695963</v>
      </c>
      <c r="H148" s="1437">
        <v>3.3815770999527124</v>
      </c>
      <c r="I148" s="1437">
        <v>3.431814092300788</v>
      </c>
      <c r="J148" s="1437">
        <v>3.4822857623849051</v>
      </c>
      <c r="K148" s="1437">
        <v>3.5497802745293994</v>
      </c>
      <c r="L148" s="1437">
        <v>3.6218341117610691</v>
      </c>
      <c r="M148" s="1437">
        <v>3.6962381556378925</v>
      </c>
      <c r="N148" s="1437">
        <v>3.7720298811415462</v>
      </c>
      <c r="O148" s="1437">
        <v>3.8480387917783809</v>
      </c>
      <c r="P148" s="1437">
        <v>3.9286807362141909</v>
      </c>
      <c r="Q148" s="1437">
        <v>4.0110748007780854</v>
      </c>
      <c r="R148" s="1437">
        <v>4.095261006243275</v>
      </c>
      <c r="S148" s="1437">
        <v>4.1812800557257255</v>
      </c>
      <c r="T148" s="1437">
        <v>4.2691734534733516</v>
      </c>
      <c r="U148" s="1437">
        <v>4.3589842122292621</v>
      </c>
      <c r="V148" s="1437">
        <v>4.4507558560992679</v>
      </c>
      <c r="W148" s="1437">
        <v>4.5444116202639746</v>
      </c>
      <c r="X148" s="1437">
        <v>4.6364177435553566</v>
      </c>
      <c r="Y148" s="1437">
        <v>4.7328551742067901</v>
      </c>
      <c r="Z148" s="1437">
        <v>4.8316922739448112</v>
      </c>
      <c r="AA148" s="1437">
        <v>4.9286133632336195</v>
      </c>
      <c r="AB148" s="1437">
        <v>5.0323068235918482</v>
      </c>
      <c r="AC148" s="1437">
        <v>5.1435907793269928</v>
      </c>
      <c r="AD148" s="1437">
        <v>5.2475909966179666</v>
      </c>
      <c r="AE148" s="1437">
        <f t="shared" si="24"/>
        <v>5.2475909966179666</v>
      </c>
      <c r="AF148" s="1437">
        <f t="shared" si="24"/>
        <v>5.2475909966179666</v>
      </c>
      <c r="AG148" s="1437">
        <f t="shared" si="24"/>
        <v>5.2475909966179666</v>
      </c>
      <c r="AH148" s="1437">
        <f t="shared" si="24"/>
        <v>5.2475909966179666</v>
      </c>
      <c r="AI148" s="1437">
        <f t="shared" si="24"/>
        <v>5.2475909966179666</v>
      </c>
      <c r="AJ148" s="1437">
        <f t="shared" si="24"/>
        <v>5.2475909966179666</v>
      </c>
      <c r="AK148" s="1437">
        <f t="shared" si="24"/>
        <v>5.2475909966179666</v>
      </c>
      <c r="AL148" s="1437">
        <f t="shared" si="24"/>
        <v>5.2475909966179666</v>
      </c>
      <c r="AM148" s="1437">
        <f t="shared" si="24"/>
        <v>5.2475909966179666</v>
      </c>
      <c r="AN148" s="1437">
        <f t="shared" si="24"/>
        <v>5.2475909966179666</v>
      </c>
      <c r="AO148" s="1437">
        <f t="shared" si="24"/>
        <v>5.2475909966179666</v>
      </c>
      <c r="AP148" s="1437">
        <f t="shared" si="24"/>
        <v>5.2475909966179666</v>
      </c>
      <c r="AQ148" s="1437">
        <f t="shared" si="24"/>
        <v>5.2475909966179666</v>
      </c>
      <c r="AR148" s="1437">
        <f t="shared" si="24"/>
        <v>5.2475909966179666</v>
      </c>
      <c r="AS148" s="1437">
        <f t="shared" si="24"/>
        <v>5.2475909966179666</v>
      </c>
      <c r="AT148" s="1437">
        <f t="shared" si="24"/>
        <v>5.2475909966179666</v>
      </c>
      <c r="AU148" s="1437">
        <f t="shared" si="23"/>
        <v>5.2475909966179666</v>
      </c>
      <c r="AV148" s="1437">
        <f t="shared" si="23"/>
        <v>5.2475909966179666</v>
      </c>
      <c r="AW148" s="1437">
        <f t="shared" si="23"/>
        <v>5.2475909966179666</v>
      </c>
      <c r="AX148" s="1437">
        <f t="shared" si="23"/>
        <v>5.2475909966179666</v>
      </c>
      <c r="AY148" s="1437">
        <f t="shared" si="23"/>
        <v>5.2475909966179666</v>
      </c>
      <c r="AZ148" s="1437">
        <f t="shared" si="23"/>
        <v>5.2475909966179666</v>
      </c>
      <c r="BA148" s="1437">
        <f t="shared" si="23"/>
        <v>5.2475909966179666</v>
      </c>
      <c r="BB148" s="1437">
        <f t="shared" si="23"/>
        <v>5.2475909966179666</v>
      </c>
      <c r="BC148" s="1437">
        <f t="shared" si="23"/>
        <v>5.2475909966179666</v>
      </c>
      <c r="BD148" s="1437">
        <f t="shared" si="23"/>
        <v>5.2475909966179666</v>
      </c>
      <c r="BE148" s="1437">
        <f t="shared" si="23"/>
        <v>5.2475909966179666</v>
      </c>
      <c r="BF148" s="1437">
        <f t="shared" si="23"/>
        <v>5.2475909966179666</v>
      </c>
      <c r="BG148" s="1437">
        <f t="shared" si="23"/>
        <v>5.2475909966179666</v>
      </c>
      <c r="BH148" s="1437">
        <f t="shared" si="23"/>
        <v>5.2475909966179666</v>
      </c>
      <c r="BI148" s="1437">
        <f t="shared" si="23"/>
        <v>5.2475909966179666</v>
      </c>
      <c r="BJ148" s="1437">
        <f t="shared" si="25"/>
        <v>5.2475909966179666</v>
      </c>
      <c r="BK148" s="1437">
        <f t="shared" si="25"/>
        <v>5.2475909966179666</v>
      </c>
      <c r="BL148" s="1437">
        <f t="shared" si="25"/>
        <v>5.2475909966179666</v>
      </c>
      <c r="BM148" s="1437">
        <f t="shared" si="25"/>
        <v>5.2475909966179666</v>
      </c>
      <c r="BN148" s="1438">
        <f t="shared" si="25"/>
        <v>5.2475909966179666</v>
      </c>
    </row>
    <row r="149" spans="1:66" s="91" customFormat="1">
      <c r="A149" s="1439">
        <v>63</v>
      </c>
      <c r="B149" s="1440">
        <v>0</v>
      </c>
      <c r="C149" s="1441" t="s">
        <v>69</v>
      </c>
      <c r="D149" s="1440" t="s">
        <v>103</v>
      </c>
      <c r="E149" s="1442">
        <v>2.9937024680454098</v>
      </c>
      <c r="F149" s="1442">
        <v>3.4374716114635415</v>
      </c>
      <c r="G149" s="1442">
        <v>3.5912519524879545</v>
      </c>
      <c r="H149" s="1442">
        <v>3.6034988414498241</v>
      </c>
      <c r="I149" s="1442">
        <v>3.6564260900966685</v>
      </c>
      <c r="J149" s="1442">
        <v>3.7095701455689123</v>
      </c>
      <c r="K149" s="1442">
        <v>3.7810187131271986</v>
      </c>
      <c r="L149" s="1442">
        <v>3.8573415809068781</v>
      </c>
      <c r="M149" s="1442">
        <v>3.9361573369214491</v>
      </c>
      <c r="N149" s="1442">
        <v>4.0164277050009227</v>
      </c>
      <c r="O149" s="1442">
        <v>4.0968902899565807</v>
      </c>
      <c r="P149" s="1442">
        <v>4.1823017938431004</v>
      </c>
      <c r="Q149" s="1442">
        <v>4.2695568197195861</v>
      </c>
      <c r="R149" s="1442">
        <v>4.3586971586895853</v>
      </c>
      <c r="S149" s="1442">
        <v>4.4497652971567865</v>
      </c>
      <c r="T149" s="1442">
        <v>4.542804543619952</v>
      </c>
      <c r="U149" s="1442">
        <v>4.6378597896043443</v>
      </c>
      <c r="V149" s="1442">
        <v>4.7349764340087326</v>
      </c>
      <c r="W149" s="1442">
        <v>4.8340702227986734</v>
      </c>
      <c r="X149" s="1442">
        <v>4.9313320368844469</v>
      </c>
      <c r="Y149" s="1442">
        <v>5.0333122953248681</v>
      </c>
      <c r="Z149" s="1442">
        <v>5.1378202785412741</v>
      </c>
      <c r="AA149" s="1442">
        <v>5.2402042245595704</v>
      </c>
      <c r="AB149" s="1442">
        <v>5.3498238386246646</v>
      </c>
      <c r="AC149" s="1442">
        <v>5.4675587859658483</v>
      </c>
      <c r="AD149" s="1442">
        <v>5.5773805908881817</v>
      </c>
      <c r="AE149" s="1442">
        <f t="shared" si="24"/>
        <v>5.5773805908881817</v>
      </c>
      <c r="AF149" s="1442">
        <f t="shared" si="24"/>
        <v>5.5773805908881817</v>
      </c>
      <c r="AG149" s="1442">
        <f t="shared" si="24"/>
        <v>5.5773805908881817</v>
      </c>
      <c r="AH149" s="1442">
        <f t="shared" si="24"/>
        <v>5.5773805908881817</v>
      </c>
      <c r="AI149" s="1442">
        <f t="shared" si="24"/>
        <v>5.5773805908881817</v>
      </c>
      <c r="AJ149" s="1442">
        <f t="shared" si="24"/>
        <v>5.5773805908881817</v>
      </c>
      <c r="AK149" s="1442">
        <f t="shared" si="24"/>
        <v>5.5773805908881817</v>
      </c>
      <c r="AL149" s="1442">
        <f t="shared" si="24"/>
        <v>5.5773805908881817</v>
      </c>
      <c r="AM149" s="1442">
        <f t="shared" si="24"/>
        <v>5.5773805908881817</v>
      </c>
      <c r="AN149" s="1442">
        <f t="shared" si="24"/>
        <v>5.5773805908881817</v>
      </c>
      <c r="AO149" s="1442">
        <f t="shared" si="24"/>
        <v>5.5773805908881817</v>
      </c>
      <c r="AP149" s="1442">
        <f t="shared" si="24"/>
        <v>5.5773805908881817</v>
      </c>
      <c r="AQ149" s="1442">
        <f t="shared" si="24"/>
        <v>5.5773805908881817</v>
      </c>
      <c r="AR149" s="1442">
        <f t="shared" si="24"/>
        <v>5.5773805908881817</v>
      </c>
      <c r="AS149" s="1442">
        <f t="shared" si="24"/>
        <v>5.5773805908881817</v>
      </c>
      <c r="AT149" s="1442">
        <f t="shared" si="24"/>
        <v>5.5773805908881817</v>
      </c>
      <c r="AU149" s="1442">
        <f t="shared" si="23"/>
        <v>5.5773805908881817</v>
      </c>
      <c r="AV149" s="1442">
        <f t="shared" si="23"/>
        <v>5.5773805908881817</v>
      </c>
      <c r="AW149" s="1442">
        <f t="shared" si="23"/>
        <v>5.5773805908881817</v>
      </c>
      <c r="AX149" s="1442">
        <f t="shared" si="23"/>
        <v>5.5773805908881817</v>
      </c>
      <c r="AY149" s="1442">
        <f t="shared" si="23"/>
        <v>5.5773805908881817</v>
      </c>
      <c r="AZ149" s="1442">
        <f t="shared" si="23"/>
        <v>5.5773805908881817</v>
      </c>
      <c r="BA149" s="1442">
        <f t="shared" si="23"/>
        <v>5.5773805908881817</v>
      </c>
      <c r="BB149" s="1442">
        <f t="shared" si="23"/>
        <v>5.5773805908881817</v>
      </c>
      <c r="BC149" s="1442">
        <f t="shared" si="23"/>
        <v>5.5773805908881817</v>
      </c>
      <c r="BD149" s="1442">
        <f t="shared" si="23"/>
        <v>5.5773805908881817</v>
      </c>
      <c r="BE149" s="1442">
        <f t="shared" si="23"/>
        <v>5.5773805908881817</v>
      </c>
      <c r="BF149" s="1442">
        <f t="shared" si="23"/>
        <v>5.5773805908881817</v>
      </c>
      <c r="BG149" s="1442">
        <f t="shared" si="23"/>
        <v>5.5773805908881817</v>
      </c>
      <c r="BH149" s="1442">
        <f t="shared" si="23"/>
        <v>5.5773805908881817</v>
      </c>
      <c r="BI149" s="1442">
        <f t="shared" si="23"/>
        <v>5.5773805908881817</v>
      </c>
      <c r="BJ149" s="1442">
        <f t="shared" si="25"/>
        <v>5.5773805908881817</v>
      </c>
      <c r="BK149" s="1442">
        <f t="shared" si="25"/>
        <v>5.5773805908881817</v>
      </c>
      <c r="BL149" s="1442">
        <f t="shared" si="25"/>
        <v>5.5773805908881817</v>
      </c>
      <c r="BM149" s="1442">
        <f t="shared" si="25"/>
        <v>5.5773805908881817</v>
      </c>
      <c r="BN149" s="1443">
        <f t="shared" si="25"/>
        <v>5.5773805908881817</v>
      </c>
    </row>
    <row r="150" spans="1:66" s="91" customFormat="1">
      <c r="A150" s="1434">
        <v>64</v>
      </c>
      <c r="B150" s="1435">
        <v>0</v>
      </c>
      <c r="C150" s="1436" t="s">
        <v>69</v>
      </c>
      <c r="D150" s="1435" t="s">
        <v>32</v>
      </c>
      <c r="E150" s="1437">
        <v>5.5964883997881198</v>
      </c>
      <c r="F150" s="1437">
        <v>6.241864072114133</v>
      </c>
      <c r="G150" s="1437">
        <v>6.4556668725048638</v>
      </c>
      <c r="H150" s="1437">
        <v>6.4667240112814861</v>
      </c>
      <c r="I150" s="1437">
        <v>6.5353981357164548</v>
      </c>
      <c r="J150" s="1437">
        <v>6.6040197016080331</v>
      </c>
      <c r="K150" s="1437">
        <v>6.6980726960216881</v>
      </c>
      <c r="L150" s="1437">
        <v>6.7984117968444169</v>
      </c>
      <c r="M150" s="1437">
        <v>6.9016318186887</v>
      </c>
      <c r="N150" s="1437">
        <v>7.006255507154715</v>
      </c>
      <c r="O150" s="1437">
        <v>7.1105244718943421</v>
      </c>
      <c r="P150" s="1437">
        <v>7.2209866894636177</v>
      </c>
      <c r="Q150" s="1437">
        <v>7.3333108202254742</v>
      </c>
      <c r="R150" s="1437">
        <v>7.447532588022403</v>
      </c>
      <c r="S150" s="1437">
        <v>7.5636880935224715</v>
      </c>
      <c r="T150" s="1437">
        <v>7.6818139809486139</v>
      </c>
      <c r="U150" s="1437">
        <v>7.8019484502920369</v>
      </c>
      <c r="V150" s="1437">
        <v>7.9241297899952494</v>
      </c>
      <c r="W150" s="1437">
        <v>8.0482236242869529</v>
      </c>
      <c r="X150" s="1437">
        <v>8.1691783330592056</v>
      </c>
      <c r="Y150" s="1437">
        <v>8.29565806645072</v>
      </c>
      <c r="Z150" s="1437">
        <v>8.4247251442220037</v>
      </c>
      <c r="AA150" s="1437">
        <v>8.5502940152230078</v>
      </c>
      <c r="AB150" s="1437">
        <v>8.6845517237547831</v>
      </c>
      <c r="AC150" s="1437">
        <v>8.8285140692140196</v>
      </c>
      <c r="AD150" s="1437">
        <v>8.9614864827368059</v>
      </c>
      <c r="AE150" s="1437">
        <f t="shared" si="24"/>
        <v>8.9614864827368059</v>
      </c>
      <c r="AF150" s="1437">
        <f t="shared" si="24"/>
        <v>8.9614864827368059</v>
      </c>
      <c r="AG150" s="1437">
        <f t="shared" si="24"/>
        <v>8.9614864827368059</v>
      </c>
      <c r="AH150" s="1437">
        <f t="shared" si="24"/>
        <v>8.9614864827368059</v>
      </c>
      <c r="AI150" s="1437">
        <f t="shared" si="24"/>
        <v>8.9614864827368059</v>
      </c>
      <c r="AJ150" s="1437">
        <f t="shared" si="24"/>
        <v>8.9614864827368059</v>
      </c>
      <c r="AK150" s="1437">
        <f t="shared" si="24"/>
        <v>8.9614864827368059</v>
      </c>
      <c r="AL150" s="1437">
        <f t="shared" si="24"/>
        <v>8.9614864827368059</v>
      </c>
      <c r="AM150" s="1437">
        <f t="shared" si="24"/>
        <v>8.9614864827368059</v>
      </c>
      <c r="AN150" s="1437">
        <f t="shared" si="24"/>
        <v>8.9614864827368059</v>
      </c>
      <c r="AO150" s="1437">
        <f t="shared" si="24"/>
        <v>8.9614864827368059</v>
      </c>
      <c r="AP150" s="1437">
        <f t="shared" si="24"/>
        <v>8.9614864827368059</v>
      </c>
      <c r="AQ150" s="1437">
        <f t="shared" si="24"/>
        <v>8.9614864827368059</v>
      </c>
      <c r="AR150" s="1437">
        <f t="shared" si="24"/>
        <v>8.9614864827368059</v>
      </c>
      <c r="AS150" s="1437">
        <f t="shared" si="24"/>
        <v>8.9614864827368059</v>
      </c>
      <c r="AT150" s="1437">
        <f t="shared" ref="AT150:BI165" si="26">AS150</f>
        <v>8.9614864827368059</v>
      </c>
      <c r="AU150" s="1437">
        <f t="shared" si="26"/>
        <v>8.9614864827368059</v>
      </c>
      <c r="AV150" s="1437">
        <f t="shared" si="26"/>
        <v>8.9614864827368059</v>
      </c>
      <c r="AW150" s="1437">
        <f t="shared" si="26"/>
        <v>8.9614864827368059</v>
      </c>
      <c r="AX150" s="1437">
        <f t="shared" si="26"/>
        <v>8.9614864827368059</v>
      </c>
      <c r="AY150" s="1437">
        <f t="shared" si="26"/>
        <v>8.9614864827368059</v>
      </c>
      <c r="AZ150" s="1437">
        <f t="shared" si="26"/>
        <v>8.9614864827368059</v>
      </c>
      <c r="BA150" s="1437">
        <f t="shared" si="26"/>
        <v>8.9614864827368059</v>
      </c>
      <c r="BB150" s="1437">
        <f t="shared" si="26"/>
        <v>8.9614864827368059</v>
      </c>
      <c r="BC150" s="1437">
        <f t="shared" si="26"/>
        <v>8.9614864827368059</v>
      </c>
      <c r="BD150" s="1437">
        <f t="shared" si="26"/>
        <v>8.9614864827368059</v>
      </c>
      <c r="BE150" s="1437">
        <f t="shared" si="26"/>
        <v>8.9614864827368059</v>
      </c>
      <c r="BF150" s="1437">
        <f t="shared" si="26"/>
        <v>8.9614864827368059</v>
      </c>
      <c r="BG150" s="1437">
        <f t="shared" si="26"/>
        <v>8.9614864827368059</v>
      </c>
      <c r="BH150" s="1437">
        <f t="shared" si="26"/>
        <v>8.9614864827368059</v>
      </c>
      <c r="BI150" s="1437">
        <f t="shared" si="26"/>
        <v>8.9614864827368059</v>
      </c>
      <c r="BJ150" s="1437">
        <f t="shared" si="25"/>
        <v>8.9614864827368059</v>
      </c>
      <c r="BK150" s="1437">
        <f t="shared" si="25"/>
        <v>8.9614864827368059</v>
      </c>
      <c r="BL150" s="1437">
        <f t="shared" si="25"/>
        <v>8.9614864827368059</v>
      </c>
      <c r="BM150" s="1437">
        <f t="shared" si="25"/>
        <v>8.9614864827368059</v>
      </c>
      <c r="BN150" s="1438">
        <f t="shared" si="25"/>
        <v>8.9614864827368059</v>
      </c>
    </row>
    <row r="151" spans="1:66" s="91" customFormat="1">
      <c r="A151" s="1445"/>
      <c r="B151" s="1446">
        <v>1</v>
      </c>
      <c r="C151" s="1441" t="s">
        <v>1326</v>
      </c>
      <c r="D151" s="1441" t="s">
        <v>551</v>
      </c>
      <c r="E151" s="1442">
        <v>3.5931808371065181</v>
      </c>
      <c r="F151" s="1442">
        <v>4.255622360686643</v>
      </c>
      <c r="G151" s="1442">
        <v>4.4844591078839464</v>
      </c>
      <c r="H151" s="1442">
        <v>4.4951693686457501</v>
      </c>
      <c r="I151" s="1442">
        <v>4.5685994213915295</v>
      </c>
      <c r="J151" s="1442">
        <v>4.6422473140308673</v>
      </c>
      <c r="K151" s="1442">
        <v>4.74428146816728</v>
      </c>
      <c r="L151" s="1442">
        <v>4.8539546309202199</v>
      </c>
      <c r="M151" s="1442">
        <v>4.9675883509383558</v>
      </c>
      <c r="N151" s="1442">
        <v>5.0835665573893536</v>
      </c>
      <c r="O151" s="1442">
        <v>5.1998939664205341</v>
      </c>
      <c r="P151" s="1442">
        <v>5.3241020099981533</v>
      </c>
      <c r="Q151" s="1442">
        <v>5.4513037593903979</v>
      </c>
      <c r="R151" s="1442">
        <v>5.5815725698895431</v>
      </c>
      <c r="S151" s="1442">
        <v>5.7149831423196602</v>
      </c>
      <c r="T151" s="1442">
        <v>5.8516117244686594</v>
      </c>
      <c r="U151" s="1442">
        <v>5.9915373424746452</v>
      </c>
      <c r="V151" s="1442">
        <v>6.134840076093619</v>
      </c>
      <c r="W151" s="1442">
        <v>6.2813888171964969</v>
      </c>
      <c r="X151" s="1442">
        <v>6.4249535745448725</v>
      </c>
      <c r="Y151" s="1442">
        <v>6.5762272476037404</v>
      </c>
      <c r="Z151" s="1442">
        <v>6.7316498464674197</v>
      </c>
      <c r="AA151" s="1442">
        <v>6.8835353396015737</v>
      </c>
      <c r="AB151" s="1442">
        <v>7.047351789537128</v>
      </c>
      <c r="AC151" s="1442">
        <v>7.22466269578352</v>
      </c>
      <c r="AD151" s="1442">
        <v>7.388758374388841</v>
      </c>
      <c r="AE151" s="1442">
        <f t="shared" ref="AE151:AT166" si="27">AD151</f>
        <v>7.388758374388841</v>
      </c>
      <c r="AF151" s="1442">
        <f t="shared" si="27"/>
        <v>7.388758374388841</v>
      </c>
      <c r="AG151" s="1442">
        <f t="shared" si="27"/>
        <v>7.388758374388841</v>
      </c>
      <c r="AH151" s="1442">
        <f t="shared" si="27"/>
        <v>7.388758374388841</v>
      </c>
      <c r="AI151" s="1442">
        <f t="shared" si="27"/>
        <v>7.388758374388841</v>
      </c>
      <c r="AJ151" s="1442">
        <f t="shared" si="27"/>
        <v>7.388758374388841</v>
      </c>
      <c r="AK151" s="1442">
        <f t="shared" si="27"/>
        <v>7.388758374388841</v>
      </c>
      <c r="AL151" s="1442">
        <f t="shared" si="27"/>
        <v>7.388758374388841</v>
      </c>
      <c r="AM151" s="1442">
        <f t="shared" si="27"/>
        <v>7.388758374388841</v>
      </c>
      <c r="AN151" s="1442">
        <f t="shared" si="27"/>
        <v>7.388758374388841</v>
      </c>
      <c r="AO151" s="1442">
        <f t="shared" si="27"/>
        <v>7.388758374388841</v>
      </c>
      <c r="AP151" s="1442">
        <f t="shared" si="27"/>
        <v>7.388758374388841</v>
      </c>
      <c r="AQ151" s="1442">
        <f t="shared" si="27"/>
        <v>7.388758374388841</v>
      </c>
      <c r="AR151" s="1442">
        <f t="shared" si="27"/>
        <v>7.388758374388841</v>
      </c>
      <c r="AS151" s="1442">
        <f t="shared" si="27"/>
        <v>7.388758374388841</v>
      </c>
      <c r="AT151" s="1442">
        <f t="shared" si="27"/>
        <v>7.388758374388841</v>
      </c>
      <c r="AU151" s="1442">
        <f t="shared" si="26"/>
        <v>7.388758374388841</v>
      </c>
      <c r="AV151" s="1442">
        <f t="shared" si="26"/>
        <v>7.388758374388841</v>
      </c>
      <c r="AW151" s="1442">
        <f t="shared" si="26"/>
        <v>7.388758374388841</v>
      </c>
      <c r="AX151" s="1442">
        <f t="shared" si="26"/>
        <v>7.388758374388841</v>
      </c>
      <c r="AY151" s="1442">
        <f t="shared" si="26"/>
        <v>7.388758374388841</v>
      </c>
      <c r="AZ151" s="1442">
        <f t="shared" si="26"/>
        <v>7.388758374388841</v>
      </c>
      <c r="BA151" s="1442">
        <f t="shared" si="26"/>
        <v>7.388758374388841</v>
      </c>
      <c r="BB151" s="1442">
        <f t="shared" si="26"/>
        <v>7.388758374388841</v>
      </c>
      <c r="BC151" s="1442">
        <f t="shared" si="26"/>
        <v>7.388758374388841</v>
      </c>
      <c r="BD151" s="1442">
        <f t="shared" si="26"/>
        <v>7.388758374388841</v>
      </c>
      <c r="BE151" s="1442">
        <f t="shared" si="26"/>
        <v>7.388758374388841</v>
      </c>
      <c r="BF151" s="1442">
        <f t="shared" si="26"/>
        <v>7.388758374388841</v>
      </c>
      <c r="BG151" s="1442">
        <f t="shared" si="26"/>
        <v>7.388758374388841</v>
      </c>
      <c r="BH151" s="1442">
        <f t="shared" si="26"/>
        <v>7.388758374388841</v>
      </c>
      <c r="BI151" s="1442">
        <f t="shared" si="26"/>
        <v>7.388758374388841</v>
      </c>
      <c r="BJ151" s="1442">
        <f t="shared" ref="BJ151:BN166" si="28">BI151</f>
        <v>7.388758374388841</v>
      </c>
      <c r="BK151" s="1442">
        <f t="shared" si="28"/>
        <v>7.388758374388841</v>
      </c>
      <c r="BL151" s="1442">
        <f t="shared" si="28"/>
        <v>7.388758374388841</v>
      </c>
      <c r="BM151" s="1442">
        <f t="shared" si="28"/>
        <v>7.388758374388841</v>
      </c>
      <c r="BN151" s="1443">
        <f t="shared" si="28"/>
        <v>7.388758374388841</v>
      </c>
    </row>
    <row r="152" spans="1:66" s="91" customFormat="1">
      <c r="A152" s="1434">
        <v>65</v>
      </c>
      <c r="B152" s="1435">
        <v>0</v>
      </c>
      <c r="C152" s="1436" t="s">
        <v>54</v>
      </c>
      <c r="D152" s="1435" t="s">
        <v>20</v>
      </c>
      <c r="E152" s="1437">
        <v>2.5996580851579836</v>
      </c>
      <c r="F152" s="1437">
        <v>3.0556742088378646</v>
      </c>
      <c r="G152" s="1437">
        <v>3.2162968750530618</v>
      </c>
      <c r="H152" s="1437">
        <v>3.2283922293651361</v>
      </c>
      <c r="I152" s="1437">
        <v>3.2833789561275739</v>
      </c>
      <c r="J152" s="1437">
        <v>3.3386623396553055</v>
      </c>
      <c r="K152" s="1437">
        <v>3.4134453856468294</v>
      </c>
      <c r="L152" s="1437">
        <v>3.4935921085315154</v>
      </c>
      <c r="M152" s="1437">
        <v>3.5766001274471528</v>
      </c>
      <c r="N152" s="1437">
        <v>3.6613728457286392</v>
      </c>
      <c r="O152" s="1437">
        <v>3.7465553547967367</v>
      </c>
      <c r="P152" s="1437">
        <v>3.8372859552921108</v>
      </c>
      <c r="Q152" s="1437">
        <v>3.9302392045527874</v>
      </c>
      <c r="R152" s="1437">
        <v>4.0254705663176811</v>
      </c>
      <c r="S152" s="1437">
        <v>4.1230365854147797</v>
      </c>
      <c r="T152" s="1437">
        <v>4.222995029970547</v>
      </c>
      <c r="U152" s="1437">
        <v>4.3254057357458997</v>
      </c>
      <c r="V152" s="1437">
        <v>4.430329435842518</v>
      </c>
      <c r="W152" s="1437">
        <v>4.5376831100775483</v>
      </c>
      <c r="X152" s="1437">
        <v>4.6432271540033838</v>
      </c>
      <c r="Y152" s="1437">
        <v>4.7542561789142415</v>
      </c>
      <c r="Z152" s="1437">
        <v>4.8683507526519509</v>
      </c>
      <c r="AA152" s="1437">
        <v>4.9802794926186875</v>
      </c>
      <c r="AB152" s="1437">
        <v>5.1005922091504168</v>
      </c>
      <c r="AC152" s="1437">
        <v>5.2303620942647928</v>
      </c>
      <c r="AD152" s="1437">
        <v>5.3513926050526361</v>
      </c>
      <c r="AE152" s="1437">
        <f t="shared" si="27"/>
        <v>5.3513926050526361</v>
      </c>
      <c r="AF152" s="1437">
        <f t="shared" si="27"/>
        <v>5.3513926050526361</v>
      </c>
      <c r="AG152" s="1437">
        <f t="shared" si="27"/>
        <v>5.3513926050526361</v>
      </c>
      <c r="AH152" s="1437">
        <f t="shared" si="27"/>
        <v>5.3513926050526361</v>
      </c>
      <c r="AI152" s="1437">
        <f t="shared" si="27"/>
        <v>5.3513926050526361</v>
      </c>
      <c r="AJ152" s="1437">
        <f t="shared" si="27"/>
        <v>5.3513926050526361</v>
      </c>
      <c r="AK152" s="1437">
        <f t="shared" si="27"/>
        <v>5.3513926050526361</v>
      </c>
      <c r="AL152" s="1437">
        <f t="shared" si="27"/>
        <v>5.3513926050526361</v>
      </c>
      <c r="AM152" s="1437">
        <f t="shared" si="27"/>
        <v>5.3513926050526361</v>
      </c>
      <c r="AN152" s="1437">
        <f t="shared" si="27"/>
        <v>5.3513926050526361</v>
      </c>
      <c r="AO152" s="1437">
        <f t="shared" si="27"/>
        <v>5.3513926050526361</v>
      </c>
      <c r="AP152" s="1437">
        <f t="shared" si="27"/>
        <v>5.3513926050526361</v>
      </c>
      <c r="AQ152" s="1437">
        <f t="shared" si="27"/>
        <v>5.3513926050526361</v>
      </c>
      <c r="AR152" s="1437">
        <f t="shared" si="27"/>
        <v>5.3513926050526361</v>
      </c>
      <c r="AS152" s="1437">
        <f t="shared" si="27"/>
        <v>5.3513926050526361</v>
      </c>
      <c r="AT152" s="1437">
        <f t="shared" si="27"/>
        <v>5.3513926050526361</v>
      </c>
      <c r="AU152" s="1437">
        <f t="shared" si="26"/>
        <v>5.3513926050526361</v>
      </c>
      <c r="AV152" s="1437">
        <f t="shared" si="26"/>
        <v>5.3513926050526361</v>
      </c>
      <c r="AW152" s="1437">
        <f t="shared" si="26"/>
        <v>5.3513926050526361</v>
      </c>
      <c r="AX152" s="1437">
        <f t="shared" si="26"/>
        <v>5.3513926050526361</v>
      </c>
      <c r="AY152" s="1437">
        <f t="shared" si="26"/>
        <v>5.3513926050526361</v>
      </c>
      <c r="AZ152" s="1437">
        <f t="shared" si="26"/>
        <v>5.3513926050526361</v>
      </c>
      <c r="BA152" s="1437">
        <f t="shared" si="26"/>
        <v>5.3513926050526361</v>
      </c>
      <c r="BB152" s="1437">
        <f t="shared" si="26"/>
        <v>5.3513926050526361</v>
      </c>
      <c r="BC152" s="1437">
        <f t="shared" si="26"/>
        <v>5.3513926050526361</v>
      </c>
      <c r="BD152" s="1437">
        <f t="shared" si="26"/>
        <v>5.3513926050526361</v>
      </c>
      <c r="BE152" s="1437">
        <f t="shared" si="26"/>
        <v>5.3513926050526361</v>
      </c>
      <c r="BF152" s="1437">
        <f t="shared" si="26"/>
        <v>5.3513926050526361</v>
      </c>
      <c r="BG152" s="1437">
        <f t="shared" si="26"/>
        <v>5.3513926050526361</v>
      </c>
      <c r="BH152" s="1437">
        <f t="shared" si="26"/>
        <v>5.3513926050526361</v>
      </c>
      <c r="BI152" s="1437">
        <f t="shared" si="26"/>
        <v>5.3513926050526361</v>
      </c>
      <c r="BJ152" s="1437">
        <f t="shared" si="28"/>
        <v>5.3513926050526361</v>
      </c>
      <c r="BK152" s="1437">
        <f t="shared" si="28"/>
        <v>5.3513926050526361</v>
      </c>
      <c r="BL152" s="1437">
        <f t="shared" si="28"/>
        <v>5.3513926050526361</v>
      </c>
      <c r="BM152" s="1437">
        <f t="shared" si="28"/>
        <v>5.3513926050526361</v>
      </c>
      <c r="BN152" s="1438">
        <f t="shared" si="28"/>
        <v>5.3513926050526361</v>
      </c>
    </row>
    <row r="153" spans="1:66" s="91" customFormat="1">
      <c r="A153" s="1439">
        <v>181</v>
      </c>
      <c r="B153" s="1440">
        <v>0</v>
      </c>
      <c r="C153" s="1441" t="s">
        <v>54</v>
      </c>
      <c r="D153" s="1440" t="s">
        <v>253</v>
      </c>
      <c r="E153" s="1442">
        <v>2.6971583700172994</v>
      </c>
      <c r="F153" s="1442">
        <v>3.17316978899244</v>
      </c>
      <c r="G153" s="1442">
        <v>3.3403905534617881</v>
      </c>
      <c r="H153" s="1442">
        <v>3.3523519758014002</v>
      </c>
      <c r="I153" s="1442">
        <v>3.4091219416072063</v>
      </c>
      <c r="J153" s="1442">
        <v>3.4661806390510894</v>
      </c>
      <c r="K153" s="1442">
        <v>3.5435975237645412</v>
      </c>
      <c r="L153" s="1442">
        <v>3.6265972688376564</v>
      </c>
      <c r="M153" s="1442">
        <v>3.7125637433107688</v>
      </c>
      <c r="N153" s="1442">
        <v>3.8003501218068791</v>
      </c>
      <c r="O153" s="1442">
        <v>3.8885396492382309</v>
      </c>
      <c r="P153" s="1442">
        <v>3.9825016121261338</v>
      </c>
      <c r="Q153" s="1442">
        <v>4.0787597458914417</v>
      </c>
      <c r="R153" s="1442">
        <v>4.1773711996350738</v>
      </c>
      <c r="S153" s="1442">
        <v>4.2783942276350313</v>
      </c>
      <c r="T153" s="1442">
        <v>4.3818883372412332</v>
      </c>
      <c r="U153" s="1442">
        <v>4.4879151704834062</v>
      </c>
      <c r="V153" s="1442">
        <v>4.5965372802737425</v>
      </c>
      <c r="W153" s="1442">
        <v>4.7076669690211759</v>
      </c>
      <c r="X153" s="1442">
        <v>4.8168729164731419</v>
      </c>
      <c r="Y153" s="1442">
        <v>4.9317770166020036</v>
      </c>
      <c r="Z153" s="1442">
        <v>5.0498499107656833</v>
      </c>
      <c r="AA153" s="1442">
        <v>5.1656239603948002</v>
      </c>
      <c r="AB153" s="1442">
        <v>5.2901222329124948</v>
      </c>
      <c r="AC153" s="1442">
        <v>5.4244648209992663</v>
      </c>
      <c r="AD153" s="1442">
        <v>5.5496363941792994</v>
      </c>
      <c r="AE153" s="1442">
        <f t="shared" si="27"/>
        <v>5.5496363941792994</v>
      </c>
      <c r="AF153" s="1442">
        <f t="shared" si="27"/>
        <v>5.5496363941792994</v>
      </c>
      <c r="AG153" s="1442">
        <f t="shared" si="27"/>
        <v>5.5496363941792994</v>
      </c>
      <c r="AH153" s="1442">
        <f t="shared" si="27"/>
        <v>5.5496363941792994</v>
      </c>
      <c r="AI153" s="1442">
        <f t="shared" si="27"/>
        <v>5.5496363941792994</v>
      </c>
      <c r="AJ153" s="1442">
        <f t="shared" si="27"/>
        <v>5.5496363941792994</v>
      </c>
      <c r="AK153" s="1442">
        <f t="shared" si="27"/>
        <v>5.5496363941792994</v>
      </c>
      <c r="AL153" s="1442">
        <f t="shared" si="27"/>
        <v>5.5496363941792994</v>
      </c>
      <c r="AM153" s="1442">
        <f t="shared" si="27"/>
        <v>5.5496363941792994</v>
      </c>
      <c r="AN153" s="1442">
        <f t="shared" si="27"/>
        <v>5.5496363941792994</v>
      </c>
      <c r="AO153" s="1442">
        <f t="shared" si="27"/>
        <v>5.5496363941792994</v>
      </c>
      <c r="AP153" s="1442">
        <f t="shared" si="27"/>
        <v>5.5496363941792994</v>
      </c>
      <c r="AQ153" s="1442">
        <f t="shared" si="27"/>
        <v>5.5496363941792994</v>
      </c>
      <c r="AR153" s="1442">
        <f t="shared" si="27"/>
        <v>5.5496363941792994</v>
      </c>
      <c r="AS153" s="1442">
        <f t="shared" si="27"/>
        <v>5.5496363941792994</v>
      </c>
      <c r="AT153" s="1442">
        <f t="shared" si="27"/>
        <v>5.5496363941792994</v>
      </c>
      <c r="AU153" s="1442">
        <f t="shared" si="26"/>
        <v>5.5496363941792994</v>
      </c>
      <c r="AV153" s="1442">
        <f t="shared" si="26"/>
        <v>5.5496363941792994</v>
      </c>
      <c r="AW153" s="1442">
        <f t="shared" si="26"/>
        <v>5.5496363941792994</v>
      </c>
      <c r="AX153" s="1442">
        <f t="shared" si="26"/>
        <v>5.5496363941792994</v>
      </c>
      <c r="AY153" s="1442">
        <f t="shared" si="26"/>
        <v>5.5496363941792994</v>
      </c>
      <c r="AZ153" s="1442">
        <f t="shared" si="26"/>
        <v>5.5496363941792994</v>
      </c>
      <c r="BA153" s="1442">
        <f t="shared" si="26"/>
        <v>5.5496363941792994</v>
      </c>
      <c r="BB153" s="1442">
        <f t="shared" si="26"/>
        <v>5.5496363941792994</v>
      </c>
      <c r="BC153" s="1442">
        <f t="shared" si="26"/>
        <v>5.5496363941792994</v>
      </c>
      <c r="BD153" s="1442">
        <f t="shared" si="26"/>
        <v>5.5496363941792994</v>
      </c>
      <c r="BE153" s="1442">
        <f t="shared" si="26"/>
        <v>5.5496363941792994</v>
      </c>
      <c r="BF153" s="1442">
        <f t="shared" si="26"/>
        <v>5.5496363941792994</v>
      </c>
      <c r="BG153" s="1442">
        <f t="shared" si="26"/>
        <v>5.5496363941792994</v>
      </c>
      <c r="BH153" s="1442">
        <f t="shared" si="26"/>
        <v>5.5496363941792994</v>
      </c>
      <c r="BI153" s="1442">
        <f t="shared" si="26"/>
        <v>5.5496363941792994</v>
      </c>
      <c r="BJ153" s="1442">
        <f t="shared" si="28"/>
        <v>5.5496363941792994</v>
      </c>
      <c r="BK153" s="1442">
        <f t="shared" si="28"/>
        <v>5.5496363941792994</v>
      </c>
      <c r="BL153" s="1442">
        <f t="shared" si="28"/>
        <v>5.5496363941792994</v>
      </c>
      <c r="BM153" s="1442">
        <f t="shared" si="28"/>
        <v>5.5496363941792994</v>
      </c>
      <c r="BN153" s="1443">
        <f t="shared" si="28"/>
        <v>5.5496363941792994</v>
      </c>
    </row>
    <row r="154" spans="1:66" s="91" customFormat="1">
      <c r="A154" s="1434">
        <v>66</v>
      </c>
      <c r="B154" s="1435">
        <v>0</v>
      </c>
      <c r="C154" s="1436" t="s">
        <v>187</v>
      </c>
      <c r="D154" s="1435" t="s">
        <v>191</v>
      </c>
      <c r="E154" s="1437">
        <v>3.5043392971734355</v>
      </c>
      <c r="F154" s="1437">
        <v>4.0351365218821282</v>
      </c>
      <c r="G154" s="1437">
        <v>4.2171093357568932</v>
      </c>
      <c r="H154" s="1437">
        <v>4.2287863265864161</v>
      </c>
      <c r="I154" s="1437">
        <v>4.2892936509125592</v>
      </c>
      <c r="J154" s="1437">
        <v>4.3499674289229597</v>
      </c>
      <c r="K154" s="1437">
        <v>4.4325569570248193</v>
      </c>
      <c r="L154" s="1437">
        <v>4.5209082604022397</v>
      </c>
      <c r="M154" s="1437">
        <v>4.6121544721673331</v>
      </c>
      <c r="N154" s="1437">
        <v>4.7050438794367846</v>
      </c>
      <c r="O154" s="1437">
        <v>4.7980551529330402</v>
      </c>
      <c r="P154" s="1437">
        <v>4.8969053844269803</v>
      </c>
      <c r="Q154" s="1437">
        <v>4.9978566721207693</v>
      </c>
      <c r="R154" s="1437">
        <v>5.1009557952069864</v>
      </c>
      <c r="S154" s="1437">
        <v>5.2062502646871254</v>
      </c>
      <c r="T154" s="1437">
        <v>5.3137884727235285</v>
      </c>
      <c r="U154" s="1437">
        <v>5.4236206045047162</v>
      </c>
      <c r="V154" s="1437">
        <v>5.535797341352735</v>
      </c>
      <c r="W154" s="1437">
        <v>5.6502133275942832</v>
      </c>
      <c r="X154" s="1437">
        <v>5.7622835946838498</v>
      </c>
      <c r="Y154" s="1437">
        <v>5.8798813443414044</v>
      </c>
      <c r="Z154" s="1437">
        <v>6.0003676289391006</v>
      </c>
      <c r="AA154" s="1437">
        <v>6.1181437394339344</v>
      </c>
      <c r="AB154" s="1437">
        <v>6.2444609051805413</v>
      </c>
      <c r="AC154" s="1437">
        <v>6.3803721893275069</v>
      </c>
      <c r="AD154" s="1437">
        <v>6.5065969201865155</v>
      </c>
      <c r="AE154" s="1437">
        <f t="shared" si="27"/>
        <v>6.5065969201865155</v>
      </c>
      <c r="AF154" s="1437">
        <f t="shared" si="27"/>
        <v>6.5065969201865155</v>
      </c>
      <c r="AG154" s="1437">
        <f t="shared" si="27"/>
        <v>6.5065969201865155</v>
      </c>
      <c r="AH154" s="1437">
        <f t="shared" si="27"/>
        <v>6.5065969201865155</v>
      </c>
      <c r="AI154" s="1437">
        <f t="shared" si="27"/>
        <v>6.5065969201865155</v>
      </c>
      <c r="AJ154" s="1437">
        <f t="shared" si="27"/>
        <v>6.5065969201865155</v>
      </c>
      <c r="AK154" s="1437">
        <f t="shared" si="27"/>
        <v>6.5065969201865155</v>
      </c>
      <c r="AL154" s="1437">
        <f t="shared" si="27"/>
        <v>6.5065969201865155</v>
      </c>
      <c r="AM154" s="1437">
        <f t="shared" si="27"/>
        <v>6.5065969201865155</v>
      </c>
      <c r="AN154" s="1437">
        <f t="shared" si="27"/>
        <v>6.5065969201865155</v>
      </c>
      <c r="AO154" s="1437">
        <f t="shared" si="27"/>
        <v>6.5065969201865155</v>
      </c>
      <c r="AP154" s="1437">
        <f t="shared" si="27"/>
        <v>6.5065969201865155</v>
      </c>
      <c r="AQ154" s="1437">
        <f t="shared" si="27"/>
        <v>6.5065969201865155</v>
      </c>
      <c r="AR154" s="1437">
        <f t="shared" si="27"/>
        <v>6.5065969201865155</v>
      </c>
      <c r="AS154" s="1437">
        <f t="shared" si="27"/>
        <v>6.5065969201865155</v>
      </c>
      <c r="AT154" s="1437">
        <f t="shared" si="27"/>
        <v>6.5065969201865155</v>
      </c>
      <c r="AU154" s="1437">
        <f t="shared" si="26"/>
        <v>6.5065969201865155</v>
      </c>
      <c r="AV154" s="1437">
        <f t="shared" si="26"/>
        <v>6.5065969201865155</v>
      </c>
      <c r="AW154" s="1437">
        <f t="shared" si="26"/>
        <v>6.5065969201865155</v>
      </c>
      <c r="AX154" s="1437">
        <f t="shared" si="26"/>
        <v>6.5065969201865155</v>
      </c>
      <c r="AY154" s="1437">
        <f t="shared" si="26"/>
        <v>6.5065969201865155</v>
      </c>
      <c r="AZ154" s="1437">
        <f t="shared" si="26"/>
        <v>6.5065969201865155</v>
      </c>
      <c r="BA154" s="1437">
        <f t="shared" si="26"/>
        <v>6.5065969201865155</v>
      </c>
      <c r="BB154" s="1437">
        <f t="shared" si="26"/>
        <v>6.5065969201865155</v>
      </c>
      <c r="BC154" s="1437">
        <f t="shared" si="26"/>
        <v>6.5065969201865155</v>
      </c>
      <c r="BD154" s="1437">
        <f t="shared" si="26"/>
        <v>6.5065969201865155</v>
      </c>
      <c r="BE154" s="1437">
        <f t="shared" si="26"/>
        <v>6.5065969201865155</v>
      </c>
      <c r="BF154" s="1437">
        <f t="shared" si="26"/>
        <v>6.5065969201865155</v>
      </c>
      <c r="BG154" s="1437">
        <f t="shared" si="26"/>
        <v>6.5065969201865155</v>
      </c>
      <c r="BH154" s="1437">
        <f t="shared" si="26"/>
        <v>6.5065969201865155</v>
      </c>
      <c r="BI154" s="1437">
        <f t="shared" si="26"/>
        <v>6.5065969201865155</v>
      </c>
      <c r="BJ154" s="1437">
        <f t="shared" si="28"/>
        <v>6.5065969201865155</v>
      </c>
      <c r="BK154" s="1437">
        <f t="shared" si="28"/>
        <v>6.5065969201865155</v>
      </c>
      <c r="BL154" s="1437">
        <f t="shared" si="28"/>
        <v>6.5065969201865155</v>
      </c>
      <c r="BM154" s="1437">
        <f t="shared" si="28"/>
        <v>6.5065969201865155</v>
      </c>
      <c r="BN154" s="1438">
        <f t="shared" si="28"/>
        <v>6.5065969201865155</v>
      </c>
    </row>
    <row r="155" spans="1:66" s="91" customFormat="1" ht="15">
      <c r="A155" s="1439">
        <v>159</v>
      </c>
      <c r="B155" s="1440">
        <v>0</v>
      </c>
      <c r="C155" s="1441" t="s">
        <v>228</v>
      </c>
      <c r="D155" s="1440" t="s">
        <v>260</v>
      </c>
      <c r="E155" s="1444">
        <v>6.4222120343651747</v>
      </c>
      <c r="F155" s="1444">
        <v>6.8579816765586941</v>
      </c>
      <c r="G155" s="1444">
        <v>7.0119138137576904</v>
      </c>
      <c r="H155" s="1444">
        <v>7.0241450199123001</v>
      </c>
      <c r="I155" s="1444">
        <v>7.077322800400446</v>
      </c>
      <c r="J155" s="1444">
        <v>7.1308049681189125</v>
      </c>
      <c r="K155" s="1444">
        <v>7.2029151886887339</v>
      </c>
      <c r="L155" s="1444">
        <v>7.2801659185491143</v>
      </c>
      <c r="M155" s="1444">
        <v>7.3601701274167723</v>
      </c>
      <c r="N155" s="1444">
        <v>7.4418821693531854</v>
      </c>
      <c r="O155" s="1444">
        <v>7.5240099446491708</v>
      </c>
      <c r="P155" s="1444">
        <v>7.6114570323990058</v>
      </c>
      <c r="Q155" s="1444">
        <v>7.7010511425993506</v>
      </c>
      <c r="R155" s="1444">
        <v>7.7928459841614481</v>
      </c>
      <c r="S155" s="1444">
        <v>7.8868963211487166</v>
      </c>
      <c r="T155" s="1444">
        <v>7.9832581091775134</v>
      </c>
      <c r="U155" s="1444">
        <v>8.0819893017906921</v>
      </c>
      <c r="V155" s="1444">
        <v>8.1831487345439982</v>
      </c>
      <c r="W155" s="1444">
        <v>8.2866581037851645</v>
      </c>
      <c r="X155" s="1444">
        <v>8.3884730248860979</v>
      </c>
      <c r="Y155" s="1444">
        <v>8.4955548004562864</v>
      </c>
      <c r="Z155" s="1444">
        <v>8.6055958657789198</v>
      </c>
      <c r="AA155" s="1444">
        <v>8.713605593532769</v>
      </c>
      <c r="AB155" s="1444">
        <v>8.8296514052486472</v>
      </c>
      <c r="AC155" s="1444">
        <v>8.954758402924476</v>
      </c>
      <c r="AD155" s="1444">
        <v>9.0715650240003711</v>
      </c>
      <c r="AE155" s="1442">
        <f t="shared" si="27"/>
        <v>9.0715650240003711</v>
      </c>
      <c r="AF155" s="1442">
        <f t="shared" si="27"/>
        <v>9.0715650240003711</v>
      </c>
      <c r="AG155" s="1442">
        <f t="shared" si="27"/>
        <v>9.0715650240003711</v>
      </c>
      <c r="AH155" s="1442">
        <f t="shared" si="27"/>
        <v>9.0715650240003711</v>
      </c>
      <c r="AI155" s="1442">
        <f t="shared" si="27"/>
        <v>9.0715650240003711</v>
      </c>
      <c r="AJ155" s="1442">
        <f t="shared" si="27"/>
        <v>9.0715650240003711</v>
      </c>
      <c r="AK155" s="1442">
        <f t="shared" si="27"/>
        <v>9.0715650240003711</v>
      </c>
      <c r="AL155" s="1442">
        <f t="shared" si="27"/>
        <v>9.0715650240003711</v>
      </c>
      <c r="AM155" s="1442">
        <f t="shared" si="27"/>
        <v>9.0715650240003711</v>
      </c>
      <c r="AN155" s="1442">
        <f t="shared" si="27"/>
        <v>9.0715650240003711</v>
      </c>
      <c r="AO155" s="1442">
        <f t="shared" si="27"/>
        <v>9.0715650240003711</v>
      </c>
      <c r="AP155" s="1442">
        <f t="shared" si="27"/>
        <v>9.0715650240003711</v>
      </c>
      <c r="AQ155" s="1442">
        <f t="shared" si="27"/>
        <v>9.0715650240003711</v>
      </c>
      <c r="AR155" s="1442">
        <f t="shared" si="27"/>
        <v>9.0715650240003711</v>
      </c>
      <c r="AS155" s="1442">
        <f t="shared" si="27"/>
        <v>9.0715650240003711</v>
      </c>
      <c r="AT155" s="1442">
        <f t="shared" si="27"/>
        <v>9.0715650240003711</v>
      </c>
      <c r="AU155" s="1442">
        <f t="shared" si="26"/>
        <v>9.0715650240003711</v>
      </c>
      <c r="AV155" s="1442">
        <f t="shared" si="26"/>
        <v>9.0715650240003711</v>
      </c>
      <c r="AW155" s="1442">
        <f t="shared" si="26"/>
        <v>9.0715650240003711</v>
      </c>
      <c r="AX155" s="1442">
        <f t="shared" si="26"/>
        <v>9.0715650240003711</v>
      </c>
      <c r="AY155" s="1442">
        <f t="shared" si="26"/>
        <v>9.0715650240003711</v>
      </c>
      <c r="AZ155" s="1442">
        <f t="shared" si="26"/>
        <v>9.0715650240003711</v>
      </c>
      <c r="BA155" s="1442">
        <f t="shared" si="26"/>
        <v>9.0715650240003711</v>
      </c>
      <c r="BB155" s="1442">
        <f t="shared" si="26"/>
        <v>9.0715650240003711</v>
      </c>
      <c r="BC155" s="1442">
        <f t="shared" si="26"/>
        <v>9.0715650240003711</v>
      </c>
      <c r="BD155" s="1442">
        <f t="shared" si="26"/>
        <v>9.0715650240003711</v>
      </c>
      <c r="BE155" s="1442">
        <f t="shared" si="26"/>
        <v>9.0715650240003711</v>
      </c>
      <c r="BF155" s="1442">
        <f t="shared" si="26"/>
        <v>9.0715650240003711</v>
      </c>
      <c r="BG155" s="1442">
        <f t="shared" si="26"/>
        <v>9.0715650240003711</v>
      </c>
      <c r="BH155" s="1442">
        <f t="shared" si="26"/>
        <v>9.0715650240003711</v>
      </c>
      <c r="BI155" s="1442">
        <f t="shared" si="26"/>
        <v>9.0715650240003711</v>
      </c>
      <c r="BJ155" s="1442">
        <f t="shared" si="28"/>
        <v>9.0715650240003711</v>
      </c>
      <c r="BK155" s="1442">
        <f t="shared" si="28"/>
        <v>9.0715650240003711</v>
      </c>
      <c r="BL155" s="1442">
        <f t="shared" si="28"/>
        <v>9.0715650240003711</v>
      </c>
      <c r="BM155" s="1442">
        <f t="shared" si="28"/>
        <v>9.0715650240003711</v>
      </c>
      <c r="BN155" s="1443">
        <f t="shared" si="28"/>
        <v>9.0715650240003711</v>
      </c>
    </row>
    <row r="156" spans="1:66" s="91" customFormat="1">
      <c r="A156" s="1434">
        <v>67</v>
      </c>
      <c r="B156" s="1435">
        <v>0</v>
      </c>
      <c r="C156" s="1436" t="s">
        <v>69</v>
      </c>
      <c r="D156" s="1435" t="s">
        <v>104</v>
      </c>
      <c r="E156" s="1437">
        <v>3.3419419726980211</v>
      </c>
      <c r="F156" s="1437">
        <v>3.8450617430014962</v>
      </c>
      <c r="G156" s="1437">
        <v>4.0180685326882664</v>
      </c>
      <c r="H156" s="1437">
        <v>4.0299267676557697</v>
      </c>
      <c r="I156" s="1437">
        <v>4.0880234080292084</v>
      </c>
      <c r="J156" s="1437">
        <v>4.1463025158464557</v>
      </c>
      <c r="K156" s="1437">
        <v>4.2253488953128127</v>
      </c>
      <c r="L156" s="1437">
        <v>4.309874807243177</v>
      </c>
      <c r="M156" s="1437">
        <v>4.3971677734906249</v>
      </c>
      <c r="N156" s="1437">
        <v>4.4860439602381605</v>
      </c>
      <c r="O156" s="1437">
        <v>4.5750643867597702</v>
      </c>
      <c r="P156" s="1437">
        <v>4.6696407130371096</v>
      </c>
      <c r="Q156" s="1437">
        <v>4.7662361921648717</v>
      </c>
      <c r="R156" s="1437">
        <v>4.8648960169786264</v>
      </c>
      <c r="S156" s="1437">
        <v>4.9656661005120091</v>
      </c>
      <c r="T156" s="1437">
        <v>5.0685932181748754</v>
      </c>
      <c r="U156" s="1437">
        <v>5.1737258716172683</v>
      </c>
      <c r="V156" s="1437">
        <v>5.2811130621973952</v>
      </c>
      <c r="W156" s="1437">
        <v>5.3906561451752406</v>
      </c>
      <c r="X156" s="1437">
        <v>5.4980168946384689</v>
      </c>
      <c r="Y156" s="1437">
        <v>5.6106478290488511</v>
      </c>
      <c r="Z156" s="1437">
        <v>5.7260525503006088</v>
      </c>
      <c r="AA156" s="1437">
        <v>5.8389335059881722</v>
      </c>
      <c r="AB156" s="1437">
        <v>5.9599403659289916</v>
      </c>
      <c r="AC156" s="1437">
        <v>6.0900710477033009</v>
      </c>
      <c r="AD156" s="1437">
        <v>6.2110791722900336</v>
      </c>
      <c r="AE156" s="1437">
        <f t="shared" si="27"/>
        <v>6.2110791722900336</v>
      </c>
      <c r="AF156" s="1437">
        <f t="shared" si="27"/>
        <v>6.2110791722900336</v>
      </c>
      <c r="AG156" s="1437">
        <f t="shared" si="27"/>
        <v>6.2110791722900336</v>
      </c>
      <c r="AH156" s="1437">
        <f t="shared" si="27"/>
        <v>6.2110791722900336</v>
      </c>
      <c r="AI156" s="1437">
        <f t="shared" si="27"/>
        <v>6.2110791722900336</v>
      </c>
      <c r="AJ156" s="1437">
        <f t="shared" si="27"/>
        <v>6.2110791722900336</v>
      </c>
      <c r="AK156" s="1437">
        <f t="shared" si="27"/>
        <v>6.2110791722900336</v>
      </c>
      <c r="AL156" s="1437">
        <f t="shared" si="27"/>
        <v>6.2110791722900336</v>
      </c>
      <c r="AM156" s="1437">
        <f t="shared" si="27"/>
        <v>6.2110791722900336</v>
      </c>
      <c r="AN156" s="1437">
        <f t="shared" si="27"/>
        <v>6.2110791722900336</v>
      </c>
      <c r="AO156" s="1437">
        <f t="shared" si="27"/>
        <v>6.2110791722900336</v>
      </c>
      <c r="AP156" s="1437">
        <f t="shared" si="27"/>
        <v>6.2110791722900336</v>
      </c>
      <c r="AQ156" s="1437">
        <f t="shared" si="27"/>
        <v>6.2110791722900336</v>
      </c>
      <c r="AR156" s="1437">
        <f t="shared" si="27"/>
        <v>6.2110791722900336</v>
      </c>
      <c r="AS156" s="1437">
        <f t="shared" si="27"/>
        <v>6.2110791722900336</v>
      </c>
      <c r="AT156" s="1437">
        <f t="shared" si="27"/>
        <v>6.2110791722900336</v>
      </c>
      <c r="AU156" s="1437">
        <f t="shared" si="26"/>
        <v>6.2110791722900336</v>
      </c>
      <c r="AV156" s="1437">
        <f t="shared" si="26"/>
        <v>6.2110791722900336</v>
      </c>
      <c r="AW156" s="1437">
        <f t="shared" si="26"/>
        <v>6.2110791722900336</v>
      </c>
      <c r="AX156" s="1437">
        <f t="shared" si="26"/>
        <v>6.2110791722900336</v>
      </c>
      <c r="AY156" s="1437">
        <f t="shared" si="26"/>
        <v>6.2110791722900336</v>
      </c>
      <c r="AZ156" s="1437">
        <f t="shared" si="26"/>
        <v>6.2110791722900336</v>
      </c>
      <c r="BA156" s="1437">
        <f t="shared" si="26"/>
        <v>6.2110791722900336</v>
      </c>
      <c r="BB156" s="1437">
        <f t="shared" si="26"/>
        <v>6.2110791722900336</v>
      </c>
      <c r="BC156" s="1437">
        <f t="shared" si="26"/>
        <v>6.2110791722900336</v>
      </c>
      <c r="BD156" s="1437">
        <f t="shared" si="26"/>
        <v>6.2110791722900336</v>
      </c>
      <c r="BE156" s="1437">
        <f t="shared" si="26"/>
        <v>6.2110791722900336</v>
      </c>
      <c r="BF156" s="1437">
        <f t="shared" si="26"/>
        <v>6.2110791722900336</v>
      </c>
      <c r="BG156" s="1437">
        <f t="shared" si="26"/>
        <v>6.2110791722900336</v>
      </c>
      <c r="BH156" s="1437">
        <f t="shared" si="26"/>
        <v>6.2110791722900336</v>
      </c>
      <c r="BI156" s="1437">
        <f t="shared" si="26"/>
        <v>6.2110791722900336</v>
      </c>
      <c r="BJ156" s="1437">
        <f t="shared" si="28"/>
        <v>6.2110791722900336</v>
      </c>
      <c r="BK156" s="1437">
        <f t="shared" si="28"/>
        <v>6.2110791722900336</v>
      </c>
      <c r="BL156" s="1437">
        <f t="shared" si="28"/>
        <v>6.2110791722900336</v>
      </c>
      <c r="BM156" s="1437">
        <f t="shared" si="28"/>
        <v>6.2110791722900336</v>
      </c>
      <c r="BN156" s="1438">
        <f t="shared" si="28"/>
        <v>6.2110791722900336</v>
      </c>
    </row>
    <row r="157" spans="1:66" s="91" customFormat="1">
      <c r="A157" s="1439">
        <v>68</v>
      </c>
      <c r="B157" s="1440">
        <v>0</v>
      </c>
      <c r="C157" s="1441" t="s">
        <v>69</v>
      </c>
      <c r="D157" s="1440" t="s">
        <v>105</v>
      </c>
      <c r="E157" s="1442">
        <v>2.9283596050791671</v>
      </c>
      <c r="F157" s="1442">
        <v>3.3609923328186748</v>
      </c>
      <c r="G157" s="1442">
        <v>3.5111650670567034</v>
      </c>
      <c r="H157" s="1442">
        <v>3.5234848821638147</v>
      </c>
      <c r="I157" s="1442">
        <v>3.5754421579882285</v>
      </c>
      <c r="J157" s="1442">
        <v>3.6276226840009449</v>
      </c>
      <c r="K157" s="1442">
        <v>3.6976456155365529</v>
      </c>
      <c r="L157" s="1442">
        <v>3.7724292829019115</v>
      </c>
      <c r="M157" s="1442">
        <v>3.8496543946065112</v>
      </c>
      <c r="N157" s="1442">
        <v>3.9283099865838293</v>
      </c>
      <c r="O157" s="1442">
        <v>4.007166797750874</v>
      </c>
      <c r="P157" s="1442">
        <v>4.0908586353571694</v>
      </c>
      <c r="Q157" s="1442">
        <v>4.1763610399810789</v>
      </c>
      <c r="R157" s="1442">
        <v>4.2637151644329458</v>
      </c>
      <c r="S157" s="1442">
        <v>4.3529628521514656</v>
      </c>
      <c r="T157" s="1442">
        <v>4.4441467611121421</v>
      </c>
      <c r="U157" s="1442">
        <v>4.5373111054446955</v>
      </c>
      <c r="V157" s="1442">
        <v>4.6325006080906572</v>
      </c>
      <c r="W157" s="1442">
        <v>4.7296337152546144</v>
      </c>
      <c r="X157" s="1442">
        <v>4.8250005882390541</v>
      </c>
      <c r="Y157" s="1442">
        <v>4.924982378237198</v>
      </c>
      <c r="Z157" s="1442">
        <v>5.027445722489011</v>
      </c>
      <c r="AA157" s="1442">
        <v>5.1278600336576989</v>
      </c>
      <c r="AB157" s="1442">
        <v>5.2353429709906045</v>
      </c>
      <c r="AC157" s="1442">
        <v>5.3507520111167581</v>
      </c>
      <c r="AD157" s="1442">
        <v>5.4584748406409487</v>
      </c>
      <c r="AE157" s="1442">
        <f t="shared" si="27"/>
        <v>5.4584748406409487</v>
      </c>
      <c r="AF157" s="1442">
        <f t="shared" si="27"/>
        <v>5.4584748406409487</v>
      </c>
      <c r="AG157" s="1442">
        <f t="shared" si="27"/>
        <v>5.4584748406409487</v>
      </c>
      <c r="AH157" s="1442">
        <f t="shared" si="27"/>
        <v>5.4584748406409487</v>
      </c>
      <c r="AI157" s="1442">
        <f t="shared" si="27"/>
        <v>5.4584748406409487</v>
      </c>
      <c r="AJ157" s="1442">
        <f t="shared" si="27"/>
        <v>5.4584748406409487</v>
      </c>
      <c r="AK157" s="1442">
        <f t="shared" si="27"/>
        <v>5.4584748406409487</v>
      </c>
      <c r="AL157" s="1442">
        <f t="shared" si="27"/>
        <v>5.4584748406409487</v>
      </c>
      <c r="AM157" s="1442">
        <f t="shared" si="27"/>
        <v>5.4584748406409487</v>
      </c>
      <c r="AN157" s="1442">
        <f t="shared" si="27"/>
        <v>5.4584748406409487</v>
      </c>
      <c r="AO157" s="1442">
        <f t="shared" si="27"/>
        <v>5.4584748406409487</v>
      </c>
      <c r="AP157" s="1442">
        <f t="shared" si="27"/>
        <v>5.4584748406409487</v>
      </c>
      <c r="AQ157" s="1442">
        <f t="shared" si="27"/>
        <v>5.4584748406409487</v>
      </c>
      <c r="AR157" s="1442">
        <f t="shared" si="27"/>
        <v>5.4584748406409487</v>
      </c>
      <c r="AS157" s="1442">
        <f t="shared" si="27"/>
        <v>5.4584748406409487</v>
      </c>
      <c r="AT157" s="1442">
        <f t="shared" si="27"/>
        <v>5.4584748406409487</v>
      </c>
      <c r="AU157" s="1442">
        <f t="shared" si="26"/>
        <v>5.4584748406409487</v>
      </c>
      <c r="AV157" s="1442">
        <f t="shared" si="26"/>
        <v>5.4584748406409487</v>
      </c>
      <c r="AW157" s="1442">
        <f t="shared" si="26"/>
        <v>5.4584748406409487</v>
      </c>
      <c r="AX157" s="1442">
        <f t="shared" si="26"/>
        <v>5.4584748406409487</v>
      </c>
      <c r="AY157" s="1442">
        <f t="shared" si="26"/>
        <v>5.4584748406409487</v>
      </c>
      <c r="AZ157" s="1442">
        <f t="shared" si="26"/>
        <v>5.4584748406409487</v>
      </c>
      <c r="BA157" s="1442">
        <f t="shared" si="26"/>
        <v>5.4584748406409487</v>
      </c>
      <c r="BB157" s="1442">
        <f t="shared" si="26"/>
        <v>5.4584748406409487</v>
      </c>
      <c r="BC157" s="1442">
        <f t="shared" si="26"/>
        <v>5.4584748406409487</v>
      </c>
      <c r="BD157" s="1442">
        <f t="shared" si="26"/>
        <v>5.4584748406409487</v>
      </c>
      <c r="BE157" s="1442">
        <f t="shared" si="26"/>
        <v>5.4584748406409487</v>
      </c>
      <c r="BF157" s="1442">
        <f t="shared" si="26"/>
        <v>5.4584748406409487</v>
      </c>
      <c r="BG157" s="1442">
        <f t="shared" si="26"/>
        <v>5.4584748406409487</v>
      </c>
      <c r="BH157" s="1442">
        <f t="shared" si="26"/>
        <v>5.4584748406409487</v>
      </c>
      <c r="BI157" s="1442">
        <f t="shared" si="26"/>
        <v>5.4584748406409487</v>
      </c>
      <c r="BJ157" s="1442">
        <f t="shared" si="28"/>
        <v>5.4584748406409487</v>
      </c>
      <c r="BK157" s="1442">
        <f t="shared" si="28"/>
        <v>5.4584748406409487</v>
      </c>
      <c r="BL157" s="1442">
        <f t="shared" si="28"/>
        <v>5.4584748406409487</v>
      </c>
      <c r="BM157" s="1442">
        <f t="shared" si="28"/>
        <v>5.4584748406409487</v>
      </c>
      <c r="BN157" s="1443">
        <f t="shared" si="28"/>
        <v>5.4584748406409487</v>
      </c>
    </row>
    <row r="158" spans="1:66" s="91" customFormat="1" ht="15">
      <c r="A158" s="1434">
        <v>160</v>
      </c>
      <c r="B158" s="1435">
        <v>0</v>
      </c>
      <c r="C158" s="1435" t="s">
        <v>228</v>
      </c>
      <c r="D158" s="1435" t="s">
        <v>229</v>
      </c>
      <c r="E158" s="1447">
        <v>2.5022120343651748</v>
      </c>
      <c r="F158" s="1447">
        <v>2.9379816765586941</v>
      </c>
      <c r="G158" s="1447">
        <v>3.0919138137576909</v>
      </c>
      <c r="H158" s="1447">
        <v>3.1041450199122997</v>
      </c>
      <c r="I158" s="1447">
        <v>3.1573228004004461</v>
      </c>
      <c r="J158" s="1447">
        <v>3.2108049681189126</v>
      </c>
      <c r="K158" s="1447">
        <v>3.282915188688734</v>
      </c>
      <c r="L158" s="1447">
        <v>3.360165918549114</v>
      </c>
      <c r="M158" s="1447">
        <v>3.440170127416772</v>
      </c>
      <c r="N158" s="1447">
        <v>3.5218821693531854</v>
      </c>
      <c r="O158" s="1447">
        <v>3.6040099446491705</v>
      </c>
      <c r="P158" s="1447">
        <v>3.6914570323990059</v>
      </c>
      <c r="Q158" s="1447">
        <v>3.7810511425993507</v>
      </c>
      <c r="R158" s="1447">
        <v>3.8728459841614482</v>
      </c>
      <c r="S158" s="1447">
        <v>3.9668963211487172</v>
      </c>
      <c r="T158" s="1447">
        <v>4.0632581091775135</v>
      </c>
      <c r="U158" s="1447">
        <v>4.1619893017906922</v>
      </c>
      <c r="V158" s="1447">
        <v>4.2631487345439973</v>
      </c>
      <c r="W158" s="1447">
        <v>4.3666581037851655</v>
      </c>
      <c r="X158" s="1447">
        <v>4.468473024886098</v>
      </c>
      <c r="Y158" s="1447">
        <v>4.5755548004562856</v>
      </c>
      <c r="Z158" s="1447">
        <v>4.6855958657789198</v>
      </c>
      <c r="AA158" s="1447">
        <v>4.793605593532769</v>
      </c>
      <c r="AB158" s="1447">
        <v>4.9096514052486482</v>
      </c>
      <c r="AC158" s="1447">
        <v>5.0347584029244761</v>
      </c>
      <c r="AD158" s="1447">
        <v>5.1515650240003703</v>
      </c>
      <c r="AE158" s="1437">
        <f t="shared" si="27"/>
        <v>5.1515650240003703</v>
      </c>
      <c r="AF158" s="1437">
        <f t="shared" si="27"/>
        <v>5.1515650240003703</v>
      </c>
      <c r="AG158" s="1437">
        <f t="shared" si="27"/>
        <v>5.1515650240003703</v>
      </c>
      <c r="AH158" s="1437">
        <f t="shared" si="27"/>
        <v>5.1515650240003703</v>
      </c>
      <c r="AI158" s="1437">
        <f t="shared" si="27"/>
        <v>5.1515650240003703</v>
      </c>
      <c r="AJ158" s="1437">
        <f t="shared" si="27"/>
        <v>5.1515650240003703</v>
      </c>
      <c r="AK158" s="1437">
        <f t="shared" si="27"/>
        <v>5.1515650240003703</v>
      </c>
      <c r="AL158" s="1437">
        <f t="shared" si="27"/>
        <v>5.1515650240003703</v>
      </c>
      <c r="AM158" s="1437">
        <f t="shared" si="27"/>
        <v>5.1515650240003703</v>
      </c>
      <c r="AN158" s="1437">
        <f t="shared" si="27"/>
        <v>5.1515650240003703</v>
      </c>
      <c r="AO158" s="1437">
        <f t="shared" si="27"/>
        <v>5.1515650240003703</v>
      </c>
      <c r="AP158" s="1437">
        <f t="shared" si="27"/>
        <v>5.1515650240003703</v>
      </c>
      <c r="AQ158" s="1437">
        <f t="shared" si="27"/>
        <v>5.1515650240003703</v>
      </c>
      <c r="AR158" s="1437">
        <f t="shared" si="27"/>
        <v>5.1515650240003703</v>
      </c>
      <c r="AS158" s="1437">
        <f t="shared" si="27"/>
        <v>5.1515650240003703</v>
      </c>
      <c r="AT158" s="1437">
        <f t="shared" si="27"/>
        <v>5.1515650240003703</v>
      </c>
      <c r="AU158" s="1437">
        <f t="shared" si="26"/>
        <v>5.1515650240003703</v>
      </c>
      <c r="AV158" s="1437">
        <f t="shared" si="26"/>
        <v>5.1515650240003703</v>
      </c>
      <c r="AW158" s="1437">
        <f t="shared" si="26"/>
        <v>5.1515650240003703</v>
      </c>
      <c r="AX158" s="1437">
        <f t="shared" si="26"/>
        <v>5.1515650240003703</v>
      </c>
      <c r="AY158" s="1437">
        <f t="shared" si="26"/>
        <v>5.1515650240003703</v>
      </c>
      <c r="AZ158" s="1437">
        <f t="shared" si="26"/>
        <v>5.1515650240003703</v>
      </c>
      <c r="BA158" s="1437">
        <f t="shared" si="26"/>
        <v>5.1515650240003703</v>
      </c>
      <c r="BB158" s="1437">
        <f t="shared" si="26"/>
        <v>5.1515650240003703</v>
      </c>
      <c r="BC158" s="1437">
        <f t="shared" si="26"/>
        <v>5.1515650240003703</v>
      </c>
      <c r="BD158" s="1437">
        <f t="shared" si="26"/>
        <v>5.1515650240003703</v>
      </c>
      <c r="BE158" s="1437">
        <f t="shared" si="26"/>
        <v>5.1515650240003703</v>
      </c>
      <c r="BF158" s="1437">
        <f t="shared" si="26"/>
        <v>5.1515650240003703</v>
      </c>
      <c r="BG158" s="1437">
        <f t="shared" si="26"/>
        <v>5.1515650240003703</v>
      </c>
      <c r="BH158" s="1437">
        <f t="shared" si="26"/>
        <v>5.1515650240003703</v>
      </c>
      <c r="BI158" s="1437">
        <f t="shared" si="26"/>
        <v>5.1515650240003703</v>
      </c>
      <c r="BJ158" s="1437">
        <f t="shared" si="28"/>
        <v>5.1515650240003703</v>
      </c>
      <c r="BK158" s="1437">
        <f t="shared" si="28"/>
        <v>5.1515650240003703</v>
      </c>
      <c r="BL158" s="1437">
        <f t="shared" si="28"/>
        <v>5.1515650240003703</v>
      </c>
      <c r="BM158" s="1437">
        <f t="shared" si="28"/>
        <v>5.1515650240003703</v>
      </c>
      <c r="BN158" s="1438">
        <f t="shared" si="28"/>
        <v>5.1515650240003703</v>
      </c>
    </row>
    <row r="159" spans="1:66" s="91" customFormat="1">
      <c r="A159" s="1439">
        <v>69</v>
      </c>
      <c r="B159" s="1440">
        <v>0</v>
      </c>
      <c r="C159" s="1441" t="s">
        <v>69</v>
      </c>
      <c r="D159" s="1440" t="s">
        <v>106</v>
      </c>
      <c r="E159" s="1442">
        <v>2.8605096192288744</v>
      </c>
      <c r="F159" s="1442">
        <v>3.2815786411263534</v>
      </c>
      <c r="G159" s="1442">
        <v>3.4280053492752587</v>
      </c>
      <c r="H159" s="1442">
        <v>3.4404008886114306</v>
      </c>
      <c r="I159" s="1442">
        <v>3.4913509749848548</v>
      </c>
      <c r="J159" s="1442">
        <v>3.5425310021331571</v>
      </c>
      <c r="K159" s="1442">
        <v>3.6110735977977093</v>
      </c>
      <c r="L159" s="1442">
        <v>3.6842590075785115</v>
      </c>
      <c r="M159" s="1442">
        <v>3.7598324439657906</v>
      </c>
      <c r="N159" s="1442">
        <v>3.836811302927305</v>
      </c>
      <c r="O159" s="1442">
        <v>3.914000728799456</v>
      </c>
      <c r="P159" s="1442">
        <v>3.9959069187086076</v>
      </c>
      <c r="Q159" s="1442">
        <v>4.0795894562224753</v>
      </c>
      <c r="R159" s="1442">
        <v>4.1650888313676973</v>
      </c>
      <c r="S159" s="1442">
        <v>4.2524462199482214</v>
      </c>
      <c r="T159" s="1442">
        <v>4.3417036044565434</v>
      </c>
      <c r="U159" s="1442">
        <v>4.4329044956360288</v>
      </c>
      <c r="V159" s="1442">
        <v>4.5260929145353499</v>
      </c>
      <c r="W159" s="1442">
        <v>4.6211901112028739</v>
      </c>
      <c r="X159" s="1442">
        <v>4.7145893365961919</v>
      </c>
      <c r="Y159" s="1442">
        <v>4.8124959794493298</v>
      </c>
      <c r="Z159" s="1442">
        <v>4.9128362345293661</v>
      </c>
      <c r="AA159" s="1442">
        <v>5.0112053384541468</v>
      </c>
      <c r="AB159" s="1442">
        <v>5.1164696174751167</v>
      </c>
      <c r="AC159" s="1442">
        <v>5.2294635082725618</v>
      </c>
      <c r="AD159" s="1442">
        <v>5.3350068273712958</v>
      </c>
      <c r="AE159" s="1442">
        <f t="shared" si="27"/>
        <v>5.3350068273712958</v>
      </c>
      <c r="AF159" s="1442">
        <f t="shared" si="27"/>
        <v>5.3350068273712958</v>
      </c>
      <c r="AG159" s="1442">
        <f t="shared" si="27"/>
        <v>5.3350068273712958</v>
      </c>
      <c r="AH159" s="1442">
        <f t="shared" si="27"/>
        <v>5.3350068273712958</v>
      </c>
      <c r="AI159" s="1442">
        <f t="shared" si="27"/>
        <v>5.3350068273712958</v>
      </c>
      <c r="AJ159" s="1442">
        <f t="shared" si="27"/>
        <v>5.3350068273712958</v>
      </c>
      <c r="AK159" s="1442">
        <f t="shared" si="27"/>
        <v>5.3350068273712958</v>
      </c>
      <c r="AL159" s="1442">
        <f t="shared" si="27"/>
        <v>5.3350068273712958</v>
      </c>
      <c r="AM159" s="1442">
        <f t="shared" si="27"/>
        <v>5.3350068273712958</v>
      </c>
      <c r="AN159" s="1442">
        <f t="shared" si="27"/>
        <v>5.3350068273712958</v>
      </c>
      <c r="AO159" s="1442">
        <f t="shared" si="27"/>
        <v>5.3350068273712958</v>
      </c>
      <c r="AP159" s="1442">
        <f t="shared" si="27"/>
        <v>5.3350068273712958</v>
      </c>
      <c r="AQ159" s="1442">
        <f t="shared" si="27"/>
        <v>5.3350068273712958</v>
      </c>
      <c r="AR159" s="1442">
        <f t="shared" si="27"/>
        <v>5.3350068273712958</v>
      </c>
      <c r="AS159" s="1442">
        <f t="shared" si="27"/>
        <v>5.3350068273712958</v>
      </c>
      <c r="AT159" s="1442">
        <f t="shared" si="27"/>
        <v>5.3350068273712958</v>
      </c>
      <c r="AU159" s="1442">
        <f t="shared" si="26"/>
        <v>5.3350068273712958</v>
      </c>
      <c r="AV159" s="1442">
        <f t="shared" si="26"/>
        <v>5.3350068273712958</v>
      </c>
      <c r="AW159" s="1442">
        <f t="shared" si="26"/>
        <v>5.3350068273712958</v>
      </c>
      <c r="AX159" s="1442">
        <f t="shared" si="26"/>
        <v>5.3350068273712958</v>
      </c>
      <c r="AY159" s="1442">
        <f t="shared" si="26"/>
        <v>5.3350068273712958</v>
      </c>
      <c r="AZ159" s="1442">
        <f t="shared" si="26"/>
        <v>5.3350068273712958</v>
      </c>
      <c r="BA159" s="1442">
        <f t="shared" si="26"/>
        <v>5.3350068273712958</v>
      </c>
      <c r="BB159" s="1442">
        <f t="shared" si="26"/>
        <v>5.3350068273712958</v>
      </c>
      <c r="BC159" s="1442">
        <f t="shared" si="26"/>
        <v>5.3350068273712958</v>
      </c>
      <c r="BD159" s="1442">
        <f t="shared" si="26"/>
        <v>5.3350068273712958</v>
      </c>
      <c r="BE159" s="1442">
        <f t="shared" si="26"/>
        <v>5.3350068273712958</v>
      </c>
      <c r="BF159" s="1442">
        <f t="shared" si="26"/>
        <v>5.3350068273712958</v>
      </c>
      <c r="BG159" s="1442">
        <f t="shared" si="26"/>
        <v>5.3350068273712958</v>
      </c>
      <c r="BH159" s="1442">
        <f t="shared" si="26"/>
        <v>5.3350068273712958</v>
      </c>
      <c r="BI159" s="1442">
        <f t="shared" si="26"/>
        <v>5.3350068273712958</v>
      </c>
      <c r="BJ159" s="1442">
        <f t="shared" si="28"/>
        <v>5.3350068273712958</v>
      </c>
      <c r="BK159" s="1442">
        <f t="shared" si="28"/>
        <v>5.3350068273712958</v>
      </c>
      <c r="BL159" s="1442">
        <f t="shared" si="28"/>
        <v>5.3350068273712958</v>
      </c>
      <c r="BM159" s="1442">
        <f t="shared" si="28"/>
        <v>5.3350068273712958</v>
      </c>
      <c r="BN159" s="1443">
        <f t="shared" si="28"/>
        <v>5.3350068273712958</v>
      </c>
    </row>
    <row r="160" spans="1:66" s="91" customFormat="1">
      <c r="A160" s="1434">
        <v>70</v>
      </c>
      <c r="B160" s="1435">
        <v>0</v>
      </c>
      <c r="C160" s="1436" t="s">
        <v>187</v>
      </c>
      <c r="D160" s="1435" t="s">
        <v>192</v>
      </c>
      <c r="E160" s="1437">
        <v>3.5287340984618316</v>
      </c>
      <c r="F160" s="1437">
        <v>4.0636889409303301</v>
      </c>
      <c r="G160" s="1437">
        <v>4.2470086019845033</v>
      </c>
      <c r="H160" s="1437">
        <v>4.2586583669053173</v>
      </c>
      <c r="I160" s="1437">
        <v>4.3195278163846016</v>
      </c>
      <c r="J160" s="1437">
        <v>4.3805613140129323</v>
      </c>
      <c r="K160" s="1437">
        <v>4.4636830824529721</v>
      </c>
      <c r="L160" s="1437">
        <v>4.5526090237716437</v>
      </c>
      <c r="M160" s="1437">
        <v>4.644449079303306</v>
      </c>
      <c r="N160" s="1437">
        <v>4.7379413395906553</v>
      </c>
      <c r="O160" s="1437">
        <v>4.8315521052228405</v>
      </c>
      <c r="P160" s="1437">
        <v>4.9310443489471005</v>
      </c>
      <c r="Q160" s="1437">
        <v>5.0326499521276853</v>
      </c>
      <c r="R160" s="1437">
        <v>5.1364159322545992</v>
      </c>
      <c r="S160" s="1437">
        <v>5.2423900403709016</v>
      </c>
      <c r="T160" s="1437">
        <v>5.3506209115022703</v>
      </c>
      <c r="U160" s="1437">
        <v>5.4611589837329353</v>
      </c>
      <c r="V160" s="1437">
        <v>5.5740551907436808</v>
      </c>
      <c r="W160" s="1437">
        <v>5.689203168766495</v>
      </c>
      <c r="X160" s="1437">
        <v>5.8019808843748715</v>
      </c>
      <c r="Y160" s="1437">
        <v>5.9203247329683677</v>
      </c>
      <c r="Z160" s="1437">
        <v>6.0415743535905895</v>
      </c>
      <c r="AA160" s="1437">
        <v>6.1600857984216573</v>
      </c>
      <c r="AB160" s="1437">
        <v>6.2872006611459152</v>
      </c>
      <c r="AC160" s="1437">
        <v>6.4239802887010242</v>
      </c>
      <c r="AD160" s="1437">
        <v>6.5509886412965539</v>
      </c>
      <c r="AE160" s="1437">
        <f t="shared" si="27"/>
        <v>6.5509886412965539</v>
      </c>
      <c r="AF160" s="1437">
        <f t="shared" si="27"/>
        <v>6.5509886412965539</v>
      </c>
      <c r="AG160" s="1437">
        <f t="shared" si="27"/>
        <v>6.5509886412965539</v>
      </c>
      <c r="AH160" s="1437">
        <f t="shared" si="27"/>
        <v>6.5509886412965539</v>
      </c>
      <c r="AI160" s="1437">
        <f t="shared" si="27"/>
        <v>6.5509886412965539</v>
      </c>
      <c r="AJ160" s="1437">
        <f t="shared" si="27"/>
        <v>6.5509886412965539</v>
      </c>
      <c r="AK160" s="1437">
        <f t="shared" si="27"/>
        <v>6.5509886412965539</v>
      </c>
      <c r="AL160" s="1437">
        <f t="shared" si="27"/>
        <v>6.5509886412965539</v>
      </c>
      <c r="AM160" s="1437">
        <f t="shared" si="27"/>
        <v>6.5509886412965539</v>
      </c>
      <c r="AN160" s="1437">
        <f t="shared" si="27"/>
        <v>6.5509886412965539</v>
      </c>
      <c r="AO160" s="1437">
        <f t="shared" si="27"/>
        <v>6.5509886412965539</v>
      </c>
      <c r="AP160" s="1437">
        <f t="shared" si="27"/>
        <v>6.5509886412965539</v>
      </c>
      <c r="AQ160" s="1437">
        <f t="shared" si="27"/>
        <v>6.5509886412965539</v>
      </c>
      <c r="AR160" s="1437">
        <f t="shared" si="27"/>
        <v>6.5509886412965539</v>
      </c>
      <c r="AS160" s="1437">
        <f t="shared" si="27"/>
        <v>6.5509886412965539</v>
      </c>
      <c r="AT160" s="1437">
        <f t="shared" si="27"/>
        <v>6.5509886412965539</v>
      </c>
      <c r="AU160" s="1437">
        <f t="shared" si="26"/>
        <v>6.5509886412965539</v>
      </c>
      <c r="AV160" s="1437">
        <f t="shared" si="26"/>
        <v>6.5509886412965539</v>
      </c>
      <c r="AW160" s="1437">
        <f t="shared" si="26"/>
        <v>6.5509886412965539</v>
      </c>
      <c r="AX160" s="1437">
        <f t="shared" si="26"/>
        <v>6.5509886412965539</v>
      </c>
      <c r="AY160" s="1437">
        <f t="shared" si="26"/>
        <v>6.5509886412965539</v>
      </c>
      <c r="AZ160" s="1437">
        <f t="shared" si="26"/>
        <v>6.5509886412965539</v>
      </c>
      <c r="BA160" s="1437">
        <f t="shared" si="26"/>
        <v>6.5509886412965539</v>
      </c>
      <c r="BB160" s="1437">
        <f t="shared" si="26"/>
        <v>6.5509886412965539</v>
      </c>
      <c r="BC160" s="1437">
        <f t="shared" si="26"/>
        <v>6.5509886412965539</v>
      </c>
      <c r="BD160" s="1437">
        <f t="shared" si="26"/>
        <v>6.5509886412965539</v>
      </c>
      <c r="BE160" s="1437">
        <f t="shared" si="26"/>
        <v>6.5509886412965539</v>
      </c>
      <c r="BF160" s="1437">
        <f t="shared" si="26"/>
        <v>6.5509886412965539</v>
      </c>
      <c r="BG160" s="1437">
        <f t="shared" si="26"/>
        <v>6.5509886412965539</v>
      </c>
      <c r="BH160" s="1437">
        <f t="shared" si="26"/>
        <v>6.5509886412965539</v>
      </c>
      <c r="BI160" s="1437">
        <f t="shared" si="26"/>
        <v>6.5509886412965539</v>
      </c>
      <c r="BJ160" s="1437">
        <f t="shared" si="28"/>
        <v>6.5509886412965539</v>
      </c>
      <c r="BK160" s="1437">
        <f t="shared" si="28"/>
        <v>6.5509886412965539</v>
      </c>
      <c r="BL160" s="1437">
        <f t="shared" si="28"/>
        <v>6.5509886412965539</v>
      </c>
      <c r="BM160" s="1437">
        <f t="shared" si="28"/>
        <v>6.5509886412965539</v>
      </c>
      <c r="BN160" s="1438">
        <f t="shared" si="28"/>
        <v>6.5509886412965539</v>
      </c>
    </row>
    <row r="161" spans="1:66" s="91" customFormat="1">
      <c r="A161" s="1439">
        <v>162</v>
      </c>
      <c r="B161" s="1440">
        <v>0</v>
      </c>
      <c r="C161" s="1441" t="s">
        <v>230</v>
      </c>
      <c r="D161" s="1440" t="s">
        <v>231</v>
      </c>
      <c r="E161" s="1442">
        <v>5.5803912046350099</v>
      </c>
      <c r="F161" s="1442">
        <v>6.2237837378478877</v>
      </c>
      <c r="G161" s="1442">
        <v>6.4369607191483595</v>
      </c>
      <c r="H161" s="1442">
        <v>6.4480304344986887</v>
      </c>
      <c r="I161" s="1442">
        <v>6.5165375251338418</v>
      </c>
      <c r="J161" s="1442">
        <v>6.5849936844757009</v>
      </c>
      <c r="K161" s="1442">
        <v>6.6788028739456884</v>
      </c>
      <c r="L161" s="1442">
        <v>6.7788799703257627</v>
      </c>
      <c r="M161" s="1442">
        <v>6.8818305336979204</v>
      </c>
      <c r="N161" s="1442">
        <v>6.9861819990579983</v>
      </c>
      <c r="O161" s="1442">
        <v>7.0901815502075873</v>
      </c>
      <c r="P161" s="1442">
        <v>7.2003566411132667</v>
      </c>
      <c r="Q161" s="1442">
        <v>7.31238959338177</v>
      </c>
      <c r="R161" s="1442">
        <v>7.4263160725593895</v>
      </c>
      <c r="S161" s="1442">
        <v>7.5421721214524169</v>
      </c>
      <c r="T161" s="1442">
        <v>7.6599943263811321</v>
      </c>
      <c r="U161" s="1442">
        <v>7.779820826262891</v>
      </c>
      <c r="V161" s="1442">
        <v>7.9016898499569024</v>
      </c>
      <c r="W161" s="1442">
        <v>8.025467506433051</v>
      </c>
      <c r="X161" s="1442">
        <v>8.1461181119547774</v>
      </c>
      <c r="Y161" s="1442">
        <v>8.2722786606495475</v>
      </c>
      <c r="Z161" s="1442">
        <v>8.4010207706709252</v>
      </c>
      <c r="AA161" s="1442">
        <v>8.5262780817767094</v>
      </c>
      <c r="AB161" s="1442">
        <v>8.6601994196385448</v>
      </c>
      <c r="AC161" s="1442">
        <v>8.8037974667329628</v>
      </c>
      <c r="AD161" s="1442">
        <v>8.9364427524880181</v>
      </c>
      <c r="AE161" s="1442">
        <f t="shared" si="27"/>
        <v>8.9364427524880181</v>
      </c>
      <c r="AF161" s="1442">
        <f t="shared" si="27"/>
        <v>8.9364427524880181</v>
      </c>
      <c r="AG161" s="1442">
        <f t="shared" si="27"/>
        <v>8.9364427524880181</v>
      </c>
      <c r="AH161" s="1442">
        <f t="shared" si="27"/>
        <v>8.9364427524880181</v>
      </c>
      <c r="AI161" s="1442">
        <f t="shared" si="27"/>
        <v>8.9364427524880181</v>
      </c>
      <c r="AJ161" s="1442">
        <f t="shared" si="27"/>
        <v>8.9364427524880181</v>
      </c>
      <c r="AK161" s="1442">
        <f t="shared" si="27"/>
        <v>8.9364427524880181</v>
      </c>
      <c r="AL161" s="1442">
        <f t="shared" si="27"/>
        <v>8.9364427524880181</v>
      </c>
      <c r="AM161" s="1442">
        <f t="shared" si="27"/>
        <v>8.9364427524880181</v>
      </c>
      <c r="AN161" s="1442">
        <f t="shared" si="27"/>
        <v>8.9364427524880181</v>
      </c>
      <c r="AO161" s="1442">
        <f t="shared" si="27"/>
        <v>8.9364427524880181</v>
      </c>
      <c r="AP161" s="1442">
        <f t="shared" si="27"/>
        <v>8.9364427524880181</v>
      </c>
      <c r="AQ161" s="1442">
        <f t="shared" si="27"/>
        <v>8.9364427524880181</v>
      </c>
      <c r="AR161" s="1442">
        <f t="shared" si="27"/>
        <v>8.9364427524880181</v>
      </c>
      <c r="AS161" s="1442">
        <f t="shared" si="27"/>
        <v>8.9364427524880181</v>
      </c>
      <c r="AT161" s="1442">
        <f t="shared" si="27"/>
        <v>8.9364427524880181</v>
      </c>
      <c r="AU161" s="1442">
        <f t="shared" si="26"/>
        <v>8.9364427524880181</v>
      </c>
      <c r="AV161" s="1442">
        <f t="shared" si="26"/>
        <v>8.9364427524880181</v>
      </c>
      <c r="AW161" s="1442">
        <f t="shared" si="26"/>
        <v>8.9364427524880181</v>
      </c>
      <c r="AX161" s="1442">
        <f t="shared" si="26"/>
        <v>8.9364427524880181</v>
      </c>
      <c r="AY161" s="1442">
        <f t="shared" si="26"/>
        <v>8.9364427524880181</v>
      </c>
      <c r="AZ161" s="1442">
        <f t="shared" si="26"/>
        <v>8.9364427524880181</v>
      </c>
      <c r="BA161" s="1442">
        <f t="shared" si="26"/>
        <v>8.9364427524880181</v>
      </c>
      <c r="BB161" s="1442">
        <f t="shared" si="26"/>
        <v>8.9364427524880181</v>
      </c>
      <c r="BC161" s="1442">
        <f t="shared" si="26"/>
        <v>8.9364427524880181</v>
      </c>
      <c r="BD161" s="1442">
        <f t="shared" si="26"/>
        <v>8.9364427524880181</v>
      </c>
      <c r="BE161" s="1442">
        <f t="shared" si="26"/>
        <v>8.9364427524880181</v>
      </c>
      <c r="BF161" s="1442">
        <f t="shared" si="26"/>
        <v>8.9364427524880181</v>
      </c>
      <c r="BG161" s="1442">
        <f t="shared" si="26"/>
        <v>8.9364427524880181</v>
      </c>
      <c r="BH161" s="1442">
        <f t="shared" si="26"/>
        <v>8.9364427524880181</v>
      </c>
      <c r="BI161" s="1442">
        <f t="shared" si="26"/>
        <v>8.9364427524880181</v>
      </c>
      <c r="BJ161" s="1442">
        <f t="shared" si="28"/>
        <v>8.9364427524880181</v>
      </c>
      <c r="BK161" s="1442">
        <f t="shared" si="28"/>
        <v>8.9364427524880181</v>
      </c>
      <c r="BL161" s="1442">
        <f t="shared" si="28"/>
        <v>8.9364427524880181</v>
      </c>
      <c r="BM161" s="1442">
        <f t="shared" si="28"/>
        <v>8.9364427524880181</v>
      </c>
      <c r="BN161" s="1443">
        <f t="shared" si="28"/>
        <v>8.9364427524880181</v>
      </c>
    </row>
    <row r="162" spans="1:66" s="91" customFormat="1">
      <c r="A162" s="1434">
        <v>164</v>
      </c>
      <c r="B162" s="1435">
        <v>0</v>
      </c>
      <c r="C162" s="1436" t="s">
        <v>234</v>
      </c>
      <c r="D162" s="1435" t="s">
        <v>235</v>
      </c>
      <c r="E162" s="1437">
        <v>3.3415990681062384</v>
      </c>
      <c r="F162" s="1437">
        <v>3.7091773237447447</v>
      </c>
      <c r="G162" s="1437">
        <v>3.8353156101151886</v>
      </c>
      <c r="H162" s="1437">
        <v>3.8481344708321483</v>
      </c>
      <c r="I162" s="1437">
        <v>3.8934105604137379</v>
      </c>
      <c r="J162" s="1437">
        <v>3.9388620360626274</v>
      </c>
      <c r="K162" s="1437">
        <v>3.9987629212884155</v>
      </c>
      <c r="L162" s="1437">
        <v>4.0624005336235047</v>
      </c>
      <c r="M162" s="1437">
        <v>4.1278749092016991</v>
      </c>
      <c r="N162" s="1437">
        <v>4.1943656824872919</v>
      </c>
      <c r="O162" s="1437">
        <v>4.260895288027398</v>
      </c>
      <c r="P162" s="1437">
        <v>4.3311369053972948</v>
      </c>
      <c r="Q162" s="1437">
        <v>4.402672857098719</v>
      </c>
      <c r="R162" s="1437">
        <v>4.475530700863283</v>
      </c>
      <c r="S162" s="1437">
        <v>4.5497384321023082</v>
      </c>
      <c r="T162" s="1437">
        <v>4.6253245840557158</v>
      </c>
      <c r="U162" s="1437">
        <v>4.702318801511427</v>
      </c>
      <c r="V162" s="1437">
        <v>4.7807510265047499</v>
      </c>
      <c r="W162" s="1437">
        <v>4.8605547856356495</v>
      </c>
      <c r="X162" s="1437">
        <v>4.9389108199916496</v>
      </c>
      <c r="Y162" s="1437">
        <v>5.0206792753822294</v>
      </c>
      <c r="Z162" s="1437">
        <v>5.1042249871371368</v>
      </c>
      <c r="AA162" s="1437">
        <v>5.1861506596038973</v>
      </c>
      <c r="AB162" s="1437">
        <v>5.273289685164869</v>
      </c>
      <c r="AC162" s="1437">
        <v>5.3662212461574086</v>
      </c>
      <c r="AD162" s="1437">
        <v>5.4533697191403174</v>
      </c>
      <c r="AE162" s="1437">
        <f t="shared" si="27"/>
        <v>5.4533697191403174</v>
      </c>
      <c r="AF162" s="1437">
        <f t="shared" si="27"/>
        <v>5.4533697191403174</v>
      </c>
      <c r="AG162" s="1437">
        <f t="shared" si="27"/>
        <v>5.4533697191403174</v>
      </c>
      <c r="AH162" s="1437">
        <f t="shared" si="27"/>
        <v>5.4533697191403174</v>
      </c>
      <c r="AI162" s="1437">
        <f t="shared" si="27"/>
        <v>5.4533697191403174</v>
      </c>
      <c r="AJ162" s="1437">
        <f t="shared" si="27"/>
        <v>5.4533697191403174</v>
      </c>
      <c r="AK162" s="1437">
        <f t="shared" si="27"/>
        <v>5.4533697191403174</v>
      </c>
      <c r="AL162" s="1437">
        <f t="shared" si="27"/>
        <v>5.4533697191403174</v>
      </c>
      <c r="AM162" s="1437">
        <f t="shared" si="27"/>
        <v>5.4533697191403174</v>
      </c>
      <c r="AN162" s="1437">
        <f t="shared" si="27"/>
        <v>5.4533697191403174</v>
      </c>
      <c r="AO162" s="1437">
        <f t="shared" si="27"/>
        <v>5.4533697191403174</v>
      </c>
      <c r="AP162" s="1437">
        <f t="shared" si="27"/>
        <v>5.4533697191403174</v>
      </c>
      <c r="AQ162" s="1437">
        <f t="shared" si="27"/>
        <v>5.4533697191403174</v>
      </c>
      <c r="AR162" s="1437">
        <f t="shared" si="27"/>
        <v>5.4533697191403174</v>
      </c>
      <c r="AS162" s="1437">
        <f t="shared" si="27"/>
        <v>5.4533697191403174</v>
      </c>
      <c r="AT162" s="1437">
        <f t="shared" si="27"/>
        <v>5.4533697191403174</v>
      </c>
      <c r="AU162" s="1437">
        <f t="shared" si="26"/>
        <v>5.4533697191403174</v>
      </c>
      <c r="AV162" s="1437">
        <f t="shared" si="26"/>
        <v>5.4533697191403174</v>
      </c>
      <c r="AW162" s="1437">
        <f t="shared" si="26"/>
        <v>5.4533697191403174</v>
      </c>
      <c r="AX162" s="1437">
        <f t="shared" si="26"/>
        <v>5.4533697191403174</v>
      </c>
      <c r="AY162" s="1437">
        <f t="shared" si="26"/>
        <v>5.4533697191403174</v>
      </c>
      <c r="AZ162" s="1437">
        <f t="shared" si="26"/>
        <v>5.4533697191403174</v>
      </c>
      <c r="BA162" s="1437">
        <f t="shared" si="26"/>
        <v>5.4533697191403174</v>
      </c>
      <c r="BB162" s="1437">
        <f t="shared" si="26"/>
        <v>5.4533697191403174</v>
      </c>
      <c r="BC162" s="1437">
        <f t="shared" si="26"/>
        <v>5.4533697191403174</v>
      </c>
      <c r="BD162" s="1437">
        <f t="shared" si="26"/>
        <v>5.4533697191403174</v>
      </c>
      <c r="BE162" s="1437">
        <f t="shared" si="26"/>
        <v>5.4533697191403174</v>
      </c>
      <c r="BF162" s="1437">
        <f t="shared" si="26"/>
        <v>5.4533697191403174</v>
      </c>
      <c r="BG162" s="1437">
        <f t="shared" si="26"/>
        <v>5.4533697191403174</v>
      </c>
      <c r="BH162" s="1437">
        <f t="shared" si="26"/>
        <v>5.4533697191403174</v>
      </c>
      <c r="BI162" s="1437">
        <f t="shared" si="26"/>
        <v>5.4533697191403174</v>
      </c>
      <c r="BJ162" s="1437">
        <f t="shared" si="28"/>
        <v>5.4533697191403174</v>
      </c>
      <c r="BK162" s="1437">
        <f t="shared" si="28"/>
        <v>5.4533697191403174</v>
      </c>
      <c r="BL162" s="1437">
        <f t="shared" si="28"/>
        <v>5.4533697191403174</v>
      </c>
      <c r="BM162" s="1437">
        <f t="shared" si="28"/>
        <v>5.4533697191403174</v>
      </c>
      <c r="BN162" s="1438">
        <f t="shared" si="28"/>
        <v>5.4533697191403174</v>
      </c>
    </row>
    <row r="163" spans="1:66" s="91" customFormat="1">
      <c r="A163" s="1439">
        <v>165</v>
      </c>
      <c r="B163" s="1440">
        <v>0</v>
      </c>
      <c r="C163" s="1441" t="s">
        <v>236</v>
      </c>
      <c r="D163" s="1440" t="s">
        <v>237</v>
      </c>
      <c r="E163" s="1442">
        <v>3.3384271982778375</v>
      </c>
      <c r="F163" s="1442">
        <v>3.9479382563320198</v>
      </c>
      <c r="G163" s="1442">
        <v>4.1592839241197517</v>
      </c>
      <c r="H163" s="1442">
        <v>4.1703493429505167</v>
      </c>
      <c r="I163" s="1442">
        <v>4.2390502595017363</v>
      </c>
      <c r="J163" s="1442">
        <v>4.3079892257352022</v>
      </c>
      <c r="K163" s="1442">
        <v>4.4030358006255339</v>
      </c>
      <c r="L163" s="1442">
        <v>4.5051379560881619</v>
      </c>
      <c r="M163" s="1442">
        <v>4.6109188022971788</v>
      </c>
      <c r="N163" s="1442">
        <v>4.7188954691286584</v>
      </c>
      <c r="O163" s="1442">
        <v>4.8272368742349254</v>
      </c>
      <c r="P163" s="1442">
        <v>4.9428608160120016</v>
      </c>
      <c r="Q163" s="1442">
        <v>5.0612807533965896</v>
      </c>
      <c r="R163" s="1442">
        <v>5.1825654540272712</v>
      </c>
      <c r="S163" s="1442">
        <v>5.3067849632674742</v>
      </c>
      <c r="T163" s="1442">
        <v>5.4340107904519783</v>
      </c>
      <c r="U163" s="1442">
        <v>5.5643170410279303</v>
      </c>
      <c r="V163" s="1442">
        <v>5.6977788339886519</v>
      </c>
      <c r="W163" s="1442">
        <v>5.8342773916517103</v>
      </c>
      <c r="X163" s="1442">
        <v>5.9680930868107609</v>
      </c>
      <c r="Y163" s="1442">
        <v>6.1090474485715456</v>
      </c>
      <c r="Z163" s="1442">
        <v>6.2538729425719541</v>
      </c>
      <c r="AA163" s="1442">
        <v>6.3955129448552803</v>
      </c>
      <c r="AB163" s="1442">
        <v>6.5481744067792134</v>
      </c>
      <c r="AC163" s="1442">
        <v>6.7132951059032635</v>
      </c>
      <c r="AD163" s="1442">
        <v>6.8663482510721296</v>
      </c>
      <c r="AE163" s="1442">
        <f t="shared" si="27"/>
        <v>6.8663482510721296</v>
      </c>
      <c r="AF163" s="1442">
        <f t="shared" si="27"/>
        <v>6.8663482510721296</v>
      </c>
      <c r="AG163" s="1442">
        <f t="shared" si="27"/>
        <v>6.8663482510721296</v>
      </c>
      <c r="AH163" s="1442">
        <f t="shared" si="27"/>
        <v>6.8663482510721296</v>
      </c>
      <c r="AI163" s="1442">
        <f t="shared" si="27"/>
        <v>6.8663482510721296</v>
      </c>
      <c r="AJ163" s="1442">
        <f t="shared" si="27"/>
        <v>6.8663482510721296</v>
      </c>
      <c r="AK163" s="1442">
        <f t="shared" si="27"/>
        <v>6.8663482510721296</v>
      </c>
      <c r="AL163" s="1442">
        <f t="shared" si="27"/>
        <v>6.8663482510721296</v>
      </c>
      <c r="AM163" s="1442">
        <f t="shared" si="27"/>
        <v>6.8663482510721296</v>
      </c>
      <c r="AN163" s="1442">
        <f t="shared" si="27"/>
        <v>6.8663482510721296</v>
      </c>
      <c r="AO163" s="1442">
        <f t="shared" si="27"/>
        <v>6.8663482510721296</v>
      </c>
      <c r="AP163" s="1442">
        <f t="shared" si="27"/>
        <v>6.8663482510721296</v>
      </c>
      <c r="AQ163" s="1442">
        <f t="shared" si="27"/>
        <v>6.8663482510721296</v>
      </c>
      <c r="AR163" s="1442">
        <f t="shared" si="27"/>
        <v>6.8663482510721296</v>
      </c>
      <c r="AS163" s="1442">
        <f t="shared" si="27"/>
        <v>6.8663482510721296</v>
      </c>
      <c r="AT163" s="1442">
        <f t="shared" si="27"/>
        <v>6.8663482510721296</v>
      </c>
      <c r="AU163" s="1442">
        <f t="shared" si="26"/>
        <v>6.8663482510721296</v>
      </c>
      <c r="AV163" s="1442">
        <f t="shared" si="26"/>
        <v>6.8663482510721296</v>
      </c>
      <c r="AW163" s="1442">
        <f t="shared" si="26"/>
        <v>6.8663482510721296</v>
      </c>
      <c r="AX163" s="1442">
        <f t="shared" si="26"/>
        <v>6.8663482510721296</v>
      </c>
      <c r="AY163" s="1442">
        <f t="shared" si="26"/>
        <v>6.8663482510721296</v>
      </c>
      <c r="AZ163" s="1442">
        <f t="shared" si="26"/>
        <v>6.8663482510721296</v>
      </c>
      <c r="BA163" s="1442">
        <f t="shared" si="26"/>
        <v>6.8663482510721296</v>
      </c>
      <c r="BB163" s="1442">
        <f t="shared" si="26"/>
        <v>6.8663482510721296</v>
      </c>
      <c r="BC163" s="1442">
        <f t="shared" si="26"/>
        <v>6.8663482510721296</v>
      </c>
      <c r="BD163" s="1442">
        <f t="shared" si="26"/>
        <v>6.8663482510721296</v>
      </c>
      <c r="BE163" s="1442">
        <f t="shared" si="26"/>
        <v>6.8663482510721296</v>
      </c>
      <c r="BF163" s="1442">
        <f t="shared" si="26"/>
        <v>6.8663482510721296</v>
      </c>
      <c r="BG163" s="1442">
        <f t="shared" si="26"/>
        <v>6.8663482510721296</v>
      </c>
      <c r="BH163" s="1442">
        <f t="shared" si="26"/>
        <v>6.8663482510721296</v>
      </c>
      <c r="BI163" s="1442">
        <f t="shared" si="26"/>
        <v>6.8663482510721296</v>
      </c>
      <c r="BJ163" s="1442">
        <f t="shared" si="28"/>
        <v>6.8663482510721296</v>
      </c>
      <c r="BK163" s="1442">
        <f t="shared" si="28"/>
        <v>6.8663482510721296</v>
      </c>
      <c r="BL163" s="1442">
        <f t="shared" si="28"/>
        <v>6.8663482510721296</v>
      </c>
      <c r="BM163" s="1442">
        <f t="shared" si="28"/>
        <v>6.8663482510721296</v>
      </c>
      <c r="BN163" s="1443">
        <f t="shared" si="28"/>
        <v>6.8663482510721296</v>
      </c>
    </row>
    <row r="164" spans="1:66" s="91" customFormat="1">
      <c r="A164" s="1434">
        <v>167</v>
      </c>
      <c r="B164" s="1435">
        <v>0</v>
      </c>
      <c r="C164" s="1436" t="s">
        <v>69</v>
      </c>
      <c r="D164" s="1435" t="s">
        <v>254</v>
      </c>
      <c r="E164" s="1437">
        <v>3.0738765120063229</v>
      </c>
      <c r="F164" s="1437">
        <v>3.5313097564395304</v>
      </c>
      <c r="G164" s="1437">
        <v>3.6895165399544525</v>
      </c>
      <c r="H164" s="1437">
        <v>3.70167395037637</v>
      </c>
      <c r="I164" s="1437">
        <v>3.7557913311994953</v>
      </c>
      <c r="J164" s="1437">
        <v>3.8101176130043335</v>
      </c>
      <c r="K164" s="1437">
        <v>3.8833153999871417</v>
      </c>
      <c r="L164" s="1437">
        <v>3.9615268278341418</v>
      </c>
      <c r="M164" s="1437">
        <v>4.0422942642778317</v>
      </c>
      <c r="N164" s="1437">
        <v>4.1245459218864795</v>
      </c>
      <c r="O164" s="1437">
        <v>4.2069787507597631</v>
      </c>
      <c r="P164" s="1437">
        <v>4.2945002417770901</v>
      </c>
      <c r="Q164" s="1437">
        <v>4.3839056897038535</v>
      </c>
      <c r="R164" s="1437">
        <v>4.4752376688132554</v>
      </c>
      <c r="S164" s="1437">
        <v>4.5685394544108089</v>
      </c>
      <c r="T164" s="1437">
        <v>4.6638551531708936</v>
      </c>
      <c r="U164" s="1437">
        <v>4.7612304877660137</v>
      </c>
      <c r="V164" s="1437">
        <v>4.8607116864774085</v>
      </c>
      <c r="W164" s="1437">
        <v>4.9622111821454853</v>
      </c>
      <c r="X164" s="1437">
        <v>5.0617980411445815</v>
      </c>
      <c r="Y164" s="1437">
        <v>5.1662303699331984</v>
      </c>
      <c r="Z164" s="1437">
        <v>5.2732470735635859</v>
      </c>
      <c r="AA164" s="1437">
        <v>5.3780477118394758</v>
      </c>
      <c r="AB164" s="1437">
        <v>5.4902889743368606</v>
      </c>
      <c r="AC164" s="1437">
        <v>5.6108777511376298</v>
      </c>
      <c r="AD164" s="1437">
        <v>5.7232749459067556</v>
      </c>
      <c r="AE164" s="1437">
        <f t="shared" si="27"/>
        <v>5.7232749459067556</v>
      </c>
      <c r="AF164" s="1437">
        <f t="shared" si="27"/>
        <v>5.7232749459067556</v>
      </c>
      <c r="AG164" s="1437">
        <f t="shared" si="27"/>
        <v>5.7232749459067556</v>
      </c>
      <c r="AH164" s="1437">
        <f t="shared" si="27"/>
        <v>5.7232749459067556</v>
      </c>
      <c r="AI164" s="1437">
        <f t="shared" si="27"/>
        <v>5.7232749459067556</v>
      </c>
      <c r="AJ164" s="1437">
        <f t="shared" si="27"/>
        <v>5.7232749459067556</v>
      </c>
      <c r="AK164" s="1437">
        <f t="shared" si="27"/>
        <v>5.7232749459067556</v>
      </c>
      <c r="AL164" s="1437">
        <f t="shared" si="27"/>
        <v>5.7232749459067556</v>
      </c>
      <c r="AM164" s="1437">
        <f t="shared" si="27"/>
        <v>5.7232749459067556</v>
      </c>
      <c r="AN164" s="1437">
        <f t="shared" si="27"/>
        <v>5.7232749459067556</v>
      </c>
      <c r="AO164" s="1437">
        <f t="shared" si="27"/>
        <v>5.7232749459067556</v>
      </c>
      <c r="AP164" s="1437">
        <f t="shared" si="27"/>
        <v>5.7232749459067556</v>
      </c>
      <c r="AQ164" s="1437">
        <f t="shared" si="27"/>
        <v>5.7232749459067556</v>
      </c>
      <c r="AR164" s="1437">
        <f t="shared" si="27"/>
        <v>5.7232749459067556</v>
      </c>
      <c r="AS164" s="1437">
        <f t="shared" si="27"/>
        <v>5.7232749459067556</v>
      </c>
      <c r="AT164" s="1437">
        <f t="shared" si="27"/>
        <v>5.7232749459067556</v>
      </c>
      <c r="AU164" s="1437">
        <f t="shared" si="26"/>
        <v>5.7232749459067556</v>
      </c>
      <c r="AV164" s="1437">
        <f t="shared" si="26"/>
        <v>5.7232749459067556</v>
      </c>
      <c r="AW164" s="1437">
        <f t="shared" si="26"/>
        <v>5.7232749459067556</v>
      </c>
      <c r="AX164" s="1437">
        <f t="shared" si="26"/>
        <v>5.7232749459067556</v>
      </c>
      <c r="AY164" s="1437">
        <f t="shared" si="26"/>
        <v>5.7232749459067556</v>
      </c>
      <c r="AZ164" s="1437">
        <f t="shared" si="26"/>
        <v>5.7232749459067556</v>
      </c>
      <c r="BA164" s="1437">
        <f t="shared" si="26"/>
        <v>5.7232749459067556</v>
      </c>
      <c r="BB164" s="1437">
        <f t="shared" si="26"/>
        <v>5.7232749459067556</v>
      </c>
      <c r="BC164" s="1437">
        <f t="shared" si="26"/>
        <v>5.7232749459067556</v>
      </c>
      <c r="BD164" s="1437">
        <f t="shared" si="26"/>
        <v>5.7232749459067556</v>
      </c>
      <c r="BE164" s="1437">
        <f t="shared" si="26"/>
        <v>5.7232749459067556</v>
      </c>
      <c r="BF164" s="1437">
        <f t="shared" si="26"/>
        <v>5.7232749459067556</v>
      </c>
      <c r="BG164" s="1437">
        <f t="shared" si="26"/>
        <v>5.7232749459067556</v>
      </c>
      <c r="BH164" s="1437">
        <f t="shared" si="26"/>
        <v>5.7232749459067556</v>
      </c>
      <c r="BI164" s="1437">
        <f t="shared" si="26"/>
        <v>5.7232749459067556</v>
      </c>
      <c r="BJ164" s="1437">
        <f t="shared" si="28"/>
        <v>5.7232749459067556</v>
      </c>
      <c r="BK164" s="1437">
        <f t="shared" si="28"/>
        <v>5.7232749459067556</v>
      </c>
      <c r="BL164" s="1437">
        <f t="shared" si="28"/>
        <v>5.7232749459067556</v>
      </c>
      <c r="BM164" s="1437">
        <f t="shared" si="28"/>
        <v>5.7232749459067556</v>
      </c>
      <c r="BN164" s="1438">
        <f t="shared" si="28"/>
        <v>5.7232749459067556</v>
      </c>
    </row>
    <row r="165" spans="1:66" s="91" customFormat="1" ht="15">
      <c r="A165" s="1439">
        <v>168</v>
      </c>
      <c r="B165" s="1440">
        <v>0</v>
      </c>
      <c r="C165" s="1441" t="s">
        <v>238</v>
      </c>
      <c r="D165" s="1440" t="s">
        <v>239</v>
      </c>
      <c r="E165" s="1444">
        <v>2.9002182366466513</v>
      </c>
      <c r="F165" s="1444">
        <v>3.4186820992871603</v>
      </c>
      <c r="G165" s="1444">
        <v>3.599940865152246</v>
      </c>
      <c r="H165" s="1444">
        <v>3.6116172014534307</v>
      </c>
      <c r="I165" s="1444">
        <v>3.6721833966685402</v>
      </c>
      <c r="J165" s="1444">
        <v>3.7330224049967846</v>
      </c>
      <c r="K165" s="1444">
        <v>3.8160494465849855</v>
      </c>
      <c r="L165" s="1444">
        <v>3.905128497614466</v>
      </c>
      <c r="M165" s="1444">
        <v>3.9974013927946488</v>
      </c>
      <c r="N165" s="1444">
        <v>4.0916143843191097</v>
      </c>
      <c r="O165" s="1444">
        <v>4.1862188375074041</v>
      </c>
      <c r="P165" s="1444">
        <v>4.287077022242312</v>
      </c>
      <c r="Q165" s="1444">
        <v>4.3903911156483444</v>
      </c>
      <c r="R165" s="1444">
        <v>4.496221994010809</v>
      </c>
      <c r="S165" s="1444">
        <v>4.6046316947032073</v>
      </c>
      <c r="T165" s="1444">
        <v>4.7156835763126468</v>
      </c>
      <c r="U165" s="1444">
        <v>4.8294432800661635</v>
      </c>
      <c r="V165" s="1444">
        <v>4.9459773918084577</v>
      </c>
      <c r="W165" s="1444">
        <v>5.0651883438081944</v>
      </c>
      <c r="X165" s="1444">
        <v>5.1822344005098548</v>
      </c>
      <c r="Y165" s="1444">
        <v>5.3054382221430334</v>
      </c>
      <c r="Z165" s="1444">
        <v>5.4320353354232225</v>
      </c>
      <c r="AA165" s="1444">
        <v>5.5560517782245862</v>
      </c>
      <c r="AB165" s="1444">
        <v>5.6895252287974136</v>
      </c>
      <c r="AC165" s="1444">
        <v>5.8336772068083453</v>
      </c>
      <c r="AD165" s="1444">
        <v>5.9677357769312369</v>
      </c>
      <c r="AE165" s="1442">
        <f t="shared" si="27"/>
        <v>5.9677357769312369</v>
      </c>
      <c r="AF165" s="1442">
        <f t="shared" si="27"/>
        <v>5.9677357769312369</v>
      </c>
      <c r="AG165" s="1442">
        <f t="shared" si="27"/>
        <v>5.9677357769312369</v>
      </c>
      <c r="AH165" s="1442">
        <f t="shared" si="27"/>
        <v>5.9677357769312369</v>
      </c>
      <c r="AI165" s="1442">
        <f t="shared" si="27"/>
        <v>5.9677357769312369</v>
      </c>
      <c r="AJ165" s="1442">
        <f t="shared" si="27"/>
        <v>5.9677357769312369</v>
      </c>
      <c r="AK165" s="1442">
        <f t="shared" si="27"/>
        <v>5.9677357769312369</v>
      </c>
      <c r="AL165" s="1442">
        <f t="shared" si="27"/>
        <v>5.9677357769312369</v>
      </c>
      <c r="AM165" s="1442">
        <f t="shared" si="27"/>
        <v>5.9677357769312369</v>
      </c>
      <c r="AN165" s="1442">
        <f t="shared" si="27"/>
        <v>5.9677357769312369</v>
      </c>
      <c r="AO165" s="1442">
        <f t="shared" si="27"/>
        <v>5.9677357769312369</v>
      </c>
      <c r="AP165" s="1442">
        <f t="shared" si="27"/>
        <v>5.9677357769312369</v>
      </c>
      <c r="AQ165" s="1442">
        <f t="shared" si="27"/>
        <v>5.9677357769312369</v>
      </c>
      <c r="AR165" s="1442">
        <f t="shared" si="27"/>
        <v>5.9677357769312369</v>
      </c>
      <c r="AS165" s="1442">
        <f t="shared" si="27"/>
        <v>5.9677357769312369</v>
      </c>
      <c r="AT165" s="1442">
        <f t="shared" si="27"/>
        <v>5.9677357769312369</v>
      </c>
      <c r="AU165" s="1442">
        <f t="shared" si="26"/>
        <v>5.9677357769312369</v>
      </c>
      <c r="AV165" s="1442">
        <f t="shared" si="26"/>
        <v>5.9677357769312369</v>
      </c>
      <c r="AW165" s="1442">
        <f t="shared" si="26"/>
        <v>5.9677357769312369</v>
      </c>
      <c r="AX165" s="1442">
        <f t="shared" si="26"/>
        <v>5.9677357769312369</v>
      </c>
      <c r="AY165" s="1442">
        <f t="shared" si="26"/>
        <v>5.9677357769312369</v>
      </c>
      <c r="AZ165" s="1442">
        <f t="shared" si="26"/>
        <v>5.9677357769312369</v>
      </c>
      <c r="BA165" s="1442">
        <f t="shared" si="26"/>
        <v>5.9677357769312369</v>
      </c>
      <c r="BB165" s="1442">
        <f t="shared" si="26"/>
        <v>5.9677357769312369</v>
      </c>
      <c r="BC165" s="1442">
        <f t="shared" si="26"/>
        <v>5.9677357769312369</v>
      </c>
      <c r="BD165" s="1442">
        <f t="shared" si="26"/>
        <v>5.9677357769312369</v>
      </c>
      <c r="BE165" s="1442">
        <f t="shared" si="26"/>
        <v>5.9677357769312369</v>
      </c>
      <c r="BF165" s="1442">
        <f t="shared" si="26"/>
        <v>5.9677357769312369</v>
      </c>
      <c r="BG165" s="1442">
        <f t="shared" si="26"/>
        <v>5.9677357769312369</v>
      </c>
      <c r="BH165" s="1442">
        <f t="shared" si="26"/>
        <v>5.9677357769312369</v>
      </c>
      <c r="BI165" s="1442">
        <f t="shared" si="26"/>
        <v>5.9677357769312369</v>
      </c>
      <c r="BJ165" s="1442">
        <f t="shared" si="28"/>
        <v>5.9677357769312369</v>
      </c>
      <c r="BK165" s="1442">
        <f t="shared" si="28"/>
        <v>5.9677357769312369</v>
      </c>
      <c r="BL165" s="1442">
        <f t="shared" si="28"/>
        <v>5.9677357769312369</v>
      </c>
      <c r="BM165" s="1442">
        <f t="shared" si="28"/>
        <v>5.9677357769312369</v>
      </c>
      <c r="BN165" s="1443">
        <f t="shared" si="28"/>
        <v>5.9677357769312369</v>
      </c>
    </row>
    <row r="166" spans="1:66" s="91" customFormat="1">
      <c r="A166" s="1434">
        <v>71</v>
      </c>
      <c r="B166" s="1435">
        <v>0</v>
      </c>
      <c r="C166" s="1436" t="s">
        <v>54</v>
      </c>
      <c r="D166" s="1435" t="s">
        <v>66</v>
      </c>
      <c r="E166" s="1437">
        <v>2.9110813252673555</v>
      </c>
      <c r="F166" s="1437">
        <v>3.4315145249155163</v>
      </c>
      <c r="G166" s="1437">
        <v>3.613413733983065</v>
      </c>
      <c r="H166" s="1437">
        <v>3.6250771132185586</v>
      </c>
      <c r="I166" s="1437">
        <v>3.6858156824932542</v>
      </c>
      <c r="J166" s="1437">
        <v>3.7468259944341362</v>
      </c>
      <c r="K166" s="1437">
        <v>3.8301066297258712</v>
      </c>
      <c r="L166" s="1437">
        <v>3.9194596492120168</v>
      </c>
      <c r="M166" s="1437">
        <v>4.0120158533577168</v>
      </c>
      <c r="N166" s="1437">
        <v>4.1065166370219242</v>
      </c>
      <c r="O166" s="1437">
        <v>4.201407456967905</v>
      </c>
      <c r="P166" s="1437">
        <v>4.3025725111634818</v>
      </c>
      <c r="Q166" s="1437">
        <v>4.4061995519553747</v>
      </c>
      <c r="R166" s="1437">
        <v>4.5123495740354063</v>
      </c>
      <c r="S166" s="1437">
        <v>4.6210847340324257</v>
      </c>
      <c r="T166" s="1437">
        <v>4.7324685111466627</v>
      </c>
      <c r="U166" s="1437">
        <v>4.8465666720279303</v>
      </c>
      <c r="V166" s="1437">
        <v>4.9634459276850968</v>
      </c>
      <c r="W166" s="1437">
        <v>5.0830082303605728</v>
      </c>
      <c r="X166" s="1437">
        <v>5.2003940419532579</v>
      </c>
      <c r="Y166" s="1437">
        <v>5.3239563702783226</v>
      </c>
      <c r="Z166" s="1437">
        <v>5.4509204672012288</v>
      </c>
      <c r="AA166" s="1437">
        <v>5.5752906106574445</v>
      </c>
      <c r="AB166" s="1437">
        <v>5.7091479502331302</v>
      </c>
      <c r="AC166" s="1437">
        <v>5.85371803347347</v>
      </c>
      <c r="AD166" s="1437">
        <v>5.988154102900654</v>
      </c>
      <c r="AE166" s="1437">
        <f t="shared" si="27"/>
        <v>5.988154102900654</v>
      </c>
      <c r="AF166" s="1437">
        <f t="shared" si="27"/>
        <v>5.988154102900654</v>
      </c>
      <c r="AG166" s="1437">
        <f t="shared" si="27"/>
        <v>5.988154102900654</v>
      </c>
      <c r="AH166" s="1437">
        <f t="shared" si="27"/>
        <v>5.988154102900654</v>
      </c>
      <c r="AI166" s="1437">
        <f t="shared" si="27"/>
        <v>5.988154102900654</v>
      </c>
      <c r="AJ166" s="1437">
        <f t="shared" si="27"/>
        <v>5.988154102900654</v>
      </c>
      <c r="AK166" s="1437">
        <f t="shared" si="27"/>
        <v>5.988154102900654</v>
      </c>
      <c r="AL166" s="1437">
        <f t="shared" si="27"/>
        <v>5.988154102900654</v>
      </c>
      <c r="AM166" s="1437">
        <f t="shared" si="27"/>
        <v>5.988154102900654</v>
      </c>
      <c r="AN166" s="1437">
        <f t="shared" si="27"/>
        <v>5.988154102900654</v>
      </c>
      <c r="AO166" s="1437">
        <f t="shared" si="27"/>
        <v>5.988154102900654</v>
      </c>
      <c r="AP166" s="1437">
        <f t="shared" si="27"/>
        <v>5.988154102900654</v>
      </c>
      <c r="AQ166" s="1437">
        <f t="shared" si="27"/>
        <v>5.988154102900654</v>
      </c>
      <c r="AR166" s="1437">
        <f t="shared" si="27"/>
        <v>5.988154102900654</v>
      </c>
      <c r="AS166" s="1437">
        <f t="shared" si="27"/>
        <v>5.988154102900654</v>
      </c>
      <c r="AT166" s="1437">
        <f t="shared" ref="AT166:BI181" si="29">AS166</f>
        <v>5.988154102900654</v>
      </c>
      <c r="AU166" s="1437">
        <f t="shared" si="29"/>
        <v>5.988154102900654</v>
      </c>
      <c r="AV166" s="1437">
        <f t="shared" si="29"/>
        <v>5.988154102900654</v>
      </c>
      <c r="AW166" s="1437">
        <f t="shared" si="29"/>
        <v>5.988154102900654</v>
      </c>
      <c r="AX166" s="1437">
        <f t="shared" si="29"/>
        <v>5.988154102900654</v>
      </c>
      <c r="AY166" s="1437">
        <f t="shared" si="29"/>
        <v>5.988154102900654</v>
      </c>
      <c r="AZ166" s="1437">
        <f t="shared" si="29"/>
        <v>5.988154102900654</v>
      </c>
      <c r="BA166" s="1437">
        <f t="shared" si="29"/>
        <v>5.988154102900654</v>
      </c>
      <c r="BB166" s="1437">
        <f t="shared" si="29"/>
        <v>5.988154102900654</v>
      </c>
      <c r="BC166" s="1437">
        <f t="shared" si="29"/>
        <v>5.988154102900654</v>
      </c>
      <c r="BD166" s="1437">
        <f t="shared" si="29"/>
        <v>5.988154102900654</v>
      </c>
      <c r="BE166" s="1437">
        <f t="shared" si="29"/>
        <v>5.988154102900654</v>
      </c>
      <c r="BF166" s="1437">
        <f t="shared" si="29"/>
        <v>5.988154102900654</v>
      </c>
      <c r="BG166" s="1437">
        <f t="shared" si="29"/>
        <v>5.988154102900654</v>
      </c>
      <c r="BH166" s="1437">
        <f t="shared" si="29"/>
        <v>5.988154102900654</v>
      </c>
      <c r="BI166" s="1437">
        <f t="shared" si="29"/>
        <v>5.988154102900654</v>
      </c>
      <c r="BJ166" s="1437">
        <f t="shared" si="28"/>
        <v>5.988154102900654</v>
      </c>
      <c r="BK166" s="1437">
        <f t="shared" si="28"/>
        <v>5.988154102900654</v>
      </c>
      <c r="BL166" s="1437">
        <f t="shared" si="28"/>
        <v>5.988154102900654</v>
      </c>
      <c r="BM166" s="1437">
        <f t="shared" si="28"/>
        <v>5.988154102900654</v>
      </c>
      <c r="BN166" s="1438">
        <f t="shared" si="28"/>
        <v>5.988154102900654</v>
      </c>
    </row>
    <row r="167" spans="1:66" s="91" customFormat="1" ht="15">
      <c r="A167" s="1439">
        <v>169</v>
      </c>
      <c r="B167" s="1440">
        <v>0</v>
      </c>
      <c r="C167" s="1441" t="s">
        <v>54</v>
      </c>
      <c r="D167" s="1440" t="s">
        <v>423</v>
      </c>
      <c r="E167" s="1444">
        <v>2.5688850493915791</v>
      </c>
      <c r="F167" s="1444">
        <v>3.0185074229517306</v>
      </c>
      <c r="G167" s="1444">
        <v>3.1770172494259978</v>
      </c>
      <c r="H167" s="1444">
        <v>3.189155505154551</v>
      </c>
      <c r="I167" s="1444">
        <v>3.2435709746115835</v>
      </c>
      <c r="J167" s="1444">
        <v>3.298285542080885</v>
      </c>
      <c r="K167" s="1444">
        <v>3.3722245215183495</v>
      </c>
      <c r="L167" s="1444">
        <v>3.4514567024981435</v>
      </c>
      <c r="M167" s="1444">
        <v>3.53351613136534</v>
      </c>
      <c r="N167" s="1444">
        <v>3.6173223014709892</v>
      </c>
      <c r="O167" s="1444">
        <v>3.7015401390017462</v>
      </c>
      <c r="P167" s="1444">
        <v>3.7912338205626348</v>
      </c>
      <c r="Q167" s="1444">
        <v>3.8831262684300594</v>
      </c>
      <c r="R167" s="1444">
        <v>3.9772723921760464</v>
      </c>
      <c r="S167" s="1444">
        <v>4.073728174270939</v>
      </c>
      <c r="T167" s="1444">
        <v>4.1725508104584499</v>
      </c>
      <c r="U167" s="1444">
        <v>4.2737995421032835</v>
      </c>
      <c r="V167" s="1444">
        <v>4.3775345030704278</v>
      </c>
      <c r="W167" s="1444">
        <v>4.4836741626367198</v>
      </c>
      <c r="X167" s="1444">
        <v>4.5880405659179688</v>
      </c>
      <c r="Y167" s="1444">
        <v>4.6978230667865377</v>
      </c>
      <c r="Z167" s="1444">
        <v>4.8106375603319593</v>
      </c>
      <c r="AA167" s="1444">
        <v>4.9213286934176068</v>
      </c>
      <c r="AB167" s="1444">
        <v>5.0402939401089295</v>
      </c>
      <c r="AC167" s="1444">
        <v>5.168591305806113</v>
      </c>
      <c r="AD167" s="1444">
        <v>5.2882879307348407</v>
      </c>
      <c r="AE167" s="1442">
        <f t="shared" ref="AE167:AT182" si="30">AD167</f>
        <v>5.2882879307348407</v>
      </c>
      <c r="AF167" s="1442">
        <f t="shared" si="30"/>
        <v>5.2882879307348407</v>
      </c>
      <c r="AG167" s="1442">
        <f t="shared" si="30"/>
        <v>5.2882879307348407</v>
      </c>
      <c r="AH167" s="1442">
        <f t="shared" si="30"/>
        <v>5.2882879307348407</v>
      </c>
      <c r="AI167" s="1442">
        <f t="shared" si="30"/>
        <v>5.2882879307348407</v>
      </c>
      <c r="AJ167" s="1442">
        <f t="shared" si="30"/>
        <v>5.2882879307348407</v>
      </c>
      <c r="AK167" s="1442">
        <f t="shared" si="30"/>
        <v>5.2882879307348407</v>
      </c>
      <c r="AL167" s="1442">
        <f t="shared" si="30"/>
        <v>5.2882879307348407</v>
      </c>
      <c r="AM167" s="1442">
        <f t="shared" si="30"/>
        <v>5.2882879307348407</v>
      </c>
      <c r="AN167" s="1442">
        <f t="shared" si="30"/>
        <v>5.2882879307348407</v>
      </c>
      <c r="AO167" s="1442">
        <f t="shared" si="30"/>
        <v>5.2882879307348407</v>
      </c>
      <c r="AP167" s="1442">
        <f t="shared" si="30"/>
        <v>5.2882879307348407</v>
      </c>
      <c r="AQ167" s="1442">
        <f t="shared" si="30"/>
        <v>5.2882879307348407</v>
      </c>
      <c r="AR167" s="1442">
        <f t="shared" si="30"/>
        <v>5.2882879307348407</v>
      </c>
      <c r="AS167" s="1442">
        <f t="shared" si="30"/>
        <v>5.2882879307348407</v>
      </c>
      <c r="AT167" s="1442">
        <f t="shared" si="30"/>
        <v>5.2882879307348407</v>
      </c>
      <c r="AU167" s="1442">
        <f t="shared" si="29"/>
        <v>5.2882879307348407</v>
      </c>
      <c r="AV167" s="1442">
        <f t="shared" si="29"/>
        <v>5.2882879307348407</v>
      </c>
      <c r="AW167" s="1442">
        <f t="shared" si="29"/>
        <v>5.2882879307348407</v>
      </c>
      <c r="AX167" s="1442">
        <f t="shared" si="29"/>
        <v>5.2882879307348407</v>
      </c>
      <c r="AY167" s="1442">
        <f t="shared" si="29"/>
        <v>5.2882879307348407</v>
      </c>
      <c r="AZ167" s="1442">
        <f t="shared" si="29"/>
        <v>5.2882879307348407</v>
      </c>
      <c r="BA167" s="1442">
        <f t="shared" si="29"/>
        <v>5.2882879307348407</v>
      </c>
      <c r="BB167" s="1442">
        <f t="shared" si="29"/>
        <v>5.2882879307348407</v>
      </c>
      <c r="BC167" s="1442">
        <f t="shared" si="29"/>
        <v>5.2882879307348407</v>
      </c>
      <c r="BD167" s="1442">
        <f t="shared" si="29"/>
        <v>5.2882879307348407</v>
      </c>
      <c r="BE167" s="1442">
        <f t="shared" si="29"/>
        <v>5.2882879307348407</v>
      </c>
      <c r="BF167" s="1442">
        <f t="shared" si="29"/>
        <v>5.2882879307348407</v>
      </c>
      <c r="BG167" s="1442">
        <f t="shared" si="29"/>
        <v>5.2882879307348407</v>
      </c>
      <c r="BH167" s="1442">
        <f t="shared" si="29"/>
        <v>5.2882879307348407</v>
      </c>
      <c r="BI167" s="1442">
        <f t="shared" si="29"/>
        <v>5.2882879307348407</v>
      </c>
      <c r="BJ167" s="1442">
        <f t="shared" ref="BJ167:BN182" si="31">BI167</f>
        <v>5.2882879307348407</v>
      </c>
      <c r="BK167" s="1442">
        <f t="shared" si="31"/>
        <v>5.2882879307348407</v>
      </c>
      <c r="BL167" s="1442">
        <f t="shared" si="31"/>
        <v>5.2882879307348407</v>
      </c>
      <c r="BM167" s="1442">
        <f t="shared" si="31"/>
        <v>5.2882879307348407</v>
      </c>
      <c r="BN167" s="1443">
        <f t="shared" si="31"/>
        <v>5.2882879307348407</v>
      </c>
    </row>
    <row r="168" spans="1:66" s="91" customFormat="1">
      <c r="A168" s="1434">
        <v>72</v>
      </c>
      <c r="B168" s="1435">
        <v>0</v>
      </c>
      <c r="C168" s="1436" t="s">
        <v>69</v>
      </c>
      <c r="D168" s="1435" t="s">
        <v>107</v>
      </c>
      <c r="E168" s="1437">
        <v>3.0189190616072965</v>
      </c>
      <c r="F168" s="1437">
        <v>3.4669858812391126</v>
      </c>
      <c r="G168" s="1437">
        <v>3.6221584409379717</v>
      </c>
      <c r="H168" s="1437">
        <v>3.6343771868268093</v>
      </c>
      <c r="I168" s="1437">
        <v>3.6876787596051495</v>
      </c>
      <c r="J168" s="1437">
        <v>3.7411946526379602</v>
      </c>
      <c r="K168" s="1437">
        <v>3.8131933902151145</v>
      </c>
      <c r="L168" s="1437">
        <v>3.8901102538727876</v>
      </c>
      <c r="M168" s="1437">
        <v>3.9695398585809305</v>
      </c>
      <c r="N168" s="1437">
        <v>4.0504333881016548</v>
      </c>
      <c r="O168" s="1437">
        <v>4.1315156603979286</v>
      </c>
      <c r="P168" s="1437">
        <v>4.2175908041018975</v>
      </c>
      <c r="Q168" s="1437">
        <v>4.3055221875144314</v>
      </c>
      <c r="R168" s="1437">
        <v>4.3953518480640703</v>
      </c>
      <c r="S168" s="1437">
        <v>4.487122520282397</v>
      </c>
      <c r="T168" s="1437">
        <v>4.5808777637128895</v>
      </c>
      <c r="U168" s="1437">
        <v>4.6766627312958686</v>
      </c>
      <c r="V168" s="1437">
        <v>4.774523082790096</v>
      </c>
      <c r="W168" s="1437">
        <v>4.8743735221065405</v>
      </c>
      <c r="X168" s="1437">
        <v>4.972366616662848</v>
      </c>
      <c r="Y168" s="1437">
        <v>5.0751181080148307</v>
      </c>
      <c r="Z168" s="1437">
        <v>5.1804151419004363</v>
      </c>
      <c r="AA168" s="1437">
        <v>5.2835591936014845</v>
      </c>
      <c r="AB168" s="1437">
        <v>5.3940033768128162</v>
      </c>
      <c r="AC168" s="1437">
        <v>5.5126359196103598</v>
      </c>
      <c r="AD168" s="1437">
        <v>5.6232677442824963</v>
      </c>
      <c r="AE168" s="1437">
        <f t="shared" si="30"/>
        <v>5.6232677442824963</v>
      </c>
      <c r="AF168" s="1437">
        <f t="shared" si="30"/>
        <v>5.6232677442824963</v>
      </c>
      <c r="AG168" s="1437">
        <f t="shared" si="30"/>
        <v>5.6232677442824963</v>
      </c>
      <c r="AH168" s="1437">
        <f t="shared" si="30"/>
        <v>5.6232677442824963</v>
      </c>
      <c r="AI168" s="1437">
        <f t="shared" si="30"/>
        <v>5.6232677442824963</v>
      </c>
      <c r="AJ168" s="1437">
        <f t="shared" si="30"/>
        <v>5.6232677442824963</v>
      </c>
      <c r="AK168" s="1437">
        <f t="shared" si="30"/>
        <v>5.6232677442824963</v>
      </c>
      <c r="AL168" s="1437">
        <f t="shared" si="30"/>
        <v>5.6232677442824963</v>
      </c>
      <c r="AM168" s="1437">
        <f t="shared" si="30"/>
        <v>5.6232677442824963</v>
      </c>
      <c r="AN168" s="1437">
        <f t="shared" si="30"/>
        <v>5.6232677442824963</v>
      </c>
      <c r="AO168" s="1437">
        <f t="shared" si="30"/>
        <v>5.6232677442824963</v>
      </c>
      <c r="AP168" s="1437">
        <f t="shared" si="30"/>
        <v>5.6232677442824963</v>
      </c>
      <c r="AQ168" s="1437">
        <f t="shared" si="30"/>
        <v>5.6232677442824963</v>
      </c>
      <c r="AR168" s="1437">
        <f t="shared" si="30"/>
        <v>5.6232677442824963</v>
      </c>
      <c r="AS168" s="1437">
        <f t="shared" si="30"/>
        <v>5.6232677442824963</v>
      </c>
      <c r="AT168" s="1437">
        <f t="shared" si="30"/>
        <v>5.6232677442824963</v>
      </c>
      <c r="AU168" s="1437">
        <f t="shared" si="29"/>
        <v>5.6232677442824963</v>
      </c>
      <c r="AV168" s="1437">
        <f t="shared" si="29"/>
        <v>5.6232677442824963</v>
      </c>
      <c r="AW168" s="1437">
        <f t="shared" si="29"/>
        <v>5.6232677442824963</v>
      </c>
      <c r="AX168" s="1437">
        <f t="shared" si="29"/>
        <v>5.6232677442824963</v>
      </c>
      <c r="AY168" s="1437">
        <f t="shared" si="29"/>
        <v>5.6232677442824963</v>
      </c>
      <c r="AZ168" s="1437">
        <f t="shared" si="29"/>
        <v>5.6232677442824963</v>
      </c>
      <c r="BA168" s="1437">
        <f t="shared" si="29"/>
        <v>5.6232677442824963</v>
      </c>
      <c r="BB168" s="1437">
        <f t="shared" si="29"/>
        <v>5.6232677442824963</v>
      </c>
      <c r="BC168" s="1437">
        <f t="shared" si="29"/>
        <v>5.6232677442824963</v>
      </c>
      <c r="BD168" s="1437">
        <f t="shared" si="29"/>
        <v>5.6232677442824963</v>
      </c>
      <c r="BE168" s="1437">
        <f t="shared" si="29"/>
        <v>5.6232677442824963</v>
      </c>
      <c r="BF168" s="1437">
        <f t="shared" si="29"/>
        <v>5.6232677442824963</v>
      </c>
      <c r="BG168" s="1437">
        <f t="shared" si="29"/>
        <v>5.6232677442824963</v>
      </c>
      <c r="BH168" s="1437">
        <f t="shared" si="29"/>
        <v>5.6232677442824963</v>
      </c>
      <c r="BI168" s="1437">
        <f t="shared" si="29"/>
        <v>5.6232677442824963</v>
      </c>
      <c r="BJ168" s="1437">
        <f t="shared" si="31"/>
        <v>5.6232677442824963</v>
      </c>
      <c r="BK168" s="1437">
        <f t="shared" si="31"/>
        <v>5.6232677442824963</v>
      </c>
      <c r="BL168" s="1437">
        <f t="shared" si="31"/>
        <v>5.6232677442824963</v>
      </c>
      <c r="BM168" s="1437">
        <f t="shared" si="31"/>
        <v>5.6232677442824963</v>
      </c>
      <c r="BN168" s="1438">
        <f t="shared" si="31"/>
        <v>5.6232677442824963</v>
      </c>
    </row>
    <row r="169" spans="1:66" s="91" customFormat="1">
      <c r="A169" s="1439">
        <v>73</v>
      </c>
      <c r="B169" s="1440">
        <v>0</v>
      </c>
      <c r="C169" s="1441" t="s">
        <v>54</v>
      </c>
      <c r="D169" s="1440" t="s">
        <v>13</v>
      </c>
      <c r="E169" s="1442">
        <v>2.664417930628431</v>
      </c>
      <c r="F169" s="1442">
        <v>3.1336306934426621</v>
      </c>
      <c r="G169" s="1442">
        <v>3.2986049541409281</v>
      </c>
      <c r="H169" s="1442">
        <v>3.3106119913243246</v>
      </c>
      <c r="I169" s="1442">
        <v>3.3667745710682668</v>
      </c>
      <c r="J169" s="1442">
        <v>3.4232284825751949</v>
      </c>
      <c r="K169" s="1442">
        <v>3.499747933115791</v>
      </c>
      <c r="L169" s="1442">
        <v>3.5817753234661618</v>
      </c>
      <c r="M169" s="1442">
        <v>3.6667332542573576</v>
      </c>
      <c r="N169" s="1442">
        <v>3.7534920077602485</v>
      </c>
      <c r="O169" s="1442">
        <v>3.8406559170612509</v>
      </c>
      <c r="P169" s="1442">
        <v>3.9335154626134567</v>
      </c>
      <c r="Q169" s="1442">
        <v>4.0286458013107493</v>
      </c>
      <c r="R169" s="1442">
        <v>4.1261034936947922</v>
      </c>
      <c r="S169" s="1442">
        <v>4.2259461967973415</v>
      </c>
      <c r="T169" s="1442">
        <v>4.3282328100853329</v>
      </c>
      <c r="U169" s="1442">
        <v>4.4330243443244299</v>
      </c>
      <c r="V169" s="1442">
        <v>4.5403827160392431</v>
      </c>
      <c r="W169" s="1442">
        <v>4.6502218117090042</v>
      </c>
      <c r="X169" s="1442">
        <v>4.7581758488842292</v>
      </c>
      <c r="Y169" s="1442">
        <v>4.8717548261662165</v>
      </c>
      <c r="Z169" s="1442">
        <v>4.9884669412368225</v>
      </c>
      <c r="AA169" s="1442">
        <v>5.1029253775480594</v>
      </c>
      <c r="AB169" s="1442">
        <v>5.2259912653673002</v>
      </c>
      <c r="AC169" s="1442">
        <v>5.3587685577391539</v>
      </c>
      <c r="AD169" s="1442">
        <v>5.4825222200760342</v>
      </c>
      <c r="AE169" s="1442">
        <f t="shared" si="30"/>
        <v>5.4825222200760342</v>
      </c>
      <c r="AF169" s="1442">
        <f t="shared" si="30"/>
        <v>5.4825222200760342</v>
      </c>
      <c r="AG169" s="1442">
        <f t="shared" si="30"/>
        <v>5.4825222200760342</v>
      </c>
      <c r="AH169" s="1442">
        <f t="shared" si="30"/>
        <v>5.4825222200760342</v>
      </c>
      <c r="AI169" s="1442">
        <f t="shared" si="30"/>
        <v>5.4825222200760342</v>
      </c>
      <c r="AJ169" s="1442">
        <f t="shared" si="30"/>
        <v>5.4825222200760342</v>
      </c>
      <c r="AK169" s="1442">
        <f t="shared" si="30"/>
        <v>5.4825222200760342</v>
      </c>
      <c r="AL169" s="1442">
        <f t="shared" si="30"/>
        <v>5.4825222200760342</v>
      </c>
      <c r="AM169" s="1442">
        <f t="shared" si="30"/>
        <v>5.4825222200760342</v>
      </c>
      <c r="AN169" s="1442">
        <f t="shared" si="30"/>
        <v>5.4825222200760342</v>
      </c>
      <c r="AO169" s="1442">
        <f t="shared" si="30"/>
        <v>5.4825222200760342</v>
      </c>
      <c r="AP169" s="1442">
        <f t="shared" si="30"/>
        <v>5.4825222200760342</v>
      </c>
      <c r="AQ169" s="1442">
        <f t="shared" si="30"/>
        <v>5.4825222200760342</v>
      </c>
      <c r="AR169" s="1442">
        <f t="shared" si="30"/>
        <v>5.4825222200760342</v>
      </c>
      <c r="AS169" s="1442">
        <f t="shared" si="30"/>
        <v>5.4825222200760342</v>
      </c>
      <c r="AT169" s="1442">
        <f t="shared" si="30"/>
        <v>5.4825222200760342</v>
      </c>
      <c r="AU169" s="1442">
        <f t="shared" si="29"/>
        <v>5.4825222200760342</v>
      </c>
      <c r="AV169" s="1442">
        <f t="shared" si="29"/>
        <v>5.4825222200760342</v>
      </c>
      <c r="AW169" s="1442">
        <f t="shared" si="29"/>
        <v>5.4825222200760342</v>
      </c>
      <c r="AX169" s="1442">
        <f t="shared" si="29"/>
        <v>5.4825222200760342</v>
      </c>
      <c r="AY169" s="1442">
        <f t="shared" si="29"/>
        <v>5.4825222200760342</v>
      </c>
      <c r="AZ169" s="1442">
        <f t="shared" si="29"/>
        <v>5.4825222200760342</v>
      </c>
      <c r="BA169" s="1442">
        <f t="shared" si="29"/>
        <v>5.4825222200760342</v>
      </c>
      <c r="BB169" s="1442">
        <f t="shared" si="29"/>
        <v>5.4825222200760342</v>
      </c>
      <c r="BC169" s="1442">
        <f t="shared" si="29"/>
        <v>5.4825222200760342</v>
      </c>
      <c r="BD169" s="1442">
        <f t="shared" si="29"/>
        <v>5.4825222200760342</v>
      </c>
      <c r="BE169" s="1442">
        <f t="shared" si="29"/>
        <v>5.4825222200760342</v>
      </c>
      <c r="BF169" s="1442">
        <f t="shared" si="29"/>
        <v>5.4825222200760342</v>
      </c>
      <c r="BG169" s="1442">
        <f t="shared" si="29"/>
        <v>5.4825222200760342</v>
      </c>
      <c r="BH169" s="1442">
        <f t="shared" si="29"/>
        <v>5.4825222200760342</v>
      </c>
      <c r="BI169" s="1442">
        <f t="shared" si="29"/>
        <v>5.4825222200760342</v>
      </c>
      <c r="BJ169" s="1442">
        <f t="shared" si="31"/>
        <v>5.4825222200760342</v>
      </c>
      <c r="BK169" s="1442">
        <f t="shared" si="31"/>
        <v>5.4825222200760342</v>
      </c>
      <c r="BL169" s="1442">
        <f t="shared" si="31"/>
        <v>5.4825222200760342</v>
      </c>
      <c r="BM169" s="1442">
        <f t="shared" si="31"/>
        <v>5.4825222200760342</v>
      </c>
      <c r="BN169" s="1443">
        <f t="shared" si="31"/>
        <v>5.4825222200760342</v>
      </c>
    </row>
    <row r="170" spans="1:66" s="91" customFormat="1">
      <c r="A170" s="1434">
        <v>74</v>
      </c>
      <c r="B170" s="1435">
        <v>0</v>
      </c>
      <c r="C170" s="1436" t="s">
        <v>69</v>
      </c>
      <c r="D170" s="1435" t="s">
        <v>108</v>
      </c>
      <c r="E170" s="1437">
        <v>2.8393715703032667</v>
      </c>
      <c r="F170" s="1437">
        <v>3.2568380243182786</v>
      </c>
      <c r="G170" s="1437">
        <v>3.4020976919474815</v>
      </c>
      <c r="H170" s="1437">
        <v>3.414516822481775</v>
      </c>
      <c r="I170" s="1437">
        <v>3.4651531280986441</v>
      </c>
      <c r="J170" s="1437">
        <v>3.5160214588820766</v>
      </c>
      <c r="K170" s="1437">
        <v>3.5841028693057391</v>
      </c>
      <c r="L170" s="1437">
        <v>3.6567903564032176</v>
      </c>
      <c r="M170" s="1437">
        <v>3.7318492282960576</v>
      </c>
      <c r="N170" s="1437">
        <v>3.8083057162639888</v>
      </c>
      <c r="O170" s="1437">
        <v>3.8849756833403917</v>
      </c>
      <c r="P170" s="1437">
        <v>3.966325570872864</v>
      </c>
      <c r="Q170" s="1437">
        <v>4.0494411452617136</v>
      </c>
      <c r="R170" s="1437">
        <v>4.1343626900493122</v>
      </c>
      <c r="S170" s="1437">
        <v>4.2211311730440473</v>
      </c>
      <c r="T170" s="1437">
        <v>4.3097883662977949</v>
      </c>
      <c r="U170" s="1437">
        <v>4.4003775614202736</v>
      </c>
      <c r="V170" s="1437">
        <v>4.4929425607917839</v>
      </c>
      <c r="W170" s="1437">
        <v>4.5874054879728456</v>
      </c>
      <c r="X170" s="1437">
        <v>4.6801917105699458</v>
      </c>
      <c r="Y170" s="1437">
        <v>4.7774518601139215</v>
      </c>
      <c r="Z170" s="1437">
        <v>4.8771306859803181</v>
      </c>
      <c r="AA170" s="1437">
        <v>4.9748626241011138</v>
      </c>
      <c r="AB170" s="1437">
        <v>5.0794357002079016</v>
      </c>
      <c r="AC170" s="1437">
        <v>5.1916771730934919</v>
      </c>
      <c r="AD170" s="1437">
        <v>5.2965414854477162</v>
      </c>
      <c r="AE170" s="1437">
        <f t="shared" si="30"/>
        <v>5.2965414854477162</v>
      </c>
      <c r="AF170" s="1437">
        <f t="shared" si="30"/>
        <v>5.2965414854477162</v>
      </c>
      <c r="AG170" s="1437">
        <f t="shared" si="30"/>
        <v>5.2965414854477162</v>
      </c>
      <c r="AH170" s="1437">
        <f t="shared" si="30"/>
        <v>5.2965414854477162</v>
      </c>
      <c r="AI170" s="1437">
        <f t="shared" si="30"/>
        <v>5.2965414854477162</v>
      </c>
      <c r="AJ170" s="1437">
        <f t="shared" si="30"/>
        <v>5.2965414854477162</v>
      </c>
      <c r="AK170" s="1437">
        <f t="shared" si="30"/>
        <v>5.2965414854477162</v>
      </c>
      <c r="AL170" s="1437">
        <f t="shared" si="30"/>
        <v>5.2965414854477162</v>
      </c>
      <c r="AM170" s="1437">
        <f t="shared" si="30"/>
        <v>5.2965414854477162</v>
      </c>
      <c r="AN170" s="1437">
        <f t="shared" si="30"/>
        <v>5.2965414854477162</v>
      </c>
      <c r="AO170" s="1437">
        <f t="shared" si="30"/>
        <v>5.2965414854477162</v>
      </c>
      <c r="AP170" s="1437">
        <f t="shared" si="30"/>
        <v>5.2965414854477162</v>
      </c>
      <c r="AQ170" s="1437">
        <f t="shared" si="30"/>
        <v>5.2965414854477162</v>
      </c>
      <c r="AR170" s="1437">
        <f t="shared" si="30"/>
        <v>5.2965414854477162</v>
      </c>
      <c r="AS170" s="1437">
        <f t="shared" si="30"/>
        <v>5.2965414854477162</v>
      </c>
      <c r="AT170" s="1437">
        <f t="shared" si="30"/>
        <v>5.2965414854477162</v>
      </c>
      <c r="AU170" s="1437">
        <f t="shared" si="29"/>
        <v>5.2965414854477162</v>
      </c>
      <c r="AV170" s="1437">
        <f t="shared" si="29"/>
        <v>5.2965414854477162</v>
      </c>
      <c r="AW170" s="1437">
        <f t="shared" si="29"/>
        <v>5.2965414854477162</v>
      </c>
      <c r="AX170" s="1437">
        <f t="shared" si="29"/>
        <v>5.2965414854477162</v>
      </c>
      <c r="AY170" s="1437">
        <f t="shared" si="29"/>
        <v>5.2965414854477162</v>
      </c>
      <c r="AZ170" s="1437">
        <f t="shared" si="29"/>
        <v>5.2965414854477162</v>
      </c>
      <c r="BA170" s="1437">
        <f t="shared" si="29"/>
        <v>5.2965414854477162</v>
      </c>
      <c r="BB170" s="1437">
        <f t="shared" si="29"/>
        <v>5.2965414854477162</v>
      </c>
      <c r="BC170" s="1437">
        <f t="shared" si="29"/>
        <v>5.2965414854477162</v>
      </c>
      <c r="BD170" s="1437">
        <f t="shared" si="29"/>
        <v>5.2965414854477162</v>
      </c>
      <c r="BE170" s="1437">
        <f t="shared" si="29"/>
        <v>5.2965414854477162</v>
      </c>
      <c r="BF170" s="1437">
        <f t="shared" si="29"/>
        <v>5.2965414854477162</v>
      </c>
      <c r="BG170" s="1437">
        <f t="shared" si="29"/>
        <v>5.2965414854477162</v>
      </c>
      <c r="BH170" s="1437">
        <f t="shared" si="29"/>
        <v>5.2965414854477162</v>
      </c>
      <c r="BI170" s="1437">
        <f t="shared" si="29"/>
        <v>5.2965414854477162</v>
      </c>
      <c r="BJ170" s="1437">
        <f t="shared" si="31"/>
        <v>5.2965414854477162</v>
      </c>
      <c r="BK170" s="1437">
        <f t="shared" si="31"/>
        <v>5.2965414854477162</v>
      </c>
      <c r="BL170" s="1437">
        <f t="shared" si="31"/>
        <v>5.2965414854477162</v>
      </c>
      <c r="BM170" s="1437">
        <f t="shared" si="31"/>
        <v>5.2965414854477162</v>
      </c>
      <c r="BN170" s="1438">
        <f t="shared" si="31"/>
        <v>5.2965414854477162</v>
      </c>
    </row>
    <row r="171" spans="1:66" s="91" customFormat="1">
      <c r="A171" s="1439">
        <v>171</v>
      </c>
      <c r="B171" s="1440">
        <v>0</v>
      </c>
      <c r="C171" s="1441" t="s">
        <v>240</v>
      </c>
      <c r="D171" s="1440" t="s">
        <v>241</v>
      </c>
      <c r="E171" s="1442">
        <v>9.4765426181162518</v>
      </c>
      <c r="F171" s="1442">
        <v>10.599932454292626</v>
      </c>
      <c r="G171" s="1442">
        <v>10.96458215552367</v>
      </c>
      <c r="H171" s="1442">
        <v>10.972607847678908</v>
      </c>
      <c r="I171" s="1442">
        <v>11.081543657047979</v>
      </c>
      <c r="J171" s="1442">
        <v>11.190034676895479</v>
      </c>
      <c r="K171" s="1442">
        <v>11.342854207412413</v>
      </c>
      <c r="L171" s="1442">
        <v>11.506346636083464</v>
      </c>
      <c r="M171" s="1442">
        <v>11.674516698694944</v>
      </c>
      <c r="N171" s="1442">
        <v>11.844756812909266</v>
      </c>
      <c r="O171" s="1442">
        <v>12.013965000076222</v>
      </c>
      <c r="P171" s="1442">
        <v>12.193635984246422</v>
      </c>
      <c r="Q171" s="1442">
        <v>12.376145531204873</v>
      </c>
      <c r="R171" s="1442">
        <v>12.561543416460598</v>
      </c>
      <c r="S171" s="1442">
        <v>12.749879687634714</v>
      </c>
      <c r="T171" s="1442">
        <v>12.941204945756553</v>
      </c>
      <c r="U171" s="1442">
        <v>13.135572112006567</v>
      </c>
      <c r="V171" s="1442">
        <v>13.33303383673498</v>
      </c>
      <c r="W171" s="1442">
        <v>13.533338902568397</v>
      </c>
      <c r="X171" s="1442">
        <v>13.727594400005382</v>
      </c>
      <c r="Y171" s="1442">
        <v>13.931010141021257</v>
      </c>
      <c r="Z171" s="1442">
        <v>14.13840716862833</v>
      </c>
      <c r="AA171" s="1442">
        <v>14.339074171584137</v>
      </c>
      <c r="AB171" s="1442">
        <v>14.554410380091152</v>
      </c>
      <c r="AC171" s="1442">
        <v>14.786182893327851</v>
      </c>
      <c r="AD171" s="1442">
        <v>14.998005905544787</v>
      </c>
      <c r="AE171" s="1442">
        <f t="shared" si="30"/>
        <v>14.998005905544787</v>
      </c>
      <c r="AF171" s="1442">
        <f t="shared" si="30"/>
        <v>14.998005905544787</v>
      </c>
      <c r="AG171" s="1442">
        <f t="shared" si="30"/>
        <v>14.998005905544787</v>
      </c>
      <c r="AH171" s="1442">
        <f t="shared" si="30"/>
        <v>14.998005905544787</v>
      </c>
      <c r="AI171" s="1442">
        <f t="shared" si="30"/>
        <v>14.998005905544787</v>
      </c>
      <c r="AJ171" s="1442">
        <f t="shared" si="30"/>
        <v>14.998005905544787</v>
      </c>
      <c r="AK171" s="1442">
        <f t="shared" si="30"/>
        <v>14.998005905544787</v>
      </c>
      <c r="AL171" s="1442">
        <f t="shared" si="30"/>
        <v>14.998005905544787</v>
      </c>
      <c r="AM171" s="1442">
        <f t="shared" si="30"/>
        <v>14.998005905544787</v>
      </c>
      <c r="AN171" s="1442">
        <f t="shared" si="30"/>
        <v>14.998005905544787</v>
      </c>
      <c r="AO171" s="1442">
        <f t="shared" si="30"/>
        <v>14.998005905544787</v>
      </c>
      <c r="AP171" s="1442">
        <f t="shared" si="30"/>
        <v>14.998005905544787</v>
      </c>
      <c r="AQ171" s="1442">
        <f t="shared" si="30"/>
        <v>14.998005905544787</v>
      </c>
      <c r="AR171" s="1442">
        <f t="shared" si="30"/>
        <v>14.998005905544787</v>
      </c>
      <c r="AS171" s="1442">
        <f t="shared" si="30"/>
        <v>14.998005905544787</v>
      </c>
      <c r="AT171" s="1442">
        <f t="shared" si="30"/>
        <v>14.998005905544787</v>
      </c>
      <c r="AU171" s="1442">
        <f t="shared" si="29"/>
        <v>14.998005905544787</v>
      </c>
      <c r="AV171" s="1442">
        <f t="shared" si="29"/>
        <v>14.998005905544787</v>
      </c>
      <c r="AW171" s="1442">
        <f t="shared" si="29"/>
        <v>14.998005905544787</v>
      </c>
      <c r="AX171" s="1442">
        <f t="shared" si="29"/>
        <v>14.998005905544787</v>
      </c>
      <c r="AY171" s="1442">
        <f t="shared" si="29"/>
        <v>14.998005905544787</v>
      </c>
      <c r="AZ171" s="1442">
        <f t="shared" si="29"/>
        <v>14.998005905544787</v>
      </c>
      <c r="BA171" s="1442">
        <f t="shared" si="29"/>
        <v>14.998005905544787</v>
      </c>
      <c r="BB171" s="1442">
        <f t="shared" si="29"/>
        <v>14.998005905544787</v>
      </c>
      <c r="BC171" s="1442">
        <f t="shared" si="29"/>
        <v>14.998005905544787</v>
      </c>
      <c r="BD171" s="1442">
        <f t="shared" si="29"/>
        <v>14.998005905544787</v>
      </c>
      <c r="BE171" s="1442">
        <f t="shared" si="29"/>
        <v>14.998005905544787</v>
      </c>
      <c r="BF171" s="1442">
        <f t="shared" si="29"/>
        <v>14.998005905544787</v>
      </c>
      <c r="BG171" s="1442">
        <f t="shared" si="29"/>
        <v>14.998005905544787</v>
      </c>
      <c r="BH171" s="1442">
        <f t="shared" si="29"/>
        <v>14.998005905544787</v>
      </c>
      <c r="BI171" s="1442">
        <f t="shared" si="29"/>
        <v>14.998005905544787</v>
      </c>
      <c r="BJ171" s="1442">
        <f t="shared" si="31"/>
        <v>14.998005905544787</v>
      </c>
      <c r="BK171" s="1442">
        <f t="shared" si="31"/>
        <v>14.998005905544787</v>
      </c>
      <c r="BL171" s="1442">
        <f t="shared" si="31"/>
        <v>14.998005905544787</v>
      </c>
      <c r="BM171" s="1442">
        <f t="shared" si="31"/>
        <v>14.998005905544787</v>
      </c>
      <c r="BN171" s="1443">
        <f t="shared" si="31"/>
        <v>14.998005905544787</v>
      </c>
    </row>
    <row r="172" spans="1:66" s="91" customFormat="1">
      <c r="A172" s="1434">
        <v>75</v>
      </c>
      <c r="B172" s="1435">
        <v>0</v>
      </c>
      <c r="C172" s="1436" t="s">
        <v>69</v>
      </c>
      <c r="D172" s="1435" t="s">
        <v>1080</v>
      </c>
      <c r="E172" s="1437">
        <v>2.5750459015552263</v>
      </c>
      <c r="F172" s="1437">
        <v>2.9474632042462563</v>
      </c>
      <c r="G172" s="1437">
        <v>3.0781293411805515</v>
      </c>
      <c r="H172" s="1437">
        <v>3.0908434733605508</v>
      </c>
      <c r="I172" s="1437">
        <v>3.137556034235951</v>
      </c>
      <c r="J172" s="1437">
        <v>3.1845266850404754</v>
      </c>
      <c r="K172" s="1437">
        <v>3.2468410969278123</v>
      </c>
      <c r="L172" s="1437">
        <v>3.3133021935614555</v>
      </c>
      <c r="M172" s="1437">
        <v>3.3819265735773381</v>
      </c>
      <c r="N172" s="1437">
        <v>3.4518509514768585</v>
      </c>
      <c r="O172" s="1437">
        <v>3.522025224742714</v>
      </c>
      <c r="P172" s="1437">
        <v>3.5964186993035252</v>
      </c>
      <c r="Q172" s="1437">
        <v>3.6724445509036978</v>
      </c>
      <c r="R172" s="1437">
        <v>3.7501404810549026</v>
      </c>
      <c r="S172" s="1437">
        <v>3.8295448566364545</v>
      </c>
      <c r="T172" s="1437">
        <v>3.9106968181963926</v>
      </c>
      <c r="U172" s="1437">
        <v>3.99363691713652</v>
      </c>
      <c r="V172" s="1437">
        <v>4.0784062214474766</v>
      </c>
      <c r="W172" s="1437">
        <v>4.1649377777264398</v>
      </c>
      <c r="X172" s="1437">
        <v>4.2500585637156183</v>
      </c>
      <c r="Y172" s="1437">
        <v>4.3392344867121579</v>
      </c>
      <c r="Z172" s="1437">
        <v>4.4306423165258808</v>
      </c>
      <c r="AA172" s="1437">
        <v>4.5204066660657896</v>
      </c>
      <c r="AB172" s="1437">
        <v>4.6163364339290123</v>
      </c>
      <c r="AC172" s="1437">
        <v>4.7191691213382736</v>
      </c>
      <c r="AD172" s="1437">
        <v>4.8155426353005382</v>
      </c>
      <c r="AE172" s="1437">
        <f t="shared" si="30"/>
        <v>4.8155426353005382</v>
      </c>
      <c r="AF172" s="1437">
        <f t="shared" si="30"/>
        <v>4.8155426353005382</v>
      </c>
      <c r="AG172" s="1437">
        <f t="shared" si="30"/>
        <v>4.8155426353005382</v>
      </c>
      <c r="AH172" s="1437">
        <f t="shared" si="30"/>
        <v>4.8155426353005382</v>
      </c>
      <c r="AI172" s="1437">
        <f t="shared" si="30"/>
        <v>4.8155426353005382</v>
      </c>
      <c r="AJ172" s="1437">
        <f t="shared" si="30"/>
        <v>4.8155426353005382</v>
      </c>
      <c r="AK172" s="1437">
        <f t="shared" si="30"/>
        <v>4.8155426353005382</v>
      </c>
      <c r="AL172" s="1437">
        <f t="shared" si="30"/>
        <v>4.8155426353005382</v>
      </c>
      <c r="AM172" s="1437">
        <f t="shared" si="30"/>
        <v>4.8155426353005382</v>
      </c>
      <c r="AN172" s="1437">
        <f t="shared" si="30"/>
        <v>4.8155426353005382</v>
      </c>
      <c r="AO172" s="1437">
        <f t="shared" si="30"/>
        <v>4.8155426353005382</v>
      </c>
      <c r="AP172" s="1437">
        <f t="shared" si="30"/>
        <v>4.8155426353005382</v>
      </c>
      <c r="AQ172" s="1437">
        <f t="shared" si="30"/>
        <v>4.8155426353005382</v>
      </c>
      <c r="AR172" s="1437">
        <f t="shared" si="30"/>
        <v>4.8155426353005382</v>
      </c>
      <c r="AS172" s="1437">
        <f t="shared" si="30"/>
        <v>4.8155426353005382</v>
      </c>
      <c r="AT172" s="1437">
        <f t="shared" si="30"/>
        <v>4.8155426353005382</v>
      </c>
      <c r="AU172" s="1437">
        <f t="shared" si="29"/>
        <v>4.8155426353005382</v>
      </c>
      <c r="AV172" s="1437">
        <f t="shared" si="29"/>
        <v>4.8155426353005382</v>
      </c>
      <c r="AW172" s="1437">
        <f t="shared" si="29"/>
        <v>4.8155426353005382</v>
      </c>
      <c r="AX172" s="1437">
        <f t="shared" si="29"/>
        <v>4.8155426353005382</v>
      </c>
      <c r="AY172" s="1437">
        <f t="shared" si="29"/>
        <v>4.8155426353005382</v>
      </c>
      <c r="AZ172" s="1437">
        <f t="shared" si="29"/>
        <v>4.8155426353005382</v>
      </c>
      <c r="BA172" s="1437">
        <f t="shared" si="29"/>
        <v>4.8155426353005382</v>
      </c>
      <c r="BB172" s="1437">
        <f t="shared" si="29"/>
        <v>4.8155426353005382</v>
      </c>
      <c r="BC172" s="1437">
        <f t="shared" si="29"/>
        <v>4.8155426353005382</v>
      </c>
      <c r="BD172" s="1437">
        <f t="shared" si="29"/>
        <v>4.8155426353005382</v>
      </c>
      <c r="BE172" s="1437">
        <f t="shared" si="29"/>
        <v>4.8155426353005382</v>
      </c>
      <c r="BF172" s="1437">
        <f t="shared" si="29"/>
        <v>4.8155426353005382</v>
      </c>
      <c r="BG172" s="1437">
        <f t="shared" si="29"/>
        <v>4.8155426353005382</v>
      </c>
      <c r="BH172" s="1437">
        <f t="shared" si="29"/>
        <v>4.8155426353005382</v>
      </c>
      <c r="BI172" s="1437">
        <f t="shared" si="29"/>
        <v>4.8155426353005382</v>
      </c>
      <c r="BJ172" s="1437">
        <f t="shared" si="31"/>
        <v>4.8155426353005382</v>
      </c>
      <c r="BK172" s="1437">
        <f t="shared" si="31"/>
        <v>4.8155426353005382</v>
      </c>
      <c r="BL172" s="1437">
        <f t="shared" si="31"/>
        <v>4.8155426353005382</v>
      </c>
      <c r="BM172" s="1437">
        <f t="shared" si="31"/>
        <v>4.8155426353005382</v>
      </c>
      <c r="BN172" s="1438">
        <f t="shared" si="31"/>
        <v>4.8155426353005382</v>
      </c>
    </row>
    <row r="173" spans="1:66" s="91" customFormat="1">
      <c r="A173" s="1439">
        <v>172</v>
      </c>
      <c r="B173" s="1440">
        <v>0</v>
      </c>
      <c r="C173" s="1441" t="s">
        <v>242</v>
      </c>
      <c r="D173" s="1440" t="s">
        <v>243</v>
      </c>
      <c r="E173" s="1442">
        <v>3.2676855228700283</v>
      </c>
      <c r="F173" s="1442">
        <v>3.7581497305831313</v>
      </c>
      <c r="G173" s="1442">
        <v>3.9270567906258131</v>
      </c>
      <c r="H173" s="1442">
        <v>3.9389978997803277</v>
      </c>
      <c r="I173" s="1442">
        <v>3.9959922508607404</v>
      </c>
      <c r="J173" s="1442">
        <v>4.0531763917034596</v>
      </c>
      <c r="K173" s="1442">
        <v>4.1306026604953621</v>
      </c>
      <c r="L173" s="1442">
        <v>4.2133794057508549</v>
      </c>
      <c r="M173" s="1442">
        <v>4.2988647438345575</v>
      </c>
      <c r="N173" s="1442">
        <v>4.385905878746744</v>
      </c>
      <c r="O173" s="1442">
        <v>4.4731014837751353</v>
      </c>
      <c r="P173" s="1442">
        <v>4.5657235597019135</v>
      </c>
      <c r="Q173" s="1442">
        <v>4.6603273380347989</v>
      </c>
      <c r="R173" s="1442">
        <v>4.7569572862449494</v>
      </c>
      <c r="S173" s="1442">
        <v>4.8556585866925088</v>
      </c>
      <c r="T173" s="1442">
        <v>4.956477275524537</v>
      </c>
      <c r="U173" s="1442">
        <v>5.0594610845902768</v>
      </c>
      <c r="V173" s="1442">
        <v>5.1646582470816442</v>
      </c>
      <c r="W173" s="1442">
        <v>5.2719731868441579</v>
      </c>
      <c r="X173" s="1442">
        <v>5.3771805014496143</v>
      </c>
      <c r="Y173" s="1442">
        <v>5.4875403512322309</v>
      </c>
      <c r="Z173" s="1442">
        <v>5.6006215190950117</v>
      </c>
      <c r="AA173" s="1442">
        <v>5.7112641570115139</v>
      </c>
      <c r="AB173" s="1442">
        <v>5.8298428706887622</v>
      </c>
      <c r="AC173" s="1442">
        <v>5.9573303623030904</v>
      </c>
      <c r="AD173" s="1442">
        <v>6.0759531848955879</v>
      </c>
      <c r="AE173" s="1442">
        <f t="shared" si="30"/>
        <v>6.0759531848955879</v>
      </c>
      <c r="AF173" s="1442">
        <f t="shared" si="30"/>
        <v>6.0759531848955879</v>
      </c>
      <c r="AG173" s="1442">
        <f t="shared" si="30"/>
        <v>6.0759531848955879</v>
      </c>
      <c r="AH173" s="1442">
        <f t="shared" si="30"/>
        <v>6.0759531848955879</v>
      </c>
      <c r="AI173" s="1442">
        <f t="shared" si="30"/>
        <v>6.0759531848955879</v>
      </c>
      <c r="AJ173" s="1442">
        <f t="shared" si="30"/>
        <v>6.0759531848955879</v>
      </c>
      <c r="AK173" s="1442">
        <f t="shared" si="30"/>
        <v>6.0759531848955879</v>
      </c>
      <c r="AL173" s="1442">
        <f t="shared" si="30"/>
        <v>6.0759531848955879</v>
      </c>
      <c r="AM173" s="1442">
        <f t="shared" si="30"/>
        <v>6.0759531848955879</v>
      </c>
      <c r="AN173" s="1442">
        <f t="shared" si="30"/>
        <v>6.0759531848955879</v>
      </c>
      <c r="AO173" s="1442">
        <f t="shared" si="30"/>
        <v>6.0759531848955879</v>
      </c>
      <c r="AP173" s="1442">
        <f t="shared" si="30"/>
        <v>6.0759531848955879</v>
      </c>
      <c r="AQ173" s="1442">
        <f t="shared" si="30"/>
        <v>6.0759531848955879</v>
      </c>
      <c r="AR173" s="1442">
        <f t="shared" si="30"/>
        <v>6.0759531848955879</v>
      </c>
      <c r="AS173" s="1442">
        <f t="shared" si="30"/>
        <v>6.0759531848955879</v>
      </c>
      <c r="AT173" s="1442">
        <f t="shared" si="30"/>
        <v>6.0759531848955879</v>
      </c>
      <c r="AU173" s="1442">
        <f t="shared" si="29"/>
        <v>6.0759531848955879</v>
      </c>
      <c r="AV173" s="1442">
        <f t="shared" si="29"/>
        <v>6.0759531848955879</v>
      </c>
      <c r="AW173" s="1442">
        <f t="shared" si="29"/>
        <v>6.0759531848955879</v>
      </c>
      <c r="AX173" s="1442">
        <f t="shared" si="29"/>
        <v>6.0759531848955879</v>
      </c>
      <c r="AY173" s="1442">
        <f t="shared" si="29"/>
        <v>6.0759531848955879</v>
      </c>
      <c r="AZ173" s="1442">
        <f t="shared" si="29"/>
        <v>6.0759531848955879</v>
      </c>
      <c r="BA173" s="1442">
        <f t="shared" si="29"/>
        <v>6.0759531848955879</v>
      </c>
      <c r="BB173" s="1442">
        <f t="shared" si="29"/>
        <v>6.0759531848955879</v>
      </c>
      <c r="BC173" s="1442">
        <f t="shared" si="29"/>
        <v>6.0759531848955879</v>
      </c>
      <c r="BD173" s="1442">
        <f t="shared" si="29"/>
        <v>6.0759531848955879</v>
      </c>
      <c r="BE173" s="1442">
        <f t="shared" si="29"/>
        <v>6.0759531848955879</v>
      </c>
      <c r="BF173" s="1442">
        <f t="shared" si="29"/>
        <v>6.0759531848955879</v>
      </c>
      <c r="BG173" s="1442">
        <f t="shared" si="29"/>
        <v>6.0759531848955879</v>
      </c>
      <c r="BH173" s="1442">
        <f t="shared" si="29"/>
        <v>6.0759531848955879</v>
      </c>
      <c r="BI173" s="1442">
        <f t="shared" si="29"/>
        <v>6.0759531848955879</v>
      </c>
      <c r="BJ173" s="1442">
        <f t="shared" si="31"/>
        <v>6.0759531848955879</v>
      </c>
      <c r="BK173" s="1442">
        <f t="shared" si="31"/>
        <v>6.0759531848955879</v>
      </c>
      <c r="BL173" s="1442">
        <f t="shared" si="31"/>
        <v>6.0759531848955879</v>
      </c>
      <c r="BM173" s="1442">
        <f t="shared" si="31"/>
        <v>6.0759531848955879</v>
      </c>
      <c r="BN173" s="1443">
        <f t="shared" si="31"/>
        <v>6.0759531848955879</v>
      </c>
    </row>
    <row r="174" spans="1:66" s="91" customFormat="1">
      <c r="A174" s="1434">
        <v>187</v>
      </c>
      <c r="B174" s="1435">
        <v>0</v>
      </c>
      <c r="C174" s="1436" t="s">
        <v>244</v>
      </c>
      <c r="D174" s="1435" t="s">
        <v>245</v>
      </c>
      <c r="E174" s="1437">
        <v>5.9718156127405715</v>
      </c>
      <c r="F174" s="1437">
        <v>6.6634307739433805</v>
      </c>
      <c r="G174" s="1437">
        <v>6.8918253670486234</v>
      </c>
      <c r="H174" s="1437">
        <v>6.9025892665178548</v>
      </c>
      <c r="I174" s="1437">
        <v>6.9751580030238882</v>
      </c>
      <c r="J174" s="1437">
        <v>7.0476362395167502</v>
      </c>
      <c r="K174" s="1437">
        <v>7.1473738658889809</v>
      </c>
      <c r="L174" s="1437">
        <v>7.2538219438538372</v>
      </c>
      <c r="M174" s="1437">
        <v>7.3633247433116775</v>
      </c>
      <c r="N174" s="1437">
        <v>7.4742956704538122</v>
      </c>
      <c r="O174" s="1437">
        <v>7.5848463663223029</v>
      </c>
      <c r="P174" s="1437">
        <v>7.7020033185572698</v>
      </c>
      <c r="Q174" s="1437">
        <v>7.8211166577086741</v>
      </c>
      <c r="R174" s="1437">
        <v>7.942223466871364</v>
      </c>
      <c r="S174" s="1437">
        <v>8.0653611958365694</v>
      </c>
      <c r="T174" s="1437">
        <v>8.1905678389035259</v>
      </c>
      <c r="U174" s="1437">
        <v>8.3178830200803766</v>
      </c>
      <c r="V174" s="1437">
        <v>8.4473464170723851</v>
      </c>
      <c r="W174" s="1437">
        <v>8.5788123517319406</v>
      </c>
      <c r="X174" s="1437">
        <v>8.7068576265552533</v>
      </c>
      <c r="Y174" s="1437">
        <v>8.8407795696924314</v>
      </c>
      <c r="Z174" s="1437">
        <v>8.97742369667702</v>
      </c>
      <c r="AA174" s="1437">
        <v>9.110256995177874</v>
      </c>
      <c r="AB174" s="1437">
        <v>9.2523576269560124</v>
      </c>
      <c r="AC174" s="1437">
        <v>9.4048140664887612</v>
      </c>
      <c r="AD174" s="1437">
        <v>9.5454138928728707</v>
      </c>
      <c r="AE174" s="1437">
        <f t="shared" si="30"/>
        <v>9.5454138928728707</v>
      </c>
      <c r="AF174" s="1437">
        <f t="shared" si="30"/>
        <v>9.5454138928728707</v>
      </c>
      <c r="AG174" s="1437">
        <f t="shared" si="30"/>
        <v>9.5454138928728707</v>
      </c>
      <c r="AH174" s="1437">
        <f t="shared" si="30"/>
        <v>9.5454138928728707</v>
      </c>
      <c r="AI174" s="1437">
        <f t="shared" si="30"/>
        <v>9.5454138928728707</v>
      </c>
      <c r="AJ174" s="1437">
        <f t="shared" si="30"/>
        <v>9.5454138928728707</v>
      </c>
      <c r="AK174" s="1437">
        <f t="shared" si="30"/>
        <v>9.5454138928728707</v>
      </c>
      <c r="AL174" s="1437">
        <f t="shared" si="30"/>
        <v>9.5454138928728707</v>
      </c>
      <c r="AM174" s="1437">
        <f t="shared" si="30"/>
        <v>9.5454138928728707</v>
      </c>
      <c r="AN174" s="1437">
        <f t="shared" si="30"/>
        <v>9.5454138928728707</v>
      </c>
      <c r="AO174" s="1437">
        <f t="shared" si="30"/>
        <v>9.5454138928728707</v>
      </c>
      <c r="AP174" s="1437">
        <f t="shared" si="30"/>
        <v>9.5454138928728707</v>
      </c>
      <c r="AQ174" s="1437">
        <f t="shared" si="30"/>
        <v>9.5454138928728707</v>
      </c>
      <c r="AR174" s="1437">
        <f t="shared" si="30"/>
        <v>9.5454138928728707</v>
      </c>
      <c r="AS174" s="1437">
        <f t="shared" si="30"/>
        <v>9.5454138928728707</v>
      </c>
      <c r="AT174" s="1437">
        <f t="shared" si="30"/>
        <v>9.5454138928728707</v>
      </c>
      <c r="AU174" s="1437">
        <f t="shared" si="29"/>
        <v>9.5454138928728707</v>
      </c>
      <c r="AV174" s="1437">
        <f t="shared" si="29"/>
        <v>9.5454138928728707</v>
      </c>
      <c r="AW174" s="1437">
        <f t="shared" si="29"/>
        <v>9.5454138928728707</v>
      </c>
      <c r="AX174" s="1437">
        <f t="shared" si="29"/>
        <v>9.5454138928728707</v>
      </c>
      <c r="AY174" s="1437">
        <f t="shared" si="29"/>
        <v>9.5454138928728707</v>
      </c>
      <c r="AZ174" s="1437">
        <f t="shared" si="29"/>
        <v>9.5454138928728707</v>
      </c>
      <c r="BA174" s="1437">
        <f t="shared" si="29"/>
        <v>9.5454138928728707</v>
      </c>
      <c r="BB174" s="1437">
        <f t="shared" si="29"/>
        <v>9.5454138928728707</v>
      </c>
      <c r="BC174" s="1437">
        <f t="shared" si="29"/>
        <v>9.5454138928728707</v>
      </c>
      <c r="BD174" s="1437">
        <f t="shared" si="29"/>
        <v>9.5454138928728707</v>
      </c>
      <c r="BE174" s="1437">
        <f t="shared" si="29"/>
        <v>9.5454138928728707</v>
      </c>
      <c r="BF174" s="1437">
        <f t="shared" si="29"/>
        <v>9.5454138928728707</v>
      </c>
      <c r="BG174" s="1437">
        <f t="shared" si="29"/>
        <v>9.5454138928728707</v>
      </c>
      <c r="BH174" s="1437">
        <f t="shared" si="29"/>
        <v>9.5454138928728707</v>
      </c>
      <c r="BI174" s="1437">
        <f t="shared" si="29"/>
        <v>9.5454138928728707</v>
      </c>
      <c r="BJ174" s="1437">
        <f t="shared" si="31"/>
        <v>9.5454138928728707</v>
      </c>
      <c r="BK174" s="1437">
        <f t="shared" si="31"/>
        <v>9.5454138928728707</v>
      </c>
      <c r="BL174" s="1437">
        <f t="shared" si="31"/>
        <v>9.5454138928728707</v>
      </c>
      <c r="BM174" s="1437">
        <f t="shared" si="31"/>
        <v>9.5454138928728707</v>
      </c>
      <c r="BN174" s="1438">
        <f t="shared" si="31"/>
        <v>9.5454138928728707</v>
      </c>
    </row>
    <row r="175" spans="1:66" s="91" customFormat="1">
      <c r="A175" s="1439">
        <v>174</v>
      </c>
      <c r="B175" s="1440">
        <v>0</v>
      </c>
      <c r="C175" s="1441" t="s">
        <v>247</v>
      </c>
      <c r="D175" s="1440" t="s">
        <v>22</v>
      </c>
      <c r="E175" s="1442">
        <v>2.7698959183599241</v>
      </c>
      <c r="F175" s="1442">
        <v>3.1755216034759028</v>
      </c>
      <c r="G175" s="1442">
        <v>3.3169454913112397</v>
      </c>
      <c r="H175" s="1442">
        <v>3.3294421604052835</v>
      </c>
      <c r="I175" s="1442">
        <v>3.3790471446023904</v>
      </c>
      <c r="J175" s="1442">
        <v>3.428891004857161</v>
      </c>
      <c r="K175" s="1442">
        <v>3.4954566109892271</v>
      </c>
      <c r="L175" s="1442">
        <v>3.5665075467113594</v>
      </c>
      <c r="M175" s="1442">
        <v>3.639875169622619</v>
      </c>
      <c r="N175" s="1442">
        <v>3.7146147505352571</v>
      </c>
      <c r="O175" s="1442">
        <v>3.7895773822459744</v>
      </c>
      <c r="P175" s="1442">
        <v>3.8690988384774601</v>
      </c>
      <c r="Q175" s="1442">
        <v>3.9503509422651608</v>
      </c>
      <c r="R175" s="1442">
        <v>4.0333732984876356</v>
      </c>
      <c r="S175" s="1442">
        <v>4.1182061913221908</v>
      </c>
      <c r="T175" s="1442">
        <v>4.2048907011533148</v>
      </c>
      <c r="U175" s="1442">
        <v>4.2934693993514372</v>
      </c>
      <c r="V175" s="1442">
        <v>4.3839853695868491</v>
      </c>
      <c r="W175" s="1442">
        <v>4.4763636064431394</v>
      </c>
      <c r="X175" s="1442">
        <v>4.5671350371803037</v>
      </c>
      <c r="Y175" s="1442">
        <v>4.6622703196521522</v>
      </c>
      <c r="Z175" s="1442">
        <v>4.7597751877425143</v>
      </c>
      <c r="AA175" s="1442">
        <v>4.8554129160436759</v>
      </c>
      <c r="AB175" s="1442">
        <v>4.9577141754252354</v>
      </c>
      <c r="AC175" s="1442">
        <v>5.0674826327007292</v>
      </c>
      <c r="AD175" s="1442">
        <v>5.1701152141882734</v>
      </c>
      <c r="AE175" s="1442">
        <f t="shared" si="30"/>
        <v>5.1701152141882734</v>
      </c>
      <c r="AF175" s="1442">
        <f t="shared" si="30"/>
        <v>5.1701152141882734</v>
      </c>
      <c r="AG175" s="1442">
        <f t="shared" si="30"/>
        <v>5.1701152141882734</v>
      </c>
      <c r="AH175" s="1442">
        <f t="shared" si="30"/>
        <v>5.1701152141882734</v>
      </c>
      <c r="AI175" s="1442">
        <f t="shared" si="30"/>
        <v>5.1701152141882734</v>
      </c>
      <c r="AJ175" s="1442">
        <f t="shared" si="30"/>
        <v>5.1701152141882734</v>
      </c>
      <c r="AK175" s="1442">
        <f t="shared" si="30"/>
        <v>5.1701152141882734</v>
      </c>
      <c r="AL175" s="1442">
        <f t="shared" si="30"/>
        <v>5.1701152141882734</v>
      </c>
      <c r="AM175" s="1442">
        <f t="shared" si="30"/>
        <v>5.1701152141882734</v>
      </c>
      <c r="AN175" s="1442">
        <f t="shared" si="30"/>
        <v>5.1701152141882734</v>
      </c>
      <c r="AO175" s="1442">
        <f t="shared" si="30"/>
        <v>5.1701152141882734</v>
      </c>
      <c r="AP175" s="1442">
        <f t="shared" si="30"/>
        <v>5.1701152141882734</v>
      </c>
      <c r="AQ175" s="1442">
        <f t="shared" si="30"/>
        <v>5.1701152141882734</v>
      </c>
      <c r="AR175" s="1442">
        <f t="shared" si="30"/>
        <v>5.1701152141882734</v>
      </c>
      <c r="AS175" s="1442">
        <f t="shared" si="30"/>
        <v>5.1701152141882734</v>
      </c>
      <c r="AT175" s="1442">
        <f t="shared" si="30"/>
        <v>5.1701152141882734</v>
      </c>
      <c r="AU175" s="1442">
        <f t="shared" si="29"/>
        <v>5.1701152141882734</v>
      </c>
      <c r="AV175" s="1442">
        <f t="shared" si="29"/>
        <v>5.1701152141882734</v>
      </c>
      <c r="AW175" s="1442">
        <f t="shared" si="29"/>
        <v>5.1701152141882734</v>
      </c>
      <c r="AX175" s="1442">
        <f t="shared" si="29"/>
        <v>5.1701152141882734</v>
      </c>
      <c r="AY175" s="1442">
        <f t="shared" si="29"/>
        <v>5.1701152141882734</v>
      </c>
      <c r="AZ175" s="1442">
        <f t="shared" si="29"/>
        <v>5.1701152141882734</v>
      </c>
      <c r="BA175" s="1442">
        <f t="shared" si="29"/>
        <v>5.1701152141882734</v>
      </c>
      <c r="BB175" s="1442">
        <f t="shared" si="29"/>
        <v>5.1701152141882734</v>
      </c>
      <c r="BC175" s="1442">
        <f t="shared" si="29"/>
        <v>5.1701152141882734</v>
      </c>
      <c r="BD175" s="1442">
        <f t="shared" si="29"/>
        <v>5.1701152141882734</v>
      </c>
      <c r="BE175" s="1442">
        <f t="shared" si="29"/>
        <v>5.1701152141882734</v>
      </c>
      <c r="BF175" s="1442">
        <f t="shared" si="29"/>
        <v>5.1701152141882734</v>
      </c>
      <c r="BG175" s="1442">
        <f t="shared" si="29"/>
        <v>5.1701152141882734</v>
      </c>
      <c r="BH175" s="1442">
        <f t="shared" si="29"/>
        <v>5.1701152141882734</v>
      </c>
      <c r="BI175" s="1442">
        <f t="shared" si="29"/>
        <v>5.1701152141882734</v>
      </c>
      <c r="BJ175" s="1442">
        <f t="shared" si="31"/>
        <v>5.1701152141882734</v>
      </c>
      <c r="BK175" s="1442">
        <f t="shared" si="31"/>
        <v>5.1701152141882734</v>
      </c>
      <c r="BL175" s="1442">
        <f t="shared" si="31"/>
        <v>5.1701152141882734</v>
      </c>
      <c r="BM175" s="1442">
        <f t="shared" si="31"/>
        <v>5.1701152141882734</v>
      </c>
      <c r="BN175" s="1443">
        <f t="shared" si="31"/>
        <v>5.1701152141882734</v>
      </c>
    </row>
    <row r="176" spans="1:66" s="91" customFormat="1">
      <c r="A176" s="1434">
        <v>175</v>
      </c>
      <c r="B176" s="1435">
        <v>0</v>
      </c>
      <c r="C176" s="1436" t="s">
        <v>248</v>
      </c>
      <c r="D176" s="1435" t="s">
        <v>36</v>
      </c>
      <c r="E176" s="1437">
        <v>2.5022120343651748</v>
      </c>
      <c r="F176" s="1437">
        <v>2.9379816765586941</v>
      </c>
      <c r="G176" s="1437">
        <v>3.0919138137576909</v>
      </c>
      <c r="H176" s="1437">
        <v>3.1041450199122997</v>
      </c>
      <c r="I176" s="1437">
        <v>3.1573228004004461</v>
      </c>
      <c r="J176" s="1437">
        <v>3.2108049681189126</v>
      </c>
      <c r="K176" s="1437">
        <v>3.282915188688734</v>
      </c>
      <c r="L176" s="1437">
        <v>3.360165918549114</v>
      </c>
      <c r="M176" s="1437">
        <v>3.440170127416772</v>
      </c>
      <c r="N176" s="1437">
        <v>3.5218821693531854</v>
      </c>
      <c r="O176" s="1437">
        <v>3.6040099446491705</v>
      </c>
      <c r="P176" s="1437">
        <v>3.6914570323990059</v>
      </c>
      <c r="Q176" s="1437">
        <v>3.7810511425993507</v>
      </c>
      <c r="R176" s="1437">
        <v>3.8728459841614482</v>
      </c>
      <c r="S176" s="1437">
        <v>3.9668963211487172</v>
      </c>
      <c r="T176" s="1437">
        <v>4.0632581091775135</v>
      </c>
      <c r="U176" s="1437">
        <v>4.1619893017906922</v>
      </c>
      <c r="V176" s="1437">
        <v>4.2631487345439973</v>
      </c>
      <c r="W176" s="1437">
        <v>4.3666581037851655</v>
      </c>
      <c r="X176" s="1437">
        <v>4.468473024886098</v>
      </c>
      <c r="Y176" s="1437">
        <v>4.5755548004562856</v>
      </c>
      <c r="Z176" s="1437">
        <v>4.6855958657789198</v>
      </c>
      <c r="AA176" s="1437">
        <v>4.793605593532769</v>
      </c>
      <c r="AB176" s="1437">
        <v>4.9096514052486482</v>
      </c>
      <c r="AC176" s="1437">
        <v>5.0347584029244761</v>
      </c>
      <c r="AD176" s="1437">
        <v>5.1515650240003703</v>
      </c>
      <c r="AE176" s="1437">
        <f t="shared" si="30"/>
        <v>5.1515650240003703</v>
      </c>
      <c r="AF176" s="1437">
        <f t="shared" si="30"/>
        <v>5.1515650240003703</v>
      </c>
      <c r="AG176" s="1437">
        <f t="shared" si="30"/>
        <v>5.1515650240003703</v>
      </c>
      <c r="AH176" s="1437">
        <f t="shared" si="30"/>
        <v>5.1515650240003703</v>
      </c>
      <c r="AI176" s="1437">
        <f t="shared" si="30"/>
        <v>5.1515650240003703</v>
      </c>
      <c r="AJ176" s="1437">
        <f t="shared" si="30"/>
        <v>5.1515650240003703</v>
      </c>
      <c r="AK176" s="1437">
        <f t="shared" si="30"/>
        <v>5.1515650240003703</v>
      </c>
      <c r="AL176" s="1437">
        <f t="shared" si="30"/>
        <v>5.1515650240003703</v>
      </c>
      <c r="AM176" s="1437">
        <f t="shared" si="30"/>
        <v>5.1515650240003703</v>
      </c>
      <c r="AN176" s="1437">
        <f t="shared" si="30"/>
        <v>5.1515650240003703</v>
      </c>
      <c r="AO176" s="1437">
        <f t="shared" si="30"/>
        <v>5.1515650240003703</v>
      </c>
      <c r="AP176" s="1437">
        <f t="shared" si="30"/>
        <v>5.1515650240003703</v>
      </c>
      <c r="AQ176" s="1437">
        <f t="shared" si="30"/>
        <v>5.1515650240003703</v>
      </c>
      <c r="AR176" s="1437">
        <f t="shared" si="30"/>
        <v>5.1515650240003703</v>
      </c>
      <c r="AS176" s="1437">
        <f t="shared" si="30"/>
        <v>5.1515650240003703</v>
      </c>
      <c r="AT176" s="1437">
        <f t="shared" si="30"/>
        <v>5.1515650240003703</v>
      </c>
      <c r="AU176" s="1437">
        <f t="shared" si="29"/>
        <v>5.1515650240003703</v>
      </c>
      <c r="AV176" s="1437">
        <f t="shared" si="29"/>
        <v>5.1515650240003703</v>
      </c>
      <c r="AW176" s="1437">
        <f t="shared" si="29"/>
        <v>5.1515650240003703</v>
      </c>
      <c r="AX176" s="1437">
        <f t="shared" si="29"/>
        <v>5.1515650240003703</v>
      </c>
      <c r="AY176" s="1437">
        <f t="shared" si="29"/>
        <v>5.1515650240003703</v>
      </c>
      <c r="AZ176" s="1437">
        <f t="shared" si="29"/>
        <v>5.1515650240003703</v>
      </c>
      <c r="BA176" s="1437">
        <f t="shared" si="29"/>
        <v>5.1515650240003703</v>
      </c>
      <c r="BB176" s="1437">
        <f t="shared" si="29"/>
        <v>5.1515650240003703</v>
      </c>
      <c r="BC176" s="1437">
        <f t="shared" si="29"/>
        <v>5.1515650240003703</v>
      </c>
      <c r="BD176" s="1437">
        <f t="shared" si="29"/>
        <v>5.1515650240003703</v>
      </c>
      <c r="BE176" s="1437">
        <f t="shared" si="29"/>
        <v>5.1515650240003703</v>
      </c>
      <c r="BF176" s="1437">
        <f t="shared" si="29"/>
        <v>5.1515650240003703</v>
      </c>
      <c r="BG176" s="1437">
        <f t="shared" si="29"/>
        <v>5.1515650240003703</v>
      </c>
      <c r="BH176" s="1437">
        <f t="shared" si="29"/>
        <v>5.1515650240003703</v>
      </c>
      <c r="BI176" s="1437">
        <f t="shared" si="29"/>
        <v>5.1515650240003703</v>
      </c>
      <c r="BJ176" s="1437">
        <f t="shared" si="31"/>
        <v>5.1515650240003703</v>
      </c>
      <c r="BK176" s="1437">
        <f t="shared" si="31"/>
        <v>5.1515650240003703</v>
      </c>
      <c r="BL176" s="1437">
        <f t="shared" si="31"/>
        <v>5.1515650240003703</v>
      </c>
      <c r="BM176" s="1437">
        <f t="shared" si="31"/>
        <v>5.1515650240003703</v>
      </c>
      <c r="BN176" s="1438">
        <f t="shared" si="31"/>
        <v>5.1515650240003703</v>
      </c>
    </row>
    <row r="177" spans="1:66" s="91" customFormat="1" ht="15">
      <c r="A177" s="1439">
        <v>184</v>
      </c>
      <c r="B177" s="1440">
        <v>0</v>
      </c>
      <c r="C177" s="1441" t="s">
        <v>69</v>
      </c>
      <c r="D177" s="1440" t="s">
        <v>1083</v>
      </c>
      <c r="E177" s="1444">
        <v>2.8811308693621127</v>
      </c>
      <c r="F177" s="1444">
        <v>3.3057143808743987</v>
      </c>
      <c r="G177" s="1444">
        <v>3.4532795968655883</v>
      </c>
      <c r="H177" s="1444">
        <v>3.4656521217788527</v>
      </c>
      <c r="I177" s="1444">
        <v>3.5169083173627675</v>
      </c>
      <c r="J177" s="1444">
        <v>3.5683924202906381</v>
      </c>
      <c r="K177" s="1444">
        <v>3.6373849257951951</v>
      </c>
      <c r="L177" s="1444">
        <v>3.7110560846740328</v>
      </c>
      <c r="M177" s="1444">
        <v>3.7871315050990462</v>
      </c>
      <c r="N177" s="1444">
        <v>3.8646199637383241</v>
      </c>
      <c r="O177" s="1444">
        <v>3.9423161482899882</v>
      </c>
      <c r="P177" s="1444">
        <v>4.0247650396802257</v>
      </c>
      <c r="Q177" s="1444">
        <v>4.1090006787815909</v>
      </c>
      <c r="R177" s="1444">
        <v>4.195063757056702</v>
      </c>
      <c r="S177" s="1444">
        <v>4.2829956532198397</v>
      </c>
      <c r="T177" s="1444">
        <v>4.3728385550591078</v>
      </c>
      <c r="U177" s="1444">
        <v>4.4646361870939817</v>
      </c>
      <c r="V177" s="1444">
        <v>4.5584327836953298</v>
      </c>
      <c r="W177" s="1444">
        <v>4.6541487427556492</v>
      </c>
      <c r="X177" s="1444">
        <v>4.7481459837954265</v>
      </c>
      <c r="Y177" s="1444">
        <v>4.8466833140069214</v>
      </c>
      <c r="Z177" s="1444">
        <v>4.9476688271856544</v>
      </c>
      <c r="AA177" s="1444">
        <v>5.0466595190094212</v>
      </c>
      <c r="AB177" s="1444">
        <v>5.1525981018999829</v>
      </c>
      <c r="AC177" s="1444">
        <v>5.2663260149347551</v>
      </c>
      <c r="AD177" s="1444">
        <v>5.3725317399144643</v>
      </c>
      <c r="AE177" s="1442">
        <f t="shared" si="30"/>
        <v>5.3725317399144643</v>
      </c>
      <c r="AF177" s="1442">
        <f t="shared" si="30"/>
        <v>5.3725317399144643</v>
      </c>
      <c r="AG177" s="1442">
        <f t="shared" si="30"/>
        <v>5.3725317399144643</v>
      </c>
      <c r="AH177" s="1442">
        <f t="shared" si="30"/>
        <v>5.3725317399144643</v>
      </c>
      <c r="AI177" s="1442">
        <f t="shared" si="30"/>
        <v>5.3725317399144643</v>
      </c>
      <c r="AJ177" s="1442">
        <f t="shared" si="30"/>
        <v>5.3725317399144643</v>
      </c>
      <c r="AK177" s="1442">
        <f t="shared" si="30"/>
        <v>5.3725317399144643</v>
      </c>
      <c r="AL177" s="1442">
        <f t="shared" si="30"/>
        <v>5.3725317399144643</v>
      </c>
      <c r="AM177" s="1442">
        <f t="shared" si="30"/>
        <v>5.3725317399144643</v>
      </c>
      <c r="AN177" s="1442">
        <f t="shared" si="30"/>
        <v>5.3725317399144643</v>
      </c>
      <c r="AO177" s="1442">
        <f t="shared" si="30"/>
        <v>5.3725317399144643</v>
      </c>
      <c r="AP177" s="1442">
        <f t="shared" si="30"/>
        <v>5.3725317399144643</v>
      </c>
      <c r="AQ177" s="1442">
        <f t="shared" si="30"/>
        <v>5.3725317399144643</v>
      </c>
      <c r="AR177" s="1442">
        <f t="shared" si="30"/>
        <v>5.3725317399144643</v>
      </c>
      <c r="AS177" s="1442">
        <f t="shared" si="30"/>
        <v>5.3725317399144643</v>
      </c>
      <c r="AT177" s="1442">
        <f t="shared" si="30"/>
        <v>5.3725317399144643</v>
      </c>
      <c r="AU177" s="1442">
        <f t="shared" si="29"/>
        <v>5.3725317399144643</v>
      </c>
      <c r="AV177" s="1442">
        <f t="shared" si="29"/>
        <v>5.3725317399144643</v>
      </c>
      <c r="AW177" s="1442">
        <f t="shared" si="29"/>
        <v>5.3725317399144643</v>
      </c>
      <c r="AX177" s="1442">
        <f t="shared" si="29"/>
        <v>5.3725317399144643</v>
      </c>
      <c r="AY177" s="1442">
        <f t="shared" si="29"/>
        <v>5.3725317399144643</v>
      </c>
      <c r="AZ177" s="1442">
        <f t="shared" si="29"/>
        <v>5.3725317399144643</v>
      </c>
      <c r="BA177" s="1442">
        <f t="shared" si="29"/>
        <v>5.3725317399144643</v>
      </c>
      <c r="BB177" s="1442">
        <f t="shared" si="29"/>
        <v>5.3725317399144643</v>
      </c>
      <c r="BC177" s="1442">
        <f t="shared" si="29"/>
        <v>5.3725317399144643</v>
      </c>
      <c r="BD177" s="1442">
        <f t="shared" si="29"/>
        <v>5.3725317399144643</v>
      </c>
      <c r="BE177" s="1442">
        <f t="shared" si="29"/>
        <v>5.3725317399144643</v>
      </c>
      <c r="BF177" s="1442">
        <f t="shared" si="29"/>
        <v>5.3725317399144643</v>
      </c>
      <c r="BG177" s="1442">
        <f t="shared" si="29"/>
        <v>5.3725317399144643</v>
      </c>
      <c r="BH177" s="1442">
        <f t="shared" si="29"/>
        <v>5.3725317399144643</v>
      </c>
      <c r="BI177" s="1442">
        <f t="shared" si="29"/>
        <v>5.3725317399144643</v>
      </c>
      <c r="BJ177" s="1442">
        <f t="shared" si="31"/>
        <v>5.3725317399144643</v>
      </c>
      <c r="BK177" s="1442">
        <f t="shared" si="31"/>
        <v>5.3725317399144643</v>
      </c>
      <c r="BL177" s="1442">
        <f t="shared" si="31"/>
        <v>5.3725317399144643</v>
      </c>
      <c r="BM177" s="1442">
        <f t="shared" si="31"/>
        <v>5.3725317399144643</v>
      </c>
      <c r="BN177" s="1443">
        <f t="shared" si="31"/>
        <v>5.3725317399144643</v>
      </c>
    </row>
    <row r="178" spans="1:66" s="91" customFormat="1">
      <c r="A178" s="1434">
        <v>76</v>
      </c>
      <c r="B178" s="1435">
        <v>0</v>
      </c>
      <c r="C178" s="1436" t="s">
        <v>205</v>
      </c>
      <c r="D178" s="1435" t="s">
        <v>212</v>
      </c>
      <c r="E178" s="1437">
        <v>2.546180837106518</v>
      </c>
      <c r="F178" s="1437">
        <v>2.5603762622197137</v>
      </c>
      <c r="G178" s="1437">
        <v>2.5749975500863052</v>
      </c>
      <c r="H178" s="1437">
        <v>2.5900574765888944</v>
      </c>
      <c r="I178" s="1437">
        <v>2.6055692008865612</v>
      </c>
      <c r="J178" s="1437">
        <v>2.6215462769131581</v>
      </c>
      <c r="K178" s="1437">
        <v>2.6380026652205526</v>
      </c>
      <c r="L178" s="1437">
        <v>2.6549527451771695</v>
      </c>
      <c r="M178" s="1437">
        <v>2.6724113275324846</v>
      </c>
      <c r="N178" s="1437">
        <v>2.690393667358459</v>
      </c>
      <c r="O178" s="1437">
        <v>2.7089154773792128</v>
      </c>
      <c r="P178" s="1437">
        <v>2.727992941700589</v>
      </c>
      <c r="Q178" s="1437">
        <v>2.7476427299516071</v>
      </c>
      <c r="R178" s="1437">
        <v>2.7678820118501553</v>
      </c>
      <c r="S178" s="1437">
        <v>2.7887284722056598</v>
      </c>
      <c r="T178" s="1437">
        <v>2.8102003263718296</v>
      </c>
      <c r="U178" s="1437">
        <v>2.8323163361629846</v>
      </c>
      <c r="V178" s="1437">
        <v>2.8550958262478741</v>
      </c>
      <c r="W178" s="1437">
        <v>2.8785587010353102</v>
      </c>
      <c r="X178" s="1437">
        <v>2.9027254620663698</v>
      </c>
      <c r="Y178" s="1437">
        <v>2.927617225928361</v>
      </c>
      <c r="Z178" s="1437">
        <v>2.9532557427062116</v>
      </c>
      <c r="AA178" s="1437">
        <v>2.9796634149873977</v>
      </c>
      <c r="AB178" s="1437">
        <v>3.0068633174370198</v>
      </c>
      <c r="AC178" s="1437">
        <v>3.0348792169601309</v>
      </c>
      <c r="AD178" s="1437">
        <v>3.0637355934689348</v>
      </c>
      <c r="AE178" s="1437">
        <f t="shared" si="30"/>
        <v>3.0637355934689348</v>
      </c>
      <c r="AF178" s="1437">
        <f t="shared" si="30"/>
        <v>3.0637355934689348</v>
      </c>
      <c r="AG178" s="1437">
        <f t="shared" si="30"/>
        <v>3.0637355934689348</v>
      </c>
      <c r="AH178" s="1437">
        <f t="shared" si="30"/>
        <v>3.0637355934689348</v>
      </c>
      <c r="AI178" s="1437">
        <f t="shared" si="30"/>
        <v>3.0637355934689348</v>
      </c>
      <c r="AJ178" s="1437">
        <f t="shared" si="30"/>
        <v>3.0637355934689348</v>
      </c>
      <c r="AK178" s="1437">
        <f t="shared" si="30"/>
        <v>3.0637355934689348</v>
      </c>
      <c r="AL178" s="1437">
        <f t="shared" si="30"/>
        <v>3.0637355934689348</v>
      </c>
      <c r="AM178" s="1437">
        <f t="shared" si="30"/>
        <v>3.0637355934689348</v>
      </c>
      <c r="AN178" s="1437">
        <f t="shared" si="30"/>
        <v>3.0637355934689348</v>
      </c>
      <c r="AO178" s="1437">
        <f t="shared" si="30"/>
        <v>3.0637355934689348</v>
      </c>
      <c r="AP178" s="1437">
        <f t="shared" si="30"/>
        <v>3.0637355934689348</v>
      </c>
      <c r="AQ178" s="1437">
        <f t="shared" si="30"/>
        <v>3.0637355934689348</v>
      </c>
      <c r="AR178" s="1437">
        <f t="shared" si="30"/>
        <v>3.0637355934689348</v>
      </c>
      <c r="AS178" s="1437">
        <f t="shared" si="30"/>
        <v>3.0637355934689348</v>
      </c>
      <c r="AT178" s="1437">
        <f t="shared" si="30"/>
        <v>3.0637355934689348</v>
      </c>
      <c r="AU178" s="1437">
        <f t="shared" si="29"/>
        <v>3.0637355934689348</v>
      </c>
      <c r="AV178" s="1437">
        <f t="shared" si="29"/>
        <v>3.0637355934689348</v>
      </c>
      <c r="AW178" s="1437">
        <f t="shared" si="29"/>
        <v>3.0637355934689348</v>
      </c>
      <c r="AX178" s="1437">
        <f t="shared" si="29"/>
        <v>3.0637355934689348</v>
      </c>
      <c r="AY178" s="1437">
        <f t="shared" si="29"/>
        <v>3.0637355934689348</v>
      </c>
      <c r="AZ178" s="1437">
        <f t="shared" si="29"/>
        <v>3.0637355934689348</v>
      </c>
      <c r="BA178" s="1437">
        <f t="shared" si="29"/>
        <v>3.0637355934689348</v>
      </c>
      <c r="BB178" s="1437">
        <f t="shared" si="29"/>
        <v>3.0637355934689348</v>
      </c>
      <c r="BC178" s="1437">
        <f t="shared" si="29"/>
        <v>3.0637355934689348</v>
      </c>
      <c r="BD178" s="1437">
        <f t="shared" si="29"/>
        <v>3.0637355934689348</v>
      </c>
      <c r="BE178" s="1437">
        <f t="shared" si="29"/>
        <v>3.0637355934689348</v>
      </c>
      <c r="BF178" s="1437">
        <f t="shared" si="29"/>
        <v>3.0637355934689348</v>
      </c>
      <c r="BG178" s="1437">
        <f t="shared" si="29"/>
        <v>3.0637355934689348</v>
      </c>
      <c r="BH178" s="1437">
        <f t="shared" si="29"/>
        <v>3.0637355934689348</v>
      </c>
      <c r="BI178" s="1437">
        <f t="shared" si="29"/>
        <v>3.0637355934689348</v>
      </c>
      <c r="BJ178" s="1437">
        <f t="shared" si="31"/>
        <v>3.0637355934689348</v>
      </c>
      <c r="BK178" s="1437">
        <f t="shared" si="31"/>
        <v>3.0637355934689348</v>
      </c>
      <c r="BL178" s="1437">
        <f t="shared" si="31"/>
        <v>3.0637355934689348</v>
      </c>
      <c r="BM178" s="1437">
        <f t="shared" si="31"/>
        <v>3.0637355934689348</v>
      </c>
      <c r="BN178" s="1438">
        <f t="shared" si="31"/>
        <v>3.0637355934689348</v>
      </c>
    </row>
    <row r="179" spans="1:66" s="91" customFormat="1">
      <c r="A179" s="1439">
        <v>77</v>
      </c>
      <c r="B179" s="1440">
        <v>0</v>
      </c>
      <c r="C179" s="1441" t="s">
        <v>69</v>
      </c>
      <c r="D179" s="1440" t="s">
        <v>110</v>
      </c>
      <c r="E179" s="1442">
        <v>2.9385611395552806</v>
      </c>
      <c r="F179" s="1442">
        <v>3.37293251974019</v>
      </c>
      <c r="G179" s="1442">
        <v>3.5236684849622448</v>
      </c>
      <c r="H179" s="1442">
        <v>3.5359769146088618</v>
      </c>
      <c r="I179" s="1442">
        <v>3.5880856256587879</v>
      </c>
      <c r="J179" s="1442">
        <v>3.6404165809388171</v>
      </c>
      <c r="K179" s="1442">
        <v>3.7106620872802338</v>
      </c>
      <c r="L179" s="1442">
        <v>3.7856860594834822</v>
      </c>
      <c r="M179" s="1442">
        <v>3.8631595076097014</v>
      </c>
      <c r="N179" s="1442">
        <v>3.942067203540375</v>
      </c>
      <c r="O179" s="1442">
        <v>4.0211747131911064</v>
      </c>
      <c r="P179" s="1442">
        <v>4.1051350305371734</v>
      </c>
      <c r="Q179" s="1442">
        <v>4.1909110599353907</v>
      </c>
      <c r="R179" s="1442">
        <v>4.2785440538484547</v>
      </c>
      <c r="S179" s="1442">
        <v>4.3680759560967886</v>
      </c>
      <c r="T179" s="1442">
        <v>4.4595495262176481</v>
      </c>
      <c r="U179" s="1442">
        <v>4.5530090840978872</v>
      </c>
      <c r="V179" s="1442">
        <v>4.648499458211619</v>
      </c>
      <c r="W179" s="1442">
        <v>4.7459386731935718</v>
      </c>
      <c r="X179" s="1442">
        <v>4.8416013903773303</v>
      </c>
      <c r="Y179" s="1442">
        <v>4.9418951875907657</v>
      </c>
      <c r="Z179" s="1442">
        <v>5.0446777473458742</v>
      </c>
      <c r="AA179" s="1442">
        <v>5.1453995641381525</v>
      </c>
      <c r="AB179" s="1442">
        <v>5.253216086201788</v>
      </c>
      <c r="AC179" s="1442">
        <v>5.3689882543202776</v>
      </c>
      <c r="AD179" s="1442">
        <v>5.4770387825236595</v>
      </c>
      <c r="AE179" s="1442">
        <f t="shared" si="30"/>
        <v>5.4770387825236595</v>
      </c>
      <c r="AF179" s="1442">
        <f t="shared" si="30"/>
        <v>5.4770387825236595</v>
      </c>
      <c r="AG179" s="1442">
        <f t="shared" si="30"/>
        <v>5.4770387825236595</v>
      </c>
      <c r="AH179" s="1442">
        <f t="shared" si="30"/>
        <v>5.4770387825236595</v>
      </c>
      <c r="AI179" s="1442">
        <f t="shared" si="30"/>
        <v>5.4770387825236595</v>
      </c>
      <c r="AJ179" s="1442">
        <f t="shared" si="30"/>
        <v>5.4770387825236595</v>
      </c>
      <c r="AK179" s="1442">
        <f t="shared" si="30"/>
        <v>5.4770387825236595</v>
      </c>
      <c r="AL179" s="1442">
        <f t="shared" si="30"/>
        <v>5.4770387825236595</v>
      </c>
      <c r="AM179" s="1442">
        <f t="shared" si="30"/>
        <v>5.4770387825236595</v>
      </c>
      <c r="AN179" s="1442">
        <f t="shared" si="30"/>
        <v>5.4770387825236595</v>
      </c>
      <c r="AO179" s="1442">
        <f t="shared" si="30"/>
        <v>5.4770387825236595</v>
      </c>
      <c r="AP179" s="1442">
        <f t="shared" si="30"/>
        <v>5.4770387825236595</v>
      </c>
      <c r="AQ179" s="1442">
        <f t="shared" si="30"/>
        <v>5.4770387825236595</v>
      </c>
      <c r="AR179" s="1442">
        <f t="shared" si="30"/>
        <v>5.4770387825236595</v>
      </c>
      <c r="AS179" s="1442">
        <f t="shared" si="30"/>
        <v>5.4770387825236595</v>
      </c>
      <c r="AT179" s="1442">
        <f t="shared" si="30"/>
        <v>5.4770387825236595</v>
      </c>
      <c r="AU179" s="1442">
        <f t="shared" si="29"/>
        <v>5.4770387825236595</v>
      </c>
      <c r="AV179" s="1442">
        <f t="shared" si="29"/>
        <v>5.4770387825236595</v>
      </c>
      <c r="AW179" s="1442">
        <f t="shared" si="29"/>
        <v>5.4770387825236595</v>
      </c>
      <c r="AX179" s="1442">
        <f t="shared" si="29"/>
        <v>5.4770387825236595</v>
      </c>
      <c r="AY179" s="1442">
        <f t="shared" si="29"/>
        <v>5.4770387825236595</v>
      </c>
      <c r="AZ179" s="1442">
        <f t="shared" si="29"/>
        <v>5.4770387825236595</v>
      </c>
      <c r="BA179" s="1442">
        <f t="shared" si="29"/>
        <v>5.4770387825236595</v>
      </c>
      <c r="BB179" s="1442">
        <f t="shared" si="29"/>
        <v>5.4770387825236595</v>
      </c>
      <c r="BC179" s="1442">
        <f t="shared" si="29"/>
        <v>5.4770387825236595</v>
      </c>
      <c r="BD179" s="1442">
        <f t="shared" si="29"/>
        <v>5.4770387825236595</v>
      </c>
      <c r="BE179" s="1442">
        <f t="shared" si="29"/>
        <v>5.4770387825236595</v>
      </c>
      <c r="BF179" s="1442">
        <f t="shared" si="29"/>
        <v>5.4770387825236595</v>
      </c>
      <c r="BG179" s="1442">
        <f t="shared" si="29"/>
        <v>5.4770387825236595</v>
      </c>
      <c r="BH179" s="1442">
        <f t="shared" si="29"/>
        <v>5.4770387825236595</v>
      </c>
      <c r="BI179" s="1442">
        <f t="shared" si="29"/>
        <v>5.4770387825236595</v>
      </c>
      <c r="BJ179" s="1442">
        <f t="shared" si="31"/>
        <v>5.4770387825236595</v>
      </c>
      <c r="BK179" s="1442">
        <f t="shared" si="31"/>
        <v>5.4770387825236595</v>
      </c>
      <c r="BL179" s="1442">
        <f t="shared" si="31"/>
        <v>5.4770387825236595</v>
      </c>
      <c r="BM179" s="1442">
        <f t="shared" si="31"/>
        <v>5.4770387825236595</v>
      </c>
      <c r="BN179" s="1443">
        <f t="shared" si="31"/>
        <v>5.4770387825236595</v>
      </c>
    </row>
    <row r="180" spans="1:66" s="39" customFormat="1">
      <c r="A180" s="1434">
        <v>78</v>
      </c>
      <c r="B180" s="1435">
        <v>0</v>
      </c>
      <c r="C180" s="1436" t="s">
        <v>54</v>
      </c>
      <c r="D180" s="1435" t="s">
        <v>68</v>
      </c>
      <c r="E180" s="1437">
        <v>2.6252206367946944</v>
      </c>
      <c r="F180" s="1437">
        <v>3.0865479221301388</v>
      </c>
      <c r="G180" s="1437">
        <v>3.2489256824929393</v>
      </c>
      <c r="H180" s="1437">
        <v>3.2609853994476095</v>
      </c>
      <c r="I180" s="1437">
        <v>3.316446658345197</v>
      </c>
      <c r="J180" s="1437">
        <v>3.372202546112542</v>
      </c>
      <c r="K180" s="1437">
        <v>3.4476867414816166</v>
      </c>
      <c r="L180" s="1437">
        <v>3.5285931562226795</v>
      </c>
      <c r="M180" s="1437">
        <v>3.612389150113533</v>
      </c>
      <c r="N180" s="1437">
        <v>3.697964760831169</v>
      </c>
      <c r="O180" s="1437">
        <v>3.7839486034489664</v>
      </c>
      <c r="P180" s="1437">
        <v>3.8755405519766599</v>
      </c>
      <c r="Q180" s="1437">
        <v>3.9693749879553812</v>
      </c>
      <c r="R180" s="1437">
        <v>4.0655078354595098</v>
      </c>
      <c r="S180" s="1437">
        <v>4.1639961064564011</v>
      </c>
      <c r="T180" s="1437">
        <v>4.2648980445395317</v>
      </c>
      <c r="U180" s="1437">
        <v>4.368273979222991</v>
      </c>
      <c r="V180" s="1437">
        <v>4.474185141382514</v>
      </c>
      <c r="W180" s="1437">
        <v>4.5825472735705697</v>
      </c>
      <c r="X180" s="1437">
        <v>4.6890695602676171</v>
      </c>
      <c r="Y180" s="1437">
        <v>4.8011340480245623</v>
      </c>
      <c r="Z180" s="1437">
        <v>4.9162919590378937</v>
      </c>
      <c r="AA180" s="1437">
        <v>5.0292487545414302</v>
      </c>
      <c r="AB180" s="1437">
        <v>5.150680787595447</v>
      </c>
      <c r="AC180" s="1437">
        <v>5.2816738654401014</v>
      </c>
      <c r="AD180" s="1437">
        <v>5.4038124088058783</v>
      </c>
      <c r="AE180" s="1437">
        <f t="shared" si="30"/>
        <v>5.4038124088058783</v>
      </c>
      <c r="AF180" s="1437">
        <f t="shared" si="30"/>
        <v>5.4038124088058783</v>
      </c>
      <c r="AG180" s="1437">
        <f t="shared" si="30"/>
        <v>5.4038124088058783</v>
      </c>
      <c r="AH180" s="1437">
        <f t="shared" si="30"/>
        <v>5.4038124088058783</v>
      </c>
      <c r="AI180" s="1437">
        <f t="shared" si="30"/>
        <v>5.4038124088058783</v>
      </c>
      <c r="AJ180" s="1437">
        <f t="shared" si="30"/>
        <v>5.4038124088058783</v>
      </c>
      <c r="AK180" s="1437">
        <f t="shared" si="30"/>
        <v>5.4038124088058783</v>
      </c>
      <c r="AL180" s="1437">
        <f t="shared" si="30"/>
        <v>5.4038124088058783</v>
      </c>
      <c r="AM180" s="1437">
        <f t="shared" si="30"/>
        <v>5.4038124088058783</v>
      </c>
      <c r="AN180" s="1437">
        <f t="shared" si="30"/>
        <v>5.4038124088058783</v>
      </c>
      <c r="AO180" s="1437">
        <f t="shared" si="30"/>
        <v>5.4038124088058783</v>
      </c>
      <c r="AP180" s="1437">
        <f t="shared" si="30"/>
        <v>5.4038124088058783</v>
      </c>
      <c r="AQ180" s="1437">
        <f t="shared" si="30"/>
        <v>5.4038124088058783</v>
      </c>
      <c r="AR180" s="1437">
        <f t="shared" si="30"/>
        <v>5.4038124088058783</v>
      </c>
      <c r="AS180" s="1437">
        <f t="shared" si="30"/>
        <v>5.4038124088058783</v>
      </c>
      <c r="AT180" s="1437">
        <f t="shared" si="30"/>
        <v>5.4038124088058783</v>
      </c>
      <c r="AU180" s="1437">
        <f t="shared" si="29"/>
        <v>5.4038124088058783</v>
      </c>
      <c r="AV180" s="1437">
        <f t="shared" si="29"/>
        <v>5.4038124088058783</v>
      </c>
      <c r="AW180" s="1437">
        <f t="shared" si="29"/>
        <v>5.4038124088058783</v>
      </c>
      <c r="AX180" s="1437">
        <f t="shared" si="29"/>
        <v>5.4038124088058783</v>
      </c>
      <c r="AY180" s="1437">
        <f t="shared" si="29"/>
        <v>5.4038124088058783</v>
      </c>
      <c r="AZ180" s="1437">
        <f t="shared" si="29"/>
        <v>5.4038124088058783</v>
      </c>
      <c r="BA180" s="1437">
        <f t="shared" si="29"/>
        <v>5.4038124088058783</v>
      </c>
      <c r="BB180" s="1437">
        <f t="shared" si="29"/>
        <v>5.4038124088058783</v>
      </c>
      <c r="BC180" s="1437">
        <f t="shared" si="29"/>
        <v>5.4038124088058783</v>
      </c>
      <c r="BD180" s="1437">
        <f t="shared" si="29"/>
        <v>5.4038124088058783</v>
      </c>
      <c r="BE180" s="1437">
        <f t="shared" si="29"/>
        <v>5.4038124088058783</v>
      </c>
      <c r="BF180" s="1437">
        <f t="shared" si="29"/>
        <v>5.4038124088058783</v>
      </c>
      <c r="BG180" s="1437">
        <f t="shared" si="29"/>
        <v>5.4038124088058783</v>
      </c>
      <c r="BH180" s="1437">
        <f t="shared" si="29"/>
        <v>5.4038124088058783</v>
      </c>
      <c r="BI180" s="1437">
        <f t="shared" si="29"/>
        <v>5.4038124088058783</v>
      </c>
      <c r="BJ180" s="1437">
        <f t="shared" si="31"/>
        <v>5.4038124088058783</v>
      </c>
      <c r="BK180" s="1437">
        <f t="shared" si="31"/>
        <v>5.4038124088058783</v>
      </c>
      <c r="BL180" s="1437">
        <f t="shared" si="31"/>
        <v>5.4038124088058783</v>
      </c>
      <c r="BM180" s="1437">
        <f t="shared" si="31"/>
        <v>5.4038124088058783</v>
      </c>
      <c r="BN180" s="1438">
        <f t="shared" si="31"/>
        <v>5.4038124088058783</v>
      </c>
    </row>
    <row r="181" spans="1:66" s="39" customFormat="1">
      <c r="A181" s="1439">
        <v>178</v>
      </c>
      <c r="B181" s="1440">
        <v>0</v>
      </c>
      <c r="C181" s="1441" t="s">
        <v>251</v>
      </c>
      <c r="D181" s="1440" t="s">
        <v>261</v>
      </c>
      <c r="E181" s="1442">
        <v>3.241378863453674</v>
      </c>
      <c r="F181" s="1442">
        <v>3.7273596145033019</v>
      </c>
      <c r="G181" s="1442">
        <v>3.8948142728799207</v>
      </c>
      <c r="H181" s="1442">
        <v>3.9067847416795183</v>
      </c>
      <c r="I181" s="1442">
        <v>3.9633885873011176</v>
      </c>
      <c r="J181" s="1442">
        <v>4.020184816745731</v>
      </c>
      <c r="K181" s="1442">
        <v>4.0970371327048722</v>
      </c>
      <c r="L181" s="1442">
        <v>4.1791942047591162</v>
      </c>
      <c r="M181" s="1442">
        <v>4.2640391586261579</v>
      </c>
      <c r="N181" s="1442">
        <v>4.3504301940014605</v>
      </c>
      <c r="O181" s="1442">
        <v>4.4369793237724302</v>
      </c>
      <c r="P181" s="1442">
        <v>4.528909071982147</v>
      </c>
      <c r="Q181" s="1442">
        <v>4.6228072551163466</v>
      </c>
      <c r="R181" s="1442">
        <v>4.7187180836730258</v>
      </c>
      <c r="S181" s="1442">
        <v>4.8166864811583361</v>
      </c>
      <c r="T181" s="1442">
        <v>4.9167582218224286</v>
      </c>
      <c r="U181" s="1442">
        <v>5.018980764799009</v>
      </c>
      <c r="V181" s="1442">
        <v>5.1234020711435146</v>
      </c>
      <c r="W181" s="1442">
        <v>5.2299276518021074</v>
      </c>
      <c r="X181" s="1442">
        <v>5.3343720740593579</v>
      </c>
      <c r="Y181" s="1442">
        <v>5.4439273519839499</v>
      </c>
      <c r="Z181" s="1442">
        <v>5.5561853600029583</v>
      </c>
      <c r="AA181" s="1442">
        <v>5.6660350342993935</v>
      </c>
      <c r="AB181" s="1442">
        <v>5.7837535342589543</v>
      </c>
      <c r="AC181" s="1442">
        <v>5.9103046290556014</v>
      </c>
      <c r="AD181" s="1442">
        <v>6.0280824162698536</v>
      </c>
      <c r="AE181" s="1442">
        <f t="shared" si="30"/>
        <v>6.0280824162698536</v>
      </c>
      <c r="AF181" s="1442">
        <f t="shared" si="30"/>
        <v>6.0280824162698536</v>
      </c>
      <c r="AG181" s="1442">
        <f t="shared" si="30"/>
        <v>6.0280824162698536</v>
      </c>
      <c r="AH181" s="1442">
        <f t="shared" si="30"/>
        <v>6.0280824162698536</v>
      </c>
      <c r="AI181" s="1442">
        <f t="shared" si="30"/>
        <v>6.0280824162698536</v>
      </c>
      <c r="AJ181" s="1442">
        <f t="shared" si="30"/>
        <v>6.0280824162698536</v>
      </c>
      <c r="AK181" s="1442">
        <f t="shared" si="30"/>
        <v>6.0280824162698536</v>
      </c>
      <c r="AL181" s="1442">
        <f t="shared" si="30"/>
        <v>6.0280824162698536</v>
      </c>
      <c r="AM181" s="1442">
        <f t="shared" si="30"/>
        <v>6.0280824162698536</v>
      </c>
      <c r="AN181" s="1442">
        <f t="shared" si="30"/>
        <v>6.0280824162698536</v>
      </c>
      <c r="AO181" s="1442">
        <f t="shared" si="30"/>
        <v>6.0280824162698536</v>
      </c>
      <c r="AP181" s="1442">
        <f t="shared" si="30"/>
        <v>6.0280824162698536</v>
      </c>
      <c r="AQ181" s="1442">
        <f t="shared" si="30"/>
        <v>6.0280824162698536</v>
      </c>
      <c r="AR181" s="1442">
        <f t="shared" si="30"/>
        <v>6.0280824162698536</v>
      </c>
      <c r="AS181" s="1442">
        <f t="shared" si="30"/>
        <v>6.0280824162698536</v>
      </c>
      <c r="AT181" s="1442">
        <f t="shared" si="30"/>
        <v>6.0280824162698536</v>
      </c>
      <c r="AU181" s="1442">
        <f t="shared" si="29"/>
        <v>6.0280824162698536</v>
      </c>
      <c r="AV181" s="1442">
        <f t="shared" si="29"/>
        <v>6.0280824162698536</v>
      </c>
      <c r="AW181" s="1442">
        <f t="shared" si="29"/>
        <v>6.0280824162698536</v>
      </c>
      <c r="AX181" s="1442">
        <f t="shared" si="29"/>
        <v>6.0280824162698536</v>
      </c>
      <c r="AY181" s="1442">
        <f t="shared" si="29"/>
        <v>6.0280824162698536</v>
      </c>
      <c r="AZ181" s="1442">
        <f t="shared" si="29"/>
        <v>6.0280824162698536</v>
      </c>
      <c r="BA181" s="1442">
        <f t="shared" si="29"/>
        <v>6.0280824162698536</v>
      </c>
      <c r="BB181" s="1442">
        <f t="shared" si="29"/>
        <v>6.0280824162698536</v>
      </c>
      <c r="BC181" s="1442">
        <f t="shared" si="29"/>
        <v>6.0280824162698536</v>
      </c>
      <c r="BD181" s="1442">
        <f t="shared" si="29"/>
        <v>6.0280824162698536</v>
      </c>
      <c r="BE181" s="1442">
        <f t="shared" si="29"/>
        <v>6.0280824162698536</v>
      </c>
      <c r="BF181" s="1442">
        <f t="shared" si="29"/>
        <v>6.0280824162698536</v>
      </c>
      <c r="BG181" s="1442">
        <f t="shared" si="29"/>
        <v>6.0280824162698536</v>
      </c>
      <c r="BH181" s="1442">
        <f t="shared" si="29"/>
        <v>6.0280824162698536</v>
      </c>
      <c r="BI181" s="1442">
        <f t="shared" si="29"/>
        <v>6.0280824162698536</v>
      </c>
      <c r="BJ181" s="1442">
        <f t="shared" si="31"/>
        <v>6.0280824162698536</v>
      </c>
      <c r="BK181" s="1442">
        <f t="shared" si="31"/>
        <v>6.0280824162698536</v>
      </c>
      <c r="BL181" s="1442">
        <f t="shared" si="31"/>
        <v>6.0280824162698536</v>
      </c>
      <c r="BM181" s="1442">
        <f t="shared" si="31"/>
        <v>6.0280824162698536</v>
      </c>
      <c r="BN181" s="1443">
        <f t="shared" si="31"/>
        <v>6.0280824162698536</v>
      </c>
    </row>
    <row r="182" spans="1:66" s="39" customFormat="1">
      <c r="A182" s="1448"/>
      <c r="B182" s="1449">
        <v>1</v>
      </c>
      <c r="C182" s="1436" t="s">
        <v>1326</v>
      </c>
      <c r="D182" s="1436" t="s">
        <v>552</v>
      </c>
      <c r="E182" s="1437">
        <v>3.0731808371065181</v>
      </c>
      <c r="F182" s="1437">
        <v>3.6275813442754883</v>
      </c>
      <c r="G182" s="1437">
        <v>3.8207155149176733</v>
      </c>
      <c r="H182" s="1437">
        <v>3.8321507199696079</v>
      </c>
      <c r="I182" s="1437">
        <v>3.8959277179740353</v>
      </c>
      <c r="J182" s="1437">
        <v>3.9599638078445829</v>
      </c>
      <c r="K182" s="1437">
        <v>4.0477350010094924</v>
      </c>
      <c r="L182" s="1437">
        <v>4.1419543166297119</v>
      </c>
      <c r="M182" s="1437">
        <v>4.2395588470373777</v>
      </c>
      <c r="N182" s="1437">
        <v>4.3392044090508719</v>
      </c>
      <c r="O182" s="1437">
        <v>4.4392308849136466</v>
      </c>
      <c r="P182" s="1437">
        <v>4.5459171652818924</v>
      </c>
      <c r="Q182" s="1437">
        <v>4.6551935878172657</v>
      </c>
      <c r="R182" s="1437">
        <v>4.767124143549645</v>
      </c>
      <c r="S182" s="1437">
        <v>4.8817740306339932</v>
      </c>
      <c r="T182" s="1437">
        <v>4.9992098247858543</v>
      </c>
      <c r="U182" s="1437">
        <v>5.1195005080893683</v>
      </c>
      <c r="V182" s="1437">
        <v>5.2427160344526618</v>
      </c>
      <c r="W182" s="1437">
        <v>5.3687504645029653</v>
      </c>
      <c r="X182" s="1437">
        <v>5.4924155557984546</v>
      </c>
      <c r="Y182" s="1437">
        <v>5.6226255773245102</v>
      </c>
      <c r="Z182" s="1437">
        <v>5.7564174958405516</v>
      </c>
      <c r="AA182" s="1437">
        <v>5.8873900188325443</v>
      </c>
      <c r="AB182" s="1437">
        <v>6.0284370441871102</v>
      </c>
      <c r="AC182" s="1437">
        <v>6.1808654493129547</v>
      </c>
      <c r="AD182" s="1437">
        <v>6.3224212442355228</v>
      </c>
      <c r="AE182" s="1437">
        <f t="shared" si="30"/>
        <v>6.3224212442355228</v>
      </c>
      <c r="AF182" s="1437">
        <f t="shared" si="30"/>
        <v>6.3224212442355228</v>
      </c>
      <c r="AG182" s="1437">
        <f t="shared" si="30"/>
        <v>6.3224212442355228</v>
      </c>
      <c r="AH182" s="1437">
        <f t="shared" si="30"/>
        <v>6.3224212442355228</v>
      </c>
      <c r="AI182" s="1437">
        <f t="shared" si="30"/>
        <v>6.3224212442355228</v>
      </c>
      <c r="AJ182" s="1437">
        <f t="shared" si="30"/>
        <v>6.3224212442355228</v>
      </c>
      <c r="AK182" s="1437">
        <f t="shared" si="30"/>
        <v>6.3224212442355228</v>
      </c>
      <c r="AL182" s="1437">
        <f t="shared" si="30"/>
        <v>6.3224212442355228</v>
      </c>
      <c r="AM182" s="1437">
        <f t="shared" si="30"/>
        <v>6.3224212442355228</v>
      </c>
      <c r="AN182" s="1437">
        <f t="shared" si="30"/>
        <v>6.3224212442355228</v>
      </c>
      <c r="AO182" s="1437">
        <f t="shared" si="30"/>
        <v>6.3224212442355228</v>
      </c>
      <c r="AP182" s="1437">
        <f t="shared" si="30"/>
        <v>6.3224212442355228</v>
      </c>
      <c r="AQ182" s="1437">
        <f t="shared" si="30"/>
        <v>6.3224212442355228</v>
      </c>
      <c r="AR182" s="1437">
        <f t="shared" si="30"/>
        <v>6.3224212442355228</v>
      </c>
      <c r="AS182" s="1437">
        <f t="shared" si="30"/>
        <v>6.3224212442355228</v>
      </c>
      <c r="AT182" s="1437">
        <f t="shared" ref="AT182:BI183" si="32">AS182</f>
        <v>6.3224212442355228</v>
      </c>
      <c r="AU182" s="1437">
        <f t="shared" si="32"/>
        <v>6.3224212442355228</v>
      </c>
      <c r="AV182" s="1437">
        <f t="shared" si="32"/>
        <v>6.3224212442355228</v>
      </c>
      <c r="AW182" s="1437">
        <f t="shared" si="32"/>
        <v>6.3224212442355228</v>
      </c>
      <c r="AX182" s="1437">
        <f t="shared" si="32"/>
        <v>6.3224212442355228</v>
      </c>
      <c r="AY182" s="1437">
        <f t="shared" si="32"/>
        <v>6.3224212442355228</v>
      </c>
      <c r="AZ182" s="1437">
        <f t="shared" si="32"/>
        <v>6.3224212442355228</v>
      </c>
      <c r="BA182" s="1437">
        <f t="shared" si="32"/>
        <v>6.3224212442355228</v>
      </c>
      <c r="BB182" s="1437">
        <f t="shared" si="32"/>
        <v>6.3224212442355228</v>
      </c>
      <c r="BC182" s="1437">
        <f t="shared" si="32"/>
        <v>6.3224212442355228</v>
      </c>
      <c r="BD182" s="1437">
        <f t="shared" si="32"/>
        <v>6.3224212442355228</v>
      </c>
      <c r="BE182" s="1437">
        <f t="shared" si="32"/>
        <v>6.3224212442355228</v>
      </c>
      <c r="BF182" s="1437">
        <f t="shared" si="32"/>
        <v>6.3224212442355228</v>
      </c>
      <c r="BG182" s="1437">
        <f t="shared" si="32"/>
        <v>6.3224212442355228</v>
      </c>
      <c r="BH182" s="1437">
        <f t="shared" si="32"/>
        <v>6.3224212442355228</v>
      </c>
      <c r="BI182" s="1437">
        <f t="shared" si="32"/>
        <v>6.3224212442355228</v>
      </c>
      <c r="BJ182" s="1437">
        <f t="shared" si="31"/>
        <v>6.3224212442355228</v>
      </c>
      <c r="BK182" s="1437">
        <f t="shared" si="31"/>
        <v>6.3224212442355228</v>
      </c>
      <c r="BL182" s="1437">
        <f t="shared" si="31"/>
        <v>6.3224212442355228</v>
      </c>
      <c r="BM182" s="1437">
        <f t="shared" si="31"/>
        <v>6.3224212442355228</v>
      </c>
      <c r="BN182" s="1438">
        <f t="shared" si="31"/>
        <v>6.3224212442355228</v>
      </c>
    </row>
    <row r="183" spans="1:66" s="39" customFormat="1">
      <c r="A183" s="1450">
        <v>179</v>
      </c>
      <c r="B183" s="1451">
        <v>0</v>
      </c>
      <c r="C183" s="1452" t="s">
        <v>252</v>
      </c>
      <c r="D183" s="1451" t="s">
        <v>25</v>
      </c>
      <c r="E183" s="1453">
        <v>2.8530305418154289</v>
      </c>
      <c r="F183" s="1453">
        <v>3.3616901611642751</v>
      </c>
      <c r="G183" s="1453">
        <v>3.539709076477108</v>
      </c>
      <c r="H183" s="1453">
        <v>3.5514511982589321</v>
      </c>
      <c r="I183" s="1453">
        <v>3.6111414215484183</v>
      </c>
      <c r="J183" s="1453">
        <v>3.6711082013846794</v>
      </c>
      <c r="K183" s="1453">
        <v>3.7528409424926625</v>
      </c>
      <c r="L183" s="1453">
        <v>3.8405176254020139</v>
      </c>
      <c r="M183" s="1453">
        <v>3.9313359426827148</v>
      </c>
      <c r="N183" s="1453">
        <v>4.024066819127361</v>
      </c>
      <c r="O183" s="1453">
        <v>4.1171920348929341</v>
      </c>
      <c r="P183" s="1453">
        <v>4.2164601972908642</v>
      </c>
      <c r="Q183" s="1453">
        <v>4.3181476467479118</v>
      </c>
      <c r="R183" s="1453">
        <v>4.422314409784085</v>
      </c>
      <c r="S183" s="1453">
        <v>4.5290216614477901</v>
      </c>
      <c r="T183" s="1453">
        <v>4.6383318826284423</v>
      </c>
      <c r="U183" s="1453">
        <v>4.7503098030997064</v>
      </c>
      <c r="V183" s="1453">
        <v>4.8650210898304769</v>
      </c>
      <c r="W183" s="1453">
        <v>4.9823704590424791</v>
      </c>
      <c r="X183" s="1453">
        <v>5.0976107092653962</v>
      </c>
      <c r="Y183" s="1453">
        <v>5.2189030978974946</v>
      </c>
      <c r="Z183" s="1453">
        <v>5.3435373228253065</v>
      </c>
      <c r="AA183" s="1453">
        <v>5.465656006293818</v>
      </c>
      <c r="AB183" s="1453">
        <v>5.5970632325231655</v>
      </c>
      <c r="AC183" s="1453">
        <v>5.7389572338619539</v>
      </c>
      <c r="AD183" s="1453">
        <v>5.8709704094603206</v>
      </c>
      <c r="AE183" s="1453">
        <f t="shared" ref="AE183:AT183" si="33">AD183</f>
        <v>5.8709704094603206</v>
      </c>
      <c r="AF183" s="1453">
        <f t="shared" si="33"/>
        <v>5.8709704094603206</v>
      </c>
      <c r="AG183" s="1453">
        <f t="shared" si="33"/>
        <v>5.8709704094603206</v>
      </c>
      <c r="AH183" s="1453">
        <f t="shared" si="33"/>
        <v>5.8709704094603206</v>
      </c>
      <c r="AI183" s="1453">
        <f t="shared" si="33"/>
        <v>5.8709704094603206</v>
      </c>
      <c r="AJ183" s="1453">
        <f t="shared" si="33"/>
        <v>5.8709704094603206</v>
      </c>
      <c r="AK183" s="1453">
        <f t="shared" si="33"/>
        <v>5.8709704094603206</v>
      </c>
      <c r="AL183" s="1453">
        <f t="shared" si="33"/>
        <v>5.8709704094603206</v>
      </c>
      <c r="AM183" s="1453">
        <f t="shared" si="33"/>
        <v>5.8709704094603206</v>
      </c>
      <c r="AN183" s="1453">
        <f t="shared" si="33"/>
        <v>5.8709704094603206</v>
      </c>
      <c r="AO183" s="1453">
        <f t="shared" si="33"/>
        <v>5.8709704094603206</v>
      </c>
      <c r="AP183" s="1453">
        <f t="shared" si="33"/>
        <v>5.8709704094603206</v>
      </c>
      <c r="AQ183" s="1453">
        <f t="shared" si="33"/>
        <v>5.8709704094603206</v>
      </c>
      <c r="AR183" s="1453">
        <f t="shared" si="33"/>
        <v>5.8709704094603206</v>
      </c>
      <c r="AS183" s="1453">
        <f t="shared" si="33"/>
        <v>5.8709704094603206</v>
      </c>
      <c r="AT183" s="1453">
        <f t="shared" si="33"/>
        <v>5.8709704094603206</v>
      </c>
      <c r="AU183" s="1453">
        <f t="shared" si="32"/>
        <v>5.8709704094603206</v>
      </c>
      <c r="AV183" s="1453">
        <f t="shared" si="32"/>
        <v>5.8709704094603206</v>
      </c>
      <c r="AW183" s="1453">
        <f t="shared" si="32"/>
        <v>5.8709704094603206</v>
      </c>
      <c r="AX183" s="1453">
        <f t="shared" si="32"/>
        <v>5.8709704094603206</v>
      </c>
      <c r="AY183" s="1453">
        <f t="shared" si="32"/>
        <v>5.8709704094603206</v>
      </c>
      <c r="AZ183" s="1453">
        <f t="shared" si="32"/>
        <v>5.8709704094603206</v>
      </c>
      <c r="BA183" s="1453">
        <f t="shared" si="32"/>
        <v>5.8709704094603206</v>
      </c>
      <c r="BB183" s="1453">
        <f t="shared" si="32"/>
        <v>5.8709704094603206</v>
      </c>
      <c r="BC183" s="1453">
        <f t="shared" si="32"/>
        <v>5.8709704094603206</v>
      </c>
      <c r="BD183" s="1453">
        <f t="shared" si="32"/>
        <v>5.8709704094603206</v>
      </c>
      <c r="BE183" s="1453">
        <f t="shared" si="32"/>
        <v>5.8709704094603206</v>
      </c>
      <c r="BF183" s="1453">
        <f t="shared" si="32"/>
        <v>5.8709704094603206</v>
      </c>
      <c r="BG183" s="1453">
        <f t="shared" si="32"/>
        <v>5.8709704094603206</v>
      </c>
      <c r="BH183" s="1453">
        <f t="shared" si="32"/>
        <v>5.8709704094603206</v>
      </c>
      <c r="BI183" s="1453">
        <f t="shared" si="32"/>
        <v>5.8709704094603206</v>
      </c>
      <c r="BJ183" s="1453">
        <f>BI183</f>
        <v>5.8709704094603206</v>
      </c>
      <c r="BK183" s="1453">
        <f>BJ183</f>
        <v>5.8709704094603206</v>
      </c>
      <c r="BL183" s="1453">
        <f>BK183</f>
        <v>5.8709704094603206</v>
      </c>
      <c r="BM183" s="1453">
        <f>BL183</f>
        <v>5.8709704094603206</v>
      </c>
      <c r="BN183" s="1454">
        <f>BM183</f>
        <v>5.8709704094603206</v>
      </c>
    </row>
    <row r="184" spans="1:66" s="93" customFormat="1"/>
    <row r="185" spans="1:66" s="93" customFormat="1">
      <c r="B185" s="769"/>
      <c r="T185" s="39"/>
      <c r="BN185" s="1455"/>
    </row>
    <row r="186" spans="1:66">
      <c r="A186" s="93"/>
      <c r="B186" s="93"/>
      <c r="C186" s="93"/>
      <c r="D186" s="93"/>
      <c r="E186" s="93"/>
      <c r="F186" s="93"/>
      <c r="G186" s="93"/>
      <c r="H186" s="93"/>
      <c r="I186" s="93"/>
      <c r="J186" s="93"/>
      <c r="K186" s="93"/>
      <c r="L186" s="93"/>
      <c r="M186" s="93"/>
      <c r="N186" s="93"/>
      <c r="O186" s="93"/>
      <c r="P186" s="93"/>
      <c r="Q186" s="93"/>
      <c r="R186" s="93"/>
      <c r="S186" s="93"/>
      <c r="T186" s="39"/>
      <c r="U186" s="93"/>
      <c r="V186" s="93"/>
      <c r="W186" s="93"/>
      <c r="X186" s="93"/>
      <c r="Y186" s="93"/>
      <c r="Z186" s="93"/>
      <c r="AA186" s="93"/>
      <c r="AB186" s="93"/>
      <c r="AC186" s="93"/>
      <c r="AD186" s="93"/>
      <c r="AE186" s="93"/>
      <c r="AF186" s="93"/>
      <c r="AG186" s="93"/>
      <c r="AH186" s="93"/>
      <c r="AI186" s="93"/>
      <c r="AJ186" s="93"/>
      <c r="AK186" s="93"/>
      <c r="AL186" s="93"/>
      <c r="AM186" s="93"/>
      <c r="AN186" s="93"/>
      <c r="AO186" s="93"/>
      <c r="AP186" s="93"/>
      <c r="AQ186" s="93"/>
      <c r="AR186" s="93"/>
      <c r="AS186" s="93"/>
      <c r="AT186" s="93"/>
      <c r="AU186" s="93"/>
      <c r="AV186" s="93"/>
      <c r="AW186" s="93"/>
      <c r="AX186" s="93"/>
      <c r="AY186" s="93"/>
      <c r="AZ186" s="93"/>
      <c r="BA186" s="93"/>
      <c r="BB186" s="93"/>
      <c r="BC186" s="93"/>
      <c r="BD186" s="93"/>
      <c r="BE186" s="93"/>
      <c r="BF186" s="93"/>
      <c r="BG186" s="93"/>
      <c r="BH186" s="93"/>
      <c r="BI186" s="93"/>
      <c r="BJ186" s="93"/>
      <c r="BK186" s="93"/>
      <c r="BL186" s="93"/>
      <c r="BM186" s="93"/>
      <c r="BN186" s="1455"/>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8"/>
  </sheetPr>
  <dimension ref="A1:BQ23"/>
  <sheetViews>
    <sheetView workbookViewId="0">
      <selection activeCell="BH23" sqref="BH23"/>
    </sheetView>
  </sheetViews>
  <sheetFormatPr defaultRowHeight="12.75"/>
  <cols>
    <col min="1" max="1" width="56.140625" style="90" customWidth="1"/>
    <col min="2" max="2" width="21.5703125" style="90" bestFit="1" customWidth="1"/>
    <col min="3" max="3" width="9.28515625" style="90" bestFit="1" customWidth="1"/>
    <col min="4" max="6" width="9.42578125" style="90" bestFit="1" customWidth="1"/>
    <col min="7" max="7" width="9.85546875" style="90" bestFit="1" customWidth="1"/>
    <col min="8" max="55" width="9.5703125" style="90" bestFit="1" customWidth="1"/>
    <col min="56" max="59" width="10.28515625" style="90" bestFit="1" customWidth="1"/>
    <col min="60" max="67" width="10.42578125" style="90" bestFit="1" customWidth="1"/>
    <col min="68" max="70" width="10.28515625" style="90" bestFit="1" customWidth="1"/>
    <col min="71" max="16384" width="9.140625" style="90"/>
  </cols>
  <sheetData>
    <row r="1" spans="1:69">
      <c r="A1" s="95" t="s">
        <v>1110</v>
      </c>
    </row>
    <row r="2" spans="1:69">
      <c r="A2" s="95"/>
    </row>
    <row r="3" spans="1:69" s="753" customFormat="1" ht="15.75">
      <c r="A3" s="739" t="s">
        <v>1111</v>
      </c>
    </row>
    <row r="4" spans="1:69" s="768" customFormat="1">
      <c r="A4" s="13" t="s">
        <v>1112</v>
      </c>
    </row>
    <row r="5" spans="1:69">
      <c r="A5" s="780"/>
      <c r="C5" s="754">
        <v>3</v>
      </c>
      <c r="D5" s="754">
        <v>4</v>
      </c>
      <c r="E5" s="754">
        <v>5</v>
      </c>
      <c r="F5" s="754">
        <v>6</v>
      </c>
      <c r="G5" s="754">
        <v>7</v>
      </c>
      <c r="H5" s="754">
        <v>8</v>
      </c>
      <c r="I5" s="754">
        <v>9</v>
      </c>
      <c r="J5" s="754">
        <v>10</v>
      </c>
      <c r="K5" s="754">
        <v>11</v>
      </c>
      <c r="L5" s="754">
        <v>12</v>
      </c>
      <c r="M5" s="754">
        <v>13</v>
      </c>
      <c r="N5" s="754">
        <v>14</v>
      </c>
      <c r="O5" s="754">
        <v>15</v>
      </c>
      <c r="P5" s="754">
        <v>16</v>
      </c>
      <c r="Q5" s="754">
        <v>17</v>
      </c>
      <c r="R5" s="754">
        <v>18</v>
      </c>
      <c r="S5" s="754">
        <v>19</v>
      </c>
      <c r="T5" s="754">
        <v>20</v>
      </c>
      <c r="U5" s="754">
        <v>21</v>
      </c>
      <c r="V5" s="754">
        <v>22</v>
      </c>
      <c r="W5" s="754">
        <v>23</v>
      </c>
      <c r="X5" s="754">
        <v>24</v>
      </c>
      <c r="Y5" s="754">
        <v>25</v>
      </c>
      <c r="Z5" s="754">
        <v>26</v>
      </c>
      <c r="AA5" s="754">
        <v>27</v>
      </c>
      <c r="AB5" s="754">
        <v>28</v>
      </c>
      <c r="AC5" s="754">
        <v>29</v>
      </c>
      <c r="AD5" s="754">
        <v>30</v>
      </c>
      <c r="AE5" s="754">
        <v>31</v>
      </c>
      <c r="AF5" s="754">
        <v>32</v>
      </c>
      <c r="AG5" s="754">
        <v>33</v>
      </c>
      <c r="AH5" s="754">
        <v>34</v>
      </c>
      <c r="AI5" s="754">
        <v>35</v>
      </c>
      <c r="AJ5" s="754">
        <v>36</v>
      </c>
      <c r="AK5" s="754">
        <v>37</v>
      </c>
      <c r="AL5" s="754">
        <v>38</v>
      </c>
      <c r="AM5" s="754">
        <v>39</v>
      </c>
      <c r="AN5" s="754">
        <v>40</v>
      </c>
      <c r="AO5" s="754">
        <v>41</v>
      </c>
      <c r="AP5" s="754">
        <v>42</v>
      </c>
      <c r="AQ5" s="754">
        <v>43</v>
      </c>
      <c r="AR5" s="754">
        <v>44</v>
      </c>
      <c r="AS5" s="754">
        <v>45</v>
      </c>
      <c r="AT5" s="754">
        <v>46</v>
      </c>
      <c r="AU5" s="754">
        <v>47</v>
      </c>
      <c r="AV5" s="754">
        <v>48</v>
      </c>
      <c r="AW5" s="754">
        <v>49</v>
      </c>
      <c r="AX5" s="754">
        <v>50</v>
      </c>
      <c r="AY5" s="754">
        <v>51</v>
      </c>
      <c r="AZ5" s="754">
        <v>52</v>
      </c>
      <c r="BA5" s="754">
        <v>53</v>
      </c>
      <c r="BB5" s="754">
        <v>54</v>
      </c>
      <c r="BC5" s="754">
        <v>55</v>
      </c>
      <c r="BD5" s="754">
        <v>56</v>
      </c>
      <c r="BE5" s="754">
        <v>57</v>
      </c>
      <c r="BF5" s="754">
        <v>58</v>
      </c>
      <c r="BG5" s="754">
        <v>59</v>
      </c>
      <c r="BH5" s="754">
        <v>60</v>
      </c>
      <c r="BI5" s="754">
        <v>61</v>
      </c>
      <c r="BJ5" s="754">
        <v>62</v>
      </c>
      <c r="BK5" s="754">
        <v>63</v>
      </c>
      <c r="BL5" s="754">
        <v>64</v>
      </c>
      <c r="BM5" s="754">
        <v>65</v>
      </c>
      <c r="BN5" s="754">
        <v>66</v>
      </c>
      <c r="BO5" s="754">
        <v>67</v>
      </c>
    </row>
    <row r="6" spans="1:69">
      <c r="A6" s="752"/>
      <c r="B6" s="753"/>
      <c r="C6" s="767">
        <v>2011</v>
      </c>
      <c r="D6" s="767">
        <v>2012</v>
      </c>
      <c r="E6" s="767">
        <v>2013</v>
      </c>
      <c r="F6" s="767" t="s">
        <v>814</v>
      </c>
      <c r="G6" s="767">
        <v>2015</v>
      </c>
      <c r="H6" s="767">
        <v>2016</v>
      </c>
      <c r="I6" s="767">
        <v>2017</v>
      </c>
      <c r="J6" s="767">
        <v>2018</v>
      </c>
      <c r="K6" s="767">
        <v>2019</v>
      </c>
      <c r="L6" s="767">
        <v>2020</v>
      </c>
      <c r="M6" s="767">
        <v>2021</v>
      </c>
      <c r="N6" s="767">
        <v>2022</v>
      </c>
      <c r="O6" s="767">
        <v>2023</v>
      </c>
      <c r="P6" s="767">
        <v>2024</v>
      </c>
      <c r="Q6" s="767">
        <v>2025</v>
      </c>
      <c r="R6" s="767">
        <v>2026</v>
      </c>
      <c r="S6" s="767">
        <v>2027</v>
      </c>
      <c r="T6" s="767">
        <v>2028</v>
      </c>
      <c r="U6" s="767">
        <v>2029</v>
      </c>
      <c r="V6" s="767">
        <v>2030</v>
      </c>
      <c r="W6" s="767">
        <v>2031</v>
      </c>
      <c r="X6" s="767">
        <v>2032</v>
      </c>
      <c r="Y6" s="767">
        <v>2033</v>
      </c>
      <c r="Z6" s="767">
        <v>2034</v>
      </c>
      <c r="AA6" s="767">
        <v>2035</v>
      </c>
      <c r="AB6" s="767">
        <v>2036</v>
      </c>
      <c r="AC6" s="767">
        <v>2037</v>
      </c>
      <c r="AD6" s="767">
        <v>2038</v>
      </c>
      <c r="AE6" s="767">
        <v>2039</v>
      </c>
      <c r="AF6" s="767">
        <v>2040</v>
      </c>
      <c r="AG6" s="767">
        <v>2041</v>
      </c>
      <c r="AH6" s="767">
        <v>2042</v>
      </c>
      <c r="AI6" s="767">
        <v>2043</v>
      </c>
      <c r="AJ6" s="767">
        <v>2044</v>
      </c>
      <c r="AK6" s="767">
        <v>2045</v>
      </c>
      <c r="AL6" s="767">
        <v>2046</v>
      </c>
      <c r="AM6" s="767">
        <v>2047</v>
      </c>
      <c r="AN6" s="767">
        <v>2048</v>
      </c>
      <c r="AO6" s="767">
        <v>2049</v>
      </c>
      <c r="AP6" s="767">
        <v>2050</v>
      </c>
      <c r="AQ6" s="767">
        <v>2051</v>
      </c>
      <c r="AR6" s="767">
        <v>2052</v>
      </c>
      <c r="AS6" s="767">
        <v>2053</v>
      </c>
      <c r="AT6" s="767">
        <v>2054</v>
      </c>
      <c r="AU6" s="767">
        <v>2055</v>
      </c>
      <c r="AV6" s="767">
        <v>2056</v>
      </c>
      <c r="AW6" s="767">
        <v>2057</v>
      </c>
      <c r="AX6" s="767">
        <v>2058</v>
      </c>
      <c r="AY6" s="767">
        <v>2059</v>
      </c>
      <c r="AZ6" s="767">
        <v>2060</v>
      </c>
      <c r="BA6" s="767">
        <v>2061</v>
      </c>
      <c r="BB6" s="767">
        <v>2062</v>
      </c>
      <c r="BC6" s="767">
        <v>2063</v>
      </c>
      <c r="BD6" s="767">
        <v>2064</v>
      </c>
      <c r="BE6" s="767">
        <v>2065</v>
      </c>
      <c r="BF6" s="767">
        <v>2066</v>
      </c>
      <c r="BG6" s="767">
        <v>2067</v>
      </c>
      <c r="BH6" s="767">
        <v>2068</v>
      </c>
      <c r="BI6" s="767">
        <v>2069</v>
      </c>
      <c r="BJ6" s="767">
        <v>2070</v>
      </c>
      <c r="BK6" s="767">
        <v>2071</v>
      </c>
      <c r="BL6" s="767">
        <v>2072</v>
      </c>
      <c r="BM6" s="767">
        <v>2073</v>
      </c>
      <c r="BN6" s="767">
        <v>2074</v>
      </c>
      <c r="BO6" s="767">
        <v>2075</v>
      </c>
      <c r="BP6" s="97"/>
      <c r="BQ6" s="97"/>
    </row>
    <row r="7" spans="1:69">
      <c r="A7" s="753" t="s">
        <v>357</v>
      </c>
      <c r="B7" s="753" t="s">
        <v>1108</v>
      </c>
      <c r="C7" s="102">
        <f t="shared" ref="C7:BN7" si="0">C11*C22</f>
        <v>106.73359630833249</v>
      </c>
      <c r="D7" s="102">
        <f t="shared" si="0"/>
        <v>104.39709108251958</v>
      </c>
      <c r="E7" s="102">
        <f t="shared" si="0"/>
        <v>103.35</v>
      </c>
      <c r="F7" s="102">
        <f t="shared" si="0"/>
        <v>97.361995999578923</v>
      </c>
      <c r="G7" s="102">
        <f t="shared" si="0"/>
        <v>128.90571081361969</v>
      </c>
      <c r="H7" s="102">
        <f t="shared" si="0"/>
        <v>136.5466253644079</v>
      </c>
      <c r="I7" s="102">
        <f t="shared" si="0"/>
        <v>141.85544460395141</v>
      </c>
      <c r="J7" s="102">
        <f t="shared" si="0"/>
        <v>143.48078579584376</v>
      </c>
      <c r="K7" s="102">
        <f t="shared" si="0"/>
        <v>144.45464833838375</v>
      </c>
      <c r="L7" s="102">
        <f t="shared" si="0"/>
        <v>145.56820291055217</v>
      </c>
      <c r="M7" s="102">
        <f t="shared" si="0"/>
        <v>146.08420343956865</v>
      </c>
      <c r="N7" s="102">
        <f t="shared" si="0"/>
        <v>146.76422727892117</v>
      </c>
      <c r="O7" s="102">
        <f t="shared" si="0"/>
        <v>148.00668987229463</v>
      </c>
      <c r="P7" s="102">
        <f t="shared" si="0"/>
        <v>149.18779218549363</v>
      </c>
      <c r="Q7" s="102">
        <f t="shared" si="0"/>
        <v>150.38359530873444</v>
      </c>
      <c r="R7" s="102">
        <f t="shared" si="0"/>
        <v>152.32831271000933</v>
      </c>
      <c r="S7" s="102">
        <f t="shared" si="0"/>
        <v>154.47458703961036</v>
      </c>
      <c r="T7" s="102">
        <f t="shared" si="0"/>
        <v>157.43747919827709</v>
      </c>
      <c r="U7" s="102">
        <f t="shared" si="0"/>
        <v>160.14909677706152</v>
      </c>
      <c r="V7" s="102">
        <f t="shared" si="0"/>
        <v>162.53284915876972</v>
      </c>
      <c r="W7" s="102">
        <f t="shared" si="0"/>
        <v>165.02542297658033</v>
      </c>
      <c r="X7" s="102">
        <f t="shared" si="0"/>
        <v>167.62599788891228</v>
      </c>
      <c r="Y7" s="102">
        <f t="shared" si="0"/>
        <v>169.54448874957185</v>
      </c>
      <c r="Z7" s="102">
        <f t="shared" si="0"/>
        <v>171.08533275273066</v>
      </c>
      <c r="AA7" s="102">
        <f t="shared" si="0"/>
        <v>173.06979636509035</v>
      </c>
      <c r="AB7" s="102">
        <f t="shared" si="0"/>
        <v>175.16461189882469</v>
      </c>
      <c r="AC7" s="102">
        <f t="shared" si="0"/>
        <v>176.95798044949558</v>
      </c>
      <c r="AD7" s="102">
        <f t="shared" si="0"/>
        <v>179.02701383635321</v>
      </c>
      <c r="AE7" s="102">
        <f t="shared" si="0"/>
        <v>181.81953249042732</v>
      </c>
      <c r="AF7" s="102">
        <f t="shared" si="0"/>
        <v>185.43275891965976</v>
      </c>
      <c r="AG7" s="102">
        <f t="shared" si="0"/>
        <v>189.23557917094521</v>
      </c>
      <c r="AH7" s="102">
        <f t="shared" si="0"/>
        <v>193.11638694691533</v>
      </c>
      <c r="AI7" s="102">
        <f t="shared" si="0"/>
        <v>197.07678160110365</v>
      </c>
      <c r="AJ7" s="102">
        <f t="shared" si="0"/>
        <v>201.1183952862861</v>
      </c>
      <c r="AK7" s="102">
        <f t="shared" si="0"/>
        <v>205.24289362712182</v>
      </c>
      <c r="AL7" s="102">
        <f t="shared" si="0"/>
        <v>209.45197640658802</v>
      </c>
      <c r="AM7" s="102">
        <f t="shared" si="0"/>
        <v>213.74737826649257</v>
      </c>
      <c r="AN7" s="102">
        <f t="shared" si="0"/>
        <v>218.13086942235233</v>
      </c>
      <c r="AO7" s="102">
        <f t="shared" si="0"/>
        <v>222.60425639293192</v>
      </c>
      <c r="AP7" s="102">
        <f t="shared" si="0"/>
        <v>227.16938274474413</v>
      </c>
      <c r="AQ7" s="102">
        <f t="shared" si="0"/>
        <v>231.82812985181826</v>
      </c>
      <c r="AR7" s="102">
        <f t="shared" si="0"/>
        <v>236.58241767104923</v>
      </c>
      <c r="AS7" s="102">
        <f t="shared" si="0"/>
        <v>241.43420553344808</v>
      </c>
      <c r="AT7" s="102">
        <f t="shared" si="0"/>
        <v>246.38549295161891</v>
      </c>
      <c r="AU7" s="102">
        <f t="shared" si="0"/>
        <v>251.43832044379531</v>
      </c>
      <c r="AV7" s="102">
        <f t="shared" si="0"/>
        <v>256.59477037477615</v>
      </c>
      <c r="AW7" s="102">
        <f t="shared" si="0"/>
        <v>261.85696781410735</v>
      </c>
      <c r="AX7" s="102">
        <f t="shared" si="0"/>
        <v>267.22708141186234</v>
      </c>
      <c r="AY7" s="102">
        <f t="shared" si="0"/>
        <v>272.70732429238393</v>
      </c>
      <c r="AZ7" s="102">
        <f t="shared" si="0"/>
        <v>278.29995496635382</v>
      </c>
      <c r="BA7" s="102">
        <f t="shared" si="0"/>
        <v>284.00727826156731</v>
      </c>
      <c r="BB7" s="102">
        <f t="shared" si="0"/>
        <v>289.83164627279604</v>
      </c>
      <c r="BC7" s="102">
        <f t="shared" si="0"/>
        <v>295.77545933113015</v>
      </c>
      <c r="BD7" s="102">
        <f t="shared" si="0"/>
        <v>301.84116699319975</v>
      </c>
      <c r="BE7" s="102">
        <f t="shared" si="0"/>
        <v>308.03126905068302</v>
      </c>
      <c r="BF7" s="102">
        <f t="shared" si="0"/>
        <v>314.34831656051705</v>
      </c>
      <c r="BG7" s="102">
        <f t="shared" si="0"/>
        <v>320.79491289623655</v>
      </c>
      <c r="BH7" s="102">
        <f t="shared" si="0"/>
        <v>327.37371482087229</v>
      </c>
      <c r="BI7" s="102">
        <f t="shared" si="0"/>
        <v>334.08743358185325</v>
      </c>
      <c r="BJ7" s="102">
        <f t="shared" si="0"/>
        <v>340.93883602836223</v>
      </c>
      <c r="BK7" s="102">
        <f t="shared" si="0"/>
        <v>347.93074575160637</v>
      </c>
      <c r="BL7" s="102">
        <f t="shared" si="0"/>
        <v>355.06604424847188</v>
      </c>
      <c r="BM7" s="102">
        <f t="shared" si="0"/>
        <v>362.34767210904278</v>
      </c>
      <c r="BN7" s="102">
        <f t="shared" si="0"/>
        <v>369.77863022847316</v>
      </c>
      <c r="BO7" s="102">
        <f>BO11*BO22</f>
        <v>377.36198104371221</v>
      </c>
    </row>
    <row r="8" spans="1:69">
      <c r="A8" s="753" t="s">
        <v>356</v>
      </c>
      <c r="B8" s="753" t="s">
        <v>1108</v>
      </c>
      <c r="C8" s="102">
        <f t="shared" ref="C8:BN8" si="1">C12*C22</f>
        <v>106.73359630833249</v>
      </c>
      <c r="D8" s="102">
        <f t="shared" si="1"/>
        <v>104.39709108251958</v>
      </c>
      <c r="E8" s="102">
        <f t="shared" si="1"/>
        <v>103.35</v>
      </c>
      <c r="F8" s="102">
        <f t="shared" si="1"/>
        <v>97.361995999578923</v>
      </c>
      <c r="G8" s="102">
        <f t="shared" si="1"/>
        <v>70.151723538939194</v>
      </c>
      <c r="H8" s="102">
        <f t="shared" si="1"/>
        <v>66.914779631714097</v>
      </c>
      <c r="I8" s="102">
        <f t="shared" si="1"/>
        <v>66.554212077473082</v>
      </c>
      <c r="J8" s="102">
        <f t="shared" si="1"/>
        <v>65.995085557859127</v>
      </c>
      <c r="K8" s="102">
        <f t="shared" si="1"/>
        <v>65.512866186927525</v>
      </c>
      <c r="L8" s="102">
        <f t="shared" si="1"/>
        <v>65.195944533667074</v>
      </c>
      <c r="M8" s="102">
        <f t="shared" si="1"/>
        <v>64.949427960457598</v>
      </c>
      <c r="N8" s="102">
        <f t="shared" si="1"/>
        <v>64.686780129579873</v>
      </c>
      <c r="O8" s="102">
        <f t="shared" si="1"/>
        <v>64.432510191590353</v>
      </c>
      <c r="P8" s="102">
        <f t="shared" si="1"/>
        <v>64.154625647351494</v>
      </c>
      <c r="Q8" s="102">
        <f t="shared" si="1"/>
        <v>63.884646602970676</v>
      </c>
      <c r="R8" s="102">
        <f t="shared" si="1"/>
        <v>63.614254609172747</v>
      </c>
      <c r="S8" s="102">
        <f t="shared" si="1"/>
        <v>63.350315411954952</v>
      </c>
      <c r="T8" s="102">
        <f t="shared" si="1"/>
        <v>63.11314419508296</v>
      </c>
      <c r="U8" s="102">
        <f t="shared" si="1"/>
        <v>62.914241577509777</v>
      </c>
      <c r="V8" s="102">
        <f t="shared" si="1"/>
        <v>62.730325834386825</v>
      </c>
      <c r="W8" s="102">
        <f t="shared" si="1"/>
        <v>62.612374571407898</v>
      </c>
      <c r="X8" s="102">
        <f t="shared" si="1"/>
        <v>62.51677877515192</v>
      </c>
      <c r="Y8" s="102">
        <f t="shared" si="1"/>
        <v>62.453874151308206</v>
      </c>
      <c r="Z8" s="102">
        <f t="shared" si="1"/>
        <v>62.414599845362623</v>
      </c>
      <c r="AA8" s="102">
        <f t="shared" si="1"/>
        <v>62.384652346447801</v>
      </c>
      <c r="AB8" s="102">
        <f t="shared" si="1"/>
        <v>62.362636516653751</v>
      </c>
      <c r="AC8" s="102">
        <f t="shared" si="1"/>
        <v>62.364321884981017</v>
      </c>
      <c r="AD8" s="102">
        <f t="shared" si="1"/>
        <v>62.387275064257011</v>
      </c>
      <c r="AE8" s="102">
        <f t="shared" si="1"/>
        <v>62.456345200839067</v>
      </c>
      <c r="AF8" s="102">
        <f t="shared" si="1"/>
        <v>62.525026750027401</v>
      </c>
      <c r="AG8" s="102">
        <f t="shared" si="1"/>
        <v>61.364894417752595</v>
      </c>
      <c r="AH8" s="102">
        <f t="shared" si="1"/>
        <v>60.226287978361782</v>
      </c>
      <c r="AI8" s="102">
        <f t="shared" si="1"/>
        <v>59.108808025639334</v>
      </c>
      <c r="AJ8" s="102">
        <f t="shared" si="1"/>
        <v>58.012062564227136</v>
      </c>
      <c r="AK8" s="102">
        <f t="shared" si="1"/>
        <v>56.935666872118468</v>
      </c>
      <c r="AL8" s="102">
        <f t="shared" si="1"/>
        <v>55.879243365703203</v>
      </c>
      <c r="AM8" s="102">
        <f t="shared" si="1"/>
        <v>54.842421467317109</v>
      </c>
      <c r="AN8" s="102">
        <f t="shared" si="1"/>
        <v>53.824837475248721</v>
      </c>
      <c r="AO8" s="102">
        <f t="shared" si="1"/>
        <v>52.826134436158128</v>
      </c>
      <c r="AP8" s="102">
        <f t="shared" si="1"/>
        <v>51.845962019863144</v>
      </c>
      <c r="AQ8" s="102">
        <f t="shared" si="1"/>
        <v>50.883976396448631</v>
      </c>
      <c r="AR8" s="102">
        <f t="shared" si="1"/>
        <v>49.93984011565604</v>
      </c>
      <c r="AS8" s="102">
        <f t="shared" si="1"/>
        <v>49.013221988510949</v>
      </c>
      <c r="AT8" s="102">
        <f t="shared" si="1"/>
        <v>48.103796971146856</v>
      </c>
      <c r="AU8" s="102">
        <f t="shared" si="1"/>
        <v>47.211246050784624</v>
      </c>
      <c r="AV8" s="102">
        <f t="shared" si="1"/>
        <v>46.335256133827535</v>
      </c>
      <c r="AW8" s="102">
        <f t="shared" si="1"/>
        <v>45.475519936032718</v>
      </c>
      <c r="AX8" s="102">
        <f t="shared" si="1"/>
        <v>44.631735874720405</v>
      </c>
      <c r="AY8" s="102">
        <f t="shared" si="1"/>
        <v>43.803607962983214</v>
      </c>
      <c r="AZ8" s="102">
        <f t="shared" si="1"/>
        <v>42.990845705858305</v>
      </c>
      <c r="BA8" s="102">
        <f t="shared" si="1"/>
        <v>42.193163998426137</v>
      </c>
      <c r="BB8" s="102">
        <f t="shared" si="1"/>
        <v>41.410283025799835</v>
      </c>
      <c r="BC8" s="102">
        <f t="shared" si="1"/>
        <v>40.641928164970288</v>
      </c>
      <c r="BD8" s="102">
        <f t="shared" si="1"/>
        <v>39.887829888472531</v>
      </c>
      <c r="BE8" s="102">
        <f t="shared" si="1"/>
        <v>39.147723669839465</v>
      </c>
      <c r="BF8" s="102">
        <f t="shared" si="1"/>
        <v>38.421349890809921</v>
      </c>
      <c r="BG8" s="102">
        <f t="shared" si="1"/>
        <v>37.708453750258457</v>
      </c>
      <c r="BH8" s="102">
        <f t="shared" si="1"/>
        <v>37.008785174814868</v>
      </c>
      <c r="BI8" s="102">
        <f t="shared" si="1"/>
        <v>36.322098731142198</v>
      </c>
      <c r="BJ8" s="102">
        <f t="shared" si="1"/>
        <v>35.648153539842347</v>
      </c>
      <c r="BK8" s="102">
        <f t="shared" si="1"/>
        <v>34.986713190959179</v>
      </c>
      <c r="BL8" s="102">
        <f t="shared" si="1"/>
        <v>34.337545661049418</v>
      </c>
      <c r="BM8" s="102">
        <f t="shared" si="1"/>
        <v>33.700423231792264</v>
      </c>
      <c r="BN8" s="102">
        <f t="shared" si="1"/>
        <v>33.075122410109209</v>
      </c>
      <c r="BO8" s="102">
        <f>BO12*BO22</f>
        <v>32.461423849765964</v>
      </c>
    </row>
    <row r="9" spans="1:69">
      <c r="A9" s="753" t="s">
        <v>355</v>
      </c>
      <c r="B9" s="753" t="s">
        <v>1108</v>
      </c>
      <c r="C9" s="102">
        <f t="shared" ref="C9:BN9" si="2">C13*C22</f>
        <v>106.73359630833249</v>
      </c>
      <c r="D9" s="102">
        <f t="shared" si="2"/>
        <v>104.39709108251958</v>
      </c>
      <c r="E9" s="102">
        <f t="shared" si="2"/>
        <v>103.35</v>
      </c>
      <c r="F9" s="102">
        <f t="shared" si="2"/>
        <v>97.361995999578923</v>
      </c>
      <c r="G9" s="102">
        <f t="shared" si="2"/>
        <v>93.935383639189496</v>
      </c>
      <c r="H9" s="102">
        <f t="shared" si="2"/>
        <v>90.459562775721025</v>
      </c>
      <c r="I9" s="102">
        <f t="shared" si="2"/>
        <v>89.364172306939736</v>
      </c>
      <c r="J9" s="102">
        <f t="shared" si="2"/>
        <v>89.50348930856687</v>
      </c>
      <c r="K9" s="102">
        <f t="shared" si="2"/>
        <v>90.782613187106293</v>
      </c>
      <c r="L9" s="102">
        <f t="shared" si="2"/>
        <v>92.233813048282883</v>
      </c>
      <c r="M9" s="102">
        <f t="shared" si="2"/>
        <v>93.933266216226187</v>
      </c>
      <c r="N9" s="102">
        <f t="shared" si="2"/>
        <v>95.656795088603602</v>
      </c>
      <c r="O9" s="102">
        <f t="shared" si="2"/>
        <v>97.50982297377395</v>
      </c>
      <c r="P9" s="102">
        <f t="shared" si="2"/>
        <v>99.184694254023256</v>
      </c>
      <c r="Q9" s="102">
        <f t="shared" si="2"/>
        <v>100.67451357809691</v>
      </c>
      <c r="R9" s="102">
        <f t="shared" si="2"/>
        <v>101.8035021478733</v>
      </c>
      <c r="S9" s="102">
        <f t="shared" si="2"/>
        <v>103.39447057949809</v>
      </c>
      <c r="T9" s="102">
        <f t="shared" si="2"/>
        <v>104.55889892672108</v>
      </c>
      <c r="U9" s="102">
        <f t="shared" si="2"/>
        <v>105.81845030317918</v>
      </c>
      <c r="V9" s="102">
        <f t="shared" si="2"/>
        <v>106.7733064244964</v>
      </c>
      <c r="W9" s="102">
        <f t="shared" si="2"/>
        <v>108.20295345570523</v>
      </c>
      <c r="X9" s="102">
        <f t="shared" si="2"/>
        <v>109.88516252921238</v>
      </c>
      <c r="Y9" s="102">
        <f t="shared" si="2"/>
        <v>111.51046575612487</v>
      </c>
      <c r="Z9" s="102">
        <f t="shared" si="2"/>
        <v>113.01144853967362</v>
      </c>
      <c r="AA9" s="102">
        <f t="shared" si="2"/>
        <v>114.50022611734865</v>
      </c>
      <c r="AB9" s="102">
        <f t="shared" si="2"/>
        <v>115.85130773989437</v>
      </c>
      <c r="AC9" s="102">
        <f t="shared" si="2"/>
        <v>117.46903358066679</v>
      </c>
      <c r="AD9" s="102">
        <f t="shared" si="2"/>
        <v>118.96953095141203</v>
      </c>
      <c r="AE9" s="102">
        <f t="shared" si="2"/>
        <v>121.0899407041133</v>
      </c>
      <c r="AF9" s="102">
        <f t="shared" si="2"/>
        <v>123.4857347068008</v>
      </c>
      <c r="AG9" s="102">
        <f t="shared" si="2"/>
        <v>124.20928393360067</v>
      </c>
      <c r="AH9" s="102">
        <f t="shared" si="2"/>
        <v>124.93707270665138</v>
      </c>
      <c r="AI9" s="102">
        <f t="shared" si="2"/>
        <v>125.66912586704419</v>
      </c>
      <c r="AJ9" s="102">
        <f t="shared" si="2"/>
        <v>126.40546840142365</v>
      </c>
      <c r="AK9" s="102">
        <f t="shared" si="2"/>
        <v>127.14612544284053</v>
      </c>
      <c r="AL9" s="102">
        <f t="shared" si="2"/>
        <v>127.89112227160948</v>
      </c>
      <c r="AM9" s="102">
        <f t="shared" si="2"/>
        <v>128.64048431617201</v>
      </c>
      <c r="AN9" s="102">
        <f t="shared" si="2"/>
        <v>129.39423715396444</v>
      </c>
      <c r="AO9" s="102">
        <f t="shared" si="2"/>
        <v>130.15240651229078</v>
      </c>
      <c r="AP9" s="102">
        <f t="shared" si="2"/>
        <v>130.91501826920108</v>
      </c>
      <c r="AQ9" s="102">
        <f t="shared" si="2"/>
        <v>131.6820984543746</v>
      </c>
      <c r="AR9" s="102">
        <f t="shared" si="2"/>
        <v>132.45367325000808</v>
      </c>
      <c r="AS9" s="102">
        <f t="shared" si="2"/>
        <v>133.22976899170973</v>
      </c>
      <c r="AT9" s="102">
        <f t="shared" si="2"/>
        <v>134.01041216939794</v>
      </c>
      <c r="AU9" s="102">
        <f t="shared" si="2"/>
        <v>134.79562942820544</v>
      </c>
      <c r="AV9" s="102">
        <f t="shared" si="2"/>
        <v>135.58544756938878</v>
      </c>
      <c r="AW9" s="102">
        <f t="shared" si="2"/>
        <v>136.37989355124313</v>
      </c>
      <c r="AX9" s="102">
        <f t="shared" si="2"/>
        <v>137.1789944900224</v>
      </c>
      <c r="AY9" s="102">
        <f t="shared" si="2"/>
        <v>137.98277766086488</v>
      </c>
      <c r="AZ9" s="102">
        <f t="shared" si="2"/>
        <v>138.79127049872397</v>
      </c>
      <c r="BA9" s="102">
        <f t="shared" si="2"/>
        <v>139.60450059930494</v>
      </c>
      <c r="BB9" s="102">
        <f t="shared" si="2"/>
        <v>140.42249572000654</v>
      </c>
      <c r="BC9" s="102">
        <f t="shared" si="2"/>
        <v>141.24528378086848</v>
      </c>
      <c r="BD9" s="102">
        <f t="shared" si="2"/>
        <v>142.07289286552458</v>
      </c>
      <c r="BE9" s="102">
        <f t="shared" si="2"/>
        <v>142.90535122216107</v>
      </c>
      <c r="BF9" s="102">
        <f t="shared" si="2"/>
        <v>143.74268726448099</v>
      </c>
      <c r="BG9" s="102">
        <f t="shared" si="2"/>
        <v>144.58492957267393</v>
      </c>
      <c r="BH9" s="102">
        <f t="shared" si="2"/>
        <v>145.43210689439144</v>
      </c>
      <c r="BI9" s="102">
        <f t="shared" si="2"/>
        <v>146.28424814572841</v>
      </c>
      <c r="BJ9" s="102">
        <f t="shared" si="2"/>
        <v>147.14138241220996</v>
      </c>
      <c r="BK9" s="102">
        <f t="shared" si="2"/>
        <v>148.00353894978414</v>
      </c>
      <c r="BL9" s="102">
        <f t="shared" si="2"/>
        <v>148.8707471858207</v>
      </c>
      <c r="BM9" s="102">
        <f t="shared" si="2"/>
        <v>149.74303672011533</v>
      </c>
      <c r="BN9" s="102">
        <f t="shared" si="2"/>
        <v>150.62043732589996</v>
      </c>
      <c r="BO9" s="102">
        <f>BO13*BO22</f>
        <v>151.50297895085913</v>
      </c>
    </row>
    <row r="10" spans="1:69">
      <c r="B10" s="95"/>
    </row>
    <row r="11" spans="1:69" s="98" customFormat="1" ht="15">
      <c r="A11" s="753" t="s">
        <v>357</v>
      </c>
      <c r="B11" s="763" t="s">
        <v>1113</v>
      </c>
      <c r="C11" s="751">
        <v>103.06</v>
      </c>
      <c r="D11" s="751">
        <v>102.89</v>
      </c>
      <c r="E11" s="751">
        <v>103.35</v>
      </c>
      <c r="F11" s="751">
        <v>99.2</v>
      </c>
      <c r="G11" s="751">
        <v>134.36000000000001</v>
      </c>
      <c r="H11" s="751">
        <v>145.74</v>
      </c>
      <c r="I11" s="751">
        <v>155.04</v>
      </c>
      <c r="J11" s="751">
        <v>160.58000000000001</v>
      </c>
      <c r="K11" s="751">
        <v>165.55</v>
      </c>
      <c r="L11" s="751">
        <v>170.83</v>
      </c>
      <c r="M11" s="751">
        <v>175.55</v>
      </c>
      <c r="N11" s="751">
        <v>180.6</v>
      </c>
      <c r="O11" s="751">
        <v>186.5</v>
      </c>
      <c r="P11" s="751">
        <v>192.5</v>
      </c>
      <c r="Q11" s="751">
        <v>198.7</v>
      </c>
      <c r="R11" s="751">
        <v>206.1</v>
      </c>
      <c r="S11" s="751">
        <v>214.02</v>
      </c>
      <c r="T11" s="751">
        <v>223.36</v>
      </c>
      <c r="U11" s="751">
        <v>232.66</v>
      </c>
      <c r="V11" s="751">
        <v>241.79</v>
      </c>
      <c r="W11" s="751">
        <v>251.39</v>
      </c>
      <c r="X11" s="751">
        <v>261.48</v>
      </c>
      <c r="Y11" s="751">
        <v>270.82</v>
      </c>
      <c r="Z11" s="751">
        <v>279.83999999999997</v>
      </c>
      <c r="AA11" s="743">
        <v>289.88</v>
      </c>
      <c r="AB11" s="738">
        <v>300.43</v>
      </c>
      <c r="AC11" s="738">
        <v>310.79000000000002</v>
      </c>
      <c r="AD11" s="738">
        <v>321.97000000000003</v>
      </c>
      <c r="AE11" s="738">
        <v>334.84</v>
      </c>
      <c r="AF11" s="738">
        <v>349.69</v>
      </c>
      <c r="AG11" s="738">
        <f t="shared" ref="AG11:BO11" si="3">AF11*(1+$B$16)</f>
        <v>365.42604999999998</v>
      </c>
      <c r="AH11" s="738">
        <f t="shared" si="3"/>
        <v>381.87022224999993</v>
      </c>
      <c r="AI11" s="738">
        <f t="shared" si="3"/>
        <v>399.05438225124988</v>
      </c>
      <c r="AJ11" s="738">
        <f t="shared" si="3"/>
        <v>417.01182945255607</v>
      </c>
      <c r="AK11" s="738">
        <f t="shared" si="3"/>
        <v>435.77736177792104</v>
      </c>
      <c r="AL11" s="738">
        <f t="shared" si="3"/>
        <v>455.38734305792747</v>
      </c>
      <c r="AM11" s="738">
        <f t="shared" si="3"/>
        <v>475.87977349553415</v>
      </c>
      <c r="AN11" s="738">
        <f t="shared" si="3"/>
        <v>497.29436330283318</v>
      </c>
      <c r="AO11" s="738">
        <f t="shared" si="3"/>
        <v>519.67260965146068</v>
      </c>
      <c r="AP11" s="738">
        <f t="shared" si="3"/>
        <v>543.05787708577634</v>
      </c>
      <c r="AQ11" s="738">
        <f t="shared" si="3"/>
        <v>567.49548155463629</v>
      </c>
      <c r="AR11" s="738">
        <f t="shared" si="3"/>
        <v>593.03277822459484</v>
      </c>
      <c r="AS11" s="738">
        <f t="shared" si="3"/>
        <v>619.71925324470158</v>
      </c>
      <c r="AT11" s="738">
        <f t="shared" si="3"/>
        <v>647.60661964071312</v>
      </c>
      <c r="AU11" s="738">
        <f t="shared" si="3"/>
        <v>676.74891752454516</v>
      </c>
      <c r="AV11" s="738">
        <f t="shared" si="3"/>
        <v>707.20261881314968</v>
      </c>
      <c r="AW11" s="738">
        <f t="shared" si="3"/>
        <v>739.02673665974135</v>
      </c>
      <c r="AX11" s="738">
        <f t="shared" si="3"/>
        <v>772.28293980942965</v>
      </c>
      <c r="AY11" s="738">
        <f t="shared" si="3"/>
        <v>807.03567210085396</v>
      </c>
      <c r="AZ11" s="738">
        <f t="shared" si="3"/>
        <v>843.35227734539228</v>
      </c>
      <c r="BA11" s="738">
        <f t="shared" si="3"/>
        <v>881.30312982593489</v>
      </c>
      <c r="BB11" s="738">
        <f t="shared" si="3"/>
        <v>920.96177066810185</v>
      </c>
      <c r="BC11" s="738">
        <f t="shared" si="3"/>
        <v>962.40505034816636</v>
      </c>
      <c r="BD11" s="738">
        <f t="shared" si="3"/>
        <v>1005.7132776138337</v>
      </c>
      <c r="BE11" s="738">
        <f t="shared" si="3"/>
        <v>1050.9703751064562</v>
      </c>
      <c r="BF11" s="738">
        <f t="shared" si="3"/>
        <v>1098.2640419862466</v>
      </c>
      <c r="BG11" s="738">
        <f t="shared" si="3"/>
        <v>1147.6859238756276</v>
      </c>
      <c r="BH11" s="738">
        <f t="shared" si="3"/>
        <v>1199.3317904500309</v>
      </c>
      <c r="BI11" s="738">
        <f t="shared" si="3"/>
        <v>1253.3017210202822</v>
      </c>
      <c r="BJ11" s="738">
        <f t="shared" si="3"/>
        <v>1309.7002984661949</v>
      </c>
      <c r="BK11" s="738">
        <f t="shared" si="3"/>
        <v>1368.6368118971736</v>
      </c>
      <c r="BL11" s="738">
        <f t="shared" si="3"/>
        <v>1430.2254684325464</v>
      </c>
      <c r="BM11" s="738">
        <f t="shared" si="3"/>
        <v>1494.585614512011</v>
      </c>
      <c r="BN11" s="738">
        <f t="shared" si="3"/>
        <v>1561.8419671650515</v>
      </c>
      <c r="BO11" s="738">
        <f t="shared" si="3"/>
        <v>1632.1248556874787</v>
      </c>
    </row>
    <row r="12" spans="1:69" s="98" customFormat="1" ht="15">
      <c r="A12" s="753" t="s">
        <v>356</v>
      </c>
      <c r="B12" s="763" t="s">
        <v>1113</v>
      </c>
      <c r="C12" s="751">
        <v>103.06</v>
      </c>
      <c r="D12" s="751">
        <v>102.89</v>
      </c>
      <c r="E12" s="751">
        <v>103.35</v>
      </c>
      <c r="F12" s="751">
        <v>99.2</v>
      </c>
      <c r="G12" s="751">
        <v>73.12</v>
      </c>
      <c r="H12" s="751">
        <v>71.42</v>
      </c>
      <c r="I12" s="751">
        <v>72.739999999999995</v>
      </c>
      <c r="J12" s="751">
        <v>73.86</v>
      </c>
      <c r="K12" s="751">
        <v>75.08</v>
      </c>
      <c r="L12" s="751">
        <v>76.510000000000005</v>
      </c>
      <c r="M12" s="751">
        <v>78.05</v>
      </c>
      <c r="N12" s="751">
        <v>79.599999999999994</v>
      </c>
      <c r="O12" s="751">
        <v>81.19</v>
      </c>
      <c r="P12" s="751">
        <v>82.78</v>
      </c>
      <c r="Q12" s="751">
        <v>84.41</v>
      </c>
      <c r="R12" s="751">
        <v>86.07</v>
      </c>
      <c r="S12" s="751">
        <v>87.77</v>
      </c>
      <c r="T12" s="751">
        <v>89.54</v>
      </c>
      <c r="U12" s="751">
        <v>91.4</v>
      </c>
      <c r="V12" s="751">
        <v>93.32</v>
      </c>
      <c r="W12" s="751">
        <v>95.38</v>
      </c>
      <c r="X12" s="751">
        <v>97.52</v>
      </c>
      <c r="Y12" s="751">
        <v>99.76</v>
      </c>
      <c r="Z12" s="751">
        <v>102.09</v>
      </c>
      <c r="AA12" s="743">
        <v>104.49</v>
      </c>
      <c r="AB12" s="738">
        <v>106.96</v>
      </c>
      <c r="AC12" s="738">
        <v>109.53</v>
      </c>
      <c r="AD12" s="738">
        <v>112.2</v>
      </c>
      <c r="AE12" s="738">
        <v>115.02</v>
      </c>
      <c r="AF12" s="738">
        <v>117.91</v>
      </c>
      <c r="AG12" s="738">
        <f t="shared" ref="AG12:BO12" si="4">AF12*(1+$B$17)</f>
        <v>118.49954999999999</v>
      </c>
      <c r="AH12" s="738">
        <f t="shared" si="4"/>
        <v>119.09204774999998</v>
      </c>
      <c r="AI12" s="738">
        <f t="shared" si="4"/>
        <v>119.68750798874997</v>
      </c>
      <c r="AJ12" s="738">
        <f t="shared" si="4"/>
        <v>120.2859455286937</v>
      </c>
      <c r="AK12" s="738">
        <f t="shared" si="4"/>
        <v>120.88737525633715</v>
      </c>
      <c r="AL12" s="738">
        <f t="shared" si="4"/>
        <v>121.49181213261882</v>
      </c>
      <c r="AM12" s="738">
        <f t="shared" si="4"/>
        <v>122.09927119328189</v>
      </c>
      <c r="AN12" s="738">
        <f t="shared" si="4"/>
        <v>122.70976754924828</v>
      </c>
      <c r="AO12" s="738">
        <f t="shared" si="4"/>
        <v>123.32331638699451</v>
      </c>
      <c r="AP12" s="738">
        <f t="shared" si="4"/>
        <v>123.93993296892947</v>
      </c>
      <c r="AQ12" s="738">
        <f t="shared" si="4"/>
        <v>124.5596326337741</v>
      </c>
      <c r="AR12" s="738">
        <f t="shared" si="4"/>
        <v>125.18243079694295</v>
      </c>
      <c r="AS12" s="738">
        <f t="shared" si="4"/>
        <v>125.80834295092765</v>
      </c>
      <c r="AT12" s="738">
        <f t="shared" si="4"/>
        <v>126.43738466568227</v>
      </c>
      <c r="AU12" s="738">
        <f t="shared" si="4"/>
        <v>127.06957158901068</v>
      </c>
      <c r="AV12" s="738">
        <f t="shared" si="4"/>
        <v>127.70491944695571</v>
      </c>
      <c r="AW12" s="738">
        <f t="shared" si="4"/>
        <v>128.34344404419048</v>
      </c>
      <c r="AX12" s="738">
        <f t="shared" si="4"/>
        <v>128.9851612644114</v>
      </c>
      <c r="AY12" s="738">
        <f t="shared" si="4"/>
        <v>129.63008707073345</v>
      </c>
      <c r="AZ12" s="738">
        <f t="shared" si="4"/>
        <v>130.27823750608709</v>
      </c>
      <c r="BA12" s="738">
        <f t="shared" si="4"/>
        <v>130.9296286936175</v>
      </c>
      <c r="BB12" s="738">
        <f t="shared" si="4"/>
        <v>131.58427683708558</v>
      </c>
      <c r="BC12" s="738">
        <f t="shared" si="4"/>
        <v>132.242198221271</v>
      </c>
      <c r="BD12" s="738">
        <f t="shared" si="4"/>
        <v>132.90340921237734</v>
      </c>
      <c r="BE12" s="738">
        <f t="shared" si="4"/>
        <v>133.5679262584392</v>
      </c>
      <c r="BF12" s="738">
        <f t="shared" si="4"/>
        <v>134.23576588973137</v>
      </c>
      <c r="BG12" s="738">
        <f t="shared" si="4"/>
        <v>134.90694471918002</v>
      </c>
      <c r="BH12" s="738">
        <f t="shared" si="4"/>
        <v>135.5814794427759</v>
      </c>
      <c r="BI12" s="738">
        <f t="shared" si="4"/>
        <v>136.25938683998976</v>
      </c>
      <c r="BJ12" s="738">
        <f t="shared" si="4"/>
        <v>136.94068377418969</v>
      </c>
      <c r="BK12" s="738">
        <f t="shared" si="4"/>
        <v>137.62538719306062</v>
      </c>
      <c r="BL12" s="738">
        <f t="shared" si="4"/>
        <v>138.31351412902592</v>
      </c>
      <c r="BM12" s="738">
        <f t="shared" si="4"/>
        <v>139.00508169967102</v>
      </c>
      <c r="BN12" s="738">
        <f t="shared" si="4"/>
        <v>139.70010710816936</v>
      </c>
      <c r="BO12" s="738">
        <f t="shared" si="4"/>
        <v>140.39860764371019</v>
      </c>
    </row>
    <row r="13" spans="1:69" s="98" customFormat="1" ht="15">
      <c r="A13" s="753" t="s">
        <v>355</v>
      </c>
      <c r="B13" s="763" t="s">
        <v>1113</v>
      </c>
      <c r="C13" s="751">
        <v>103.06</v>
      </c>
      <c r="D13" s="751">
        <v>102.89</v>
      </c>
      <c r="E13" s="751">
        <v>103.35</v>
      </c>
      <c r="F13" s="751">
        <v>99.2</v>
      </c>
      <c r="G13" s="751">
        <v>97.91</v>
      </c>
      <c r="H13" s="751">
        <v>96.55</v>
      </c>
      <c r="I13" s="751">
        <v>97.67</v>
      </c>
      <c r="J13" s="751">
        <v>100.17</v>
      </c>
      <c r="K13" s="751">
        <v>104.04</v>
      </c>
      <c r="L13" s="751">
        <v>108.24</v>
      </c>
      <c r="M13" s="751">
        <v>112.88</v>
      </c>
      <c r="N13" s="751">
        <v>117.71</v>
      </c>
      <c r="O13" s="751">
        <v>122.87</v>
      </c>
      <c r="P13" s="751">
        <v>127.98</v>
      </c>
      <c r="Q13" s="751">
        <v>133.02000000000001</v>
      </c>
      <c r="R13" s="751">
        <v>137.74</v>
      </c>
      <c r="S13" s="751">
        <v>143.25</v>
      </c>
      <c r="T13" s="751">
        <v>148.34</v>
      </c>
      <c r="U13" s="751">
        <v>153.72999999999999</v>
      </c>
      <c r="V13" s="751">
        <v>158.84</v>
      </c>
      <c r="W13" s="751">
        <v>164.83</v>
      </c>
      <c r="X13" s="751">
        <v>171.41</v>
      </c>
      <c r="Y13" s="751">
        <v>178.12</v>
      </c>
      <c r="Z13" s="751">
        <v>184.85</v>
      </c>
      <c r="AA13" s="743">
        <v>191.78</v>
      </c>
      <c r="AB13" s="738">
        <v>198.7</v>
      </c>
      <c r="AC13" s="738">
        <v>206.31</v>
      </c>
      <c r="AD13" s="738">
        <v>213.96</v>
      </c>
      <c r="AE13" s="738">
        <v>223</v>
      </c>
      <c r="AF13" s="738">
        <v>232.87</v>
      </c>
      <c r="AG13" s="738">
        <f t="shared" ref="AG13:BO13" si="5">AF13*(1+$B$18)</f>
        <v>239.8561</v>
      </c>
      <c r="AH13" s="738">
        <f t="shared" si="5"/>
        <v>247.051783</v>
      </c>
      <c r="AI13" s="738">
        <f t="shared" si="5"/>
        <v>254.46333649000002</v>
      </c>
      <c r="AJ13" s="738">
        <f t="shared" si="5"/>
        <v>262.0972365847</v>
      </c>
      <c r="AK13" s="738">
        <f t="shared" si="5"/>
        <v>269.96015368224101</v>
      </c>
      <c r="AL13" s="738">
        <f t="shared" si="5"/>
        <v>278.05895829270827</v>
      </c>
      <c r="AM13" s="738">
        <f t="shared" si="5"/>
        <v>286.40072704148952</v>
      </c>
      <c r="AN13" s="738">
        <f t="shared" si="5"/>
        <v>294.99274885273422</v>
      </c>
      <c r="AO13" s="738">
        <f t="shared" si="5"/>
        <v>303.84253131831628</v>
      </c>
      <c r="AP13" s="738">
        <f t="shared" si="5"/>
        <v>312.9578072578658</v>
      </c>
      <c r="AQ13" s="738">
        <f t="shared" si="5"/>
        <v>322.34654147560178</v>
      </c>
      <c r="AR13" s="738">
        <f t="shared" si="5"/>
        <v>332.01693771986987</v>
      </c>
      <c r="AS13" s="738">
        <f t="shared" si="5"/>
        <v>341.97744585146597</v>
      </c>
      <c r="AT13" s="738">
        <f t="shared" si="5"/>
        <v>352.23676922700997</v>
      </c>
      <c r="AU13" s="738">
        <f t="shared" si="5"/>
        <v>362.8038723038203</v>
      </c>
      <c r="AV13" s="738">
        <f t="shared" si="5"/>
        <v>373.68798847293493</v>
      </c>
      <c r="AW13" s="738">
        <f t="shared" si="5"/>
        <v>384.898628127123</v>
      </c>
      <c r="AX13" s="738">
        <f t="shared" si="5"/>
        <v>396.44558697093669</v>
      </c>
      <c r="AY13" s="738">
        <f t="shared" si="5"/>
        <v>408.33895458006481</v>
      </c>
      <c r="AZ13" s="738">
        <f t="shared" si="5"/>
        <v>420.58912321746675</v>
      </c>
      <c r="BA13" s="738">
        <f t="shared" si="5"/>
        <v>433.20679691399079</v>
      </c>
      <c r="BB13" s="738">
        <f t="shared" si="5"/>
        <v>446.20300082141051</v>
      </c>
      <c r="BC13" s="738">
        <f t="shared" si="5"/>
        <v>459.58909084605284</v>
      </c>
      <c r="BD13" s="738">
        <f t="shared" si="5"/>
        <v>473.37676357143442</v>
      </c>
      <c r="BE13" s="738">
        <f t="shared" si="5"/>
        <v>487.57806647857745</v>
      </c>
      <c r="BF13" s="738">
        <f t="shared" si="5"/>
        <v>502.20540847293478</v>
      </c>
      <c r="BG13" s="738">
        <f t="shared" si="5"/>
        <v>517.27157072712282</v>
      </c>
      <c r="BH13" s="738">
        <f t="shared" si="5"/>
        <v>532.78971784893656</v>
      </c>
      <c r="BI13" s="738">
        <f t="shared" si="5"/>
        <v>548.77340938440466</v>
      </c>
      <c r="BJ13" s="738">
        <f t="shared" si="5"/>
        <v>565.23661166593683</v>
      </c>
      <c r="BK13" s="738">
        <f t="shared" si="5"/>
        <v>582.19371001591492</v>
      </c>
      <c r="BL13" s="738">
        <f t="shared" si="5"/>
        <v>599.65952131639233</v>
      </c>
      <c r="BM13" s="738">
        <f t="shared" si="5"/>
        <v>617.64930695588407</v>
      </c>
      <c r="BN13" s="738">
        <f t="shared" si="5"/>
        <v>636.17878616456062</v>
      </c>
      <c r="BO13" s="738">
        <f t="shared" si="5"/>
        <v>655.26414974949751</v>
      </c>
    </row>
    <row r="14" spans="1:69" s="98" customFormat="1" ht="15">
      <c r="A14" s="768"/>
      <c r="B14" s="779"/>
      <c r="C14" s="751"/>
      <c r="D14" s="751"/>
      <c r="E14" s="751"/>
      <c r="F14" s="751"/>
      <c r="G14" s="751"/>
      <c r="H14" s="751"/>
      <c r="I14" s="751"/>
      <c r="J14" s="751"/>
      <c r="K14" s="751"/>
      <c r="L14" s="751"/>
      <c r="M14" s="751"/>
      <c r="N14" s="751"/>
      <c r="O14" s="751"/>
      <c r="P14" s="751"/>
      <c r="Q14" s="751"/>
      <c r="R14" s="751"/>
      <c r="S14" s="751"/>
      <c r="T14" s="751"/>
      <c r="U14" s="751"/>
      <c r="V14" s="751"/>
      <c r="W14" s="751"/>
      <c r="X14" s="751"/>
      <c r="Y14" s="751"/>
      <c r="Z14" s="751"/>
      <c r="AA14" s="743"/>
      <c r="AB14" s="738"/>
      <c r="AC14" s="738"/>
      <c r="AD14" s="738"/>
      <c r="AE14" s="738"/>
      <c r="AF14" s="738"/>
      <c r="AG14" s="738"/>
      <c r="AH14" s="738"/>
      <c r="AI14" s="738"/>
      <c r="AJ14" s="738"/>
      <c r="AK14" s="738"/>
      <c r="AL14" s="738"/>
      <c r="AM14" s="738"/>
      <c r="AN14" s="738"/>
      <c r="AO14" s="738"/>
      <c r="AP14" s="738"/>
      <c r="AQ14" s="738"/>
      <c r="AR14" s="738"/>
      <c r="AS14" s="738"/>
      <c r="AT14" s="738"/>
      <c r="AU14" s="738"/>
      <c r="AV14" s="738"/>
      <c r="AW14" s="738"/>
      <c r="AX14" s="738"/>
      <c r="AY14" s="738"/>
      <c r="AZ14" s="738"/>
      <c r="BA14" s="738"/>
      <c r="BB14" s="738"/>
      <c r="BC14" s="738"/>
      <c r="BD14" s="738"/>
      <c r="BE14" s="738"/>
      <c r="BF14" s="738"/>
      <c r="BG14" s="738"/>
      <c r="BH14" s="738"/>
      <c r="BI14" s="738"/>
      <c r="BJ14" s="738"/>
      <c r="BK14" s="738"/>
      <c r="BL14" s="738"/>
      <c r="BM14" s="738"/>
      <c r="BN14" s="738"/>
      <c r="BO14" s="738"/>
    </row>
    <row r="15" spans="1:69">
      <c r="A15" s="752" t="s">
        <v>1114</v>
      </c>
      <c r="B15" s="753"/>
      <c r="C15" s="95" t="s">
        <v>1115</v>
      </c>
    </row>
    <row r="16" spans="1:69">
      <c r="A16" s="753" t="s">
        <v>385</v>
      </c>
      <c r="B16" s="805">
        <v>4.4999999999999998E-2</v>
      </c>
    </row>
    <row r="17" spans="1:67">
      <c r="A17" s="753" t="s">
        <v>383</v>
      </c>
      <c r="B17" s="805">
        <v>5.0000000000000001E-3</v>
      </c>
    </row>
    <row r="18" spans="1:67">
      <c r="A18" s="753" t="s">
        <v>384</v>
      </c>
      <c r="B18" s="805">
        <v>0.03</v>
      </c>
    </row>
    <row r="20" spans="1:67">
      <c r="A20" s="753" t="s">
        <v>1116</v>
      </c>
      <c r="B20" s="753"/>
      <c r="C20" s="796">
        <v>3.1567999999999999E-2</v>
      </c>
      <c r="D20" s="796">
        <v>2.1000000000000001E-2</v>
      </c>
      <c r="E20" s="796">
        <v>1.4999999999999999E-2</v>
      </c>
      <c r="F20" s="796">
        <v>1.8878043548213874E-2</v>
      </c>
      <c r="G20" s="796">
        <v>2.3E-2</v>
      </c>
      <c r="H20" s="796">
        <v>2.4000000000000021E-2</v>
      </c>
      <c r="I20" s="796">
        <v>2.4000000000000021E-2</v>
      </c>
      <c r="J20" s="796">
        <v>2.4000000000000243E-2</v>
      </c>
      <c r="K20" s="796">
        <v>2.4000000000000243E-2</v>
      </c>
      <c r="L20" s="796">
        <v>2.3999999999999355E-2</v>
      </c>
      <c r="M20" s="796">
        <v>2.3999999999998502E-2</v>
      </c>
      <c r="N20" s="796">
        <v>2.39999999999976E-2</v>
      </c>
      <c r="O20" s="796">
        <v>2.3999999999996701E-2</v>
      </c>
      <c r="P20" s="796">
        <v>2.3999999999995799E-2</v>
      </c>
      <c r="Q20" s="796">
        <v>2.39999999999949E-2</v>
      </c>
      <c r="R20" s="796">
        <v>2.3999999999993998E-2</v>
      </c>
      <c r="S20" s="796">
        <v>2.39999999999931E-2</v>
      </c>
      <c r="T20" s="796">
        <v>2.3999999999992201E-2</v>
      </c>
      <c r="U20" s="796">
        <v>2.39999999999914E-2</v>
      </c>
      <c r="V20" s="796">
        <v>2.3999999999990501E-2</v>
      </c>
      <c r="W20" s="796">
        <v>2.3999999999989599E-2</v>
      </c>
      <c r="X20" s="796">
        <v>2.3999999999988701E-2</v>
      </c>
      <c r="Y20" s="796">
        <v>2.3999999999987798E-2</v>
      </c>
      <c r="Z20" s="796">
        <v>2.39999999999869E-2</v>
      </c>
      <c r="AA20" s="796">
        <v>2.3999999999986001E-2</v>
      </c>
      <c r="AB20" s="796">
        <v>2.3999999999985099E-2</v>
      </c>
      <c r="AC20" s="797">
        <v>2.3999999999984301E-2</v>
      </c>
      <c r="AD20" s="797">
        <v>2.3999999999983399E-2</v>
      </c>
      <c r="AE20" s="797">
        <v>2.3999999999982501E-2</v>
      </c>
      <c r="AF20" s="797">
        <v>2.3999999999981599E-2</v>
      </c>
      <c r="AG20" s="797">
        <v>2.3999999999981599E-2</v>
      </c>
      <c r="AH20" s="797">
        <v>2.3999999999981599E-2</v>
      </c>
      <c r="AI20" s="797">
        <v>2.3999999999981599E-2</v>
      </c>
      <c r="AJ20" s="797">
        <v>2.3999999999981599E-2</v>
      </c>
      <c r="AK20" s="797">
        <v>2.3999999999981599E-2</v>
      </c>
      <c r="AL20" s="797">
        <v>2.3999999999981599E-2</v>
      </c>
      <c r="AM20" s="797">
        <v>2.3999999999981599E-2</v>
      </c>
      <c r="AN20" s="797">
        <v>2.3999999999981599E-2</v>
      </c>
      <c r="AO20" s="797">
        <v>2.3999999999981599E-2</v>
      </c>
      <c r="AP20" s="797">
        <v>2.3999999999981599E-2</v>
      </c>
      <c r="AQ20" s="797">
        <v>2.3999999999981599E-2</v>
      </c>
      <c r="AR20" s="797">
        <v>2.3999999999981599E-2</v>
      </c>
      <c r="AS20" s="797">
        <v>2.3999999999981599E-2</v>
      </c>
      <c r="AT20" s="797">
        <v>2.3999999999981599E-2</v>
      </c>
      <c r="AU20" s="797">
        <v>2.3999999999981599E-2</v>
      </c>
      <c r="AV20" s="797">
        <v>2.3999999999981599E-2</v>
      </c>
      <c r="AW20" s="797">
        <v>2.3999999999981599E-2</v>
      </c>
      <c r="AX20" s="797">
        <v>2.3999999999981599E-2</v>
      </c>
      <c r="AY20" s="797">
        <v>2.3999999999981599E-2</v>
      </c>
      <c r="AZ20" s="797">
        <v>2.3999999999981599E-2</v>
      </c>
      <c r="BA20" s="797">
        <v>2.3999999999981599E-2</v>
      </c>
      <c r="BB20" s="797">
        <v>2.3999999999981599E-2</v>
      </c>
      <c r="BC20" s="797">
        <v>2.3999999999981599E-2</v>
      </c>
      <c r="BD20" s="797">
        <v>2.3999999999981599E-2</v>
      </c>
      <c r="BE20" s="797">
        <v>2.3999999999981599E-2</v>
      </c>
      <c r="BF20" s="797">
        <v>2.3999999999981599E-2</v>
      </c>
      <c r="BG20" s="797">
        <v>2.3999999999981599E-2</v>
      </c>
      <c r="BH20" s="797">
        <v>2.3999999999981599E-2</v>
      </c>
      <c r="BI20" s="797">
        <v>2.3999999999981599E-2</v>
      </c>
      <c r="BJ20" s="797">
        <v>2.3999999999981599E-2</v>
      </c>
      <c r="BK20" s="797">
        <v>2.3999999999981599E-2</v>
      </c>
      <c r="BL20" s="797">
        <v>2.3999999999981599E-2</v>
      </c>
      <c r="BM20" s="797">
        <v>2.3999999999981599E-2</v>
      </c>
      <c r="BN20" s="797">
        <v>2.3999999999981599E-2</v>
      </c>
      <c r="BO20" s="797">
        <v>2.3999999999981599E-2</v>
      </c>
    </row>
    <row r="21" spans="1:67">
      <c r="A21" s="753" t="s">
        <v>1117</v>
      </c>
      <c r="B21" s="753"/>
      <c r="C21" s="798">
        <v>224.93899999999999</v>
      </c>
      <c r="D21" s="798">
        <v>229.59399999999999</v>
      </c>
      <c r="E21" s="798">
        <v>232.95699999999999</v>
      </c>
      <c r="F21" s="798">
        <v>237.35477239086126</v>
      </c>
      <c r="G21" s="798">
        <v>242.81393215585103</v>
      </c>
      <c r="H21" s="798">
        <v>248.64146652759146</v>
      </c>
      <c r="I21" s="798">
        <v>254.60886172425367</v>
      </c>
      <c r="J21" s="798">
        <v>260.71947440563582</v>
      </c>
      <c r="K21" s="798">
        <v>266.97674179137113</v>
      </c>
      <c r="L21" s="798">
        <v>273.38418359436383</v>
      </c>
      <c r="M21" s="798">
        <v>279.94540400062817</v>
      </c>
      <c r="N21" s="798">
        <v>286.66409369664257</v>
      </c>
      <c r="O21" s="798">
        <v>293.54403194536104</v>
      </c>
      <c r="P21" s="798">
        <v>300.58908871204846</v>
      </c>
      <c r="Q21" s="798">
        <v>307.80322684113611</v>
      </c>
      <c r="R21" s="798">
        <v>315.19050428532154</v>
      </c>
      <c r="S21" s="798">
        <v>322.75507638816708</v>
      </c>
      <c r="T21" s="798">
        <v>330.50119822148059</v>
      </c>
      <c r="U21" s="798">
        <v>338.4332269787933</v>
      </c>
      <c r="V21" s="798">
        <v>346.5556244262811</v>
      </c>
      <c r="W21" s="798">
        <v>354.87295941250824</v>
      </c>
      <c r="X21" s="798">
        <v>363.3899104384044</v>
      </c>
      <c r="Y21" s="798">
        <v>372.11126828892168</v>
      </c>
      <c r="Z21" s="798">
        <v>381.04193872785095</v>
      </c>
      <c r="AA21" s="798">
        <v>390.18694525731405</v>
      </c>
      <c r="AB21" s="798">
        <v>399.55143194348381</v>
      </c>
      <c r="AC21" s="799">
        <v>409.14066631012111</v>
      </c>
      <c r="AD21" s="799">
        <v>418.96004230155722</v>
      </c>
      <c r="AE21" s="799">
        <v>429.01508331678724</v>
      </c>
      <c r="AF21" s="799">
        <v>439.31144531638222</v>
      </c>
      <c r="AG21" s="800">
        <v>449.85492000396732</v>
      </c>
      <c r="AH21" s="800">
        <v>460.65143808405423</v>
      </c>
      <c r="AI21" s="800">
        <v>471.70707259806306</v>
      </c>
      <c r="AJ21" s="800">
        <v>483.02804234040792</v>
      </c>
      <c r="AK21" s="800">
        <v>494.62071535656884</v>
      </c>
      <c r="AL21" s="800">
        <v>506.49161252511738</v>
      </c>
      <c r="AM21" s="800">
        <v>518.64741122571081</v>
      </c>
      <c r="AN21" s="800">
        <v>531.0949490951183</v>
      </c>
      <c r="AO21" s="800">
        <v>543.8412278733914</v>
      </c>
      <c r="AP21" s="800">
        <v>556.89341734234279</v>
      </c>
      <c r="AQ21" s="800">
        <v>570.25885935854876</v>
      </c>
      <c r="AR21" s="800">
        <v>583.94507198314341</v>
      </c>
      <c r="AS21" s="800">
        <v>597.95975371072814</v>
      </c>
      <c r="AT21" s="800">
        <v>612.31078779977463</v>
      </c>
      <c r="AU21" s="800">
        <v>627.006246706958</v>
      </c>
      <c r="AV21" s="800">
        <v>642.05439662791343</v>
      </c>
      <c r="AW21" s="800">
        <v>657.46370214697151</v>
      </c>
      <c r="AX21" s="800">
        <v>673.24283099848674</v>
      </c>
      <c r="AY21" s="800">
        <v>689.40065894243799</v>
      </c>
      <c r="AZ21" s="800">
        <v>705.94627475704385</v>
      </c>
      <c r="BA21" s="800">
        <v>722.88898535119995</v>
      </c>
      <c r="BB21" s="800">
        <v>740.23832099961544</v>
      </c>
      <c r="BC21" s="800">
        <v>758.00404070359264</v>
      </c>
      <c r="BD21" s="800">
        <v>776.19613768046486</v>
      </c>
      <c r="BE21" s="800">
        <v>794.82484498478175</v>
      </c>
      <c r="BF21" s="800">
        <v>813.90064126440188</v>
      </c>
      <c r="BG21" s="800">
        <v>833.43425665473251</v>
      </c>
      <c r="BH21" s="800">
        <v>853.43667881443071</v>
      </c>
      <c r="BI21" s="800">
        <v>873.91915910596128</v>
      </c>
      <c r="BJ21" s="800">
        <v>894.89321892448822</v>
      </c>
      <c r="BK21" s="800">
        <v>916.37065617865949</v>
      </c>
      <c r="BL21" s="800">
        <v>938.36355192693043</v>
      </c>
      <c r="BM21" s="800">
        <v>960.88427717315949</v>
      </c>
      <c r="BN21" s="800">
        <v>983.94549982529759</v>
      </c>
      <c r="BO21" s="800">
        <v>1007.5601918210866</v>
      </c>
    </row>
    <row r="22" spans="1:67">
      <c r="A22" s="753" t="s">
        <v>1118</v>
      </c>
      <c r="B22" s="753"/>
      <c r="C22" s="89">
        <f t="shared" ref="C22:BN22" si="6">$E$21/C21</f>
        <v>1.035645219370585</v>
      </c>
      <c r="D22" s="89">
        <f t="shared" si="6"/>
        <v>1.0146475953204352</v>
      </c>
      <c r="E22" s="89">
        <f t="shared" si="6"/>
        <v>1</v>
      </c>
      <c r="F22" s="89">
        <f t="shared" si="6"/>
        <v>0.98147173386672304</v>
      </c>
      <c r="G22" s="89">
        <f t="shared" si="6"/>
        <v>0.95940540944938724</v>
      </c>
      <c r="H22" s="89">
        <f t="shared" si="6"/>
        <v>0.93691934516541719</v>
      </c>
      <c r="I22" s="89">
        <f t="shared" si="6"/>
        <v>0.91496029801310264</v>
      </c>
      <c r="J22" s="89">
        <f t="shared" si="6"/>
        <v>0.8935159160284204</v>
      </c>
      <c r="K22" s="89">
        <f t="shared" si="6"/>
        <v>0.87257413674650408</v>
      </c>
      <c r="L22" s="89">
        <f t="shared" si="6"/>
        <v>0.85212318041650859</v>
      </c>
      <c r="M22" s="89">
        <f t="shared" si="6"/>
        <v>0.83215154337549779</v>
      </c>
      <c r="N22" s="89">
        <f t="shared" si="6"/>
        <v>0.81264799157763656</v>
      </c>
      <c r="O22" s="89">
        <f t="shared" si="6"/>
        <v>0.7936015542750382</v>
      </c>
      <c r="P22" s="89">
        <f t="shared" si="6"/>
        <v>0.77500151784672022</v>
      </c>
      <c r="Q22" s="89">
        <f t="shared" si="6"/>
        <v>0.75683741977219143</v>
      </c>
      <c r="R22" s="89">
        <f t="shared" si="6"/>
        <v>0.73909904274628502</v>
      </c>
      <c r="S22" s="89">
        <f t="shared" si="6"/>
        <v>0.72177640893192385</v>
      </c>
      <c r="T22" s="89">
        <f t="shared" si="6"/>
        <v>0.70485977434758718</v>
      </c>
      <c r="U22" s="89">
        <f t="shared" si="6"/>
        <v>0.68833962338632138</v>
      </c>
      <c r="V22" s="89">
        <f t="shared" si="6"/>
        <v>0.67220666346321079</v>
      </c>
      <c r="W22" s="89">
        <f t="shared" si="6"/>
        <v>0.65645181978829836</v>
      </c>
      <c r="X22" s="89">
        <f t="shared" si="6"/>
        <v>0.64106623026201726</v>
      </c>
      <c r="Y22" s="89">
        <f t="shared" si="6"/>
        <v>0.62604124049025867</v>
      </c>
      <c r="Z22" s="89">
        <f t="shared" si="6"/>
        <v>0.61136839891627603</v>
      </c>
      <c r="AA22" s="89">
        <f t="shared" si="6"/>
        <v>0.59703945206668396</v>
      </c>
      <c r="AB22" s="89">
        <f t="shared" si="6"/>
        <v>0.58304633990887955</v>
      </c>
      <c r="AC22" s="89">
        <f t="shared" si="6"/>
        <v>0.56938119131727394</v>
      </c>
      <c r="AD22" s="89">
        <f t="shared" si="6"/>
        <v>0.55603631964578437</v>
      </c>
      <c r="AE22" s="89">
        <f t="shared" si="6"/>
        <v>0.54300421840409552</v>
      </c>
      <c r="AF22" s="89">
        <f t="shared" si="6"/>
        <v>0.53027755703525914</v>
      </c>
      <c r="AG22" s="89">
        <f t="shared" si="6"/>
        <v>0.51784917679225451</v>
      </c>
      <c r="AH22" s="89">
        <f t="shared" si="6"/>
        <v>0.50571208671119516</v>
      </c>
      <c r="AI22" s="89">
        <f t="shared" si="6"/>
        <v>0.49385945967891043</v>
      </c>
      <c r="AJ22" s="89">
        <f t="shared" si="6"/>
        <v>0.48228462859269461</v>
      </c>
      <c r="AK22" s="89">
        <f t="shared" si="6"/>
        <v>0.47098108261006177</v>
      </c>
      <c r="AL22" s="89">
        <f t="shared" si="6"/>
        <v>0.45994246348639672</v>
      </c>
      <c r="AM22" s="89">
        <f t="shared" si="6"/>
        <v>0.4491625619984424</v>
      </c>
      <c r="AN22" s="89">
        <f t="shared" si="6"/>
        <v>0.43863531445161186</v>
      </c>
      <c r="AO22" s="89">
        <f t="shared" si="6"/>
        <v>0.42835479926915987</v>
      </c>
      <c r="AP22" s="89">
        <f t="shared" si="6"/>
        <v>0.41831523366129642</v>
      </c>
      <c r="AQ22" s="89">
        <f t="shared" si="6"/>
        <v>0.40851097037236717</v>
      </c>
      <c r="AR22" s="89">
        <f t="shared" si="6"/>
        <v>0.39893649450427199</v>
      </c>
      <c r="AS22" s="89">
        <f t="shared" si="6"/>
        <v>0.38958642041433506</v>
      </c>
      <c r="AT22" s="89">
        <f t="shared" si="6"/>
        <v>0.38045548868588092</v>
      </c>
      <c r="AU22" s="89">
        <f t="shared" si="6"/>
        <v>0.37153856316981226</v>
      </c>
      <c r="AV22" s="89">
        <f t="shared" si="6"/>
        <v>0.3628306280955263</v>
      </c>
      <c r="AW22" s="89">
        <f t="shared" si="6"/>
        <v>0.35432678524954381</v>
      </c>
      <c r="AX22" s="89">
        <f t="shared" si="6"/>
        <v>0.34602225122026381</v>
      </c>
      <c r="AY22" s="89">
        <f t="shared" si="6"/>
        <v>0.33791235470729497</v>
      </c>
      <c r="AZ22" s="89">
        <f t="shared" si="6"/>
        <v>0.32999253389384864</v>
      </c>
      <c r="BA22" s="89">
        <f t="shared" si="6"/>
        <v>0.32225833388071734</v>
      </c>
      <c r="BB22" s="89">
        <f t="shared" si="6"/>
        <v>0.31470540418039372</v>
      </c>
      <c r="BC22" s="89">
        <f t="shared" si="6"/>
        <v>0.30732949626992123</v>
      </c>
      <c r="BD22" s="89">
        <f t="shared" si="6"/>
        <v>0.30012646120110037</v>
      </c>
      <c r="BE22" s="89">
        <f t="shared" si="6"/>
        <v>0.29309224726670485</v>
      </c>
      <c r="BF22" s="89">
        <f t="shared" si="6"/>
        <v>0.28622289772139659</v>
      </c>
      <c r="BG22" s="89">
        <f t="shared" si="6"/>
        <v>0.2795145485560564</v>
      </c>
      <c r="BH22" s="89">
        <f t="shared" si="6"/>
        <v>0.27296342632427872</v>
      </c>
      <c r="BI22" s="89">
        <f t="shared" si="6"/>
        <v>0.26656584601980826</v>
      </c>
      <c r="BJ22" s="89">
        <f t="shared" si="6"/>
        <v>0.26031820900372371</v>
      </c>
      <c r="BK22" s="89">
        <f t="shared" si="6"/>
        <v>0.2542170009802035</v>
      </c>
      <c r="BL22" s="89">
        <f t="shared" si="6"/>
        <v>0.24825879001973444</v>
      </c>
      <c r="BM22" s="89">
        <f t="shared" si="6"/>
        <v>0.24244022462865128</v>
      </c>
      <c r="BN22" s="89">
        <f t="shared" si="6"/>
        <v>0.23675803186392153</v>
      </c>
      <c r="BO22" s="89">
        <f>$E$21/BO21</f>
        <v>0.23120901549211501</v>
      </c>
    </row>
    <row r="23" spans="1:67" s="98" customFormat="1">
      <c r="A23" s="762"/>
      <c r="B23" s="768"/>
      <c r="C23" s="750"/>
      <c r="D23" s="750"/>
      <c r="E23" s="750"/>
      <c r="F23" s="750"/>
      <c r="G23" s="750">
        <v>1</v>
      </c>
      <c r="H23" s="750">
        <f>$G$21/H21</f>
        <v>0.9765625</v>
      </c>
      <c r="I23" s="750">
        <f t="shared" ref="I23:BO23" si="7">$G$21/I21</f>
        <v>0.95367431640624989</v>
      </c>
      <c r="J23" s="750">
        <f t="shared" si="7"/>
        <v>0.93132257461547818</v>
      </c>
      <c r="K23" s="750">
        <f t="shared" si="7"/>
        <v>0.90949470177292779</v>
      </c>
      <c r="L23" s="750">
        <f t="shared" si="7"/>
        <v>0.88817841970012545</v>
      </c>
      <c r="M23" s="750">
        <f t="shared" si="7"/>
        <v>0.86736173798840499</v>
      </c>
      <c r="N23" s="750">
        <f t="shared" si="7"/>
        <v>0.84703294725430378</v>
      </c>
      <c r="O23" s="750">
        <f t="shared" si="7"/>
        <v>0.82718061255303366</v>
      </c>
      <c r="P23" s="750">
        <f t="shared" si="7"/>
        <v>0.80779356694632531</v>
      </c>
      <c r="Q23" s="750">
        <f t="shared" si="7"/>
        <v>0.7888609052210247</v>
      </c>
      <c r="R23" s="750">
        <f t="shared" si="7"/>
        <v>0.7703719777549114</v>
      </c>
      <c r="S23" s="750">
        <f t="shared" si="7"/>
        <v>0.75231638452628569</v>
      </c>
      <c r="T23" s="750">
        <f t="shared" si="7"/>
        <v>0.73468396926395652</v>
      </c>
      <c r="U23" s="750">
        <f t="shared" si="7"/>
        <v>0.71746481373433846</v>
      </c>
      <c r="V23" s="750">
        <f t="shared" si="7"/>
        <v>0.70064923216244646</v>
      </c>
      <c r="W23" s="750">
        <f t="shared" si="7"/>
        <v>0.68422776578364608</v>
      </c>
      <c r="X23" s="750">
        <f t="shared" si="7"/>
        <v>0.66819117752309931</v>
      </c>
      <c r="Y23" s="750">
        <f t="shared" si="7"/>
        <v>0.65253044679990946</v>
      </c>
      <c r="Z23" s="750">
        <f t="shared" si="7"/>
        <v>0.63723676445304467</v>
      </c>
      <c r="AA23" s="750">
        <f t="shared" si="7"/>
        <v>0.62230152778618497</v>
      </c>
      <c r="AB23" s="750">
        <f t="shared" si="7"/>
        <v>0.60771633572870498</v>
      </c>
      <c r="AC23" s="750">
        <f t="shared" si="7"/>
        <v>0.59347298411007265</v>
      </c>
      <c r="AD23" s="750">
        <f t="shared" si="7"/>
        <v>0.57956346104500223</v>
      </c>
      <c r="AE23" s="750">
        <f t="shared" si="7"/>
        <v>0.56597994242676963</v>
      </c>
      <c r="AF23" s="750">
        <f t="shared" si="7"/>
        <v>0.55271478752615222</v>
      </c>
      <c r="AG23" s="750">
        <f t="shared" si="7"/>
        <v>0.5397605346935177</v>
      </c>
      <c r="AH23" s="750">
        <f t="shared" si="7"/>
        <v>0.52710989716164791</v>
      </c>
      <c r="AI23" s="750">
        <f t="shared" si="7"/>
        <v>0.51475575894693104</v>
      </c>
      <c r="AJ23" s="750">
        <f t="shared" si="7"/>
        <v>0.50269117084662129</v>
      </c>
      <c r="AK23" s="750">
        <f t="shared" si="7"/>
        <v>0.49090934652991242</v>
      </c>
      <c r="AL23" s="750">
        <f t="shared" si="7"/>
        <v>0.47940365872062624</v>
      </c>
      <c r="AM23" s="750">
        <f t="shared" si="7"/>
        <v>0.46816763546937001</v>
      </c>
      <c r="AN23" s="750">
        <f t="shared" si="7"/>
        <v>0.45719495651306491</v>
      </c>
      <c r="AO23" s="750">
        <f t="shared" si="7"/>
        <v>0.44647944971979797</v>
      </c>
      <c r="AP23" s="750">
        <f t="shared" si="7"/>
        <v>0.43601508761699803</v>
      </c>
      <c r="AQ23" s="750">
        <f t="shared" si="7"/>
        <v>0.42579598400098229</v>
      </c>
      <c r="AR23" s="750">
        <f t="shared" si="7"/>
        <v>0.41581639062596676</v>
      </c>
      <c r="AS23" s="750">
        <f t="shared" si="7"/>
        <v>0.40607069397067791</v>
      </c>
      <c r="AT23" s="750">
        <f t="shared" si="7"/>
        <v>0.39655341208074729</v>
      </c>
      <c r="AU23" s="750">
        <f t="shared" si="7"/>
        <v>0.38725919148511168</v>
      </c>
      <c r="AV23" s="750">
        <f t="shared" si="7"/>
        <v>0.37818280418468619</v>
      </c>
      <c r="AW23" s="750">
        <f t="shared" si="7"/>
        <v>0.36931914471161426</v>
      </c>
      <c r="AX23" s="750">
        <f t="shared" si="7"/>
        <v>0.36066322725744226</v>
      </c>
      <c r="AY23" s="750">
        <f t="shared" si="7"/>
        <v>0.35221018286860234</v>
      </c>
      <c r="AZ23" s="750">
        <f t="shared" si="7"/>
        <v>0.34395525670762561</v>
      </c>
      <c r="BA23" s="750">
        <f t="shared" si="7"/>
        <v>0.33589380537854668</v>
      </c>
      <c r="BB23" s="750">
        <f t="shared" si="7"/>
        <v>0.32802129431499288</v>
      </c>
      <c r="BC23" s="750">
        <f t="shared" si="7"/>
        <v>0.320333295229491</v>
      </c>
      <c r="BD23" s="750">
        <f t="shared" si="7"/>
        <v>0.31282548362255541</v>
      </c>
      <c r="BE23" s="750">
        <f t="shared" si="7"/>
        <v>0.30549363635015725</v>
      </c>
      <c r="BF23" s="750">
        <f t="shared" si="7"/>
        <v>0.29833362924820583</v>
      </c>
      <c r="BG23" s="750">
        <f t="shared" si="7"/>
        <v>0.29134143481270625</v>
      </c>
      <c r="BH23" s="750">
        <f t="shared" si="7"/>
        <v>0.28451311993428857</v>
      </c>
      <c r="BI23" s="750">
        <f t="shared" si="7"/>
        <v>0.27784484368583368</v>
      </c>
      <c r="BJ23" s="750">
        <f t="shared" si="7"/>
        <v>0.27133285516195188</v>
      </c>
      <c r="BK23" s="750">
        <f t="shared" si="7"/>
        <v>0.26497349136909837</v>
      </c>
      <c r="BL23" s="750">
        <f t="shared" si="7"/>
        <v>0.2587631751651398</v>
      </c>
      <c r="BM23" s="750">
        <f t="shared" si="7"/>
        <v>0.25269841324721137</v>
      </c>
      <c r="BN23" s="750">
        <f t="shared" si="7"/>
        <v>0.24677579418673429</v>
      </c>
      <c r="BO23" s="750">
        <f t="shared" si="7"/>
        <v>0.24099198651048703</v>
      </c>
    </row>
  </sheetData>
  <phoneticPr fontId="31" type="noConversion"/>
  <pageMargins left="0.75" right="0.75" top="1" bottom="1" header="0.5" footer="0.5"/>
  <pageSetup orientation="portrait" r:id="rId1"/>
  <headerFooter alignWithMargins="0"/>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1:I15"/>
  <sheetViews>
    <sheetView workbookViewId="0">
      <selection activeCell="Q44" sqref="Q44"/>
    </sheetView>
  </sheetViews>
  <sheetFormatPr defaultRowHeight="12.75"/>
  <cols>
    <col min="1" max="1" width="27.85546875" style="90" customWidth="1"/>
    <col min="2" max="2" width="6.5703125" style="90" customWidth="1"/>
    <col min="3" max="3" width="9.140625" style="90"/>
    <col min="4" max="4" width="8.28515625" style="90" bestFit="1" customWidth="1"/>
    <col min="5" max="5" width="17.28515625" style="90" bestFit="1" customWidth="1"/>
    <col min="6" max="16384" width="9.140625" style="90"/>
  </cols>
  <sheetData>
    <row r="1" spans="1:9">
      <c r="A1" s="95" t="s">
        <v>1107</v>
      </c>
    </row>
    <row r="3" spans="1:9" s="98" customFormat="1" ht="15">
      <c r="A3" s="806" t="s">
        <v>525</v>
      </c>
      <c r="B3" s="807" t="s">
        <v>553</v>
      </c>
      <c r="C3" s="808"/>
      <c r="D3" s="808"/>
      <c r="E3" s="808"/>
      <c r="F3" s="753"/>
      <c r="G3" s="753"/>
      <c r="H3" s="753"/>
      <c r="I3" s="753"/>
    </row>
    <row r="4" spans="1:9" ht="15">
      <c r="A4" s="786" t="s">
        <v>425</v>
      </c>
      <c r="B4" s="786" t="s">
        <v>420</v>
      </c>
      <c r="C4" s="786" t="s">
        <v>396</v>
      </c>
      <c r="D4" s="786" t="s">
        <v>523</v>
      </c>
      <c r="E4" s="786" t="s">
        <v>524</v>
      </c>
    </row>
    <row r="5" spans="1:9">
      <c r="A5" s="785" t="s">
        <v>292</v>
      </c>
      <c r="B5" s="787">
        <v>0.31</v>
      </c>
      <c r="C5" s="787">
        <v>0.52</v>
      </c>
      <c r="D5" s="787">
        <v>0.52529999999999999</v>
      </c>
      <c r="E5" s="787">
        <v>8.9999999999999993E-3</v>
      </c>
    </row>
    <row r="6" spans="1:9">
      <c r="A6" s="785" t="s">
        <v>293</v>
      </c>
      <c r="B6" s="787">
        <v>1.08</v>
      </c>
      <c r="C6" s="787">
        <v>-0.05</v>
      </c>
      <c r="D6" s="787">
        <v>0.71599999999999997</v>
      </c>
      <c r="E6" s="787">
        <v>0</v>
      </c>
      <c r="F6" s="90" t="s">
        <v>814</v>
      </c>
    </row>
    <row r="7" spans="1:9">
      <c r="A7" s="785" t="s">
        <v>294</v>
      </c>
      <c r="B7" s="787">
        <v>1.34</v>
      </c>
      <c r="C7" s="787">
        <v>0.04</v>
      </c>
      <c r="D7" s="787">
        <v>0.91659999999999997</v>
      </c>
      <c r="E7" s="787">
        <v>0</v>
      </c>
    </row>
    <row r="8" spans="1:9">
      <c r="A8" s="785" t="s">
        <v>295</v>
      </c>
      <c r="B8" s="787">
        <v>1.1299999999999999</v>
      </c>
      <c r="C8" s="787">
        <v>0.69</v>
      </c>
      <c r="D8" s="787">
        <v>0.94359999999999999</v>
      </c>
      <c r="E8" s="787">
        <v>0</v>
      </c>
    </row>
    <row r="9" spans="1:9">
      <c r="A9" s="785" t="s">
        <v>296</v>
      </c>
      <c r="B9" s="787">
        <v>1.37</v>
      </c>
      <c r="C9" s="787">
        <v>0.66</v>
      </c>
      <c r="D9" s="787">
        <v>0.96530000000000005</v>
      </c>
      <c r="E9" s="787">
        <v>0</v>
      </c>
    </row>
    <row r="10" spans="1:9">
      <c r="A10" s="90" t="s">
        <v>549</v>
      </c>
      <c r="B10" s="89">
        <v>1.5</v>
      </c>
      <c r="C10" s="89">
        <v>0.51</v>
      </c>
      <c r="D10" s="89">
        <v>0.98450000000000004</v>
      </c>
      <c r="E10" s="89">
        <v>0</v>
      </c>
    </row>
    <row r="11" spans="1:9">
      <c r="A11" s="785" t="s">
        <v>297</v>
      </c>
      <c r="B11" s="787">
        <v>1.37</v>
      </c>
      <c r="C11" s="787">
        <v>0.66</v>
      </c>
      <c r="D11" s="787">
        <v>0.96530000000000005</v>
      </c>
      <c r="E11" s="787">
        <v>0</v>
      </c>
    </row>
    <row r="12" spans="1:9">
      <c r="A12" s="90" t="s">
        <v>550</v>
      </c>
      <c r="B12" s="89">
        <v>1.49</v>
      </c>
      <c r="C12" s="89">
        <v>0.56000000000000005</v>
      </c>
      <c r="D12" s="89">
        <v>0.98019999999999996</v>
      </c>
      <c r="E12" s="89">
        <v>0</v>
      </c>
    </row>
    <row r="13" spans="1:9">
      <c r="A13" s="90" t="s">
        <v>551</v>
      </c>
      <c r="B13" s="89">
        <v>1.34</v>
      </c>
      <c r="C13" s="89">
        <v>0.79</v>
      </c>
      <c r="D13" s="89">
        <v>0.95789999999999997</v>
      </c>
      <c r="E13" s="89">
        <v>0</v>
      </c>
    </row>
    <row r="14" spans="1:9">
      <c r="A14" s="785" t="s">
        <v>298</v>
      </c>
      <c r="B14" s="793">
        <v>1.37</v>
      </c>
      <c r="C14" s="793">
        <v>0.66</v>
      </c>
      <c r="D14" s="793">
        <v>0.96530000000000005</v>
      </c>
      <c r="E14" s="793">
        <v>0</v>
      </c>
      <c r="F14" s="95" t="s">
        <v>1152</v>
      </c>
    </row>
    <row r="15" spans="1:9">
      <c r="A15" s="90" t="s">
        <v>552</v>
      </c>
      <c r="B15" s="89">
        <v>1.74</v>
      </c>
      <c r="C15" s="89">
        <v>0.5</v>
      </c>
      <c r="D15" s="89">
        <v>0.95409999999999995</v>
      </c>
      <c r="E15" s="89">
        <v>0</v>
      </c>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8"/>
  </sheetPr>
  <dimension ref="A1:N194"/>
  <sheetViews>
    <sheetView workbookViewId="0">
      <selection activeCell="E205" sqref="E205"/>
    </sheetView>
  </sheetViews>
  <sheetFormatPr defaultRowHeight="12.75"/>
  <cols>
    <col min="1" max="1" width="15.28515625" style="90" customWidth="1"/>
    <col min="2" max="4" width="27.7109375" style="90" bestFit="1" customWidth="1"/>
    <col min="5" max="5" width="21.5703125" style="90" bestFit="1" customWidth="1"/>
    <col min="6" max="6" width="20.140625" style="90" bestFit="1" customWidth="1"/>
    <col min="7" max="7" width="12" style="90" bestFit="1" customWidth="1"/>
    <col min="8" max="16384" width="9.140625" style="90"/>
  </cols>
  <sheetData>
    <row r="1" spans="1:9">
      <c r="A1" s="95" t="s">
        <v>1107</v>
      </c>
    </row>
    <row r="2" spans="1:9">
      <c r="A2" s="93" t="s">
        <v>1119</v>
      </c>
    </row>
    <row r="4" spans="1:9">
      <c r="A4" s="2187" t="s">
        <v>1120</v>
      </c>
      <c r="B4" s="2187"/>
      <c r="C4" s="2187"/>
      <c r="D4" s="2187"/>
      <c r="E4" s="2187"/>
      <c r="F4" s="2187"/>
      <c r="G4" s="2187"/>
      <c r="H4" s="2187"/>
      <c r="I4" s="2187"/>
    </row>
    <row r="5" spans="1:9" ht="25.5">
      <c r="A5" s="752" t="s">
        <v>393</v>
      </c>
      <c r="B5" s="752" t="s">
        <v>303</v>
      </c>
      <c r="C5" s="752" t="s">
        <v>393</v>
      </c>
      <c r="D5" s="752" t="s">
        <v>425</v>
      </c>
      <c r="E5" s="740" t="s">
        <v>394</v>
      </c>
      <c r="F5" s="740" t="s">
        <v>395</v>
      </c>
      <c r="G5" s="740" t="s">
        <v>419</v>
      </c>
      <c r="H5" s="752" t="s">
        <v>420</v>
      </c>
      <c r="I5" s="740" t="s">
        <v>396</v>
      </c>
    </row>
    <row r="6" spans="1:9">
      <c r="A6" s="90">
        <v>79</v>
      </c>
      <c r="B6" s="90" t="s">
        <v>397</v>
      </c>
      <c r="C6" s="90">
        <v>79</v>
      </c>
      <c r="D6" s="90" t="s">
        <v>397</v>
      </c>
      <c r="F6" s="90" t="s">
        <v>814</v>
      </c>
      <c r="G6" s="90">
        <v>1</v>
      </c>
      <c r="H6" s="809">
        <v>1.1930000000000001</v>
      </c>
      <c r="I6" s="809">
        <v>1.1140000000000001</v>
      </c>
    </row>
    <row r="7" spans="1:9">
      <c r="A7" s="90">
        <v>80</v>
      </c>
      <c r="B7" s="90" t="s">
        <v>49</v>
      </c>
      <c r="C7" s="90">
        <v>80</v>
      </c>
      <c r="D7" s="90" t="s">
        <v>49</v>
      </c>
      <c r="G7" s="90">
        <v>1</v>
      </c>
      <c r="H7" s="795">
        <v>1.425</v>
      </c>
      <c r="I7" s="795">
        <v>1.097</v>
      </c>
    </row>
    <row r="8" spans="1:9">
      <c r="A8" s="90">
        <v>81</v>
      </c>
      <c r="B8" s="90" t="s">
        <v>51</v>
      </c>
      <c r="C8" s="90">
        <v>81</v>
      </c>
      <c r="D8" s="90" t="s">
        <v>51</v>
      </c>
      <c r="G8" s="90">
        <v>1</v>
      </c>
      <c r="H8" s="795">
        <v>1.4079999999999999</v>
      </c>
      <c r="I8" s="795">
        <v>1.002</v>
      </c>
    </row>
    <row r="9" spans="1:9">
      <c r="A9" s="90">
        <v>82</v>
      </c>
      <c r="B9" s="90" t="s">
        <v>53</v>
      </c>
      <c r="C9" s="90">
        <v>82</v>
      </c>
      <c r="D9" s="90" t="s">
        <v>53</v>
      </c>
      <c r="G9" s="90">
        <v>1</v>
      </c>
      <c r="H9" s="794">
        <v>1.4390000000000001</v>
      </c>
      <c r="I9" s="794">
        <v>0.74299999999999999</v>
      </c>
    </row>
    <row r="10" spans="1:9">
      <c r="A10" s="90">
        <v>1</v>
      </c>
      <c r="B10" s="90" t="s">
        <v>70</v>
      </c>
      <c r="C10" s="90">
        <v>1</v>
      </c>
      <c r="D10" s="90" t="s">
        <v>70</v>
      </c>
      <c r="G10" s="90">
        <v>1</v>
      </c>
      <c r="H10" s="794">
        <v>1.522</v>
      </c>
      <c r="I10" s="794">
        <v>0.58199999999999996</v>
      </c>
    </row>
    <row r="11" spans="1:9">
      <c r="A11" s="90">
        <v>85</v>
      </c>
      <c r="B11" s="90" t="s">
        <v>55</v>
      </c>
      <c r="C11" s="90">
        <v>85</v>
      </c>
      <c r="D11" s="90" t="s">
        <v>55</v>
      </c>
      <c r="G11" s="90">
        <v>1</v>
      </c>
      <c r="H11" s="794">
        <v>1.7929999999999999</v>
      </c>
      <c r="I11" s="794">
        <v>1.365</v>
      </c>
    </row>
    <row r="12" spans="1:9">
      <c r="A12" s="90">
        <v>2</v>
      </c>
      <c r="B12" s="90" t="s">
        <v>30</v>
      </c>
      <c r="C12" s="90">
        <v>2</v>
      </c>
      <c r="D12" s="90" t="s">
        <v>30</v>
      </c>
      <c r="G12" s="90">
        <v>1</v>
      </c>
      <c r="H12" s="794">
        <v>1.4510000000000001</v>
      </c>
      <c r="I12" s="794">
        <v>1.7989999999999999</v>
      </c>
    </row>
    <row r="13" spans="1:9">
      <c r="A13" s="90">
        <v>3</v>
      </c>
      <c r="B13" s="90" t="s">
        <v>206</v>
      </c>
      <c r="C13" s="90">
        <v>3</v>
      </c>
      <c r="D13" s="90" t="s">
        <v>206</v>
      </c>
      <c r="G13" s="90">
        <v>1</v>
      </c>
      <c r="H13" s="794">
        <v>1.399</v>
      </c>
      <c r="I13" s="794">
        <v>1.716</v>
      </c>
    </row>
    <row r="14" spans="1:9">
      <c r="A14" s="90">
        <v>4</v>
      </c>
      <c r="B14" s="90" t="s">
        <v>40</v>
      </c>
      <c r="C14" s="90">
        <v>4</v>
      </c>
      <c r="D14" s="90" t="s">
        <v>40</v>
      </c>
      <c r="G14" s="90">
        <v>1</v>
      </c>
      <c r="H14" s="794">
        <v>1.5209999999999999</v>
      </c>
      <c r="I14" s="794">
        <v>0.30599999999999999</v>
      </c>
    </row>
    <row r="15" spans="1:9">
      <c r="A15" s="90">
        <v>88</v>
      </c>
      <c r="B15" s="90" t="s">
        <v>115</v>
      </c>
      <c r="C15" s="90">
        <v>88</v>
      </c>
      <c r="D15" s="90" t="s">
        <v>115</v>
      </c>
      <c r="G15" s="90">
        <v>1</v>
      </c>
      <c r="H15" s="794">
        <v>1.409</v>
      </c>
      <c r="I15" s="794">
        <v>0.94799999999999995</v>
      </c>
    </row>
    <row r="16" spans="1:9">
      <c r="A16" s="90">
        <v>5</v>
      </c>
      <c r="B16" s="90" t="s">
        <v>71</v>
      </c>
      <c r="C16" s="90">
        <v>5</v>
      </c>
      <c r="D16" s="90" t="s">
        <v>71</v>
      </c>
      <c r="G16" s="90">
        <v>1</v>
      </c>
      <c r="H16" s="794">
        <v>1.575</v>
      </c>
      <c r="I16" s="794">
        <v>0.60399999999999998</v>
      </c>
    </row>
    <row r="17" spans="1:10">
      <c r="A17" s="90">
        <v>89</v>
      </c>
      <c r="B17" s="90" t="s">
        <v>398</v>
      </c>
      <c r="C17" s="90">
        <v>89</v>
      </c>
      <c r="D17" s="90" t="s">
        <v>398</v>
      </c>
      <c r="G17" s="90">
        <v>1</v>
      </c>
      <c r="H17" s="794">
        <v>0</v>
      </c>
      <c r="I17" s="794">
        <v>0</v>
      </c>
    </row>
    <row r="18" spans="1:10">
      <c r="A18" s="90">
        <v>87</v>
      </c>
      <c r="B18" s="90" t="s">
        <v>24</v>
      </c>
      <c r="C18" s="90">
        <v>87</v>
      </c>
      <c r="D18" s="90" t="s">
        <v>24</v>
      </c>
      <c r="G18" s="90">
        <v>1</v>
      </c>
      <c r="H18" s="794">
        <v>1.909</v>
      </c>
      <c r="I18" s="794">
        <v>0.71199999999999997</v>
      </c>
    </row>
    <row r="19" spans="1:10">
      <c r="A19" s="90">
        <v>90</v>
      </c>
      <c r="B19" s="90" t="s">
        <v>117</v>
      </c>
      <c r="C19" s="90">
        <v>90</v>
      </c>
      <c r="D19" s="90" t="s">
        <v>117</v>
      </c>
      <c r="G19" s="90">
        <v>1</v>
      </c>
      <c r="H19" s="794">
        <v>1.4630000000000001</v>
      </c>
      <c r="I19" s="794">
        <v>0.93200000000000005</v>
      </c>
    </row>
    <row r="20" spans="1:10">
      <c r="A20" s="90">
        <v>6</v>
      </c>
      <c r="B20" s="90" t="s">
        <v>207</v>
      </c>
      <c r="C20" s="90">
        <v>6</v>
      </c>
      <c r="D20" s="90" t="s">
        <v>207</v>
      </c>
      <c r="G20" s="90">
        <v>1</v>
      </c>
      <c r="H20" s="794">
        <v>0.71799999999999997</v>
      </c>
      <c r="I20" s="794">
        <v>2.1110000000000002</v>
      </c>
    </row>
    <row r="21" spans="1:10">
      <c r="A21" s="90">
        <v>91</v>
      </c>
      <c r="B21" s="90" t="s">
        <v>119</v>
      </c>
      <c r="C21" s="90">
        <v>91</v>
      </c>
      <c r="D21" s="90" t="s">
        <v>119</v>
      </c>
      <c r="G21" s="90">
        <v>1</v>
      </c>
      <c r="H21" s="794">
        <v>1.5489999999999999</v>
      </c>
      <c r="I21" s="794">
        <v>1.1180000000000001</v>
      </c>
    </row>
    <row r="22" spans="1:10">
      <c r="A22" s="90">
        <v>92</v>
      </c>
      <c r="B22" s="90" t="s">
        <v>26</v>
      </c>
      <c r="C22" s="90">
        <v>92</v>
      </c>
      <c r="D22" s="90" t="s">
        <v>26</v>
      </c>
      <c r="G22" s="90">
        <v>1</v>
      </c>
      <c r="H22" s="794">
        <v>2.133</v>
      </c>
      <c r="I22" s="794">
        <v>0.67700000000000005</v>
      </c>
    </row>
    <row r="23" spans="1:10">
      <c r="A23" s="90">
        <v>7</v>
      </c>
      <c r="B23" s="90" t="s">
        <v>56</v>
      </c>
      <c r="C23" s="90">
        <v>7</v>
      </c>
      <c r="D23" s="90" t="s">
        <v>56</v>
      </c>
      <c r="G23" s="90">
        <v>1</v>
      </c>
      <c r="H23" s="794">
        <v>1.3280000000000001</v>
      </c>
      <c r="I23" s="794">
        <v>0.8</v>
      </c>
    </row>
    <row r="24" spans="1:10">
      <c r="A24" s="90">
        <v>93</v>
      </c>
      <c r="B24" s="90" t="s">
        <v>399</v>
      </c>
      <c r="C24" s="90">
        <v>93</v>
      </c>
      <c r="D24" s="90" t="s">
        <v>399</v>
      </c>
      <c r="G24" s="90">
        <v>1</v>
      </c>
      <c r="H24" s="794">
        <v>0</v>
      </c>
      <c r="I24" s="794">
        <v>0</v>
      </c>
    </row>
    <row r="25" spans="1:10">
      <c r="A25" s="90">
        <v>8</v>
      </c>
      <c r="B25" s="90" t="s">
        <v>72</v>
      </c>
      <c r="C25" s="90">
        <v>8</v>
      </c>
      <c r="D25" s="90" t="s">
        <v>72</v>
      </c>
      <c r="G25" s="90">
        <v>1</v>
      </c>
      <c r="H25" s="794">
        <v>1.2350000000000001</v>
      </c>
      <c r="I25" s="794">
        <v>0.81799999999999995</v>
      </c>
      <c r="J25" s="98"/>
    </row>
    <row r="26" spans="1:10">
      <c r="A26" s="90">
        <v>94</v>
      </c>
      <c r="B26" s="90" t="s">
        <v>41</v>
      </c>
      <c r="C26" s="90">
        <v>94</v>
      </c>
      <c r="D26" s="90" t="s">
        <v>41</v>
      </c>
      <c r="G26" s="98">
        <v>1</v>
      </c>
      <c r="H26" s="795">
        <v>1.766</v>
      </c>
      <c r="I26" s="795">
        <v>1.1919999999999999</v>
      </c>
      <c r="J26" s="98"/>
    </row>
    <row r="27" spans="1:10">
      <c r="A27" s="90">
        <v>110</v>
      </c>
      <c r="B27" s="90" t="s">
        <v>123</v>
      </c>
      <c r="C27" s="90">
        <v>110</v>
      </c>
      <c r="D27" s="90" t="s">
        <v>123</v>
      </c>
      <c r="G27" s="90">
        <v>1</v>
      </c>
      <c r="H27" s="794">
        <v>1.1659999999999999</v>
      </c>
      <c r="I27" s="794">
        <v>0.66300000000000003</v>
      </c>
      <c r="J27" s="98"/>
    </row>
    <row r="28" spans="1:10">
      <c r="A28" s="90">
        <v>95</v>
      </c>
      <c r="B28" s="90" t="s">
        <v>400</v>
      </c>
      <c r="C28" s="90">
        <v>95</v>
      </c>
      <c r="D28" s="90" t="s">
        <v>400</v>
      </c>
      <c r="G28" s="98">
        <v>0</v>
      </c>
      <c r="H28" s="795">
        <v>1.9197735889844985</v>
      </c>
      <c r="I28" s="795">
        <v>0.86010304683945238</v>
      </c>
      <c r="J28" s="98"/>
    </row>
    <row r="29" spans="1:10">
      <c r="A29" s="90">
        <v>140</v>
      </c>
      <c r="B29" s="90" t="s">
        <v>199</v>
      </c>
      <c r="C29" s="90">
        <v>140</v>
      </c>
      <c r="D29" s="90" t="s">
        <v>199</v>
      </c>
      <c r="G29" s="98">
        <v>1</v>
      </c>
      <c r="H29" s="795">
        <v>1.635</v>
      </c>
      <c r="I29" s="795">
        <v>0.8</v>
      </c>
      <c r="J29" s="98"/>
    </row>
    <row r="30" spans="1:10">
      <c r="A30" s="90">
        <v>96</v>
      </c>
      <c r="B30" s="90" t="s">
        <v>125</v>
      </c>
      <c r="C30" s="90">
        <v>96</v>
      </c>
      <c r="D30" s="90" t="s">
        <v>125</v>
      </c>
      <c r="G30" s="98">
        <v>1</v>
      </c>
      <c r="H30" s="795">
        <v>1.595</v>
      </c>
      <c r="I30" s="795">
        <v>0.97199999999999998</v>
      </c>
      <c r="J30" s="98"/>
    </row>
    <row r="31" spans="1:10">
      <c r="A31" s="90">
        <v>10</v>
      </c>
      <c r="B31" s="90" t="s">
        <v>73</v>
      </c>
      <c r="C31" s="90">
        <v>10</v>
      </c>
      <c r="D31" s="90" t="s">
        <v>73</v>
      </c>
      <c r="G31" s="90">
        <v>1</v>
      </c>
      <c r="H31" s="794">
        <v>1.4370000000000001</v>
      </c>
      <c r="I31" s="794">
        <v>0.64400000000000002</v>
      </c>
      <c r="J31" s="98"/>
    </row>
    <row r="32" spans="1:10">
      <c r="A32" s="90">
        <v>97</v>
      </c>
      <c r="B32" s="90" t="s">
        <v>127</v>
      </c>
      <c r="C32" s="90">
        <v>97</v>
      </c>
      <c r="D32" s="90" t="s">
        <v>127</v>
      </c>
      <c r="G32" s="98">
        <v>1</v>
      </c>
      <c r="H32" s="795">
        <v>1.3420000000000001</v>
      </c>
      <c r="I32" s="795">
        <v>0.46700000000000003</v>
      </c>
      <c r="J32" s="98"/>
    </row>
    <row r="33" spans="1:10">
      <c r="A33" s="90">
        <v>98</v>
      </c>
      <c r="B33" s="90" t="s">
        <v>9</v>
      </c>
      <c r="C33" s="90">
        <v>98</v>
      </c>
      <c r="D33" s="90" t="s">
        <v>9</v>
      </c>
      <c r="G33" s="98">
        <v>1</v>
      </c>
      <c r="H33" s="795">
        <v>1.395</v>
      </c>
      <c r="I33" s="795">
        <v>1.2390000000000001</v>
      </c>
      <c r="J33" s="98"/>
    </row>
    <row r="34" spans="1:10">
      <c r="A34" s="90">
        <v>99</v>
      </c>
      <c r="B34" s="90" t="s">
        <v>255</v>
      </c>
      <c r="C34" s="90">
        <v>99</v>
      </c>
      <c r="D34" s="90" t="s">
        <v>401</v>
      </c>
      <c r="E34" s="90">
        <v>98</v>
      </c>
      <c r="F34" s="90" t="s">
        <v>9</v>
      </c>
      <c r="G34" s="98">
        <v>1</v>
      </c>
      <c r="H34" s="792">
        <v>1.395</v>
      </c>
      <c r="I34" s="792">
        <v>1.2390000000000001</v>
      </c>
      <c r="J34" s="98"/>
    </row>
    <row r="35" spans="1:10">
      <c r="A35" s="90">
        <v>11</v>
      </c>
      <c r="B35" s="90" t="s">
        <v>158</v>
      </c>
      <c r="C35" s="90">
        <v>11</v>
      </c>
      <c r="D35" s="90" t="s">
        <v>158</v>
      </c>
      <c r="G35" s="90">
        <v>1</v>
      </c>
      <c r="H35" s="794">
        <v>1.5</v>
      </c>
      <c r="I35" s="794">
        <v>0.40799999999999997</v>
      </c>
      <c r="J35" s="98"/>
    </row>
    <row r="36" spans="1:10">
      <c r="A36" s="90">
        <v>12</v>
      </c>
      <c r="B36" s="90" t="s">
        <v>10</v>
      </c>
      <c r="C36" s="90">
        <v>12</v>
      </c>
      <c r="D36" s="90" t="s">
        <v>10</v>
      </c>
      <c r="G36" s="90">
        <v>1</v>
      </c>
      <c r="H36" s="794">
        <v>1.3160000000000001</v>
      </c>
      <c r="I36" s="794">
        <v>0.48499999999999999</v>
      </c>
      <c r="J36" s="98"/>
    </row>
    <row r="37" spans="1:10">
      <c r="A37" s="90">
        <v>100</v>
      </c>
      <c r="B37" s="90" t="s">
        <v>992</v>
      </c>
      <c r="C37" s="90">
        <v>100</v>
      </c>
      <c r="D37" s="90" t="s">
        <v>992</v>
      </c>
      <c r="G37" s="98">
        <v>1</v>
      </c>
      <c r="H37" s="795">
        <v>1.4279999999999999</v>
      </c>
      <c r="I37" s="795">
        <v>0.56999999999999995</v>
      </c>
      <c r="J37" s="98"/>
    </row>
    <row r="38" spans="1:10">
      <c r="A38" s="90">
        <v>9</v>
      </c>
      <c r="B38" s="90" t="s">
        <v>188</v>
      </c>
      <c r="C38" s="90">
        <v>9</v>
      </c>
      <c r="D38" s="90" t="s">
        <v>188</v>
      </c>
      <c r="G38" s="90">
        <v>1</v>
      </c>
      <c r="H38" s="794">
        <v>1.425</v>
      </c>
      <c r="I38" s="794">
        <v>1.2050000000000001</v>
      </c>
      <c r="J38" s="98"/>
    </row>
    <row r="39" spans="1:10">
      <c r="A39" s="90">
        <v>101</v>
      </c>
      <c r="B39" s="90" t="s">
        <v>132</v>
      </c>
      <c r="C39" s="90">
        <v>101</v>
      </c>
      <c r="D39" s="90" t="s">
        <v>132</v>
      </c>
      <c r="G39" s="98">
        <v>1</v>
      </c>
      <c r="H39" s="795">
        <v>1.214</v>
      </c>
      <c r="I39" s="795">
        <v>0.63100000000000001</v>
      </c>
      <c r="J39" s="98"/>
    </row>
    <row r="40" spans="1:10">
      <c r="A40" s="90">
        <v>102</v>
      </c>
      <c r="B40" s="90" t="s">
        <v>402</v>
      </c>
      <c r="C40" s="90">
        <v>102</v>
      </c>
      <c r="D40" s="90" t="s">
        <v>402</v>
      </c>
      <c r="G40" s="98">
        <v>1</v>
      </c>
      <c r="H40" s="795" t="s">
        <v>1121</v>
      </c>
      <c r="I40" s="795" t="s">
        <v>1121</v>
      </c>
      <c r="J40" s="98"/>
    </row>
    <row r="41" spans="1:10">
      <c r="A41" s="90">
        <v>13</v>
      </c>
      <c r="B41" s="90" t="s">
        <v>12</v>
      </c>
      <c r="C41" s="90">
        <v>13</v>
      </c>
      <c r="D41" s="90" t="s">
        <v>12</v>
      </c>
      <c r="G41" s="90">
        <v>1</v>
      </c>
      <c r="H41" s="794">
        <v>1.22</v>
      </c>
      <c r="I41" s="794">
        <v>0.72499999999999998</v>
      </c>
      <c r="J41" s="98"/>
    </row>
    <row r="42" spans="1:10">
      <c r="A42" s="90">
        <v>111</v>
      </c>
      <c r="B42" s="90" t="s">
        <v>145</v>
      </c>
      <c r="C42" s="90">
        <v>111</v>
      </c>
      <c r="D42" s="90" t="s">
        <v>145</v>
      </c>
      <c r="G42" s="90">
        <v>1</v>
      </c>
      <c r="H42" s="794">
        <v>1.76</v>
      </c>
      <c r="I42" s="794">
        <v>0.91300000000000003</v>
      </c>
      <c r="J42" s="98"/>
    </row>
    <row r="43" spans="1:10">
      <c r="A43" s="90">
        <v>103</v>
      </c>
      <c r="B43" s="90" t="s">
        <v>11</v>
      </c>
      <c r="C43" s="90">
        <v>103</v>
      </c>
      <c r="D43" s="90" t="s">
        <v>11</v>
      </c>
      <c r="G43" s="98">
        <v>0</v>
      </c>
      <c r="H43" s="795">
        <v>1.3168388941627882</v>
      </c>
      <c r="I43" s="795">
        <v>0.34757873695401953</v>
      </c>
      <c r="J43" s="98"/>
    </row>
    <row r="44" spans="1:10">
      <c r="A44" s="90">
        <v>14</v>
      </c>
      <c r="B44" s="90" t="s">
        <v>57</v>
      </c>
      <c r="C44" s="90">
        <v>14</v>
      </c>
      <c r="D44" s="90" t="s">
        <v>57</v>
      </c>
      <c r="G44" s="90">
        <v>0</v>
      </c>
      <c r="H44" s="794">
        <v>1.3543044297694031</v>
      </c>
      <c r="I44" s="794">
        <v>0.31712834848036509</v>
      </c>
    </row>
    <row r="45" spans="1:10">
      <c r="A45" s="90">
        <v>15</v>
      </c>
      <c r="B45" s="90" t="s">
        <v>189</v>
      </c>
      <c r="C45" s="90">
        <v>15</v>
      </c>
      <c r="D45" s="90" t="s">
        <v>189</v>
      </c>
      <c r="G45" s="90">
        <v>1</v>
      </c>
      <c r="H45" s="794">
        <v>1.492</v>
      </c>
      <c r="I45" s="794">
        <v>1.1519999999999999</v>
      </c>
    </row>
    <row r="46" spans="1:10">
      <c r="A46" s="90">
        <v>120</v>
      </c>
      <c r="B46" s="90" t="s">
        <v>42</v>
      </c>
      <c r="C46" s="90">
        <v>120</v>
      </c>
      <c r="D46" s="90" t="s">
        <v>42</v>
      </c>
      <c r="G46" s="90">
        <v>1</v>
      </c>
      <c r="H46" s="794">
        <v>1.208</v>
      </c>
      <c r="I46" s="794">
        <v>1.476</v>
      </c>
    </row>
    <row r="47" spans="1:10">
      <c r="A47" s="90">
        <v>147</v>
      </c>
      <c r="B47" s="90" t="s">
        <v>23</v>
      </c>
      <c r="C47" s="90">
        <v>147</v>
      </c>
      <c r="D47" s="90" t="s">
        <v>23</v>
      </c>
      <c r="G47" s="90">
        <v>1</v>
      </c>
      <c r="H47" s="794">
        <v>1.4259999999999999</v>
      </c>
      <c r="I47" s="794">
        <v>0.214</v>
      </c>
    </row>
    <row r="48" spans="1:10">
      <c r="A48" s="90">
        <v>104</v>
      </c>
      <c r="B48" s="90" t="s">
        <v>135</v>
      </c>
      <c r="C48" s="90">
        <v>104</v>
      </c>
      <c r="D48" s="90" t="s">
        <v>135</v>
      </c>
      <c r="G48" s="98">
        <v>1</v>
      </c>
      <c r="H48" s="795">
        <v>1.508</v>
      </c>
      <c r="I48" s="795">
        <v>0.94599999999999995</v>
      </c>
    </row>
    <row r="49" spans="1:9">
      <c r="A49" s="90">
        <v>180</v>
      </c>
      <c r="B49" s="90" t="s">
        <v>58</v>
      </c>
      <c r="C49" s="90">
        <v>180</v>
      </c>
      <c r="D49" s="90" t="s">
        <v>58</v>
      </c>
      <c r="E49" s="90">
        <v>73</v>
      </c>
      <c r="F49" s="90" t="s">
        <v>13</v>
      </c>
      <c r="G49" s="98">
        <v>1</v>
      </c>
      <c r="H49" s="792">
        <v>1.4293902076701555</v>
      </c>
      <c r="I49" s="792">
        <v>0.1485566772910436</v>
      </c>
    </row>
    <row r="50" spans="1:9">
      <c r="A50" s="90">
        <v>105</v>
      </c>
      <c r="B50" s="90" t="s">
        <v>59</v>
      </c>
      <c r="C50" s="90">
        <v>105</v>
      </c>
      <c r="D50" s="90" t="s">
        <v>59</v>
      </c>
      <c r="G50" s="98">
        <v>1</v>
      </c>
      <c r="H50" s="795">
        <v>1.4690000000000001</v>
      </c>
      <c r="I50" s="795">
        <v>0.45300000000000001</v>
      </c>
    </row>
    <row r="51" spans="1:9">
      <c r="A51" s="90">
        <v>16</v>
      </c>
      <c r="B51" s="90" t="s">
        <v>74</v>
      </c>
      <c r="C51" s="90">
        <v>16</v>
      </c>
      <c r="D51" s="90" t="s">
        <v>74</v>
      </c>
      <c r="G51" s="90">
        <v>1</v>
      </c>
      <c r="H51" s="794">
        <v>1.7589999999999999</v>
      </c>
      <c r="I51" s="794">
        <v>0.34799999999999998</v>
      </c>
    </row>
    <row r="52" spans="1:9">
      <c r="A52" s="90">
        <v>106</v>
      </c>
      <c r="B52" s="90" t="s">
        <v>137</v>
      </c>
      <c r="C52" s="90">
        <v>106</v>
      </c>
      <c r="D52" s="90" t="s">
        <v>137</v>
      </c>
      <c r="G52" s="98">
        <v>1</v>
      </c>
      <c r="H52" s="795">
        <v>1.5129999999999999</v>
      </c>
      <c r="I52" s="795">
        <v>1.105</v>
      </c>
    </row>
    <row r="53" spans="1:9">
      <c r="A53" s="90">
        <v>107</v>
      </c>
      <c r="B53" s="90" t="s">
        <v>139</v>
      </c>
      <c r="C53" s="90">
        <v>107</v>
      </c>
      <c r="D53" s="90" t="s">
        <v>139</v>
      </c>
      <c r="G53" s="98">
        <v>1</v>
      </c>
      <c r="H53" s="795">
        <v>1.1479999999999999</v>
      </c>
      <c r="I53" s="795">
        <v>2.1389999999999998</v>
      </c>
    </row>
    <row r="54" spans="1:9">
      <c r="A54" s="90">
        <v>108</v>
      </c>
      <c r="B54" s="90" t="s">
        <v>141</v>
      </c>
      <c r="C54" s="90">
        <v>108</v>
      </c>
      <c r="D54" s="90" t="s">
        <v>141</v>
      </c>
      <c r="G54" s="98">
        <v>1</v>
      </c>
      <c r="H54" s="795">
        <v>2.0510000000000002</v>
      </c>
      <c r="I54" s="795">
        <v>0.499</v>
      </c>
    </row>
    <row r="55" spans="1:9">
      <c r="A55" s="90">
        <v>17</v>
      </c>
      <c r="B55" s="90" t="s">
        <v>75</v>
      </c>
      <c r="C55" s="90">
        <v>17</v>
      </c>
      <c r="D55" s="90" t="s">
        <v>75</v>
      </c>
      <c r="G55" s="90">
        <v>1</v>
      </c>
      <c r="H55" s="794">
        <v>1.42</v>
      </c>
      <c r="I55" s="794">
        <v>0.65100000000000002</v>
      </c>
    </row>
    <row r="56" spans="1:9">
      <c r="A56" s="90">
        <v>18</v>
      </c>
      <c r="B56" s="90" t="s">
        <v>76</v>
      </c>
      <c r="C56" s="90">
        <v>18</v>
      </c>
      <c r="D56" s="90" t="s">
        <v>76</v>
      </c>
      <c r="G56" s="90">
        <v>1</v>
      </c>
      <c r="H56" s="794">
        <v>1.4239999999999999</v>
      </c>
      <c r="I56" s="794">
        <v>0.68200000000000005</v>
      </c>
    </row>
    <row r="57" spans="1:9">
      <c r="A57" s="90">
        <v>109</v>
      </c>
      <c r="B57" s="90" t="s">
        <v>143</v>
      </c>
      <c r="C57" s="90">
        <v>109</v>
      </c>
      <c r="D57" s="90" t="s">
        <v>143</v>
      </c>
      <c r="G57" s="98">
        <v>1</v>
      </c>
      <c r="H57" s="795">
        <v>1.3480000000000001</v>
      </c>
      <c r="I57" s="795">
        <v>0.40799999999999997</v>
      </c>
    </row>
    <row r="58" spans="1:9">
      <c r="A58" s="90">
        <v>115</v>
      </c>
      <c r="B58" s="90" t="s">
        <v>17</v>
      </c>
      <c r="C58" s="90">
        <v>115</v>
      </c>
      <c r="D58" s="90" t="s">
        <v>17</v>
      </c>
      <c r="G58" s="90">
        <v>1</v>
      </c>
      <c r="H58" s="794">
        <v>1.659</v>
      </c>
      <c r="I58" s="794">
        <v>0.90800000000000003</v>
      </c>
    </row>
    <row r="59" spans="1:9">
      <c r="A59" s="90">
        <v>112</v>
      </c>
      <c r="B59" s="90" t="s">
        <v>256</v>
      </c>
      <c r="C59" s="90">
        <v>112</v>
      </c>
      <c r="D59" s="90" t="s">
        <v>403</v>
      </c>
      <c r="G59" s="90">
        <v>1</v>
      </c>
      <c r="H59" s="794">
        <v>1.204</v>
      </c>
      <c r="I59" s="794">
        <v>1.0960000000000001</v>
      </c>
    </row>
    <row r="60" spans="1:9">
      <c r="A60" s="90">
        <v>19</v>
      </c>
      <c r="B60" s="90" t="s">
        <v>77</v>
      </c>
      <c r="C60" s="90">
        <v>19</v>
      </c>
      <c r="D60" s="90" t="s">
        <v>77</v>
      </c>
      <c r="G60" s="90">
        <v>1</v>
      </c>
      <c r="H60" s="794">
        <v>1.2969999999999999</v>
      </c>
      <c r="I60" s="794">
        <v>0.77500000000000002</v>
      </c>
    </row>
    <row r="61" spans="1:9">
      <c r="A61" s="90">
        <v>113</v>
      </c>
      <c r="B61" s="90" t="s">
        <v>148</v>
      </c>
      <c r="C61" s="90">
        <v>113</v>
      </c>
      <c r="D61" s="90" t="s">
        <v>148</v>
      </c>
      <c r="G61" s="90">
        <v>1</v>
      </c>
      <c r="H61" s="794">
        <v>1.462</v>
      </c>
      <c r="I61" s="794">
        <v>0.94099999999999995</v>
      </c>
    </row>
    <row r="62" spans="1:9">
      <c r="A62" s="90">
        <v>20</v>
      </c>
      <c r="B62" s="90" t="s">
        <v>78</v>
      </c>
      <c r="C62" s="90">
        <v>20</v>
      </c>
      <c r="D62" s="90" t="s">
        <v>78</v>
      </c>
      <c r="G62" s="90">
        <v>1</v>
      </c>
      <c r="H62" s="794">
        <v>1.4450000000000001</v>
      </c>
      <c r="I62" s="794">
        <v>0.68400000000000005</v>
      </c>
    </row>
    <row r="63" spans="1:9">
      <c r="A63" s="90">
        <v>21</v>
      </c>
      <c r="B63" s="90" t="s">
        <v>79</v>
      </c>
      <c r="C63" s="90">
        <v>21</v>
      </c>
      <c r="D63" s="90" t="s">
        <v>79</v>
      </c>
      <c r="G63" s="90">
        <v>1</v>
      </c>
      <c r="H63" s="794">
        <v>1.4810000000000001</v>
      </c>
      <c r="I63" s="794">
        <v>0.66600000000000004</v>
      </c>
    </row>
    <row r="64" spans="1:9">
      <c r="A64" s="90">
        <v>114</v>
      </c>
      <c r="B64" s="90" t="s">
        <v>8</v>
      </c>
      <c r="C64" s="90">
        <v>114</v>
      </c>
      <c r="D64" s="90" t="s">
        <v>8</v>
      </c>
      <c r="G64" s="90">
        <v>1</v>
      </c>
      <c r="H64" s="794">
        <v>1.133</v>
      </c>
      <c r="I64" s="794">
        <v>1.095</v>
      </c>
    </row>
    <row r="65" spans="1:10">
      <c r="A65" s="90">
        <v>116</v>
      </c>
      <c r="B65" s="90" t="s">
        <v>18</v>
      </c>
      <c r="C65" s="90">
        <v>116</v>
      </c>
      <c r="D65" s="90" t="s">
        <v>18</v>
      </c>
      <c r="G65" s="90">
        <v>1</v>
      </c>
      <c r="H65" s="794">
        <v>1.5549999999999999</v>
      </c>
      <c r="I65" s="794">
        <v>0.30499999999999999</v>
      </c>
    </row>
    <row r="66" spans="1:10">
      <c r="A66" s="90">
        <v>22</v>
      </c>
      <c r="B66" s="90" t="s">
        <v>60</v>
      </c>
      <c r="C66" s="90">
        <v>22</v>
      </c>
      <c r="D66" s="90" t="s">
        <v>60</v>
      </c>
      <c r="G66" s="90">
        <v>1</v>
      </c>
      <c r="H66" s="795">
        <v>1.2569999999999999</v>
      </c>
      <c r="I66" s="795">
        <v>0.56499999999999995</v>
      </c>
    </row>
    <row r="67" spans="1:10">
      <c r="A67" s="90">
        <v>23</v>
      </c>
      <c r="B67" s="90" t="s">
        <v>61</v>
      </c>
      <c r="C67" s="90">
        <v>23</v>
      </c>
      <c r="D67" s="90" t="s">
        <v>61</v>
      </c>
      <c r="E67" s="90">
        <v>14</v>
      </c>
      <c r="F67" s="90" t="s">
        <v>57</v>
      </c>
      <c r="G67" s="90">
        <v>0</v>
      </c>
      <c r="H67" s="792">
        <v>1.3543044297694031</v>
      </c>
      <c r="I67" s="792">
        <v>0.31712834848036509</v>
      </c>
    </row>
    <row r="68" spans="1:10">
      <c r="A68" s="90">
        <v>24</v>
      </c>
      <c r="B68" s="90" t="s">
        <v>80</v>
      </c>
      <c r="C68" s="90">
        <v>24</v>
      </c>
      <c r="D68" s="90" t="s">
        <v>80</v>
      </c>
      <c r="G68" s="90">
        <v>1</v>
      </c>
      <c r="H68" s="795">
        <v>1.5309999999999999</v>
      </c>
      <c r="I68" s="795">
        <v>0.65600000000000003</v>
      </c>
    </row>
    <row r="69" spans="1:10">
      <c r="A69" s="90">
        <v>25</v>
      </c>
      <c r="B69" s="90" t="s">
        <v>14</v>
      </c>
      <c r="C69" s="90">
        <v>25</v>
      </c>
      <c r="D69" s="90" t="s">
        <v>14</v>
      </c>
      <c r="G69" s="90">
        <v>1</v>
      </c>
      <c r="H69" s="795">
        <v>1.3859999999999999</v>
      </c>
      <c r="I69" s="795">
        <v>0.55000000000000004</v>
      </c>
    </row>
    <row r="70" spans="1:10">
      <c r="A70" s="90">
        <v>26</v>
      </c>
      <c r="B70" s="90" t="s">
        <v>19</v>
      </c>
      <c r="C70" s="90">
        <v>26</v>
      </c>
      <c r="D70" s="90" t="s">
        <v>19</v>
      </c>
      <c r="G70" s="90">
        <v>1</v>
      </c>
      <c r="H70" s="795">
        <v>1.484</v>
      </c>
      <c r="I70" s="795">
        <v>0.622</v>
      </c>
    </row>
    <row r="71" spans="1:10">
      <c r="A71" s="90">
        <v>117</v>
      </c>
      <c r="B71" s="90" t="s">
        <v>152</v>
      </c>
      <c r="C71" s="90">
        <v>117</v>
      </c>
      <c r="D71" s="90" t="s">
        <v>152</v>
      </c>
      <c r="G71" s="90">
        <v>1</v>
      </c>
      <c r="H71" s="794">
        <v>1.9359999999999999</v>
      </c>
      <c r="I71" s="794">
        <v>1.4850000000000001</v>
      </c>
    </row>
    <row r="72" spans="1:10">
      <c r="A72" s="90">
        <v>27</v>
      </c>
      <c r="B72" s="90" t="s">
        <v>81</v>
      </c>
      <c r="C72" s="90">
        <v>27</v>
      </c>
      <c r="D72" s="90" t="s">
        <v>81</v>
      </c>
      <c r="G72" s="90">
        <v>1</v>
      </c>
      <c r="H72" s="795">
        <v>1.385</v>
      </c>
      <c r="I72" s="795">
        <v>0.97799999999999998</v>
      </c>
    </row>
    <row r="73" spans="1:10">
      <c r="A73" s="90">
        <v>28</v>
      </c>
      <c r="B73" s="90" t="s">
        <v>37</v>
      </c>
      <c r="C73" s="90">
        <v>28</v>
      </c>
      <c r="D73" s="90" t="s">
        <v>37</v>
      </c>
      <c r="G73" s="90">
        <v>0</v>
      </c>
      <c r="H73" s="795">
        <v>1.676282655710454</v>
      </c>
      <c r="I73" s="795">
        <v>9.6433805307480913E-2</v>
      </c>
    </row>
    <row r="74" spans="1:10">
      <c r="A74" s="90">
        <v>118</v>
      </c>
      <c r="B74" s="90" t="s">
        <v>154</v>
      </c>
      <c r="C74" s="90">
        <v>118</v>
      </c>
      <c r="D74" s="90" t="s">
        <v>154</v>
      </c>
      <c r="G74" s="90">
        <v>1</v>
      </c>
      <c r="H74" s="794">
        <v>2.4590000000000001</v>
      </c>
      <c r="I74" s="794">
        <v>0.48699999999999999</v>
      </c>
    </row>
    <row r="75" spans="1:10">
      <c r="A75" s="90">
        <v>119</v>
      </c>
      <c r="B75" s="90" t="s">
        <v>156</v>
      </c>
      <c r="C75" s="90">
        <v>119</v>
      </c>
      <c r="D75" s="90" t="s">
        <v>156</v>
      </c>
      <c r="G75" s="90">
        <v>1</v>
      </c>
      <c r="H75" s="794">
        <v>1.7729999999999999</v>
      </c>
      <c r="I75" s="794">
        <v>0.74399999999999999</v>
      </c>
    </row>
    <row r="76" spans="1:10">
      <c r="A76" s="90">
        <v>29</v>
      </c>
      <c r="B76" s="90" t="s">
        <v>15</v>
      </c>
      <c r="C76" s="90">
        <v>29</v>
      </c>
      <c r="D76" s="90" t="s">
        <v>15</v>
      </c>
      <c r="G76" s="90">
        <v>1</v>
      </c>
      <c r="H76" s="795">
        <v>1.512</v>
      </c>
      <c r="I76" s="795">
        <v>0.31900000000000001</v>
      </c>
    </row>
    <row r="77" spans="1:10">
      <c r="A77" s="90">
        <v>30</v>
      </c>
      <c r="B77" s="90" t="s">
        <v>208</v>
      </c>
      <c r="C77" s="90">
        <v>30</v>
      </c>
      <c r="D77" s="90" t="s">
        <v>208</v>
      </c>
      <c r="G77" s="90">
        <v>1</v>
      </c>
      <c r="H77" s="795">
        <v>1.238</v>
      </c>
      <c r="I77" s="795">
        <v>1.282</v>
      </c>
    </row>
    <row r="78" spans="1:10">
      <c r="A78" s="90">
        <v>31</v>
      </c>
      <c r="B78" s="90" t="s">
        <v>82</v>
      </c>
      <c r="C78" s="90">
        <v>31</v>
      </c>
      <c r="D78" s="90" t="s">
        <v>82</v>
      </c>
      <c r="G78" s="90">
        <v>1</v>
      </c>
      <c r="H78" s="795">
        <v>1.3939999999999999</v>
      </c>
      <c r="I78" s="795">
        <v>0.72499999999999998</v>
      </c>
    </row>
    <row r="79" spans="1:10">
      <c r="A79" s="90">
        <v>86</v>
      </c>
      <c r="B79" s="90" t="s">
        <v>112</v>
      </c>
      <c r="C79" s="90">
        <v>86</v>
      </c>
      <c r="D79" s="90" t="s">
        <v>112</v>
      </c>
      <c r="G79" s="90">
        <v>1</v>
      </c>
      <c r="H79" s="794">
        <v>0.85099999999999998</v>
      </c>
      <c r="I79" s="794">
        <v>1.7529999999999999</v>
      </c>
      <c r="J79" s="98"/>
    </row>
    <row r="80" spans="1:10">
      <c r="A80" s="90">
        <v>182</v>
      </c>
      <c r="B80" s="90" t="s">
        <v>83</v>
      </c>
      <c r="C80" s="90">
        <v>182</v>
      </c>
      <c r="D80" s="90" t="s">
        <v>83</v>
      </c>
      <c r="E80" s="90">
        <v>50</v>
      </c>
      <c r="F80" s="90" t="s">
        <v>94</v>
      </c>
      <c r="G80" s="98">
        <v>1</v>
      </c>
      <c r="H80" s="792">
        <v>1.4550000000000001</v>
      </c>
      <c r="I80" s="792">
        <v>0.68700000000000006</v>
      </c>
      <c r="J80" s="98"/>
    </row>
    <row r="81" spans="1:10">
      <c r="A81" s="90">
        <v>32</v>
      </c>
      <c r="B81" s="90" t="s">
        <v>422</v>
      </c>
      <c r="C81" s="90">
        <v>32</v>
      </c>
      <c r="D81" s="90" t="s">
        <v>67</v>
      </c>
      <c r="E81" s="90">
        <v>14</v>
      </c>
      <c r="F81" s="90" t="s">
        <v>57</v>
      </c>
      <c r="G81" s="90">
        <v>1</v>
      </c>
      <c r="H81" s="792">
        <v>1.3543044297694031</v>
      </c>
      <c r="I81" s="792">
        <v>0.31712834848036509</v>
      </c>
      <c r="J81" s="98"/>
    </row>
    <row r="82" spans="1:10">
      <c r="A82" s="90">
        <v>33</v>
      </c>
      <c r="B82" s="90" t="s">
        <v>46</v>
      </c>
      <c r="C82" s="90">
        <v>33</v>
      </c>
      <c r="D82" s="90" t="s">
        <v>46</v>
      </c>
      <c r="G82" s="90">
        <v>1</v>
      </c>
      <c r="H82" s="795">
        <v>1.64</v>
      </c>
      <c r="I82" s="795">
        <v>0.91800000000000004</v>
      </c>
      <c r="J82" s="98"/>
    </row>
    <row r="83" spans="1:10">
      <c r="A83" s="90">
        <v>121</v>
      </c>
      <c r="B83" s="90" t="s">
        <v>162</v>
      </c>
      <c r="C83" s="90">
        <v>121</v>
      </c>
      <c r="D83" s="90" t="s">
        <v>162</v>
      </c>
      <c r="G83" s="90">
        <v>1</v>
      </c>
      <c r="H83" s="794">
        <v>1.431</v>
      </c>
      <c r="I83" s="794">
        <v>0.223</v>
      </c>
      <c r="J83" s="98"/>
    </row>
    <row r="84" spans="1:10">
      <c r="A84" s="90">
        <v>122</v>
      </c>
      <c r="B84" s="90" t="s">
        <v>257</v>
      </c>
      <c r="C84" s="90">
        <v>122</v>
      </c>
      <c r="D84" s="90" t="s">
        <v>404</v>
      </c>
      <c r="G84" s="90">
        <v>1</v>
      </c>
      <c r="H84" s="794">
        <v>1.4730000000000001</v>
      </c>
      <c r="I84" s="794">
        <v>0.93600000000000005</v>
      </c>
      <c r="J84" s="98"/>
    </row>
    <row r="85" spans="1:10">
      <c r="A85" s="90">
        <v>34</v>
      </c>
      <c r="B85" s="90" t="s">
        <v>84</v>
      </c>
      <c r="C85" s="90">
        <v>34</v>
      </c>
      <c r="D85" s="90" t="s">
        <v>84</v>
      </c>
      <c r="G85" s="90">
        <v>1</v>
      </c>
      <c r="H85" s="795">
        <v>1.681</v>
      </c>
      <c r="I85" s="795">
        <v>0.79400000000000004</v>
      </c>
    </row>
    <row r="86" spans="1:10">
      <c r="A86" s="90">
        <v>35</v>
      </c>
      <c r="B86" s="90" t="s">
        <v>62</v>
      </c>
      <c r="C86" s="90">
        <v>35</v>
      </c>
      <c r="D86" s="90" t="s">
        <v>62</v>
      </c>
      <c r="E86" s="90">
        <v>14</v>
      </c>
      <c r="F86" s="90" t="s">
        <v>57</v>
      </c>
      <c r="G86" s="90">
        <v>1</v>
      </c>
      <c r="H86" s="792">
        <v>1.484</v>
      </c>
      <c r="I86" s="792">
        <v>0.622</v>
      </c>
    </row>
    <row r="87" spans="1:10">
      <c r="A87" s="90">
        <v>185</v>
      </c>
      <c r="B87" s="90" t="s">
        <v>159</v>
      </c>
      <c r="C87" s="90">
        <v>185</v>
      </c>
      <c r="D87" s="90" t="s">
        <v>159</v>
      </c>
      <c r="E87" s="90">
        <v>29</v>
      </c>
      <c r="F87" s="90" t="s">
        <v>15</v>
      </c>
      <c r="G87" s="98">
        <v>1</v>
      </c>
      <c r="H87" s="792">
        <v>1.512</v>
      </c>
      <c r="I87" s="792">
        <v>0.31900000000000001</v>
      </c>
    </row>
    <row r="88" spans="1:10">
      <c r="A88" s="90">
        <v>186</v>
      </c>
      <c r="B88" s="90" t="s">
        <v>43</v>
      </c>
      <c r="C88" s="90">
        <v>186</v>
      </c>
      <c r="D88" s="90" t="s">
        <v>43</v>
      </c>
      <c r="E88" s="90">
        <v>64</v>
      </c>
      <c r="F88" s="90" t="s">
        <v>32</v>
      </c>
      <c r="G88" s="98">
        <v>1</v>
      </c>
      <c r="H88" s="792">
        <v>1.974</v>
      </c>
      <c r="I88" s="792">
        <v>1.3859999999999999</v>
      </c>
    </row>
    <row r="89" spans="1:10">
      <c r="A89" s="90">
        <v>123</v>
      </c>
      <c r="B89" s="90" t="s">
        <v>44</v>
      </c>
      <c r="C89" s="90">
        <v>123</v>
      </c>
      <c r="D89" s="90" t="s">
        <v>44</v>
      </c>
      <c r="G89" s="90">
        <v>1</v>
      </c>
      <c r="H89" s="794">
        <v>1.736</v>
      </c>
      <c r="I89" s="794">
        <v>1.704</v>
      </c>
    </row>
    <row r="90" spans="1:10">
      <c r="A90" s="90">
        <v>124</v>
      </c>
      <c r="B90" s="90" t="s">
        <v>167</v>
      </c>
      <c r="C90" s="90">
        <v>124</v>
      </c>
      <c r="D90" s="90" t="s">
        <v>167</v>
      </c>
      <c r="G90" s="90">
        <v>1</v>
      </c>
      <c r="H90" s="794">
        <v>1.7010000000000001</v>
      </c>
      <c r="I90" s="794">
        <v>1.3680000000000001</v>
      </c>
    </row>
    <row r="91" spans="1:10">
      <c r="A91" s="90">
        <v>155</v>
      </c>
      <c r="B91" s="93" t="s">
        <v>38</v>
      </c>
      <c r="C91" s="90">
        <v>155</v>
      </c>
      <c r="D91" s="90" t="s">
        <v>38</v>
      </c>
      <c r="G91" s="90">
        <v>1</v>
      </c>
      <c r="H91" s="794">
        <v>1.5549999999999999</v>
      </c>
      <c r="I91" s="794">
        <v>0.86699999999999999</v>
      </c>
    </row>
    <row r="92" spans="1:10">
      <c r="A92" s="90">
        <v>125</v>
      </c>
      <c r="B92" s="90" t="s">
        <v>169</v>
      </c>
      <c r="C92" s="90">
        <v>125</v>
      </c>
      <c r="D92" s="90" t="s">
        <v>169</v>
      </c>
      <c r="G92" s="90">
        <v>1</v>
      </c>
      <c r="H92" s="794">
        <v>1.2769999999999999</v>
      </c>
      <c r="I92" s="794">
        <v>1.105</v>
      </c>
    </row>
    <row r="93" spans="1:10">
      <c r="A93" s="90">
        <v>126</v>
      </c>
      <c r="B93" s="90" t="s">
        <v>33</v>
      </c>
      <c r="C93" s="90">
        <v>126</v>
      </c>
      <c r="D93" s="90" t="s">
        <v>33</v>
      </c>
      <c r="G93" s="90">
        <v>1</v>
      </c>
      <c r="H93" s="794">
        <v>1.4</v>
      </c>
      <c r="I93" s="794">
        <v>0.501</v>
      </c>
    </row>
    <row r="94" spans="1:10">
      <c r="A94" s="90">
        <v>36</v>
      </c>
      <c r="B94" s="90" t="s">
        <v>85</v>
      </c>
      <c r="C94" s="90">
        <v>36</v>
      </c>
      <c r="D94" s="90" t="s">
        <v>85</v>
      </c>
      <c r="G94" s="90">
        <v>1</v>
      </c>
      <c r="H94" s="795">
        <v>1.458</v>
      </c>
      <c r="I94" s="795">
        <v>0.64200000000000002</v>
      </c>
    </row>
    <row r="95" spans="1:10">
      <c r="A95" s="90">
        <v>127</v>
      </c>
      <c r="B95" s="90" t="s">
        <v>258</v>
      </c>
      <c r="C95" s="90">
        <v>127</v>
      </c>
      <c r="D95" s="90" t="s">
        <v>405</v>
      </c>
      <c r="G95" s="90">
        <v>1</v>
      </c>
      <c r="H95" s="794">
        <v>1.383</v>
      </c>
      <c r="I95" s="794">
        <v>1.0720000000000001</v>
      </c>
    </row>
    <row r="96" spans="1:10">
      <c r="A96" s="90">
        <v>128</v>
      </c>
      <c r="B96" s="90" t="s">
        <v>173</v>
      </c>
      <c r="C96" s="90">
        <v>128</v>
      </c>
      <c r="D96" s="90" t="s">
        <v>173</v>
      </c>
      <c r="G96" s="90">
        <v>1</v>
      </c>
      <c r="H96" s="794">
        <v>0.69099999999999995</v>
      </c>
      <c r="I96" s="794">
        <v>2.0859999999999999</v>
      </c>
    </row>
    <row r="97" spans="1:13">
      <c r="A97" s="90">
        <v>129</v>
      </c>
      <c r="B97" s="90" t="s">
        <v>175</v>
      </c>
      <c r="C97" s="90">
        <v>129</v>
      </c>
      <c r="D97" s="90" t="s">
        <v>175</v>
      </c>
      <c r="G97" s="90">
        <v>1</v>
      </c>
      <c r="H97" s="794">
        <v>1.4510000000000001</v>
      </c>
      <c r="I97" s="794">
        <v>0.89</v>
      </c>
      <c r="J97" s="98"/>
      <c r="K97" s="98"/>
      <c r="L97" s="98"/>
      <c r="M97" s="98"/>
    </row>
    <row r="98" spans="1:13">
      <c r="A98" s="90">
        <v>130</v>
      </c>
      <c r="B98" s="90" t="s">
        <v>177</v>
      </c>
      <c r="C98" s="90">
        <v>130</v>
      </c>
      <c r="D98" s="90" t="s">
        <v>177</v>
      </c>
      <c r="G98" s="90">
        <v>1</v>
      </c>
      <c r="H98" s="794">
        <v>1.07</v>
      </c>
      <c r="I98" s="794">
        <v>1.052</v>
      </c>
      <c r="J98" s="98"/>
      <c r="K98" s="98"/>
      <c r="L98" s="98"/>
      <c r="M98" s="98"/>
    </row>
    <row r="99" spans="1:13">
      <c r="A99" s="90">
        <v>131</v>
      </c>
      <c r="B99" s="90" t="s">
        <v>179</v>
      </c>
      <c r="C99" s="90">
        <v>131</v>
      </c>
      <c r="D99" s="90" t="s">
        <v>179</v>
      </c>
      <c r="G99" s="90">
        <v>1</v>
      </c>
      <c r="H99" s="794">
        <v>2.4020000000000001</v>
      </c>
      <c r="I99" s="794">
        <v>0.17299999999999999</v>
      </c>
      <c r="J99" s="98"/>
      <c r="K99" s="98"/>
      <c r="L99" s="98"/>
      <c r="M99" s="98"/>
    </row>
    <row r="100" spans="1:13">
      <c r="A100" s="90">
        <v>132</v>
      </c>
      <c r="B100" s="90" t="s">
        <v>181</v>
      </c>
      <c r="C100" s="90">
        <v>132</v>
      </c>
      <c r="D100" s="90" t="s">
        <v>181</v>
      </c>
      <c r="G100" s="90">
        <v>1</v>
      </c>
      <c r="H100" s="794">
        <v>1.732</v>
      </c>
      <c r="I100" s="794">
        <v>3.2320000000000002</v>
      </c>
      <c r="J100" s="98"/>
      <c r="K100" s="98"/>
      <c r="L100" s="98"/>
      <c r="M100" s="98"/>
    </row>
    <row r="101" spans="1:13">
      <c r="A101" s="90">
        <v>37</v>
      </c>
      <c r="B101" s="90" t="s">
        <v>86</v>
      </c>
      <c r="C101" s="90">
        <v>37</v>
      </c>
      <c r="D101" s="90" t="s">
        <v>86</v>
      </c>
      <c r="G101" s="90">
        <v>1</v>
      </c>
      <c r="H101" s="795">
        <v>1.282</v>
      </c>
      <c r="I101" s="795">
        <v>0.81899999999999995</v>
      </c>
      <c r="J101" s="98"/>
      <c r="K101" s="98"/>
      <c r="L101" s="98"/>
      <c r="M101" s="98"/>
    </row>
    <row r="102" spans="1:13">
      <c r="A102" s="90">
        <v>133</v>
      </c>
      <c r="B102" s="90" t="s">
        <v>183</v>
      </c>
      <c r="C102" s="90">
        <v>133</v>
      </c>
      <c r="D102" s="90" t="s">
        <v>183</v>
      </c>
      <c r="G102" s="90">
        <v>1</v>
      </c>
      <c r="H102" s="794">
        <v>1.4750000000000001</v>
      </c>
      <c r="I102" s="794">
        <v>0.54800000000000004</v>
      </c>
      <c r="J102" s="98"/>
      <c r="K102" s="98"/>
      <c r="L102" s="98"/>
      <c r="M102" s="98"/>
    </row>
    <row r="103" spans="1:13">
      <c r="A103" s="90">
        <v>134</v>
      </c>
      <c r="B103" s="90" t="s">
        <v>185</v>
      </c>
      <c r="C103" s="90">
        <v>134</v>
      </c>
      <c r="D103" s="90" t="s">
        <v>185</v>
      </c>
      <c r="G103" s="90">
        <v>1</v>
      </c>
      <c r="H103" s="794">
        <v>0.56299999999999994</v>
      </c>
      <c r="I103" s="794">
        <v>1.6080000000000001</v>
      </c>
      <c r="J103" s="98"/>
      <c r="K103" s="98"/>
      <c r="L103" s="98"/>
      <c r="M103" s="98"/>
    </row>
    <row r="104" spans="1:13">
      <c r="A104" s="90">
        <v>38</v>
      </c>
      <c r="B104" s="90" t="s">
        <v>87</v>
      </c>
      <c r="C104" s="90">
        <v>38</v>
      </c>
      <c r="D104" s="90" t="s">
        <v>87</v>
      </c>
      <c r="G104" s="90">
        <v>1</v>
      </c>
      <c r="H104" s="795">
        <v>1.35</v>
      </c>
      <c r="I104" s="795">
        <v>0.69799999999999995</v>
      </c>
      <c r="J104" s="98"/>
      <c r="K104" s="98"/>
      <c r="L104" s="98"/>
      <c r="M104" s="98"/>
    </row>
    <row r="105" spans="1:13">
      <c r="A105" s="90">
        <v>135</v>
      </c>
      <c r="B105" s="90" t="s">
        <v>16</v>
      </c>
      <c r="C105" s="90">
        <v>135</v>
      </c>
      <c r="D105" s="90" t="s">
        <v>16</v>
      </c>
      <c r="G105" s="90">
        <v>1</v>
      </c>
      <c r="H105" s="794">
        <v>1.34</v>
      </c>
      <c r="I105" s="794">
        <v>1.056</v>
      </c>
      <c r="J105" s="98"/>
      <c r="K105" s="98"/>
      <c r="L105" s="98"/>
      <c r="M105" s="98"/>
    </row>
    <row r="106" spans="1:13">
      <c r="A106" s="90">
        <v>39</v>
      </c>
      <c r="B106" s="90" t="s">
        <v>28</v>
      </c>
      <c r="C106" s="90">
        <v>39</v>
      </c>
      <c r="D106" s="90" t="s">
        <v>28</v>
      </c>
      <c r="G106" s="90">
        <v>1</v>
      </c>
      <c r="H106" s="795">
        <v>1.4790000000000001</v>
      </c>
      <c r="I106" s="795">
        <v>0.621</v>
      </c>
      <c r="J106" s="98"/>
      <c r="K106" s="98"/>
      <c r="L106" s="98"/>
      <c r="M106" s="98"/>
    </row>
    <row r="107" spans="1:13">
      <c r="A107" s="90">
        <v>40</v>
      </c>
      <c r="B107" s="90" t="s">
        <v>63</v>
      </c>
      <c r="C107" s="90">
        <v>40</v>
      </c>
      <c r="D107" s="90" t="s">
        <v>63</v>
      </c>
      <c r="G107" s="90">
        <v>1</v>
      </c>
      <c r="H107" s="795">
        <v>1.3839999999999999</v>
      </c>
      <c r="I107" s="795">
        <v>0.44400000000000001</v>
      </c>
      <c r="J107" s="98"/>
      <c r="K107" s="98"/>
      <c r="L107" s="98"/>
      <c r="M107" s="98"/>
    </row>
    <row r="108" spans="1:13">
      <c r="A108" s="90">
        <v>41</v>
      </c>
      <c r="B108" s="90" t="s">
        <v>88</v>
      </c>
      <c r="C108" s="90">
        <v>41</v>
      </c>
      <c r="D108" s="90" t="s">
        <v>88</v>
      </c>
      <c r="G108" s="90">
        <v>1</v>
      </c>
      <c r="H108" s="794">
        <v>1.4870000000000001</v>
      </c>
      <c r="I108" s="794">
        <v>0.38400000000000001</v>
      </c>
      <c r="J108" s="98"/>
      <c r="K108" s="98"/>
      <c r="L108" s="98"/>
      <c r="M108" s="98"/>
    </row>
    <row r="109" spans="1:13">
      <c r="A109" s="90">
        <v>42</v>
      </c>
      <c r="B109" s="90" t="s">
        <v>89</v>
      </c>
      <c r="C109" s="90">
        <v>42</v>
      </c>
      <c r="D109" s="90" t="s">
        <v>89</v>
      </c>
      <c r="G109" s="90">
        <v>1</v>
      </c>
      <c r="H109" s="794">
        <v>1.4379999999999999</v>
      </c>
      <c r="I109" s="794">
        <v>0.64600000000000002</v>
      </c>
      <c r="J109" s="98"/>
      <c r="K109" s="98"/>
      <c r="L109" s="98"/>
      <c r="M109" s="98"/>
    </row>
    <row r="110" spans="1:13">
      <c r="A110" s="90">
        <v>137</v>
      </c>
      <c r="B110" s="90" t="s">
        <v>194</v>
      </c>
      <c r="C110" s="90">
        <v>137</v>
      </c>
      <c r="D110" s="90" t="s">
        <v>194</v>
      </c>
      <c r="G110" s="90">
        <v>1</v>
      </c>
      <c r="H110" s="794">
        <v>1.4590000000000001</v>
      </c>
      <c r="I110" s="794">
        <v>0.19400000000000001</v>
      </c>
      <c r="J110" s="98"/>
      <c r="K110" s="98"/>
      <c r="L110" s="98"/>
      <c r="M110" s="98"/>
    </row>
    <row r="111" spans="1:13">
      <c r="A111" s="90">
        <v>138</v>
      </c>
      <c r="B111" s="90" t="s">
        <v>196</v>
      </c>
      <c r="C111" s="90">
        <v>138</v>
      </c>
      <c r="D111" s="90" t="s">
        <v>196</v>
      </c>
      <c r="E111" s="90">
        <v>139</v>
      </c>
      <c r="F111" s="90" t="s">
        <v>39</v>
      </c>
      <c r="G111" s="98">
        <v>1</v>
      </c>
      <c r="H111" s="792">
        <v>1.4950000000000001</v>
      </c>
      <c r="I111" s="792">
        <v>0.97099999999999997</v>
      </c>
      <c r="J111" s="98"/>
      <c r="K111" s="98"/>
      <c r="L111" s="98"/>
      <c r="M111" s="98"/>
    </row>
    <row r="112" spans="1:13">
      <c r="A112" s="90">
        <v>139</v>
      </c>
      <c r="B112" s="90" t="s">
        <v>39</v>
      </c>
      <c r="C112" s="90">
        <v>139</v>
      </c>
      <c r="D112" s="90" t="s">
        <v>39</v>
      </c>
      <c r="G112" s="98">
        <v>1</v>
      </c>
      <c r="H112" s="795">
        <v>1.4950000000000001</v>
      </c>
      <c r="I112" s="795">
        <v>0.97099999999999997</v>
      </c>
    </row>
    <row r="113" spans="1:9">
      <c r="A113" s="90">
        <v>43</v>
      </c>
      <c r="B113" s="90" t="s">
        <v>64</v>
      </c>
      <c r="C113" s="90">
        <v>43</v>
      </c>
      <c r="D113" s="90" t="s">
        <v>64</v>
      </c>
      <c r="G113" s="90">
        <v>1</v>
      </c>
      <c r="H113" s="794">
        <v>1.49</v>
      </c>
      <c r="I113" s="794">
        <v>0.35199999999999998</v>
      </c>
    </row>
    <row r="114" spans="1:9">
      <c r="A114" s="90">
        <v>141</v>
      </c>
      <c r="B114" s="90" t="s">
        <v>201</v>
      </c>
      <c r="C114" s="90">
        <v>141</v>
      </c>
      <c r="D114" s="90" t="s">
        <v>201</v>
      </c>
      <c r="G114" s="98">
        <v>1</v>
      </c>
      <c r="H114" s="795">
        <v>1.47</v>
      </c>
      <c r="I114" s="795">
        <v>1.246</v>
      </c>
    </row>
    <row r="115" spans="1:9">
      <c r="A115" s="90">
        <v>44</v>
      </c>
      <c r="B115" s="90" t="s">
        <v>90</v>
      </c>
      <c r="C115" s="90">
        <v>44</v>
      </c>
      <c r="D115" s="90" t="s">
        <v>90</v>
      </c>
      <c r="G115" s="90">
        <v>1</v>
      </c>
      <c r="H115" s="794">
        <v>1.56</v>
      </c>
      <c r="I115" s="794">
        <v>0.70499999999999996</v>
      </c>
    </row>
    <row r="116" spans="1:9">
      <c r="A116" s="90">
        <v>176</v>
      </c>
      <c r="B116" s="90" t="s">
        <v>250</v>
      </c>
      <c r="C116" s="90">
        <v>176</v>
      </c>
      <c r="D116" s="90" t="s">
        <v>250</v>
      </c>
      <c r="G116" s="98">
        <v>1</v>
      </c>
      <c r="H116" s="795">
        <v>1.282</v>
      </c>
      <c r="I116" s="795">
        <v>1.048</v>
      </c>
    </row>
    <row r="117" spans="1:9">
      <c r="A117" s="90">
        <v>45</v>
      </c>
      <c r="B117" s="90" t="s">
        <v>91</v>
      </c>
      <c r="C117" s="90">
        <v>45</v>
      </c>
      <c r="D117" s="90" t="s">
        <v>91</v>
      </c>
      <c r="G117" s="90">
        <v>1</v>
      </c>
      <c r="H117" s="794">
        <v>1.2010000000000001</v>
      </c>
      <c r="I117" s="794">
        <v>0.95299999999999996</v>
      </c>
    </row>
    <row r="118" spans="1:9">
      <c r="A118" s="90">
        <v>142</v>
      </c>
      <c r="B118" s="90" t="s">
        <v>203</v>
      </c>
      <c r="C118" s="90">
        <v>142</v>
      </c>
      <c r="D118" s="90" t="s">
        <v>203</v>
      </c>
      <c r="G118" s="98">
        <v>1</v>
      </c>
      <c r="H118" s="795">
        <v>1.569</v>
      </c>
      <c r="I118" s="795">
        <v>1.5649999999999999</v>
      </c>
    </row>
    <row r="119" spans="1:9">
      <c r="A119" s="90">
        <v>173</v>
      </c>
      <c r="B119" s="90" t="s">
        <v>35</v>
      </c>
      <c r="C119" s="90">
        <v>173</v>
      </c>
      <c r="D119" s="90" t="s">
        <v>35</v>
      </c>
      <c r="G119" s="90">
        <v>1</v>
      </c>
      <c r="H119" s="794">
        <v>1.8959999999999999</v>
      </c>
      <c r="I119" s="794">
        <v>0.73699999999999999</v>
      </c>
    </row>
    <row r="120" spans="1:9">
      <c r="A120" s="90">
        <v>46</v>
      </c>
      <c r="B120" s="90" t="s">
        <v>31</v>
      </c>
      <c r="C120" s="90">
        <v>46</v>
      </c>
      <c r="D120" s="90" t="s">
        <v>31</v>
      </c>
      <c r="G120" s="90">
        <v>1</v>
      </c>
      <c r="H120" s="794">
        <v>2.339</v>
      </c>
      <c r="I120" s="794">
        <v>1.3320000000000001</v>
      </c>
    </row>
    <row r="121" spans="1:9">
      <c r="A121" s="90">
        <v>143</v>
      </c>
      <c r="B121" s="90" t="s">
        <v>21</v>
      </c>
      <c r="C121" s="90">
        <v>143</v>
      </c>
      <c r="D121" s="90" t="s">
        <v>21</v>
      </c>
      <c r="G121" s="98">
        <v>1</v>
      </c>
      <c r="H121" s="795">
        <v>1.2989999999999999</v>
      </c>
      <c r="I121" s="795">
        <v>0.379</v>
      </c>
    </row>
    <row r="122" spans="1:9">
      <c r="A122" s="90">
        <v>47</v>
      </c>
      <c r="B122" s="90" t="s">
        <v>92</v>
      </c>
      <c r="C122" s="90">
        <v>47</v>
      </c>
      <c r="D122" s="90" t="s">
        <v>92</v>
      </c>
      <c r="G122" s="90">
        <v>1</v>
      </c>
      <c r="H122" s="794">
        <v>1.5129999999999999</v>
      </c>
      <c r="I122" s="794">
        <v>1.0289999999999999</v>
      </c>
    </row>
    <row r="123" spans="1:9">
      <c r="A123" s="90">
        <v>145</v>
      </c>
      <c r="B123" s="90" t="s">
        <v>65</v>
      </c>
      <c r="C123" s="90">
        <v>145</v>
      </c>
      <c r="D123" s="90" t="s">
        <v>65</v>
      </c>
      <c r="G123" s="98">
        <v>1</v>
      </c>
      <c r="H123" s="795">
        <v>1.3120000000000001</v>
      </c>
      <c r="I123" s="795">
        <v>0.52200000000000002</v>
      </c>
    </row>
    <row r="124" spans="1:9">
      <c r="A124" s="90">
        <v>48</v>
      </c>
      <c r="B124" s="90" t="s">
        <v>209</v>
      </c>
      <c r="C124" s="90">
        <v>48</v>
      </c>
      <c r="D124" s="90" t="s">
        <v>209</v>
      </c>
      <c r="G124" s="90">
        <v>1</v>
      </c>
      <c r="H124" s="794">
        <v>0.94699999999999995</v>
      </c>
      <c r="I124" s="794">
        <v>1.4</v>
      </c>
    </row>
    <row r="125" spans="1:9">
      <c r="A125" s="90">
        <v>49</v>
      </c>
      <c r="B125" s="90" t="s">
        <v>93</v>
      </c>
      <c r="C125" s="90">
        <v>49</v>
      </c>
      <c r="D125" s="90" t="s">
        <v>93</v>
      </c>
      <c r="G125" s="90">
        <v>1</v>
      </c>
      <c r="H125" s="794">
        <v>1.4450000000000001</v>
      </c>
      <c r="I125" s="794">
        <v>0.73099999999999998</v>
      </c>
    </row>
    <row r="126" spans="1:9">
      <c r="A126" s="90">
        <v>146</v>
      </c>
      <c r="B126" s="90" t="s">
        <v>214</v>
      </c>
      <c r="C126" s="90">
        <v>146</v>
      </c>
      <c r="D126" s="90" t="s">
        <v>214</v>
      </c>
      <c r="G126" s="90">
        <v>1</v>
      </c>
      <c r="H126" s="794">
        <v>1.5429999999999999</v>
      </c>
      <c r="I126" s="794">
        <v>0.748</v>
      </c>
    </row>
    <row r="127" spans="1:9">
      <c r="A127" s="90">
        <v>50</v>
      </c>
      <c r="B127" s="90" t="s">
        <v>94</v>
      </c>
      <c r="C127" s="90">
        <v>50</v>
      </c>
      <c r="D127" s="90" t="s">
        <v>94</v>
      </c>
      <c r="G127" s="90">
        <v>1</v>
      </c>
      <c r="H127" s="794">
        <v>1.4550000000000001</v>
      </c>
      <c r="I127" s="794">
        <v>0.68700000000000006</v>
      </c>
    </row>
    <row r="128" spans="1:9">
      <c r="A128" s="90">
        <v>51</v>
      </c>
      <c r="B128" s="90" t="s">
        <v>29</v>
      </c>
      <c r="C128" s="90">
        <v>51</v>
      </c>
      <c r="D128" s="90" t="s">
        <v>29</v>
      </c>
      <c r="G128" s="90">
        <v>1</v>
      </c>
      <c r="H128" s="794">
        <v>1.1930000000000001</v>
      </c>
      <c r="I128" s="794">
        <v>1.1140000000000001</v>
      </c>
    </row>
    <row r="129" spans="1:11">
      <c r="A129" s="90">
        <v>148</v>
      </c>
      <c r="B129" s="90" t="s">
        <v>217</v>
      </c>
      <c r="C129" s="90">
        <v>148</v>
      </c>
      <c r="D129" s="90" t="s">
        <v>217</v>
      </c>
      <c r="G129" s="90">
        <v>1</v>
      </c>
      <c r="H129" s="794">
        <v>1.429</v>
      </c>
      <c r="I129" s="794">
        <v>0.81299999999999994</v>
      </c>
    </row>
    <row r="130" spans="1:11">
      <c r="A130" s="90">
        <v>149</v>
      </c>
      <c r="B130" s="90" t="s">
        <v>45</v>
      </c>
      <c r="C130" s="90">
        <v>149</v>
      </c>
      <c r="D130" s="90" t="s">
        <v>45</v>
      </c>
      <c r="G130" s="90">
        <v>1</v>
      </c>
      <c r="H130" s="794">
        <v>2.0579999999999998</v>
      </c>
      <c r="I130" s="794">
        <v>1.012</v>
      </c>
    </row>
    <row r="131" spans="1:11">
      <c r="A131" s="90">
        <v>150</v>
      </c>
      <c r="B131" s="90" t="s">
        <v>406</v>
      </c>
      <c r="C131" s="90">
        <v>150</v>
      </c>
      <c r="D131" s="90" t="s">
        <v>406</v>
      </c>
      <c r="G131" s="90">
        <v>0</v>
      </c>
      <c r="H131" s="794">
        <v>1.4569561717686739</v>
      </c>
      <c r="I131" s="794">
        <v>0.767443308563176</v>
      </c>
    </row>
    <row r="132" spans="1:11">
      <c r="A132" s="90">
        <v>151</v>
      </c>
      <c r="B132" s="90" t="s">
        <v>407</v>
      </c>
      <c r="C132" s="90">
        <v>151</v>
      </c>
      <c r="D132" s="90" t="s">
        <v>407</v>
      </c>
      <c r="G132" s="90">
        <v>0</v>
      </c>
      <c r="H132" s="794">
        <v>1.4384830244707614</v>
      </c>
      <c r="I132" s="794">
        <v>0.91465897729010126</v>
      </c>
    </row>
    <row r="133" spans="1:11">
      <c r="A133" s="90">
        <v>152</v>
      </c>
      <c r="B133" s="90" t="s">
        <v>220</v>
      </c>
      <c r="C133" s="90">
        <v>152</v>
      </c>
      <c r="D133" s="90" t="s">
        <v>220</v>
      </c>
      <c r="G133" s="90">
        <v>1</v>
      </c>
      <c r="H133" s="794">
        <v>1.875</v>
      </c>
      <c r="I133" s="794">
        <v>0.754</v>
      </c>
    </row>
    <row r="134" spans="1:11">
      <c r="A134" s="90">
        <v>52</v>
      </c>
      <c r="B134" s="90" t="s">
        <v>95</v>
      </c>
      <c r="C134" s="90">
        <v>52</v>
      </c>
      <c r="D134" s="90" t="s">
        <v>95</v>
      </c>
      <c r="G134" s="90">
        <v>1</v>
      </c>
      <c r="H134" s="794">
        <v>1.379</v>
      </c>
      <c r="I134" s="794">
        <v>0.70699999999999996</v>
      </c>
    </row>
    <row r="135" spans="1:11">
      <c r="A135" s="90">
        <v>183</v>
      </c>
      <c r="B135" s="90" t="s">
        <v>96</v>
      </c>
      <c r="C135" s="90">
        <v>183</v>
      </c>
      <c r="D135" s="90" t="s">
        <v>96</v>
      </c>
      <c r="E135" s="90">
        <v>67</v>
      </c>
      <c r="F135" s="90" t="s">
        <v>104</v>
      </c>
      <c r="G135" s="98">
        <v>1</v>
      </c>
      <c r="H135" s="792">
        <v>1.4990000000000001</v>
      </c>
      <c r="I135" s="792">
        <v>0.66400000000000003</v>
      </c>
    </row>
    <row r="136" spans="1:11">
      <c r="A136" s="90">
        <v>153</v>
      </c>
      <c r="B136" s="90" t="s">
        <v>259</v>
      </c>
      <c r="C136" s="90">
        <v>153</v>
      </c>
      <c r="D136" s="90" t="s">
        <v>408</v>
      </c>
      <c r="G136" s="90">
        <v>1</v>
      </c>
      <c r="H136" s="794">
        <v>1.647</v>
      </c>
      <c r="I136" s="794">
        <v>1.2270000000000001</v>
      </c>
    </row>
    <row r="137" spans="1:11">
      <c r="A137" s="90">
        <v>53</v>
      </c>
      <c r="B137" s="90" t="s">
        <v>210</v>
      </c>
      <c r="C137" s="90">
        <v>53</v>
      </c>
      <c r="D137" s="90" t="s">
        <v>210</v>
      </c>
      <c r="G137" s="90">
        <v>1</v>
      </c>
      <c r="H137" s="794">
        <v>1.3240000000000001</v>
      </c>
      <c r="I137" s="794">
        <v>1.22</v>
      </c>
    </row>
    <row r="138" spans="1:11">
      <c r="A138" s="90">
        <v>54</v>
      </c>
      <c r="B138" s="90" t="s">
        <v>211</v>
      </c>
      <c r="C138" s="90">
        <v>54</v>
      </c>
      <c r="D138" s="90" t="s">
        <v>211</v>
      </c>
      <c r="G138" s="90">
        <v>1</v>
      </c>
      <c r="H138" s="794">
        <v>1.6180000000000001</v>
      </c>
      <c r="I138" s="794">
        <v>1.097</v>
      </c>
    </row>
    <row r="139" spans="1:11">
      <c r="A139" s="90">
        <v>163</v>
      </c>
      <c r="B139" s="90" t="s">
        <v>233</v>
      </c>
      <c r="C139" s="90">
        <v>163</v>
      </c>
      <c r="D139" s="90" t="s">
        <v>233</v>
      </c>
      <c r="G139" s="90">
        <v>1</v>
      </c>
      <c r="H139" s="794">
        <v>1.954</v>
      </c>
      <c r="I139" s="794">
        <v>1.179</v>
      </c>
      <c r="J139" s="98"/>
      <c r="K139" s="98"/>
    </row>
    <row r="140" spans="1:11">
      <c r="A140" s="90">
        <v>154</v>
      </c>
      <c r="B140" s="90" t="s">
        <v>223</v>
      </c>
      <c r="C140" s="90">
        <v>154</v>
      </c>
      <c r="D140" s="90" t="s">
        <v>223</v>
      </c>
      <c r="G140" s="90">
        <v>1</v>
      </c>
      <c r="H140" s="794">
        <v>1.68</v>
      </c>
      <c r="I140" s="794">
        <v>0.82499999999999996</v>
      </c>
      <c r="J140" s="98"/>
      <c r="K140" s="98"/>
    </row>
    <row r="141" spans="1:11">
      <c r="A141" s="90">
        <v>55</v>
      </c>
      <c r="B141" s="90" t="s">
        <v>27</v>
      </c>
      <c r="C141" s="90">
        <v>55</v>
      </c>
      <c r="D141" s="90" t="s">
        <v>27</v>
      </c>
      <c r="G141" s="90">
        <v>1</v>
      </c>
      <c r="H141" s="794">
        <v>1.5429999999999999</v>
      </c>
      <c r="I141" s="794">
        <v>0.53800000000000003</v>
      </c>
      <c r="J141" s="98"/>
      <c r="K141" s="98"/>
    </row>
    <row r="142" spans="1:11">
      <c r="A142" s="90">
        <v>156</v>
      </c>
      <c r="B142" s="90" t="s">
        <v>409</v>
      </c>
      <c r="C142" s="90">
        <v>156</v>
      </c>
      <c r="D142" s="90" t="s">
        <v>409</v>
      </c>
      <c r="G142" s="90">
        <v>0</v>
      </c>
      <c r="H142" s="794" t="s">
        <v>1121</v>
      </c>
      <c r="I142" s="794" t="s">
        <v>1121</v>
      </c>
      <c r="J142" s="98"/>
      <c r="K142" s="98"/>
    </row>
    <row r="143" spans="1:11">
      <c r="A143" s="90">
        <v>56</v>
      </c>
      <c r="B143" s="90" t="s">
        <v>190</v>
      </c>
      <c r="C143" s="90">
        <v>56</v>
      </c>
      <c r="D143" s="90" t="s">
        <v>190</v>
      </c>
      <c r="G143" s="90">
        <v>1</v>
      </c>
      <c r="H143" s="794">
        <v>1.5229999999999999</v>
      </c>
      <c r="I143" s="794">
        <v>1.1419999999999999</v>
      </c>
      <c r="J143" s="98"/>
      <c r="K143" s="98"/>
    </row>
    <row r="144" spans="1:11">
      <c r="A144" s="90">
        <v>157</v>
      </c>
      <c r="B144" s="90" t="s">
        <v>34</v>
      </c>
      <c r="C144" s="90">
        <v>157</v>
      </c>
      <c r="D144" s="90" t="s">
        <v>34</v>
      </c>
      <c r="G144" s="90">
        <v>1</v>
      </c>
      <c r="H144" s="794">
        <v>1.1479999999999999</v>
      </c>
      <c r="I144" s="794">
        <v>1.7709999999999999</v>
      </c>
      <c r="J144" s="98"/>
      <c r="K144" s="98"/>
    </row>
    <row r="145" spans="1:11">
      <c r="A145" s="90">
        <v>57</v>
      </c>
      <c r="B145" s="90" t="s">
        <v>97</v>
      </c>
      <c r="C145" s="90">
        <v>57</v>
      </c>
      <c r="D145" s="90" t="s">
        <v>97</v>
      </c>
      <c r="G145" s="90">
        <v>1</v>
      </c>
      <c r="H145" s="794">
        <v>1.508</v>
      </c>
      <c r="I145" s="794">
        <v>0.55900000000000005</v>
      </c>
      <c r="J145" s="98"/>
      <c r="K145" s="98"/>
    </row>
    <row r="146" spans="1:11">
      <c r="A146" s="90">
        <v>158</v>
      </c>
      <c r="B146" s="90" t="s">
        <v>227</v>
      </c>
      <c r="C146" s="90">
        <v>158</v>
      </c>
      <c r="D146" s="90" t="s">
        <v>227</v>
      </c>
      <c r="G146" s="90">
        <v>1</v>
      </c>
      <c r="H146" s="794">
        <v>1.7290000000000001</v>
      </c>
      <c r="I146" s="794">
        <v>0.52400000000000002</v>
      </c>
    </row>
    <row r="147" spans="1:11">
      <c r="A147" s="90">
        <v>58</v>
      </c>
      <c r="B147" s="90" t="s">
        <v>98</v>
      </c>
      <c r="C147" s="90">
        <v>58</v>
      </c>
      <c r="D147" s="90" t="s">
        <v>98</v>
      </c>
      <c r="G147" s="90">
        <v>1</v>
      </c>
      <c r="H147" s="794">
        <v>1.2450000000000001</v>
      </c>
      <c r="I147" s="794">
        <v>0.82499999999999996</v>
      </c>
    </row>
    <row r="148" spans="1:11">
      <c r="A148" s="90">
        <v>59</v>
      </c>
      <c r="B148" s="90" t="s">
        <v>99</v>
      </c>
      <c r="C148" s="90">
        <v>59</v>
      </c>
      <c r="D148" s="90" t="s">
        <v>99</v>
      </c>
      <c r="G148" s="90">
        <v>1</v>
      </c>
      <c r="H148" s="794">
        <v>1.5820000000000001</v>
      </c>
      <c r="I148" s="794">
        <v>0.51100000000000001</v>
      </c>
    </row>
    <row r="149" spans="1:11">
      <c r="A149" s="90">
        <v>60</v>
      </c>
      <c r="B149" s="90" t="s">
        <v>100</v>
      </c>
      <c r="C149" s="90">
        <v>60</v>
      </c>
      <c r="D149" s="90" t="s">
        <v>100</v>
      </c>
      <c r="G149" s="90">
        <v>1</v>
      </c>
      <c r="H149" s="794">
        <v>1.4770000000000001</v>
      </c>
      <c r="I149" s="794">
        <v>1.1120000000000001</v>
      </c>
    </row>
    <row r="150" spans="1:11">
      <c r="A150" s="90">
        <v>61</v>
      </c>
      <c r="B150" s="90" t="s">
        <v>101</v>
      </c>
      <c r="C150" s="90">
        <v>61</v>
      </c>
      <c r="D150" s="90" t="s">
        <v>101</v>
      </c>
      <c r="G150" s="90">
        <v>1</v>
      </c>
      <c r="H150" s="794">
        <v>1.427</v>
      </c>
      <c r="I150" s="794">
        <v>0.79300000000000004</v>
      </c>
    </row>
    <row r="151" spans="1:11">
      <c r="A151" s="90">
        <v>62</v>
      </c>
      <c r="B151" s="90" t="s">
        <v>102</v>
      </c>
      <c r="C151" s="90">
        <v>62</v>
      </c>
      <c r="D151" s="90" t="s">
        <v>102</v>
      </c>
      <c r="G151" s="90">
        <v>1</v>
      </c>
      <c r="H151" s="794">
        <v>1.3560000000000001</v>
      </c>
      <c r="I151" s="794">
        <v>0.68600000000000005</v>
      </c>
    </row>
    <row r="152" spans="1:11">
      <c r="A152" s="90">
        <v>63</v>
      </c>
      <c r="B152" s="90" t="s">
        <v>103</v>
      </c>
      <c r="C152" s="90">
        <v>63</v>
      </c>
      <c r="D152" s="90" t="s">
        <v>103</v>
      </c>
      <c r="G152" s="90">
        <v>1</v>
      </c>
      <c r="H152" s="794">
        <v>1.419</v>
      </c>
      <c r="I152" s="794">
        <v>0.82399999999999995</v>
      </c>
    </row>
    <row r="153" spans="1:11">
      <c r="A153" s="90">
        <v>64</v>
      </c>
      <c r="B153" s="90" t="s">
        <v>32</v>
      </c>
      <c r="C153" s="90">
        <v>64</v>
      </c>
      <c r="D153" s="90" t="s">
        <v>32</v>
      </c>
      <c r="G153" s="90">
        <v>1</v>
      </c>
      <c r="H153" s="794">
        <v>1.974</v>
      </c>
      <c r="I153" s="794">
        <v>1.3859999999999999</v>
      </c>
    </row>
    <row r="154" spans="1:11">
      <c r="A154" s="90">
        <v>65</v>
      </c>
      <c r="B154" s="90" t="s">
        <v>20</v>
      </c>
      <c r="C154" s="90">
        <v>65</v>
      </c>
      <c r="D154" s="90" t="s">
        <v>20</v>
      </c>
      <c r="G154" s="90">
        <v>0</v>
      </c>
      <c r="H154" s="794">
        <v>1.3402066660613841</v>
      </c>
      <c r="I154" s="794">
        <v>0.29092176426332617</v>
      </c>
    </row>
    <row r="155" spans="1:11">
      <c r="A155" s="90">
        <v>181</v>
      </c>
      <c r="B155" s="90" t="s">
        <v>253</v>
      </c>
      <c r="C155" s="90">
        <v>181</v>
      </c>
      <c r="D155" s="90" t="s">
        <v>416</v>
      </c>
      <c r="G155" s="98">
        <v>1</v>
      </c>
      <c r="H155" s="795">
        <v>1.2529999999999999</v>
      </c>
      <c r="I155" s="795">
        <v>0.63900000000000001</v>
      </c>
    </row>
    <row r="156" spans="1:11">
      <c r="A156" s="90">
        <v>66</v>
      </c>
      <c r="B156" s="90" t="s">
        <v>191</v>
      </c>
      <c r="C156" s="90">
        <v>66</v>
      </c>
      <c r="D156" s="90" t="s">
        <v>191</v>
      </c>
      <c r="G156" s="90">
        <v>1</v>
      </c>
      <c r="H156" s="794">
        <v>1.3560000000000001</v>
      </c>
      <c r="I156" s="794">
        <v>1.363</v>
      </c>
    </row>
    <row r="157" spans="1:11">
      <c r="A157" s="90">
        <v>159</v>
      </c>
      <c r="B157" s="90" t="s">
        <v>260</v>
      </c>
      <c r="C157" s="90">
        <v>159</v>
      </c>
      <c r="D157" s="90" t="s">
        <v>410</v>
      </c>
      <c r="G157" s="90">
        <v>0</v>
      </c>
      <c r="H157" s="794">
        <v>2.6280422797125871</v>
      </c>
      <c r="I157" s="794">
        <v>5.7883451003963422E-2</v>
      </c>
    </row>
    <row r="158" spans="1:11">
      <c r="A158" s="90">
        <v>67</v>
      </c>
      <c r="B158" s="90" t="s">
        <v>104</v>
      </c>
      <c r="C158" s="90">
        <v>67</v>
      </c>
      <c r="D158" s="90" t="s">
        <v>104</v>
      </c>
      <c r="G158" s="90">
        <v>1</v>
      </c>
      <c r="H158" s="794">
        <v>1.4990000000000001</v>
      </c>
      <c r="I158" s="794">
        <v>0.66400000000000003</v>
      </c>
    </row>
    <row r="159" spans="1:11">
      <c r="A159" s="90">
        <v>68</v>
      </c>
      <c r="B159" s="90" t="s">
        <v>105</v>
      </c>
      <c r="C159" s="90">
        <v>68</v>
      </c>
      <c r="D159" s="90" t="s">
        <v>105</v>
      </c>
      <c r="G159" s="90">
        <v>1</v>
      </c>
      <c r="H159" s="794">
        <v>1.577</v>
      </c>
      <c r="I159" s="794">
        <v>0.53200000000000003</v>
      </c>
    </row>
    <row r="160" spans="1:11">
      <c r="A160" s="90">
        <v>160</v>
      </c>
      <c r="B160" s="90" t="s">
        <v>229</v>
      </c>
      <c r="C160" s="90">
        <v>160</v>
      </c>
      <c r="D160" s="90" t="s">
        <v>229</v>
      </c>
      <c r="G160" s="90">
        <v>1</v>
      </c>
      <c r="H160" s="794">
        <v>1.5269999999999999</v>
      </c>
      <c r="I160" s="794">
        <v>0.96199999999999997</v>
      </c>
    </row>
    <row r="161" spans="1:14">
      <c r="A161" s="90">
        <v>69</v>
      </c>
      <c r="B161" s="90" t="s">
        <v>106</v>
      </c>
      <c r="C161" s="90">
        <v>69</v>
      </c>
      <c r="D161" s="90" t="s">
        <v>106</v>
      </c>
      <c r="G161" s="90">
        <v>1</v>
      </c>
      <c r="H161" s="794">
        <v>1.476</v>
      </c>
      <c r="I161" s="794">
        <v>0.58699999999999997</v>
      </c>
    </row>
    <row r="162" spans="1:14">
      <c r="A162" s="90">
        <v>161</v>
      </c>
      <c r="B162" s="90" t="s">
        <v>411</v>
      </c>
      <c r="C162" s="90">
        <v>161</v>
      </c>
      <c r="D162" s="90" t="s">
        <v>411</v>
      </c>
      <c r="G162" s="90">
        <v>1</v>
      </c>
      <c r="H162" s="794">
        <v>1.6739999999999999</v>
      </c>
      <c r="I162" s="794">
        <v>0.90100000000000002</v>
      </c>
    </row>
    <row r="163" spans="1:14">
      <c r="A163" s="90">
        <v>70</v>
      </c>
      <c r="B163" s="90" t="s">
        <v>192</v>
      </c>
      <c r="C163" s="90">
        <v>70</v>
      </c>
      <c r="D163" s="90" t="s">
        <v>192</v>
      </c>
      <c r="G163" s="90">
        <v>1</v>
      </c>
      <c r="H163" s="794">
        <v>1.522</v>
      </c>
      <c r="I163" s="794">
        <v>1.105</v>
      </c>
    </row>
    <row r="164" spans="1:14">
      <c r="A164" s="90">
        <v>162</v>
      </c>
      <c r="B164" s="90" t="s">
        <v>231</v>
      </c>
      <c r="C164" s="90">
        <v>162</v>
      </c>
      <c r="D164" s="90" t="s">
        <v>231</v>
      </c>
      <c r="G164" s="90">
        <v>1</v>
      </c>
      <c r="H164" s="794">
        <v>1.948</v>
      </c>
      <c r="I164" s="794">
        <v>0.84099999999999997</v>
      </c>
    </row>
    <row r="165" spans="1:14">
      <c r="A165" s="90">
        <v>164</v>
      </c>
      <c r="B165" s="90" t="s">
        <v>235</v>
      </c>
      <c r="C165" s="90">
        <v>164</v>
      </c>
      <c r="D165" s="90" t="s">
        <v>235</v>
      </c>
      <c r="G165" s="90">
        <v>1</v>
      </c>
      <c r="H165" s="794">
        <v>1.1659999999999999</v>
      </c>
      <c r="I165" s="794">
        <v>1.2430000000000001</v>
      </c>
    </row>
    <row r="166" spans="1:14">
      <c r="A166" s="90">
        <v>165</v>
      </c>
      <c r="B166" s="90" t="s">
        <v>237</v>
      </c>
      <c r="C166" s="90">
        <v>165</v>
      </c>
      <c r="D166" s="90" t="s">
        <v>237</v>
      </c>
      <c r="G166" s="90">
        <v>1</v>
      </c>
      <c r="H166" s="794">
        <v>1.595</v>
      </c>
      <c r="I166" s="794">
        <v>0.80200000000000005</v>
      </c>
    </row>
    <row r="167" spans="1:14">
      <c r="A167" s="90">
        <v>166</v>
      </c>
      <c r="B167" s="90" t="s">
        <v>412</v>
      </c>
      <c r="C167" s="90">
        <v>166</v>
      </c>
      <c r="D167" s="90" t="s">
        <v>412</v>
      </c>
      <c r="G167" s="90">
        <v>1</v>
      </c>
      <c r="H167" s="794">
        <v>0</v>
      </c>
      <c r="I167" s="794">
        <v>0</v>
      </c>
    </row>
    <row r="168" spans="1:14">
      <c r="A168" s="90">
        <v>167</v>
      </c>
      <c r="B168" s="90" t="s">
        <v>254</v>
      </c>
      <c r="C168" s="90">
        <v>167</v>
      </c>
      <c r="D168" s="90" t="s">
        <v>413</v>
      </c>
      <c r="G168" s="98">
        <v>1</v>
      </c>
      <c r="H168" s="795">
        <v>1.139</v>
      </c>
      <c r="I168" s="795">
        <v>1.4510000000000001</v>
      </c>
    </row>
    <row r="169" spans="1:14">
      <c r="A169" s="90">
        <v>168</v>
      </c>
      <c r="B169" s="90" t="s">
        <v>239</v>
      </c>
      <c r="C169" s="90">
        <v>168</v>
      </c>
      <c r="D169" s="90" t="s">
        <v>239</v>
      </c>
      <c r="G169" s="98">
        <v>1</v>
      </c>
      <c r="H169" s="795">
        <v>1.637</v>
      </c>
      <c r="I169" s="795">
        <v>0.76500000000000001</v>
      </c>
    </row>
    <row r="170" spans="1:14">
      <c r="A170" s="90">
        <v>71</v>
      </c>
      <c r="B170" s="90" t="s">
        <v>66</v>
      </c>
      <c r="C170" s="90">
        <v>71</v>
      </c>
      <c r="D170" s="90" t="s">
        <v>66</v>
      </c>
      <c r="G170" s="90">
        <v>1</v>
      </c>
      <c r="H170" s="794">
        <v>1.3680000000000001</v>
      </c>
      <c r="I170" s="794">
        <v>0.94</v>
      </c>
    </row>
    <row r="171" spans="1:14">
      <c r="A171" s="90">
        <v>169</v>
      </c>
      <c r="B171" s="90" t="s">
        <v>423</v>
      </c>
      <c r="C171" s="90">
        <v>169</v>
      </c>
      <c r="D171" s="90" t="s">
        <v>67</v>
      </c>
      <c r="E171" s="90">
        <v>14</v>
      </c>
      <c r="F171" s="90" t="s">
        <v>57</v>
      </c>
      <c r="G171" s="98">
        <v>1</v>
      </c>
      <c r="H171" s="792">
        <v>1.5269999999999999</v>
      </c>
      <c r="I171" s="792">
        <v>0.96199999999999997</v>
      </c>
    </row>
    <row r="172" spans="1:14">
      <c r="A172" s="90">
        <v>72</v>
      </c>
      <c r="B172" s="90" t="s">
        <v>107</v>
      </c>
      <c r="C172" s="90">
        <v>72</v>
      </c>
      <c r="D172" s="90" t="s">
        <v>107</v>
      </c>
      <c r="G172" s="90">
        <v>1</v>
      </c>
      <c r="H172" s="794">
        <v>1.431</v>
      </c>
      <c r="I172" s="794">
        <v>0.72399999999999998</v>
      </c>
    </row>
    <row r="173" spans="1:14">
      <c r="A173" s="90">
        <v>73</v>
      </c>
      <c r="B173" s="90" t="s">
        <v>13</v>
      </c>
      <c r="C173" s="90">
        <v>73</v>
      </c>
      <c r="D173" s="90" t="s">
        <v>13</v>
      </c>
      <c r="G173" s="90">
        <v>0</v>
      </c>
      <c r="H173" s="794">
        <v>1.4293902076701555</v>
      </c>
      <c r="I173" s="794">
        <v>0.1485566772910436</v>
      </c>
    </row>
    <row r="174" spans="1:14">
      <c r="A174" s="90">
        <v>74</v>
      </c>
      <c r="B174" s="90" t="s">
        <v>108</v>
      </c>
      <c r="C174" s="90">
        <v>74</v>
      </c>
      <c r="D174" s="90" t="s">
        <v>108</v>
      </c>
      <c r="G174" s="90">
        <v>1</v>
      </c>
      <c r="H174" s="794">
        <v>1.333</v>
      </c>
      <c r="I174" s="794">
        <v>0.746</v>
      </c>
    </row>
    <row r="175" spans="1:14">
      <c r="A175" s="90">
        <v>171</v>
      </c>
      <c r="B175" s="90" t="s">
        <v>241</v>
      </c>
      <c r="C175" s="90">
        <v>171</v>
      </c>
      <c r="D175" s="90" t="s">
        <v>241</v>
      </c>
      <c r="G175" s="90">
        <v>1</v>
      </c>
      <c r="H175" s="794">
        <v>1.3109999999999999</v>
      </c>
      <c r="I175" s="794">
        <v>1.397</v>
      </c>
      <c r="J175" s="98"/>
      <c r="K175" s="98"/>
      <c r="L175" s="98"/>
      <c r="M175" s="98"/>
      <c r="N175" s="98"/>
    </row>
    <row r="176" spans="1:14">
      <c r="A176" s="90">
        <v>75</v>
      </c>
      <c r="B176" s="90" t="s">
        <v>109</v>
      </c>
      <c r="C176" s="90">
        <v>75</v>
      </c>
      <c r="D176" s="90" t="s">
        <v>109</v>
      </c>
      <c r="G176" s="90">
        <v>1</v>
      </c>
      <c r="H176" s="794">
        <v>1.298</v>
      </c>
      <c r="I176" s="794">
        <v>0.97299999999999998</v>
      </c>
      <c r="J176" s="98"/>
      <c r="K176" s="98"/>
      <c r="L176" s="98"/>
      <c r="M176" s="98"/>
      <c r="N176" s="98"/>
    </row>
    <row r="177" spans="1:14">
      <c r="A177" s="90">
        <v>172</v>
      </c>
      <c r="B177" s="90" t="s">
        <v>243</v>
      </c>
      <c r="C177" s="90">
        <v>172</v>
      </c>
      <c r="D177" s="90" t="s">
        <v>243</v>
      </c>
      <c r="G177" s="90">
        <v>1</v>
      </c>
      <c r="H177" s="794">
        <v>1.3009999999999999</v>
      </c>
      <c r="I177" s="794">
        <v>0.74</v>
      </c>
      <c r="J177" s="98"/>
      <c r="K177" s="98"/>
      <c r="L177" s="98"/>
      <c r="M177" s="98"/>
      <c r="N177" s="98"/>
    </row>
    <row r="178" spans="1:14">
      <c r="A178" s="90">
        <v>187</v>
      </c>
      <c r="B178" s="90" t="s">
        <v>245</v>
      </c>
      <c r="C178" s="90">
        <v>187</v>
      </c>
      <c r="D178" s="90" t="s">
        <v>245</v>
      </c>
      <c r="G178" s="98">
        <v>1</v>
      </c>
      <c r="H178" s="795">
        <v>1.718</v>
      </c>
      <c r="I178" s="795">
        <v>1.6220000000000001</v>
      </c>
      <c r="J178" s="98"/>
      <c r="K178" s="98"/>
      <c r="L178" s="98"/>
      <c r="M178" s="98"/>
      <c r="N178" s="98"/>
    </row>
    <row r="179" spans="1:14">
      <c r="A179" s="90">
        <v>174</v>
      </c>
      <c r="B179" s="90" t="s">
        <v>22</v>
      </c>
      <c r="C179" s="90">
        <v>174</v>
      </c>
      <c r="D179" s="90" t="s">
        <v>22</v>
      </c>
      <c r="G179" s="90">
        <v>1</v>
      </c>
      <c r="H179" s="794">
        <v>1.4470000000000001</v>
      </c>
      <c r="I179" s="794">
        <v>0.46800000000000003</v>
      </c>
      <c r="J179" s="98"/>
      <c r="K179" s="98"/>
      <c r="L179" s="98"/>
      <c r="M179" s="98"/>
      <c r="N179" s="98"/>
    </row>
    <row r="180" spans="1:14">
      <c r="A180" s="90">
        <v>175</v>
      </c>
      <c r="B180" s="90" t="s">
        <v>36</v>
      </c>
      <c r="C180" s="90">
        <v>175</v>
      </c>
      <c r="D180" s="90" t="s">
        <v>36</v>
      </c>
      <c r="G180" s="90">
        <v>0</v>
      </c>
      <c r="H180" s="794">
        <v>1.3193248870609948</v>
      </c>
      <c r="I180" s="794">
        <v>0.26422898431730513</v>
      </c>
      <c r="J180" s="98"/>
      <c r="K180" s="98"/>
      <c r="L180" s="98"/>
      <c r="M180" s="98"/>
      <c r="N180" s="98"/>
    </row>
    <row r="181" spans="1:14">
      <c r="A181" s="90">
        <v>184</v>
      </c>
      <c r="B181" s="90" t="s">
        <v>1083</v>
      </c>
      <c r="C181" s="90">
        <v>184</v>
      </c>
      <c r="D181" s="90" t="s">
        <v>1083</v>
      </c>
      <c r="G181" s="98">
        <v>1</v>
      </c>
      <c r="H181" s="795">
        <v>1.504</v>
      </c>
      <c r="I181" s="795">
        <v>0.52700000000000002</v>
      </c>
      <c r="J181" s="98"/>
      <c r="K181" s="98"/>
      <c r="L181" s="98"/>
      <c r="M181" s="98"/>
      <c r="N181" s="98"/>
    </row>
    <row r="182" spans="1:14">
      <c r="A182" s="90">
        <v>177</v>
      </c>
      <c r="B182" s="90" t="s">
        <v>414</v>
      </c>
      <c r="C182" s="90">
        <v>177</v>
      </c>
      <c r="D182" s="90" t="s">
        <v>414</v>
      </c>
      <c r="G182" s="98">
        <v>1</v>
      </c>
      <c r="H182" s="795">
        <v>1.5189999999999999</v>
      </c>
      <c r="I182" s="795">
        <v>1.23</v>
      </c>
      <c r="J182" s="98"/>
      <c r="K182" s="98"/>
      <c r="L182" s="98"/>
      <c r="M182" s="98"/>
      <c r="N182" s="98"/>
    </row>
    <row r="183" spans="1:14">
      <c r="A183" s="90">
        <v>76</v>
      </c>
      <c r="B183" s="90" t="s">
        <v>212</v>
      </c>
      <c r="C183" s="90">
        <v>76</v>
      </c>
      <c r="D183" s="90" t="s">
        <v>212</v>
      </c>
      <c r="G183" s="90">
        <v>1</v>
      </c>
      <c r="H183" s="795">
        <v>1.3380000000000001</v>
      </c>
      <c r="I183" s="795">
        <v>1.2310000000000001</v>
      </c>
      <c r="J183" s="98"/>
      <c r="K183" s="98"/>
      <c r="L183" s="98"/>
      <c r="M183" s="98"/>
      <c r="N183" s="98"/>
    </row>
    <row r="184" spans="1:14">
      <c r="A184" s="90">
        <v>77</v>
      </c>
      <c r="B184" s="90" t="s">
        <v>110</v>
      </c>
      <c r="C184" s="90">
        <v>77</v>
      </c>
      <c r="D184" s="90" t="s">
        <v>110</v>
      </c>
      <c r="G184" s="90">
        <v>1</v>
      </c>
      <c r="H184" s="795">
        <v>1.5089999999999999</v>
      </c>
      <c r="I184" s="795">
        <v>0.622</v>
      </c>
      <c r="J184" s="98"/>
      <c r="K184" s="98"/>
      <c r="L184" s="98"/>
      <c r="M184" s="98"/>
      <c r="N184" s="98"/>
    </row>
    <row r="185" spans="1:14">
      <c r="A185" s="90">
        <v>78</v>
      </c>
      <c r="B185" s="90" t="s">
        <v>68</v>
      </c>
      <c r="C185" s="90">
        <v>78</v>
      </c>
      <c r="D185" s="90" t="s">
        <v>68</v>
      </c>
      <c r="G185" s="90">
        <v>1</v>
      </c>
      <c r="H185" s="795">
        <v>1.3129999999999999</v>
      </c>
      <c r="I185" s="795">
        <v>0.57599999999999996</v>
      </c>
      <c r="J185" s="98"/>
      <c r="K185" s="98"/>
      <c r="L185" s="98"/>
      <c r="M185" s="98"/>
      <c r="N185" s="98"/>
    </row>
    <row r="186" spans="1:14">
      <c r="A186" s="90">
        <v>178</v>
      </c>
      <c r="B186" s="90" t="s">
        <v>261</v>
      </c>
      <c r="C186" s="90">
        <v>178</v>
      </c>
      <c r="D186" s="90" t="s">
        <v>415</v>
      </c>
      <c r="G186" s="98">
        <v>1</v>
      </c>
      <c r="H186" s="795">
        <v>1</v>
      </c>
      <c r="I186" s="795">
        <v>1.381</v>
      </c>
      <c r="J186" s="98"/>
      <c r="K186" s="98"/>
      <c r="L186" s="98"/>
      <c r="M186" s="98"/>
      <c r="N186" s="98"/>
    </row>
    <row r="187" spans="1:14">
      <c r="A187" s="90">
        <v>179</v>
      </c>
      <c r="B187" s="90" t="s">
        <v>25</v>
      </c>
      <c r="C187" s="90">
        <v>179</v>
      </c>
      <c r="D187" s="90" t="s">
        <v>25</v>
      </c>
      <c r="G187" s="98">
        <v>1</v>
      </c>
      <c r="H187" s="795">
        <v>1.5780000000000001</v>
      </c>
      <c r="I187" s="795">
        <v>0.52300000000000002</v>
      </c>
      <c r="J187" s="98"/>
      <c r="K187" s="98"/>
      <c r="L187" s="98"/>
      <c r="M187" s="98"/>
      <c r="N187" s="98"/>
    </row>
    <row r="188" spans="1:14">
      <c r="G188" s="98">
        <v>1</v>
      </c>
      <c r="H188" s="98">
        <v>1.718</v>
      </c>
      <c r="I188" s="98">
        <v>1.6220000000000001</v>
      </c>
      <c r="J188" s="98"/>
      <c r="K188" s="98"/>
      <c r="L188" s="98"/>
      <c r="M188" s="98"/>
      <c r="N188" s="98"/>
    </row>
    <row r="189" spans="1:14">
      <c r="G189" s="98"/>
      <c r="H189" s="98"/>
      <c r="I189" s="98"/>
      <c r="J189" s="98"/>
      <c r="K189" s="98"/>
      <c r="L189" s="98"/>
      <c r="M189" s="98"/>
      <c r="N189" s="98"/>
    </row>
    <row r="190" spans="1:14">
      <c r="G190" s="98"/>
      <c r="H190" s="98"/>
      <c r="I190" s="98"/>
      <c r="J190" s="98"/>
      <c r="K190" s="98"/>
      <c r="L190" s="98"/>
      <c r="M190" s="98"/>
      <c r="N190" s="98"/>
    </row>
    <row r="191" spans="1:14">
      <c r="G191" s="98"/>
      <c r="H191" s="98"/>
      <c r="I191" s="98"/>
      <c r="J191" s="98"/>
      <c r="K191" s="98"/>
      <c r="L191" s="98"/>
      <c r="M191" s="98"/>
      <c r="N191" s="98"/>
    </row>
    <row r="192" spans="1:14">
      <c r="G192" s="98"/>
      <c r="H192" s="98"/>
      <c r="I192" s="98"/>
      <c r="J192" s="98"/>
      <c r="K192" s="98"/>
      <c r="L192" s="98"/>
      <c r="M192" s="98"/>
      <c r="N192" s="98"/>
    </row>
    <row r="193" spans="7:14">
      <c r="G193" s="98"/>
      <c r="H193" s="98"/>
      <c r="I193" s="98"/>
      <c r="J193" s="98"/>
      <c r="K193" s="98"/>
      <c r="L193" s="98"/>
      <c r="M193" s="98"/>
      <c r="N193" s="98"/>
    </row>
    <row r="194" spans="7:14">
      <c r="G194" s="98"/>
      <c r="H194" s="98"/>
      <c r="I194" s="98"/>
    </row>
  </sheetData>
  <mergeCells count="1">
    <mergeCell ref="A4:I4"/>
  </mergeCells>
  <phoneticPr fontId="31" type="noConversion"/>
  <pageMargins left="0.75" right="0.75" top="1" bottom="1" header="0.5" footer="0.5"/>
  <pageSetup orientation="portrait"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8"/>
  </sheetPr>
  <dimension ref="A1:BN33"/>
  <sheetViews>
    <sheetView zoomScaleNormal="100" workbookViewId="0">
      <selection activeCell="C9" sqref="C9"/>
    </sheetView>
  </sheetViews>
  <sheetFormatPr defaultRowHeight="12.75"/>
  <cols>
    <col min="1" max="1" width="38.42578125" bestFit="1" customWidth="1"/>
    <col min="2" max="2" width="17.85546875" bestFit="1" customWidth="1"/>
    <col min="3" max="3" width="18.42578125" customWidth="1"/>
    <col min="4" max="4" width="18.42578125" style="1" customWidth="1"/>
    <col min="5" max="6" width="11.42578125" customWidth="1"/>
    <col min="7" max="7" width="10.28515625" style="14" bestFit="1" customWidth="1"/>
    <col min="8" max="8" width="10.140625" customWidth="1"/>
    <col min="9" max="9" width="9.7109375" bestFit="1" customWidth="1"/>
    <col min="10" max="10" width="11.42578125" style="14" customWidth="1"/>
    <col min="11" max="36" width="9.7109375" bestFit="1" customWidth="1"/>
    <col min="37" max="37" width="11.140625" bestFit="1" customWidth="1"/>
    <col min="38" max="46" width="9.7109375" bestFit="1" customWidth="1"/>
  </cols>
  <sheetData>
    <row r="1" spans="1:66">
      <c r="A1" s="3" t="s">
        <v>563</v>
      </c>
    </row>
    <row r="2" spans="1:66" s="90" customFormat="1">
      <c r="A2" s="92"/>
      <c r="G2" s="98"/>
      <c r="J2" s="98"/>
    </row>
    <row r="3" spans="1:66" ht="15">
      <c r="C3" t="s">
        <v>271</v>
      </c>
      <c r="D3" s="99">
        <v>2008</v>
      </c>
      <c r="E3" s="15">
        <v>2009</v>
      </c>
      <c r="F3" s="15">
        <v>2010</v>
      </c>
      <c r="G3" s="15">
        <v>2011</v>
      </c>
      <c r="H3" s="15">
        <v>2012</v>
      </c>
      <c r="I3" s="15">
        <v>2013</v>
      </c>
      <c r="J3" s="15">
        <v>2014</v>
      </c>
      <c r="K3" s="15">
        <v>2015</v>
      </c>
      <c r="L3" s="15">
        <v>2016</v>
      </c>
      <c r="M3" s="15">
        <v>2017</v>
      </c>
      <c r="N3" s="15">
        <v>2018</v>
      </c>
      <c r="O3" s="15">
        <v>2019</v>
      </c>
      <c r="P3" s="15">
        <v>2020</v>
      </c>
      <c r="Q3" s="15">
        <v>2021</v>
      </c>
      <c r="R3" s="15">
        <v>2022</v>
      </c>
      <c r="S3" s="15">
        <v>2023</v>
      </c>
      <c r="T3" s="15">
        <v>2024</v>
      </c>
      <c r="U3" s="15">
        <v>2025</v>
      </c>
      <c r="V3" s="15">
        <v>2026</v>
      </c>
      <c r="W3" s="15">
        <v>2027</v>
      </c>
      <c r="X3" s="15">
        <v>2028</v>
      </c>
      <c r="Y3" s="15">
        <v>2029</v>
      </c>
      <c r="Z3" s="15">
        <v>2030</v>
      </c>
      <c r="AA3" s="15">
        <v>2031</v>
      </c>
      <c r="AB3" s="15">
        <v>2032</v>
      </c>
      <c r="AC3" s="15">
        <v>2033</v>
      </c>
      <c r="AD3" s="15">
        <v>2034</v>
      </c>
      <c r="AE3" s="15">
        <v>2035</v>
      </c>
      <c r="AF3" s="15">
        <v>2036</v>
      </c>
      <c r="AG3" s="15">
        <v>2037</v>
      </c>
      <c r="AH3" s="15">
        <v>2038</v>
      </c>
      <c r="AI3" s="15">
        <v>2039</v>
      </c>
      <c r="AJ3" s="15">
        <v>2040</v>
      </c>
      <c r="AK3" s="15">
        <v>2041</v>
      </c>
      <c r="AL3" s="15">
        <v>2042</v>
      </c>
      <c r="AM3" s="15">
        <v>2043</v>
      </c>
      <c r="AN3" s="15">
        <v>2044</v>
      </c>
      <c r="AO3" s="15">
        <v>2045</v>
      </c>
      <c r="AP3" s="15">
        <v>2046</v>
      </c>
      <c r="AQ3" s="15">
        <v>2047</v>
      </c>
      <c r="AR3" s="15">
        <v>2048</v>
      </c>
      <c r="AS3" s="15">
        <v>2049</v>
      </c>
      <c r="AT3" s="15">
        <v>2050</v>
      </c>
      <c r="AU3" s="15">
        <v>2051</v>
      </c>
      <c r="AV3" s="15">
        <v>2052</v>
      </c>
      <c r="AW3" s="15">
        <v>2053</v>
      </c>
      <c r="AX3" s="15">
        <v>2054</v>
      </c>
      <c r="AY3" s="15">
        <v>2055</v>
      </c>
      <c r="AZ3" s="15">
        <v>2056</v>
      </c>
      <c r="BA3" s="15">
        <v>2057</v>
      </c>
      <c r="BB3" s="15">
        <v>2058</v>
      </c>
      <c r="BC3" s="15">
        <v>2059</v>
      </c>
      <c r="BD3" s="15">
        <v>2060</v>
      </c>
      <c r="BE3" s="15">
        <v>2061</v>
      </c>
      <c r="BF3" s="15">
        <v>2062</v>
      </c>
      <c r="BG3" s="15">
        <v>2063</v>
      </c>
      <c r="BH3" s="15">
        <v>2064</v>
      </c>
      <c r="BI3" s="15">
        <v>2065</v>
      </c>
      <c r="BJ3" s="15">
        <v>2066</v>
      </c>
      <c r="BK3" s="15">
        <v>2067</v>
      </c>
      <c r="BL3" s="15">
        <v>2068</v>
      </c>
      <c r="BM3" s="15">
        <v>2069</v>
      </c>
      <c r="BN3" s="15">
        <v>2070</v>
      </c>
    </row>
    <row r="4" spans="1:66">
      <c r="A4" t="s">
        <v>305</v>
      </c>
      <c r="B4" t="s">
        <v>311</v>
      </c>
      <c r="C4" s="93" t="s">
        <v>555</v>
      </c>
      <c r="D4" s="100"/>
      <c r="E4" s="17"/>
      <c r="F4" s="100" t="e">
        <f>F27</f>
        <v>#REF!</v>
      </c>
      <c r="G4" s="100" t="e">
        <f t="shared" ref="G4:BN4" si="0">G27</f>
        <v>#REF!</v>
      </c>
      <c r="H4" s="100" t="e">
        <f t="shared" si="0"/>
        <v>#REF!</v>
      </c>
      <c r="I4" s="100" t="e">
        <f t="shared" si="0"/>
        <v>#REF!</v>
      </c>
      <c r="J4" s="100" t="e">
        <f t="shared" si="0"/>
        <v>#REF!</v>
      </c>
      <c r="K4" s="100" t="e">
        <f t="shared" si="0"/>
        <v>#REF!</v>
      </c>
      <c r="L4" s="100" t="e">
        <f t="shared" si="0"/>
        <v>#REF!</v>
      </c>
      <c r="M4" s="100" t="e">
        <f t="shared" si="0"/>
        <v>#REF!</v>
      </c>
      <c r="N4" s="100" t="e">
        <f t="shared" si="0"/>
        <v>#REF!</v>
      </c>
      <c r="O4" s="100" t="e">
        <f t="shared" si="0"/>
        <v>#REF!</v>
      </c>
      <c r="P4" s="100" t="e">
        <f t="shared" si="0"/>
        <v>#REF!</v>
      </c>
      <c r="Q4" s="100" t="e">
        <f t="shared" si="0"/>
        <v>#REF!</v>
      </c>
      <c r="R4" s="100" t="e">
        <f t="shared" si="0"/>
        <v>#REF!</v>
      </c>
      <c r="S4" s="100" t="e">
        <f t="shared" si="0"/>
        <v>#REF!</v>
      </c>
      <c r="T4" s="100" t="e">
        <f t="shared" si="0"/>
        <v>#REF!</v>
      </c>
      <c r="U4" s="100" t="e">
        <f t="shared" si="0"/>
        <v>#REF!</v>
      </c>
      <c r="V4" s="100" t="e">
        <f t="shared" si="0"/>
        <v>#REF!</v>
      </c>
      <c r="W4" s="100" t="e">
        <f t="shared" si="0"/>
        <v>#REF!</v>
      </c>
      <c r="X4" s="100" t="e">
        <f t="shared" si="0"/>
        <v>#REF!</v>
      </c>
      <c r="Y4" s="100" t="e">
        <f t="shared" si="0"/>
        <v>#REF!</v>
      </c>
      <c r="Z4" s="100" t="e">
        <f t="shared" si="0"/>
        <v>#REF!</v>
      </c>
      <c r="AA4" s="100" t="e">
        <f t="shared" si="0"/>
        <v>#REF!</v>
      </c>
      <c r="AB4" s="100" t="e">
        <f t="shared" si="0"/>
        <v>#REF!</v>
      </c>
      <c r="AC4" s="100" t="e">
        <f t="shared" si="0"/>
        <v>#REF!</v>
      </c>
      <c r="AD4" s="100" t="e">
        <f t="shared" si="0"/>
        <v>#REF!</v>
      </c>
      <c r="AE4" s="100" t="e">
        <f t="shared" si="0"/>
        <v>#REF!</v>
      </c>
      <c r="AF4" s="100" t="e">
        <f t="shared" si="0"/>
        <v>#REF!</v>
      </c>
      <c r="AG4" s="100" t="e">
        <f t="shared" si="0"/>
        <v>#REF!</v>
      </c>
      <c r="AH4" s="100" t="e">
        <f t="shared" si="0"/>
        <v>#REF!</v>
      </c>
      <c r="AI4" s="100" t="e">
        <f t="shared" si="0"/>
        <v>#REF!</v>
      </c>
      <c r="AJ4" s="100" t="e">
        <f t="shared" si="0"/>
        <v>#REF!</v>
      </c>
      <c r="AK4" s="100" t="e">
        <f t="shared" si="0"/>
        <v>#REF!</v>
      </c>
      <c r="AL4" s="100" t="e">
        <f t="shared" si="0"/>
        <v>#REF!</v>
      </c>
      <c r="AM4" s="100" t="e">
        <f t="shared" si="0"/>
        <v>#REF!</v>
      </c>
      <c r="AN4" s="100" t="e">
        <f t="shared" si="0"/>
        <v>#REF!</v>
      </c>
      <c r="AO4" s="100" t="e">
        <f t="shared" si="0"/>
        <v>#REF!</v>
      </c>
      <c r="AP4" s="100" t="e">
        <f t="shared" si="0"/>
        <v>#REF!</v>
      </c>
      <c r="AQ4" s="100" t="e">
        <f t="shared" si="0"/>
        <v>#REF!</v>
      </c>
      <c r="AR4" s="100" t="e">
        <f t="shared" si="0"/>
        <v>#REF!</v>
      </c>
      <c r="AS4" s="100" t="e">
        <f t="shared" si="0"/>
        <v>#REF!</v>
      </c>
      <c r="AT4" s="100" t="e">
        <f t="shared" si="0"/>
        <v>#REF!</v>
      </c>
      <c r="AU4" s="100" t="e">
        <f t="shared" si="0"/>
        <v>#REF!</v>
      </c>
      <c r="AV4" s="100" t="e">
        <f t="shared" si="0"/>
        <v>#REF!</v>
      </c>
      <c r="AW4" s="100" t="e">
        <f t="shared" si="0"/>
        <v>#REF!</v>
      </c>
      <c r="AX4" s="100" t="e">
        <f t="shared" si="0"/>
        <v>#REF!</v>
      </c>
      <c r="AY4" s="100" t="e">
        <f t="shared" si="0"/>
        <v>#REF!</v>
      </c>
      <c r="AZ4" s="100" t="e">
        <f t="shared" si="0"/>
        <v>#REF!</v>
      </c>
      <c r="BA4" s="100" t="e">
        <f t="shared" si="0"/>
        <v>#REF!</v>
      </c>
      <c r="BB4" s="100" t="e">
        <f t="shared" si="0"/>
        <v>#REF!</v>
      </c>
      <c r="BC4" s="100" t="e">
        <f t="shared" si="0"/>
        <v>#REF!</v>
      </c>
      <c r="BD4" s="100" t="e">
        <f t="shared" si="0"/>
        <v>#REF!</v>
      </c>
      <c r="BE4" s="100" t="e">
        <f t="shared" si="0"/>
        <v>#REF!</v>
      </c>
      <c r="BF4" s="100" t="e">
        <f t="shared" si="0"/>
        <v>#REF!</v>
      </c>
      <c r="BG4" s="100" t="e">
        <f t="shared" si="0"/>
        <v>#REF!</v>
      </c>
      <c r="BH4" s="100" t="e">
        <f t="shared" si="0"/>
        <v>#REF!</v>
      </c>
      <c r="BI4" s="100" t="e">
        <f t="shared" si="0"/>
        <v>#REF!</v>
      </c>
      <c r="BJ4" s="100" t="e">
        <f t="shared" si="0"/>
        <v>#REF!</v>
      </c>
      <c r="BK4" s="100" t="e">
        <f t="shared" si="0"/>
        <v>#REF!</v>
      </c>
      <c r="BL4" s="100" t="e">
        <f t="shared" si="0"/>
        <v>#REF!</v>
      </c>
      <c r="BM4" s="100" t="e">
        <f t="shared" si="0"/>
        <v>#REF!</v>
      </c>
      <c r="BN4" s="100" t="e">
        <f t="shared" si="0"/>
        <v>#REF!</v>
      </c>
    </row>
    <row r="5" spans="1:66">
      <c r="A5" t="s">
        <v>306</v>
      </c>
      <c r="B5" t="s">
        <v>312</v>
      </c>
      <c r="C5" s="93" t="s">
        <v>555</v>
      </c>
      <c r="D5" s="100"/>
      <c r="E5" s="17"/>
      <c r="F5" s="100" t="e">
        <f>F20</f>
        <v>#REF!</v>
      </c>
      <c r="G5" s="100" t="e">
        <f t="shared" ref="G5:BN5" si="1">G20</f>
        <v>#REF!</v>
      </c>
      <c r="H5" s="100" t="e">
        <f t="shared" si="1"/>
        <v>#REF!</v>
      </c>
      <c r="I5" s="100" t="e">
        <f t="shared" si="1"/>
        <v>#REF!</v>
      </c>
      <c r="J5" s="100" t="e">
        <f t="shared" si="1"/>
        <v>#REF!</v>
      </c>
      <c r="K5" s="100" t="e">
        <f t="shared" si="1"/>
        <v>#REF!</v>
      </c>
      <c r="L5" s="100" t="e">
        <f t="shared" si="1"/>
        <v>#REF!</v>
      </c>
      <c r="M5" s="100" t="e">
        <f t="shared" si="1"/>
        <v>#REF!</v>
      </c>
      <c r="N5" s="100" t="e">
        <f t="shared" si="1"/>
        <v>#REF!</v>
      </c>
      <c r="O5" s="100" t="e">
        <f t="shared" si="1"/>
        <v>#REF!</v>
      </c>
      <c r="P5" s="100" t="e">
        <f t="shared" si="1"/>
        <v>#REF!</v>
      </c>
      <c r="Q5" s="100" t="e">
        <f t="shared" si="1"/>
        <v>#REF!</v>
      </c>
      <c r="R5" s="100" t="e">
        <f t="shared" si="1"/>
        <v>#REF!</v>
      </c>
      <c r="S5" s="100" t="e">
        <f t="shared" si="1"/>
        <v>#REF!</v>
      </c>
      <c r="T5" s="100" t="e">
        <f t="shared" si="1"/>
        <v>#REF!</v>
      </c>
      <c r="U5" s="100" t="e">
        <f t="shared" si="1"/>
        <v>#REF!</v>
      </c>
      <c r="V5" s="100" t="e">
        <f t="shared" si="1"/>
        <v>#REF!</v>
      </c>
      <c r="W5" s="100" t="e">
        <f t="shared" si="1"/>
        <v>#REF!</v>
      </c>
      <c r="X5" s="100" t="e">
        <f t="shared" si="1"/>
        <v>#REF!</v>
      </c>
      <c r="Y5" s="100" t="e">
        <f t="shared" si="1"/>
        <v>#REF!</v>
      </c>
      <c r="Z5" s="100" t="e">
        <f t="shared" si="1"/>
        <v>#REF!</v>
      </c>
      <c r="AA5" s="100" t="e">
        <f t="shared" si="1"/>
        <v>#REF!</v>
      </c>
      <c r="AB5" s="100" t="e">
        <f t="shared" si="1"/>
        <v>#REF!</v>
      </c>
      <c r="AC5" s="100" t="e">
        <f t="shared" si="1"/>
        <v>#REF!</v>
      </c>
      <c r="AD5" s="100" t="e">
        <f t="shared" si="1"/>
        <v>#REF!</v>
      </c>
      <c r="AE5" s="100" t="e">
        <f t="shared" si="1"/>
        <v>#REF!</v>
      </c>
      <c r="AF5" s="100" t="e">
        <f t="shared" si="1"/>
        <v>#REF!</v>
      </c>
      <c r="AG5" s="100" t="e">
        <f t="shared" si="1"/>
        <v>#REF!</v>
      </c>
      <c r="AH5" s="100" t="e">
        <f t="shared" si="1"/>
        <v>#REF!</v>
      </c>
      <c r="AI5" s="100" t="e">
        <f t="shared" si="1"/>
        <v>#REF!</v>
      </c>
      <c r="AJ5" s="100" t="e">
        <f t="shared" si="1"/>
        <v>#REF!</v>
      </c>
      <c r="AK5" s="100" t="e">
        <f t="shared" si="1"/>
        <v>#REF!</v>
      </c>
      <c r="AL5" s="100" t="e">
        <f t="shared" si="1"/>
        <v>#REF!</v>
      </c>
      <c r="AM5" s="100" t="e">
        <f t="shared" si="1"/>
        <v>#REF!</v>
      </c>
      <c r="AN5" s="100" t="e">
        <f t="shared" si="1"/>
        <v>#REF!</v>
      </c>
      <c r="AO5" s="100" t="e">
        <f t="shared" si="1"/>
        <v>#REF!</v>
      </c>
      <c r="AP5" s="100" t="e">
        <f t="shared" si="1"/>
        <v>#REF!</v>
      </c>
      <c r="AQ5" s="100" t="e">
        <f t="shared" si="1"/>
        <v>#REF!</v>
      </c>
      <c r="AR5" s="100" t="e">
        <f t="shared" si="1"/>
        <v>#REF!</v>
      </c>
      <c r="AS5" s="100" t="e">
        <f t="shared" si="1"/>
        <v>#REF!</v>
      </c>
      <c r="AT5" s="100" t="e">
        <f t="shared" si="1"/>
        <v>#REF!</v>
      </c>
      <c r="AU5" s="100" t="e">
        <f t="shared" si="1"/>
        <v>#REF!</v>
      </c>
      <c r="AV5" s="100" t="e">
        <f t="shared" si="1"/>
        <v>#REF!</v>
      </c>
      <c r="AW5" s="100" t="e">
        <f t="shared" si="1"/>
        <v>#REF!</v>
      </c>
      <c r="AX5" s="100" t="e">
        <f t="shared" si="1"/>
        <v>#REF!</v>
      </c>
      <c r="AY5" s="100" t="e">
        <f t="shared" si="1"/>
        <v>#REF!</v>
      </c>
      <c r="AZ5" s="100" t="e">
        <f t="shared" si="1"/>
        <v>#REF!</v>
      </c>
      <c r="BA5" s="100" t="e">
        <f t="shared" si="1"/>
        <v>#REF!</v>
      </c>
      <c r="BB5" s="100" t="e">
        <f t="shared" si="1"/>
        <v>#REF!</v>
      </c>
      <c r="BC5" s="100" t="e">
        <f t="shared" si="1"/>
        <v>#REF!</v>
      </c>
      <c r="BD5" s="100" t="e">
        <f t="shared" si="1"/>
        <v>#REF!</v>
      </c>
      <c r="BE5" s="100" t="e">
        <f t="shared" si="1"/>
        <v>#REF!</v>
      </c>
      <c r="BF5" s="100" t="e">
        <f t="shared" si="1"/>
        <v>#REF!</v>
      </c>
      <c r="BG5" s="100" t="e">
        <f t="shared" si="1"/>
        <v>#REF!</v>
      </c>
      <c r="BH5" s="100" t="e">
        <f t="shared" si="1"/>
        <v>#REF!</v>
      </c>
      <c r="BI5" s="100" t="e">
        <f t="shared" si="1"/>
        <v>#REF!</v>
      </c>
      <c r="BJ5" s="100" t="e">
        <f t="shared" si="1"/>
        <v>#REF!</v>
      </c>
      <c r="BK5" s="100" t="e">
        <f t="shared" si="1"/>
        <v>#REF!</v>
      </c>
      <c r="BL5" s="100" t="e">
        <f t="shared" si="1"/>
        <v>#REF!</v>
      </c>
      <c r="BM5" s="100" t="e">
        <f t="shared" si="1"/>
        <v>#REF!</v>
      </c>
      <c r="BN5" s="100" t="e">
        <f t="shared" si="1"/>
        <v>#REF!</v>
      </c>
    </row>
    <row r="6" spans="1:66">
      <c r="A6" t="s">
        <v>307</v>
      </c>
      <c r="C6" t="s">
        <v>320</v>
      </c>
      <c r="D6" s="102"/>
      <c r="E6" s="21"/>
      <c r="F6" s="21">
        <f>'Fuel Price Worksheet'!E19</f>
        <v>0</v>
      </c>
      <c r="G6" s="102">
        <f>'Fuel Price Worksheet'!F19</f>
        <v>0</v>
      </c>
      <c r="H6" s="102">
        <f>'Fuel Price Worksheet'!G19</f>
        <v>0</v>
      </c>
      <c r="I6" s="102">
        <f>'Fuel Price Worksheet'!H19</f>
        <v>0</v>
      </c>
      <c r="J6" s="102">
        <f>'Fuel Price Worksheet'!I19</f>
        <v>0</v>
      </c>
      <c r="K6" s="102">
        <f>'Fuel Price Worksheet'!J19</f>
        <v>0</v>
      </c>
      <c r="L6" s="102">
        <f>'Fuel Price Worksheet'!K19</f>
        <v>0</v>
      </c>
      <c r="M6" s="102">
        <f>'Fuel Price Worksheet'!L19</f>
        <v>0</v>
      </c>
      <c r="N6" s="102">
        <f>'Fuel Price Worksheet'!M19</f>
        <v>0</v>
      </c>
      <c r="O6" s="102">
        <f>'Fuel Price Worksheet'!N19</f>
        <v>0</v>
      </c>
      <c r="P6" s="102">
        <f>'Fuel Price Worksheet'!O19</f>
        <v>0</v>
      </c>
      <c r="Q6" s="102">
        <f>'Fuel Price Worksheet'!P19</f>
        <v>0</v>
      </c>
      <c r="R6" s="102">
        <f>'Fuel Price Worksheet'!Q19</f>
        <v>0</v>
      </c>
      <c r="S6" s="102">
        <f>'Fuel Price Worksheet'!R19</f>
        <v>0</v>
      </c>
      <c r="T6" s="102">
        <f>'Fuel Price Worksheet'!S19</f>
        <v>0</v>
      </c>
      <c r="U6" s="102">
        <f>'Fuel Price Worksheet'!T19</f>
        <v>0</v>
      </c>
      <c r="V6" s="102">
        <f>'Fuel Price Worksheet'!U19</f>
        <v>0</v>
      </c>
      <c r="W6" s="102">
        <f>'Fuel Price Worksheet'!V19</f>
        <v>0</v>
      </c>
      <c r="X6" s="102">
        <f>'Fuel Price Worksheet'!W19</f>
        <v>0</v>
      </c>
      <c r="Y6" s="102">
        <f>'Fuel Price Worksheet'!X19</f>
        <v>0</v>
      </c>
      <c r="Z6" s="102">
        <f>'Fuel Price Worksheet'!Y19</f>
        <v>0</v>
      </c>
      <c r="AA6" s="102">
        <f>'Fuel Price Worksheet'!Z19</f>
        <v>0</v>
      </c>
      <c r="AB6" s="102">
        <f>'Fuel Price Worksheet'!AA19</f>
        <v>0</v>
      </c>
      <c r="AC6" s="102">
        <f>'Fuel Price Worksheet'!AB19</f>
        <v>0</v>
      </c>
      <c r="AD6" s="102">
        <f>'Fuel Price Worksheet'!AC19</f>
        <v>0</v>
      </c>
      <c r="AE6" s="102">
        <f>'Fuel Price Worksheet'!AD19</f>
        <v>0</v>
      </c>
      <c r="AF6" s="102">
        <f>'Fuel Price Worksheet'!AE19</f>
        <v>0</v>
      </c>
      <c r="AG6" s="102">
        <f>'Fuel Price Worksheet'!AF19</f>
        <v>0</v>
      </c>
      <c r="AH6" s="102">
        <f>'Fuel Price Worksheet'!AG19</f>
        <v>0</v>
      </c>
      <c r="AI6" s="102">
        <f>'Fuel Price Worksheet'!AH19</f>
        <v>0</v>
      </c>
      <c r="AJ6" s="102">
        <f>'Fuel Price Worksheet'!AI19</f>
        <v>0</v>
      </c>
      <c r="AK6" s="102">
        <f>'Fuel Price Worksheet'!AJ19</f>
        <v>0</v>
      </c>
      <c r="AL6" s="102">
        <f>'Fuel Price Worksheet'!AK19</f>
        <v>0</v>
      </c>
      <c r="AM6" s="102">
        <f>'Fuel Price Worksheet'!AL19</f>
        <v>0</v>
      </c>
      <c r="AN6" s="102">
        <f>'Fuel Price Worksheet'!AM19</f>
        <v>0</v>
      </c>
      <c r="AO6" s="102">
        <f>'Fuel Price Worksheet'!AN19</f>
        <v>0</v>
      </c>
      <c r="AP6" s="102">
        <f>'Fuel Price Worksheet'!AO19</f>
        <v>0</v>
      </c>
      <c r="AQ6" s="102">
        <f>'Fuel Price Worksheet'!AP19</f>
        <v>0</v>
      </c>
      <c r="AR6" s="102">
        <f>'Fuel Price Worksheet'!AQ19</f>
        <v>0</v>
      </c>
      <c r="AS6" s="102">
        <f>'Fuel Price Worksheet'!AR19</f>
        <v>0</v>
      </c>
      <c r="AT6" s="102">
        <f>'Fuel Price Worksheet'!AS19</f>
        <v>0</v>
      </c>
      <c r="AU6" s="102">
        <f>'Fuel Price Worksheet'!AT19</f>
        <v>0</v>
      </c>
      <c r="AV6" s="102">
        <f>'Fuel Price Worksheet'!AU19</f>
        <v>0</v>
      </c>
      <c r="AW6" s="102">
        <f>'Fuel Price Worksheet'!AV19</f>
        <v>0</v>
      </c>
      <c r="AX6" s="102">
        <f>'Fuel Price Worksheet'!AW19</f>
        <v>0</v>
      </c>
      <c r="AY6" s="102">
        <f>'Fuel Price Worksheet'!AX19</f>
        <v>0</v>
      </c>
      <c r="AZ6" s="102">
        <f>'Fuel Price Worksheet'!AY19</f>
        <v>0</v>
      </c>
      <c r="BA6" s="102">
        <f>'Fuel Price Worksheet'!AZ19</f>
        <v>0</v>
      </c>
      <c r="BB6" s="102">
        <f>'Fuel Price Worksheet'!BA19</f>
        <v>0</v>
      </c>
      <c r="BC6" s="102">
        <f>'Fuel Price Worksheet'!BB19</f>
        <v>0</v>
      </c>
      <c r="BD6" s="102">
        <f>'Fuel Price Worksheet'!BC19</f>
        <v>0</v>
      </c>
      <c r="BE6" s="102">
        <f>'Fuel Price Worksheet'!BD19</f>
        <v>0</v>
      </c>
      <c r="BF6" s="102">
        <f>'Fuel Price Worksheet'!BE19</f>
        <v>0</v>
      </c>
      <c r="BG6" s="102">
        <f>'Fuel Price Worksheet'!BF19</f>
        <v>0</v>
      </c>
      <c r="BH6" s="102">
        <f>'Fuel Price Worksheet'!BG19</f>
        <v>0</v>
      </c>
      <c r="BI6" s="102">
        <f>'Fuel Price Worksheet'!BH19</f>
        <v>0</v>
      </c>
      <c r="BJ6" s="102">
        <f>'Fuel Price Worksheet'!BI19</f>
        <v>0</v>
      </c>
      <c r="BK6" s="102">
        <f>'Fuel Price Worksheet'!BJ19</f>
        <v>0</v>
      </c>
      <c r="BL6" s="102">
        <f>'Fuel Price Worksheet'!BK19</f>
        <v>0</v>
      </c>
      <c r="BM6" s="102">
        <f>'Fuel Price Worksheet'!BL19</f>
        <v>0</v>
      </c>
      <c r="BN6" s="102">
        <f>'Fuel Price Worksheet'!BM19</f>
        <v>0</v>
      </c>
    </row>
    <row r="8" spans="1:66">
      <c r="D8" s="90"/>
    </row>
    <row r="10" spans="1:66">
      <c r="D10" s="90">
        <v>3</v>
      </c>
      <c r="E10">
        <v>4</v>
      </c>
      <c r="F10">
        <v>5</v>
      </c>
      <c r="G10">
        <v>6</v>
      </c>
      <c r="H10">
        <v>7</v>
      </c>
      <c r="I10">
        <v>8</v>
      </c>
      <c r="J10">
        <v>9</v>
      </c>
      <c r="K10">
        <v>10</v>
      </c>
      <c r="L10">
        <v>11</v>
      </c>
      <c r="M10">
        <v>12</v>
      </c>
      <c r="N10">
        <v>13</v>
      </c>
      <c r="O10">
        <v>14</v>
      </c>
      <c r="P10">
        <v>15</v>
      </c>
      <c r="Q10">
        <v>16</v>
      </c>
      <c r="R10">
        <v>17</v>
      </c>
      <c r="S10">
        <v>18</v>
      </c>
      <c r="T10">
        <v>19</v>
      </c>
      <c r="U10">
        <v>20</v>
      </c>
      <c r="V10">
        <v>21</v>
      </c>
      <c r="W10">
        <v>22</v>
      </c>
      <c r="X10">
        <v>23</v>
      </c>
      <c r="Y10">
        <v>24</v>
      </c>
      <c r="Z10">
        <v>25</v>
      </c>
      <c r="AA10">
        <v>26</v>
      </c>
      <c r="AB10">
        <v>27</v>
      </c>
      <c r="AC10">
        <v>28</v>
      </c>
      <c r="AD10">
        <v>29</v>
      </c>
      <c r="AE10">
        <v>30</v>
      </c>
      <c r="AF10" s="1">
        <v>31</v>
      </c>
      <c r="AG10" s="1">
        <v>32</v>
      </c>
      <c r="AH10" s="1">
        <v>33</v>
      </c>
      <c r="AI10" s="1">
        <v>34</v>
      </c>
      <c r="AJ10" s="1">
        <v>35</v>
      </c>
      <c r="AK10" s="1">
        <v>36</v>
      </c>
      <c r="AL10" s="1">
        <v>37</v>
      </c>
      <c r="AM10" s="1">
        <v>38</v>
      </c>
      <c r="AN10" s="1">
        <v>39</v>
      </c>
      <c r="AO10" s="1">
        <v>40</v>
      </c>
      <c r="AP10" s="1">
        <v>41</v>
      </c>
      <c r="AQ10" s="1">
        <v>42</v>
      </c>
      <c r="AR10" s="1">
        <v>43</v>
      </c>
      <c r="AS10" s="1">
        <v>44</v>
      </c>
      <c r="AT10" s="1">
        <v>45</v>
      </c>
      <c r="AU10" s="1">
        <v>46</v>
      </c>
      <c r="AV10" s="1">
        <v>47</v>
      </c>
      <c r="AW10" s="1">
        <v>48</v>
      </c>
      <c r="AX10" s="1">
        <v>49</v>
      </c>
      <c r="AY10" s="1">
        <v>50</v>
      </c>
      <c r="AZ10" s="1">
        <v>51</v>
      </c>
      <c r="BA10" s="1">
        <v>52</v>
      </c>
      <c r="BB10" s="1">
        <v>53</v>
      </c>
      <c r="BC10" s="1">
        <v>54</v>
      </c>
      <c r="BD10" s="1">
        <v>55</v>
      </c>
      <c r="BE10" s="1">
        <v>56</v>
      </c>
      <c r="BF10" s="1">
        <v>57</v>
      </c>
      <c r="BG10" s="1">
        <v>58</v>
      </c>
      <c r="BH10" s="1">
        <v>59</v>
      </c>
      <c r="BI10" s="1">
        <v>60</v>
      </c>
      <c r="BJ10" s="1">
        <v>61</v>
      </c>
      <c r="BK10" s="1">
        <v>62</v>
      </c>
      <c r="BL10" s="1">
        <v>63</v>
      </c>
      <c r="BM10" s="1">
        <v>64</v>
      </c>
      <c r="BN10" s="1">
        <v>65</v>
      </c>
    </row>
    <row r="11" spans="1:66" s="1" customFormat="1" ht="15">
      <c r="A11" s="2"/>
      <c r="D11" s="90"/>
    </row>
    <row r="12" spans="1:66" s="1" customFormat="1" ht="15">
      <c r="A12" s="38" t="s">
        <v>306</v>
      </c>
      <c r="B12" s="1" t="s">
        <v>312</v>
      </c>
      <c r="D12" s="99">
        <v>2008</v>
      </c>
      <c r="E12" s="15">
        <v>2009</v>
      </c>
      <c r="F12" s="15">
        <v>2010</v>
      </c>
      <c r="G12" s="15">
        <v>2011</v>
      </c>
      <c r="H12" s="15">
        <v>2012</v>
      </c>
      <c r="I12" s="15">
        <v>2013</v>
      </c>
      <c r="J12" s="15">
        <v>2014</v>
      </c>
      <c r="K12" s="15">
        <v>2015</v>
      </c>
      <c r="L12" s="15">
        <v>2016</v>
      </c>
      <c r="M12" s="15">
        <v>2017</v>
      </c>
      <c r="N12" s="15">
        <v>2018</v>
      </c>
      <c r="O12" s="15">
        <v>2019</v>
      </c>
      <c r="P12" s="15">
        <v>2020</v>
      </c>
      <c r="Q12" s="15">
        <v>2021</v>
      </c>
      <c r="R12" s="15">
        <v>2022</v>
      </c>
      <c r="S12" s="15">
        <v>2023</v>
      </c>
      <c r="T12" s="15">
        <v>2024</v>
      </c>
      <c r="U12" s="15">
        <v>2025</v>
      </c>
      <c r="V12" s="15">
        <v>2026</v>
      </c>
      <c r="W12" s="15">
        <v>2027</v>
      </c>
      <c r="X12" s="15">
        <v>2028</v>
      </c>
      <c r="Y12" s="15">
        <v>2029</v>
      </c>
      <c r="Z12" s="15">
        <v>2030</v>
      </c>
      <c r="AA12" s="15">
        <v>2031</v>
      </c>
      <c r="AB12" s="15">
        <v>2032</v>
      </c>
      <c r="AC12" s="15">
        <v>2033</v>
      </c>
      <c r="AD12" s="15">
        <v>2034</v>
      </c>
      <c r="AE12" s="15">
        <v>2035</v>
      </c>
      <c r="AF12" s="15">
        <v>2036</v>
      </c>
      <c r="AG12" s="15">
        <v>2037</v>
      </c>
      <c r="AH12" s="15">
        <v>2038</v>
      </c>
      <c r="AI12" s="15">
        <v>2039</v>
      </c>
      <c r="AJ12" s="15">
        <v>2040</v>
      </c>
      <c r="AK12" s="15">
        <v>2041</v>
      </c>
      <c r="AL12" s="15">
        <v>2042</v>
      </c>
      <c r="AM12" s="15">
        <v>2043</v>
      </c>
      <c r="AN12" s="15">
        <v>2044</v>
      </c>
      <c r="AO12" s="15">
        <v>2045</v>
      </c>
      <c r="AP12" s="15">
        <v>2046</v>
      </c>
      <c r="AQ12" s="15">
        <v>2047</v>
      </c>
      <c r="AR12" s="15">
        <v>2048</v>
      </c>
      <c r="AS12" s="15">
        <v>2049</v>
      </c>
      <c r="AT12" s="15">
        <v>2050</v>
      </c>
      <c r="AU12" s="15">
        <v>2051</v>
      </c>
      <c r="AV12" s="15">
        <v>2052</v>
      </c>
      <c r="AW12" s="15">
        <v>2053</v>
      </c>
      <c r="AX12" s="15">
        <v>2054</v>
      </c>
      <c r="AY12" s="15">
        <v>2055</v>
      </c>
      <c r="AZ12" s="15">
        <v>2056</v>
      </c>
      <c r="BA12" s="15">
        <v>2057</v>
      </c>
      <c r="BB12" s="15">
        <v>2058</v>
      </c>
      <c r="BC12" s="15">
        <v>2059</v>
      </c>
      <c r="BD12" s="15">
        <v>2060</v>
      </c>
      <c r="BE12" s="15">
        <v>2061</v>
      </c>
      <c r="BF12" s="15">
        <v>2062</v>
      </c>
      <c r="BG12" s="15">
        <v>2063</v>
      </c>
      <c r="BH12" s="15">
        <v>2064</v>
      </c>
      <c r="BI12" s="15">
        <v>2065</v>
      </c>
      <c r="BJ12" s="15">
        <v>2066</v>
      </c>
      <c r="BK12" s="15">
        <v>2067</v>
      </c>
      <c r="BL12" s="15">
        <v>2068</v>
      </c>
      <c r="BM12" s="15">
        <v>2069</v>
      </c>
      <c r="BN12" s="15">
        <v>2070</v>
      </c>
    </row>
    <row r="13" spans="1:66" s="1" customFormat="1" ht="15">
      <c r="A13" s="38"/>
      <c r="D13" s="110"/>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row>
    <row r="14" spans="1:66" s="1" customFormat="1">
      <c r="A14" s="11" t="s">
        <v>386</v>
      </c>
      <c r="C14" s="50" t="s">
        <v>554</v>
      </c>
      <c r="D14" s="102"/>
      <c r="E14" s="22"/>
      <c r="F14" s="22" t="e">
        <f>VLOOKUP(#REF!,'Fuel Price Worksheet'!$A$18:$BR$23,F10, 0)</f>
        <v>#REF!</v>
      </c>
      <c r="G14" s="102" t="e">
        <f>VLOOKUP(#REF!,'Fuel Price Worksheet'!$A$18:$BR$23,G10, 0)</f>
        <v>#REF!</v>
      </c>
      <c r="H14" s="102" t="e">
        <f>VLOOKUP(#REF!,'Fuel Price Worksheet'!$A$18:$BR$23,H10, 0)</f>
        <v>#REF!</v>
      </c>
      <c r="I14" s="102" t="e">
        <f>VLOOKUP(#REF!,'Fuel Price Worksheet'!$A$18:$BR$23,I10, 0)</f>
        <v>#REF!</v>
      </c>
      <c r="J14" s="102" t="e">
        <f>VLOOKUP(#REF!,'Fuel Price Worksheet'!$A$18:$BR$23,J10, 0)</f>
        <v>#REF!</v>
      </c>
      <c r="K14" s="102" t="e">
        <f>VLOOKUP(#REF!,'Fuel Price Worksheet'!$A$18:$BR$23,K10, 0)</f>
        <v>#REF!</v>
      </c>
      <c r="L14" s="102" t="e">
        <f>VLOOKUP(#REF!,'Fuel Price Worksheet'!$A$18:$BR$23,L10, 0)</f>
        <v>#REF!</v>
      </c>
      <c r="M14" s="102" t="e">
        <f>VLOOKUP(#REF!,'Fuel Price Worksheet'!$A$18:$BR$23,M10, 0)</f>
        <v>#REF!</v>
      </c>
      <c r="N14" s="102" t="e">
        <f>VLOOKUP(#REF!,'Fuel Price Worksheet'!$A$18:$BR$23,N10, 0)</f>
        <v>#REF!</v>
      </c>
      <c r="O14" s="102" t="e">
        <f>VLOOKUP(#REF!,'Fuel Price Worksheet'!$A$18:$BR$23,O10, 0)</f>
        <v>#REF!</v>
      </c>
      <c r="P14" s="102" t="e">
        <f>VLOOKUP(#REF!,'Fuel Price Worksheet'!$A$18:$BR$23,P10, 0)</f>
        <v>#REF!</v>
      </c>
      <c r="Q14" s="102" t="e">
        <f>VLOOKUP(#REF!,'Fuel Price Worksheet'!$A$18:$BR$23,Q10, 0)</f>
        <v>#REF!</v>
      </c>
      <c r="R14" s="102" t="e">
        <f>VLOOKUP(#REF!,'Fuel Price Worksheet'!$A$18:$BR$23,R10, 0)</f>
        <v>#REF!</v>
      </c>
      <c r="S14" s="102" t="e">
        <f>VLOOKUP(#REF!,'Fuel Price Worksheet'!$A$18:$BR$23,S10, 0)</f>
        <v>#REF!</v>
      </c>
      <c r="T14" s="102" t="e">
        <f>VLOOKUP(#REF!,'Fuel Price Worksheet'!$A$18:$BR$23,T10, 0)</f>
        <v>#REF!</v>
      </c>
      <c r="U14" s="102" t="e">
        <f>VLOOKUP(#REF!,'Fuel Price Worksheet'!$A$18:$BR$23,U10, 0)</f>
        <v>#REF!</v>
      </c>
      <c r="V14" s="102" t="e">
        <f>VLOOKUP(#REF!,'Fuel Price Worksheet'!$A$18:$BR$23,V10, 0)</f>
        <v>#REF!</v>
      </c>
      <c r="W14" s="102" t="e">
        <f>VLOOKUP(#REF!,'Fuel Price Worksheet'!$A$18:$BR$23,W10, 0)</f>
        <v>#REF!</v>
      </c>
      <c r="X14" s="102" t="e">
        <f>VLOOKUP(#REF!,'Fuel Price Worksheet'!$A$18:$BR$23,X10, 0)</f>
        <v>#REF!</v>
      </c>
      <c r="Y14" s="102" t="e">
        <f>VLOOKUP(#REF!,'Fuel Price Worksheet'!$A$18:$BR$23,Y10, 0)</f>
        <v>#REF!</v>
      </c>
      <c r="Z14" s="102" t="e">
        <f>VLOOKUP(#REF!,'Fuel Price Worksheet'!$A$18:$BR$23,Z10, 0)</f>
        <v>#REF!</v>
      </c>
      <c r="AA14" s="102" t="e">
        <f>VLOOKUP(#REF!,'Fuel Price Worksheet'!$A$18:$BR$23,AA10, 0)</f>
        <v>#REF!</v>
      </c>
      <c r="AB14" s="102" t="e">
        <f>VLOOKUP(#REF!,'Fuel Price Worksheet'!$A$18:$BR$23,AB10, 0)</f>
        <v>#REF!</v>
      </c>
      <c r="AC14" s="102" t="e">
        <f>VLOOKUP(#REF!,'Fuel Price Worksheet'!$A$18:$BR$23,AC10, 0)</f>
        <v>#REF!</v>
      </c>
      <c r="AD14" s="102" t="e">
        <f>VLOOKUP(#REF!,'Fuel Price Worksheet'!$A$18:$BR$23,AD10, 0)</f>
        <v>#REF!</v>
      </c>
      <c r="AE14" s="102" t="e">
        <f>VLOOKUP(#REF!,'Fuel Price Worksheet'!$A$18:$BR$23,AE10, 0)</f>
        <v>#REF!</v>
      </c>
      <c r="AF14" s="102" t="e">
        <f>VLOOKUP(#REF!,'Fuel Price Worksheet'!$A$18:$BR$23,AF10, 0)</f>
        <v>#REF!</v>
      </c>
      <c r="AG14" s="102" t="e">
        <f>VLOOKUP(#REF!,'Fuel Price Worksheet'!$A$18:$BR$23,AG10, 0)</f>
        <v>#REF!</v>
      </c>
      <c r="AH14" s="102" t="e">
        <f>VLOOKUP(#REF!,'Fuel Price Worksheet'!$A$18:$BR$23,AH10, 0)</f>
        <v>#REF!</v>
      </c>
      <c r="AI14" s="102" t="e">
        <f>VLOOKUP(#REF!,'Fuel Price Worksheet'!$A$18:$BR$23,AI10, 0)</f>
        <v>#REF!</v>
      </c>
      <c r="AJ14" s="102" t="e">
        <f>VLOOKUP(#REF!,'Fuel Price Worksheet'!$A$18:$BR$23,AJ10, 0)</f>
        <v>#REF!</v>
      </c>
      <c r="AK14" s="102" t="e">
        <f>VLOOKUP(#REF!,'Fuel Price Worksheet'!$A$18:$BR$23,AK10, 0)</f>
        <v>#REF!</v>
      </c>
      <c r="AL14" s="102" t="e">
        <f>VLOOKUP(#REF!,'Fuel Price Worksheet'!$A$18:$BR$23,AL10, 0)</f>
        <v>#REF!</v>
      </c>
      <c r="AM14" s="102" t="e">
        <f>VLOOKUP(#REF!,'Fuel Price Worksheet'!$A$18:$BR$23,AM10, 0)</f>
        <v>#REF!</v>
      </c>
      <c r="AN14" s="102" t="e">
        <f>VLOOKUP(#REF!,'Fuel Price Worksheet'!$A$18:$BR$23,AN10, 0)</f>
        <v>#REF!</v>
      </c>
      <c r="AO14" s="102" t="e">
        <f>VLOOKUP(#REF!,'Fuel Price Worksheet'!$A$18:$BR$23,AO10, 0)</f>
        <v>#REF!</v>
      </c>
      <c r="AP14" s="102" t="e">
        <f>VLOOKUP(#REF!,'Fuel Price Worksheet'!$A$18:$BR$23,AP10, 0)</f>
        <v>#REF!</v>
      </c>
      <c r="AQ14" s="102" t="e">
        <f>VLOOKUP(#REF!,'Fuel Price Worksheet'!$A$18:$BR$23,AQ10, 0)</f>
        <v>#REF!</v>
      </c>
      <c r="AR14" s="102" t="e">
        <f>VLOOKUP(#REF!,'Fuel Price Worksheet'!$A$18:$BR$23,AR10, 0)</f>
        <v>#REF!</v>
      </c>
      <c r="AS14" s="102" t="e">
        <f>VLOOKUP(#REF!,'Fuel Price Worksheet'!$A$18:$BR$23,AS10, 0)</f>
        <v>#REF!</v>
      </c>
      <c r="AT14" s="102" t="e">
        <f>VLOOKUP(#REF!,'Fuel Price Worksheet'!$A$18:$BR$23,AT10, 0)</f>
        <v>#REF!</v>
      </c>
      <c r="AU14" s="102" t="e">
        <f>VLOOKUP(#REF!,'Fuel Price Worksheet'!$A$18:$BR$23,AU10, 0)</f>
        <v>#REF!</v>
      </c>
      <c r="AV14" s="102" t="e">
        <f>VLOOKUP(#REF!,'Fuel Price Worksheet'!$A$18:$BR$23,AV10, 0)</f>
        <v>#REF!</v>
      </c>
      <c r="AW14" s="102" t="e">
        <f>VLOOKUP(#REF!,'Fuel Price Worksheet'!$A$18:$BR$23,AW10, 0)</f>
        <v>#REF!</v>
      </c>
      <c r="AX14" s="102" t="e">
        <f>VLOOKUP(#REF!,'Fuel Price Worksheet'!$A$18:$BR$23,AX10, 0)</f>
        <v>#REF!</v>
      </c>
      <c r="AY14" s="102" t="e">
        <f>VLOOKUP(#REF!,'Fuel Price Worksheet'!$A$18:$BR$23,AY10, 0)</f>
        <v>#REF!</v>
      </c>
      <c r="AZ14" s="102" t="e">
        <f>VLOOKUP(#REF!,'Fuel Price Worksheet'!$A$18:$BR$23,AZ10, 0)</f>
        <v>#REF!</v>
      </c>
      <c r="BA14" s="102" t="e">
        <f>VLOOKUP(#REF!,'Fuel Price Worksheet'!$A$18:$BR$23,BA10, 0)</f>
        <v>#REF!</v>
      </c>
      <c r="BB14" s="102" t="e">
        <f>VLOOKUP(#REF!,'Fuel Price Worksheet'!$A$18:$BR$23,BB10, 0)</f>
        <v>#REF!</v>
      </c>
      <c r="BC14" s="102" t="e">
        <f>VLOOKUP(#REF!,'Fuel Price Worksheet'!$A$18:$BR$23,BC10, 0)</f>
        <v>#REF!</v>
      </c>
      <c r="BD14" s="102" t="e">
        <f>VLOOKUP(#REF!,'Fuel Price Worksheet'!$A$18:$BR$23,BD10, 0)</f>
        <v>#REF!</v>
      </c>
      <c r="BE14" s="102" t="e">
        <f>VLOOKUP(#REF!,'Fuel Price Worksheet'!$A$18:$BR$23,BE10, 0)</f>
        <v>#REF!</v>
      </c>
      <c r="BF14" s="102" t="e">
        <f>VLOOKUP(#REF!,'Fuel Price Worksheet'!$A$18:$BR$23,BF10, 0)</f>
        <v>#REF!</v>
      </c>
      <c r="BG14" s="102" t="e">
        <f>VLOOKUP(#REF!,'Fuel Price Worksheet'!$A$18:$BR$23,BG10, 0)</f>
        <v>#REF!</v>
      </c>
      <c r="BH14" s="102" t="e">
        <f>VLOOKUP(#REF!,'Fuel Price Worksheet'!$A$18:$BR$23,BH10, 0)</f>
        <v>#REF!</v>
      </c>
      <c r="BI14" s="102" t="e">
        <f>VLOOKUP(#REF!,'Fuel Price Worksheet'!$A$18:$BR$23,BI10, 0)</f>
        <v>#REF!</v>
      </c>
      <c r="BJ14" s="102" t="e">
        <f>VLOOKUP(#REF!,'Fuel Price Worksheet'!$A$18:$BR$23,BJ10, 0)</f>
        <v>#REF!</v>
      </c>
      <c r="BK14" s="102" t="e">
        <f>VLOOKUP(#REF!,'Fuel Price Worksheet'!$A$18:$BR$23,BK10, 0)</f>
        <v>#REF!</v>
      </c>
      <c r="BL14" s="102" t="e">
        <f>VLOOKUP(#REF!,'Fuel Price Worksheet'!$A$18:$BR$23,BL10, 0)</f>
        <v>#REF!</v>
      </c>
      <c r="BM14" s="102" t="e">
        <f>VLOOKUP(#REF!,'Fuel Price Worksheet'!$A$18:$BR$23,BM10, 0)</f>
        <v>#REF!</v>
      </c>
      <c r="BN14" s="102" t="e">
        <f>VLOOKUP(#REF!,'Fuel Price Worksheet'!$A$18:$BR$23,BN10, 0)</f>
        <v>#REF!</v>
      </c>
    </row>
    <row r="15" spans="1:66" s="1" customFormat="1">
      <c r="A15" s="40" t="s">
        <v>421</v>
      </c>
      <c r="C15" s="50" t="s">
        <v>554</v>
      </c>
      <c r="D15" s="102"/>
      <c r="E15" s="22"/>
      <c r="F15" s="22" t="e">
        <f>VLOOKUP(#REF!,#REF!,F10,0)</f>
        <v>#REF!</v>
      </c>
      <c r="G15" s="22" t="e">
        <f>VLOOKUP(#REF!,#REF!,G10,0)</f>
        <v>#REF!</v>
      </c>
      <c r="H15" s="22" t="e">
        <f>VLOOKUP(#REF!,#REF!,H10,0)</f>
        <v>#REF!</v>
      </c>
      <c r="I15" s="22" t="e">
        <f>VLOOKUP(#REF!,#REF!,I10,0)</f>
        <v>#REF!</v>
      </c>
      <c r="J15" s="22" t="e">
        <f>VLOOKUP(#REF!,#REF!,J10,0)</f>
        <v>#REF!</v>
      </c>
      <c r="K15" s="22" t="e">
        <f>VLOOKUP(#REF!,#REF!,K10,0)</f>
        <v>#REF!</v>
      </c>
      <c r="L15" s="22" t="e">
        <f>VLOOKUP(#REF!,#REF!,L10,0)</f>
        <v>#REF!</v>
      </c>
      <c r="M15" s="22" t="e">
        <f>VLOOKUP(#REF!,#REF!,M10,0)</f>
        <v>#REF!</v>
      </c>
      <c r="N15" s="22" t="e">
        <f>VLOOKUP(#REF!,#REF!,N10,0)</f>
        <v>#REF!</v>
      </c>
      <c r="O15" s="22" t="e">
        <f>VLOOKUP(#REF!,#REF!,O10,0)</f>
        <v>#REF!</v>
      </c>
      <c r="P15" s="22" t="e">
        <f>VLOOKUP(#REF!,#REF!,P10,0)</f>
        <v>#REF!</v>
      </c>
      <c r="Q15" s="22" t="e">
        <f>VLOOKUP(#REF!,#REF!,Q10,0)</f>
        <v>#REF!</v>
      </c>
      <c r="R15" s="22" t="e">
        <f>VLOOKUP(#REF!,#REF!,R10,0)</f>
        <v>#REF!</v>
      </c>
      <c r="S15" s="22" t="e">
        <f>VLOOKUP(#REF!,#REF!,S10,0)</f>
        <v>#REF!</v>
      </c>
      <c r="T15" s="22" t="e">
        <f>VLOOKUP(#REF!,#REF!,T10,0)</f>
        <v>#REF!</v>
      </c>
      <c r="U15" s="22" t="e">
        <f>VLOOKUP(#REF!,#REF!,U10,0)</f>
        <v>#REF!</v>
      </c>
      <c r="V15" s="22" t="e">
        <f>VLOOKUP(#REF!,#REF!,V10,0)</f>
        <v>#REF!</v>
      </c>
      <c r="W15" s="22" t="e">
        <f>VLOOKUP(#REF!,#REF!,W10,0)</f>
        <v>#REF!</v>
      </c>
      <c r="X15" s="22" t="e">
        <f>VLOOKUP(#REF!,#REF!,X10,0)</f>
        <v>#REF!</v>
      </c>
      <c r="Y15" s="22" t="e">
        <f>VLOOKUP(#REF!,#REF!,Y10,0)</f>
        <v>#REF!</v>
      </c>
      <c r="Z15" s="22" t="e">
        <f>VLOOKUP(#REF!,#REF!,Z10,0)</f>
        <v>#REF!</v>
      </c>
      <c r="AA15" s="22" t="e">
        <f>VLOOKUP(#REF!,#REF!,AA10,0)</f>
        <v>#REF!</v>
      </c>
      <c r="AB15" s="22" t="e">
        <f>VLOOKUP(#REF!,#REF!,AB10,0)</f>
        <v>#REF!</v>
      </c>
      <c r="AC15" s="22" t="e">
        <f>VLOOKUP(#REF!,#REF!,AC10,0)</f>
        <v>#REF!</v>
      </c>
      <c r="AD15" s="22" t="e">
        <f>VLOOKUP(#REF!,#REF!,AD10,0)</f>
        <v>#REF!</v>
      </c>
      <c r="AE15" s="22" t="e">
        <f>VLOOKUP(#REF!,#REF!,AE10,0)</f>
        <v>#REF!</v>
      </c>
      <c r="AF15" s="22" t="e">
        <f>VLOOKUP(#REF!,#REF!,AF10,0)</f>
        <v>#REF!</v>
      </c>
      <c r="AG15" s="22" t="e">
        <f>VLOOKUP(#REF!,#REF!,AG10,0)</f>
        <v>#REF!</v>
      </c>
      <c r="AH15" s="22" t="e">
        <f>VLOOKUP(#REF!,#REF!,AH10,0)</f>
        <v>#REF!</v>
      </c>
      <c r="AI15" s="22" t="e">
        <f>VLOOKUP(#REF!,#REF!,AI10,0)</f>
        <v>#REF!</v>
      </c>
      <c r="AJ15" s="22" t="e">
        <f>VLOOKUP(#REF!,#REF!,AJ10,0)</f>
        <v>#REF!</v>
      </c>
      <c r="AK15" s="22" t="e">
        <f>VLOOKUP(#REF!,#REF!,AK10,0)</f>
        <v>#REF!</v>
      </c>
      <c r="AL15" s="22" t="e">
        <f>VLOOKUP(#REF!,#REF!,AL10,0)</f>
        <v>#REF!</v>
      </c>
      <c r="AM15" s="22" t="e">
        <f>VLOOKUP(#REF!,#REF!,AM10,0)</f>
        <v>#REF!</v>
      </c>
      <c r="AN15" s="22" t="e">
        <f>VLOOKUP(#REF!,#REF!,AN10,0)</f>
        <v>#REF!</v>
      </c>
      <c r="AO15" s="22" t="e">
        <f>VLOOKUP(#REF!,#REF!,AO10,0)</f>
        <v>#REF!</v>
      </c>
      <c r="AP15" s="22" t="e">
        <f>VLOOKUP(#REF!,#REF!,AP10,0)</f>
        <v>#REF!</v>
      </c>
      <c r="AQ15" s="22" t="e">
        <f>VLOOKUP(#REF!,#REF!,AQ10,0)</f>
        <v>#REF!</v>
      </c>
      <c r="AR15" s="22" t="e">
        <f>VLOOKUP(#REF!,#REF!,AR10,0)</f>
        <v>#REF!</v>
      </c>
      <c r="AS15" s="22" t="e">
        <f>VLOOKUP(#REF!,#REF!,AS10,0)</f>
        <v>#REF!</v>
      </c>
      <c r="AT15" s="22" t="e">
        <f>VLOOKUP(#REF!,#REF!,AT10,0)</f>
        <v>#REF!</v>
      </c>
      <c r="AU15" s="22" t="e">
        <f>VLOOKUP(#REF!,#REF!,AU10,0)</f>
        <v>#REF!</v>
      </c>
      <c r="AV15" s="22" t="e">
        <f>VLOOKUP(#REF!,#REF!,AV10,0)</f>
        <v>#REF!</v>
      </c>
      <c r="AW15" s="22" t="e">
        <f>VLOOKUP(#REF!,#REF!,AW10,0)</f>
        <v>#REF!</v>
      </c>
      <c r="AX15" s="22" t="e">
        <f>VLOOKUP(#REF!,#REF!,AX10,0)</f>
        <v>#REF!</v>
      </c>
      <c r="AY15" s="22" t="e">
        <f>VLOOKUP(#REF!,#REF!,AY10,0)</f>
        <v>#REF!</v>
      </c>
      <c r="AZ15" s="22" t="e">
        <f>VLOOKUP(#REF!,#REF!,AZ10,0)</f>
        <v>#REF!</v>
      </c>
      <c r="BA15" s="22" t="e">
        <f>VLOOKUP(#REF!,#REF!,BA10,0)</f>
        <v>#REF!</v>
      </c>
      <c r="BB15" s="22" t="e">
        <f>VLOOKUP(#REF!,#REF!,BB10,0)</f>
        <v>#REF!</v>
      </c>
      <c r="BC15" s="22" t="e">
        <f>VLOOKUP(#REF!,#REF!,BC10,0)</f>
        <v>#REF!</v>
      </c>
      <c r="BD15" s="22" t="e">
        <f>VLOOKUP(#REF!,#REF!,BD10,0)</f>
        <v>#REF!</v>
      </c>
      <c r="BE15" s="22" t="e">
        <f>VLOOKUP(#REF!,#REF!,BE10,0)</f>
        <v>#REF!</v>
      </c>
      <c r="BF15" s="22" t="e">
        <f>VLOOKUP(#REF!,#REF!,BF10,0)</f>
        <v>#REF!</v>
      </c>
      <c r="BG15" s="22" t="e">
        <f>VLOOKUP(#REF!,#REF!,BG10,0)</f>
        <v>#REF!</v>
      </c>
      <c r="BH15" s="22" t="e">
        <f>VLOOKUP(#REF!,#REF!,BH10,0)</f>
        <v>#REF!</v>
      </c>
      <c r="BI15" s="22" t="e">
        <f>VLOOKUP(#REF!,#REF!,BI10,0)</f>
        <v>#REF!</v>
      </c>
      <c r="BJ15" s="22" t="e">
        <f>VLOOKUP(#REF!,#REF!,BJ10,0)</f>
        <v>#REF!</v>
      </c>
      <c r="BK15" s="22" t="e">
        <f>VLOOKUP(#REF!,#REF!,BK10,0)</f>
        <v>#REF!</v>
      </c>
      <c r="BL15" s="22" t="e">
        <f>VLOOKUP(#REF!,#REF!,BL10,0)</f>
        <v>#REF!</v>
      </c>
      <c r="BM15" s="22" t="e">
        <f>VLOOKUP(#REF!,#REF!,BM10,0)</f>
        <v>#REF!</v>
      </c>
      <c r="BN15" s="22" t="e">
        <f>VLOOKUP(#REF!,#REF!,BN10,0)</f>
        <v>#REF!</v>
      </c>
    </row>
    <row r="16" spans="1:66" s="1" customFormat="1">
      <c r="A16" s="40" t="s">
        <v>424</v>
      </c>
      <c r="C16" s="50" t="s">
        <v>554</v>
      </c>
      <c r="D16" s="102"/>
      <c r="E16" s="22"/>
      <c r="F16" s="22" t="e">
        <f t="shared" ref="F16:BN16" si="2">SUM(F14:F15)</f>
        <v>#REF!</v>
      </c>
      <c r="G16" s="22" t="e">
        <f t="shared" si="2"/>
        <v>#REF!</v>
      </c>
      <c r="H16" s="22" t="e">
        <f t="shared" si="2"/>
        <v>#REF!</v>
      </c>
      <c r="I16" s="22" t="e">
        <f t="shared" si="2"/>
        <v>#REF!</v>
      </c>
      <c r="J16" s="22" t="e">
        <f t="shared" si="2"/>
        <v>#REF!</v>
      </c>
      <c r="K16" s="22" t="e">
        <f t="shared" si="2"/>
        <v>#REF!</v>
      </c>
      <c r="L16" s="22" t="e">
        <f t="shared" si="2"/>
        <v>#REF!</v>
      </c>
      <c r="M16" s="22" t="e">
        <f t="shared" si="2"/>
        <v>#REF!</v>
      </c>
      <c r="N16" s="22" t="e">
        <f t="shared" si="2"/>
        <v>#REF!</v>
      </c>
      <c r="O16" s="22" t="e">
        <f t="shared" si="2"/>
        <v>#REF!</v>
      </c>
      <c r="P16" s="22" t="e">
        <f t="shared" si="2"/>
        <v>#REF!</v>
      </c>
      <c r="Q16" s="22" t="e">
        <f t="shared" si="2"/>
        <v>#REF!</v>
      </c>
      <c r="R16" s="22" t="e">
        <f t="shared" si="2"/>
        <v>#REF!</v>
      </c>
      <c r="S16" s="22" t="e">
        <f t="shared" si="2"/>
        <v>#REF!</v>
      </c>
      <c r="T16" s="22" t="e">
        <f t="shared" si="2"/>
        <v>#REF!</v>
      </c>
      <c r="U16" s="22" t="e">
        <f t="shared" si="2"/>
        <v>#REF!</v>
      </c>
      <c r="V16" s="22" t="e">
        <f t="shared" si="2"/>
        <v>#REF!</v>
      </c>
      <c r="W16" s="22" t="e">
        <f t="shared" si="2"/>
        <v>#REF!</v>
      </c>
      <c r="X16" s="22" t="e">
        <f t="shared" si="2"/>
        <v>#REF!</v>
      </c>
      <c r="Y16" s="22" t="e">
        <f t="shared" si="2"/>
        <v>#REF!</v>
      </c>
      <c r="Z16" s="22" t="e">
        <f t="shared" si="2"/>
        <v>#REF!</v>
      </c>
      <c r="AA16" s="22" t="e">
        <f t="shared" si="2"/>
        <v>#REF!</v>
      </c>
      <c r="AB16" s="22" t="e">
        <f t="shared" si="2"/>
        <v>#REF!</v>
      </c>
      <c r="AC16" s="22" t="e">
        <f t="shared" si="2"/>
        <v>#REF!</v>
      </c>
      <c r="AD16" s="22" t="e">
        <f t="shared" si="2"/>
        <v>#REF!</v>
      </c>
      <c r="AE16" s="22" t="e">
        <f t="shared" si="2"/>
        <v>#REF!</v>
      </c>
      <c r="AF16" s="22" t="e">
        <f t="shared" si="2"/>
        <v>#REF!</v>
      </c>
      <c r="AG16" s="22" t="e">
        <f t="shared" si="2"/>
        <v>#REF!</v>
      </c>
      <c r="AH16" s="22" t="e">
        <f t="shared" si="2"/>
        <v>#REF!</v>
      </c>
      <c r="AI16" s="22" t="e">
        <f t="shared" si="2"/>
        <v>#REF!</v>
      </c>
      <c r="AJ16" s="22" t="e">
        <f t="shared" si="2"/>
        <v>#REF!</v>
      </c>
      <c r="AK16" s="22" t="e">
        <f t="shared" si="2"/>
        <v>#REF!</v>
      </c>
      <c r="AL16" s="22" t="e">
        <f t="shared" si="2"/>
        <v>#REF!</v>
      </c>
      <c r="AM16" s="22" t="e">
        <f t="shared" si="2"/>
        <v>#REF!</v>
      </c>
      <c r="AN16" s="22" t="e">
        <f t="shared" si="2"/>
        <v>#REF!</v>
      </c>
      <c r="AO16" s="22" t="e">
        <f t="shared" si="2"/>
        <v>#REF!</v>
      </c>
      <c r="AP16" s="22" t="e">
        <f t="shared" si="2"/>
        <v>#REF!</v>
      </c>
      <c r="AQ16" s="22" t="e">
        <f t="shared" si="2"/>
        <v>#REF!</v>
      </c>
      <c r="AR16" s="22" t="e">
        <f t="shared" si="2"/>
        <v>#REF!</v>
      </c>
      <c r="AS16" s="22" t="e">
        <f t="shared" si="2"/>
        <v>#REF!</v>
      </c>
      <c r="AT16" s="22" t="e">
        <f t="shared" si="2"/>
        <v>#REF!</v>
      </c>
      <c r="AU16" s="22" t="e">
        <f t="shared" si="2"/>
        <v>#REF!</v>
      </c>
      <c r="AV16" s="22" t="e">
        <f t="shared" si="2"/>
        <v>#REF!</v>
      </c>
      <c r="AW16" s="22" t="e">
        <f t="shared" si="2"/>
        <v>#REF!</v>
      </c>
      <c r="AX16" s="22" t="e">
        <f t="shared" si="2"/>
        <v>#REF!</v>
      </c>
      <c r="AY16" s="22" t="e">
        <f t="shared" si="2"/>
        <v>#REF!</v>
      </c>
      <c r="AZ16" s="22" t="e">
        <f t="shared" si="2"/>
        <v>#REF!</v>
      </c>
      <c r="BA16" s="22" t="e">
        <f t="shared" si="2"/>
        <v>#REF!</v>
      </c>
      <c r="BB16" s="22" t="e">
        <f t="shared" si="2"/>
        <v>#REF!</v>
      </c>
      <c r="BC16" s="22" t="e">
        <f t="shared" si="2"/>
        <v>#REF!</v>
      </c>
      <c r="BD16" s="22" t="e">
        <f t="shared" si="2"/>
        <v>#REF!</v>
      </c>
      <c r="BE16" s="22" t="e">
        <f t="shared" si="2"/>
        <v>#REF!</v>
      </c>
      <c r="BF16" s="22" t="e">
        <f t="shared" si="2"/>
        <v>#REF!</v>
      </c>
      <c r="BG16" s="22" t="e">
        <f t="shared" si="2"/>
        <v>#REF!</v>
      </c>
      <c r="BH16" s="22" t="e">
        <f t="shared" si="2"/>
        <v>#REF!</v>
      </c>
      <c r="BI16" s="22" t="e">
        <f t="shared" si="2"/>
        <v>#REF!</v>
      </c>
      <c r="BJ16" s="22" t="e">
        <f t="shared" si="2"/>
        <v>#REF!</v>
      </c>
      <c r="BK16" s="22" t="e">
        <f t="shared" si="2"/>
        <v>#REF!</v>
      </c>
      <c r="BL16" s="22" t="e">
        <f t="shared" si="2"/>
        <v>#REF!</v>
      </c>
      <c r="BM16" s="22" t="e">
        <f t="shared" si="2"/>
        <v>#REF!</v>
      </c>
      <c r="BN16" s="22" t="e">
        <f t="shared" si="2"/>
        <v>#REF!</v>
      </c>
    </row>
    <row r="17" spans="1:66" s="1" customFormat="1">
      <c r="A17" s="40" t="s">
        <v>526</v>
      </c>
      <c r="B17" s="45">
        <v>10640</v>
      </c>
      <c r="C17" s="44" t="s">
        <v>313</v>
      </c>
      <c r="D17" s="100"/>
      <c r="E17" s="17"/>
      <c r="F17" s="17" t="e">
        <f t="shared" ref="F17:AK17" si="3">F16*($B$17/1000000)</f>
        <v>#REF!</v>
      </c>
      <c r="G17" s="17" t="e">
        <f t="shared" si="3"/>
        <v>#REF!</v>
      </c>
      <c r="H17" s="17" t="e">
        <f t="shared" si="3"/>
        <v>#REF!</v>
      </c>
      <c r="I17" s="17" t="e">
        <f t="shared" si="3"/>
        <v>#REF!</v>
      </c>
      <c r="J17" s="17" t="e">
        <f t="shared" si="3"/>
        <v>#REF!</v>
      </c>
      <c r="K17" s="17" t="e">
        <f t="shared" si="3"/>
        <v>#REF!</v>
      </c>
      <c r="L17" s="17" t="e">
        <f t="shared" si="3"/>
        <v>#REF!</v>
      </c>
      <c r="M17" s="17" t="e">
        <f t="shared" si="3"/>
        <v>#REF!</v>
      </c>
      <c r="N17" s="17" t="e">
        <f t="shared" si="3"/>
        <v>#REF!</v>
      </c>
      <c r="O17" s="17" t="e">
        <f t="shared" si="3"/>
        <v>#REF!</v>
      </c>
      <c r="P17" s="17" t="e">
        <f t="shared" si="3"/>
        <v>#REF!</v>
      </c>
      <c r="Q17" s="17" t="e">
        <f t="shared" si="3"/>
        <v>#REF!</v>
      </c>
      <c r="R17" s="17" t="e">
        <f t="shared" si="3"/>
        <v>#REF!</v>
      </c>
      <c r="S17" s="17" t="e">
        <f t="shared" si="3"/>
        <v>#REF!</v>
      </c>
      <c r="T17" s="17" t="e">
        <f t="shared" si="3"/>
        <v>#REF!</v>
      </c>
      <c r="U17" s="17" t="e">
        <f t="shared" si="3"/>
        <v>#REF!</v>
      </c>
      <c r="V17" s="17" t="e">
        <f t="shared" si="3"/>
        <v>#REF!</v>
      </c>
      <c r="W17" s="17" t="e">
        <f t="shared" si="3"/>
        <v>#REF!</v>
      </c>
      <c r="X17" s="17" t="e">
        <f t="shared" si="3"/>
        <v>#REF!</v>
      </c>
      <c r="Y17" s="17" t="e">
        <f t="shared" si="3"/>
        <v>#REF!</v>
      </c>
      <c r="Z17" s="17" t="e">
        <f t="shared" si="3"/>
        <v>#REF!</v>
      </c>
      <c r="AA17" s="17" t="e">
        <f t="shared" si="3"/>
        <v>#REF!</v>
      </c>
      <c r="AB17" s="17" t="e">
        <f t="shared" si="3"/>
        <v>#REF!</v>
      </c>
      <c r="AC17" s="17" t="e">
        <f t="shared" si="3"/>
        <v>#REF!</v>
      </c>
      <c r="AD17" s="17" t="e">
        <f t="shared" si="3"/>
        <v>#REF!</v>
      </c>
      <c r="AE17" s="17" t="e">
        <f t="shared" si="3"/>
        <v>#REF!</v>
      </c>
      <c r="AF17" s="17" t="e">
        <f t="shared" si="3"/>
        <v>#REF!</v>
      </c>
      <c r="AG17" s="17" t="e">
        <f t="shared" si="3"/>
        <v>#REF!</v>
      </c>
      <c r="AH17" s="17" t="e">
        <f t="shared" si="3"/>
        <v>#REF!</v>
      </c>
      <c r="AI17" s="17" t="e">
        <f t="shared" si="3"/>
        <v>#REF!</v>
      </c>
      <c r="AJ17" s="17" t="e">
        <f t="shared" si="3"/>
        <v>#REF!</v>
      </c>
      <c r="AK17" s="17" t="e">
        <f t="shared" si="3"/>
        <v>#REF!</v>
      </c>
      <c r="AL17" s="17" t="e">
        <f t="shared" ref="AL17:BN17" si="4">AL16*($B$17/1000000)</f>
        <v>#REF!</v>
      </c>
      <c r="AM17" s="17" t="e">
        <f t="shared" si="4"/>
        <v>#REF!</v>
      </c>
      <c r="AN17" s="17" t="e">
        <f t="shared" si="4"/>
        <v>#REF!</v>
      </c>
      <c r="AO17" s="17" t="e">
        <f t="shared" si="4"/>
        <v>#REF!</v>
      </c>
      <c r="AP17" s="17" t="e">
        <f t="shared" si="4"/>
        <v>#REF!</v>
      </c>
      <c r="AQ17" s="17" t="e">
        <f t="shared" si="4"/>
        <v>#REF!</v>
      </c>
      <c r="AR17" s="17" t="e">
        <f t="shared" si="4"/>
        <v>#REF!</v>
      </c>
      <c r="AS17" s="17" t="e">
        <f t="shared" si="4"/>
        <v>#REF!</v>
      </c>
      <c r="AT17" s="17" t="e">
        <f t="shared" si="4"/>
        <v>#REF!</v>
      </c>
      <c r="AU17" s="17" t="e">
        <f t="shared" si="4"/>
        <v>#REF!</v>
      </c>
      <c r="AV17" s="17" t="e">
        <f t="shared" si="4"/>
        <v>#REF!</v>
      </c>
      <c r="AW17" s="17" t="e">
        <f t="shared" si="4"/>
        <v>#REF!</v>
      </c>
      <c r="AX17" s="17" t="e">
        <f t="shared" si="4"/>
        <v>#REF!</v>
      </c>
      <c r="AY17" s="17" t="e">
        <f t="shared" si="4"/>
        <v>#REF!</v>
      </c>
      <c r="AZ17" s="17" t="e">
        <f t="shared" si="4"/>
        <v>#REF!</v>
      </c>
      <c r="BA17" s="17" t="e">
        <f t="shared" si="4"/>
        <v>#REF!</v>
      </c>
      <c r="BB17" s="17" t="e">
        <f t="shared" si="4"/>
        <v>#REF!</v>
      </c>
      <c r="BC17" s="17" t="e">
        <f t="shared" si="4"/>
        <v>#REF!</v>
      </c>
      <c r="BD17" s="17" t="e">
        <f t="shared" si="4"/>
        <v>#REF!</v>
      </c>
      <c r="BE17" s="17" t="e">
        <f t="shared" si="4"/>
        <v>#REF!</v>
      </c>
      <c r="BF17" s="17" t="e">
        <f t="shared" si="4"/>
        <v>#REF!</v>
      </c>
      <c r="BG17" s="17" t="e">
        <f t="shared" si="4"/>
        <v>#REF!</v>
      </c>
      <c r="BH17" s="17" t="e">
        <f t="shared" si="4"/>
        <v>#REF!</v>
      </c>
      <c r="BI17" s="17" t="e">
        <f t="shared" si="4"/>
        <v>#REF!</v>
      </c>
      <c r="BJ17" s="17" t="e">
        <f t="shared" si="4"/>
        <v>#REF!</v>
      </c>
      <c r="BK17" s="17" t="e">
        <f t="shared" si="4"/>
        <v>#REF!</v>
      </c>
      <c r="BL17" s="17" t="e">
        <f t="shared" si="4"/>
        <v>#REF!</v>
      </c>
      <c r="BM17" s="17" t="e">
        <f t="shared" si="4"/>
        <v>#REF!</v>
      </c>
      <c r="BN17" s="17" t="e">
        <f t="shared" si="4"/>
        <v>#REF!</v>
      </c>
    </row>
    <row r="18" spans="1:66" s="1" customFormat="1">
      <c r="A18" s="40" t="s">
        <v>527</v>
      </c>
      <c r="B18" s="43">
        <v>5.0000000000000001E-3</v>
      </c>
      <c r="C18" s="44" t="s">
        <v>314</v>
      </c>
      <c r="D18" s="108"/>
      <c r="E18" s="31"/>
      <c r="F18" s="31">
        <f t="shared" ref="F18:BN18" si="5">$B$18</f>
        <v>5.0000000000000001E-3</v>
      </c>
      <c r="G18" s="31">
        <f t="shared" si="5"/>
        <v>5.0000000000000001E-3</v>
      </c>
      <c r="H18" s="31">
        <f t="shared" si="5"/>
        <v>5.0000000000000001E-3</v>
      </c>
      <c r="I18" s="31">
        <f t="shared" si="5"/>
        <v>5.0000000000000001E-3</v>
      </c>
      <c r="J18" s="31">
        <f t="shared" si="5"/>
        <v>5.0000000000000001E-3</v>
      </c>
      <c r="K18" s="31">
        <f t="shared" si="5"/>
        <v>5.0000000000000001E-3</v>
      </c>
      <c r="L18" s="31">
        <f t="shared" si="5"/>
        <v>5.0000000000000001E-3</v>
      </c>
      <c r="M18" s="31">
        <f t="shared" si="5"/>
        <v>5.0000000000000001E-3</v>
      </c>
      <c r="N18" s="31">
        <f t="shared" si="5"/>
        <v>5.0000000000000001E-3</v>
      </c>
      <c r="O18" s="31">
        <f t="shared" si="5"/>
        <v>5.0000000000000001E-3</v>
      </c>
      <c r="P18" s="31">
        <f t="shared" si="5"/>
        <v>5.0000000000000001E-3</v>
      </c>
      <c r="Q18" s="31">
        <f t="shared" si="5"/>
        <v>5.0000000000000001E-3</v>
      </c>
      <c r="R18" s="31">
        <f t="shared" si="5"/>
        <v>5.0000000000000001E-3</v>
      </c>
      <c r="S18" s="31">
        <f t="shared" si="5"/>
        <v>5.0000000000000001E-3</v>
      </c>
      <c r="T18" s="31">
        <f t="shared" si="5"/>
        <v>5.0000000000000001E-3</v>
      </c>
      <c r="U18" s="31">
        <f t="shared" si="5"/>
        <v>5.0000000000000001E-3</v>
      </c>
      <c r="V18" s="31">
        <f t="shared" si="5"/>
        <v>5.0000000000000001E-3</v>
      </c>
      <c r="W18" s="31">
        <f t="shared" si="5"/>
        <v>5.0000000000000001E-3</v>
      </c>
      <c r="X18" s="31">
        <f t="shared" si="5"/>
        <v>5.0000000000000001E-3</v>
      </c>
      <c r="Y18" s="31">
        <f t="shared" si="5"/>
        <v>5.0000000000000001E-3</v>
      </c>
      <c r="Z18" s="31">
        <f t="shared" si="5"/>
        <v>5.0000000000000001E-3</v>
      </c>
      <c r="AA18" s="31">
        <f t="shared" si="5"/>
        <v>5.0000000000000001E-3</v>
      </c>
      <c r="AB18" s="31">
        <f t="shared" si="5"/>
        <v>5.0000000000000001E-3</v>
      </c>
      <c r="AC18" s="31">
        <f t="shared" si="5"/>
        <v>5.0000000000000001E-3</v>
      </c>
      <c r="AD18" s="31">
        <f t="shared" si="5"/>
        <v>5.0000000000000001E-3</v>
      </c>
      <c r="AE18" s="31">
        <f t="shared" si="5"/>
        <v>5.0000000000000001E-3</v>
      </c>
      <c r="AF18" s="31">
        <f t="shared" si="5"/>
        <v>5.0000000000000001E-3</v>
      </c>
      <c r="AG18" s="31">
        <f t="shared" si="5"/>
        <v>5.0000000000000001E-3</v>
      </c>
      <c r="AH18" s="31">
        <f t="shared" si="5"/>
        <v>5.0000000000000001E-3</v>
      </c>
      <c r="AI18" s="31">
        <f t="shared" si="5"/>
        <v>5.0000000000000001E-3</v>
      </c>
      <c r="AJ18" s="31">
        <f t="shared" si="5"/>
        <v>5.0000000000000001E-3</v>
      </c>
      <c r="AK18" s="31">
        <f t="shared" si="5"/>
        <v>5.0000000000000001E-3</v>
      </c>
      <c r="AL18" s="31">
        <f t="shared" si="5"/>
        <v>5.0000000000000001E-3</v>
      </c>
      <c r="AM18" s="31">
        <f t="shared" si="5"/>
        <v>5.0000000000000001E-3</v>
      </c>
      <c r="AN18" s="31">
        <f t="shared" si="5"/>
        <v>5.0000000000000001E-3</v>
      </c>
      <c r="AO18" s="31">
        <f t="shared" si="5"/>
        <v>5.0000000000000001E-3</v>
      </c>
      <c r="AP18" s="31">
        <f t="shared" si="5"/>
        <v>5.0000000000000001E-3</v>
      </c>
      <c r="AQ18" s="31">
        <f t="shared" si="5"/>
        <v>5.0000000000000001E-3</v>
      </c>
      <c r="AR18" s="31">
        <f t="shared" si="5"/>
        <v>5.0000000000000001E-3</v>
      </c>
      <c r="AS18" s="31">
        <f t="shared" si="5"/>
        <v>5.0000000000000001E-3</v>
      </c>
      <c r="AT18" s="31">
        <f t="shared" si="5"/>
        <v>5.0000000000000001E-3</v>
      </c>
      <c r="AU18" s="31">
        <f t="shared" si="5"/>
        <v>5.0000000000000001E-3</v>
      </c>
      <c r="AV18" s="31">
        <f t="shared" si="5"/>
        <v>5.0000000000000001E-3</v>
      </c>
      <c r="AW18" s="31">
        <f t="shared" si="5"/>
        <v>5.0000000000000001E-3</v>
      </c>
      <c r="AX18" s="31">
        <f t="shared" si="5"/>
        <v>5.0000000000000001E-3</v>
      </c>
      <c r="AY18" s="31">
        <f t="shared" si="5"/>
        <v>5.0000000000000001E-3</v>
      </c>
      <c r="AZ18" s="31">
        <f t="shared" si="5"/>
        <v>5.0000000000000001E-3</v>
      </c>
      <c r="BA18" s="31">
        <f t="shared" si="5"/>
        <v>5.0000000000000001E-3</v>
      </c>
      <c r="BB18" s="31">
        <f t="shared" si="5"/>
        <v>5.0000000000000001E-3</v>
      </c>
      <c r="BC18" s="31">
        <f t="shared" si="5"/>
        <v>5.0000000000000001E-3</v>
      </c>
      <c r="BD18" s="31">
        <f t="shared" si="5"/>
        <v>5.0000000000000001E-3</v>
      </c>
      <c r="BE18" s="31">
        <f t="shared" si="5"/>
        <v>5.0000000000000001E-3</v>
      </c>
      <c r="BF18" s="31">
        <f t="shared" si="5"/>
        <v>5.0000000000000001E-3</v>
      </c>
      <c r="BG18" s="31">
        <f t="shared" si="5"/>
        <v>5.0000000000000001E-3</v>
      </c>
      <c r="BH18" s="31">
        <f t="shared" si="5"/>
        <v>5.0000000000000001E-3</v>
      </c>
      <c r="BI18" s="31">
        <f t="shared" si="5"/>
        <v>5.0000000000000001E-3</v>
      </c>
      <c r="BJ18" s="31">
        <f t="shared" si="5"/>
        <v>5.0000000000000001E-3</v>
      </c>
      <c r="BK18" s="31">
        <f t="shared" si="5"/>
        <v>5.0000000000000001E-3</v>
      </c>
      <c r="BL18" s="31">
        <f t="shared" si="5"/>
        <v>5.0000000000000001E-3</v>
      </c>
      <c r="BM18" s="31">
        <f t="shared" si="5"/>
        <v>5.0000000000000001E-3</v>
      </c>
      <c r="BN18" s="31">
        <f t="shared" si="5"/>
        <v>5.0000000000000001E-3</v>
      </c>
    </row>
    <row r="19" spans="1:66" s="1" customFormat="1">
      <c r="A19" s="4" t="s">
        <v>267</v>
      </c>
      <c r="B19" s="18"/>
      <c r="C19" s="16" t="s">
        <v>358</v>
      </c>
      <c r="D19" s="107"/>
      <c r="E19" s="29"/>
      <c r="F19" s="29" t="e">
        <f>F17/F14</f>
        <v>#REF!</v>
      </c>
      <c r="G19" s="29" t="e">
        <f t="shared" ref="G19:AI19" si="6">G17/G14</f>
        <v>#REF!</v>
      </c>
      <c r="H19" s="29" t="e">
        <f t="shared" si="6"/>
        <v>#REF!</v>
      </c>
      <c r="I19" s="29" t="e">
        <f t="shared" si="6"/>
        <v>#REF!</v>
      </c>
      <c r="J19" s="29" t="e">
        <f t="shared" si="6"/>
        <v>#REF!</v>
      </c>
      <c r="K19" s="29" t="e">
        <f t="shared" si="6"/>
        <v>#REF!</v>
      </c>
      <c r="L19" s="29" t="e">
        <f t="shared" si="6"/>
        <v>#REF!</v>
      </c>
      <c r="M19" s="29" t="e">
        <f t="shared" si="6"/>
        <v>#REF!</v>
      </c>
      <c r="N19" s="29" t="e">
        <f t="shared" si="6"/>
        <v>#REF!</v>
      </c>
      <c r="O19" s="29" t="e">
        <f t="shared" si="6"/>
        <v>#REF!</v>
      </c>
      <c r="P19" s="29" t="e">
        <f t="shared" si="6"/>
        <v>#REF!</v>
      </c>
      <c r="Q19" s="29" t="e">
        <f t="shared" si="6"/>
        <v>#REF!</v>
      </c>
      <c r="R19" s="29" t="e">
        <f t="shared" si="6"/>
        <v>#REF!</v>
      </c>
      <c r="S19" s="29" t="e">
        <f t="shared" si="6"/>
        <v>#REF!</v>
      </c>
      <c r="T19" s="29" t="e">
        <f t="shared" si="6"/>
        <v>#REF!</v>
      </c>
      <c r="U19" s="29" t="e">
        <f t="shared" si="6"/>
        <v>#REF!</v>
      </c>
      <c r="V19" s="29" t="e">
        <f t="shared" si="6"/>
        <v>#REF!</v>
      </c>
      <c r="W19" s="29" t="e">
        <f t="shared" si="6"/>
        <v>#REF!</v>
      </c>
      <c r="X19" s="29" t="e">
        <f t="shared" si="6"/>
        <v>#REF!</v>
      </c>
      <c r="Y19" s="29" t="e">
        <f t="shared" si="6"/>
        <v>#REF!</v>
      </c>
      <c r="Z19" s="29" t="e">
        <f t="shared" si="6"/>
        <v>#REF!</v>
      </c>
      <c r="AA19" s="29" t="e">
        <f t="shared" si="6"/>
        <v>#REF!</v>
      </c>
      <c r="AB19" s="29" t="e">
        <f t="shared" si="6"/>
        <v>#REF!</v>
      </c>
      <c r="AC19" s="29" t="e">
        <f t="shared" si="6"/>
        <v>#REF!</v>
      </c>
      <c r="AD19" s="29" t="e">
        <f t="shared" si="6"/>
        <v>#REF!</v>
      </c>
      <c r="AE19" s="29" t="e">
        <f t="shared" si="6"/>
        <v>#REF!</v>
      </c>
      <c r="AF19" s="29" t="e">
        <f t="shared" si="6"/>
        <v>#REF!</v>
      </c>
      <c r="AG19" s="29" t="e">
        <f t="shared" si="6"/>
        <v>#REF!</v>
      </c>
      <c r="AH19" s="29" t="e">
        <f t="shared" si="6"/>
        <v>#REF!</v>
      </c>
      <c r="AI19" s="29" t="e">
        <f t="shared" si="6"/>
        <v>#REF!</v>
      </c>
      <c r="AJ19" s="29" t="e">
        <f t="shared" ref="AJ19:BN19" si="7">AJ17/AJ14</f>
        <v>#REF!</v>
      </c>
      <c r="AK19" s="29" t="e">
        <f t="shared" si="7"/>
        <v>#REF!</v>
      </c>
      <c r="AL19" s="29" t="e">
        <f t="shared" si="7"/>
        <v>#REF!</v>
      </c>
      <c r="AM19" s="29" t="e">
        <f t="shared" si="7"/>
        <v>#REF!</v>
      </c>
      <c r="AN19" s="29" t="e">
        <f t="shared" si="7"/>
        <v>#REF!</v>
      </c>
      <c r="AO19" s="29" t="e">
        <f t="shared" si="7"/>
        <v>#REF!</v>
      </c>
      <c r="AP19" s="29" t="e">
        <f t="shared" si="7"/>
        <v>#REF!</v>
      </c>
      <c r="AQ19" s="29" t="e">
        <f t="shared" si="7"/>
        <v>#REF!</v>
      </c>
      <c r="AR19" s="29" t="e">
        <f t="shared" si="7"/>
        <v>#REF!</v>
      </c>
      <c r="AS19" s="29" t="e">
        <f t="shared" si="7"/>
        <v>#REF!</v>
      </c>
      <c r="AT19" s="29" t="e">
        <f t="shared" si="7"/>
        <v>#REF!</v>
      </c>
      <c r="AU19" s="29" t="e">
        <f t="shared" si="7"/>
        <v>#REF!</v>
      </c>
      <c r="AV19" s="29" t="e">
        <f t="shared" si="7"/>
        <v>#REF!</v>
      </c>
      <c r="AW19" s="29" t="e">
        <f t="shared" si="7"/>
        <v>#REF!</v>
      </c>
      <c r="AX19" s="29" t="e">
        <f t="shared" si="7"/>
        <v>#REF!</v>
      </c>
      <c r="AY19" s="29" t="e">
        <f t="shared" si="7"/>
        <v>#REF!</v>
      </c>
      <c r="AZ19" s="29" t="e">
        <f t="shared" si="7"/>
        <v>#REF!</v>
      </c>
      <c r="BA19" s="29" t="e">
        <f t="shared" si="7"/>
        <v>#REF!</v>
      </c>
      <c r="BB19" s="29" t="e">
        <f t="shared" si="7"/>
        <v>#REF!</v>
      </c>
      <c r="BC19" s="29" t="e">
        <f t="shared" si="7"/>
        <v>#REF!</v>
      </c>
      <c r="BD19" s="29" t="e">
        <f t="shared" si="7"/>
        <v>#REF!</v>
      </c>
      <c r="BE19" s="29" t="e">
        <f t="shared" si="7"/>
        <v>#REF!</v>
      </c>
      <c r="BF19" s="29" t="e">
        <f t="shared" si="7"/>
        <v>#REF!</v>
      </c>
      <c r="BG19" s="29" t="e">
        <f t="shared" si="7"/>
        <v>#REF!</v>
      </c>
      <c r="BH19" s="29" t="e">
        <f t="shared" si="7"/>
        <v>#REF!</v>
      </c>
      <c r="BI19" s="29" t="e">
        <f t="shared" si="7"/>
        <v>#REF!</v>
      </c>
      <c r="BJ19" s="29" t="e">
        <f t="shared" si="7"/>
        <v>#REF!</v>
      </c>
      <c r="BK19" s="29" t="e">
        <f t="shared" si="7"/>
        <v>#REF!</v>
      </c>
      <c r="BL19" s="29" t="e">
        <f t="shared" si="7"/>
        <v>#REF!</v>
      </c>
      <c r="BM19" s="29" t="e">
        <f t="shared" si="7"/>
        <v>#REF!</v>
      </c>
      <c r="BN19" s="29" t="e">
        <f t="shared" si="7"/>
        <v>#REF!</v>
      </c>
    </row>
    <row r="20" spans="1:66" s="2" customFormat="1" ht="15">
      <c r="A20" s="19" t="s">
        <v>300</v>
      </c>
      <c r="C20" s="3" t="s">
        <v>556</v>
      </c>
      <c r="D20" s="101"/>
      <c r="E20" s="20"/>
      <c r="F20" s="20" t="e">
        <f>SUM(F17:F18)</f>
        <v>#REF!</v>
      </c>
      <c r="G20" s="20" t="e">
        <f>SUM(G17:G18)</f>
        <v>#REF!</v>
      </c>
      <c r="H20" s="20" t="e">
        <f t="shared" ref="H20:BN20" si="8">SUM(H17:H18)</f>
        <v>#REF!</v>
      </c>
      <c r="I20" s="20" t="e">
        <f t="shared" si="8"/>
        <v>#REF!</v>
      </c>
      <c r="J20" s="20" t="e">
        <f t="shared" si="8"/>
        <v>#REF!</v>
      </c>
      <c r="K20" s="20" t="e">
        <f t="shared" si="8"/>
        <v>#REF!</v>
      </c>
      <c r="L20" s="20" t="e">
        <f t="shared" si="8"/>
        <v>#REF!</v>
      </c>
      <c r="M20" s="20" t="e">
        <f t="shared" si="8"/>
        <v>#REF!</v>
      </c>
      <c r="N20" s="20" t="e">
        <f t="shared" si="8"/>
        <v>#REF!</v>
      </c>
      <c r="O20" s="20" t="e">
        <f t="shared" si="8"/>
        <v>#REF!</v>
      </c>
      <c r="P20" s="20" t="e">
        <f t="shared" si="8"/>
        <v>#REF!</v>
      </c>
      <c r="Q20" s="20" t="e">
        <f t="shared" si="8"/>
        <v>#REF!</v>
      </c>
      <c r="R20" s="20" t="e">
        <f t="shared" si="8"/>
        <v>#REF!</v>
      </c>
      <c r="S20" s="20" t="e">
        <f t="shared" si="8"/>
        <v>#REF!</v>
      </c>
      <c r="T20" s="20" t="e">
        <f t="shared" si="8"/>
        <v>#REF!</v>
      </c>
      <c r="U20" s="20" t="e">
        <f t="shared" si="8"/>
        <v>#REF!</v>
      </c>
      <c r="V20" s="20" t="e">
        <f t="shared" si="8"/>
        <v>#REF!</v>
      </c>
      <c r="W20" s="20" t="e">
        <f t="shared" si="8"/>
        <v>#REF!</v>
      </c>
      <c r="X20" s="20" t="e">
        <f t="shared" si="8"/>
        <v>#REF!</v>
      </c>
      <c r="Y20" s="20" t="e">
        <f t="shared" si="8"/>
        <v>#REF!</v>
      </c>
      <c r="Z20" s="20" t="e">
        <f t="shared" si="8"/>
        <v>#REF!</v>
      </c>
      <c r="AA20" s="20" t="e">
        <f t="shared" si="8"/>
        <v>#REF!</v>
      </c>
      <c r="AB20" s="20" t="e">
        <f t="shared" si="8"/>
        <v>#REF!</v>
      </c>
      <c r="AC20" s="20" t="e">
        <f t="shared" si="8"/>
        <v>#REF!</v>
      </c>
      <c r="AD20" s="20" t="e">
        <f t="shared" si="8"/>
        <v>#REF!</v>
      </c>
      <c r="AE20" s="20" t="e">
        <f t="shared" si="8"/>
        <v>#REF!</v>
      </c>
      <c r="AF20" s="20" t="e">
        <f t="shared" si="8"/>
        <v>#REF!</v>
      </c>
      <c r="AG20" s="20" t="e">
        <f t="shared" si="8"/>
        <v>#REF!</v>
      </c>
      <c r="AH20" s="20" t="e">
        <f t="shared" si="8"/>
        <v>#REF!</v>
      </c>
      <c r="AI20" s="20" t="e">
        <f t="shared" si="8"/>
        <v>#REF!</v>
      </c>
      <c r="AJ20" s="20" t="e">
        <f t="shared" si="8"/>
        <v>#REF!</v>
      </c>
      <c r="AK20" s="20" t="e">
        <f t="shared" si="8"/>
        <v>#REF!</v>
      </c>
      <c r="AL20" s="20" t="e">
        <f t="shared" si="8"/>
        <v>#REF!</v>
      </c>
      <c r="AM20" s="20" t="e">
        <f t="shared" si="8"/>
        <v>#REF!</v>
      </c>
      <c r="AN20" s="20" t="e">
        <f t="shared" si="8"/>
        <v>#REF!</v>
      </c>
      <c r="AO20" s="20" t="e">
        <f t="shared" si="8"/>
        <v>#REF!</v>
      </c>
      <c r="AP20" s="20" t="e">
        <f t="shared" si="8"/>
        <v>#REF!</v>
      </c>
      <c r="AQ20" s="20" t="e">
        <f t="shared" si="8"/>
        <v>#REF!</v>
      </c>
      <c r="AR20" s="20" t="e">
        <f t="shared" si="8"/>
        <v>#REF!</v>
      </c>
      <c r="AS20" s="20" t="e">
        <f t="shared" si="8"/>
        <v>#REF!</v>
      </c>
      <c r="AT20" s="20" t="e">
        <f t="shared" si="8"/>
        <v>#REF!</v>
      </c>
      <c r="AU20" s="20" t="e">
        <f t="shared" si="8"/>
        <v>#REF!</v>
      </c>
      <c r="AV20" s="20" t="e">
        <f t="shared" si="8"/>
        <v>#REF!</v>
      </c>
      <c r="AW20" s="20" t="e">
        <f t="shared" si="8"/>
        <v>#REF!</v>
      </c>
      <c r="AX20" s="20" t="e">
        <f t="shared" si="8"/>
        <v>#REF!</v>
      </c>
      <c r="AY20" s="20" t="e">
        <f t="shared" si="8"/>
        <v>#REF!</v>
      </c>
      <c r="AZ20" s="20" t="e">
        <f t="shared" si="8"/>
        <v>#REF!</v>
      </c>
      <c r="BA20" s="20" t="e">
        <f t="shared" si="8"/>
        <v>#REF!</v>
      </c>
      <c r="BB20" s="20" t="e">
        <f t="shared" si="8"/>
        <v>#REF!</v>
      </c>
      <c r="BC20" s="20" t="e">
        <f t="shared" si="8"/>
        <v>#REF!</v>
      </c>
      <c r="BD20" s="20" t="e">
        <f t="shared" si="8"/>
        <v>#REF!</v>
      </c>
      <c r="BE20" s="20" t="e">
        <f t="shared" si="8"/>
        <v>#REF!</v>
      </c>
      <c r="BF20" s="20" t="e">
        <f t="shared" si="8"/>
        <v>#REF!</v>
      </c>
      <c r="BG20" s="20" t="e">
        <f t="shared" si="8"/>
        <v>#REF!</v>
      </c>
      <c r="BH20" s="20" t="e">
        <f t="shared" si="8"/>
        <v>#REF!</v>
      </c>
      <c r="BI20" s="20" t="e">
        <f t="shared" si="8"/>
        <v>#REF!</v>
      </c>
      <c r="BJ20" s="20" t="e">
        <f t="shared" si="8"/>
        <v>#REF!</v>
      </c>
      <c r="BK20" s="20" t="e">
        <f t="shared" si="8"/>
        <v>#REF!</v>
      </c>
      <c r="BL20" s="20" t="e">
        <f t="shared" si="8"/>
        <v>#REF!</v>
      </c>
      <c r="BM20" s="20" t="e">
        <f t="shared" si="8"/>
        <v>#REF!</v>
      </c>
      <c r="BN20" s="20" t="e">
        <f t="shared" si="8"/>
        <v>#REF!</v>
      </c>
    </row>
    <row r="26" spans="1:66" ht="15">
      <c r="A26" s="3" t="s">
        <v>305</v>
      </c>
      <c r="B26" s="4" t="s">
        <v>311</v>
      </c>
      <c r="C26" s="4"/>
      <c r="D26" s="99">
        <v>2008</v>
      </c>
      <c r="E26" s="15">
        <v>2009</v>
      </c>
      <c r="F26" s="15">
        <v>2010</v>
      </c>
      <c r="G26" s="15">
        <v>2011</v>
      </c>
      <c r="H26" s="15">
        <v>2012</v>
      </c>
      <c r="I26" s="15">
        <v>2013</v>
      </c>
      <c r="J26" s="15">
        <v>2014</v>
      </c>
      <c r="K26" s="15">
        <v>2015</v>
      </c>
      <c r="L26" s="15">
        <v>2016</v>
      </c>
      <c r="M26" s="15">
        <v>2017</v>
      </c>
      <c r="N26" s="15">
        <v>2018</v>
      </c>
      <c r="O26" s="15">
        <v>2019</v>
      </c>
      <c r="P26" s="15">
        <v>2020</v>
      </c>
      <c r="Q26" s="15">
        <v>2021</v>
      </c>
      <c r="R26" s="15">
        <v>2022</v>
      </c>
      <c r="S26" s="15">
        <v>2023</v>
      </c>
      <c r="T26" s="15">
        <v>2024</v>
      </c>
      <c r="U26" s="15">
        <v>2025</v>
      </c>
      <c r="V26" s="15">
        <v>2026</v>
      </c>
      <c r="W26" s="15">
        <v>2027</v>
      </c>
      <c r="X26" s="15">
        <v>2028</v>
      </c>
      <c r="Y26" s="15">
        <v>2029</v>
      </c>
      <c r="Z26" s="15">
        <v>2030</v>
      </c>
      <c r="AA26" s="15">
        <v>2031</v>
      </c>
      <c r="AB26" s="15">
        <v>2032</v>
      </c>
      <c r="AC26" s="15">
        <v>2033</v>
      </c>
      <c r="AD26" s="15">
        <v>2034</v>
      </c>
      <c r="AE26" s="15">
        <v>2035</v>
      </c>
      <c r="AF26" s="15">
        <v>2036</v>
      </c>
      <c r="AG26" s="15">
        <v>2037</v>
      </c>
      <c r="AH26" s="15">
        <v>2038</v>
      </c>
      <c r="AI26" s="15">
        <v>2039</v>
      </c>
      <c r="AJ26" s="15">
        <v>2040</v>
      </c>
      <c r="AK26" s="15">
        <v>2041</v>
      </c>
      <c r="AL26" s="15">
        <v>2042</v>
      </c>
      <c r="AM26" s="15">
        <v>2043</v>
      </c>
      <c r="AN26" s="15">
        <v>2044</v>
      </c>
      <c r="AO26" s="15">
        <v>2045</v>
      </c>
      <c r="AP26" s="15">
        <v>2046</v>
      </c>
      <c r="AQ26" s="15">
        <v>2047</v>
      </c>
      <c r="AR26" s="15">
        <v>2048</v>
      </c>
      <c r="AS26" s="15">
        <v>2049</v>
      </c>
      <c r="AT26" s="15">
        <v>2050</v>
      </c>
      <c r="AU26" s="15">
        <v>2051</v>
      </c>
      <c r="AV26" s="15">
        <v>2052</v>
      </c>
      <c r="AW26" s="15">
        <v>2053</v>
      </c>
      <c r="AX26" s="15">
        <v>2054</v>
      </c>
      <c r="AY26" s="15">
        <v>2055</v>
      </c>
      <c r="AZ26" s="15">
        <v>2056</v>
      </c>
      <c r="BA26" s="15">
        <v>2057</v>
      </c>
      <c r="BB26" s="15">
        <v>2058</v>
      </c>
      <c r="BC26" s="15">
        <v>2059</v>
      </c>
      <c r="BD26" s="15">
        <v>2060</v>
      </c>
      <c r="BE26" s="15">
        <v>2061</v>
      </c>
      <c r="BF26" s="15">
        <v>2062</v>
      </c>
      <c r="BG26" s="15">
        <v>2063</v>
      </c>
      <c r="BH26" s="15">
        <v>2064</v>
      </c>
      <c r="BI26" s="15">
        <v>2065</v>
      </c>
      <c r="BJ26" s="15">
        <v>2066</v>
      </c>
      <c r="BK26" s="15">
        <v>2067</v>
      </c>
      <c r="BL26" s="15">
        <v>2068</v>
      </c>
      <c r="BM26" s="15">
        <v>2069</v>
      </c>
      <c r="BN26" s="15">
        <v>2070</v>
      </c>
    </row>
    <row r="27" spans="1:66" ht="15">
      <c r="A27" s="23" t="s">
        <v>310</v>
      </c>
      <c r="C27" s="42" t="s">
        <v>556</v>
      </c>
      <c r="D27" s="104"/>
      <c r="E27" s="24"/>
      <c r="F27" s="24" t="e">
        <f>F28*'Railbelt Worksheet'!$C$32+'Railbelt Worksheet'!$C$33</f>
        <v>#REF!</v>
      </c>
      <c r="G27" s="24" t="e">
        <f>G28*'Railbelt Worksheet'!$C$32+'Railbelt Worksheet'!$C$33</f>
        <v>#REF!</v>
      </c>
      <c r="H27" s="24" t="e">
        <f>H28*'Railbelt Worksheet'!$C$32+'Railbelt Worksheet'!$C$33</f>
        <v>#REF!</v>
      </c>
      <c r="I27" s="24" t="e">
        <f>I28*'Railbelt Worksheet'!$C$32+'Railbelt Worksheet'!$C$33</f>
        <v>#REF!</v>
      </c>
      <c r="J27" s="24" t="e">
        <f>J28*'Railbelt Worksheet'!$C$32+'Railbelt Worksheet'!$C$33</f>
        <v>#REF!</v>
      </c>
      <c r="K27" s="24" t="e">
        <f>K28*'Railbelt Worksheet'!$C$32+'Railbelt Worksheet'!$C$33</f>
        <v>#REF!</v>
      </c>
      <c r="L27" s="24" t="e">
        <f>L28*'Railbelt Worksheet'!$C$32+'Railbelt Worksheet'!$C$33</f>
        <v>#REF!</v>
      </c>
      <c r="M27" s="24" t="e">
        <f>M28*'Railbelt Worksheet'!$C$32+'Railbelt Worksheet'!$C$33</f>
        <v>#REF!</v>
      </c>
      <c r="N27" s="24" t="e">
        <f>N28*'Railbelt Worksheet'!$C$32+'Railbelt Worksheet'!$C$33</f>
        <v>#REF!</v>
      </c>
      <c r="O27" s="24" t="e">
        <f>O28*'Railbelt Worksheet'!$C$32+'Railbelt Worksheet'!$C$33</f>
        <v>#REF!</v>
      </c>
      <c r="P27" s="24" t="e">
        <f>P28*'Railbelt Worksheet'!$C$32+'Railbelt Worksheet'!$C$33</f>
        <v>#REF!</v>
      </c>
      <c r="Q27" s="24" t="e">
        <f>Q28*'Railbelt Worksheet'!$C$32+'Railbelt Worksheet'!$C$33</f>
        <v>#REF!</v>
      </c>
      <c r="R27" s="24" t="e">
        <f>R28*'Railbelt Worksheet'!$C$32+'Railbelt Worksheet'!$C$33</f>
        <v>#REF!</v>
      </c>
      <c r="S27" s="24" t="e">
        <f>S28*'Railbelt Worksheet'!$C$32+'Railbelt Worksheet'!$C$33</f>
        <v>#REF!</v>
      </c>
      <c r="T27" s="24" t="e">
        <f>T28*'Railbelt Worksheet'!$C$32+'Railbelt Worksheet'!$C$33</f>
        <v>#REF!</v>
      </c>
      <c r="U27" s="24" t="e">
        <f>U28*'Railbelt Worksheet'!$C$32+'Railbelt Worksheet'!$C$33</f>
        <v>#REF!</v>
      </c>
      <c r="V27" s="24" t="e">
        <f>V28*'Railbelt Worksheet'!$C$32+'Railbelt Worksheet'!$C$33</f>
        <v>#REF!</v>
      </c>
      <c r="W27" s="24" t="e">
        <f>W28*'Railbelt Worksheet'!$C$32+'Railbelt Worksheet'!$C$33</f>
        <v>#REF!</v>
      </c>
      <c r="X27" s="24" t="e">
        <f>X28*'Railbelt Worksheet'!$C$32+'Railbelt Worksheet'!$C$33</f>
        <v>#REF!</v>
      </c>
      <c r="Y27" s="24" t="e">
        <f>Y28*'Railbelt Worksheet'!$C$32+'Railbelt Worksheet'!$C$33</f>
        <v>#REF!</v>
      </c>
      <c r="Z27" s="24" t="e">
        <f>Z28*'Railbelt Worksheet'!$C$32+'Railbelt Worksheet'!$C$33</f>
        <v>#REF!</v>
      </c>
      <c r="AA27" s="24" t="e">
        <f>AA28*'Railbelt Worksheet'!$C$32+'Railbelt Worksheet'!$C$33</f>
        <v>#REF!</v>
      </c>
      <c r="AB27" s="24" t="e">
        <f>AB28*'Railbelt Worksheet'!$C$32+'Railbelt Worksheet'!$C$33</f>
        <v>#REF!</v>
      </c>
      <c r="AC27" s="24" t="e">
        <f>AC28*'Railbelt Worksheet'!$C$32+'Railbelt Worksheet'!$C$33</f>
        <v>#REF!</v>
      </c>
      <c r="AD27" s="24" t="e">
        <f>AD28*'Railbelt Worksheet'!$C$32+'Railbelt Worksheet'!$C$33</f>
        <v>#REF!</v>
      </c>
      <c r="AE27" s="24" t="e">
        <f>AE28*'Railbelt Worksheet'!$C$32+'Railbelt Worksheet'!$C$33</f>
        <v>#REF!</v>
      </c>
      <c r="AF27" s="24" t="e">
        <f>AF28*'Railbelt Worksheet'!$C$32+'Railbelt Worksheet'!$C$33</f>
        <v>#REF!</v>
      </c>
      <c r="AG27" s="24" t="e">
        <f>AG28*'Railbelt Worksheet'!$C$32+'Railbelt Worksheet'!$C$33</f>
        <v>#REF!</v>
      </c>
      <c r="AH27" s="24" t="e">
        <f>AH28*'Railbelt Worksheet'!$C$32+'Railbelt Worksheet'!$C$33</f>
        <v>#REF!</v>
      </c>
      <c r="AI27" s="24" t="e">
        <f>AI28*'Railbelt Worksheet'!$C$32+'Railbelt Worksheet'!$C$33</f>
        <v>#REF!</v>
      </c>
      <c r="AJ27" s="24" t="e">
        <f>AJ28*'Railbelt Worksheet'!$C$32+'Railbelt Worksheet'!$C$33</f>
        <v>#REF!</v>
      </c>
      <c r="AK27" s="24" t="e">
        <f>AK28*'Railbelt Worksheet'!$C$32+'Railbelt Worksheet'!$C$33</f>
        <v>#REF!</v>
      </c>
      <c r="AL27" s="24" t="e">
        <f>AL28*'Railbelt Worksheet'!$C$32+'Railbelt Worksheet'!$C$33</f>
        <v>#REF!</v>
      </c>
      <c r="AM27" s="24" t="e">
        <f>AM28*'Railbelt Worksheet'!$C$32+'Railbelt Worksheet'!$C$33</f>
        <v>#REF!</v>
      </c>
      <c r="AN27" s="24" t="e">
        <f>AN28*'Railbelt Worksheet'!$C$32+'Railbelt Worksheet'!$C$33</f>
        <v>#REF!</v>
      </c>
      <c r="AO27" s="24" t="e">
        <f>AO28*'Railbelt Worksheet'!$C$32+'Railbelt Worksheet'!$C$33</f>
        <v>#REF!</v>
      </c>
      <c r="AP27" s="24" t="e">
        <f>AP28*'Railbelt Worksheet'!$C$32+'Railbelt Worksheet'!$C$33</f>
        <v>#REF!</v>
      </c>
      <c r="AQ27" s="24" t="e">
        <f>AQ28*'Railbelt Worksheet'!$C$32+'Railbelt Worksheet'!$C$33</f>
        <v>#REF!</v>
      </c>
      <c r="AR27" s="24" t="e">
        <f>AR28*'Railbelt Worksheet'!$C$32+'Railbelt Worksheet'!$C$33</f>
        <v>#REF!</v>
      </c>
      <c r="AS27" s="24" t="e">
        <f>AS28*'Railbelt Worksheet'!$C$32+'Railbelt Worksheet'!$C$33</f>
        <v>#REF!</v>
      </c>
      <c r="AT27" s="24" t="e">
        <f>AT28*'Railbelt Worksheet'!$C$32+'Railbelt Worksheet'!$C$33</f>
        <v>#REF!</v>
      </c>
      <c r="AU27" s="24" t="e">
        <f>AU28*'Railbelt Worksheet'!$C$32+'Railbelt Worksheet'!$C$33</f>
        <v>#REF!</v>
      </c>
      <c r="AV27" s="24" t="e">
        <f>AV28*'Railbelt Worksheet'!$C$32+'Railbelt Worksheet'!$C$33</f>
        <v>#REF!</v>
      </c>
      <c r="AW27" s="24" t="e">
        <f>AW28*'Railbelt Worksheet'!$C$32+'Railbelt Worksheet'!$C$33</f>
        <v>#REF!</v>
      </c>
      <c r="AX27" s="24" t="e">
        <f>AX28*'Railbelt Worksheet'!$C$32+'Railbelt Worksheet'!$C$33</f>
        <v>#REF!</v>
      </c>
      <c r="AY27" s="24" t="e">
        <f>AY28*'Railbelt Worksheet'!$C$32+'Railbelt Worksheet'!$C$33</f>
        <v>#REF!</v>
      </c>
      <c r="AZ27" s="24" t="e">
        <f>AZ28*'Railbelt Worksheet'!$C$32+'Railbelt Worksheet'!$C$33</f>
        <v>#REF!</v>
      </c>
      <c r="BA27" s="24" t="e">
        <f>BA28*'Railbelt Worksheet'!$C$32+'Railbelt Worksheet'!$C$33</f>
        <v>#REF!</v>
      </c>
      <c r="BB27" s="24" t="e">
        <f>BB28*'Railbelt Worksheet'!$C$32+'Railbelt Worksheet'!$C$33</f>
        <v>#REF!</v>
      </c>
      <c r="BC27" s="24" t="e">
        <f>BC28*'Railbelt Worksheet'!$C$32+'Railbelt Worksheet'!$C$33</f>
        <v>#REF!</v>
      </c>
      <c r="BD27" s="24" t="e">
        <f>BD28*'Railbelt Worksheet'!$C$32+'Railbelt Worksheet'!$C$33</f>
        <v>#REF!</v>
      </c>
      <c r="BE27" s="24" t="e">
        <f>BE28*'Railbelt Worksheet'!$C$32+'Railbelt Worksheet'!$C$33</f>
        <v>#REF!</v>
      </c>
      <c r="BF27" s="24" t="e">
        <f>BF28*'Railbelt Worksheet'!$C$32+'Railbelt Worksheet'!$C$33</f>
        <v>#REF!</v>
      </c>
      <c r="BG27" s="24" t="e">
        <f>BG28*'Railbelt Worksheet'!$C$32+'Railbelt Worksheet'!$C$33</f>
        <v>#REF!</v>
      </c>
      <c r="BH27" s="24" t="e">
        <f>BH28*'Railbelt Worksheet'!$C$32+'Railbelt Worksheet'!$C$33</f>
        <v>#REF!</v>
      </c>
      <c r="BI27" s="24" t="e">
        <f>BI28*'Railbelt Worksheet'!$C$32+'Railbelt Worksheet'!$C$33</f>
        <v>#REF!</v>
      </c>
      <c r="BJ27" s="24" t="e">
        <f>BJ28*'Railbelt Worksheet'!$C$32+'Railbelt Worksheet'!$C$33</f>
        <v>#REF!</v>
      </c>
      <c r="BK27" s="24" t="e">
        <f>BK28*'Railbelt Worksheet'!$C$32+'Railbelt Worksheet'!$C$33</f>
        <v>#REF!</v>
      </c>
      <c r="BL27" s="24" t="e">
        <f>BL28*'Railbelt Worksheet'!$C$32+'Railbelt Worksheet'!$C$33</f>
        <v>#REF!</v>
      </c>
      <c r="BM27" s="24" t="e">
        <f>BM28*'Railbelt Worksheet'!$C$32+'Railbelt Worksheet'!$C$33</f>
        <v>#REF!</v>
      </c>
      <c r="BN27" s="24" t="e">
        <f>BN28*'Railbelt Worksheet'!$C$32+'Railbelt Worksheet'!$C$33</f>
        <v>#REF!</v>
      </c>
    </row>
    <row r="28" spans="1:66" ht="15">
      <c r="A28" s="103" t="s">
        <v>293</v>
      </c>
      <c r="B28" t="s">
        <v>354</v>
      </c>
      <c r="C28" s="42" t="s">
        <v>557</v>
      </c>
      <c r="D28" s="105"/>
      <c r="E28" s="25"/>
      <c r="F28" s="25" t="e">
        <f>VLOOKUP($A$28,#REF!,'Railbelt Worksheet'!F$10+1,0)</f>
        <v>#REF!</v>
      </c>
      <c r="G28" s="105" t="e">
        <f>VLOOKUP($A$28,#REF!,'Railbelt Worksheet'!G$10+1,0)</f>
        <v>#REF!</v>
      </c>
      <c r="H28" s="105" t="e">
        <f>VLOOKUP($A$28,#REF!,'Railbelt Worksheet'!H$10+1,0)</f>
        <v>#REF!</v>
      </c>
      <c r="I28" s="105" t="e">
        <f>VLOOKUP($A$28,#REF!,'Railbelt Worksheet'!I$10+1,0)</f>
        <v>#REF!</v>
      </c>
      <c r="J28" s="105" t="e">
        <f>VLOOKUP($A$28,#REF!,'Railbelt Worksheet'!J$10+1,0)</f>
        <v>#REF!</v>
      </c>
      <c r="K28" s="105" t="e">
        <f>VLOOKUP($A$28,#REF!,'Railbelt Worksheet'!K$10+1,0)</f>
        <v>#REF!</v>
      </c>
      <c r="L28" s="105" t="e">
        <f>VLOOKUP($A$28,#REF!,'Railbelt Worksheet'!L$10+1,0)</f>
        <v>#REF!</v>
      </c>
      <c r="M28" s="105" t="e">
        <f>VLOOKUP($A$28,#REF!,'Railbelt Worksheet'!M$10+1,0)</f>
        <v>#REF!</v>
      </c>
      <c r="N28" s="105" t="e">
        <f>VLOOKUP($A$28,#REF!,'Railbelt Worksheet'!N$10+1,0)</f>
        <v>#REF!</v>
      </c>
      <c r="O28" s="105" t="e">
        <f>VLOOKUP($A$28,#REF!,'Railbelt Worksheet'!O$10+1,0)</f>
        <v>#REF!</v>
      </c>
      <c r="P28" s="105" t="e">
        <f>VLOOKUP($A$28,#REF!,'Railbelt Worksheet'!P$10+1,0)</f>
        <v>#REF!</v>
      </c>
      <c r="Q28" s="105" t="e">
        <f>VLOOKUP($A$28,#REF!,'Railbelt Worksheet'!Q$10+1,0)</f>
        <v>#REF!</v>
      </c>
      <c r="R28" s="105" t="e">
        <f>VLOOKUP($A$28,#REF!,'Railbelt Worksheet'!R$10+1,0)</f>
        <v>#REF!</v>
      </c>
      <c r="S28" s="105" t="e">
        <f>VLOOKUP($A$28,#REF!,'Railbelt Worksheet'!S$10+1,0)</f>
        <v>#REF!</v>
      </c>
      <c r="T28" s="105" t="e">
        <f>VLOOKUP($A$28,#REF!,'Railbelt Worksheet'!T$10+1,0)</f>
        <v>#REF!</v>
      </c>
      <c r="U28" s="105" t="e">
        <f>VLOOKUP($A$28,#REF!,'Railbelt Worksheet'!U$10+1,0)</f>
        <v>#REF!</v>
      </c>
      <c r="V28" s="105" t="e">
        <f>VLOOKUP($A$28,#REF!,'Railbelt Worksheet'!V$10+1,0)</f>
        <v>#REF!</v>
      </c>
      <c r="W28" s="105" t="e">
        <f>VLOOKUP($A$28,#REF!,'Railbelt Worksheet'!W$10+1,0)</f>
        <v>#REF!</v>
      </c>
      <c r="X28" s="105" t="e">
        <f>VLOOKUP($A$28,#REF!,'Railbelt Worksheet'!X$10+1,0)</f>
        <v>#REF!</v>
      </c>
      <c r="Y28" s="105" t="e">
        <f>VLOOKUP($A$28,#REF!,'Railbelt Worksheet'!Y$10+1,0)</f>
        <v>#REF!</v>
      </c>
      <c r="Z28" s="105" t="e">
        <f>VLOOKUP($A$28,#REF!,'Railbelt Worksheet'!Z$10+1,0)</f>
        <v>#REF!</v>
      </c>
      <c r="AA28" s="105" t="e">
        <f>VLOOKUP($A$28,#REF!,'Railbelt Worksheet'!AA$10+1,0)</f>
        <v>#REF!</v>
      </c>
      <c r="AB28" s="105" t="e">
        <f>VLOOKUP($A$28,#REF!,'Railbelt Worksheet'!AB$10+1,0)</f>
        <v>#REF!</v>
      </c>
      <c r="AC28" s="105" t="e">
        <f>VLOOKUP($A$28,#REF!,'Railbelt Worksheet'!AC$10+1,0)</f>
        <v>#REF!</v>
      </c>
      <c r="AD28" s="105" t="e">
        <f>VLOOKUP($A$28,#REF!,'Railbelt Worksheet'!AD$10+1,0)</f>
        <v>#REF!</v>
      </c>
      <c r="AE28" s="105" t="e">
        <f>VLOOKUP($A$28,#REF!,'Railbelt Worksheet'!AE$10+1,0)</f>
        <v>#REF!</v>
      </c>
      <c r="AF28" s="105" t="e">
        <f>VLOOKUP($A$28,#REF!,'Railbelt Worksheet'!AF$10+1,0)</f>
        <v>#REF!</v>
      </c>
      <c r="AG28" s="105" t="e">
        <f>VLOOKUP($A$28,#REF!,'Railbelt Worksheet'!AG$10+1,0)</f>
        <v>#REF!</v>
      </c>
      <c r="AH28" s="105" t="e">
        <f>VLOOKUP($A$28,#REF!,'Railbelt Worksheet'!AH$10+1,0)</f>
        <v>#REF!</v>
      </c>
      <c r="AI28" s="105" t="e">
        <f>VLOOKUP($A$28,#REF!,'Railbelt Worksheet'!AI$10+1,0)</f>
        <v>#REF!</v>
      </c>
      <c r="AJ28" s="105" t="e">
        <f>VLOOKUP($A$28,#REF!,'Railbelt Worksheet'!AJ$10+1,0)</f>
        <v>#REF!</v>
      </c>
      <c r="AK28" s="105" t="e">
        <f>VLOOKUP($A$28,#REF!,'Railbelt Worksheet'!AK$10+1,0)</f>
        <v>#REF!</v>
      </c>
      <c r="AL28" s="105" t="e">
        <f>VLOOKUP($A$28,#REF!,'Railbelt Worksheet'!AL$10+1,0)</f>
        <v>#REF!</v>
      </c>
      <c r="AM28" s="105" t="e">
        <f>VLOOKUP($A$28,#REF!,'Railbelt Worksheet'!AM$10+1,0)</f>
        <v>#REF!</v>
      </c>
      <c r="AN28" s="105" t="e">
        <f>VLOOKUP($A$28,#REF!,'Railbelt Worksheet'!AN$10+1,0)</f>
        <v>#REF!</v>
      </c>
      <c r="AO28" s="105" t="e">
        <f>VLOOKUP($A$28,#REF!,'Railbelt Worksheet'!AO$10+1,0)</f>
        <v>#REF!</v>
      </c>
      <c r="AP28" s="105" t="e">
        <f>VLOOKUP($A$28,#REF!,'Railbelt Worksheet'!AP$10+1,0)</f>
        <v>#REF!</v>
      </c>
      <c r="AQ28" s="105" t="e">
        <f>VLOOKUP($A$28,#REF!,'Railbelt Worksheet'!AQ$10+1,0)</f>
        <v>#REF!</v>
      </c>
      <c r="AR28" s="105" t="e">
        <f>VLOOKUP($A$28,#REF!,'Railbelt Worksheet'!AR$10+1,0)</f>
        <v>#REF!</v>
      </c>
      <c r="AS28" s="105" t="e">
        <f>VLOOKUP($A$28,#REF!,'Railbelt Worksheet'!AS$10+1,0)</f>
        <v>#REF!</v>
      </c>
      <c r="AT28" s="105" t="e">
        <f>VLOOKUP($A$28,#REF!,'Railbelt Worksheet'!AT$10+1,0)</f>
        <v>#REF!</v>
      </c>
      <c r="AU28" s="105" t="e">
        <f>VLOOKUP($A$28,#REF!,'Railbelt Worksheet'!AU$10+1,0)</f>
        <v>#REF!</v>
      </c>
      <c r="AV28" s="105" t="e">
        <f>VLOOKUP($A$28,#REF!,'Railbelt Worksheet'!AV$10+1,0)</f>
        <v>#REF!</v>
      </c>
      <c r="AW28" s="105" t="e">
        <f>VLOOKUP($A$28,#REF!,'Railbelt Worksheet'!AW$10+1,0)</f>
        <v>#REF!</v>
      </c>
      <c r="AX28" s="105" t="e">
        <f>VLOOKUP($A$28,#REF!,'Railbelt Worksheet'!AX$10+1,0)</f>
        <v>#REF!</v>
      </c>
      <c r="AY28" s="105" t="e">
        <f>VLOOKUP($A$28,#REF!,'Railbelt Worksheet'!AY$10+1,0)</f>
        <v>#REF!</v>
      </c>
      <c r="AZ28" s="105" t="e">
        <f>VLOOKUP($A$28,#REF!,'Railbelt Worksheet'!AZ$10+1,0)</f>
        <v>#REF!</v>
      </c>
      <c r="BA28" s="105" t="e">
        <f>VLOOKUP($A$28,#REF!,'Railbelt Worksheet'!BA$10+1,0)</f>
        <v>#REF!</v>
      </c>
      <c r="BB28" s="105" t="e">
        <f>VLOOKUP($A$28,#REF!,'Railbelt Worksheet'!BB$10+1,0)</f>
        <v>#REF!</v>
      </c>
      <c r="BC28" s="105" t="e">
        <f>VLOOKUP($A$28,#REF!,'Railbelt Worksheet'!BC$10+1,0)</f>
        <v>#REF!</v>
      </c>
      <c r="BD28" s="105" t="e">
        <f>VLOOKUP($A$28,#REF!,'Railbelt Worksheet'!BD$10+1,0)</f>
        <v>#REF!</v>
      </c>
      <c r="BE28" s="105" t="e">
        <f>VLOOKUP($A$28,#REF!,'Railbelt Worksheet'!BE$10+1,0)</f>
        <v>#REF!</v>
      </c>
      <c r="BF28" s="105" t="e">
        <f>VLOOKUP($A$28,#REF!,'Railbelt Worksheet'!BF$10+1,0)</f>
        <v>#REF!</v>
      </c>
      <c r="BG28" s="105" t="e">
        <f>VLOOKUP($A$28,#REF!,'Railbelt Worksheet'!BG$10+1,0)</f>
        <v>#REF!</v>
      </c>
      <c r="BH28" s="105" t="e">
        <f>VLOOKUP($A$28,#REF!,'Railbelt Worksheet'!BH$10+1,0)</f>
        <v>#REF!</v>
      </c>
      <c r="BI28" s="105" t="e">
        <f>VLOOKUP($A$28,#REF!,'Railbelt Worksheet'!BI$10+1,0)</f>
        <v>#REF!</v>
      </c>
      <c r="BJ28" s="105" t="e">
        <f>VLOOKUP($A$28,#REF!,'Railbelt Worksheet'!BJ$10+1,0)</f>
        <v>#REF!</v>
      </c>
      <c r="BK28" s="105" t="e">
        <f>VLOOKUP($A$28,#REF!,'Railbelt Worksheet'!BK$10+1,0)</f>
        <v>#REF!</v>
      </c>
      <c r="BL28" s="105" t="e">
        <f>VLOOKUP($A$28,#REF!,'Railbelt Worksheet'!BL$10+1,0)</f>
        <v>#REF!</v>
      </c>
      <c r="BM28" s="105" t="e">
        <f>VLOOKUP($A$28,#REF!,'Railbelt Worksheet'!BM$10+1,0)</f>
        <v>#REF!</v>
      </c>
      <c r="BN28" s="105" t="e">
        <f>VLOOKUP($A$28,#REF!,'Railbelt Worksheet'!BN$10+1,0)</f>
        <v>#REF!</v>
      </c>
    </row>
    <row r="29" spans="1:66" ht="15">
      <c r="A29" s="23" t="s">
        <v>267</v>
      </c>
      <c r="C29" s="30" t="s">
        <v>359</v>
      </c>
      <c r="D29" s="109"/>
      <c r="E29" s="33"/>
      <c r="F29" s="33">
        <v>6.25E-2</v>
      </c>
      <c r="G29" s="33">
        <v>6.25E-2</v>
      </c>
      <c r="H29" s="33">
        <v>6.25E-2</v>
      </c>
      <c r="I29" s="33">
        <v>6.25E-2</v>
      </c>
      <c r="J29" s="33">
        <v>6.25E-2</v>
      </c>
      <c r="K29" s="33">
        <v>6.25E-2</v>
      </c>
      <c r="L29" s="33">
        <v>6.25E-2</v>
      </c>
      <c r="M29" s="33">
        <v>6.25E-2</v>
      </c>
      <c r="N29" s="33">
        <v>6.25E-2</v>
      </c>
      <c r="O29" s="33">
        <v>6.25E-2</v>
      </c>
      <c r="P29" s="33">
        <v>6.25E-2</v>
      </c>
      <c r="Q29" s="33">
        <v>6.25E-2</v>
      </c>
      <c r="R29" s="33">
        <v>6.25E-2</v>
      </c>
      <c r="S29" s="33">
        <v>6.25E-2</v>
      </c>
      <c r="T29" s="33">
        <v>6.25E-2</v>
      </c>
      <c r="U29" s="33">
        <v>6.25E-2</v>
      </c>
      <c r="V29" s="33">
        <v>6.25E-2</v>
      </c>
      <c r="W29" s="33">
        <v>6.25E-2</v>
      </c>
      <c r="X29" s="33">
        <v>6.25E-2</v>
      </c>
      <c r="Y29" s="33">
        <v>6.25E-2</v>
      </c>
      <c r="Z29" s="33">
        <v>6.25E-2</v>
      </c>
      <c r="AA29" s="33">
        <v>6.25E-2</v>
      </c>
      <c r="AB29" s="33">
        <v>6.25E-2</v>
      </c>
      <c r="AC29" s="33">
        <v>6.25E-2</v>
      </c>
      <c r="AD29" s="33">
        <v>6.25E-2</v>
      </c>
      <c r="AE29" s="33">
        <v>6.25E-2</v>
      </c>
      <c r="AF29" s="33">
        <v>6.25E-2</v>
      </c>
      <c r="AG29" s="33">
        <v>6.25E-2</v>
      </c>
      <c r="AH29" s="33">
        <v>6.25E-2</v>
      </c>
      <c r="AI29" s="33">
        <v>6.25E-2</v>
      </c>
      <c r="AJ29" s="33">
        <v>6.25E-2</v>
      </c>
      <c r="AK29" s="33">
        <v>6.25E-2</v>
      </c>
      <c r="AL29" s="33">
        <v>6.25E-2</v>
      </c>
      <c r="AM29" s="33">
        <v>6.25E-2</v>
      </c>
      <c r="AN29" s="33">
        <v>6.25E-2</v>
      </c>
      <c r="AO29" s="33">
        <v>6.25E-2</v>
      </c>
      <c r="AP29" s="33">
        <v>6.25E-2</v>
      </c>
      <c r="AQ29" s="33">
        <v>6.25E-2</v>
      </c>
      <c r="AR29" s="33">
        <v>6.25E-2</v>
      </c>
      <c r="AS29" s="33">
        <v>6.25E-2</v>
      </c>
      <c r="AT29" s="33">
        <v>6.25E-2</v>
      </c>
      <c r="AU29" s="33">
        <v>6.25E-2</v>
      </c>
      <c r="AV29" s="33">
        <v>6.25E-2</v>
      </c>
      <c r="AW29" s="33">
        <v>6.25E-2</v>
      </c>
      <c r="AX29" s="33">
        <v>6.25E-2</v>
      </c>
      <c r="AY29" s="33">
        <v>6.25E-2</v>
      </c>
      <c r="AZ29" s="33">
        <v>6.25E-2</v>
      </c>
      <c r="BA29" s="33">
        <v>6.25E-2</v>
      </c>
      <c r="BB29" s="33">
        <v>6.25E-2</v>
      </c>
      <c r="BC29" s="33">
        <v>6.25E-2</v>
      </c>
      <c r="BD29" s="33">
        <v>6.25E-2</v>
      </c>
      <c r="BE29" s="33">
        <v>6.25E-2</v>
      </c>
      <c r="BF29" s="33">
        <v>6.25E-2</v>
      </c>
      <c r="BG29" s="33">
        <v>6.25E-2</v>
      </c>
      <c r="BH29" s="33">
        <v>6.25E-2</v>
      </c>
      <c r="BI29" s="33">
        <v>6.25E-2</v>
      </c>
      <c r="BJ29" s="33">
        <v>6.25E-2</v>
      </c>
      <c r="BK29" s="33">
        <v>6.25E-2</v>
      </c>
      <c r="BL29" s="33">
        <v>6.25E-2</v>
      </c>
      <c r="BM29" s="33">
        <v>6.25E-2</v>
      </c>
      <c r="BN29" s="33">
        <v>6.25E-2</v>
      </c>
    </row>
    <row r="30" spans="1:66" ht="13.5" customHeight="1">
      <c r="D30" s="98"/>
      <c r="J30"/>
    </row>
    <row r="31" spans="1:66">
      <c r="D31" s="94"/>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row>
    <row r="32" spans="1:66">
      <c r="A32" t="s">
        <v>308</v>
      </c>
      <c r="B32" t="s">
        <v>301</v>
      </c>
      <c r="C32" s="32">
        <v>6.071645415907715E-2</v>
      </c>
    </row>
    <row r="33" spans="1:3">
      <c r="A33" t="s">
        <v>309</v>
      </c>
      <c r="B33" t="s">
        <v>302</v>
      </c>
      <c r="C33" s="32">
        <v>-9.4310403950375071E-2</v>
      </c>
    </row>
  </sheetData>
  <phoneticPr fontId="31" type="noConversion"/>
  <pageMargins left="0.75" right="0.75" top="1" bottom="1" header="0.5" footer="0.5"/>
  <pageSetup orientation="portrait" r:id="rId1"/>
  <headerFooter alignWithMargins="0"/>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44"/>
  <sheetViews>
    <sheetView workbookViewId="0">
      <selection activeCell="H34" sqref="H34"/>
    </sheetView>
  </sheetViews>
  <sheetFormatPr defaultRowHeight="12.75"/>
  <cols>
    <col min="1" max="1" width="38" style="90" customWidth="1"/>
    <col min="2" max="2" width="20.140625" style="90" customWidth="1"/>
    <col min="3" max="3" width="23.85546875" style="90" customWidth="1"/>
    <col min="4" max="7" width="18.85546875" style="90" customWidth="1"/>
    <col min="8" max="11" width="18.7109375" style="90" customWidth="1"/>
    <col min="12" max="16384" width="9.140625" style="90"/>
  </cols>
  <sheetData>
    <row r="1" spans="1:11">
      <c r="A1" s="752" t="s">
        <v>1122</v>
      </c>
      <c r="B1" s="753"/>
      <c r="C1" s="753"/>
      <c r="D1" s="95" t="s">
        <v>1123</v>
      </c>
    </row>
    <row r="2" spans="1:11" ht="15.75">
      <c r="A2" s="739" t="s">
        <v>1124</v>
      </c>
      <c r="B2" s="753"/>
      <c r="C2" s="753"/>
      <c r="D2" s="753"/>
      <c r="E2" s="753"/>
      <c r="F2" s="753"/>
      <c r="G2" s="753"/>
      <c r="H2" s="753"/>
      <c r="I2" s="753"/>
      <c r="J2" s="753"/>
      <c r="K2" s="753"/>
    </row>
    <row r="3" spans="1:11">
      <c r="A3" s="772"/>
      <c r="B3" s="2192"/>
      <c r="C3" s="2192"/>
      <c r="D3" s="2192"/>
      <c r="E3" s="2192"/>
      <c r="F3" s="2192"/>
      <c r="G3" s="2193"/>
      <c r="H3" s="2194" t="s">
        <v>559</v>
      </c>
      <c r="I3" s="2195"/>
      <c r="J3" s="2195"/>
      <c r="K3" s="2196"/>
    </row>
    <row r="4" spans="1:11" ht="25.5">
      <c r="A4" s="760"/>
      <c r="B4" s="745" t="s">
        <v>342</v>
      </c>
      <c r="C4" s="745" t="s">
        <v>343</v>
      </c>
      <c r="D4" s="745" t="s">
        <v>344</v>
      </c>
      <c r="E4" s="745" t="s">
        <v>345</v>
      </c>
      <c r="F4" s="745" t="s">
        <v>279</v>
      </c>
      <c r="G4" s="774" t="s">
        <v>347</v>
      </c>
      <c r="H4" s="756" t="s">
        <v>342</v>
      </c>
      <c r="I4" s="745" t="s">
        <v>343</v>
      </c>
      <c r="J4" s="745" t="s">
        <v>344</v>
      </c>
      <c r="K4" s="774" t="s">
        <v>345</v>
      </c>
    </row>
    <row r="5" spans="1:11">
      <c r="A5" s="760"/>
      <c r="B5" s="764" t="s">
        <v>265</v>
      </c>
      <c r="C5" s="764" t="s">
        <v>265</v>
      </c>
      <c r="D5" s="764" t="s">
        <v>346</v>
      </c>
      <c r="E5" s="764" t="s">
        <v>346</v>
      </c>
      <c r="F5" s="764" t="s">
        <v>280</v>
      </c>
      <c r="G5" s="775" t="s">
        <v>352</v>
      </c>
      <c r="H5" s="759" t="s">
        <v>265</v>
      </c>
      <c r="I5" s="764" t="s">
        <v>265</v>
      </c>
      <c r="J5" s="764" t="s">
        <v>346</v>
      </c>
      <c r="K5" s="775" t="s">
        <v>346</v>
      </c>
    </row>
    <row r="6" spans="1:11" ht="15">
      <c r="A6" s="773" t="s">
        <v>2</v>
      </c>
      <c r="B6" s="116">
        <f>H6*$C$19</f>
        <v>5.0104942313299997E-2</v>
      </c>
      <c r="C6" s="116">
        <f>I6*$C$19</f>
        <v>1.9230041825999997E-2</v>
      </c>
      <c r="D6" s="782">
        <f>J6*$C$19</f>
        <v>10897.023701399999</v>
      </c>
      <c r="E6" s="801">
        <f>K6*$C$19</f>
        <v>3739.1747995000001</v>
      </c>
      <c r="F6" s="36">
        <v>20</v>
      </c>
      <c r="G6" s="781">
        <v>0.8</v>
      </c>
      <c r="H6" s="112">
        <f>0.0469</f>
        <v>4.6899999999999997E-2</v>
      </c>
      <c r="I6" s="114">
        <f>0.018</f>
        <v>1.7999999999999999E-2</v>
      </c>
      <c r="J6" s="115">
        <v>10200</v>
      </c>
      <c r="K6" s="791">
        <v>3500</v>
      </c>
    </row>
    <row r="7" spans="1:11">
      <c r="A7" s="773" t="s">
        <v>377</v>
      </c>
      <c r="B7" s="36"/>
      <c r="C7" s="36"/>
      <c r="D7" s="36" t="s">
        <v>417</v>
      </c>
      <c r="E7" s="36"/>
      <c r="F7" s="36">
        <v>50</v>
      </c>
      <c r="G7" s="781">
        <v>0.8</v>
      </c>
      <c r="H7" s="113"/>
      <c r="I7" s="36"/>
      <c r="J7" s="36" t="s">
        <v>417</v>
      </c>
      <c r="K7" s="27"/>
    </row>
    <row r="8" spans="1:11" ht="15">
      <c r="A8" s="773" t="s">
        <v>348</v>
      </c>
      <c r="B8" s="36"/>
      <c r="C8" s="36"/>
      <c r="D8" s="782">
        <f>J8*$C$19</f>
        <v>5801.0626175099997</v>
      </c>
      <c r="E8" s="36"/>
      <c r="F8" s="36">
        <v>50</v>
      </c>
      <c r="G8" s="781">
        <v>1</v>
      </c>
      <c r="H8" s="113"/>
      <c r="I8" s="36"/>
      <c r="J8" s="115">
        <v>5430</v>
      </c>
      <c r="K8" s="27"/>
    </row>
    <row r="9" spans="1:11" ht="15">
      <c r="A9" s="773" t="s">
        <v>335</v>
      </c>
      <c r="B9" s="36"/>
      <c r="C9" s="36"/>
      <c r="D9" s="755" t="s">
        <v>418</v>
      </c>
      <c r="E9" s="36"/>
      <c r="F9" s="36"/>
      <c r="G9" s="781"/>
      <c r="H9" s="113"/>
      <c r="I9" s="36"/>
      <c r="J9" s="755" t="s">
        <v>418</v>
      </c>
      <c r="K9" s="27"/>
    </row>
    <row r="10" spans="1:11">
      <c r="A10" s="773" t="s">
        <v>336</v>
      </c>
      <c r="B10" s="36"/>
      <c r="C10" s="36"/>
      <c r="D10" s="36"/>
      <c r="E10" s="36"/>
      <c r="F10" s="36">
        <v>20</v>
      </c>
      <c r="G10" s="781"/>
      <c r="H10" s="113"/>
      <c r="I10" s="36"/>
      <c r="J10" s="36"/>
      <c r="K10" s="27"/>
    </row>
    <row r="11" spans="1:11">
      <c r="A11" s="773" t="s">
        <v>3</v>
      </c>
      <c r="B11" s="36"/>
      <c r="C11" s="36"/>
      <c r="D11" s="36"/>
      <c r="E11" s="36"/>
      <c r="F11" s="36">
        <v>20</v>
      </c>
      <c r="G11" s="802" t="s">
        <v>341</v>
      </c>
      <c r="H11" s="113"/>
      <c r="I11" s="36"/>
      <c r="J11" s="36"/>
      <c r="K11" s="27"/>
    </row>
    <row r="12" spans="1:11">
      <c r="A12" s="773" t="s">
        <v>304</v>
      </c>
      <c r="B12" s="36"/>
      <c r="C12" s="36"/>
      <c r="D12" s="36"/>
      <c r="E12" s="36"/>
      <c r="F12" s="36">
        <v>20</v>
      </c>
      <c r="G12" s="802" t="s">
        <v>341</v>
      </c>
      <c r="H12" s="113"/>
      <c r="I12" s="36"/>
      <c r="J12" s="36"/>
      <c r="K12" s="27"/>
    </row>
    <row r="13" spans="1:11">
      <c r="A13" s="773" t="s">
        <v>337</v>
      </c>
      <c r="B13" s="36"/>
      <c r="C13" s="36"/>
      <c r="D13" s="36"/>
      <c r="E13" s="36"/>
      <c r="F13" s="36"/>
      <c r="G13" s="781"/>
      <c r="H13" s="113"/>
      <c r="I13" s="36"/>
      <c r="J13" s="36"/>
      <c r="K13" s="27"/>
    </row>
    <row r="14" spans="1:11">
      <c r="A14" s="773" t="s">
        <v>349</v>
      </c>
      <c r="B14" s="36"/>
      <c r="C14" s="36"/>
      <c r="D14" s="36"/>
      <c r="E14" s="36"/>
      <c r="F14" s="36">
        <v>30</v>
      </c>
      <c r="G14" s="781">
        <v>1</v>
      </c>
      <c r="H14" s="113"/>
      <c r="I14" s="36"/>
      <c r="J14" s="36"/>
      <c r="K14" s="27"/>
    </row>
    <row r="15" spans="1:11">
      <c r="A15" s="773" t="s">
        <v>338</v>
      </c>
      <c r="B15" s="36"/>
      <c r="C15" s="36"/>
      <c r="D15" s="36"/>
      <c r="E15" s="36"/>
      <c r="F15" s="36">
        <v>20</v>
      </c>
      <c r="G15" s="781">
        <v>1</v>
      </c>
      <c r="H15" s="113"/>
      <c r="I15" s="36"/>
      <c r="J15" s="36"/>
      <c r="K15" s="27"/>
    </row>
    <row r="16" spans="1:11">
      <c r="A16" s="773" t="s">
        <v>339</v>
      </c>
      <c r="B16" s="783"/>
      <c r="C16" s="36"/>
      <c r="D16" s="36"/>
      <c r="E16" s="36"/>
      <c r="F16" s="36">
        <v>20</v>
      </c>
      <c r="G16" s="781">
        <v>1</v>
      </c>
      <c r="H16" s="790"/>
      <c r="I16" s="36"/>
      <c r="J16" s="36"/>
      <c r="K16" s="27"/>
    </row>
    <row r="17" spans="1:12">
      <c r="A17" s="773" t="s">
        <v>350</v>
      </c>
      <c r="B17" s="783"/>
      <c r="C17" s="36"/>
      <c r="D17" s="36"/>
      <c r="E17" s="36"/>
      <c r="F17" s="36">
        <v>50</v>
      </c>
      <c r="G17" s="781">
        <v>1</v>
      </c>
      <c r="H17" s="790"/>
      <c r="I17" s="36"/>
      <c r="J17" s="36"/>
      <c r="K17" s="27"/>
    </row>
    <row r="18" spans="1:12">
      <c r="A18" s="737" t="s">
        <v>340</v>
      </c>
      <c r="B18" s="37"/>
      <c r="C18" s="37"/>
      <c r="D18" s="37"/>
      <c r="E18" s="37"/>
      <c r="F18" s="37">
        <v>20</v>
      </c>
      <c r="G18" s="784">
        <v>1</v>
      </c>
      <c r="H18" s="111"/>
      <c r="I18" s="37"/>
      <c r="J18" s="37"/>
      <c r="K18" s="117"/>
    </row>
    <row r="19" spans="1:12">
      <c r="A19" s="93" t="s">
        <v>1125</v>
      </c>
      <c r="B19" s="93"/>
      <c r="C19" s="89">
        <v>1.068335657</v>
      </c>
    </row>
    <row r="20" spans="1:12">
      <c r="A20" s="93" t="s">
        <v>1126</v>
      </c>
      <c r="C20" s="89">
        <v>1</v>
      </c>
      <c r="F20" s="752" t="s">
        <v>1127</v>
      </c>
      <c r="G20" s="752"/>
      <c r="H20" s="753"/>
      <c r="I20" s="753"/>
    </row>
    <row r="21" spans="1:12" ht="15">
      <c r="A21" s="761" t="s">
        <v>324</v>
      </c>
      <c r="B21" s="758" t="s">
        <v>1128</v>
      </c>
      <c r="C21" s="757" t="s">
        <v>282</v>
      </c>
      <c r="F21" s="2197" t="s">
        <v>1129</v>
      </c>
      <c r="G21" s="2197"/>
      <c r="H21" s="2197"/>
      <c r="I21" s="2197"/>
      <c r="J21" s="2197"/>
      <c r="K21" s="2197"/>
      <c r="L21" s="746"/>
    </row>
    <row r="22" spans="1:12" ht="15">
      <c r="A22" s="773" t="s">
        <v>322</v>
      </c>
      <c r="B22" s="822">
        <f>C22*$C$20</f>
        <v>1.4</v>
      </c>
      <c r="C22" s="823">
        <v>1.4</v>
      </c>
      <c r="F22" s="2197"/>
      <c r="G22" s="2197"/>
      <c r="H22" s="2197"/>
      <c r="I22" s="2197"/>
      <c r="J22" s="2197"/>
      <c r="K22" s="2197"/>
      <c r="L22" s="746"/>
    </row>
    <row r="23" spans="1:12" ht="15">
      <c r="A23" s="773" t="s">
        <v>325</v>
      </c>
      <c r="B23" s="822">
        <f>C23*$C$20</f>
        <v>0.94</v>
      </c>
      <c r="C23" s="823">
        <v>0.94</v>
      </c>
      <c r="F23" s="771" t="s">
        <v>529</v>
      </c>
      <c r="G23" s="736" t="s">
        <v>530</v>
      </c>
      <c r="H23" s="736" t="s">
        <v>531</v>
      </c>
      <c r="I23" s="732" t="s">
        <v>1130</v>
      </c>
    </row>
    <row r="24" spans="1:12" ht="15">
      <c r="A24" s="773" t="s">
        <v>326</v>
      </c>
      <c r="B24" s="822">
        <f>C24*$C$20</f>
        <v>0.47</v>
      </c>
      <c r="C24" s="823">
        <v>0.47</v>
      </c>
      <c r="F24" s="778">
        <v>1</v>
      </c>
      <c r="G24" s="766" t="s">
        <v>533</v>
      </c>
      <c r="H24" s="766" t="s">
        <v>534</v>
      </c>
      <c r="I24" s="749"/>
    </row>
    <row r="25" spans="1:12" ht="15">
      <c r="A25" s="773" t="s">
        <v>323</v>
      </c>
      <c r="B25" s="824">
        <f>C25*$C$20</f>
        <v>0</v>
      </c>
      <c r="C25" s="825">
        <v>0</v>
      </c>
      <c r="F25" s="778">
        <v>2</v>
      </c>
      <c r="G25" s="741" t="s">
        <v>535</v>
      </c>
      <c r="H25" s="741" t="s">
        <v>536</v>
      </c>
      <c r="I25" s="735">
        <v>0.154</v>
      </c>
    </row>
    <row r="26" spans="1:12" ht="15">
      <c r="A26" s="773"/>
      <c r="B26" s="803"/>
      <c r="C26" s="788"/>
      <c r="F26" s="778">
        <v>3</v>
      </c>
      <c r="G26" s="741" t="s">
        <v>537</v>
      </c>
      <c r="H26" s="741" t="s">
        <v>538</v>
      </c>
      <c r="I26" s="735">
        <v>0.19700000000000001</v>
      </c>
    </row>
    <row r="27" spans="1:12" ht="15">
      <c r="A27" s="773" t="s">
        <v>329</v>
      </c>
      <c r="B27" s="803"/>
      <c r="C27" s="788"/>
      <c r="F27" s="778">
        <v>4</v>
      </c>
      <c r="G27" s="741" t="s">
        <v>539</v>
      </c>
      <c r="H27" s="741" t="s">
        <v>540</v>
      </c>
      <c r="I27" s="735">
        <v>0.24</v>
      </c>
    </row>
    <row r="28" spans="1:12" ht="15">
      <c r="A28" s="737" t="s">
        <v>330</v>
      </c>
      <c r="B28" s="804">
        <f>C28*$C$20</f>
        <v>1.4</v>
      </c>
      <c r="C28" s="789">
        <v>1.4</v>
      </c>
      <c r="F28" s="778">
        <v>5</v>
      </c>
      <c r="G28" s="741" t="s">
        <v>541</v>
      </c>
      <c r="H28" s="741" t="s">
        <v>542</v>
      </c>
      <c r="I28" s="735">
        <v>0.28000000000000003</v>
      </c>
    </row>
    <row r="29" spans="1:12" ht="15">
      <c r="F29" s="778">
        <v>6</v>
      </c>
      <c r="G29" s="741" t="s">
        <v>543</v>
      </c>
      <c r="H29" s="741" t="s">
        <v>544</v>
      </c>
      <c r="I29" s="735">
        <v>0.32400000000000001</v>
      </c>
    </row>
    <row r="30" spans="1:12" ht="15">
      <c r="A30" s="777" t="s">
        <v>1131</v>
      </c>
      <c r="B30" s="753"/>
      <c r="C30" s="753"/>
      <c r="D30" s="753"/>
      <c r="F30" s="765">
        <v>7</v>
      </c>
      <c r="G30" s="748" t="s">
        <v>545</v>
      </c>
      <c r="H30" s="748" t="s">
        <v>546</v>
      </c>
      <c r="I30" s="744">
        <v>0.36199999999999999</v>
      </c>
    </row>
    <row r="31" spans="1:12" ht="15">
      <c r="A31" s="734"/>
      <c r="B31" s="758" t="s">
        <v>283</v>
      </c>
      <c r="C31" s="758" t="s">
        <v>353</v>
      </c>
      <c r="D31" s="757" t="s">
        <v>288</v>
      </c>
      <c r="E31" s="80"/>
    </row>
    <row r="32" spans="1:12">
      <c r="A32" s="773" t="s">
        <v>305</v>
      </c>
      <c r="B32" s="776" t="s">
        <v>1132</v>
      </c>
      <c r="C32" s="776" t="s">
        <v>653</v>
      </c>
      <c r="D32" s="770" t="s">
        <v>653</v>
      </c>
    </row>
    <row r="33" spans="1:11">
      <c r="A33" s="773" t="s">
        <v>306</v>
      </c>
      <c r="B33" s="776" t="s">
        <v>1133</v>
      </c>
      <c r="C33" s="776" t="s">
        <v>318</v>
      </c>
      <c r="D33" s="770" t="s">
        <v>653</v>
      </c>
    </row>
    <row r="34" spans="1:11">
      <c r="A34" s="737" t="s">
        <v>291</v>
      </c>
      <c r="B34" s="747" t="s">
        <v>653</v>
      </c>
      <c r="C34" s="747" t="s">
        <v>653</v>
      </c>
      <c r="D34" s="742" t="s">
        <v>653</v>
      </c>
    </row>
    <row r="37" spans="1:11">
      <c r="A37" s="818" t="s">
        <v>1134</v>
      </c>
      <c r="B37" s="811" t="s">
        <v>1135</v>
      </c>
      <c r="C37" s="811" t="s">
        <v>1136</v>
      </c>
      <c r="D37" s="2198" t="s">
        <v>1137</v>
      </c>
      <c r="E37" s="2198"/>
      <c r="F37" s="2199"/>
    </row>
    <row r="38" spans="1:11">
      <c r="A38" s="817" t="s">
        <v>1138</v>
      </c>
      <c r="B38" s="819" t="s">
        <v>1139</v>
      </c>
      <c r="C38" s="819" t="s">
        <v>1139</v>
      </c>
      <c r="D38" s="2188" t="s">
        <v>1140</v>
      </c>
      <c r="E38" s="2188"/>
      <c r="F38" s="2189"/>
    </row>
    <row r="39" spans="1:11" ht="51">
      <c r="A39" s="821" t="s">
        <v>1141</v>
      </c>
      <c r="B39" s="815" t="s">
        <v>1142</v>
      </c>
      <c r="C39" s="820" t="s">
        <v>577</v>
      </c>
      <c r="D39" s="2188" t="s">
        <v>1143</v>
      </c>
      <c r="E39" s="2200"/>
      <c r="F39" s="2201"/>
    </row>
    <row r="40" spans="1:11" ht="25.5">
      <c r="A40" s="821" t="s">
        <v>1144</v>
      </c>
      <c r="B40" s="816" t="s">
        <v>1145</v>
      </c>
      <c r="C40" s="820" t="s">
        <v>1146</v>
      </c>
      <c r="D40" s="2188" t="s">
        <v>1147</v>
      </c>
      <c r="E40" s="2188"/>
      <c r="F40" s="2189"/>
    </row>
    <row r="41" spans="1:11" ht="51">
      <c r="A41" s="812" t="s">
        <v>1148</v>
      </c>
      <c r="B41" s="810" t="s">
        <v>1149</v>
      </c>
      <c r="C41" s="813" t="s">
        <v>578</v>
      </c>
      <c r="D41" s="2190" t="s">
        <v>1150</v>
      </c>
      <c r="E41" s="2190"/>
      <c r="F41" s="2191"/>
    </row>
    <row r="44" spans="1:11" ht="15.75">
      <c r="A44" s="739" t="s">
        <v>1151</v>
      </c>
      <c r="B44" s="720"/>
      <c r="C44" s="720"/>
      <c r="D44" s="720"/>
      <c r="E44" s="720"/>
      <c r="F44" s="720"/>
      <c r="G44" s="720"/>
      <c r="H44" s="720"/>
      <c r="I44" s="720"/>
      <c r="J44" s="720"/>
      <c r="K44" s="720"/>
    </row>
  </sheetData>
  <mergeCells count="8">
    <mergeCell ref="D40:F40"/>
    <mergeCell ref="D41:F41"/>
    <mergeCell ref="B3:G3"/>
    <mergeCell ref="H3:K3"/>
    <mergeCell ref="F21:K22"/>
    <mergeCell ref="D37:F37"/>
    <mergeCell ref="D38:F38"/>
    <mergeCell ref="D39:F39"/>
  </mergeCells>
  <pageMargins left="0.7" right="0.7" top="0.75" bottom="0.75" header="0.3" footer="0.3"/>
  <pageSetup orientation="portrait" r:id="rId1"/>
  <drawing r:id="rId2"/>
  <legacy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2060"/>
  </sheetPr>
  <dimension ref="A1:U80"/>
  <sheetViews>
    <sheetView workbookViewId="0">
      <selection activeCell="M18" sqref="M18"/>
    </sheetView>
  </sheetViews>
  <sheetFormatPr defaultRowHeight="12.75"/>
  <cols>
    <col min="1" max="1" width="12.42578125" style="1" bestFit="1" customWidth="1"/>
    <col min="2" max="2" width="33.140625" style="1" customWidth="1"/>
    <col min="3" max="3" width="15.28515625" style="1" bestFit="1" customWidth="1"/>
    <col min="4" max="4" width="17" style="1" customWidth="1"/>
    <col min="5" max="5" width="22.5703125" style="1" customWidth="1"/>
    <col min="6" max="8" width="9.140625" style="1"/>
    <col min="9" max="9" width="12.42578125" style="1" bestFit="1" customWidth="1"/>
    <col min="10" max="10" width="10.5703125" style="1" bestFit="1" customWidth="1"/>
    <col min="11" max="11" width="16.42578125" style="1" bestFit="1" customWidth="1"/>
    <col min="12" max="12" width="14.85546875" style="1" bestFit="1" customWidth="1"/>
    <col min="13" max="13" width="14" style="1" bestFit="1" customWidth="1"/>
    <col min="14" max="14" width="9.140625" style="1"/>
    <col min="15" max="15" width="9.7109375" style="1" bestFit="1" customWidth="1"/>
    <col min="16" max="20" width="9.140625" style="1"/>
    <col min="21" max="21" width="11.28515625" style="1" bestFit="1" customWidth="1"/>
    <col min="22" max="16384" width="9.140625" style="1"/>
  </cols>
  <sheetData>
    <row r="1" spans="1:21" s="46" customFormat="1">
      <c r="A1" s="2202" t="s">
        <v>519</v>
      </c>
      <c r="B1" s="2202"/>
      <c r="C1" s="2202"/>
      <c r="D1" s="2202"/>
      <c r="E1" s="2202"/>
      <c r="F1" s="2202"/>
      <c r="G1" s="2202"/>
    </row>
    <row r="2" spans="1:21" s="52" customFormat="1" ht="12.75" customHeight="1">
      <c r="A2" s="2208" t="s">
        <v>522</v>
      </c>
      <c r="B2" s="2208"/>
      <c r="C2" s="2208"/>
      <c r="D2" s="2208"/>
      <c r="E2" s="2208"/>
      <c r="F2" s="2208"/>
      <c r="G2" s="2208"/>
      <c r="H2" s="2208"/>
      <c r="I2" s="2208"/>
      <c r="J2" s="2208"/>
      <c r="K2" s="2208"/>
      <c r="L2" s="2208"/>
    </row>
    <row r="3" spans="1:21" s="52" customFormat="1">
      <c r="A3" s="2208"/>
      <c r="B3" s="2208"/>
      <c r="C3" s="2208"/>
      <c r="D3" s="2208"/>
      <c r="E3" s="2208"/>
      <c r="F3" s="2208"/>
      <c r="G3" s="2208"/>
      <c r="H3" s="2208"/>
      <c r="I3" s="2208"/>
      <c r="J3" s="2208"/>
      <c r="K3" s="2208"/>
      <c r="L3" s="2208"/>
    </row>
    <row r="4" spans="1:21" s="14" customFormat="1">
      <c r="A4" s="69"/>
      <c r="B4" s="2203" t="s">
        <v>459</v>
      </c>
      <c r="C4" s="78" t="s">
        <v>432</v>
      </c>
      <c r="D4" s="2213" t="s">
        <v>433</v>
      </c>
      <c r="E4" s="2213"/>
      <c r="F4" s="2212"/>
      <c r="G4" s="2212"/>
      <c r="H4" s="2212"/>
      <c r="I4" s="2212"/>
      <c r="J4" s="2212"/>
      <c r="K4" s="2212"/>
      <c r="L4" s="2212"/>
    </row>
    <row r="5" spans="1:21" s="14" customFormat="1" ht="25.5">
      <c r="A5" s="74" t="s">
        <v>516</v>
      </c>
      <c r="B5" s="2204"/>
      <c r="C5" s="70" t="s">
        <v>352</v>
      </c>
      <c r="D5" s="71" t="s">
        <v>436</v>
      </c>
      <c r="E5" s="71" t="s">
        <v>514</v>
      </c>
      <c r="F5" s="2209" t="s">
        <v>438</v>
      </c>
      <c r="G5" s="2209"/>
      <c r="H5" s="2209"/>
      <c r="I5" s="2209"/>
      <c r="J5" s="2209"/>
      <c r="K5" s="2209"/>
      <c r="L5" s="2209"/>
    </row>
    <row r="6" spans="1:21" s="14" customFormat="1" ht="32.25" customHeight="1">
      <c r="A6" s="75"/>
      <c r="B6" s="75"/>
      <c r="C6" s="76"/>
      <c r="D6" s="77"/>
      <c r="E6" s="76"/>
      <c r="F6" s="2210"/>
      <c r="G6" s="2210"/>
      <c r="H6" s="2210"/>
      <c r="I6" s="2210"/>
      <c r="J6" s="2210"/>
      <c r="K6" s="2210"/>
      <c r="L6" s="2210"/>
      <c r="O6" s="28"/>
    </row>
    <row r="7" spans="1:21" s="14" customFormat="1">
      <c r="A7" s="72" t="s">
        <v>520</v>
      </c>
      <c r="B7" s="72"/>
      <c r="C7" s="73"/>
      <c r="D7" s="73"/>
      <c r="E7" s="73"/>
      <c r="F7" s="2211"/>
      <c r="G7" s="2211"/>
      <c r="H7" s="2211"/>
      <c r="I7" s="2211"/>
      <c r="J7" s="2211"/>
      <c r="K7" s="2211"/>
      <c r="L7" s="2211"/>
    </row>
    <row r="8" spans="1:21" s="14" customFormat="1">
      <c r="A8" s="39"/>
      <c r="B8" s="39"/>
    </row>
    <row r="9" spans="1:21" s="14" customFormat="1">
      <c r="B9" s="39" t="s">
        <v>510</v>
      </c>
    </row>
    <row r="10" spans="1:21" s="14" customFormat="1">
      <c r="B10" s="39" t="s">
        <v>511</v>
      </c>
    </row>
    <row r="11" spans="1:21" ht="15">
      <c r="B11" s="5" t="s">
        <v>437</v>
      </c>
      <c r="T11" s="10"/>
      <c r="U11" s="60"/>
    </row>
    <row r="12" spans="1:21" ht="15">
      <c r="B12" s="63" t="s">
        <v>512</v>
      </c>
      <c r="T12" s="10"/>
      <c r="U12" s="60"/>
    </row>
    <row r="13" spans="1:21" ht="15">
      <c r="B13" s="5"/>
      <c r="T13" s="10"/>
      <c r="U13" s="60"/>
    </row>
    <row r="14" spans="1:21" ht="15">
      <c r="B14" s="48" t="s">
        <v>464</v>
      </c>
      <c r="T14" s="10"/>
      <c r="U14" s="60"/>
    </row>
    <row r="15" spans="1:21" ht="26.25">
      <c r="B15" s="48" t="s">
        <v>465</v>
      </c>
      <c r="C15" s="3" t="s">
        <v>466</v>
      </c>
      <c r="D15" s="64" t="s">
        <v>468</v>
      </c>
      <c r="E15" s="64" t="s">
        <v>467</v>
      </c>
      <c r="F15" s="3" t="s">
        <v>332</v>
      </c>
      <c r="I15" s="66"/>
      <c r="J15" s="2206" t="s">
        <v>459</v>
      </c>
      <c r="K15" s="66" t="s">
        <v>432</v>
      </c>
      <c r="L15" s="66" t="s">
        <v>433</v>
      </c>
      <c r="T15" s="10"/>
      <c r="U15" s="60"/>
    </row>
    <row r="16" spans="1:21" ht="15">
      <c r="B16" s="63" t="s">
        <v>469</v>
      </c>
      <c r="C16" s="40" t="s">
        <v>470</v>
      </c>
      <c r="D16" s="40" t="s">
        <v>471</v>
      </c>
      <c r="E16" s="40" t="s">
        <v>472</v>
      </c>
      <c r="F16" s="40" t="s">
        <v>476</v>
      </c>
      <c r="I16" s="68" t="s">
        <v>460</v>
      </c>
      <c r="J16" s="2207"/>
      <c r="K16" s="67" t="s">
        <v>352</v>
      </c>
      <c r="L16" s="68" t="s">
        <v>436</v>
      </c>
      <c r="T16" s="10"/>
      <c r="U16" s="60"/>
    </row>
    <row r="17" spans="2:21" ht="15">
      <c r="B17" s="63" t="s">
        <v>473</v>
      </c>
      <c r="C17" s="40" t="s">
        <v>474</v>
      </c>
      <c r="D17" s="40" t="s">
        <v>475</v>
      </c>
      <c r="E17" s="40" t="s">
        <v>481</v>
      </c>
      <c r="F17" s="58" t="s">
        <v>477</v>
      </c>
      <c r="I17" s="53" t="s">
        <v>457</v>
      </c>
      <c r="J17" s="53" t="s">
        <v>461</v>
      </c>
      <c r="K17" s="52"/>
      <c r="L17" s="65">
        <v>14000000</v>
      </c>
      <c r="T17" s="10"/>
      <c r="U17" s="60"/>
    </row>
    <row r="18" spans="2:21" ht="15">
      <c r="B18" s="63" t="s">
        <v>478</v>
      </c>
      <c r="C18" s="40" t="s">
        <v>479</v>
      </c>
      <c r="D18" s="40" t="s">
        <v>480</v>
      </c>
      <c r="E18" s="40" t="s">
        <v>482</v>
      </c>
      <c r="I18" s="53" t="s">
        <v>462</v>
      </c>
      <c r="J18" s="53" t="s">
        <v>463</v>
      </c>
      <c r="K18" s="52"/>
      <c r="L18" s="65">
        <v>352000</v>
      </c>
      <c r="M18" s="1549">
        <f>L18*2000/40</f>
        <v>17600000</v>
      </c>
      <c r="T18" s="10"/>
      <c r="U18" s="60"/>
    </row>
    <row r="19" spans="2:21" ht="15">
      <c r="B19" s="63" t="s">
        <v>483</v>
      </c>
      <c r="C19" s="40" t="s">
        <v>484</v>
      </c>
      <c r="D19" s="40" t="s">
        <v>485</v>
      </c>
      <c r="E19" s="40" t="s">
        <v>486</v>
      </c>
      <c r="I19" s="53" t="s">
        <v>458</v>
      </c>
      <c r="J19" s="53" t="s">
        <v>435</v>
      </c>
      <c r="K19" s="61">
        <v>0.25</v>
      </c>
      <c r="L19" s="62">
        <v>13200000</v>
      </c>
      <c r="T19" s="10"/>
      <c r="U19" s="60"/>
    </row>
    <row r="20" spans="2:21" ht="15">
      <c r="B20" s="63" t="s">
        <v>487</v>
      </c>
      <c r="C20" s="40" t="s">
        <v>488</v>
      </c>
      <c r="D20" s="40" t="s">
        <v>489</v>
      </c>
      <c r="E20" s="40" t="s">
        <v>490</v>
      </c>
      <c r="I20" s="52" t="s">
        <v>458</v>
      </c>
      <c r="J20" s="53" t="s">
        <v>435</v>
      </c>
      <c r="K20" s="61">
        <v>0.45</v>
      </c>
      <c r="L20" s="62">
        <v>7920000</v>
      </c>
      <c r="T20" s="10"/>
      <c r="U20" s="60"/>
    </row>
    <row r="21" spans="2:21" ht="15">
      <c r="B21" s="63" t="s">
        <v>491</v>
      </c>
      <c r="C21" s="40" t="s">
        <v>494</v>
      </c>
      <c r="D21" s="40" t="s">
        <v>495</v>
      </c>
      <c r="E21" s="40" t="s">
        <v>493</v>
      </c>
      <c r="F21" s="40" t="s">
        <v>492</v>
      </c>
      <c r="T21" s="10"/>
      <c r="U21" s="60"/>
    </row>
    <row r="22" spans="2:21" ht="15">
      <c r="B22" s="63" t="s">
        <v>496</v>
      </c>
      <c r="C22" s="40" t="s">
        <v>497</v>
      </c>
      <c r="D22" s="40" t="s">
        <v>498</v>
      </c>
      <c r="E22" s="40" t="s">
        <v>499</v>
      </c>
      <c r="F22" s="40" t="s">
        <v>476</v>
      </c>
      <c r="I22" s="2208" t="s">
        <v>517</v>
      </c>
      <c r="J22" s="2208"/>
      <c r="K22" s="2208"/>
      <c r="L22" s="2208"/>
      <c r="T22" s="10"/>
      <c r="U22" s="60"/>
    </row>
    <row r="23" spans="2:21" ht="15">
      <c r="B23" s="63" t="s">
        <v>500</v>
      </c>
      <c r="C23" s="40" t="s">
        <v>501</v>
      </c>
      <c r="D23" s="40" t="s">
        <v>502</v>
      </c>
      <c r="E23" s="40" t="s">
        <v>503</v>
      </c>
      <c r="F23" s="40" t="s">
        <v>513</v>
      </c>
      <c r="I23" s="2208"/>
      <c r="J23" s="2208"/>
      <c r="K23" s="2208"/>
      <c r="L23" s="2208"/>
      <c r="T23" s="10"/>
      <c r="U23" s="60"/>
    </row>
    <row r="24" spans="2:21">
      <c r="G24" s="40"/>
      <c r="I24" s="2208"/>
      <c r="J24" s="2208"/>
      <c r="K24" s="2208"/>
      <c r="L24" s="2208"/>
      <c r="T24" s="10"/>
      <c r="U24" s="60"/>
    </row>
    <row r="25" spans="2:21" ht="31.5" customHeight="1">
      <c r="B25" s="2205" t="s">
        <v>504</v>
      </c>
      <c r="C25" s="2205"/>
      <c r="D25" s="2205"/>
      <c r="E25" s="2205"/>
      <c r="F25" s="2205"/>
      <c r="T25" s="10"/>
      <c r="U25" s="60"/>
    </row>
    <row r="26" spans="2:21" ht="15">
      <c r="B26" s="63" t="s">
        <v>505</v>
      </c>
      <c r="T26" s="10"/>
      <c r="U26" s="60"/>
    </row>
    <row r="27" spans="2:21">
      <c r="C27" s="40" t="s">
        <v>507</v>
      </c>
      <c r="T27" s="10"/>
      <c r="U27" s="60"/>
    </row>
    <row r="28" spans="2:21">
      <c r="C28" s="40" t="s">
        <v>506</v>
      </c>
    </row>
    <row r="29" spans="2:21">
      <c r="C29" s="40" t="s">
        <v>508</v>
      </c>
      <c r="G29" s="40"/>
    </row>
    <row r="30" spans="2:21">
      <c r="C30" s="40" t="s">
        <v>515</v>
      </c>
    </row>
    <row r="31" spans="2:21">
      <c r="B31" s="40" t="s">
        <v>509</v>
      </c>
      <c r="G31" s="40"/>
    </row>
    <row r="32" spans="2:21">
      <c r="G32" s="40"/>
    </row>
    <row r="33" spans="1:11">
      <c r="A33" s="79" t="s">
        <v>521</v>
      </c>
    </row>
    <row r="35" spans="1:11">
      <c r="A35" s="40" t="s">
        <v>439</v>
      </c>
    </row>
    <row r="36" spans="1:11">
      <c r="A36" s="40" t="s">
        <v>440</v>
      </c>
    </row>
    <row r="38" spans="1:11">
      <c r="A38" s="58" t="s">
        <v>441</v>
      </c>
    </row>
    <row r="39" spans="1:11">
      <c r="A39" s="58" t="s">
        <v>442</v>
      </c>
    </row>
    <row r="41" spans="1:11">
      <c r="A41" s="59" t="s">
        <v>443</v>
      </c>
      <c r="K41" s="98"/>
    </row>
    <row r="42" spans="1:11">
      <c r="A42" s="58" t="s">
        <v>444</v>
      </c>
      <c r="K42" s="814"/>
    </row>
    <row r="43" spans="1:11">
      <c r="K43" s="98"/>
    </row>
    <row r="44" spans="1:11">
      <c r="A44" s="40" t="s">
        <v>445</v>
      </c>
    </row>
    <row r="45" spans="1:11">
      <c r="A45" s="40" t="s">
        <v>446</v>
      </c>
    </row>
    <row r="47" spans="1:11">
      <c r="A47" s="58" t="s">
        <v>447</v>
      </c>
    </row>
    <row r="48" spans="1:11">
      <c r="A48" s="58" t="s">
        <v>448</v>
      </c>
    </row>
    <row r="50" spans="1:1">
      <c r="A50" s="58" t="s">
        <v>449</v>
      </c>
    </row>
    <row r="51" spans="1:1">
      <c r="A51" s="40" t="s">
        <v>518</v>
      </c>
    </row>
    <row r="53" spans="1:1">
      <c r="A53" s="40" t="s">
        <v>450</v>
      </c>
    </row>
    <row r="54" spans="1:1">
      <c r="A54" s="40" t="s">
        <v>451</v>
      </c>
    </row>
    <row r="56" spans="1:1">
      <c r="A56" s="58" t="s">
        <v>452</v>
      </c>
    </row>
    <row r="57" spans="1:1">
      <c r="A57" s="58" t="s">
        <v>453</v>
      </c>
    </row>
    <row r="58" spans="1:1">
      <c r="A58" s="59" t="s">
        <v>454</v>
      </c>
    </row>
    <row r="60" spans="1:1">
      <c r="A60" s="58" t="s">
        <v>455</v>
      </c>
    </row>
    <row r="61" spans="1:1">
      <c r="A61" s="58" t="s">
        <v>456</v>
      </c>
    </row>
    <row r="64" spans="1:1">
      <c r="A64" s="58"/>
    </row>
    <row r="66" spans="7:7">
      <c r="G66" s="58"/>
    </row>
    <row r="67" spans="7:7">
      <c r="G67" s="58"/>
    </row>
    <row r="68" spans="7:7">
      <c r="G68" s="58"/>
    </row>
    <row r="69" spans="7:7">
      <c r="G69" s="58"/>
    </row>
    <row r="71" spans="7:7">
      <c r="G71" s="58"/>
    </row>
    <row r="72" spans="7:7">
      <c r="G72" s="58"/>
    </row>
    <row r="73" spans="7:7" ht="3" customHeight="1"/>
    <row r="74" spans="7:7">
      <c r="G74" s="58"/>
    </row>
    <row r="76" spans="7:7">
      <c r="G76" s="58"/>
    </row>
    <row r="77" spans="7:7">
      <c r="G77" s="58"/>
    </row>
    <row r="78" spans="7:7">
      <c r="G78" s="58"/>
    </row>
    <row r="80" spans="7:7">
      <c r="G80" s="58"/>
    </row>
  </sheetData>
  <mergeCells count="11">
    <mergeCell ref="A1:G1"/>
    <mergeCell ref="B4:B5"/>
    <mergeCell ref="B25:F25"/>
    <mergeCell ref="J15:J16"/>
    <mergeCell ref="I22:L24"/>
    <mergeCell ref="F5:L5"/>
    <mergeCell ref="F6:L6"/>
    <mergeCell ref="F7:L7"/>
    <mergeCell ref="F4:L4"/>
    <mergeCell ref="A2:L3"/>
    <mergeCell ref="D4:E4"/>
  </mergeCells>
  <hyperlinks>
    <hyperlink ref="B11" r:id="rId1"/>
  </hyperlinks>
  <pageMargins left="0.75" right="0.75" top="1" bottom="1" header="0.5" footer="0.5"/>
  <pageSetup orientation="portrait" r:id="rId2"/>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sheetPr>
  <dimension ref="A1:N11"/>
  <sheetViews>
    <sheetView workbookViewId="0">
      <selection activeCell="O34" sqref="O34"/>
    </sheetView>
  </sheetViews>
  <sheetFormatPr defaultRowHeight="12.75"/>
  <cols>
    <col min="2" max="2" width="17.5703125" bestFit="1" customWidth="1"/>
    <col min="3" max="3" width="15.28515625" bestFit="1" customWidth="1"/>
    <col min="4" max="4" width="13.85546875" bestFit="1" customWidth="1"/>
    <col min="14" max="14" width="9.7109375" bestFit="1" customWidth="1"/>
  </cols>
  <sheetData>
    <row r="1" spans="1:14" s="46" customFormat="1">
      <c r="A1" s="2202" t="s">
        <v>426</v>
      </c>
      <c r="B1" s="2202"/>
      <c r="C1" s="2202"/>
      <c r="D1" s="2202"/>
      <c r="E1" s="2202"/>
      <c r="F1" s="2202"/>
    </row>
    <row r="2" spans="1:14" s="52" customFormat="1"/>
    <row r="3" spans="1:14" s="52" customFormat="1">
      <c r="B3" s="2214" t="s">
        <v>427</v>
      </c>
      <c r="C3" s="55" t="s">
        <v>432</v>
      </c>
      <c r="D3" s="55" t="s">
        <v>433</v>
      </c>
    </row>
    <row r="4" spans="1:14" s="52" customFormat="1">
      <c r="B4" s="2215"/>
      <c r="C4" s="56" t="s">
        <v>352</v>
      </c>
      <c r="D4" s="57" t="s">
        <v>436</v>
      </c>
    </row>
    <row r="5" spans="1:14" s="52" customFormat="1">
      <c r="B5" s="53" t="s">
        <v>435</v>
      </c>
      <c r="E5" s="53" t="s">
        <v>434</v>
      </c>
      <c r="N5" s="54"/>
    </row>
    <row r="6" spans="1:14" s="52" customFormat="1">
      <c r="B6" s="53" t="s">
        <v>428</v>
      </c>
    </row>
    <row r="7" spans="1:14" s="52" customFormat="1">
      <c r="B7" s="53" t="s">
        <v>430</v>
      </c>
    </row>
    <row r="8" spans="1:14" s="52" customFormat="1">
      <c r="B8" s="53" t="s">
        <v>429</v>
      </c>
    </row>
    <row r="9" spans="1:14" s="52" customFormat="1">
      <c r="B9" s="53" t="s">
        <v>431</v>
      </c>
    </row>
    <row r="11" spans="1:14">
      <c r="A11" s="1"/>
    </row>
  </sheetData>
  <mergeCells count="2">
    <mergeCell ref="A1:F1"/>
    <mergeCell ref="B3:B4"/>
  </mergeCells>
  <phoneticPr fontId="31"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146</vt:i4>
      </vt:variant>
    </vt:vector>
  </HeadingPairs>
  <TitlesOfParts>
    <vt:vector size="194" baseType="lpstr">
      <vt:lpstr>Intro</vt:lpstr>
      <vt:lpstr>Community Summary Page</vt:lpstr>
      <vt:lpstr>Community Data Summary</vt:lpstr>
      <vt:lpstr>Community data</vt:lpstr>
      <vt:lpstr>Current Interties</vt:lpstr>
      <vt:lpstr>Forecast</vt:lpstr>
      <vt:lpstr>Forecast with cost eff projects</vt:lpstr>
      <vt:lpstr>Population Forecast</vt:lpstr>
      <vt:lpstr>Generation Forecast</vt:lpstr>
      <vt:lpstr>Eff (res)</vt:lpstr>
      <vt:lpstr>Res Model Data</vt:lpstr>
      <vt:lpstr>Residential Heat source</vt:lpstr>
      <vt:lpstr>Eff (com)</vt:lpstr>
      <vt:lpstr>Non-Res Data (Benchmark)</vt:lpstr>
      <vt:lpstr>NonResBuil Assumptions</vt:lpstr>
      <vt:lpstr>Eff (W &amp; WW)</vt:lpstr>
      <vt:lpstr>Water &amp; Sewer Data</vt:lpstr>
      <vt:lpstr>Streetlights</vt:lpstr>
      <vt:lpstr>Diesel eff</vt:lpstr>
      <vt:lpstr>Diesel Data</vt:lpstr>
      <vt:lpstr>Heat Recovery</vt:lpstr>
      <vt:lpstr>HR Data</vt:lpstr>
      <vt:lpstr>Wind</vt:lpstr>
      <vt:lpstr>Wind Data</vt:lpstr>
      <vt:lpstr>Exisiting Wind</vt:lpstr>
      <vt:lpstr>Biomass--Cord</vt:lpstr>
      <vt:lpstr>Biomass-pellet</vt:lpstr>
      <vt:lpstr>Biomass Data</vt:lpstr>
      <vt:lpstr>Biomass rate</vt:lpstr>
      <vt:lpstr>Hydro</vt:lpstr>
      <vt:lpstr>Hydro Data</vt:lpstr>
      <vt:lpstr>Solar</vt:lpstr>
      <vt:lpstr>Solar Data</vt:lpstr>
      <vt:lpstr>Interties</vt:lpstr>
      <vt:lpstr>Intertie Distance Data</vt:lpstr>
      <vt:lpstr>PCE</vt:lpstr>
      <vt:lpstr>LNG--in dev</vt:lpstr>
      <vt:lpstr>Bulk Fuel--in dev</vt:lpstr>
      <vt:lpstr>Assumptions</vt:lpstr>
      <vt:lpstr>HDD</vt:lpstr>
      <vt:lpstr>Diesel Fuel Prices</vt:lpstr>
      <vt:lpstr>Fuel Price Worksheet</vt:lpstr>
      <vt:lpstr>Urban heating oil coefs</vt:lpstr>
      <vt:lpstr>Community coefficients</vt:lpstr>
      <vt:lpstr>Railbelt Worksheet</vt:lpstr>
      <vt:lpstr>2014 Assumptions</vt:lpstr>
      <vt:lpstr>Biomass Units</vt:lpstr>
      <vt:lpstr>999-Calc</vt:lpstr>
      <vt:lpstr>Average_Load</vt:lpstr>
      <vt:lpstr>AverageHHCost</vt:lpstr>
      <vt:lpstr>Avg._Commercial_Consumption</vt:lpstr>
      <vt:lpstr>Avg._Commercial_cost_month</vt:lpstr>
      <vt:lpstr>Avg._PF_Consumption</vt:lpstr>
      <vt:lpstr>Avg._Residential_Consumption_Mo</vt:lpstr>
      <vt:lpstr>Avg._Residential_Demand_month</vt:lpstr>
      <vt:lpstr>BF__C_Ratio</vt:lpstr>
      <vt:lpstr>BF_NPV_Benefits</vt:lpstr>
      <vt:lpstr>BF_NPV_Capital_Costs</vt:lpstr>
      <vt:lpstr>BF_NPV_Net_Benefit</vt:lpstr>
      <vt:lpstr>Biomass_B_C_Ratio</vt:lpstr>
      <vt:lpstr>Biomass_MMBtu_yr</vt:lpstr>
      <vt:lpstr>Biomass_NPV_Benefits</vt:lpstr>
      <vt:lpstr>Biomass_NPV_Capital_Costs</vt:lpstr>
      <vt:lpstr>Biomass_NPV_Net_Benefit</vt:lpstr>
      <vt:lpstr>Biomass_price</vt:lpstr>
      <vt:lpstr>Biomass_Type</vt:lpstr>
      <vt:lpstr>Building_Types</vt:lpstr>
      <vt:lpstr>Coal_price</vt:lpstr>
      <vt:lpstr>Commercial_price_kWh</vt:lpstr>
      <vt:lpstr>Community_Name</vt:lpstr>
      <vt:lpstr>Community_Retrofit_Cost</vt:lpstr>
      <vt:lpstr>Cost_kW_if_not_known</vt:lpstr>
      <vt:lpstr>CrudeForecast</vt:lpstr>
      <vt:lpstr>Current_PV_installed</vt:lpstr>
      <vt:lpstr>Demand_Charge_kW</vt:lpstr>
      <vt:lpstr>Diesel__retail_price</vt:lpstr>
      <vt:lpstr>Diesel__utility_price</vt:lpstr>
      <vt:lpstr>diesel_B_C_Ratio</vt:lpstr>
      <vt:lpstr>Diesel_consumed__gallons</vt:lpstr>
      <vt:lpstr>Diesel_NPV_Benefits</vt:lpstr>
      <vt:lpstr>Diesel_NPV_Capital_Costs</vt:lpstr>
      <vt:lpstr>Diesel_NPV_Net_Benefit</vt:lpstr>
      <vt:lpstr>Diesel_Sizing</vt:lpstr>
      <vt:lpstr>Distance_to_Nearest_com</vt:lpstr>
      <vt:lpstr>Distance_to_T_D</vt:lpstr>
      <vt:lpstr>EE_Res_B_C_Ratio</vt:lpstr>
      <vt:lpstr>EE_Res_NPV_Benefits</vt:lpstr>
      <vt:lpstr>EE_Res_NPV_Capital_Costs</vt:lpstr>
      <vt:lpstr>EE_Res_NPV_Net_Benefit</vt:lpstr>
      <vt:lpstr>Eff_Com_B_C_Ratio</vt:lpstr>
      <vt:lpstr>Eff_com_NPV_Benefits</vt:lpstr>
      <vt:lpstr>Eff_com_NPV_Capital_Costs</vt:lpstr>
      <vt:lpstr>Eff_com_NPV_Net_Benefit</vt:lpstr>
      <vt:lpstr>Eff_WW_B_C_Ratio</vt:lpstr>
      <vt:lpstr>Eff_WW_NPV_Benefits</vt:lpstr>
      <vt:lpstr>Eff_WW_NPV_Capital_Costs</vt:lpstr>
      <vt:lpstr>Eff_WW_NPV_Net_Benefit</vt:lpstr>
      <vt:lpstr>Electricity_Heat_price</vt:lpstr>
      <vt:lpstr>Electricity_price_kWh</vt:lpstr>
      <vt:lpstr>Electricity_Surcharges</vt:lpstr>
      <vt:lpstr>Energy_Region</vt:lpstr>
      <vt:lpstr>Energy_Regions</vt:lpstr>
      <vt:lpstr>Fuel_Oil_price</vt:lpstr>
      <vt:lpstr>Gallons_HF_displaced</vt:lpstr>
      <vt:lpstr>Generation_Efficiency</vt:lpstr>
      <vt:lpstr>Generation_total</vt:lpstr>
      <vt:lpstr>HDD_List</vt:lpstr>
      <vt:lpstr>Heating_Degree_Days</vt:lpstr>
      <vt:lpstr>HighMedLow</vt:lpstr>
      <vt:lpstr>HR_B_C_Ratio</vt:lpstr>
      <vt:lpstr>HR_Btu_available</vt:lpstr>
      <vt:lpstr>HR_Installed</vt:lpstr>
      <vt:lpstr>HR_More</vt:lpstr>
      <vt:lpstr>HR_NPV_Benefits</vt:lpstr>
      <vt:lpstr>HR_NPV_Capital_Costs</vt:lpstr>
      <vt:lpstr>HR_NPV_Net_Benefit</vt:lpstr>
      <vt:lpstr>HR_Operational</vt:lpstr>
      <vt:lpstr>Hydro_B_C_Ratio</vt:lpstr>
      <vt:lpstr>Hydro_NPV_Benefits</vt:lpstr>
      <vt:lpstr>Hydro_NPV_Capital_Costs</vt:lpstr>
      <vt:lpstr>Hydro_NPV_Net_Benefit</vt:lpstr>
      <vt:lpstr>Intertie_B_C_Ratio</vt:lpstr>
      <vt:lpstr>Intertie_Costs</vt:lpstr>
      <vt:lpstr>Intertie_NPV_Benefits</vt:lpstr>
      <vt:lpstr>Intertie_NPV_Net_Benefit</vt:lpstr>
      <vt:lpstr>kW_proposed</vt:lpstr>
      <vt:lpstr>kwh_sold</vt:lpstr>
      <vt:lpstr>kWh_year_from_PVWatts</vt:lpstr>
      <vt:lpstr>Lights_B_C_Ratio</vt:lpstr>
      <vt:lpstr>Lights_NPV_Benefits</vt:lpstr>
      <vt:lpstr>Lights_NPV_Capital_Costs</vt:lpstr>
      <vt:lpstr>Lights_NPV_Net_Benefit</vt:lpstr>
      <vt:lpstr>Line_Loss</vt:lpstr>
      <vt:lpstr>Load_Sizing</vt:lpstr>
      <vt:lpstr>Median_Household_Income</vt:lpstr>
      <vt:lpstr>Name</vt:lpstr>
      <vt:lpstr>NaturalGasForecast</vt:lpstr>
      <vt:lpstr>Non_Residential_Consumption</vt:lpstr>
      <vt:lpstr>Number_commercial_customers</vt:lpstr>
      <vt:lpstr>Number_Public_Facilities</vt:lpstr>
      <vt:lpstr>Number_Residential_Customers</vt:lpstr>
      <vt:lpstr>O_M____kWh</vt:lpstr>
      <vt:lpstr>O_M__kWh</vt:lpstr>
      <vt:lpstr>PCE_B_C_Ratio</vt:lpstr>
      <vt:lpstr>PCE_Eligibile_kWh</vt:lpstr>
      <vt:lpstr>PCE_NPV_Benefits</vt:lpstr>
      <vt:lpstr>PCE_NPV_Capital_Costs</vt:lpstr>
      <vt:lpstr>PCE_NPV_Net_Benefit</vt:lpstr>
      <vt:lpstr>PCE_Subsidy</vt:lpstr>
      <vt:lpstr>Peak_kW</vt:lpstr>
      <vt:lpstr>PF_PCE_kWh</vt:lpstr>
      <vt:lpstr>Phase_Imbalance</vt:lpstr>
      <vt:lpstr>Phase_Names</vt:lpstr>
      <vt:lpstr>Population</vt:lpstr>
      <vt:lpstr>Propane_price</vt:lpstr>
      <vt:lpstr>Properly_sized</vt:lpstr>
      <vt:lpstr>RE__Type</vt:lpstr>
      <vt:lpstr>RE_Electric_Heat_MMBtu_yr</vt:lpstr>
      <vt:lpstr>RE_Generation__kWh_yr</vt:lpstr>
      <vt:lpstr>RE_Nameplate_Capacity</vt:lpstr>
      <vt:lpstr>RE_Technology</vt:lpstr>
      <vt:lpstr>Region</vt:lpstr>
      <vt:lpstr>ResEff_B_C_Ratio</vt:lpstr>
      <vt:lpstr>ResEff_NPV_Benefits</vt:lpstr>
      <vt:lpstr>ResEff_NPV_Capital_Costs</vt:lpstr>
      <vt:lpstr>ResEff_NPV_Net_Benefit</vt:lpstr>
      <vt:lpstr>Residential_non_PCE_eligible_price</vt:lpstr>
      <vt:lpstr>Residential_price_w_PCE</vt:lpstr>
      <vt:lpstr>Residential_Units</vt:lpstr>
      <vt:lpstr>Road_needed</vt:lpstr>
      <vt:lpstr>Sanitation_Actual_Electricity</vt:lpstr>
      <vt:lpstr>Sanitation_Actual_Heating_Fuel</vt:lpstr>
      <vt:lpstr>Sanitation_Estimated_Electricity</vt:lpstr>
      <vt:lpstr>Sanitation_Estimated_Heating_Fuel</vt:lpstr>
      <vt:lpstr>Solar_B_C_Ratio</vt:lpstr>
      <vt:lpstr>Solar_NPV_Benefits</vt:lpstr>
      <vt:lpstr>Solar_NPV_Capital_Costs</vt:lpstr>
      <vt:lpstr>Solar_NPV_Net_Benefit</vt:lpstr>
      <vt:lpstr>Solar_Project_Life</vt:lpstr>
      <vt:lpstr>Solar_total_cost</vt:lpstr>
      <vt:lpstr>Switchgear_suitable</vt:lpstr>
      <vt:lpstr>Swtichgear_RE</vt:lpstr>
      <vt:lpstr>Total___Generators</vt:lpstr>
      <vt:lpstr>Total_Commercial_Consumption</vt:lpstr>
      <vt:lpstr>Total_Cost_for_PV__if_known</vt:lpstr>
      <vt:lpstr>Total_Houses</vt:lpstr>
      <vt:lpstr>Total_Res_HF</vt:lpstr>
      <vt:lpstr>Total_Residential_Demand</vt:lpstr>
      <vt:lpstr>Wind_B_C_Ratio</vt:lpstr>
      <vt:lpstr>Wind_Class</vt:lpstr>
      <vt:lpstr>Wind_NPV_Benefits</vt:lpstr>
      <vt:lpstr>Wind_NPV_Capital_Costs</vt:lpstr>
      <vt:lpstr>Wind_NPV_Net_Benefit</vt:lpstr>
      <vt:lpstr>Yes_No</vt:lpstr>
    </vt:vector>
  </TitlesOfParts>
  <Company>ISER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dc:creator>
  <cp:lastModifiedBy>Neil McMahon</cp:lastModifiedBy>
  <cp:lastPrinted>2016-01-12T20:39:41Z</cp:lastPrinted>
  <dcterms:created xsi:type="dcterms:W3CDTF">2009-02-03T22:17:06Z</dcterms:created>
  <dcterms:modified xsi:type="dcterms:W3CDTF">2016-01-13T01:43:26Z</dcterms:modified>
</cp:coreProperties>
</file>